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8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15" yWindow="-120" windowWidth="20760" windowHeight="11760"/>
  </bookViews>
  <sheets>
    <sheet name="Intro" sheetId="68" r:id="rId1"/>
    <sheet name="Helpers" sheetId="66" r:id="rId2"/>
    <sheet name="EntryList" sheetId="38" r:id="rId3"/>
    <sheet name="ID Numbers" sheetId="74" r:id="rId4"/>
    <sheet name="W2W" sheetId="13" state="hidden" r:id="rId5"/>
    <sheet name="AgeCategories" sheetId="12" r:id="rId6"/>
    <sheet name="PrintedResults" sheetId="37" r:id="rId7"/>
    <sheet name="DownloadResults" sheetId="14" r:id="rId8"/>
    <sheet name="SavedDownload" sheetId="31" r:id="rId9"/>
    <sheet name="SortedDownload" sheetId="20" r:id="rId10"/>
    <sheet name="CompareExcelwithSheetsResults" sheetId="69" r:id="rId11"/>
    <sheet name="OverallResults" sheetId="11" r:id="rId12"/>
    <sheet name="CategoryResults" sheetId="21" r:id="rId13"/>
    <sheet name="TeamResults" sheetId="42" state="hidden" r:id="rId14"/>
    <sheet name="SeriesPoints" sheetId="36" state="hidden" r:id="rId15"/>
    <sheet name="Results1-250" sheetId="51" r:id="rId16"/>
    <sheet name="Results251-500" sheetId="52" r:id="rId17"/>
    <sheet name="PrintableResults" sheetId="34" r:id="rId18"/>
    <sheet name="CheckPointPrintableResults" sheetId="49" r:id="rId19"/>
    <sheet name="Nipper Boys" sheetId="75" r:id="rId20"/>
    <sheet name="Sprog Boys" sheetId="76" r:id="rId21"/>
    <sheet name="Sub Junior Boys" sheetId="77" r:id="rId22"/>
    <sheet name="Youth Men" sheetId="78" r:id="rId23"/>
    <sheet name="Junior Men" sheetId="79" r:id="rId24"/>
    <sheet name="Under-23 Men" sheetId="80" r:id="rId25"/>
    <sheet name="Elite Men" sheetId="81" r:id="rId26"/>
    <sheet name="Sub Vet Men" sheetId="82" r:id="rId27"/>
    <sheet name="Vet Men" sheetId="83" r:id="rId28"/>
    <sheet name="Master Men" sheetId="84" r:id="rId29"/>
    <sheet name="Sprog Girls" sheetId="85" r:id="rId30"/>
    <sheet name="Junior Women" sheetId="86" r:id="rId31"/>
    <sheet name="Sub Vet Women" sheetId="87" r:id="rId32"/>
    <sheet name="Vet Women" sheetId="88" r:id="rId33"/>
    <sheet name="Master Women" sheetId="89" r:id="rId34"/>
    <sheet name="E-Bike M" sheetId="90" r:id="rId35"/>
    <sheet name="E-Bike Lite M" sheetId="91" r:id="rId36"/>
    <sheet name="Sports Lite M" sheetId="92" r:id="rId37"/>
    <sheet name="Sports Lite F" sheetId="93" r:id="rId38"/>
  </sheets>
  <functionGroups builtInGroupCount="17"/>
  <definedNames>
    <definedName name="_xlnm._FilterDatabase" localSheetId="12" hidden="1">CategoryResults!$A$2:$Z$102</definedName>
    <definedName name="_xlnm._FilterDatabase" localSheetId="11" hidden="1">OverallResults!$A$1:$X$505</definedName>
    <definedName name="_xlnm._FilterDatabase" localSheetId="15" hidden="1">'Results1-250'!$B$3:$Y$3</definedName>
    <definedName name="_xlnm._FilterDatabase" localSheetId="8" hidden="1">SavedDownload!$A$2:$BB$58</definedName>
    <definedName name="_xlnm._FilterDatabase" localSheetId="9" hidden="1">SortedDownload!$A$2:$BB$261</definedName>
    <definedName name="Colheaders">EntryList!$A$2:$T$2</definedName>
    <definedName name="_xlnm.Extract" localSheetId="12">CategoryResults!$AA$3</definedName>
    <definedName name="_xlnm.Extract" localSheetId="11">OverallResults!#REF!</definedName>
    <definedName name="_xlnm.Print_Area" localSheetId="7">DownloadResults!$A$1</definedName>
    <definedName name="_xlnm.Print_Area" localSheetId="11">OverallResults!$A$1:$R$32</definedName>
    <definedName name="_xlnm.Print_Area" localSheetId="17">PrintableResults!$B$1:$T$94</definedName>
    <definedName name="_xlnm.Print_Area" localSheetId="6">PrintedResults!$D$1:$D$18</definedName>
    <definedName name="_xlnm.Print_Area" localSheetId="15">'Results1-250'!$B$2:$BZ$53</definedName>
    <definedName name="_xlnm.Print_Area" localSheetId="8">SavedDownload!$A$1</definedName>
    <definedName name="_xlnm.Print_Area" localSheetId="9">SortedDownload!$A$1:$A$13</definedName>
    <definedName name="_xlnm.Print_Titles">PrintableResults!$5:$5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81" i="38" l="1"/>
  <c r="I282" i="38"/>
  <c r="I283" i="38"/>
  <c r="BB86" i="20"/>
  <c r="BA86" i="20"/>
  <c r="U86" i="20" s="1"/>
  <c r="AC86" i="20" s="1"/>
  <c r="AZ86" i="20"/>
  <c r="AY86" i="20"/>
  <c r="AX86" i="20"/>
  <c r="AW86" i="20"/>
  <c r="AV86" i="20"/>
  <c r="AU86" i="20"/>
  <c r="V86" i="20"/>
  <c r="AD86" i="20" s="1"/>
  <c r="T86" i="20"/>
  <c r="AB86" i="20" s="1"/>
  <c r="B86" i="20"/>
  <c r="BB272" i="31"/>
  <c r="BA272" i="31"/>
  <c r="AZ272" i="31"/>
  <c r="AY272" i="31"/>
  <c r="AX272" i="31"/>
  <c r="AW272" i="31"/>
  <c r="N272" i="31" s="1"/>
  <c r="AV272" i="31"/>
  <c r="AU272" i="31"/>
  <c r="V272" i="31"/>
  <c r="AD272" i="31" s="1"/>
  <c r="U272" i="31"/>
  <c r="AC272" i="31" s="1"/>
  <c r="T272" i="31"/>
  <c r="AB272" i="31" s="1"/>
  <c r="S272" i="31"/>
  <c r="AA272" i="31" s="1"/>
  <c r="R272" i="31"/>
  <c r="Z272" i="31" s="1"/>
  <c r="Q272" i="31"/>
  <c r="Y272" i="31" s="1"/>
  <c r="P272" i="31"/>
  <c r="X272" i="31" s="1"/>
  <c r="O272" i="31"/>
  <c r="BC272" i="31" s="1"/>
  <c r="D272" i="31"/>
  <c r="B272" i="31"/>
  <c r="N86" i="20" l="1"/>
  <c r="D86" i="20"/>
  <c r="W272" i="31"/>
  <c r="BB208" i="20"/>
  <c r="BA208" i="20"/>
  <c r="AZ208" i="20"/>
  <c r="AY208" i="20"/>
  <c r="AX208" i="20"/>
  <c r="R208" i="20" s="1"/>
  <c r="Z208" i="20" s="1"/>
  <c r="AW208" i="20"/>
  <c r="AV208" i="20"/>
  <c r="AU208" i="20"/>
  <c r="V208" i="20"/>
  <c r="AD208" i="20" s="1"/>
  <c r="U208" i="20"/>
  <c r="AC208" i="20" s="1"/>
  <c r="T208" i="20"/>
  <c r="AB208" i="20" s="1"/>
  <c r="O208" i="20"/>
  <c r="BB271" i="31"/>
  <c r="BA271" i="31"/>
  <c r="AZ271" i="31"/>
  <c r="AY271" i="31"/>
  <c r="AX271" i="31"/>
  <c r="AW271" i="31"/>
  <c r="AV271" i="31"/>
  <c r="P269" i="31" s="1"/>
  <c r="X269" i="31" s="1"/>
  <c r="AU271" i="31"/>
  <c r="V271" i="31"/>
  <c r="AD271" i="31" s="1"/>
  <c r="U271" i="31"/>
  <c r="AC271" i="31" s="1"/>
  <c r="T271" i="31"/>
  <c r="AB271" i="31" s="1"/>
  <c r="S271" i="31"/>
  <c r="AA271" i="31" s="1"/>
  <c r="R271" i="31"/>
  <c r="Z271" i="31" s="1"/>
  <c r="Q271" i="31"/>
  <c r="Y271" i="31" s="1"/>
  <c r="P271" i="31"/>
  <c r="X271" i="31" s="1"/>
  <c r="O271" i="31"/>
  <c r="BB117" i="20"/>
  <c r="BA117" i="20"/>
  <c r="AZ117" i="20"/>
  <c r="AY117" i="20"/>
  <c r="AX117" i="20"/>
  <c r="AW117" i="20"/>
  <c r="AV117" i="20"/>
  <c r="AU117" i="20"/>
  <c r="V117" i="20"/>
  <c r="AD117" i="20" s="1"/>
  <c r="U117" i="20"/>
  <c r="AC117" i="20" s="1"/>
  <c r="T117" i="20"/>
  <c r="AB117" i="20" s="1"/>
  <c r="BB270" i="31"/>
  <c r="BA270" i="31"/>
  <c r="AZ270" i="31"/>
  <c r="AY270" i="31"/>
  <c r="S269" i="31" s="1"/>
  <c r="AA269" i="31" s="1"/>
  <c r="AX270" i="31"/>
  <c r="AW270" i="31"/>
  <c r="AV270" i="31"/>
  <c r="AU270" i="31"/>
  <c r="N270" i="31" s="1"/>
  <c r="V270" i="31"/>
  <c r="AD270" i="31" s="1"/>
  <c r="U270" i="31"/>
  <c r="AC270" i="31" s="1"/>
  <c r="T270" i="31"/>
  <c r="AB270" i="31" s="1"/>
  <c r="S270" i="31"/>
  <c r="AA270" i="31" s="1"/>
  <c r="R270" i="31"/>
  <c r="Z270" i="31" s="1"/>
  <c r="Q270" i="31"/>
  <c r="Y270" i="31" s="1"/>
  <c r="O270" i="31"/>
  <c r="D270" i="31"/>
  <c r="BB121" i="20"/>
  <c r="BA121" i="20"/>
  <c r="AZ121" i="20"/>
  <c r="AY121" i="20"/>
  <c r="AX121" i="20"/>
  <c r="AW121" i="20"/>
  <c r="AV121" i="20"/>
  <c r="AU121" i="20"/>
  <c r="V121" i="20"/>
  <c r="AD121" i="20" s="1"/>
  <c r="U121" i="20"/>
  <c r="AC121" i="20" s="1"/>
  <c r="T121" i="20"/>
  <c r="AB121" i="20" s="1"/>
  <c r="BB269" i="31"/>
  <c r="BA269" i="31"/>
  <c r="AZ269" i="31"/>
  <c r="AY269" i="31"/>
  <c r="AX269" i="31"/>
  <c r="R268" i="31" s="1"/>
  <c r="Z268" i="31" s="1"/>
  <c r="AW269" i="31"/>
  <c r="AV269" i="31"/>
  <c r="AU269" i="31"/>
  <c r="V269" i="31"/>
  <c r="AD269" i="31" s="1"/>
  <c r="U269" i="31"/>
  <c r="AC269" i="31" s="1"/>
  <c r="T269" i="31"/>
  <c r="AB269" i="31" s="1"/>
  <c r="R269" i="31"/>
  <c r="Z269" i="31" s="1"/>
  <c r="Q269" i="31"/>
  <c r="Y269" i="31" s="1"/>
  <c r="O269" i="31"/>
  <c r="N269" i="31"/>
  <c r="D269" i="31"/>
  <c r="BB80" i="20"/>
  <c r="BA80" i="20"/>
  <c r="AZ80" i="20"/>
  <c r="AY80" i="20"/>
  <c r="AX80" i="20"/>
  <c r="AW80" i="20"/>
  <c r="AV80" i="20"/>
  <c r="AU80" i="20"/>
  <c r="V80" i="20"/>
  <c r="AD80" i="20" s="1"/>
  <c r="U80" i="20"/>
  <c r="AC80" i="20" s="1"/>
  <c r="T80" i="20"/>
  <c r="AB80" i="20" s="1"/>
  <c r="BB268" i="31"/>
  <c r="BA268" i="31"/>
  <c r="AZ268" i="31"/>
  <c r="AY268" i="31"/>
  <c r="AX268" i="31"/>
  <c r="AW268" i="31"/>
  <c r="AV268" i="31"/>
  <c r="AU268" i="31"/>
  <c r="V268" i="31"/>
  <c r="AD268" i="31" s="1"/>
  <c r="U268" i="31"/>
  <c r="AC268" i="31" s="1"/>
  <c r="T268" i="31"/>
  <c r="AB268" i="31" s="1"/>
  <c r="S268" i="31"/>
  <c r="AA268" i="31" s="1"/>
  <c r="Q268" i="31"/>
  <c r="Y268" i="31" s="1"/>
  <c r="O268" i="31"/>
  <c r="N268" i="31"/>
  <c r="D268" i="31"/>
  <c r="BB66" i="20"/>
  <c r="BA66" i="20"/>
  <c r="AZ66" i="20"/>
  <c r="AY66" i="20"/>
  <c r="AX66" i="20"/>
  <c r="AW66" i="20"/>
  <c r="AV66" i="20"/>
  <c r="AU66" i="20"/>
  <c r="V66" i="20"/>
  <c r="AD66" i="20" s="1"/>
  <c r="U66" i="20"/>
  <c r="AC66" i="20" s="1"/>
  <c r="T66" i="20"/>
  <c r="AB66" i="20" s="1"/>
  <c r="BB267" i="31"/>
  <c r="BA267" i="31"/>
  <c r="AZ267" i="31"/>
  <c r="AY267" i="31"/>
  <c r="AX267" i="31"/>
  <c r="AW267" i="31"/>
  <c r="AV267" i="31"/>
  <c r="AU267" i="31"/>
  <c r="V267" i="31"/>
  <c r="AD267" i="31" s="1"/>
  <c r="U267" i="31"/>
  <c r="AC267" i="31" s="1"/>
  <c r="T267" i="31"/>
  <c r="AB267" i="31" s="1"/>
  <c r="S267" i="31"/>
  <c r="AA267" i="31" s="1"/>
  <c r="Q267" i="31"/>
  <c r="Y267" i="31" s="1"/>
  <c r="O267" i="31"/>
  <c r="BB253" i="20"/>
  <c r="BA253" i="20"/>
  <c r="AZ253" i="20"/>
  <c r="AY253" i="20"/>
  <c r="AX253" i="20"/>
  <c r="R253" i="20" s="1"/>
  <c r="Z253" i="20" s="1"/>
  <c r="AW253" i="20"/>
  <c r="Q253" i="20" s="1"/>
  <c r="Y253" i="20" s="1"/>
  <c r="AV253" i="20"/>
  <c r="AU253" i="20"/>
  <c r="V253" i="20"/>
  <c r="AD253" i="20" s="1"/>
  <c r="U253" i="20"/>
  <c r="AC253" i="20" s="1"/>
  <c r="T253" i="20"/>
  <c r="AB253" i="20" s="1"/>
  <c r="O253" i="20"/>
  <c r="BB266" i="31"/>
  <c r="BA266" i="31"/>
  <c r="AZ266" i="31"/>
  <c r="AY266" i="31"/>
  <c r="AX266" i="31"/>
  <c r="AW266" i="31"/>
  <c r="AV266" i="31"/>
  <c r="AU266" i="31"/>
  <c r="N266" i="31" s="1"/>
  <c r="V266" i="31"/>
  <c r="AD266" i="31" s="1"/>
  <c r="U266" i="31"/>
  <c r="AC266" i="31" s="1"/>
  <c r="T266" i="31"/>
  <c r="AB266" i="31" s="1"/>
  <c r="S266" i="31"/>
  <c r="AA266" i="31" s="1"/>
  <c r="R266" i="31"/>
  <c r="Z266" i="31" s="1"/>
  <c r="Q266" i="31"/>
  <c r="Y266" i="31" s="1"/>
  <c r="O266" i="31"/>
  <c r="BB139" i="20"/>
  <c r="BA139" i="20"/>
  <c r="AZ139" i="20"/>
  <c r="AY139" i="20"/>
  <c r="AX139" i="20"/>
  <c r="AW139" i="20"/>
  <c r="AV139" i="20"/>
  <c r="AU139" i="20"/>
  <c r="V139" i="20"/>
  <c r="AD139" i="20" s="1"/>
  <c r="U139" i="20"/>
  <c r="AC139" i="20" s="1"/>
  <c r="T139" i="20"/>
  <c r="AB139" i="20" s="1"/>
  <c r="O139" i="20"/>
  <c r="BB265" i="31"/>
  <c r="BA265" i="31"/>
  <c r="AZ265" i="31"/>
  <c r="AY265" i="31"/>
  <c r="AX265" i="31"/>
  <c r="AW265" i="31"/>
  <c r="AV265" i="31"/>
  <c r="AU265" i="31"/>
  <c r="V265" i="31"/>
  <c r="AD265" i="31" s="1"/>
  <c r="U265" i="31"/>
  <c r="AC265" i="31" s="1"/>
  <c r="T265" i="31"/>
  <c r="AB265" i="31" s="1"/>
  <c r="S265" i="31"/>
  <c r="AA265" i="31" s="1"/>
  <c r="R265" i="31"/>
  <c r="Z265" i="31" s="1"/>
  <c r="Q265" i="31"/>
  <c r="Y265" i="31" s="1"/>
  <c r="O265" i="31"/>
  <c r="N265" i="31"/>
  <c r="D265" i="31"/>
  <c r="BB128" i="20"/>
  <c r="BA128" i="20"/>
  <c r="AZ128" i="20"/>
  <c r="AY128" i="20"/>
  <c r="AX128" i="20"/>
  <c r="AW128" i="20"/>
  <c r="AV128" i="20"/>
  <c r="AU128" i="20"/>
  <c r="V128" i="20"/>
  <c r="AD128" i="20" s="1"/>
  <c r="U128" i="20"/>
  <c r="AC128" i="20" s="1"/>
  <c r="T128" i="20"/>
  <c r="AB128" i="20" s="1"/>
  <c r="BB264" i="31"/>
  <c r="BA264" i="31"/>
  <c r="AZ264" i="31"/>
  <c r="AY264" i="31"/>
  <c r="AX264" i="31"/>
  <c r="AW264" i="31"/>
  <c r="AV264" i="31"/>
  <c r="AU264" i="31"/>
  <c r="V264" i="31"/>
  <c r="AD264" i="31" s="1"/>
  <c r="U264" i="31"/>
  <c r="AC264" i="31" s="1"/>
  <c r="T264" i="31"/>
  <c r="AB264" i="31" s="1"/>
  <c r="S264" i="31"/>
  <c r="AA264" i="31" s="1"/>
  <c r="R264" i="31"/>
  <c r="Z264" i="31" s="1"/>
  <c r="Q264" i="31"/>
  <c r="Y264" i="31" s="1"/>
  <c r="O264" i="31"/>
  <c r="N264" i="31"/>
  <c r="D264" i="31"/>
  <c r="BB72" i="20"/>
  <c r="BA72" i="20"/>
  <c r="AZ72" i="20"/>
  <c r="AY72" i="20"/>
  <c r="AX72" i="20"/>
  <c r="AW72" i="20"/>
  <c r="AV72" i="20"/>
  <c r="AU72" i="20"/>
  <c r="V72" i="20"/>
  <c r="AD72" i="20" s="1"/>
  <c r="U72" i="20"/>
  <c r="AC72" i="20" s="1"/>
  <c r="T72" i="20"/>
  <c r="AB72" i="20" s="1"/>
  <c r="BB263" i="31"/>
  <c r="BA263" i="31"/>
  <c r="AZ263" i="31"/>
  <c r="AY263" i="31"/>
  <c r="AX263" i="31"/>
  <c r="AW263" i="31"/>
  <c r="AV263" i="31"/>
  <c r="AU263" i="31"/>
  <c r="N263" i="31" s="1"/>
  <c r="V263" i="31"/>
  <c r="AD263" i="31" s="1"/>
  <c r="U263" i="31"/>
  <c r="AC263" i="31" s="1"/>
  <c r="T263" i="31"/>
  <c r="AB263" i="31" s="1"/>
  <c r="S263" i="31"/>
  <c r="AA263" i="31" s="1"/>
  <c r="R263" i="31"/>
  <c r="Z263" i="31" s="1"/>
  <c r="Q263" i="31"/>
  <c r="Y263" i="31" s="1"/>
  <c r="P263" i="31"/>
  <c r="X263" i="31" s="1"/>
  <c r="O263" i="31"/>
  <c r="BB131" i="20"/>
  <c r="BA131" i="20"/>
  <c r="AZ131" i="20"/>
  <c r="AY131" i="20"/>
  <c r="AX131" i="20"/>
  <c r="AW131" i="20"/>
  <c r="AV131" i="20"/>
  <c r="AU131" i="20"/>
  <c r="V131" i="20"/>
  <c r="AD131" i="20" s="1"/>
  <c r="U131" i="20"/>
  <c r="AC131" i="20" s="1"/>
  <c r="T131" i="20"/>
  <c r="AB131" i="20" s="1"/>
  <c r="BB262" i="31"/>
  <c r="BA262" i="31"/>
  <c r="AZ262" i="31"/>
  <c r="AY262" i="31"/>
  <c r="AX262" i="31"/>
  <c r="AW262" i="31"/>
  <c r="AV262" i="31"/>
  <c r="N262" i="31" s="1"/>
  <c r="AU262" i="31"/>
  <c r="V262" i="31"/>
  <c r="AD262" i="31" s="1"/>
  <c r="U262" i="31"/>
  <c r="AC262" i="31" s="1"/>
  <c r="T262" i="31"/>
  <c r="AB262" i="31" s="1"/>
  <c r="S262" i="31"/>
  <c r="AA262" i="31" s="1"/>
  <c r="R262" i="31"/>
  <c r="Z262" i="31" s="1"/>
  <c r="Q262" i="31"/>
  <c r="Y262" i="31" s="1"/>
  <c r="O262" i="31"/>
  <c r="BB73" i="20"/>
  <c r="BA73" i="20"/>
  <c r="AZ73" i="20"/>
  <c r="AY73" i="20"/>
  <c r="AX73" i="20"/>
  <c r="AW73" i="20"/>
  <c r="AV73" i="20"/>
  <c r="AU73" i="20"/>
  <c r="V73" i="20"/>
  <c r="AD73" i="20" s="1"/>
  <c r="U73" i="20"/>
  <c r="AC73" i="20" s="1"/>
  <c r="T73" i="20"/>
  <c r="AB73" i="20" s="1"/>
  <c r="BB261" i="31"/>
  <c r="BA261" i="31"/>
  <c r="AZ261" i="31"/>
  <c r="AY261" i="31"/>
  <c r="AX261" i="31"/>
  <c r="AW261" i="31"/>
  <c r="AV261" i="31"/>
  <c r="AU261" i="31"/>
  <c r="V261" i="31"/>
  <c r="AD261" i="31" s="1"/>
  <c r="U261" i="31"/>
  <c r="AC261" i="31" s="1"/>
  <c r="T261" i="31"/>
  <c r="AB261" i="31" s="1"/>
  <c r="S261" i="31"/>
  <c r="AA261" i="31" s="1"/>
  <c r="R261" i="31"/>
  <c r="Z261" i="31" s="1"/>
  <c r="Q261" i="31"/>
  <c r="Y261" i="31" s="1"/>
  <c r="O261" i="31"/>
  <c r="N261" i="31"/>
  <c r="D261" i="31"/>
  <c r="BB75" i="20"/>
  <c r="BA75" i="20"/>
  <c r="AZ75" i="20"/>
  <c r="AY75" i="20"/>
  <c r="AX75" i="20"/>
  <c r="AW75" i="20"/>
  <c r="AV75" i="20"/>
  <c r="AU75" i="20"/>
  <c r="V75" i="20"/>
  <c r="AD75" i="20" s="1"/>
  <c r="U75" i="20"/>
  <c r="AC75" i="20" s="1"/>
  <c r="T75" i="20"/>
  <c r="AB75" i="20" s="1"/>
  <c r="BB260" i="31"/>
  <c r="BA260" i="31"/>
  <c r="AZ260" i="31"/>
  <c r="AY260" i="31"/>
  <c r="AX260" i="31"/>
  <c r="AW260" i="31"/>
  <c r="AV260" i="31"/>
  <c r="AU260" i="31"/>
  <c r="V260" i="31"/>
  <c r="AD260" i="31" s="1"/>
  <c r="U260" i="31"/>
  <c r="AC260" i="31" s="1"/>
  <c r="T260" i="31"/>
  <c r="AB260" i="31" s="1"/>
  <c r="S260" i="31"/>
  <c r="AA260" i="31" s="1"/>
  <c r="R260" i="31"/>
  <c r="Z260" i="31" s="1"/>
  <c r="Q260" i="31"/>
  <c r="Y260" i="31" s="1"/>
  <c r="O260" i="31"/>
  <c r="N260" i="31"/>
  <c r="D260" i="31"/>
  <c r="BB49" i="20"/>
  <c r="BA49" i="20"/>
  <c r="AZ49" i="20"/>
  <c r="AY49" i="20"/>
  <c r="AX49" i="20"/>
  <c r="AW49" i="20"/>
  <c r="AV49" i="20"/>
  <c r="AU49" i="20"/>
  <c r="V49" i="20"/>
  <c r="AD49" i="20" s="1"/>
  <c r="U49" i="20"/>
  <c r="AC49" i="20" s="1"/>
  <c r="T49" i="20"/>
  <c r="AB49" i="20" s="1"/>
  <c r="BB259" i="31"/>
  <c r="BA259" i="31"/>
  <c r="AZ259" i="31"/>
  <c r="AY259" i="31"/>
  <c r="AX259" i="31"/>
  <c r="R258" i="31" s="1"/>
  <c r="Z258" i="31" s="1"/>
  <c r="AW259" i="31"/>
  <c r="AV259" i="31"/>
  <c r="AU259" i="31"/>
  <c r="V259" i="31"/>
  <c r="AD259" i="31" s="1"/>
  <c r="U259" i="31"/>
  <c r="AC259" i="31" s="1"/>
  <c r="T259" i="31"/>
  <c r="AB259" i="31" s="1"/>
  <c r="S259" i="31"/>
  <c r="AA259" i="31" s="1"/>
  <c r="R259" i="31"/>
  <c r="Z259" i="31" s="1"/>
  <c r="Q259" i="31"/>
  <c r="Y259" i="31" s="1"/>
  <c r="O259" i="31"/>
  <c r="N259" i="31"/>
  <c r="D259" i="31"/>
  <c r="BB126" i="20"/>
  <c r="BA126" i="20"/>
  <c r="AZ126" i="20"/>
  <c r="AY126" i="20"/>
  <c r="AX126" i="20"/>
  <c r="AW126" i="20"/>
  <c r="AV126" i="20"/>
  <c r="AU126" i="20"/>
  <c r="V126" i="20"/>
  <c r="AD126" i="20" s="1"/>
  <c r="U126" i="20"/>
  <c r="AC126" i="20" s="1"/>
  <c r="T126" i="20"/>
  <c r="AB126" i="20" s="1"/>
  <c r="BB258" i="31"/>
  <c r="BA258" i="31"/>
  <c r="AZ258" i="31"/>
  <c r="AY258" i="31"/>
  <c r="AX258" i="31"/>
  <c r="AW258" i="31"/>
  <c r="AV258" i="31"/>
  <c r="AU258" i="31"/>
  <c r="V258" i="31"/>
  <c r="AD258" i="31" s="1"/>
  <c r="U258" i="31"/>
  <c r="AC258" i="31" s="1"/>
  <c r="T258" i="31"/>
  <c r="AB258" i="31" s="1"/>
  <c r="S258" i="31"/>
  <c r="AA258" i="31" s="1"/>
  <c r="Q258" i="31"/>
  <c r="Y258" i="31" s="1"/>
  <c r="P258" i="31"/>
  <c r="X258" i="31" s="1"/>
  <c r="O258" i="31"/>
  <c r="N258" i="31"/>
  <c r="D258" i="31"/>
  <c r="BB94" i="20"/>
  <c r="BA94" i="20"/>
  <c r="AZ94" i="20"/>
  <c r="AY94" i="20"/>
  <c r="AX94" i="20"/>
  <c r="AW94" i="20"/>
  <c r="AV94" i="20"/>
  <c r="AU94" i="20"/>
  <c r="V94" i="20"/>
  <c r="AD94" i="20" s="1"/>
  <c r="U94" i="20"/>
  <c r="AC94" i="20" s="1"/>
  <c r="T94" i="20"/>
  <c r="AB94" i="20" s="1"/>
  <c r="BB257" i="31"/>
  <c r="BA257" i="31"/>
  <c r="AZ257" i="31"/>
  <c r="AY257" i="31"/>
  <c r="AX257" i="31"/>
  <c r="AW257" i="31"/>
  <c r="AV257" i="31"/>
  <c r="AU257" i="31"/>
  <c r="V257" i="31"/>
  <c r="AD257" i="31" s="1"/>
  <c r="U257" i="31"/>
  <c r="AC257" i="31" s="1"/>
  <c r="T257" i="31"/>
  <c r="AB257" i="31" s="1"/>
  <c r="S257" i="31"/>
  <c r="AA257" i="31" s="1"/>
  <c r="R257" i="31"/>
  <c r="Z257" i="31" s="1"/>
  <c r="Q257" i="31"/>
  <c r="Y257" i="31" s="1"/>
  <c r="O257" i="31"/>
  <c r="N257" i="31"/>
  <c r="D257" i="31"/>
  <c r="BB129" i="20"/>
  <c r="BA129" i="20"/>
  <c r="U129" i="20" s="1"/>
  <c r="AC129" i="20" s="1"/>
  <c r="AZ129" i="20"/>
  <c r="T129" i="20" s="1"/>
  <c r="AB129" i="20" s="1"/>
  <c r="AY129" i="20"/>
  <c r="AX129" i="20"/>
  <c r="AW129" i="20"/>
  <c r="AV129" i="20"/>
  <c r="AU129" i="20"/>
  <c r="V129" i="20"/>
  <c r="AD129" i="20" s="1"/>
  <c r="BB256" i="31"/>
  <c r="BA256" i="31"/>
  <c r="AZ256" i="31"/>
  <c r="AY256" i="31"/>
  <c r="AX256" i="31"/>
  <c r="AW256" i="31"/>
  <c r="AV256" i="31"/>
  <c r="AU256" i="31"/>
  <c r="V256" i="31"/>
  <c r="AD256" i="31" s="1"/>
  <c r="U256" i="31"/>
  <c r="AC256" i="31" s="1"/>
  <c r="T256" i="31"/>
  <c r="AB256" i="31" s="1"/>
  <c r="S256" i="31"/>
  <c r="AA256" i="31" s="1"/>
  <c r="R256" i="31"/>
  <c r="Z256" i="31" s="1"/>
  <c r="Q256" i="31"/>
  <c r="Y256" i="31" s="1"/>
  <c r="P256" i="31"/>
  <c r="X256" i="31" s="1"/>
  <c r="O256" i="31"/>
  <c r="N256" i="31"/>
  <c r="D256" i="31"/>
  <c r="BB81" i="20"/>
  <c r="BA81" i="20"/>
  <c r="AZ81" i="20"/>
  <c r="AY81" i="20"/>
  <c r="AX81" i="20"/>
  <c r="AW81" i="20"/>
  <c r="AV81" i="20"/>
  <c r="AU81" i="20"/>
  <c r="V81" i="20"/>
  <c r="AD81" i="20" s="1"/>
  <c r="U81" i="20"/>
  <c r="AC81" i="20" s="1"/>
  <c r="T81" i="20"/>
  <c r="AB81" i="20" s="1"/>
  <c r="BB255" i="31"/>
  <c r="BA255" i="31"/>
  <c r="AZ255" i="31"/>
  <c r="AY255" i="31"/>
  <c r="AX255" i="31"/>
  <c r="AW255" i="31"/>
  <c r="AV255" i="31"/>
  <c r="AU255" i="31"/>
  <c r="V255" i="31"/>
  <c r="AD255" i="31" s="1"/>
  <c r="U255" i="31"/>
  <c r="AC255" i="31" s="1"/>
  <c r="T255" i="31"/>
  <c r="AB255" i="31" s="1"/>
  <c r="S255" i="31"/>
  <c r="AA255" i="31" s="1"/>
  <c r="R255" i="31"/>
  <c r="Z255" i="31" s="1"/>
  <c r="Q255" i="31"/>
  <c r="Y255" i="31" s="1"/>
  <c r="P255" i="31"/>
  <c r="X255" i="31" s="1"/>
  <c r="O255" i="31"/>
  <c r="N255" i="31"/>
  <c r="D255" i="31"/>
  <c r="BB132" i="20"/>
  <c r="BA132" i="20"/>
  <c r="AZ132" i="20"/>
  <c r="AY132" i="20"/>
  <c r="AX132" i="20"/>
  <c r="AW132" i="20"/>
  <c r="AV132" i="20"/>
  <c r="AU132" i="20"/>
  <c r="V132" i="20"/>
  <c r="AD132" i="20" s="1"/>
  <c r="U132" i="20"/>
  <c r="AC132" i="20" s="1"/>
  <c r="T132" i="20"/>
  <c r="AB132" i="20" s="1"/>
  <c r="BB254" i="31"/>
  <c r="BA254" i="31"/>
  <c r="AZ254" i="31"/>
  <c r="AY254" i="31"/>
  <c r="S253" i="31" s="1"/>
  <c r="AA253" i="31" s="1"/>
  <c r="AX254" i="31"/>
  <c r="AW254" i="31"/>
  <c r="AV254" i="31"/>
  <c r="AU254" i="31"/>
  <c r="N254" i="31" s="1"/>
  <c r="V254" i="31"/>
  <c r="AD254" i="31" s="1"/>
  <c r="U254" i="31"/>
  <c r="AC254" i="31" s="1"/>
  <c r="T254" i="31"/>
  <c r="AB254" i="31" s="1"/>
  <c r="S254" i="31"/>
  <c r="AA254" i="31" s="1"/>
  <c r="R254" i="31"/>
  <c r="Z254" i="31" s="1"/>
  <c r="Q254" i="31"/>
  <c r="Y254" i="31" s="1"/>
  <c r="P254" i="31"/>
  <c r="X254" i="31" s="1"/>
  <c r="O254" i="31"/>
  <c r="BB88" i="20"/>
  <c r="BA88" i="20"/>
  <c r="AZ88" i="20"/>
  <c r="AY88" i="20"/>
  <c r="AX88" i="20"/>
  <c r="AW88" i="20"/>
  <c r="AV88" i="20"/>
  <c r="AU88" i="20"/>
  <c r="V88" i="20"/>
  <c r="AD88" i="20" s="1"/>
  <c r="U88" i="20"/>
  <c r="AC88" i="20" s="1"/>
  <c r="T88" i="20"/>
  <c r="AB88" i="20" s="1"/>
  <c r="BB253" i="31"/>
  <c r="BA253" i="31"/>
  <c r="AZ253" i="31"/>
  <c r="AY253" i="31"/>
  <c r="AX253" i="31"/>
  <c r="AW253" i="31"/>
  <c r="AV253" i="31"/>
  <c r="AU253" i="31"/>
  <c r="V253" i="31"/>
  <c r="AD253" i="31" s="1"/>
  <c r="U253" i="31"/>
  <c r="AC253" i="31" s="1"/>
  <c r="T253" i="31"/>
  <c r="AB253" i="31" s="1"/>
  <c r="R253" i="31"/>
  <c r="Z253" i="31" s="1"/>
  <c r="Q253" i="31"/>
  <c r="Y253" i="31" s="1"/>
  <c r="P253" i="31"/>
  <c r="X253" i="31" s="1"/>
  <c r="N253" i="31"/>
  <c r="D253" i="31"/>
  <c r="BB206" i="20"/>
  <c r="BA206" i="20"/>
  <c r="AZ206" i="20"/>
  <c r="AY206" i="20"/>
  <c r="AX206" i="20"/>
  <c r="AW206" i="20"/>
  <c r="AV206" i="20"/>
  <c r="P206" i="20" s="1"/>
  <c r="X206" i="20" s="1"/>
  <c r="AU206" i="20"/>
  <c r="V206" i="20"/>
  <c r="AD206" i="20" s="1"/>
  <c r="U206" i="20"/>
  <c r="AC206" i="20" s="1"/>
  <c r="T206" i="20"/>
  <c r="AB206" i="20" s="1"/>
  <c r="S206" i="20"/>
  <c r="AA206" i="20" s="1"/>
  <c r="BB252" i="31"/>
  <c r="BA252" i="31"/>
  <c r="AZ252" i="31"/>
  <c r="AY252" i="31"/>
  <c r="AX252" i="31"/>
  <c r="AW252" i="31"/>
  <c r="AV252" i="31"/>
  <c r="AU252" i="31"/>
  <c r="N252" i="31" s="1"/>
  <c r="V252" i="31"/>
  <c r="AD252" i="31" s="1"/>
  <c r="U252" i="31"/>
  <c r="AC252" i="31" s="1"/>
  <c r="T252" i="31"/>
  <c r="AB252" i="31" s="1"/>
  <c r="S252" i="31"/>
  <c r="AA252" i="31" s="1"/>
  <c r="R252" i="31"/>
  <c r="Z252" i="31" s="1"/>
  <c r="Q252" i="31"/>
  <c r="Y252" i="31" s="1"/>
  <c r="P252" i="31"/>
  <c r="X252" i="31" s="1"/>
  <c r="O252" i="31"/>
  <c r="BB115" i="20"/>
  <c r="BA115" i="20"/>
  <c r="AZ115" i="20"/>
  <c r="AY115" i="20"/>
  <c r="AX115" i="20"/>
  <c r="AW115" i="20"/>
  <c r="AV115" i="20"/>
  <c r="AU115" i="20"/>
  <c r="V115" i="20"/>
  <c r="AD115" i="20" s="1"/>
  <c r="U115" i="20"/>
  <c r="AC115" i="20" s="1"/>
  <c r="T115" i="20"/>
  <c r="AB115" i="20" s="1"/>
  <c r="BB251" i="31"/>
  <c r="BA251" i="31"/>
  <c r="AZ251" i="31"/>
  <c r="AY251" i="31"/>
  <c r="AX251" i="31"/>
  <c r="AW251" i="31"/>
  <c r="AV251" i="31"/>
  <c r="N251" i="31" s="1"/>
  <c r="AU251" i="31"/>
  <c r="V251" i="31"/>
  <c r="AD251" i="31" s="1"/>
  <c r="U251" i="31"/>
  <c r="AC251" i="31" s="1"/>
  <c r="T251" i="31"/>
  <c r="AB251" i="31" s="1"/>
  <c r="R251" i="31"/>
  <c r="Z251" i="31" s="1"/>
  <c r="Q251" i="31"/>
  <c r="Y251" i="31" s="1"/>
  <c r="P251" i="31"/>
  <c r="X251" i="31" s="1"/>
  <c r="BB165" i="20"/>
  <c r="BA165" i="20"/>
  <c r="AZ165" i="20"/>
  <c r="AY165" i="20"/>
  <c r="AX165" i="20"/>
  <c r="R165" i="20" s="1"/>
  <c r="Z165" i="20" s="1"/>
  <c r="AW165" i="20"/>
  <c r="AV165" i="20"/>
  <c r="AU165" i="20"/>
  <c r="V165" i="20"/>
  <c r="AD165" i="20" s="1"/>
  <c r="U165" i="20"/>
  <c r="AC165" i="20" s="1"/>
  <c r="T165" i="20"/>
  <c r="AB165" i="20" s="1"/>
  <c r="O165" i="20"/>
  <c r="BB250" i="31"/>
  <c r="BA250" i="31"/>
  <c r="AZ250" i="31"/>
  <c r="AY250" i="31"/>
  <c r="AX250" i="31"/>
  <c r="AW250" i="31"/>
  <c r="AV250" i="31"/>
  <c r="AU250" i="31"/>
  <c r="V250" i="31"/>
  <c r="AD250" i="31" s="1"/>
  <c r="U250" i="31"/>
  <c r="AC250" i="31" s="1"/>
  <c r="T250" i="31"/>
  <c r="AB250" i="31" s="1"/>
  <c r="R250" i="31"/>
  <c r="Z250" i="31" s="1"/>
  <c r="Q250" i="31"/>
  <c r="Y250" i="31" s="1"/>
  <c r="P250" i="31"/>
  <c r="X250" i="31" s="1"/>
  <c r="O250" i="31"/>
  <c r="N250" i="31"/>
  <c r="D250" i="31"/>
  <c r="BB231" i="20"/>
  <c r="BA231" i="20"/>
  <c r="AZ231" i="20"/>
  <c r="AY231" i="20"/>
  <c r="AX231" i="20"/>
  <c r="R231" i="20" s="1"/>
  <c r="Z231" i="20" s="1"/>
  <c r="AW231" i="20"/>
  <c r="AV231" i="20"/>
  <c r="AU231" i="20"/>
  <c r="V231" i="20"/>
  <c r="AD231" i="20" s="1"/>
  <c r="U231" i="20"/>
  <c r="AC231" i="20" s="1"/>
  <c r="T231" i="20"/>
  <c r="AB231" i="20" s="1"/>
  <c r="O231" i="20"/>
  <c r="BB249" i="31"/>
  <c r="BA249" i="31"/>
  <c r="AZ249" i="31"/>
  <c r="AY249" i="31"/>
  <c r="AX249" i="31"/>
  <c r="AW249" i="31"/>
  <c r="AV249" i="31"/>
  <c r="N249" i="31" s="1"/>
  <c r="AU249" i="31"/>
  <c r="V249" i="31"/>
  <c r="AD249" i="31" s="1"/>
  <c r="U249" i="31"/>
  <c r="AC249" i="31" s="1"/>
  <c r="T249" i="31"/>
  <c r="AB249" i="31" s="1"/>
  <c r="S249" i="31"/>
  <c r="AA249" i="31" s="1"/>
  <c r="R249" i="31"/>
  <c r="Z249" i="31" s="1"/>
  <c r="Q249" i="31"/>
  <c r="Y249" i="31" s="1"/>
  <c r="P249" i="31"/>
  <c r="X249" i="31" s="1"/>
  <c r="O249" i="31"/>
  <c r="D249" i="31"/>
  <c r="BB232" i="20"/>
  <c r="BA232" i="20"/>
  <c r="AZ232" i="20"/>
  <c r="T232" i="20" s="1"/>
  <c r="AB232" i="20" s="1"/>
  <c r="AY232" i="20"/>
  <c r="AX232" i="20"/>
  <c r="R232" i="20" s="1"/>
  <c r="Z232" i="20" s="1"/>
  <c r="AW232" i="20"/>
  <c r="AV232" i="20"/>
  <c r="AU232" i="20"/>
  <c r="O232" i="20" s="1"/>
  <c r="V232" i="20"/>
  <c r="AD232" i="20" s="1"/>
  <c r="U232" i="20"/>
  <c r="AC232" i="20" s="1"/>
  <c r="BB248" i="31"/>
  <c r="BA248" i="31"/>
  <c r="AZ248" i="31"/>
  <c r="AY248" i="31"/>
  <c r="AX248" i="31"/>
  <c r="AW248" i="31"/>
  <c r="AV248" i="31"/>
  <c r="N248" i="31" s="1"/>
  <c r="AU248" i="31"/>
  <c r="V248" i="31"/>
  <c r="AD248" i="31" s="1"/>
  <c r="U248" i="31"/>
  <c r="AC248" i="31" s="1"/>
  <c r="T248" i="31"/>
  <c r="AB248" i="31" s="1"/>
  <c r="S248" i="31"/>
  <c r="AA248" i="31" s="1"/>
  <c r="R248" i="31"/>
  <c r="Z248" i="31" s="1"/>
  <c r="Q248" i="31"/>
  <c r="Y248" i="31" s="1"/>
  <c r="P248" i="31"/>
  <c r="X248" i="31" s="1"/>
  <c r="O248" i="31"/>
  <c r="BB250" i="20"/>
  <c r="BA250" i="20"/>
  <c r="AZ250" i="20"/>
  <c r="AY250" i="20"/>
  <c r="AX250" i="20"/>
  <c r="AW250" i="20"/>
  <c r="AV250" i="20"/>
  <c r="AU250" i="20"/>
  <c r="V250" i="20"/>
  <c r="AD250" i="20" s="1"/>
  <c r="U250" i="20"/>
  <c r="AC250" i="20" s="1"/>
  <c r="T250" i="20"/>
  <c r="AB250" i="20" s="1"/>
  <c r="S250" i="20"/>
  <c r="AA250" i="20" s="1"/>
  <c r="R250" i="20"/>
  <c r="Z250" i="20" s="1"/>
  <c r="Q250" i="20"/>
  <c r="Y250" i="20" s="1"/>
  <c r="BB247" i="31"/>
  <c r="BA247" i="31"/>
  <c r="AZ247" i="31"/>
  <c r="AY247" i="31"/>
  <c r="AX247" i="31"/>
  <c r="AW247" i="31"/>
  <c r="AV247" i="31"/>
  <c r="AU247" i="31"/>
  <c r="V247" i="31"/>
  <c r="AD247" i="31" s="1"/>
  <c r="U247" i="31"/>
  <c r="AC247" i="31" s="1"/>
  <c r="T247" i="31"/>
  <c r="AB247" i="31" s="1"/>
  <c r="S247" i="31"/>
  <c r="AA247" i="31" s="1"/>
  <c r="R247" i="31"/>
  <c r="Z247" i="31" s="1"/>
  <c r="Q247" i="31"/>
  <c r="Y247" i="31" s="1"/>
  <c r="P247" i="31"/>
  <c r="X247" i="31" s="1"/>
  <c r="O247" i="31"/>
  <c r="N247" i="31"/>
  <c r="D247" i="31"/>
  <c r="BB230" i="20"/>
  <c r="BA230" i="20"/>
  <c r="AZ230" i="20"/>
  <c r="AY230" i="20"/>
  <c r="AX230" i="20"/>
  <c r="R230" i="20" s="1"/>
  <c r="Z230" i="20" s="1"/>
  <c r="AW230" i="20"/>
  <c r="AV230" i="20"/>
  <c r="AU230" i="20"/>
  <c r="V230" i="20"/>
  <c r="AD230" i="20" s="1"/>
  <c r="U230" i="20"/>
  <c r="AC230" i="20" s="1"/>
  <c r="T230" i="20"/>
  <c r="AB230" i="20" s="1"/>
  <c r="O230" i="20"/>
  <c r="BB246" i="31"/>
  <c r="BA246" i="31"/>
  <c r="AZ246" i="31"/>
  <c r="AY246" i="31"/>
  <c r="AX246" i="31"/>
  <c r="AW246" i="31"/>
  <c r="AV246" i="31"/>
  <c r="N246" i="31" s="1"/>
  <c r="AU246" i="31"/>
  <c r="V246" i="31"/>
  <c r="AD246" i="31" s="1"/>
  <c r="U246" i="31"/>
  <c r="AC246" i="31" s="1"/>
  <c r="T246" i="31"/>
  <c r="AB246" i="31" s="1"/>
  <c r="S246" i="31"/>
  <c r="AA246" i="31" s="1"/>
  <c r="R246" i="31"/>
  <c r="Z246" i="31" s="1"/>
  <c r="Q246" i="31"/>
  <c r="Y246" i="31" s="1"/>
  <c r="P246" i="31"/>
  <c r="X246" i="31" s="1"/>
  <c r="O246" i="31"/>
  <c r="D246" i="31"/>
  <c r="BB245" i="31"/>
  <c r="BA245" i="31"/>
  <c r="AZ245" i="31"/>
  <c r="AY245" i="31"/>
  <c r="AX245" i="31"/>
  <c r="AW245" i="31"/>
  <c r="AV245" i="31"/>
  <c r="AU245" i="31"/>
  <c r="D245" i="31" s="1"/>
  <c r="V245" i="31"/>
  <c r="AD245" i="31" s="1"/>
  <c r="U245" i="31"/>
  <c r="AC245" i="31" s="1"/>
  <c r="T245" i="31"/>
  <c r="AB245" i="31" s="1"/>
  <c r="S245" i="31"/>
  <c r="AA245" i="31" s="1"/>
  <c r="R245" i="31"/>
  <c r="Z245" i="31" s="1"/>
  <c r="Q245" i="31"/>
  <c r="Y245" i="31" s="1"/>
  <c r="P245" i="31"/>
  <c r="X245" i="31" s="1"/>
  <c r="O245" i="31"/>
  <c r="N245" i="31"/>
  <c r="BB244" i="31"/>
  <c r="BA244" i="31"/>
  <c r="AZ244" i="31"/>
  <c r="AY244" i="31"/>
  <c r="AX244" i="31"/>
  <c r="AW244" i="31"/>
  <c r="AV244" i="31"/>
  <c r="AU244" i="31"/>
  <c r="V244" i="31"/>
  <c r="AD244" i="31" s="1"/>
  <c r="U244" i="31"/>
  <c r="AC244" i="31" s="1"/>
  <c r="T244" i="31"/>
  <c r="AB244" i="31" s="1"/>
  <c r="S244" i="31"/>
  <c r="AA244" i="31" s="1"/>
  <c r="R244" i="31"/>
  <c r="Z244" i="31" s="1"/>
  <c r="Q244" i="31"/>
  <c r="Y244" i="31" s="1"/>
  <c r="P244" i="31"/>
  <c r="X244" i="31" s="1"/>
  <c r="O244" i="31"/>
  <c r="N244" i="31"/>
  <c r="D244" i="31"/>
  <c r="BB116" i="20"/>
  <c r="BA116" i="20"/>
  <c r="AZ116" i="20"/>
  <c r="T116" i="20" s="1"/>
  <c r="AB116" i="20" s="1"/>
  <c r="AY116" i="20"/>
  <c r="AX116" i="20"/>
  <c r="AW116" i="20"/>
  <c r="AV116" i="20"/>
  <c r="AU116" i="20"/>
  <c r="V116" i="20"/>
  <c r="AD116" i="20" s="1"/>
  <c r="U116" i="20"/>
  <c r="AC116" i="20" s="1"/>
  <c r="BB243" i="31"/>
  <c r="BA243" i="31"/>
  <c r="AZ243" i="31"/>
  <c r="AY243" i="31"/>
  <c r="AX243" i="31"/>
  <c r="AW243" i="31"/>
  <c r="AV243" i="31"/>
  <c r="AU243" i="31"/>
  <c r="V243" i="31"/>
  <c r="AD243" i="31" s="1"/>
  <c r="U243" i="31"/>
  <c r="AC243" i="31" s="1"/>
  <c r="T243" i="31"/>
  <c r="AB243" i="31" s="1"/>
  <c r="S243" i="31"/>
  <c r="AA243" i="31" s="1"/>
  <c r="R243" i="31"/>
  <c r="Z243" i="31" s="1"/>
  <c r="Q243" i="31"/>
  <c r="Y243" i="31" s="1"/>
  <c r="P243" i="31"/>
  <c r="X243" i="31" s="1"/>
  <c r="O243" i="31"/>
  <c r="N243" i="31"/>
  <c r="D243" i="31"/>
  <c r="BB130" i="20"/>
  <c r="BA130" i="20"/>
  <c r="AZ130" i="20"/>
  <c r="AY130" i="20"/>
  <c r="AX130" i="20"/>
  <c r="AW130" i="20"/>
  <c r="AV130" i="20"/>
  <c r="AU130" i="20"/>
  <c r="V130" i="20"/>
  <c r="AD130" i="20" s="1"/>
  <c r="U130" i="20"/>
  <c r="AC130" i="20" s="1"/>
  <c r="T130" i="20"/>
  <c r="AB130" i="20" s="1"/>
  <c r="BB242" i="31"/>
  <c r="BA242" i="31"/>
  <c r="AZ242" i="31"/>
  <c r="AY242" i="31"/>
  <c r="AX242" i="31"/>
  <c r="AW242" i="31"/>
  <c r="AV242" i="31"/>
  <c r="AU242" i="31"/>
  <c r="V242" i="31"/>
  <c r="AD242" i="31" s="1"/>
  <c r="U242" i="31"/>
  <c r="AC242" i="31" s="1"/>
  <c r="T242" i="31"/>
  <c r="AB242" i="31" s="1"/>
  <c r="S242" i="31"/>
  <c r="AA242" i="31" s="1"/>
  <c r="R242" i="31"/>
  <c r="Z242" i="31" s="1"/>
  <c r="Q242" i="31"/>
  <c r="Y242" i="31" s="1"/>
  <c r="P242" i="31"/>
  <c r="X242" i="31" s="1"/>
  <c r="O242" i="31"/>
  <c r="N242" i="31"/>
  <c r="D242" i="31"/>
  <c r="BB108" i="20"/>
  <c r="BA108" i="20"/>
  <c r="AZ108" i="20"/>
  <c r="AY108" i="20"/>
  <c r="AX108" i="20"/>
  <c r="AW108" i="20"/>
  <c r="AV108" i="20"/>
  <c r="AU108" i="20"/>
  <c r="V108" i="20"/>
  <c r="AD108" i="20" s="1"/>
  <c r="U108" i="20"/>
  <c r="AC108" i="20" s="1"/>
  <c r="T108" i="20"/>
  <c r="AB108" i="20" s="1"/>
  <c r="BB241" i="31"/>
  <c r="BA241" i="31"/>
  <c r="AZ241" i="31"/>
  <c r="AY241" i="31"/>
  <c r="AX241" i="31"/>
  <c r="AW241" i="31"/>
  <c r="AV241" i="31"/>
  <c r="AU241" i="31"/>
  <c r="V241" i="31"/>
  <c r="AD241" i="31" s="1"/>
  <c r="U241" i="31"/>
  <c r="AC241" i="31" s="1"/>
  <c r="T241" i="31"/>
  <c r="AB241" i="31" s="1"/>
  <c r="S241" i="31"/>
  <c r="AA241" i="31" s="1"/>
  <c r="R241" i="31"/>
  <c r="Z241" i="31" s="1"/>
  <c r="Q241" i="31"/>
  <c r="Y241" i="31" s="1"/>
  <c r="P241" i="31"/>
  <c r="X241" i="31" s="1"/>
  <c r="O241" i="31"/>
  <c r="N241" i="31"/>
  <c r="D241" i="31"/>
  <c r="BB65" i="20"/>
  <c r="BA65" i="20"/>
  <c r="U65" i="20" s="1"/>
  <c r="AC65" i="20" s="1"/>
  <c r="AZ65" i="20"/>
  <c r="T65" i="20" s="1"/>
  <c r="AB65" i="20" s="1"/>
  <c r="AY65" i="20"/>
  <c r="AX65" i="20"/>
  <c r="AW65" i="20"/>
  <c r="AV65" i="20"/>
  <c r="AU65" i="20"/>
  <c r="V65" i="20"/>
  <c r="AD65" i="20" s="1"/>
  <c r="BB240" i="31"/>
  <c r="BA240" i="31"/>
  <c r="AZ240" i="31"/>
  <c r="AY240" i="31"/>
  <c r="AX240" i="31"/>
  <c r="AW240" i="31"/>
  <c r="AV240" i="31"/>
  <c r="AU240" i="31"/>
  <c r="V240" i="31"/>
  <c r="AD240" i="31" s="1"/>
  <c r="U240" i="31"/>
  <c r="AC240" i="31" s="1"/>
  <c r="T240" i="31"/>
  <c r="AB240" i="31" s="1"/>
  <c r="S240" i="31"/>
  <c r="AA240" i="31" s="1"/>
  <c r="R240" i="31"/>
  <c r="Z240" i="31" s="1"/>
  <c r="Q240" i="31"/>
  <c r="Y240" i="31" s="1"/>
  <c r="P240" i="31"/>
  <c r="X240" i="31" s="1"/>
  <c r="O240" i="31"/>
  <c r="N240" i="31"/>
  <c r="D240" i="31"/>
  <c r="BB106" i="20"/>
  <c r="BA106" i="20"/>
  <c r="AZ106" i="20"/>
  <c r="T106" i="20" s="1"/>
  <c r="AB106" i="20" s="1"/>
  <c r="AY106" i="20"/>
  <c r="AX106" i="20"/>
  <c r="AW106" i="20"/>
  <c r="AV106" i="20"/>
  <c r="AU106" i="20"/>
  <c r="V106" i="20"/>
  <c r="AD106" i="20" s="1"/>
  <c r="U106" i="20"/>
  <c r="AC106" i="20" s="1"/>
  <c r="BB239" i="31"/>
  <c r="BA239" i="31"/>
  <c r="AZ239" i="31"/>
  <c r="AY239" i="31"/>
  <c r="AX239" i="31"/>
  <c r="AW239" i="31"/>
  <c r="AV239" i="31"/>
  <c r="AU239" i="31"/>
  <c r="V239" i="31"/>
  <c r="AD239" i="31" s="1"/>
  <c r="U239" i="31"/>
  <c r="AC239" i="31" s="1"/>
  <c r="T239" i="31"/>
  <c r="AB239" i="31" s="1"/>
  <c r="S239" i="31"/>
  <c r="AA239" i="31" s="1"/>
  <c r="R239" i="31"/>
  <c r="Z239" i="31" s="1"/>
  <c r="Q239" i="31"/>
  <c r="Y239" i="31" s="1"/>
  <c r="P239" i="31"/>
  <c r="X239" i="31" s="1"/>
  <c r="O239" i="31"/>
  <c r="N239" i="31"/>
  <c r="D239" i="31"/>
  <c r="BB194" i="20"/>
  <c r="BA194" i="20"/>
  <c r="AZ194" i="20"/>
  <c r="AY194" i="20"/>
  <c r="AX194" i="20"/>
  <c r="R194" i="20" s="1"/>
  <c r="Z194" i="20" s="1"/>
  <c r="AW194" i="20"/>
  <c r="AV194" i="20"/>
  <c r="AU194" i="20"/>
  <c r="O194" i="20" s="1"/>
  <c r="V194" i="20"/>
  <c r="AD194" i="20" s="1"/>
  <c r="U194" i="20"/>
  <c r="AC194" i="20" s="1"/>
  <c r="T194" i="20"/>
  <c r="AB194" i="20" s="1"/>
  <c r="BB238" i="31"/>
  <c r="BA238" i="31"/>
  <c r="AZ238" i="31"/>
  <c r="AY238" i="31"/>
  <c r="AX238" i="31"/>
  <c r="AW238" i="31"/>
  <c r="AV238" i="31"/>
  <c r="N238" i="31" s="1"/>
  <c r="AU238" i="31"/>
  <c r="V238" i="31"/>
  <c r="AD238" i="31" s="1"/>
  <c r="U238" i="31"/>
  <c r="AC238" i="31" s="1"/>
  <c r="T238" i="31"/>
  <c r="AB238" i="31" s="1"/>
  <c r="S238" i="31"/>
  <c r="AA238" i="31" s="1"/>
  <c r="R238" i="31"/>
  <c r="Z238" i="31" s="1"/>
  <c r="Q238" i="31"/>
  <c r="Y238" i="31" s="1"/>
  <c r="P238" i="31"/>
  <c r="X238" i="31" s="1"/>
  <c r="O238" i="31"/>
  <c r="BB160" i="20"/>
  <c r="BA160" i="20"/>
  <c r="U160" i="20" s="1"/>
  <c r="AC160" i="20" s="1"/>
  <c r="AZ160" i="20"/>
  <c r="T160" i="20" s="1"/>
  <c r="AB160" i="20" s="1"/>
  <c r="AY160" i="20"/>
  <c r="AX160" i="20"/>
  <c r="R160" i="20" s="1"/>
  <c r="Z160" i="20" s="1"/>
  <c r="AW160" i="20"/>
  <c r="AV160" i="20"/>
  <c r="AU160" i="20"/>
  <c r="O160" i="20" s="1"/>
  <c r="V160" i="20"/>
  <c r="AD160" i="20" s="1"/>
  <c r="BB237" i="31"/>
  <c r="BA237" i="31"/>
  <c r="AZ237" i="31"/>
  <c r="AY237" i="31"/>
  <c r="AX237" i="31"/>
  <c r="AW237" i="31"/>
  <c r="AV237" i="31"/>
  <c r="P234" i="31" s="1"/>
  <c r="X234" i="31" s="1"/>
  <c r="AU237" i="31"/>
  <c r="N237" i="31" s="1"/>
  <c r="V237" i="31"/>
  <c r="AD237" i="31" s="1"/>
  <c r="U237" i="31"/>
  <c r="AC237" i="31" s="1"/>
  <c r="T237" i="31"/>
  <c r="AB237" i="31" s="1"/>
  <c r="S237" i="31"/>
  <c r="AA237" i="31" s="1"/>
  <c r="R237" i="31"/>
  <c r="Z237" i="31" s="1"/>
  <c r="Q237" i="31"/>
  <c r="Y237" i="31" s="1"/>
  <c r="P237" i="31"/>
  <c r="X237" i="31" s="1"/>
  <c r="O237" i="31"/>
  <c r="BB228" i="20"/>
  <c r="BA228" i="20"/>
  <c r="AZ228" i="20"/>
  <c r="T228" i="20" s="1"/>
  <c r="AB228" i="20" s="1"/>
  <c r="AY228" i="20"/>
  <c r="AX228" i="20"/>
  <c r="AW228" i="20"/>
  <c r="AV228" i="20"/>
  <c r="AU228" i="20"/>
  <c r="O228" i="20" s="1"/>
  <c r="V228" i="20"/>
  <c r="AD228" i="20" s="1"/>
  <c r="U228" i="20"/>
  <c r="AC228" i="20" s="1"/>
  <c r="BB236" i="31"/>
  <c r="BA236" i="31"/>
  <c r="AZ236" i="31"/>
  <c r="AY236" i="31"/>
  <c r="AX236" i="31"/>
  <c r="AW236" i="31"/>
  <c r="AV236" i="31"/>
  <c r="AU236" i="31"/>
  <c r="V236" i="31"/>
  <c r="AD236" i="31" s="1"/>
  <c r="U236" i="31"/>
  <c r="AC236" i="31" s="1"/>
  <c r="T236" i="31"/>
  <c r="AB236" i="31" s="1"/>
  <c r="S236" i="31"/>
  <c r="AA236" i="31" s="1"/>
  <c r="R236" i="31"/>
  <c r="Z236" i="31" s="1"/>
  <c r="Q236" i="31"/>
  <c r="Y236" i="31" s="1"/>
  <c r="P236" i="31"/>
  <c r="X236" i="31" s="1"/>
  <c r="O236" i="31"/>
  <c r="N236" i="31"/>
  <c r="D236" i="31"/>
  <c r="BB85" i="20"/>
  <c r="BA85" i="20"/>
  <c r="AZ85" i="20"/>
  <c r="AY85" i="20"/>
  <c r="AX85" i="20"/>
  <c r="AW85" i="20"/>
  <c r="AV85" i="20"/>
  <c r="AU85" i="20"/>
  <c r="V85" i="20"/>
  <c r="AD85" i="20" s="1"/>
  <c r="U85" i="20"/>
  <c r="AC85" i="20" s="1"/>
  <c r="T85" i="20"/>
  <c r="AB85" i="20" s="1"/>
  <c r="BB235" i="31"/>
  <c r="BA235" i="31"/>
  <c r="AZ235" i="31"/>
  <c r="AY235" i="31"/>
  <c r="AX235" i="31"/>
  <c r="AW235" i="31"/>
  <c r="AV235" i="31"/>
  <c r="AU235" i="31"/>
  <c r="V235" i="31"/>
  <c r="AD235" i="31" s="1"/>
  <c r="U235" i="31"/>
  <c r="AC235" i="31" s="1"/>
  <c r="T235" i="31"/>
  <c r="AB235" i="31" s="1"/>
  <c r="S235" i="31"/>
  <c r="AA235" i="31" s="1"/>
  <c r="R235" i="31"/>
  <c r="Z235" i="31" s="1"/>
  <c r="Q235" i="31"/>
  <c r="Y235" i="31" s="1"/>
  <c r="O235" i="31"/>
  <c r="N235" i="31"/>
  <c r="D235" i="31"/>
  <c r="BB102" i="20"/>
  <c r="BA102" i="20"/>
  <c r="U102" i="20" s="1"/>
  <c r="AC102" i="20" s="1"/>
  <c r="AZ102" i="20"/>
  <c r="T102" i="20" s="1"/>
  <c r="AB102" i="20" s="1"/>
  <c r="AY102" i="20"/>
  <c r="AX102" i="20"/>
  <c r="AW102" i="20"/>
  <c r="AV102" i="20"/>
  <c r="AU102" i="20"/>
  <c r="V102" i="20"/>
  <c r="AD102" i="20" s="1"/>
  <c r="BB234" i="31"/>
  <c r="BA234" i="31"/>
  <c r="AZ234" i="31"/>
  <c r="AY234" i="31"/>
  <c r="AX234" i="31"/>
  <c r="AW234" i="31"/>
  <c r="AV234" i="31"/>
  <c r="AU234" i="31"/>
  <c r="V234" i="31"/>
  <c r="AD234" i="31" s="1"/>
  <c r="U234" i="31"/>
  <c r="AC234" i="31" s="1"/>
  <c r="T234" i="31"/>
  <c r="AB234" i="31" s="1"/>
  <c r="S234" i="31"/>
  <c r="AA234" i="31" s="1"/>
  <c r="R234" i="31"/>
  <c r="Z234" i="31" s="1"/>
  <c r="Q234" i="31"/>
  <c r="Y234" i="31" s="1"/>
  <c r="O234" i="31"/>
  <c r="N234" i="31"/>
  <c r="D234" i="31"/>
  <c r="BB167" i="20"/>
  <c r="BA167" i="20"/>
  <c r="AZ167" i="20"/>
  <c r="AY167" i="20"/>
  <c r="AX167" i="20"/>
  <c r="R167" i="20" s="1"/>
  <c r="Z167" i="20" s="1"/>
  <c r="AW167" i="20"/>
  <c r="AV167" i="20"/>
  <c r="AU167" i="20"/>
  <c r="O167" i="20" s="1"/>
  <c r="V167" i="20"/>
  <c r="AD167" i="20" s="1"/>
  <c r="U167" i="20"/>
  <c r="AC167" i="20" s="1"/>
  <c r="T167" i="20"/>
  <c r="AB167" i="20" s="1"/>
  <c r="BB233" i="31"/>
  <c r="BA233" i="31"/>
  <c r="AZ233" i="31"/>
  <c r="AY233" i="31"/>
  <c r="AX233" i="31"/>
  <c r="AW233" i="31"/>
  <c r="AV233" i="31"/>
  <c r="N233" i="31" s="1"/>
  <c r="AU233" i="31"/>
  <c r="V233" i="31"/>
  <c r="AD233" i="31" s="1"/>
  <c r="U233" i="31"/>
  <c r="AC233" i="31" s="1"/>
  <c r="T233" i="31"/>
  <c r="AB233" i="31" s="1"/>
  <c r="S233" i="31"/>
  <c r="AA233" i="31" s="1"/>
  <c r="R233" i="31"/>
  <c r="Z233" i="31" s="1"/>
  <c r="Q233" i="31"/>
  <c r="Y233" i="31" s="1"/>
  <c r="O233" i="31"/>
  <c r="D233" i="31"/>
  <c r="BB239" i="20"/>
  <c r="BA239" i="20"/>
  <c r="U239" i="20" s="1"/>
  <c r="AC239" i="20" s="1"/>
  <c r="AZ239" i="20"/>
  <c r="T239" i="20" s="1"/>
  <c r="AB239" i="20" s="1"/>
  <c r="AY239" i="20"/>
  <c r="AX239" i="20"/>
  <c r="R239" i="20" s="1"/>
  <c r="Z239" i="20" s="1"/>
  <c r="AW239" i="20"/>
  <c r="AV239" i="20"/>
  <c r="AU239" i="20"/>
  <c r="O239" i="20" s="1"/>
  <c r="V239" i="20"/>
  <c r="AD239" i="20" s="1"/>
  <c r="BB232" i="31"/>
  <c r="BA232" i="31"/>
  <c r="AZ232" i="31"/>
  <c r="AY232" i="31"/>
  <c r="AX232" i="31"/>
  <c r="AW232" i="31"/>
  <c r="AV232" i="31"/>
  <c r="AU232" i="31"/>
  <c r="V232" i="31"/>
  <c r="AD232" i="31" s="1"/>
  <c r="U232" i="31"/>
  <c r="AC232" i="31" s="1"/>
  <c r="T232" i="31"/>
  <c r="AB232" i="31" s="1"/>
  <c r="S232" i="31"/>
  <c r="AA232" i="31" s="1"/>
  <c r="R232" i="31"/>
  <c r="Z232" i="31" s="1"/>
  <c r="Q232" i="31"/>
  <c r="Y232" i="31" s="1"/>
  <c r="P232" i="31"/>
  <c r="X232" i="31" s="1"/>
  <c r="O232" i="31"/>
  <c r="N232" i="31"/>
  <c r="D232" i="31"/>
  <c r="BB236" i="20"/>
  <c r="BA236" i="20"/>
  <c r="AZ236" i="20"/>
  <c r="AY236" i="20"/>
  <c r="AX236" i="20"/>
  <c r="R236" i="20" s="1"/>
  <c r="Z236" i="20" s="1"/>
  <c r="AW236" i="20"/>
  <c r="AV236" i="20"/>
  <c r="AU236" i="20"/>
  <c r="V236" i="20"/>
  <c r="AD236" i="20" s="1"/>
  <c r="U236" i="20"/>
  <c r="AC236" i="20" s="1"/>
  <c r="T236" i="20"/>
  <c r="AB236" i="20" s="1"/>
  <c r="O236" i="20"/>
  <c r="BB231" i="31"/>
  <c r="BA231" i="31"/>
  <c r="AZ231" i="31"/>
  <c r="AY231" i="31"/>
  <c r="AX231" i="31"/>
  <c r="AW231" i="31"/>
  <c r="AV231" i="31"/>
  <c r="AU231" i="31"/>
  <c r="V231" i="31"/>
  <c r="AD231" i="31" s="1"/>
  <c r="U231" i="31"/>
  <c r="AC231" i="31" s="1"/>
  <c r="T231" i="31"/>
  <c r="AB231" i="31" s="1"/>
  <c r="S231" i="31"/>
  <c r="AA231" i="31" s="1"/>
  <c r="R231" i="31"/>
  <c r="Z231" i="31" s="1"/>
  <c r="Q231" i="31"/>
  <c r="Y231" i="31" s="1"/>
  <c r="P231" i="31"/>
  <c r="X231" i="31" s="1"/>
  <c r="O231" i="31"/>
  <c r="N231" i="31"/>
  <c r="D231" i="31"/>
  <c r="BB134" i="20"/>
  <c r="V134" i="20" s="1"/>
  <c r="AD134" i="20" s="1"/>
  <c r="BA134" i="20"/>
  <c r="U134" i="20" s="1"/>
  <c r="AC134" i="20" s="1"/>
  <c r="AZ134" i="20"/>
  <c r="T134" i="20" s="1"/>
  <c r="AB134" i="20" s="1"/>
  <c r="AY134" i="20"/>
  <c r="AX134" i="20"/>
  <c r="AW134" i="20"/>
  <c r="AV134" i="20"/>
  <c r="AU134" i="20"/>
  <c r="O134" i="20" s="1"/>
  <c r="BB230" i="31"/>
  <c r="BA230" i="31"/>
  <c r="AZ230" i="31"/>
  <c r="AY230" i="31"/>
  <c r="AX230" i="31"/>
  <c r="AW230" i="31"/>
  <c r="AV230" i="31"/>
  <c r="AU230" i="31"/>
  <c r="V230" i="31"/>
  <c r="AD230" i="31" s="1"/>
  <c r="U230" i="31"/>
  <c r="AC230" i="31" s="1"/>
  <c r="T230" i="31"/>
  <c r="AB230" i="31" s="1"/>
  <c r="S230" i="31"/>
  <c r="AA230" i="31" s="1"/>
  <c r="R230" i="31"/>
  <c r="Z230" i="31" s="1"/>
  <c r="Q230" i="31"/>
  <c r="Y230" i="31" s="1"/>
  <c r="P230" i="31"/>
  <c r="X230" i="31" s="1"/>
  <c r="O230" i="31"/>
  <c r="N230" i="31"/>
  <c r="D230" i="31"/>
  <c r="BB84" i="20"/>
  <c r="V84" i="20" s="1"/>
  <c r="AD84" i="20" s="1"/>
  <c r="BA84" i="20"/>
  <c r="U84" i="20" s="1"/>
  <c r="AC84" i="20" s="1"/>
  <c r="AZ84" i="20"/>
  <c r="T84" i="20" s="1"/>
  <c r="AB84" i="20" s="1"/>
  <c r="AY84" i="20"/>
  <c r="AX84" i="20"/>
  <c r="AW84" i="20"/>
  <c r="AV84" i="20"/>
  <c r="AU84" i="20"/>
  <c r="BB229" i="31"/>
  <c r="BA229" i="31"/>
  <c r="AZ229" i="31"/>
  <c r="AY229" i="31"/>
  <c r="AX229" i="31"/>
  <c r="AW229" i="31"/>
  <c r="AV229" i="31"/>
  <c r="AU229" i="31"/>
  <c r="V229" i="31"/>
  <c r="AD229" i="31" s="1"/>
  <c r="U229" i="31"/>
  <c r="AC229" i="31" s="1"/>
  <c r="T229" i="31"/>
  <c r="AB229" i="31" s="1"/>
  <c r="S229" i="31"/>
  <c r="AA229" i="31" s="1"/>
  <c r="R229" i="31"/>
  <c r="Z229" i="31" s="1"/>
  <c r="Q229" i="31"/>
  <c r="Y229" i="31" s="1"/>
  <c r="P229" i="31"/>
  <c r="X229" i="31" s="1"/>
  <c r="O229" i="31"/>
  <c r="N229" i="31"/>
  <c r="D229" i="31"/>
  <c r="BB35" i="20"/>
  <c r="BA35" i="20"/>
  <c r="U35" i="20" s="1"/>
  <c r="AC35" i="20" s="1"/>
  <c r="AZ35" i="20"/>
  <c r="T35" i="20" s="1"/>
  <c r="AB35" i="20" s="1"/>
  <c r="AY35" i="20"/>
  <c r="AX35" i="20"/>
  <c r="AW35" i="20"/>
  <c r="AV35" i="20"/>
  <c r="AU35" i="20"/>
  <c r="V35" i="20"/>
  <c r="AD35" i="20" s="1"/>
  <c r="BB228" i="31"/>
  <c r="BA228" i="31"/>
  <c r="AZ228" i="31"/>
  <c r="AY228" i="31"/>
  <c r="AX228" i="31"/>
  <c r="AW228" i="31"/>
  <c r="AV228" i="31"/>
  <c r="AU228" i="31"/>
  <c r="V228" i="31"/>
  <c r="AD228" i="31" s="1"/>
  <c r="U228" i="31"/>
  <c r="AC228" i="31" s="1"/>
  <c r="T228" i="31"/>
  <c r="AB228" i="31" s="1"/>
  <c r="S228" i="31"/>
  <c r="AA228" i="31" s="1"/>
  <c r="R228" i="31"/>
  <c r="Z228" i="31" s="1"/>
  <c r="Q228" i="31"/>
  <c r="Y228" i="31" s="1"/>
  <c r="P228" i="31"/>
  <c r="X228" i="31" s="1"/>
  <c r="O228" i="31"/>
  <c r="N228" i="31"/>
  <c r="D228" i="31"/>
  <c r="BB227" i="31"/>
  <c r="BA227" i="31"/>
  <c r="AZ227" i="31"/>
  <c r="AY227" i="31"/>
  <c r="AX227" i="31"/>
  <c r="R226" i="31" s="1"/>
  <c r="Z226" i="31" s="1"/>
  <c r="AW227" i="31"/>
  <c r="AV227" i="31"/>
  <c r="AU227" i="31"/>
  <c r="V227" i="31"/>
  <c r="AD227" i="31" s="1"/>
  <c r="U227" i="31"/>
  <c r="AC227" i="31" s="1"/>
  <c r="T227" i="31"/>
  <c r="AB227" i="31" s="1"/>
  <c r="S227" i="31"/>
  <c r="AA227" i="31" s="1"/>
  <c r="R227" i="31"/>
  <c r="Z227" i="31" s="1"/>
  <c r="Q227" i="31"/>
  <c r="Y227" i="31" s="1"/>
  <c r="P227" i="31"/>
  <c r="X227" i="31" s="1"/>
  <c r="O227" i="31"/>
  <c r="N227" i="31"/>
  <c r="D227" i="31"/>
  <c r="BB22" i="20"/>
  <c r="BA22" i="20"/>
  <c r="AZ22" i="20"/>
  <c r="AY22" i="20"/>
  <c r="AX22" i="20"/>
  <c r="AW22" i="20"/>
  <c r="AV22" i="20"/>
  <c r="AU22" i="20"/>
  <c r="V22" i="20"/>
  <c r="AD22" i="20" s="1"/>
  <c r="U22" i="20"/>
  <c r="AC22" i="20" s="1"/>
  <c r="T22" i="20"/>
  <c r="AB22" i="20" s="1"/>
  <c r="BB226" i="31"/>
  <c r="BA226" i="31"/>
  <c r="AZ226" i="31"/>
  <c r="AY226" i="31"/>
  <c r="AX226" i="31"/>
  <c r="AW226" i="31"/>
  <c r="AV226" i="31"/>
  <c r="AU226" i="31"/>
  <c r="V226" i="31"/>
  <c r="AD226" i="31" s="1"/>
  <c r="U226" i="31"/>
  <c r="AC226" i="31" s="1"/>
  <c r="T226" i="31"/>
  <c r="AB226" i="31" s="1"/>
  <c r="S226" i="31"/>
  <c r="AA226" i="31" s="1"/>
  <c r="Q226" i="31"/>
  <c r="Y226" i="31" s="1"/>
  <c r="P226" i="31"/>
  <c r="X226" i="31" s="1"/>
  <c r="O226" i="31"/>
  <c r="N226" i="31"/>
  <c r="D226" i="31"/>
  <c r="BB244" i="20"/>
  <c r="BA244" i="20"/>
  <c r="AZ244" i="20"/>
  <c r="AY244" i="20"/>
  <c r="AX244" i="20"/>
  <c r="R244" i="20" s="1"/>
  <c r="Z244" i="20" s="1"/>
  <c r="AW244" i="20"/>
  <c r="AV244" i="20"/>
  <c r="AU244" i="20"/>
  <c r="O244" i="20" s="1"/>
  <c r="V244" i="20"/>
  <c r="AD244" i="20" s="1"/>
  <c r="U244" i="20"/>
  <c r="AC244" i="20" s="1"/>
  <c r="T244" i="20"/>
  <c r="AB244" i="20" s="1"/>
  <c r="BB225" i="31"/>
  <c r="BA225" i="31"/>
  <c r="AZ225" i="31"/>
  <c r="AY225" i="31"/>
  <c r="AX225" i="31"/>
  <c r="AW225" i="31"/>
  <c r="AV225" i="31"/>
  <c r="AU225" i="31"/>
  <c r="V225" i="31"/>
  <c r="AD225" i="31" s="1"/>
  <c r="U225" i="31"/>
  <c r="AC225" i="31" s="1"/>
  <c r="T225" i="31"/>
  <c r="AB225" i="31" s="1"/>
  <c r="S225" i="31"/>
  <c r="AA225" i="31" s="1"/>
  <c r="R225" i="31"/>
  <c r="Z225" i="31" s="1"/>
  <c r="Q225" i="31"/>
  <c r="Y225" i="31" s="1"/>
  <c r="P225" i="31"/>
  <c r="X225" i="31" s="1"/>
  <c r="O225" i="31"/>
  <c r="N225" i="31"/>
  <c r="D225" i="31"/>
  <c r="BB235" i="20"/>
  <c r="BA235" i="20"/>
  <c r="AZ235" i="20"/>
  <c r="AY235" i="20"/>
  <c r="AX235" i="20"/>
  <c r="AW235" i="20"/>
  <c r="AV235" i="20"/>
  <c r="AU235" i="20"/>
  <c r="O235" i="20" s="1"/>
  <c r="V235" i="20"/>
  <c r="AD235" i="20" s="1"/>
  <c r="U235" i="20"/>
  <c r="AC235" i="20" s="1"/>
  <c r="T235" i="20"/>
  <c r="AB235" i="20" s="1"/>
  <c r="BB224" i="31"/>
  <c r="BA224" i="31"/>
  <c r="AZ224" i="31"/>
  <c r="AY224" i="31"/>
  <c r="AX224" i="31"/>
  <c r="AW224" i="31"/>
  <c r="AV224" i="31"/>
  <c r="AU224" i="31"/>
  <c r="V224" i="31"/>
  <c r="AD224" i="31" s="1"/>
  <c r="U224" i="31"/>
  <c r="AC224" i="31" s="1"/>
  <c r="T224" i="31"/>
  <c r="AB224" i="31" s="1"/>
  <c r="S224" i="31"/>
  <c r="AA224" i="31" s="1"/>
  <c r="R224" i="31"/>
  <c r="Z224" i="31" s="1"/>
  <c r="Q224" i="31"/>
  <c r="Y224" i="31" s="1"/>
  <c r="P224" i="31"/>
  <c r="X224" i="31" s="1"/>
  <c r="O224" i="31"/>
  <c r="N224" i="31"/>
  <c r="D224" i="31"/>
  <c r="BB243" i="20"/>
  <c r="BA243" i="20"/>
  <c r="AZ243" i="20"/>
  <c r="AY243" i="20"/>
  <c r="AX243" i="20"/>
  <c r="R243" i="20" s="1"/>
  <c r="Z243" i="20" s="1"/>
  <c r="AW243" i="20"/>
  <c r="AV243" i="20"/>
  <c r="AU243" i="20"/>
  <c r="O243" i="20" s="1"/>
  <c r="V243" i="20"/>
  <c r="AD243" i="20" s="1"/>
  <c r="U243" i="20"/>
  <c r="AC243" i="20" s="1"/>
  <c r="T243" i="20"/>
  <c r="AB243" i="20" s="1"/>
  <c r="BB223" i="31"/>
  <c r="BA223" i="31"/>
  <c r="AZ223" i="31"/>
  <c r="AY223" i="31"/>
  <c r="AX223" i="31"/>
  <c r="AW223" i="31"/>
  <c r="AV223" i="31"/>
  <c r="N223" i="31" s="1"/>
  <c r="AU223" i="31"/>
  <c r="V223" i="31"/>
  <c r="AD223" i="31" s="1"/>
  <c r="U223" i="31"/>
  <c r="AC223" i="31" s="1"/>
  <c r="T223" i="31"/>
  <c r="AB223" i="31" s="1"/>
  <c r="S223" i="31"/>
  <c r="AA223" i="31" s="1"/>
  <c r="R223" i="31"/>
  <c r="Z223" i="31" s="1"/>
  <c r="Q223" i="31"/>
  <c r="Y223" i="31" s="1"/>
  <c r="P223" i="31"/>
  <c r="X223" i="31" s="1"/>
  <c r="O223" i="31"/>
  <c r="D223" i="31"/>
  <c r="BB222" i="31"/>
  <c r="BA222" i="31"/>
  <c r="AZ222" i="31"/>
  <c r="AY222" i="31"/>
  <c r="AX222" i="31"/>
  <c r="AW222" i="31"/>
  <c r="AV222" i="31"/>
  <c r="AU222" i="31"/>
  <c r="V222" i="31"/>
  <c r="AD222" i="31" s="1"/>
  <c r="U222" i="31"/>
  <c r="AC222" i="31" s="1"/>
  <c r="T222" i="31"/>
  <c r="AB222" i="31" s="1"/>
  <c r="S222" i="31"/>
  <c r="AA222" i="31" s="1"/>
  <c r="R222" i="31"/>
  <c r="Z222" i="31" s="1"/>
  <c r="Q222" i="31"/>
  <c r="Y222" i="31" s="1"/>
  <c r="P222" i="31"/>
  <c r="X222" i="31" s="1"/>
  <c r="O222" i="31"/>
  <c r="N222" i="31"/>
  <c r="D222" i="31"/>
  <c r="BB103" i="20"/>
  <c r="BA103" i="20"/>
  <c r="U103" i="20" s="1"/>
  <c r="AC103" i="20" s="1"/>
  <c r="AZ103" i="20"/>
  <c r="T103" i="20" s="1"/>
  <c r="AB103" i="20" s="1"/>
  <c r="AY103" i="20"/>
  <c r="AX103" i="20"/>
  <c r="AW103" i="20"/>
  <c r="AV103" i="20"/>
  <c r="AU103" i="20"/>
  <c r="V103" i="20"/>
  <c r="AD103" i="20" s="1"/>
  <c r="BB221" i="31"/>
  <c r="BA221" i="31"/>
  <c r="AZ221" i="31"/>
  <c r="AY221" i="31"/>
  <c r="AX221" i="31"/>
  <c r="AW221" i="31"/>
  <c r="AV221" i="31"/>
  <c r="AU221" i="31"/>
  <c r="V221" i="31"/>
  <c r="AD221" i="31" s="1"/>
  <c r="U221" i="31"/>
  <c r="AC221" i="31" s="1"/>
  <c r="T221" i="31"/>
  <c r="AB221" i="31" s="1"/>
  <c r="S221" i="31"/>
  <c r="AA221" i="31" s="1"/>
  <c r="R221" i="31"/>
  <c r="Z221" i="31" s="1"/>
  <c r="Q221" i="31"/>
  <c r="Y221" i="31" s="1"/>
  <c r="P221" i="31"/>
  <c r="X221" i="31" s="1"/>
  <c r="O221" i="31"/>
  <c r="N221" i="31"/>
  <c r="D221" i="31"/>
  <c r="BB123" i="20"/>
  <c r="BA123" i="20"/>
  <c r="AZ123" i="20"/>
  <c r="T123" i="20" s="1"/>
  <c r="AB123" i="20" s="1"/>
  <c r="AY123" i="20"/>
  <c r="AX123" i="20"/>
  <c r="AW123" i="20"/>
  <c r="AV123" i="20"/>
  <c r="AU123" i="20"/>
  <c r="V123" i="20"/>
  <c r="AD123" i="20" s="1"/>
  <c r="U123" i="20"/>
  <c r="AC123" i="20" s="1"/>
  <c r="BB220" i="31"/>
  <c r="BA220" i="31"/>
  <c r="AZ220" i="31"/>
  <c r="AY220" i="31"/>
  <c r="AX220" i="31"/>
  <c r="R219" i="31" s="1"/>
  <c r="Z219" i="31" s="1"/>
  <c r="AW220" i="31"/>
  <c r="AV220" i="31"/>
  <c r="AU220" i="31"/>
  <c r="V220" i="31"/>
  <c r="AD220" i="31" s="1"/>
  <c r="U220" i="31"/>
  <c r="AC220" i="31" s="1"/>
  <c r="T220" i="31"/>
  <c r="AB220" i="31" s="1"/>
  <c r="S220" i="31"/>
  <c r="AA220" i="31" s="1"/>
  <c r="R220" i="31"/>
  <c r="Z220" i="31" s="1"/>
  <c r="Q220" i="31"/>
  <c r="Y220" i="31" s="1"/>
  <c r="P220" i="31"/>
  <c r="X220" i="31" s="1"/>
  <c r="O220" i="31"/>
  <c r="N220" i="31"/>
  <c r="D220" i="31"/>
  <c r="BB99" i="20"/>
  <c r="BA99" i="20"/>
  <c r="AZ99" i="20"/>
  <c r="AY99" i="20"/>
  <c r="AX99" i="20"/>
  <c r="AW99" i="20"/>
  <c r="AV99" i="20"/>
  <c r="AU99" i="20"/>
  <c r="V99" i="20"/>
  <c r="AD99" i="20" s="1"/>
  <c r="U99" i="20"/>
  <c r="AC99" i="20" s="1"/>
  <c r="T99" i="20"/>
  <c r="AB99" i="20" s="1"/>
  <c r="BB219" i="31"/>
  <c r="BA219" i="31"/>
  <c r="AZ219" i="31"/>
  <c r="AY219" i="31"/>
  <c r="AX219" i="31"/>
  <c r="AW219" i="31"/>
  <c r="AV219" i="31"/>
  <c r="AU219" i="31"/>
  <c r="V219" i="31"/>
  <c r="AD219" i="31" s="1"/>
  <c r="U219" i="31"/>
  <c r="AC219" i="31" s="1"/>
  <c r="T219" i="31"/>
  <c r="AB219" i="31" s="1"/>
  <c r="S219" i="31"/>
  <c r="AA219" i="31" s="1"/>
  <c r="Q219" i="31"/>
  <c r="Y219" i="31" s="1"/>
  <c r="P219" i="31"/>
  <c r="X219" i="31" s="1"/>
  <c r="O219" i="31"/>
  <c r="N219" i="31"/>
  <c r="D219" i="31"/>
  <c r="BB218" i="31"/>
  <c r="BA218" i="31"/>
  <c r="AZ218" i="31"/>
  <c r="AY218" i="31"/>
  <c r="AX218" i="31"/>
  <c r="AW218" i="31"/>
  <c r="AV218" i="31"/>
  <c r="AU218" i="31"/>
  <c r="V218" i="31"/>
  <c r="AD218" i="31" s="1"/>
  <c r="U218" i="31"/>
  <c r="AC218" i="31" s="1"/>
  <c r="T218" i="31"/>
  <c r="AB218" i="31" s="1"/>
  <c r="S218" i="31"/>
  <c r="AA218" i="31" s="1"/>
  <c r="R218" i="31"/>
  <c r="Z218" i="31" s="1"/>
  <c r="Q218" i="31"/>
  <c r="Y218" i="31" s="1"/>
  <c r="P218" i="31"/>
  <c r="X218" i="31" s="1"/>
  <c r="O218" i="31"/>
  <c r="N218" i="31"/>
  <c r="D218" i="31"/>
  <c r="BB119" i="20"/>
  <c r="BA119" i="20"/>
  <c r="U119" i="20" s="1"/>
  <c r="AC119" i="20" s="1"/>
  <c r="AZ119" i="20"/>
  <c r="T119" i="20" s="1"/>
  <c r="AB119" i="20" s="1"/>
  <c r="AY119" i="20"/>
  <c r="AX119" i="20"/>
  <c r="AW119" i="20"/>
  <c r="AV119" i="20"/>
  <c r="AU119" i="20"/>
  <c r="V119" i="20"/>
  <c r="AD119" i="20" s="1"/>
  <c r="BB217" i="31"/>
  <c r="BA217" i="31"/>
  <c r="AZ217" i="31"/>
  <c r="AY217" i="31"/>
  <c r="AX217" i="31"/>
  <c r="AW217" i="31"/>
  <c r="Q216" i="31" s="1"/>
  <c r="Y216" i="31" s="1"/>
  <c r="AV217" i="31"/>
  <c r="AU217" i="31"/>
  <c r="N217" i="31" s="1"/>
  <c r="V217" i="31"/>
  <c r="AD217" i="31" s="1"/>
  <c r="U217" i="31"/>
  <c r="AC217" i="31" s="1"/>
  <c r="T217" i="31"/>
  <c r="AB217" i="31" s="1"/>
  <c r="S217" i="31"/>
  <c r="AA217" i="31" s="1"/>
  <c r="R217" i="31"/>
  <c r="Z217" i="31" s="1"/>
  <c r="Q217" i="31"/>
  <c r="Y217" i="31" s="1"/>
  <c r="P217" i="31"/>
  <c r="X217" i="31" s="1"/>
  <c r="O217" i="31"/>
  <c r="D217" i="31"/>
  <c r="BB91" i="20"/>
  <c r="BA91" i="20"/>
  <c r="AZ91" i="20"/>
  <c r="AY91" i="20"/>
  <c r="AX91" i="20"/>
  <c r="AW91" i="20"/>
  <c r="AV91" i="20"/>
  <c r="AU91" i="20"/>
  <c r="V91" i="20"/>
  <c r="AD91" i="20" s="1"/>
  <c r="U91" i="20"/>
  <c r="AC91" i="20" s="1"/>
  <c r="T91" i="20"/>
  <c r="AB91" i="20" s="1"/>
  <c r="BB216" i="31"/>
  <c r="BA216" i="31"/>
  <c r="AZ216" i="31"/>
  <c r="AY216" i="31"/>
  <c r="AX216" i="31"/>
  <c r="R215" i="31" s="1"/>
  <c r="Z215" i="31" s="1"/>
  <c r="AW216" i="31"/>
  <c r="AV216" i="31"/>
  <c r="AU216" i="31"/>
  <c r="V216" i="31"/>
  <c r="AD216" i="31" s="1"/>
  <c r="U216" i="31"/>
  <c r="AC216" i="31" s="1"/>
  <c r="T216" i="31"/>
  <c r="AB216" i="31" s="1"/>
  <c r="S216" i="31"/>
  <c r="AA216" i="31" s="1"/>
  <c r="R216" i="31"/>
  <c r="Z216" i="31" s="1"/>
  <c r="P216" i="31"/>
  <c r="X216" i="31" s="1"/>
  <c r="O216" i="31"/>
  <c r="N216" i="31"/>
  <c r="D216" i="31"/>
  <c r="BB48" i="20"/>
  <c r="BA48" i="20"/>
  <c r="AZ48" i="20"/>
  <c r="AY48" i="20"/>
  <c r="AX48" i="20"/>
  <c r="AW48" i="20"/>
  <c r="AV48" i="20"/>
  <c r="AU48" i="20"/>
  <c r="V48" i="20"/>
  <c r="AD48" i="20" s="1"/>
  <c r="U48" i="20"/>
  <c r="AC48" i="20" s="1"/>
  <c r="T48" i="20"/>
  <c r="AB48" i="20" s="1"/>
  <c r="BB215" i="31"/>
  <c r="BA215" i="31"/>
  <c r="AZ215" i="31"/>
  <c r="AY215" i="31"/>
  <c r="AX215" i="31"/>
  <c r="AW215" i="31"/>
  <c r="AV215" i="31"/>
  <c r="AU215" i="31"/>
  <c r="V215" i="31"/>
  <c r="AD215" i="31" s="1"/>
  <c r="U215" i="31"/>
  <c r="AC215" i="31" s="1"/>
  <c r="T215" i="31"/>
  <c r="AB215" i="31" s="1"/>
  <c r="S215" i="31"/>
  <c r="AA215" i="31" s="1"/>
  <c r="P215" i="31"/>
  <c r="X215" i="31" s="1"/>
  <c r="O215" i="31"/>
  <c r="N215" i="31"/>
  <c r="D215" i="31"/>
  <c r="BB107" i="20"/>
  <c r="BA107" i="20"/>
  <c r="AZ107" i="20"/>
  <c r="AY107" i="20"/>
  <c r="AX107" i="20"/>
  <c r="AW107" i="20"/>
  <c r="AV107" i="20"/>
  <c r="AU107" i="20"/>
  <c r="V107" i="20"/>
  <c r="AD107" i="20" s="1"/>
  <c r="U107" i="20"/>
  <c r="AC107" i="20" s="1"/>
  <c r="T107" i="20"/>
  <c r="AB107" i="20" s="1"/>
  <c r="BB214" i="31"/>
  <c r="BA214" i="31"/>
  <c r="AZ214" i="31"/>
  <c r="AY214" i="31"/>
  <c r="AX214" i="31"/>
  <c r="AW214" i="31"/>
  <c r="AV214" i="31"/>
  <c r="AU214" i="31"/>
  <c r="V214" i="31"/>
  <c r="AD214" i="31" s="1"/>
  <c r="U214" i="31"/>
  <c r="AC214" i="31" s="1"/>
  <c r="T214" i="31"/>
  <c r="AB214" i="31" s="1"/>
  <c r="S214" i="31"/>
  <c r="AA214" i="31" s="1"/>
  <c r="R214" i="31"/>
  <c r="Z214" i="31" s="1"/>
  <c r="Q214" i="31"/>
  <c r="Y214" i="31" s="1"/>
  <c r="P214" i="31"/>
  <c r="X214" i="31" s="1"/>
  <c r="O214" i="31"/>
  <c r="N214" i="31"/>
  <c r="D214" i="31"/>
  <c r="BB50" i="20"/>
  <c r="BA50" i="20"/>
  <c r="AZ50" i="20"/>
  <c r="AY50" i="20"/>
  <c r="AX50" i="20"/>
  <c r="AW50" i="20"/>
  <c r="AV50" i="20"/>
  <c r="AU50" i="20"/>
  <c r="V50" i="20"/>
  <c r="AD50" i="20" s="1"/>
  <c r="U50" i="20"/>
  <c r="AC50" i="20" s="1"/>
  <c r="T50" i="20"/>
  <c r="AB50" i="20" s="1"/>
  <c r="BB213" i="31"/>
  <c r="BA213" i="31"/>
  <c r="AZ213" i="31"/>
  <c r="AY213" i="31"/>
  <c r="AX213" i="31"/>
  <c r="AW213" i="31"/>
  <c r="AV213" i="31"/>
  <c r="AU213" i="31"/>
  <c r="V213" i="31"/>
  <c r="AD213" i="31" s="1"/>
  <c r="U213" i="31"/>
  <c r="AC213" i="31" s="1"/>
  <c r="T213" i="31"/>
  <c r="AB213" i="31" s="1"/>
  <c r="S213" i="31"/>
  <c r="AA213" i="31" s="1"/>
  <c r="R213" i="31"/>
  <c r="Z213" i="31" s="1"/>
  <c r="P213" i="31"/>
  <c r="X213" i="31" s="1"/>
  <c r="O213" i="31"/>
  <c r="N213" i="31"/>
  <c r="D213" i="31"/>
  <c r="BB96" i="20"/>
  <c r="BA96" i="20"/>
  <c r="AZ96" i="20"/>
  <c r="AY96" i="20"/>
  <c r="AX96" i="20"/>
  <c r="AW96" i="20"/>
  <c r="AV96" i="20"/>
  <c r="AU96" i="20"/>
  <c r="V96" i="20"/>
  <c r="AD96" i="20" s="1"/>
  <c r="U96" i="20"/>
  <c r="AC96" i="20" s="1"/>
  <c r="T96" i="20"/>
  <c r="AB96" i="20" s="1"/>
  <c r="BB212" i="31"/>
  <c r="BA212" i="31"/>
  <c r="AZ212" i="31"/>
  <c r="AY212" i="31"/>
  <c r="AX212" i="31"/>
  <c r="AW212" i="31"/>
  <c r="AV212" i="31"/>
  <c r="AU212" i="31"/>
  <c r="V212" i="31"/>
  <c r="AD212" i="31" s="1"/>
  <c r="U212" i="31"/>
  <c r="AC212" i="31" s="1"/>
  <c r="T212" i="31"/>
  <c r="AB212" i="31" s="1"/>
  <c r="S212" i="31"/>
  <c r="AA212" i="31" s="1"/>
  <c r="R212" i="31"/>
  <c r="Z212" i="31" s="1"/>
  <c r="Q212" i="31"/>
  <c r="Y212" i="31" s="1"/>
  <c r="P212" i="31"/>
  <c r="X212" i="31" s="1"/>
  <c r="O212" i="31"/>
  <c r="N212" i="31"/>
  <c r="D212" i="31"/>
  <c r="BB118" i="20"/>
  <c r="BA118" i="20"/>
  <c r="AZ118" i="20"/>
  <c r="AY118" i="20"/>
  <c r="AX118" i="20"/>
  <c r="AW118" i="20"/>
  <c r="AV118" i="20"/>
  <c r="AU118" i="20"/>
  <c r="V118" i="20"/>
  <c r="AD118" i="20" s="1"/>
  <c r="U118" i="20"/>
  <c r="AC118" i="20" s="1"/>
  <c r="T118" i="20"/>
  <c r="AB118" i="20" s="1"/>
  <c r="BB211" i="31"/>
  <c r="BA211" i="31"/>
  <c r="AZ211" i="31"/>
  <c r="AY211" i="31"/>
  <c r="AX211" i="31"/>
  <c r="AW211" i="31"/>
  <c r="AV211" i="31"/>
  <c r="AU211" i="31"/>
  <c r="V211" i="31"/>
  <c r="AD211" i="31" s="1"/>
  <c r="U211" i="31"/>
  <c r="AC211" i="31" s="1"/>
  <c r="T211" i="31"/>
  <c r="AB211" i="31" s="1"/>
  <c r="S211" i="31"/>
  <c r="AA211" i="31" s="1"/>
  <c r="R211" i="31"/>
  <c r="Z211" i="31" s="1"/>
  <c r="P211" i="31"/>
  <c r="X211" i="31" s="1"/>
  <c r="O211" i="31"/>
  <c r="N211" i="31"/>
  <c r="D211" i="31"/>
  <c r="BB255" i="20"/>
  <c r="BA255" i="20"/>
  <c r="AZ255" i="20"/>
  <c r="AY255" i="20"/>
  <c r="AX255" i="20"/>
  <c r="R255" i="20" s="1"/>
  <c r="Z255" i="20" s="1"/>
  <c r="AW255" i="20"/>
  <c r="Q255" i="20" s="1"/>
  <c r="Y255" i="20" s="1"/>
  <c r="AV255" i="20"/>
  <c r="AU255" i="20"/>
  <c r="V255" i="20"/>
  <c r="AD255" i="20" s="1"/>
  <c r="U255" i="20"/>
  <c r="AC255" i="20" s="1"/>
  <c r="T255" i="20"/>
  <c r="AB255" i="20" s="1"/>
  <c r="O255" i="20"/>
  <c r="BB210" i="31"/>
  <c r="BA210" i="31"/>
  <c r="AZ210" i="31"/>
  <c r="AY210" i="31"/>
  <c r="AX210" i="31"/>
  <c r="AW210" i="31"/>
  <c r="AV210" i="31"/>
  <c r="AU210" i="31"/>
  <c r="V210" i="31"/>
  <c r="AD210" i="31" s="1"/>
  <c r="U210" i="31"/>
  <c r="AC210" i="31" s="1"/>
  <c r="T210" i="31"/>
  <c r="AB210" i="31" s="1"/>
  <c r="S210" i="31"/>
  <c r="AA210" i="31" s="1"/>
  <c r="R210" i="31"/>
  <c r="Z210" i="31" s="1"/>
  <c r="Q210" i="31"/>
  <c r="Y210" i="31" s="1"/>
  <c r="P210" i="31"/>
  <c r="X210" i="31" s="1"/>
  <c r="O210" i="31"/>
  <c r="N210" i="31"/>
  <c r="D210" i="31"/>
  <c r="BB97" i="20"/>
  <c r="BA97" i="20"/>
  <c r="AZ97" i="20"/>
  <c r="AY97" i="20"/>
  <c r="AX97" i="20"/>
  <c r="AW97" i="20"/>
  <c r="AV97" i="20"/>
  <c r="AU97" i="20"/>
  <c r="V97" i="20"/>
  <c r="AD97" i="20" s="1"/>
  <c r="U97" i="20"/>
  <c r="AC97" i="20" s="1"/>
  <c r="T97" i="20"/>
  <c r="AB97" i="20" s="1"/>
  <c r="BB209" i="31"/>
  <c r="BA209" i="31"/>
  <c r="AZ209" i="31"/>
  <c r="AY209" i="31"/>
  <c r="AX209" i="31"/>
  <c r="AW209" i="31"/>
  <c r="N209" i="31" s="1"/>
  <c r="AV209" i="31"/>
  <c r="AU209" i="31"/>
  <c r="V209" i="31"/>
  <c r="AD209" i="31" s="1"/>
  <c r="U209" i="31"/>
  <c r="AC209" i="31" s="1"/>
  <c r="T209" i="31"/>
  <c r="AB209" i="31" s="1"/>
  <c r="S209" i="31"/>
  <c r="AA209" i="31" s="1"/>
  <c r="R209" i="31"/>
  <c r="Z209" i="31" s="1"/>
  <c r="Q209" i="31"/>
  <c r="Y209" i="31" s="1"/>
  <c r="P209" i="31"/>
  <c r="X209" i="31" s="1"/>
  <c r="O209" i="31"/>
  <c r="D209" i="31"/>
  <c r="BB62" i="20"/>
  <c r="BA62" i="20"/>
  <c r="AZ62" i="20"/>
  <c r="AY62" i="20"/>
  <c r="AX62" i="20"/>
  <c r="AW62" i="20"/>
  <c r="AV62" i="20"/>
  <c r="AU62" i="20"/>
  <c r="V62" i="20"/>
  <c r="AD62" i="20" s="1"/>
  <c r="U62" i="20"/>
  <c r="AC62" i="20" s="1"/>
  <c r="T62" i="20"/>
  <c r="AB62" i="20" s="1"/>
  <c r="BB208" i="31"/>
  <c r="BA208" i="31"/>
  <c r="AZ208" i="31"/>
  <c r="AY208" i="31"/>
  <c r="AX208" i="31"/>
  <c r="AW208" i="31"/>
  <c r="AV208" i="31"/>
  <c r="AU208" i="31"/>
  <c r="V208" i="31"/>
  <c r="AD208" i="31" s="1"/>
  <c r="U208" i="31"/>
  <c r="AC208" i="31" s="1"/>
  <c r="T208" i="31"/>
  <c r="AB208" i="31" s="1"/>
  <c r="S208" i="31"/>
  <c r="AA208" i="31" s="1"/>
  <c r="R208" i="31"/>
  <c r="Z208" i="31" s="1"/>
  <c r="P208" i="31"/>
  <c r="X208" i="31" s="1"/>
  <c r="O208" i="31"/>
  <c r="N208" i="31"/>
  <c r="D208" i="31"/>
  <c r="BB79" i="20"/>
  <c r="BA79" i="20"/>
  <c r="U79" i="20" s="1"/>
  <c r="AC79" i="20" s="1"/>
  <c r="AZ79" i="20"/>
  <c r="T79" i="20" s="1"/>
  <c r="AB79" i="20" s="1"/>
  <c r="AY79" i="20"/>
  <c r="AX79" i="20"/>
  <c r="AW79" i="20"/>
  <c r="AV79" i="20"/>
  <c r="AU79" i="20"/>
  <c r="V79" i="20"/>
  <c r="AD79" i="20" s="1"/>
  <c r="BB207" i="31"/>
  <c r="BA207" i="31"/>
  <c r="AZ207" i="31"/>
  <c r="AY207" i="31"/>
  <c r="AX207" i="31"/>
  <c r="AW207" i="31"/>
  <c r="AV207" i="31"/>
  <c r="AU207" i="31"/>
  <c r="V207" i="31"/>
  <c r="AD207" i="31" s="1"/>
  <c r="U207" i="31"/>
  <c r="AC207" i="31" s="1"/>
  <c r="T207" i="31"/>
  <c r="AB207" i="31" s="1"/>
  <c r="S207" i="31"/>
  <c r="AA207" i="31" s="1"/>
  <c r="R207" i="31"/>
  <c r="Z207" i="31" s="1"/>
  <c r="Q207" i="31"/>
  <c r="Y207" i="31" s="1"/>
  <c r="P207" i="31"/>
  <c r="X207" i="31" s="1"/>
  <c r="O207" i="31"/>
  <c r="N207" i="31"/>
  <c r="D207" i="31"/>
  <c r="BB54" i="20"/>
  <c r="BA54" i="20"/>
  <c r="AZ54" i="20"/>
  <c r="T54" i="20" s="1"/>
  <c r="AB54" i="20" s="1"/>
  <c r="AY54" i="20"/>
  <c r="AX54" i="20"/>
  <c r="AW54" i="20"/>
  <c r="AV54" i="20"/>
  <c r="AU54" i="20"/>
  <c r="V54" i="20"/>
  <c r="AD54" i="20" s="1"/>
  <c r="U54" i="20"/>
  <c r="AC54" i="20" s="1"/>
  <c r="BB206" i="31"/>
  <c r="BA206" i="31"/>
  <c r="AZ206" i="31"/>
  <c r="AY206" i="31"/>
  <c r="S205" i="31" s="1"/>
  <c r="AA205" i="31" s="1"/>
  <c r="AX206" i="31"/>
  <c r="AW206" i="31"/>
  <c r="AV206" i="31"/>
  <c r="AU206" i="31"/>
  <c r="N206" i="31" s="1"/>
  <c r="V206" i="31"/>
  <c r="AD206" i="31" s="1"/>
  <c r="U206" i="31"/>
  <c r="AC206" i="31" s="1"/>
  <c r="T206" i="31"/>
  <c r="AB206" i="31" s="1"/>
  <c r="S206" i="31"/>
  <c r="AA206" i="31" s="1"/>
  <c r="R206" i="31"/>
  <c r="Z206" i="31" s="1"/>
  <c r="Q206" i="31"/>
  <c r="Y206" i="31" s="1"/>
  <c r="P206" i="31"/>
  <c r="X206" i="31" s="1"/>
  <c r="O206" i="31"/>
  <c r="BB111" i="20"/>
  <c r="BA111" i="20"/>
  <c r="AZ111" i="20"/>
  <c r="AY111" i="20"/>
  <c r="AX111" i="20"/>
  <c r="AW111" i="20"/>
  <c r="AV111" i="20"/>
  <c r="AU111" i="20"/>
  <c r="V111" i="20"/>
  <c r="AD111" i="20" s="1"/>
  <c r="U111" i="20"/>
  <c r="AC111" i="20" s="1"/>
  <c r="T111" i="20"/>
  <c r="AB111" i="20" s="1"/>
  <c r="BB205" i="31"/>
  <c r="BA205" i="31"/>
  <c r="AZ205" i="31"/>
  <c r="AY205" i="31"/>
  <c r="AX205" i="31"/>
  <c r="AW205" i="31"/>
  <c r="AV205" i="31"/>
  <c r="AU205" i="31"/>
  <c r="V205" i="31"/>
  <c r="AD205" i="31" s="1"/>
  <c r="U205" i="31"/>
  <c r="AC205" i="31" s="1"/>
  <c r="T205" i="31"/>
  <c r="AB205" i="31" s="1"/>
  <c r="R205" i="31"/>
  <c r="Z205" i="31" s="1"/>
  <c r="Q205" i="31"/>
  <c r="Y205" i="31" s="1"/>
  <c r="P205" i="31"/>
  <c r="X205" i="31" s="1"/>
  <c r="N205" i="31"/>
  <c r="D205" i="31"/>
  <c r="BB114" i="20"/>
  <c r="BA114" i="20"/>
  <c r="AZ114" i="20"/>
  <c r="AY114" i="20"/>
  <c r="AX114" i="20"/>
  <c r="AW114" i="20"/>
  <c r="AV114" i="20"/>
  <c r="AU114" i="20"/>
  <c r="V114" i="20"/>
  <c r="AD114" i="20" s="1"/>
  <c r="U114" i="20"/>
  <c r="AC114" i="20" s="1"/>
  <c r="T114" i="20"/>
  <c r="AB114" i="20" s="1"/>
  <c r="BB204" i="31"/>
  <c r="BA204" i="31"/>
  <c r="AZ204" i="31"/>
  <c r="AY204" i="31"/>
  <c r="AX204" i="31"/>
  <c r="AW204" i="31"/>
  <c r="AV204" i="31"/>
  <c r="AU204" i="31"/>
  <c r="V204" i="31"/>
  <c r="AD204" i="31" s="1"/>
  <c r="U204" i="31"/>
  <c r="AC204" i="31" s="1"/>
  <c r="T204" i="31"/>
  <c r="AB204" i="31" s="1"/>
  <c r="S204" i="31"/>
  <c r="AA204" i="31" s="1"/>
  <c r="R204" i="31"/>
  <c r="Z204" i="31" s="1"/>
  <c r="Q204" i="31"/>
  <c r="Y204" i="31" s="1"/>
  <c r="P204" i="31"/>
  <c r="X204" i="31" s="1"/>
  <c r="O204" i="31"/>
  <c r="N204" i="31"/>
  <c r="D204" i="31"/>
  <c r="BB13" i="20"/>
  <c r="BA13" i="20"/>
  <c r="AZ13" i="20"/>
  <c r="AY13" i="20"/>
  <c r="AX13" i="20"/>
  <c r="AW13" i="20"/>
  <c r="AV13" i="20"/>
  <c r="AU13" i="20"/>
  <c r="V13" i="20"/>
  <c r="AD13" i="20" s="1"/>
  <c r="U13" i="20"/>
  <c r="AC13" i="20" s="1"/>
  <c r="T13" i="20"/>
  <c r="AB13" i="20" s="1"/>
  <c r="BB203" i="31"/>
  <c r="BA203" i="31"/>
  <c r="AZ203" i="31"/>
  <c r="AY203" i="31"/>
  <c r="AX203" i="31"/>
  <c r="AW203" i="31"/>
  <c r="AV203" i="31"/>
  <c r="N203" i="31" s="1"/>
  <c r="AU203" i="31"/>
  <c r="V203" i="31"/>
  <c r="AD203" i="31" s="1"/>
  <c r="U203" i="31"/>
  <c r="AC203" i="31" s="1"/>
  <c r="T203" i="31"/>
  <c r="AB203" i="31" s="1"/>
  <c r="S203" i="31"/>
  <c r="AA203" i="31" s="1"/>
  <c r="R203" i="31"/>
  <c r="Z203" i="31" s="1"/>
  <c r="Q203" i="31"/>
  <c r="Y203" i="31" s="1"/>
  <c r="P203" i="31"/>
  <c r="X203" i="31" s="1"/>
  <c r="O203" i="31"/>
  <c r="BB76" i="20"/>
  <c r="BA76" i="20"/>
  <c r="AZ76" i="20"/>
  <c r="AY76" i="20"/>
  <c r="AX76" i="20"/>
  <c r="AW76" i="20"/>
  <c r="AV76" i="20"/>
  <c r="AU76" i="20"/>
  <c r="V76" i="20"/>
  <c r="AD76" i="20" s="1"/>
  <c r="U76" i="20"/>
  <c r="AC76" i="20" s="1"/>
  <c r="T76" i="20"/>
  <c r="AB76" i="20" s="1"/>
  <c r="BB202" i="31"/>
  <c r="BA202" i="31"/>
  <c r="AZ202" i="31"/>
  <c r="AY202" i="31"/>
  <c r="AX202" i="31"/>
  <c r="AW202" i="31"/>
  <c r="AV202" i="31"/>
  <c r="AU202" i="31"/>
  <c r="V202" i="31"/>
  <c r="AD202" i="31" s="1"/>
  <c r="U202" i="31"/>
  <c r="AC202" i="31" s="1"/>
  <c r="T202" i="31"/>
  <c r="AB202" i="31" s="1"/>
  <c r="S202" i="31"/>
  <c r="AA202" i="31" s="1"/>
  <c r="R202" i="31"/>
  <c r="Z202" i="31" s="1"/>
  <c r="Q202" i="31"/>
  <c r="Y202" i="31" s="1"/>
  <c r="O202" i="31"/>
  <c r="N202" i="31"/>
  <c r="D202" i="31"/>
  <c r="BB25" i="20"/>
  <c r="BA25" i="20"/>
  <c r="AZ25" i="20"/>
  <c r="AY25" i="20"/>
  <c r="AX25" i="20"/>
  <c r="AW25" i="20"/>
  <c r="AV25" i="20"/>
  <c r="AU25" i="20"/>
  <c r="V25" i="20"/>
  <c r="AD25" i="20" s="1"/>
  <c r="U25" i="20"/>
  <c r="AC25" i="20" s="1"/>
  <c r="T25" i="20"/>
  <c r="AB25" i="20" s="1"/>
  <c r="BB201" i="31"/>
  <c r="BA201" i="31"/>
  <c r="AZ201" i="31"/>
  <c r="AY201" i="31"/>
  <c r="AX201" i="31"/>
  <c r="AW201" i="31"/>
  <c r="AV201" i="31"/>
  <c r="AU201" i="31"/>
  <c r="V201" i="31"/>
  <c r="AD201" i="31" s="1"/>
  <c r="U201" i="31"/>
  <c r="AC201" i="31" s="1"/>
  <c r="T201" i="31"/>
  <c r="AB201" i="31" s="1"/>
  <c r="S201" i="31"/>
  <c r="AA201" i="31" s="1"/>
  <c r="R201" i="31"/>
  <c r="Z201" i="31" s="1"/>
  <c r="Q201" i="31"/>
  <c r="Y201" i="31" s="1"/>
  <c r="P201" i="31"/>
  <c r="X201" i="31" s="1"/>
  <c r="O201" i="31"/>
  <c r="N201" i="31"/>
  <c r="D201" i="31"/>
  <c r="BB43" i="20"/>
  <c r="BA43" i="20"/>
  <c r="AZ43" i="20"/>
  <c r="AY43" i="20"/>
  <c r="AX43" i="20"/>
  <c r="AW43" i="20"/>
  <c r="AV43" i="20"/>
  <c r="AU43" i="20"/>
  <c r="V43" i="20"/>
  <c r="AD43" i="20" s="1"/>
  <c r="U43" i="20"/>
  <c r="AC43" i="20" s="1"/>
  <c r="T43" i="20"/>
  <c r="AB43" i="20" s="1"/>
  <c r="BB200" i="31"/>
  <c r="BA200" i="31"/>
  <c r="AZ200" i="31"/>
  <c r="AY200" i="31"/>
  <c r="AX200" i="31"/>
  <c r="AW200" i="31"/>
  <c r="AV200" i="31"/>
  <c r="AU200" i="31"/>
  <c r="V200" i="31"/>
  <c r="AD200" i="31" s="1"/>
  <c r="U200" i="31"/>
  <c r="AC200" i="31" s="1"/>
  <c r="T200" i="31"/>
  <c r="AB200" i="31" s="1"/>
  <c r="S200" i="31"/>
  <c r="AA200" i="31" s="1"/>
  <c r="R200" i="31"/>
  <c r="Z200" i="31" s="1"/>
  <c r="Q200" i="31"/>
  <c r="Y200" i="31" s="1"/>
  <c r="P200" i="31"/>
  <c r="X200" i="31" s="1"/>
  <c r="O200" i="31"/>
  <c r="N200" i="31"/>
  <c r="D200" i="31"/>
  <c r="BB57" i="20"/>
  <c r="BA57" i="20"/>
  <c r="AZ57" i="20"/>
  <c r="AY57" i="20"/>
  <c r="AX57" i="20"/>
  <c r="AW57" i="20"/>
  <c r="AV57" i="20"/>
  <c r="AU57" i="20"/>
  <c r="V57" i="20"/>
  <c r="AD57" i="20" s="1"/>
  <c r="U57" i="20"/>
  <c r="AC57" i="20" s="1"/>
  <c r="T57" i="20"/>
  <c r="AB57" i="20" s="1"/>
  <c r="BB199" i="31"/>
  <c r="BA199" i="31"/>
  <c r="AZ199" i="31"/>
  <c r="AY199" i="31"/>
  <c r="AX199" i="31"/>
  <c r="R198" i="31" s="1"/>
  <c r="Z198" i="31" s="1"/>
  <c r="AW199" i="31"/>
  <c r="AV199" i="31"/>
  <c r="AU199" i="31"/>
  <c r="V199" i="31"/>
  <c r="AD199" i="31" s="1"/>
  <c r="U199" i="31"/>
  <c r="AC199" i="31" s="1"/>
  <c r="T199" i="31"/>
  <c r="AB199" i="31" s="1"/>
  <c r="S199" i="31"/>
  <c r="AA199" i="31" s="1"/>
  <c r="R199" i="31"/>
  <c r="Z199" i="31" s="1"/>
  <c r="Q199" i="31"/>
  <c r="Y199" i="31" s="1"/>
  <c r="P199" i="31"/>
  <c r="X199" i="31" s="1"/>
  <c r="O199" i="31"/>
  <c r="N199" i="31"/>
  <c r="D199" i="31"/>
  <c r="BB95" i="20"/>
  <c r="V95" i="20" s="1"/>
  <c r="AD95" i="20" s="1"/>
  <c r="BA95" i="20"/>
  <c r="U95" i="20" s="1"/>
  <c r="AC95" i="20" s="1"/>
  <c r="AZ95" i="20"/>
  <c r="T95" i="20" s="1"/>
  <c r="AB95" i="20" s="1"/>
  <c r="AY95" i="20"/>
  <c r="AX95" i="20"/>
  <c r="AW95" i="20"/>
  <c r="AV95" i="20"/>
  <c r="AU95" i="20"/>
  <c r="BB198" i="31"/>
  <c r="BA198" i="31"/>
  <c r="AZ198" i="31"/>
  <c r="AY198" i="31"/>
  <c r="AX198" i="31"/>
  <c r="AW198" i="31"/>
  <c r="AV198" i="31"/>
  <c r="AU198" i="31"/>
  <c r="V198" i="31"/>
  <c r="AD198" i="31" s="1"/>
  <c r="U198" i="31"/>
  <c r="AC198" i="31" s="1"/>
  <c r="T198" i="31"/>
  <c r="AB198" i="31" s="1"/>
  <c r="S198" i="31"/>
  <c r="AA198" i="31" s="1"/>
  <c r="Q198" i="31"/>
  <c r="Y198" i="31" s="1"/>
  <c r="P198" i="31"/>
  <c r="X198" i="31" s="1"/>
  <c r="O198" i="31"/>
  <c r="N198" i="31"/>
  <c r="D198" i="31"/>
  <c r="BB112" i="20"/>
  <c r="BA112" i="20"/>
  <c r="AZ112" i="20"/>
  <c r="T112" i="20" s="1"/>
  <c r="AB112" i="20" s="1"/>
  <c r="AY112" i="20"/>
  <c r="AX112" i="20"/>
  <c r="AW112" i="20"/>
  <c r="AV112" i="20"/>
  <c r="AU112" i="20"/>
  <c r="V112" i="20"/>
  <c r="AD112" i="20" s="1"/>
  <c r="U112" i="20"/>
  <c r="AC112" i="20" s="1"/>
  <c r="BB197" i="31"/>
  <c r="BA197" i="31"/>
  <c r="AZ197" i="31"/>
  <c r="AY197" i="31"/>
  <c r="AX197" i="31"/>
  <c r="AW197" i="31"/>
  <c r="AV197" i="31"/>
  <c r="AU197" i="31"/>
  <c r="V197" i="31"/>
  <c r="AD197" i="31" s="1"/>
  <c r="U197" i="31"/>
  <c r="AC197" i="31" s="1"/>
  <c r="T197" i="31"/>
  <c r="AB197" i="31" s="1"/>
  <c r="S197" i="31"/>
  <c r="AA197" i="31" s="1"/>
  <c r="R197" i="31"/>
  <c r="Z197" i="31" s="1"/>
  <c r="Q197" i="31"/>
  <c r="Y197" i="31" s="1"/>
  <c r="P197" i="31"/>
  <c r="X197" i="31" s="1"/>
  <c r="O197" i="31"/>
  <c r="N197" i="31"/>
  <c r="D197" i="31"/>
  <c r="BB77" i="20"/>
  <c r="BA77" i="20"/>
  <c r="AZ77" i="20"/>
  <c r="AY77" i="20"/>
  <c r="AX77" i="20"/>
  <c r="AW77" i="20"/>
  <c r="AV77" i="20"/>
  <c r="AU77" i="20"/>
  <c r="V77" i="20"/>
  <c r="AD77" i="20" s="1"/>
  <c r="U77" i="20"/>
  <c r="AC77" i="20" s="1"/>
  <c r="T77" i="20"/>
  <c r="AB77" i="20" s="1"/>
  <c r="BB196" i="31"/>
  <c r="BA196" i="31"/>
  <c r="AZ196" i="31"/>
  <c r="AY196" i="31"/>
  <c r="AX196" i="31"/>
  <c r="R195" i="31" s="1"/>
  <c r="Z195" i="31" s="1"/>
  <c r="AW196" i="31"/>
  <c r="AV196" i="31"/>
  <c r="AU196" i="31"/>
  <c r="V196" i="31"/>
  <c r="AD196" i="31" s="1"/>
  <c r="U196" i="31"/>
  <c r="AC196" i="31" s="1"/>
  <c r="T196" i="31"/>
  <c r="AB196" i="31" s="1"/>
  <c r="S196" i="31"/>
  <c r="AA196" i="31" s="1"/>
  <c r="R196" i="31"/>
  <c r="Z196" i="31" s="1"/>
  <c r="Q196" i="31"/>
  <c r="Y196" i="31" s="1"/>
  <c r="P196" i="31"/>
  <c r="X196" i="31" s="1"/>
  <c r="O196" i="31"/>
  <c r="N196" i="31"/>
  <c r="D196" i="31"/>
  <c r="BB90" i="20"/>
  <c r="V90" i="20" s="1"/>
  <c r="AD90" i="20" s="1"/>
  <c r="BA90" i="20"/>
  <c r="U90" i="20" s="1"/>
  <c r="AC90" i="20" s="1"/>
  <c r="AZ90" i="20"/>
  <c r="T90" i="20" s="1"/>
  <c r="AB90" i="20" s="1"/>
  <c r="AY90" i="20"/>
  <c r="AX90" i="20"/>
  <c r="AW90" i="20"/>
  <c r="AV90" i="20"/>
  <c r="AU90" i="20"/>
  <c r="BB195" i="31"/>
  <c r="BA195" i="31"/>
  <c r="AZ195" i="31"/>
  <c r="AY195" i="31"/>
  <c r="AX195" i="31"/>
  <c r="AW195" i="31"/>
  <c r="AV195" i="31"/>
  <c r="AU195" i="31"/>
  <c r="V195" i="31"/>
  <c r="AD195" i="31" s="1"/>
  <c r="U195" i="31"/>
  <c r="AC195" i="31" s="1"/>
  <c r="T195" i="31"/>
  <c r="AB195" i="31" s="1"/>
  <c r="S195" i="31"/>
  <c r="AA195" i="31" s="1"/>
  <c r="Q195" i="31"/>
  <c r="Y195" i="31" s="1"/>
  <c r="P195" i="31"/>
  <c r="X195" i="31" s="1"/>
  <c r="O195" i="31"/>
  <c r="N195" i="31"/>
  <c r="D195" i="31"/>
  <c r="BB137" i="20"/>
  <c r="BA137" i="20"/>
  <c r="AZ137" i="20"/>
  <c r="T137" i="20" s="1"/>
  <c r="AB137" i="20" s="1"/>
  <c r="AY137" i="20"/>
  <c r="AX137" i="20"/>
  <c r="AW137" i="20"/>
  <c r="AV137" i="20"/>
  <c r="AU137" i="20"/>
  <c r="O137" i="20" s="1"/>
  <c r="V137" i="20"/>
  <c r="AD137" i="20" s="1"/>
  <c r="U137" i="20"/>
  <c r="AC137" i="20" s="1"/>
  <c r="BB194" i="31"/>
  <c r="BA194" i="31"/>
  <c r="AZ194" i="31"/>
  <c r="AY194" i="31"/>
  <c r="AX194" i="31"/>
  <c r="AW194" i="31"/>
  <c r="AV194" i="31"/>
  <c r="AU194" i="31"/>
  <c r="V194" i="31"/>
  <c r="AD194" i="31" s="1"/>
  <c r="U194" i="31"/>
  <c r="AC194" i="31" s="1"/>
  <c r="T194" i="31"/>
  <c r="AB194" i="31" s="1"/>
  <c r="S194" i="31"/>
  <c r="AA194" i="31" s="1"/>
  <c r="Q194" i="31"/>
  <c r="Y194" i="31" s="1"/>
  <c r="P194" i="31"/>
  <c r="X194" i="31" s="1"/>
  <c r="O194" i="31"/>
  <c r="N194" i="31"/>
  <c r="D194" i="31"/>
  <c r="BB40" i="20"/>
  <c r="BA40" i="20"/>
  <c r="AZ40" i="20"/>
  <c r="AY40" i="20"/>
  <c r="AX40" i="20"/>
  <c r="AW40" i="20"/>
  <c r="AV40" i="20"/>
  <c r="AU40" i="20"/>
  <c r="V40" i="20"/>
  <c r="AD40" i="20" s="1"/>
  <c r="U40" i="20"/>
  <c r="AC40" i="20" s="1"/>
  <c r="T40" i="20"/>
  <c r="AB40" i="20" s="1"/>
  <c r="BB193" i="31"/>
  <c r="BA193" i="31"/>
  <c r="AZ193" i="31"/>
  <c r="AY193" i="31"/>
  <c r="AX193" i="31"/>
  <c r="AW193" i="31"/>
  <c r="AV193" i="31"/>
  <c r="AU193" i="31"/>
  <c r="V193" i="31"/>
  <c r="AD193" i="31" s="1"/>
  <c r="U193" i="31"/>
  <c r="AC193" i="31" s="1"/>
  <c r="T193" i="31"/>
  <c r="AB193" i="31" s="1"/>
  <c r="S193" i="31"/>
  <c r="AA193" i="31" s="1"/>
  <c r="R193" i="31"/>
  <c r="Z193" i="31" s="1"/>
  <c r="Q193" i="31"/>
  <c r="Y193" i="31" s="1"/>
  <c r="P193" i="31"/>
  <c r="X193" i="31" s="1"/>
  <c r="O193" i="31"/>
  <c r="N193" i="31"/>
  <c r="D193" i="31"/>
  <c r="BB124" i="20"/>
  <c r="V124" i="20" s="1"/>
  <c r="AD124" i="20" s="1"/>
  <c r="BA124" i="20"/>
  <c r="U124" i="20" s="1"/>
  <c r="AC124" i="20" s="1"/>
  <c r="AZ124" i="20"/>
  <c r="T124" i="20" s="1"/>
  <c r="AB124" i="20" s="1"/>
  <c r="AY124" i="20"/>
  <c r="AX124" i="20"/>
  <c r="AW124" i="20"/>
  <c r="AV124" i="20"/>
  <c r="AU124" i="20"/>
  <c r="BB192" i="31"/>
  <c r="BA192" i="31"/>
  <c r="AZ192" i="31"/>
  <c r="AY192" i="31"/>
  <c r="AX192" i="31"/>
  <c r="AW192" i="31"/>
  <c r="AV192" i="31"/>
  <c r="P190" i="31" s="1"/>
  <c r="X190" i="31" s="1"/>
  <c r="AU192" i="31"/>
  <c r="N192" i="31" s="1"/>
  <c r="V192" i="31"/>
  <c r="AD192" i="31" s="1"/>
  <c r="U192" i="31"/>
  <c r="AC192" i="31" s="1"/>
  <c r="T192" i="31"/>
  <c r="AB192" i="31" s="1"/>
  <c r="S192" i="31"/>
  <c r="AA192" i="31" s="1"/>
  <c r="R192" i="31"/>
  <c r="Z192" i="31" s="1"/>
  <c r="Q192" i="31"/>
  <c r="Y192" i="31" s="1"/>
  <c r="P192" i="31"/>
  <c r="X192" i="31" s="1"/>
  <c r="O192" i="31"/>
  <c r="BB89" i="20"/>
  <c r="BA89" i="20"/>
  <c r="AZ89" i="20"/>
  <c r="AY89" i="20"/>
  <c r="AX89" i="20"/>
  <c r="AW89" i="20"/>
  <c r="AV89" i="20"/>
  <c r="AU89" i="20"/>
  <c r="V89" i="20"/>
  <c r="AD89" i="20" s="1"/>
  <c r="U89" i="20"/>
  <c r="AC89" i="20" s="1"/>
  <c r="T89" i="20"/>
  <c r="AB89" i="20" s="1"/>
  <c r="BB191" i="31"/>
  <c r="BA191" i="31"/>
  <c r="AZ191" i="31"/>
  <c r="AY191" i="31"/>
  <c r="AX191" i="31"/>
  <c r="AW191" i="31"/>
  <c r="AV191" i="31"/>
  <c r="AU191" i="31"/>
  <c r="V191" i="31"/>
  <c r="AD191" i="31" s="1"/>
  <c r="U191" i="31"/>
  <c r="AC191" i="31" s="1"/>
  <c r="T191" i="31"/>
  <c r="AB191" i="31" s="1"/>
  <c r="S191" i="31"/>
  <c r="AA191" i="31" s="1"/>
  <c r="R191" i="31"/>
  <c r="Z191" i="31" s="1"/>
  <c r="Q191" i="31"/>
  <c r="Y191" i="31" s="1"/>
  <c r="O191" i="31"/>
  <c r="N191" i="31"/>
  <c r="D191" i="31"/>
  <c r="BB69" i="20"/>
  <c r="BA69" i="20"/>
  <c r="AZ69" i="20"/>
  <c r="AY69" i="20"/>
  <c r="AX69" i="20"/>
  <c r="AW69" i="20"/>
  <c r="AV69" i="20"/>
  <c r="AU69" i="20"/>
  <c r="V69" i="20"/>
  <c r="AD69" i="20" s="1"/>
  <c r="U69" i="20"/>
  <c r="AC69" i="20" s="1"/>
  <c r="T69" i="20"/>
  <c r="AB69" i="20" s="1"/>
  <c r="BB190" i="31"/>
  <c r="BA190" i="31"/>
  <c r="AZ190" i="31"/>
  <c r="AY190" i="31"/>
  <c r="AX190" i="31"/>
  <c r="AW190" i="31"/>
  <c r="AV190" i="31"/>
  <c r="AU190" i="31"/>
  <c r="V190" i="31"/>
  <c r="AD190" i="31" s="1"/>
  <c r="U190" i="31"/>
  <c r="AC190" i="31" s="1"/>
  <c r="T190" i="31"/>
  <c r="AB190" i="31" s="1"/>
  <c r="S190" i="31"/>
  <c r="AA190" i="31" s="1"/>
  <c r="R190" i="31"/>
  <c r="Z190" i="31" s="1"/>
  <c r="Q190" i="31"/>
  <c r="Y190" i="31" s="1"/>
  <c r="O190" i="31"/>
  <c r="N190" i="31"/>
  <c r="D190" i="31"/>
  <c r="BB33" i="20"/>
  <c r="BA33" i="20"/>
  <c r="AZ33" i="20"/>
  <c r="AY33" i="20"/>
  <c r="AX33" i="20"/>
  <c r="AW33" i="20"/>
  <c r="AV33" i="20"/>
  <c r="AU33" i="20"/>
  <c r="V33" i="20"/>
  <c r="AD33" i="20" s="1"/>
  <c r="U33" i="20"/>
  <c r="AC33" i="20" s="1"/>
  <c r="T33" i="20"/>
  <c r="AB33" i="20" s="1"/>
  <c r="BB189" i="31"/>
  <c r="BA189" i="31"/>
  <c r="AZ189" i="31"/>
  <c r="AY189" i="31"/>
  <c r="AX189" i="31"/>
  <c r="AW189" i="31"/>
  <c r="AV189" i="31"/>
  <c r="AU189" i="31"/>
  <c r="V189" i="31"/>
  <c r="AD189" i="31" s="1"/>
  <c r="U189" i="31"/>
  <c r="AC189" i="31" s="1"/>
  <c r="T189" i="31"/>
  <c r="AB189" i="31" s="1"/>
  <c r="S189" i="31"/>
  <c r="AA189" i="31" s="1"/>
  <c r="R189" i="31"/>
  <c r="Z189" i="31" s="1"/>
  <c r="Q189" i="31"/>
  <c r="Y189" i="31" s="1"/>
  <c r="P189" i="31"/>
  <c r="X189" i="31" s="1"/>
  <c r="O189" i="31"/>
  <c r="N189" i="31"/>
  <c r="D189" i="31"/>
  <c r="BB34" i="20"/>
  <c r="BA34" i="20"/>
  <c r="AZ34" i="20"/>
  <c r="AY34" i="20"/>
  <c r="AX34" i="20"/>
  <c r="AW34" i="20"/>
  <c r="AV34" i="20"/>
  <c r="AU34" i="20"/>
  <c r="V34" i="20"/>
  <c r="AD34" i="20" s="1"/>
  <c r="U34" i="20"/>
  <c r="AC34" i="20" s="1"/>
  <c r="T34" i="20"/>
  <c r="AB34" i="20" s="1"/>
  <c r="BB188" i="31"/>
  <c r="BA188" i="31"/>
  <c r="AZ188" i="31"/>
  <c r="AY188" i="31"/>
  <c r="AX188" i="31"/>
  <c r="AW188" i="31"/>
  <c r="AV188" i="31"/>
  <c r="AU188" i="31"/>
  <c r="V188" i="31"/>
  <c r="AD188" i="31" s="1"/>
  <c r="U188" i="31"/>
  <c r="AC188" i="31" s="1"/>
  <c r="T188" i="31"/>
  <c r="AB188" i="31" s="1"/>
  <c r="S188" i="31"/>
  <c r="AA188" i="31" s="1"/>
  <c r="R188" i="31"/>
  <c r="Z188" i="31" s="1"/>
  <c r="Q188" i="31"/>
  <c r="Y188" i="31" s="1"/>
  <c r="P188" i="31"/>
  <c r="X188" i="31" s="1"/>
  <c r="O188" i="31"/>
  <c r="N188" i="31"/>
  <c r="D188" i="31"/>
  <c r="BB19" i="20"/>
  <c r="BA19" i="20"/>
  <c r="AZ19" i="20"/>
  <c r="AY19" i="20"/>
  <c r="AX19" i="20"/>
  <c r="AW19" i="20"/>
  <c r="AV19" i="20"/>
  <c r="AU19" i="20"/>
  <c r="V19" i="20"/>
  <c r="AD19" i="20" s="1"/>
  <c r="U19" i="20"/>
  <c r="AC19" i="20" s="1"/>
  <c r="T19" i="20"/>
  <c r="AB19" i="20" s="1"/>
  <c r="BB187" i="31"/>
  <c r="BA187" i="31"/>
  <c r="AZ187" i="31"/>
  <c r="AY187" i="31"/>
  <c r="S186" i="31" s="1"/>
  <c r="AA186" i="31" s="1"/>
  <c r="AX187" i="31"/>
  <c r="AW187" i="31"/>
  <c r="AV187" i="31"/>
  <c r="AU187" i="31"/>
  <c r="N187" i="31" s="1"/>
  <c r="V187" i="31"/>
  <c r="AD187" i="31" s="1"/>
  <c r="U187" i="31"/>
  <c r="AC187" i="31" s="1"/>
  <c r="T187" i="31"/>
  <c r="AB187" i="31" s="1"/>
  <c r="S187" i="31"/>
  <c r="AA187" i="31" s="1"/>
  <c r="R187" i="31"/>
  <c r="Z187" i="31" s="1"/>
  <c r="Q187" i="31"/>
  <c r="Y187" i="31" s="1"/>
  <c r="O187" i="31"/>
  <c r="BB44" i="20"/>
  <c r="V44" i="20" s="1"/>
  <c r="AD44" i="20" s="1"/>
  <c r="BA44" i="20"/>
  <c r="U44" i="20" s="1"/>
  <c r="AC44" i="20" s="1"/>
  <c r="AZ44" i="20"/>
  <c r="T44" i="20" s="1"/>
  <c r="AB44" i="20" s="1"/>
  <c r="AY44" i="20"/>
  <c r="AX44" i="20"/>
  <c r="AW44" i="20"/>
  <c r="AV44" i="20"/>
  <c r="AU44" i="20"/>
  <c r="BB186" i="31"/>
  <c r="BA186" i="31"/>
  <c r="AZ186" i="31"/>
  <c r="AY186" i="31"/>
  <c r="AX186" i="31"/>
  <c r="AW186" i="31"/>
  <c r="AV186" i="31"/>
  <c r="AU186" i="31"/>
  <c r="V186" i="31"/>
  <c r="AD186" i="31" s="1"/>
  <c r="U186" i="31"/>
  <c r="AC186" i="31" s="1"/>
  <c r="T186" i="31"/>
  <c r="AB186" i="31" s="1"/>
  <c r="R186" i="31"/>
  <c r="Z186" i="31" s="1"/>
  <c r="Q186" i="31"/>
  <c r="Y186" i="31" s="1"/>
  <c r="P186" i="31"/>
  <c r="X186" i="31" s="1"/>
  <c r="N186" i="31"/>
  <c r="D186" i="31"/>
  <c r="BB51" i="20"/>
  <c r="BA51" i="20"/>
  <c r="AZ51" i="20"/>
  <c r="AY51" i="20"/>
  <c r="AX51" i="20"/>
  <c r="AW51" i="20"/>
  <c r="AV51" i="20"/>
  <c r="AU51" i="20"/>
  <c r="V51" i="20"/>
  <c r="AD51" i="20" s="1"/>
  <c r="U51" i="20"/>
  <c r="AC51" i="20" s="1"/>
  <c r="T51" i="20"/>
  <c r="AB51" i="20" s="1"/>
  <c r="BB185" i="31"/>
  <c r="BA185" i="31"/>
  <c r="AZ185" i="31"/>
  <c r="AY185" i="31"/>
  <c r="AX185" i="31"/>
  <c r="AW185" i="31"/>
  <c r="AV185" i="31"/>
  <c r="AU185" i="31"/>
  <c r="V185" i="31"/>
  <c r="AD185" i="31" s="1"/>
  <c r="U185" i="31"/>
  <c r="AC185" i="31" s="1"/>
  <c r="T185" i="31"/>
  <c r="AB185" i="31" s="1"/>
  <c r="S185" i="31"/>
  <c r="AA185" i="31" s="1"/>
  <c r="R185" i="31"/>
  <c r="Z185" i="31" s="1"/>
  <c r="Q185" i="31"/>
  <c r="Y185" i="31" s="1"/>
  <c r="P185" i="31"/>
  <c r="X185" i="31" s="1"/>
  <c r="O185" i="31"/>
  <c r="N185" i="31"/>
  <c r="D185" i="31"/>
  <c r="BB55" i="20"/>
  <c r="V55" i="20" s="1"/>
  <c r="AD55" i="20" s="1"/>
  <c r="BA55" i="20"/>
  <c r="U55" i="20" s="1"/>
  <c r="AC55" i="20" s="1"/>
  <c r="AZ55" i="20"/>
  <c r="T55" i="20" s="1"/>
  <c r="AB55" i="20" s="1"/>
  <c r="AY55" i="20"/>
  <c r="AX55" i="20"/>
  <c r="AW55" i="20"/>
  <c r="AV55" i="20"/>
  <c r="AU55" i="20"/>
  <c r="BB184" i="31"/>
  <c r="BA184" i="31"/>
  <c r="AZ184" i="31"/>
  <c r="AY184" i="31"/>
  <c r="AX184" i="31"/>
  <c r="R183" i="31" s="1"/>
  <c r="Z183" i="31" s="1"/>
  <c r="AW184" i="31"/>
  <c r="AV184" i="31"/>
  <c r="AU184" i="31"/>
  <c r="V184" i="31"/>
  <c r="AD184" i="31" s="1"/>
  <c r="U184" i="31"/>
  <c r="AC184" i="31" s="1"/>
  <c r="T184" i="31"/>
  <c r="AB184" i="31" s="1"/>
  <c r="S184" i="31"/>
  <c r="AA184" i="31" s="1"/>
  <c r="R184" i="31"/>
  <c r="Z184" i="31" s="1"/>
  <c r="Q184" i="31"/>
  <c r="Y184" i="31" s="1"/>
  <c r="P184" i="31"/>
  <c r="X184" i="31" s="1"/>
  <c r="O184" i="31"/>
  <c r="N184" i="31"/>
  <c r="D184" i="31"/>
  <c r="BB98" i="20"/>
  <c r="BA98" i="20"/>
  <c r="AZ98" i="20"/>
  <c r="AY98" i="20"/>
  <c r="AX98" i="20"/>
  <c r="AW98" i="20"/>
  <c r="AV98" i="20"/>
  <c r="AU98" i="20"/>
  <c r="V98" i="20"/>
  <c r="AD98" i="20" s="1"/>
  <c r="U98" i="20"/>
  <c r="AC98" i="20" s="1"/>
  <c r="T98" i="20"/>
  <c r="AB98" i="20" s="1"/>
  <c r="BB183" i="31"/>
  <c r="BA183" i="31"/>
  <c r="AZ183" i="31"/>
  <c r="AY183" i="31"/>
  <c r="S182" i="31" s="1"/>
  <c r="AA182" i="31" s="1"/>
  <c r="AX183" i="31"/>
  <c r="AW183" i="31"/>
  <c r="Q182" i="31" s="1"/>
  <c r="Y182" i="31" s="1"/>
  <c r="AV183" i="31"/>
  <c r="AU183" i="31"/>
  <c r="N183" i="31" s="1"/>
  <c r="V183" i="31"/>
  <c r="AD183" i="31" s="1"/>
  <c r="U183" i="31"/>
  <c r="AC183" i="31" s="1"/>
  <c r="T183" i="31"/>
  <c r="AB183" i="31" s="1"/>
  <c r="S183" i="31"/>
  <c r="AA183" i="31" s="1"/>
  <c r="Q183" i="31"/>
  <c r="Y183" i="31" s="1"/>
  <c r="P183" i="31"/>
  <c r="X183" i="31" s="1"/>
  <c r="O183" i="31"/>
  <c r="D183" i="31"/>
  <c r="BB104" i="20"/>
  <c r="BA104" i="20"/>
  <c r="AZ104" i="20"/>
  <c r="AY104" i="20"/>
  <c r="AX104" i="20"/>
  <c r="AW104" i="20"/>
  <c r="AV104" i="20"/>
  <c r="AU104" i="20"/>
  <c r="V104" i="20"/>
  <c r="AD104" i="20" s="1"/>
  <c r="U104" i="20"/>
  <c r="AC104" i="20" s="1"/>
  <c r="T104" i="20"/>
  <c r="AB104" i="20" s="1"/>
  <c r="BB182" i="31"/>
  <c r="BA182" i="31"/>
  <c r="AZ182" i="31"/>
  <c r="AY182" i="31"/>
  <c r="AX182" i="31"/>
  <c r="AW182" i="31"/>
  <c r="AV182" i="31"/>
  <c r="AU182" i="31"/>
  <c r="V182" i="31"/>
  <c r="AD182" i="31" s="1"/>
  <c r="U182" i="31"/>
  <c r="AC182" i="31" s="1"/>
  <c r="T182" i="31"/>
  <c r="AB182" i="31" s="1"/>
  <c r="R182" i="31"/>
  <c r="Z182" i="31" s="1"/>
  <c r="P182" i="31"/>
  <c r="X182" i="31" s="1"/>
  <c r="N182" i="31"/>
  <c r="D182" i="31"/>
  <c r="BB52" i="20"/>
  <c r="BA52" i="20"/>
  <c r="AZ52" i="20"/>
  <c r="AY52" i="20"/>
  <c r="AX52" i="20"/>
  <c r="AW52" i="20"/>
  <c r="AV52" i="20"/>
  <c r="AU52" i="20"/>
  <c r="V52" i="20"/>
  <c r="AD52" i="20" s="1"/>
  <c r="U52" i="20"/>
  <c r="AC52" i="20" s="1"/>
  <c r="T52" i="20"/>
  <c r="AB52" i="20" s="1"/>
  <c r="BB181" i="31"/>
  <c r="BA181" i="31"/>
  <c r="AZ181" i="31"/>
  <c r="AY181" i="31"/>
  <c r="AX181" i="31"/>
  <c r="AW181" i="31"/>
  <c r="AV181" i="31"/>
  <c r="AU181" i="31"/>
  <c r="V181" i="31"/>
  <c r="AD181" i="31" s="1"/>
  <c r="U181" i="31"/>
  <c r="AC181" i="31" s="1"/>
  <c r="T181" i="31"/>
  <c r="AB181" i="31" s="1"/>
  <c r="S181" i="31"/>
  <c r="AA181" i="31" s="1"/>
  <c r="R181" i="31"/>
  <c r="Z181" i="31" s="1"/>
  <c r="Q181" i="31"/>
  <c r="Y181" i="31" s="1"/>
  <c r="P181" i="31"/>
  <c r="X181" i="31" s="1"/>
  <c r="O181" i="31"/>
  <c r="N181" i="31"/>
  <c r="D181" i="31"/>
  <c r="BB27" i="20"/>
  <c r="BA27" i="20"/>
  <c r="AZ27" i="20"/>
  <c r="AY27" i="20"/>
  <c r="AX27" i="20"/>
  <c r="AW27" i="20"/>
  <c r="AV27" i="20"/>
  <c r="AU27" i="20"/>
  <c r="V27" i="20"/>
  <c r="AD27" i="20" s="1"/>
  <c r="U27" i="20"/>
  <c r="AC27" i="20" s="1"/>
  <c r="T27" i="20"/>
  <c r="AB27" i="20" s="1"/>
  <c r="BB180" i="31"/>
  <c r="BA180" i="31"/>
  <c r="AZ180" i="31"/>
  <c r="AY180" i="31"/>
  <c r="AX180" i="31"/>
  <c r="AW180" i="31"/>
  <c r="AV180" i="31"/>
  <c r="AU180" i="31"/>
  <c r="V180" i="31"/>
  <c r="AD180" i="31" s="1"/>
  <c r="U180" i="31"/>
  <c r="AC180" i="31" s="1"/>
  <c r="T180" i="31"/>
  <c r="AB180" i="31" s="1"/>
  <c r="S180" i="31"/>
  <c r="AA180" i="31" s="1"/>
  <c r="R180" i="31"/>
  <c r="Z180" i="31" s="1"/>
  <c r="Q180" i="31"/>
  <c r="Y180" i="31" s="1"/>
  <c r="P180" i="31"/>
  <c r="X180" i="31" s="1"/>
  <c r="O180" i="31"/>
  <c r="N180" i="31"/>
  <c r="D180" i="31"/>
  <c r="BB16" i="20"/>
  <c r="BA16" i="20"/>
  <c r="AZ16" i="20"/>
  <c r="AY16" i="20"/>
  <c r="AX16" i="20"/>
  <c r="AW16" i="20"/>
  <c r="AV16" i="20"/>
  <c r="AU16" i="20"/>
  <c r="V16" i="20"/>
  <c r="AD16" i="20" s="1"/>
  <c r="U16" i="20"/>
  <c r="AC16" i="20" s="1"/>
  <c r="T16" i="20"/>
  <c r="AB16" i="20" s="1"/>
  <c r="BB179" i="31"/>
  <c r="BA179" i="31"/>
  <c r="AZ179" i="31"/>
  <c r="AY179" i="31"/>
  <c r="AX179" i="31"/>
  <c r="AW179" i="31"/>
  <c r="AV179" i="31"/>
  <c r="N179" i="31" s="1"/>
  <c r="AU179" i="31"/>
  <c r="V179" i="31"/>
  <c r="AD179" i="31" s="1"/>
  <c r="U179" i="31"/>
  <c r="AC179" i="31" s="1"/>
  <c r="T179" i="31"/>
  <c r="AB179" i="31" s="1"/>
  <c r="S179" i="31"/>
  <c r="AA179" i="31" s="1"/>
  <c r="R179" i="31"/>
  <c r="Z179" i="31" s="1"/>
  <c r="Q179" i="31"/>
  <c r="Y179" i="31" s="1"/>
  <c r="P179" i="31"/>
  <c r="X179" i="31" s="1"/>
  <c r="O179" i="31"/>
  <c r="BB30" i="20"/>
  <c r="BA30" i="20"/>
  <c r="AZ30" i="20"/>
  <c r="AY30" i="20"/>
  <c r="AX30" i="20"/>
  <c r="AW30" i="20"/>
  <c r="AV30" i="20"/>
  <c r="AU30" i="20"/>
  <c r="V30" i="20"/>
  <c r="AD30" i="20" s="1"/>
  <c r="U30" i="20"/>
  <c r="AC30" i="20" s="1"/>
  <c r="T30" i="20"/>
  <c r="AB30" i="20" s="1"/>
  <c r="BB178" i="31"/>
  <c r="BA178" i="31"/>
  <c r="AZ178" i="31"/>
  <c r="AY178" i="31"/>
  <c r="AX178" i="31"/>
  <c r="AW178" i="31"/>
  <c r="AV178" i="31"/>
  <c r="AU178" i="31"/>
  <c r="V178" i="31"/>
  <c r="AD178" i="31" s="1"/>
  <c r="U178" i="31"/>
  <c r="AC178" i="31" s="1"/>
  <c r="T178" i="31"/>
  <c r="AB178" i="31" s="1"/>
  <c r="S178" i="31"/>
  <c r="AA178" i="31" s="1"/>
  <c r="R178" i="31"/>
  <c r="Z178" i="31" s="1"/>
  <c r="Q178" i="31"/>
  <c r="Y178" i="31" s="1"/>
  <c r="O178" i="31"/>
  <c r="N178" i="31"/>
  <c r="D178" i="31"/>
  <c r="BB177" i="31"/>
  <c r="BA177" i="31"/>
  <c r="AZ177" i="31"/>
  <c r="AY177" i="31"/>
  <c r="S176" i="31" s="1"/>
  <c r="AA176" i="31" s="1"/>
  <c r="AX177" i="31"/>
  <c r="AW177" i="31"/>
  <c r="AV177" i="31"/>
  <c r="AU177" i="31"/>
  <c r="N177" i="31" s="1"/>
  <c r="V177" i="31"/>
  <c r="AD177" i="31" s="1"/>
  <c r="U177" i="31"/>
  <c r="AC177" i="31" s="1"/>
  <c r="T177" i="31"/>
  <c r="AB177" i="31" s="1"/>
  <c r="S177" i="31"/>
  <c r="AA177" i="31" s="1"/>
  <c r="R177" i="31"/>
  <c r="Z177" i="31" s="1"/>
  <c r="Q177" i="31"/>
  <c r="Y177" i="31" s="1"/>
  <c r="P177" i="31"/>
  <c r="X177" i="31" s="1"/>
  <c r="O177" i="31"/>
  <c r="BB41" i="20"/>
  <c r="BA41" i="20"/>
  <c r="AZ41" i="20"/>
  <c r="AY41" i="20"/>
  <c r="AX41" i="20"/>
  <c r="AW41" i="20"/>
  <c r="AV41" i="20"/>
  <c r="AU41" i="20"/>
  <c r="V41" i="20"/>
  <c r="AD41" i="20" s="1"/>
  <c r="U41" i="20"/>
  <c r="AC41" i="20" s="1"/>
  <c r="T41" i="20"/>
  <c r="AB41" i="20" s="1"/>
  <c r="BB176" i="31"/>
  <c r="BA176" i="31"/>
  <c r="AZ176" i="31"/>
  <c r="AY176" i="31"/>
  <c r="AX176" i="31"/>
  <c r="AW176" i="31"/>
  <c r="AV176" i="31"/>
  <c r="P175" i="31" s="1"/>
  <c r="X175" i="31" s="1"/>
  <c r="AU176" i="31"/>
  <c r="N176" i="31" s="1"/>
  <c r="V176" i="31"/>
  <c r="AD176" i="31" s="1"/>
  <c r="U176" i="31"/>
  <c r="AC176" i="31" s="1"/>
  <c r="T176" i="31"/>
  <c r="AB176" i="31" s="1"/>
  <c r="R176" i="31"/>
  <c r="Z176" i="31" s="1"/>
  <c r="Q176" i="31"/>
  <c r="Y176" i="31" s="1"/>
  <c r="P176" i="31"/>
  <c r="X176" i="31" s="1"/>
  <c r="BB14" i="20"/>
  <c r="BA14" i="20"/>
  <c r="AZ14" i="20"/>
  <c r="AY14" i="20"/>
  <c r="AX14" i="20"/>
  <c r="AW14" i="20"/>
  <c r="AV14" i="20"/>
  <c r="AU14" i="20"/>
  <c r="V14" i="20"/>
  <c r="AD14" i="20" s="1"/>
  <c r="U14" i="20"/>
  <c r="AC14" i="20" s="1"/>
  <c r="T14" i="20"/>
  <c r="AB14" i="20" s="1"/>
  <c r="BB175" i="31"/>
  <c r="BA175" i="31"/>
  <c r="AZ175" i="31"/>
  <c r="AY175" i="31"/>
  <c r="AX175" i="31"/>
  <c r="AW175" i="31"/>
  <c r="AV175" i="31"/>
  <c r="AU175" i="31"/>
  <c r="V175" i="31"/>
  <c r="AD175" i="31" s="1"/>
  <c r="U175" i="31"/>
  <c r="AC175" i="31" s="1"/>
  <c r="T175" i="31"/>
  <c r="AB175" i="31" s="1"/>
  <c r="S175" i="31"/>
  <c r="AA175" i="31" s="1"/>
  <c r="R175" i="31"/>
  <c r="Z175" i="31" s="1"/>
  <c r="Q175" i="31"/>
  <c r="Y175" i="31" s="1"/>
  <c r="O175" i="31"/>
  <c r="N175" i="31"/>
  <c r="D175" i="31"/>
  <c r="BB158" i="20"/>
  <c r="BA158" i="20"/>
  <c r="AZ158" i="20"/>
  <c r="AY158" i="20"/>
  <c r="AX158" i="20"/>
  <c r="R158" i="20" s="1"/>
  <c r="Z158" i="20" s="1"/>
  <c r="AW158" i="20"/>
  <c r="AV158" i="20"/>
  <c r="AU158" i="20"/>
  <c r="V158" i="20"/>
  <c r="AD158" i="20" s="1"/>
  <c r="U158" i="20"/>
  <c r="AC158" i="20" s="1"/>
  <c r="T158" i="20"/>
  <c r="AB158" i="20" s="1"/>
  <c r="O158" i="20"/>
  <c r="BB174" i="31"/>
  <c r="BA174" i="31"/>
  <c r="AZ174" i="31"/>
  <c r="AY174" i="31"/>
  <c r="AX174" i="31"/>
  <c r="AW174" i="31"/>
  <c r="AV174" i="31"/>
  <c r="AU174" i="31"/>
  <c r="V174" i="31"/>
  <c r="AD174" i="31" s="1"/>
  <c r="U174" i="31"/>
  <c r="AC174" i="31" s="1"/>
  <c r="T174" i="31"/>
  <c r="AB174" i="31" s="1"/>
  <c r="S174" i="31"/>
  <c r="AA174" i="31" s="1"/>
  <c r="R174" i="31"/>
  <c r="Z174" i="31" s="1"/>
  <c r="Q174" i="31"/>
  <c r="Y174" i="31" s="1"/>
  <c r="P174" i="31"/>
  <c r="X174" i="31" s="1"/>
  <c r="O174" i="31"/>
  <c r="N174" i="31"/>
  <c r="D174" i="31"/>
  <c r="BB173" i="31"/>
  <c r="BA173" i="31"/>
  <c r="AZ173" i="31"/>
  <c r="AY173" i="31"/>
  <c r="AX173" i="31"/>
  <c r="AW173" i="31"/>
  <c r="AV173" i="31"/>
  <c r="N173" i="31" s="1"/>
  <c r="AU173" i="31"/>
  <c r="V173" i="31"/>
  <c r="AD173" i="31" s="1"/>
  <c r="U173" i="31"/>
  <c r="AC173" i="31" s="1"/>
  <c r="T173" i="31"/>
  <c r="AB173" i="31" s="1"/>
  <c r="S173" i="31"/>
  <c r="AA173" i="31" s="1"/>
  <c r="R173" i="31"/>
  <c r="Z173" i="31" s="1"/>
  <c r="Q173" i="31"/>
  <c r="Y173" i="31" s="1"/>
  <c r="P173" i="31"/>
  <c r="X173" i="31" s="1"/>
  <c r="O173" i="31"/>
  <c r="D173" i="31"/>
  <c r="BB146" i="20"/>
  <c r="BA146" i="20"/>
  <c r="AZ146" i="20"/>
  <c r="AY146" i="20"/>
  <c r="AX146" i="20"/>
  <c r="R146" i="20" s="1"/>
  <c r="Z146" i="20" s="1"/>
  <c r="AW146" i="20"/>
  <c r="AV146" i="20"/>
  <c r="AU146" i="20"/>
  <c r="O146" i="20" s="1"/>
  <c r="V146" i="20"/>
  <c r="AD146" i="20" s="1"/>
  <c r="U146" i="20"/>
  <c r="AC146" i="20" s="1"/>
  <c r="T146" i="20"/>
  <c r="AB146" i="20" s="1"/>
  <c r="BB172" i="31"/>
  <c r="BA172" i="31"/>
  <c r="AZ172" i="31"/>
  <c r="AY172" i="31"/>
  <c r="AX172" i="31"/>
  <c r="AW172" i="31"/>
  <c r="AV172" i="31"/>
  <c r="N172" i="31" s="1"/>
  <c r="AU172" i="31"/>
  <c r="V172" i="31"/>
  <c r="AD172" i="31" s="1"/>
  <c r="U172" i="31"/>
  <c r="AC172" i="31" s="1"/>
  <c r="T172" i="31"/>
  <c r="AB172" i="31" s="1"/>
  <c r="S172" i="31"/>
  <c r="AA172" i="31" s="1"/>
  <c r="R172" i="31"/>
  <c r="Z172" i="31" s="1"/>
  <c r="Q172" i="31"/>
  <c r="Y172" i="31" s="1"/>
  <c r="P172" i="31"/>
  <c r="X172" i="31" s="1"/>
  <c r="O172" i="31"/>
  <c r="D172" i="31"/>
  <c r="BB5" i="20"/>
  <c r="V5" i="20" s="1"/>
  <c r="AD5" i="20" s="1"/>
  <c r="BA5" i="20"/>
  <c r="U5" i="20" s="1"/>
  <c r="AC5" i="20" s="1"/>
  <c r="AZ5" i="20"/>
  <c r="T5" i="20" s="1"/>
  <c r="AB5" i="20" s="1"/>
  <c r="AY5" i="20"/>
  <c r="AX5" i="20"/>
  <c r="AW5" i="20"/>
  <c r="AV5" i="20"/>
  <c r="AU5" i="20"/>
  <c r="BB171" i="31"/>
  <c r="BA171" i="31"/>
  <c r="AZ171" i="31"/>
  <c r="AY171" i="31"/>
  <c r="AX171" i="31"/>
  <c r="AW171" i="31"/>
  <c r="AV171" i="31"/>
  <c r="AU171" i="31"/>
  <c r="V171" i="31"/>
  <c r="AD171" i="31" s="1"/>
  <c r="U171" i="31"/>
  <c r="AC171" i="31" s="1"/>
  <c r="T171" i="31"/>
  <c r="AB171" i="31" s="1"/>
  <c r="S171" i="31"/>
  <c r="AA171" i="31" s="1"/>
  <c r="R171" i="31"/>
  <c r="Z171" i="31" s="1"/>
  <c r="Q171" i="31"/>
  <c r="Y171" i="31" s="1"/>
  <c r="P171" i="31"/>
  <c r="X171" i="31" s="1"/>
  <c r="O171" i="31"/>
  <c r="N171" i="31"/>
  <c r="D171" i="31"/>
  <c r="BB17" i="20"/>
  <c r="BA17" i="20"/>
  <c r="U17" i="20" s="1"/>
  <c r="AC17" i="20" s="1"/>
  <c r="AZ17" i="20"/>
  <c r="T17" i="20" s="1"/>
  <c r="AB17" i="20" s="1"/>
  <c r="AY17" i="20"/>
  <c r="AX17" i="20"/>
  <c r="AW17" i="20"/>
  <c r="AV17" i="20"/>
  <c r="AU17" i="20"/>
  <c r="V17" i="20"/>
  <c r="AD17" i="20" s="1"/>
  <c r="BB170" i="31"/>
  <c r="BA170" i="31"/>
  <c r="AZ170" i="31"/>
  <c r="AY170" i="31"/>
  <c r="AX170" i="31"/>
  <c r="AW170" i="31"/>
  <c r="AV170" i="31"/>
  <c r="AU170" i="31"/>
  <c r="V170" i="31"/>
  <c r="AD170" i="31" s="1"/>
  <c r="U170" i="31"/>
  <c r="AC170" i="31" s="1"/>
  <c r="T170" i="31"/>
  <c r="AB170" i="31" s="1"/>
  <c r="S170" i="31"/>
  <c r="AA170" i="31" s="1"/>
  <c r="R170" i="31"/>
  <c r="Z170" i="31" s="1"/>
  <c r="Q170" i="31"/>
  <c r="Y170" i="31" s="1"/>
  <c r="P170" i="31"/>
  <c r="X170" i="31" s="1"/>
  <c r="O170" i="31"/>
  <c r="N170" i="31"/>
  <c r="D170" i="31"/>
  <c r="BB18" i="20"/>
  <c r="BA18" i="20"/>
  <c r="AZ18" i="20"/>
  <c r="T18" i="20" s="1"/>
  <c r="AB18" i="20" s="1"/>
  <c r="AY18" i="20"/>
  <c r="AX18" i="20"/>
  <c r="AW18" i="20"/>
  <c r="AV18" i="20"/>
  <c r="AU18" i="20"/>
  <c r="V18" i="20"/>
  <c r="AD18" i="20" s="1"/>
  <c r="U18" i="20"/>
  <c r="AC18" i="20" s="1"/>
  <c r="BB169" i="31"/>
  <c r="BA169" i="31"/>
  <c r="AZ169" i="31"/>
  <c r="AY169" i="31"/>
  <c r="AX169" i="31"/>
  <c r="AW169" i="31"/>
  <c r="AV169" i="31"/>
  <c r="N169" i="31" s="1"/>
  <c r="AU169" i="31"/>
  <c r="V169" i="31"/>
  <c r="AD169" i="31" s="1"/>
  <c r="U169" i="31"/>
  <c r="AC169" i="31" s="1"/>
  <c r="T169" i="31"/>
  <c r="AB169" i="31" s="1"/>
  <c r="S169" i="31"/>
  <c r="AA169" i="31" s="1"/>
  <c r="R169" i="31"/>
  <c r="Z169" i="31" s="1"/>
  <c r="Q169" i="31"/>
  <c r="Y169" i="31" s="1"/>
  <c r="P169" i="31"/>
  <c r="X169" i="31" s="1"/>
  <c r="O169" i="31"/>
  <c r="BB3" i="20"/>
  <c r="BA3" i="20"/>
  <c r="U3" i="20" s="1"/>
  <c r="AC3" i="20" s="1"/>
  <c r="AZ3" i="20"/>
  <c r="T3" i="20" s="1"/>
  <c r="AB3" i="20" s="1"/>
  <c r="AY3" i="20"/>
  <c r="AX3" i="20"/>
  <c r="AW3" i="20"/>
  <c r="AV3" i="20"/>
  <c r="AU3" i="20"/>
  <c r="V3" i="20"/>
  <c r="AD3" i="20" s="1"/>
  <c r="BB168" i="31"/>
  <c r="BA168" i="31"/>
  <c r="AZ168" i="31"/>
  <c r="AY168" i="31"/>
  <c r="AX168" i="31"/>
  <c r="AW168" i="31"/>
  <c r="AV168" i="31"/>
  <c r="AU168" i="31"/>
  <c r="V168" i="31"/>
  <c r="AD168" i="31" s="1"/>
  <c r="U168" i="31"/>
  <c r="AC168" i="31" s="1"/>
  <c r="T168" i="31"/>
  <c r="AB168" i="31" s="1"/>
  <c r="S168" i="31"/>
  <c r="AA168" i="31" s="1"/>
  <c r="R168" i="31"/>
  <c r="Z168" i="31" s="1"/>
  <c r="Q168" i="31"/>
  <c r="Y168" i="31" s="1"/>
  <c r="P168" i="31"/>
  <c r="X168" i="31" s="1"/>
  <c r="O168" i="31"/>
  <c r="N168" i="31"/>
  <c r="D168" i="31"/>
  <c r="BB198" i="20"/>
  <c r="BA198" i="20"/>
  <c r="AZ198" i="20"/>
  <c r="AY198" i="20"/>
  <c r="AX198" i="20"/>
  <c r="AW198" i="20"/>
  <c r="AV198" i="20"/>
  <c r="AU198" i="20"/>
  <c r="V198" i="20"/>
  <c r="AD198" i="20" s="1"/>
  <c r="U198" i="20"/>
  <c r="AC198" i="20" s="1"/>
  <c r="T198" i="20"/>
  <c r="AB198" i="20" s="1"/>
  <c r="S198" i="20"/>
  <c r="AA198" i="20" s="1"/>
  <c r="BB167" i="31"/>
  <c r="BA167" i="31"/>
  <c r="AZ167" i="31"/>
  <c r="AY167" i="31"/>
  <c r="AX167" i="31"/>
  <c r="AW167" i="31"/>
  <c r="AV167" i="31"/>
  <c r="AU167" i="31"/>
  <c r="V167" i="31"/>
  <c r="AD167" i="31" s="1"/>
  <c r="U167" i="31"/>
  <c r="AC167" i="31" s="1"/>
  <c r="T167" i="31"/>
  <c r="AB167" i="31" s="1"/>
  <c r="S167" i="31"/>
  <c r="AA167" i="31" s="1"/>
  <c r="R167" i="31"/>
  <c r="Z167" i="31" s="1"/>
  <c r="Q167" i="31"/>
  <c r="Y167" i="31" s="1"/>
  <c r="O167" i="31"/>
  <c r="N167" i="31"/>
  <c r="D167" i="31"/>
  <c r="BB122" i="20"/>
  <c r="BA122" i="20"/>
  <c r="AZ122" i="20"/>
  <c r="AY122" i="20"/>
  <c r="AX122" i="20"/>
  <c r="AW122" i="20"/>
  <c r="AV122" i="20"/>
  <c r="AU122" i="20"/>
  <c r="V122" i="20"/>
  <c r="AD122" i="20" s="1"/>
  <c r="U122" i="20"/>
  <c r="AC122" i="20" s="1"/>
  <c r="T122" i="20"/>
  <c r="AB122" i="20" s="1"/>
  <c r="BB166" i="31"/>
  <c r="BA166" i="31"/>
  <c r="AZ166" i="31"/>
  <c r="AY166" i="31"/>
  <c r="AX166" i="31"/>
  <c r="AW166" i="31"/>
  <c r="AV166" i="31"/>
  <c r="AU166" i="31"/>
  <c r="V166" i="31"/>
  <c r="AD166" i="31" s="1"/>
  <c r="U166" i="31"/>
  <c r="AC166" i="31" s="1"/>
  <c r="T166" i="31"/>
  <c r="AB166" i="31" s="1"/>
  <c r="S166" i="31"/>
  <c r="AA166" i="31" s="1"/>
  <c r="R166" i="31"/>
  <c r="Z166" i="31" s="1"/>
  <c r="Q166" i="31"/>
  <c r="Y166" i="31" s="1"/>
  <c r="P166" i="31"/>
  <c r="X166" i="31" s="1"/>
  <c r="O166" i="31"/>
  <c r="N166" i="31"/>
  <c r="D166" i="31"/>
  <c r="BB190" i="20"/>
  <c r="BA190" i="20"/>
  <c r="AZ190" i="20"/>
  <c r="AY190" i="20"/>
  <c r="AX190" i="20"/>
  <c r="R190" i="20" s="1"/>
  <c r="Z190" i="20" s="1"/>
  <c r="AW190" i="20"/>
  <c r="AV190" i="20"/>
  <c r="AU190" i="20"/>
  <c r="V190" i="20"/>
  <c r="AD190" i="20" s="1"/>
  <c r="U190" i="20"/>
  <c r="AC190" i="20" s="1"/>
  <c r="T190" i="20"/>
  <c r="AB190" i="20" s="1"/>
  <c r="O190" i="20"/>
  <c r="BB165" i="31"/>
  <c r="BA165" i="31"/>
  <c r="AZ165" i="31"/>
  <c r="AY165" i="31"/>
  <c r="AX165" i="31"/>
  <c r="AW165" i="31"/>
  <c r="AV165" i="31"/>
  <c r="N165" i="31" s="1"/>
  <c r="AU165" i="31"/>
  <c r="V165" i="31"/>
  <c r="AD165" i="31" s="1"/>
  <c r="U165" i="31"/>
  <c r="AC165" i="31" s="1"/>
  <c r="T165" i="31"/>
  <c r="AB165" i="31" s="1"/>
  <c r="S165" i="31"/>
  <c r="AA165" i="31" s="1"/>
  <c r="R165" i="31"/>
  <c r="Z165" i="31" s="1"/>
  <c r="Q165" i="31"/>
  <c r="Y165" i="31" s="1"/>
  <c r="O165" i="31"/>
  <c r="D165" i="31"/>
  <c r="BB199" i="20"/>
  <c r="BA199" i="20"/>
  <c r="AZ199" i="20"/>
  <c r="AY199" i="20"/>
  <c r="AX199" i="20"/>
  <c r="R199" i="20" s="1"/>
  <c r="Z199" i="20" s="1"/>
  <c r="AW199" i="20"/>
  <c r="AV199" i="20"/>
  <c r="AU199" i="20"/>
  <c r="V199" i="20"/>
  <c r="AD199" i="20" s="1"/>
  <c r="U199" i="20"/>
  <c r="AC199" i="20" s="1"/>
  <c r="T199" i="20"/>
  <c r="AB199" i="20" s="1"/>
  <c r="O199" i="20"/>
  <c r="BB164" i="31"/>
  <c r="BA164" i="31"/>
  <c r="AZ164" i="31"/>
  <c r="AY164" i="31"/>
  <c r="AX164" i="31"/>
  <c r="R163" i="31" s="1"/>
  <c r="Z163" i="31" s="1"/>
  <c r="AW164" i="31"/>
  <c r="AV164" i="31"/>
  <c r="AU164" i="31"/>
  <c r="V164" i="31"/>
  <c r="AD164" i="31" s="1"/>
  <c r="U164" i="31"/>
  <c r="AC164" i="31" s="1"/>
  <c r="T164" i="31"/>
  <c r="AB164" i="31" s="1"/>
  <c r="S164" i="31"/>
  <c r="AA164" i="31" s="1"/>
  <c r="R164" i="31"/>
  <c r="Z164" i="31" s="1"/>
  <c r="Q164" i="31"/>
  <c r="Y164" i="31" s="1"/>
  <c r="O164" i="31"/>
  <c r="BB78" i="20"/>
  <c r="BA78" i="20"/>
  <c r="AZ78" i="20"/>
  <c r="AY78" i="20"/>
  <c r="AX78" i="20"/>
  <c r="AW78" i="20"/>
  <c r="AV78" i="20"/>
  <c r="AU78" i="20"/>
  <c r="V78" i="20"/>
  <c r="AD78" i="20" s="1"/>
  <c r="U78" i="20"/>
  <c r="AC78" i="20" s="1"/>
  <c r="T78" i="20"/>
  <c r="AB78" i="20" s="1"/>
  <c r="BB163" i="31"/>
  <c r="BA163" i="31"/>
  <c r="AZ163" i="31"/>
  <c r="AY163" i="31"/>
  <c r="AX163" i="31"/>
  <c r="AW163" i="31"/>
  <c r="AV163" i="31"/>
  <c r="AU163" i="31"/>
  <c r="V163" i="31"/>
  <c r="AD163" i="31" s="1"/>
  <c r="U163" i="31"/>
  <c r="AC163" i="31" s="1"/>
  <c r="T163" i="31"/>
  <c r="AB163" i="31" s="1"/>
  <c r="S163" i="31"/>
  <c r="AA163" i="31" s="1"/>
  <c r="Q163" i="31"/>
  <c r="Y163" i="31" s="1"/>
  <c r="O163" i="31"/>
  <c r="N163" i="31"/>
  <c r="D163" i="31"/>
  <c r="BB109" i="20"/>
  <c r="BA109" i="20"/>
  <c r="AZ109" i="20"/>
  <c r="AY109" i="20"/>
  <c r="AX109" i="20"/>
  <c r="AW109" i="20"/>
  <c r="AV109" i="20"/>
  <c r="AU109" i="20"/>
  <c r="V109" i="20"/>
  <c r="AD109" i="20" s="1"/>
  <c r="U109" i="20"/>
  <c r="AC109" i="20" s="1"/>
  <c r="T109" i="20"/>
  <c r="AB109" i="20" s="1"/>
  <c r="BB162" i="31"/>
  <c r="BA162" i="31"/>
  <c r="AZ162" i="31"/>
  <c r="AY162" i="31"/>
  <c r="AX162" i="31"/>
  <c r="AW162" i="31"/>
  <c r="AV162" i="31"/>
  <c r="AU162" i="31"/>
  <c r="V162" i="31"/>
  <c r="AD162" i="31" s="1"/>
  <c r="U162" i="31"/>
  <c r="AC162" i="31" s="1"/>
  <c r="T162" i="31"/>
  <c r="AB162" i="31" s="1"/>
  <c r="S162" i="31"/>
  <c r="AA162" i="31" s="1"/>
  <c r="Q162" i="31"/>
  <c r="Y162" i="31" s="1"/>
  <c r="O162" i="31"/>
  <c r="N162" i="31"/>
  <c r="D162" i="31"/>
  <c r="BB60" i="20"/>
  <c r="BA60" i="20"/>
  <c r="AZ60" i="20"/>
  <c r="AY60" i="20"/>
  <c r="AX60" i="20"/>
  <c r="AW60" i="20"/>
  <c r="AV60" i="20"/>
  <c r="AU60" i="20"/>
  <c r="V60" i="20"/>
  <c r="AD60" i="20" s="1"/>
  <c r="U60" i="20"/>
  <c r="AC60" i="20" s="1"/>
  <c r="T60" i="20"/>
  <c r="AB60" i="20" s="1"/>
  <c r="BB161" i="31"/>
  <c r="BA161" i="31"/>
  <c r="AZ161" i="31"/>
  <c r="AY161" i="31"/>
  <c r="AX161" i="31"/>
  <c r="AW161" i="31"/>
  <c r="AV161" i="31"/>
  <c r="P151" i="31" s="1"/>
  <c r="X151" i="31" s="1"/>
  <c r="AU161" i="31"/>
  <c r="V161" i="31"/>
  <c r="AD161" i="31" s="1"/>
  <c r="U161" i="31"/>
  <c r="AC161" i="31" s="1"/>
  <c r="T161" i="31"/>
  <c r="AB161" i="31" s="1"/>
  <c r="S161" i="31"/>
  <c r="AA161" i="31" s="1"/>
  <c r="R161" i="31"/>
  <c r="Z161" i="31" s="1"/>
  <c r="Q161" i="31"/>
  <c r="Y161" i="31" s="1"/>
  <c r="P161" i="31"/>
  <c r="X161" i="31" s="1"/>
  <c r="O161" i="31"/>
  <c r="BB105" i="20"/>
  <c r="BA105" i="20"/>
  <c r="AZ105" i="20"/>
  <c r="T105" i="20" s="1"/>
  <c r="AB105" i="20" s="1"/>
  <c r="AY105" i="20"/>
  <c r="AX105" i="20"/>
  <c r="AW105" i="20"/>
  <c r="AV105" i="20"/>
  <c r="AU105" i="20"/>
  <c r="V105" i="20"/>
  <c r="AD105" i="20" s="1"/>
  <c r="U105" i="20"/>
  <c r="AC105" i="20" s="1"/>
  <c r="BB160" i="31"/>
  <c r="BA160" i="31"/>
  <c r="AZ160" i="31"/>
  <c r="AY160" i="31"/>
  <c r="AX160" i="31"/>
  <c r="AW160" i="31"/>
  <c r="AV160" i="31"/>
  <c r="AU160" i="31"/>
  <c r="V160" i="31"/>
  <c r="AD160" i="31" s="1"/>
  <c r="U160" i="31"/>
  <c r="AC160" i="31" s="1"/>
  <c r="T160" i="31"/>
  <c r="AB160" i="31" s="1"/>
  <c r="S160" i="31"/>
  <c r="AA160" i="31" s="1"/>
  <c r="R160" i="31"/>
  <c r="Z160" i="31" s="1"/>
  <c r="Q160" i="31"/>
  <c r="Y160" i="31" s="1"/>
  <c r="O160" i="31"/>
  <c r="N160" i="31"/>
  <c r="D160" i="31"/>
  <c r="BB45" i="20"/>
  <c r="BA45" i="20"/>
  <c r="AZ45" i="20"/>
  <c r="T45" i="20" s="1"/>
  <c r="AB45" i="20" s="1"/>
  <c r="AY45" i="20"/>
  <c r="AX45" i="20"/>
  <c r="AW45" i="20"/>
  <c r="AV45" i="20"/>
  <c r="AU45" i="20"/>
  <c r="V45" i="20"/>
  <c r="AD45" i="20" s="1"/>
  <c r="U45" i="20"/>
  <c r="AC45" i="20" s="1"/>
  <c r="BB159" i="31"/>
  <c r="BA159" i="31"/>
  <c r="AZ159" i="31"/>
  <c r="AY159" i="31"/>
  <c r="AX159" i="31"/>
  <c r="AW159" i="31"/>
  <c r="AV159" i="31"/>
  <c r="AU159" i="31"/>
  <c r="V159" i="31"/>
  <c r="AD159" i="31" s="1"/>
  <c r="U159" i="31"/>
  <c r="AC159" i="31" s="1"/>
  <c r="T159" i="31"/>
  <c r="AB159" i="31" s="1"/>
  <c r="S159" i="31"/>
  <c r="AA159" i="31" s="1"/>
  <c r="R159" i="31"/>
  <c r="Z159" i="31" s="1"/>
  <c r="Q159" i="31"/>
  <c r="Y159" i="31" s="1"/>
  <c r="O159" i="31"/>
  <c r="N159" i="31"/>
  <c r="D159" i="31"/>
  <c r="BB144" i="20"/>
  <c r="BA144" i="20"/>
  <c r="AZ144" i="20"/>
  <c r="AY144" i="20"/>
  <c r="AX144" i="20"/>
  <c r="R144" i="20" s="1"/>
  <c r="Z144" i="20" s="1"/>
  <c r="AW144" i="20"/>
  <c r="AV144" i="20"/>
  <c r="AU144" i="20"/>
  <c r="V144" i="20"/>
  <c r="AD144" i="20" s="1"/>
  <c r="U144" i="20"/>
  <c r="AC144" i="20" s="1"/>
  <c r="T144" i="20"/>
  <c r="AB144" i="20" s="1"/>
  <c r="O144" i="20"/>
  <c r="BB158" i="31"/>
  <c r="BA158" i="31"/>
  <c r="AZ158" i="31"/>
  <c r="AY158" i="31"/>
  <c r="AX158" i="31"/>
  <c r="AW158" i="31"/>
  <c r="AV158" i="31"/>
  <c r="AU158" i="31"/>
  <c r="N158" i="31" s="1"/>
  <c r="V158" i="31"/>
  <c r="AD158" i="31" s="1"/>
  <c r="U158" i="31"/>
  <c r="AC158" i="31" s="1"/>
  <c r="T158" i="31"/>
  <c r="AB158" i="31" s="1"/>
  <c r="S158" i="31"/>
  <c r="AA158" i="31" s="1"/>
  <c r="R158" i="31"/>
  <c r="Z158" i="31" s="1"/>
  <c r="Q158" i="31"/>
  <c r="Y158" i="31" s="1"/>
  <c r="O158" i="31"/>
  <c r="BB155" i="20"/>
  <c r="BA155" i="20"/>
  <c r="AZ155" i="20"/>
  <c r="AY155" i="20"/>
  <c r="AX155" i="20"/>
  <c r="R155" i="20" s="1"/>
  <c r="Z155" i="20" s="1"/>
  <c r="AW155" i="20"/>
  <c r="AV155" i="20"/>
  <c r="AU155" i="20"/>
  <c r="V155" i="20"/>
  <c r="AD155" i="20" s="1"/>
  <c r="U155" i="20"/>
  <c r="AC155" i="20" s="1"/>
  <c r="T155" i="20"/>
  <c r="AB155" i="20" s="1"/>
  <c r="O155" i="20"/>
  <c r="BB157" i="31"/>
  <c r="BA157" i="31"/>
  <c r="AZ157" i="31"/>
  <c r="AY157" i="31"/>
  <c r="AX157" i="31"/>
  <c r="AW157" i="31"/>
  <c r="AV157" i="31"/>
  <c r="AU157" i="31"/>
  <c r="V157" i="31"/>
  <c r="AD157" i="31" s="1"/>
  <c r="U157" i="31"/>
  <c r="AC157" i="31" s="1"/>
  <c r="T157" i="31"/>
  <c r="AB157" i="31" s="1"/>
  <c r="S157" i="31"/>
  <c r="AA157" i="31" s="1"/>
  <c r="R157" i="31"/>
  <c r="Z157" i="31" s="1"/>
  <c r="Q157" i="31"/>
  <c r="Y157" i="31" s="1"/>
  <c r="O157" i="31"/>
  <c r="N157" i="31"/>
  <c r="D157" i="31"/>
  <c r="BB68" i="20"/>
  <c r="BA68" i="20"/>
  <c r="AZ68" i="20"/>
  <c r="AY68" i="20"/>
  <c r="AX68" i="20"/>
  <c r="AW68" i="20"/>
  <c r="AV68" i="20"/>
  <c r="AU68" i="20"/>
  <c r="V68" i="20"/>
  <c r="AD68" i="20" s="1"/>
  <c r="U68" i="20"/>
  <c r="AC68" i="20" s="1"/>
  <c r="T68" i="20"/>
  <c r="AB68" i="20" s="1"/>
  <c r="BB156" i="31"/>
  <c r="BA156" i="31"/>
  <c r="AZ156" i="31"/>
  <c r="AY156" i="31"/>
  <c r="AX156" i="31"/>
  <c r="AW156" i="31"/>
  <c r="AV156" i="31"/>
  <c r="AU156" i="31"/>
  <c r="D156" i="31" s="1"/>
  <c r="V156" i="31"/>
  <c r="AD156" i="31" s="1"/>
  <c r="U156" i="31"/>
  <c r="AC156" i="31" s="1"/>
  <c r="T156" i="31"/>
  <c r="AB156" i="31" s="1"/>
  <c r="S156" i="31"/>
  <c r="AA156" i="31" s="1"/>
  <c r="R156" i="31"/>
  <c r="Z156" i="31" s="1"/>
  <c r="Q156" i="31"/>
  <c r="Y156" i="31" s="1"/>
  <c r="O156" i="31"/>
  <c r="N156" i="31"/>
  <c r="BB36" i="20"/>
  <c r="BA36" i="20"/>
  <c r="AZ36" i="20"/>
  <c r="AY36" i="20"/>
  <c r="AX36" i="20"/>
  <c r="AW36" i="20"/>
  <c r="AV36" i="20"/>
  <c r="AU36" i="20"/>
  <c r="V36" i="20"/>
  <c r="AD36" i="20" s="1"/>
  <c r="U36" i="20"/>
  <c r="AC36" i="20" s="1"/>
  <c r="T36" i="20"/>
  <c r="AB36" i="20" s="1"/>
  <c r="BB155" i="31"/>
  <c r="BA155" i="31"/>
  <c r="AZ155" i="31"/>
  <c r="AY155" i="31"/>
  <c r="AX155" i="31"/>
  <c r="AW155" i="31"/>
  <c r="AV155" i="31"/>
  <c r="AU155" i="31"/>
  <c r="V155" i="31"/>
  <c r="AD155" i="31" s="1"/>
  <c r="U155" i="31"/>
  <c r="AC155" i="31" s="1"/>
  <c r="T155" i="31"/>
  <c r="AB155" i="31" s="1"/>
  <c r="S155" i="31"/>
  <c r="AA155" i="31" s="1"/>
  <c r="R155" i="31"/>
  <c r="Z155" i="31" s="1"/>
  <c r="Q155" i="31"/>
  <c r="Y155" i="31" s="1"/>
  <c r="O155" i="31"/>
  <c r="N155" i="31"/>
  <c r="D155" i="31"/>
  <c r="BB7" i="20"/>
  <c r="BA7" i="20"/>
  <c r="AZ7" i="20"/>
  <c r="AY7" i="20"/>
  <c r="AX7" i="20"/>
  <c r="AW7" i="20"/>
  <c r="AV7" i="20"/>
  <c r="AU7" i="20"/>
  <c r="V7" i="20"/>
  <c r="AD7" i="20" s="1"/>
  <c r="U7" i="20"/>
  <c r="AC7" i="20" s="1"/>
  <c r="T7" i="20"/>
  <c r="AB7" i="20" s="1"/>
  <c r="BB154" i="31"/>
  <c r="BA154" i="31"/>
  <c r="AZ154" i="31"/>
  <c r="AY154" i="31"/>
  <c r="AX154" i="31"/>
  <c r="AW154" i="31"/>
  <c r="AV154" i="31"/>
  <c r="AU154" i="31"/>
  <c r="V154" i="31"/>
  <c r="AD154" i="31" s="1"/>
  <c r="U154" i="31"/>
  <c r="AC154" i="31" s="1"/>
  <c r="T154" i="31"/>
  <c r="AB154" i="31" s="1"/>
  <c r="S154" i="31"/>
  <c r="AA154" i="31" s="1"/>
  <c r="R154" i="31"/>
  <c r="Z154" i="31" s="1"/>
  <c r="Q154" i="31"/>
  <c r="Y154" i="31" s="1"/>
  <c r="O154" i="31"/>
  <c r="N154" i="31"/>
  <c r="D154" i="31"/>
  <c r="BB63" i="20"/>
  <c r="BA63" i="20"/>
  <c r="AZ63" i="20"/>
  <c r="AY63" i="20"/>
  <c r="AX63" i="20"/>
  <c r="AW63" i="20"/>
  <c r="AV63" i="20"/>
  <c r="AU63" i="20"/>
  <c r="V63" i="20"/>
  <c r="AD63" i="20" s="1"/>
  <c r="U63" i="20"/>
  <c r="AC63" i="20" s="1"/>
  <c r="T63" i="20"/>
  <c r="AB63" i="20" s="1"/>
  <c r="BB153" i="31"/>
  <c r="BA153" i="31"/>
  <c r="AZ153" i="31"/>
  <c r="AY153" i="31"/>
  <c r="AX153" i="31"/>
  <c r="AW153" i="31"/>
  <c r="AV153" i="31"/>
  <c r="AU153" i="31"/>
  <c r="V153" i="31"/>
  <c r="AD153" i="31" s="1"/>
  <c r="U153" i="31"/>
  <c r="AC153" i="31" s="1"/>
  <c r="T153" i="31"/>
  <c r="AB153" i="31" s="1"/>
  <c r="S153" i="31"/>
  <c r="AA153" i="31" s="1"/>
  <c r="R153" i="31"/>
  <c r="Z153" i="31" s="1"/>
  <c r="Q153" i="31"/>
  <c r="Y153" i="31" s="1"/>
  <c r="O153" i="31"/>
  <c r="N153" i="31"/>
  <c r="D153" i="31"/>
  <c r="BB251" i="20"/>
  <c r="BA251" i="20"/>
  <c r="AZ251" i="20"/>
  <c r="T251" i="20" s="1"/>
  <c r="AB251" i="20" s="1"/>
  <c r="AY251" i="20"/>
  <c r="AX251" i="20"/>
  <c r="R251" i="20" s="1"/>
  <c r="Z251" i="20" s="1"/>
  <c r="AW251" i="20"/>
  <c r="Q251" i="20" s="1"/>
  <c r="Y251" i="20" s="1"/>
  <c r="AV251" i="20"/>
  <c r="AU251" i="20"/>
  <c r="O251" i="20" s="1"/>
  <c r="V251" i="20"/>
  <c r="AD251" i="20" s="1"/>
  <c r="U251" i="20"/>
  <c r="AC251" i="20" s="1"/>
  <c r="BB152" i="31"/>
  <c r="BA152" i="31"/>
  <c r="AZ152" i="31"/>
  <c r="AY152" i="31"/>
  <c r="AX152" i="31"/>
  <c r="AW152" i="31"/>
  <c r="AV152" i="31"/>
  <c r="AU152" i="31"/>
  <c r="V152" i="31"/>
  <c r="AD152" i="31" s="1"/>
  <c r="U152" i="31"/>
  <c r="AC152" i="31" s="1"/>
  <c r="T152" i="31"/>
  <c r="AB152" i="31" s="1"/>
  <c r="S152" i="31"/>
  <c r="AA152" i="31" s="1"/>
  <c r="R152" i="31"/>
  <c r="Z152" i="31" s="1"/>
  <c r="Q152" i="31"/>
  <c r="Y152" i="31" s="1"/>
  <c r="O152" i="31"/>
  <c r="N152" i="31"/>
  <c r="D152" i="31"/>
  <c r="BB93" i="20"/>
  <c r="V93" i="20" s="1"/>
  <c r="AD93" i="20" s="1"/>
  <c r="BA93" i="20"/>
  <c r="U93" i="20" s="1"/>
  <c r="AC93" i="20" s="1"/>
  <c r="AZ93" i="20"/>
  <c r="T93" i="20" s="1"/>
  <c r="AB93" i="20" s="1"/>
  <c r="AY93" i="20"/>
  <c r="AX93" i="20"/>
  <c r="AW93" i="20"/>
  <c r="AV93" i="20"/>
  <c r="AU93" i="20"/>
  <c r="BB151" i="31"/>
  <c r="BA151" i="31"/>
  <c r="AZ151" i="31"/>
  <c r="AY151" i="31"/>
  <c r="AX151" i="31"/>
  <c r="AW151" i="31"/>
  <c r="AV151" i="31"/>
  <c r="AU151" i="31"/>
  <c r="V151" i="31"/>
  <c r="AD151" i="31" s="1"/>
  <c r="U151" i="31"/>
  <c r="AC151" i="31" s="1"/>
  <c r="T151" i="31"/>
  <c r="AB151" i="31" s="1"/>
  <c r="S151" i="31"/>
  <c r="AA151" i="31" s="1"/>
  <c r="R151" i="31"/>
  <c r="Z151" i="31" s="1"/>
  <c r="Q151" i="31"/>
  <c r="Y151" i="31" s="1"/>
  <c r="O151" i="31"/>
  <c r="N151" i="31"/>
  <c r="D151" i="31"/>
  <c r="BB192" i="20"/>
  <c r="BA192" i="20"/>
  <c r="U192" i="20" s="1"/>
  <c r="AC192" i="20" s="1"/>
  <c r="AZ192" i="20"/>
  <c r="T192" i="20" s="1"/>
  <c r="AB192" i="20" s="1"/>
  <c r="AY192" i="20"/>
  <c r="AX192" i="20"/>
  <c r="R192" i="20" s="1"/>
  <c r="Z192" i="20" s="1"/>
  <c r="AW192" i="20"/>
  <c r="AV192" i="20"/>
  <c r="AU192" i="20"/>
  <c r="O192" i="20" s="1"/>
  <c r="V192" i="20"/>
  <c r="AD192" i="20" s="1"/>
  <c r="BB150" i="31"/>
  <c r="BA150" i="31"/>
  <c r="AZ150" i="31"/>
  <c r="AY150" i="31"/>
  <c r="S149" i="31" s="1"/>
  <c r="AA149" i="31" s="1"/>
  <c r="AX150" i="31"/>
  <c r="AW150" i="31"/>
  <c r="AV150" i="31"/>
  <c r="P149" i="31" s="1"/>
  <c r="X149" i="31" s="1"/>
  <c r="AU150" i="31"/>
  <c r="N150" i="31" s="1"/>
  <c r="V150" i="31"/>
  <c r="AD150" i="31" s="1"/>
  <c r="U150" i="31"/>
  <c r="AC150" i="31" s="1"/>
  <c r="T150" i="31"/>
  <c r="AB150" i="31" s="1"/>
  <c r="S150" i="31"/>
  <c r="AA150" i="31" s="1"/>
  <c r="R150" i="31"/>
  <c r="Z150" i="31" s="1"/>
  <c r="Q150" i="31"/>
  <c r="Y150" i="31" s="1"/>
  <c r="P150" i="31"/>
  <c r="X150" i="31" s="1"/>
  <c r="O150" i="31"/>
  <c r="BB217" i="20"/>
  <c r="BA217" i="20"/>
  <c r="AZ217" i="20"/>
  <c r="T217" i="20" s="1"/>
  <c r="AB217" i="20" s="1"/>
  <c r="AY217" i="20"/>
  <c r="AX217" i="20"/>
  <c r="R217" i="20" s="1"/>
  <c r="Z217" i="20" s="1"/>
  <c r="AW217" i="20"/>
  <c r="AV217" i="20"/>
  <c r="AU217" i="20"/>
  <c r="O217" i="20" s="1"/>
  <c r="V217" i="20"/>
  <c r="AD217" i="20" s="1"/>
  <c r="U217" i="20"/>
  <c r="AC217" i="20" s="1"/>
  <c r="BB149" i="31"/>
  <c r="BA149" i="31"/>
  <c r="AZ149" i="31"/>
  <c r="AY149" i="31"/>
  <c r="AX149" i="31"/>
  <c r="AW149" i="31"/>
  <c r="AV149" i="31"/>
  <c r="AU149" i="31"/>
  <c r="V149" i="31"/>
  <c r="AD149" i="31" s="1"/>
  <c r="U149" i="31"/>
  <c r="AC149" i="31" s="1"/>
  <c r="T149" i="31"/>
  <c r="AB149" i="31" s="1"/>
  <c r="R149" i="31"/>
  <c r="Z149" i="31" s="1"/>
  <c r="Q149" i="31"/>
  <c r="Y149" i="31" s="1"/>
  <c r="O149" i="31"/>
  <c r="N149" i="31"/>
  <c r="D149" i="31"/>
  <c r="BB242" i="20"/>
  <c r="BA242" i="20"/>
  <c r="AZ242" i="20"/>
  <c r="T242" i="20" s="1"/>
  <c r="AB242" i="20" s="1"/>
  <c r="AY242" i="20"/>
  <c r="AX242" i="20"/>
  <c r="R242" i="20" s="1"/>
  <c r="Z242" i="20" s="1"/>
  <c r="AW242" i="20"/>
  <c r="AV242" i="20"/>
  <c r="AU242" i="20"/>
  <c r="O242" i="20" s="1"/>
  <c r="V242" i="20"/>
  <c r="AD242" i="20" s="1"/>
  <c r="U242" i="20"/>
  <c r="AC242" i="20" s="1"/>
  <c r="BB148" i="31"/>
  <c r="BA148" i="31"/>
  <c r="AZ148" i="31"/>
  <c r="AY148" i="31"/>
  <c r="AX148" i="31"/>
  <c r="AW148" i="31"/>
  <c r="AV148" i="31"/>
  <c r="AU148" i="31"/>
  <c r="V148" i="31"/>
  <c r="AD148" i="31" s="1"/>
  <c r="U148" i="31"/>
  <c r="AC148" i="31" s="1"/>
  <c r="T148" i="31"/>
  <c r="AB148" i="31" s="1"/>
  <c r="S148" i="31"/>
  <c r="AA148" i="31" s="1"/>
  <c r="R148" i="31"/>
  <c r="Z148" i="31" s="1"/>
  <c r="Q148" i="31"/>
  <c r="Y148" i="31" s="1"/>
  <c r="O148" i="31"/>
  <c r="N148" i="31"/>
  <c r="D148" i="31"/>
  <c r="BB241" i="20"/>
  <c r="BA241" i="20"/>
  <c r="U241" i="20" s="1"/>
  <c r="AC241" i="20" s="1"/>
  <c r="AZ241" i="20"/>
  <c r="T241" i="20" s="1"/>
  <c r="AB241" i="20" s="1"/>
  <c r="AY241" i="20"/>
  <c r="AX241" i="20"/>
  <c r="R241" i="20" s="1"/>
  <c r="Z241" i="20" s="1"/>
  <c r="AW241" i="20"/>
  <c r="AV241" i="20"/>
  <c r="AU241" i="20"/>
  <c r="O241" i="20" s="1"/>
  <c r="V241" i="20"/>
  <c r="AD241" i="20" s="1"/>
  <c r="BB147" i="31"/>
  <c r="BA147" i="31"/>
  <c r="AZ147" i="31"/>
  <c r="AY147" i="31"/>
  <c r="AX147" i="31"/>
  <c r="AW147" i="31"/>
  <c r="AV147" i="31"/>
  <c r="AU147" i="31"/>
  <c r="V147" i="31"/>
  <c r="AD147" i="31" s="1"/>
  <c r="U147" i="31"/>
  <c r="AC147" i="31" s="1"/>
  <c r="T147" i="31"/>
  <c r="AB147" i="31" s="1"/>
  <c r="S147" i="31"/>
  <c r="AA147" i="31" s="1"/>
  <c r="R147" i="31"/>
  <c r="Z147" i="31" s="1"/>
  <c r="Q147" i="31"/>
  <c r="Y147" i="31" s="1"/>
  <c r="O147" i="31"/>
  <c r="N147" i="31"/>
  <c r="D147" i="31"/>
  <c r="BB82" i="20"/>
  <c r="V82" i="20" s="1"/>
  <c r="AD82" i="20" s="1"/>
  <c r="BA82" i="20"/>
  <c r="U82" i="20" s="1"/>
  <c r="AC82" i="20" s="1"/>
  <c r="AZ82" i="20"/>
  <c r="T82" i="20" s="1"/>
  <c r="AB82" i="20" s="1"/>
  <c r="AY82" i="20"/>
  <c r="AX82" i="20"/>
  <c r="AW82" i="20"/>
  <c r="AV82" i="20"/>
  <c r="AU82" i="20"/>
  <c r="BB146" i="31"/>
  <c r="BA146" i="31"/>
  <c r="AZ146" i="31"/>
  <c r="AY146" i="31"/>
  <c r="AX146" i="31"/>
  <c r="AW146" i="31"/>
  <c r="N146" i="31" s="1"/>
  <c r="AV146" i="31"/>
  <c r="AU146" i="31"/>
  <c r="V146" i="31"/>
  <c r="AD146" i="31" s="1"/>
  <c r="U146" i="31"/>
  <c r="AC146" i="31" s="1"/>
  <c r="T146" i="31"/>
  <c r="AB146" i="31" s="1"/>
  <c r="R146" i="31"/>
  <c r="Z146" i="31" s="1"/>
  <c r="Q146" i="31"/>
  <c r="Y146" i="31" s="1"/>
  <c r="P146" i="31"/>
  <c r="X146" i="31" s="1"/>
  <c r="D146" i="31"/>
  <c r="BB83" i="20"/>
  <c r="V83" i="20" s="1"/>
  <c r="AD83" i="20" s="1"/>
  <c r="BA83" i="20"/>
  <c r="U83" i="20" s="1"/>
  <c r="AC83" i="20" s="1"/>
  <c r="AZ83" i="20"/>
  <c r="T83" i="20" s="1"/>
  <c r="AB83" i="20" s="1"/>
  <c r="AY83" i="20"/>
  <c r="AX83" i="20"/>
  <c r="AW83" i="20"/>
  <c r="AV83" i="20"/>
  <c r="AU83" i="20"/>
  <c r="BB145" i="31"/>
  <c r="BA145" i="31"/>
  <c r="AZ145" i="31"/>
  <c r="AY145" i="31"/>
  <c r="AX145" i="31"/>
  <c r="AW145" i="31"/>
  <c r="AV145" i="31"/>
  <c r="AU145" i="31"/>
  <c r="V145" i="31"/>
  <c r="AD145" i="31" s="1"/>
  <c r="U145" i="31"/>
  <c r="AC145" i="31" s="1"/>
  <c r="T145" i="31"/>
  <c r="AB145" i="31" s="1"/>
  <c r="S145" i="31"/>
  <c r="AA145" i="31" s="1"/>
  <c r="R145" i="31"/>
  <c r="Z145" i="31" s="1"/>
  <c r="Q145" i="31"/>
  <c r="Y145" i="31" s="1"/>
  <c r="P145" i="31"/>
  <c r="X145" i="31" s="1"/>
  <c r="O145" i="31"/>
  <c r="N145" i="31"/>
  <c r="D145" i="31"/>
  <c r="BB101" i="20"/>
  <c r="V101" i="20" s="1"/>
  <c r="AD101" i="20" s="1"/>
  <c r="BA101" i="20"/>
  <c r="U101" i="20" s="1"/>
  <c r="AC101" i="20" s="1"/>
  <c r="AZ101" i="20"/>
  <c r="T101" i="20" s="1"/>
  <c r="AB101" i="20" s="1"/>
  <c r="AY101" i="20"/>
  <c r="AX101" i="20"/>
  <c r="AW101" i="20"/>
  <c r="AV101" i="20"/>
  <c r="AU101" i="20"/>
  <c r="BB144" i="31"/>
  <c r="BA144" i="31"/>
  <c r="AZ144" i="31"/>
  <c r="AY144" i="31"/>
  <c r="AX144" i="31"/>
  <c r="AW144" i="31"/>
  <c r="AV144" i="31"/>
  <c r="P141" i="31" s="1"/>
  <c r="X141" i="31" s="1"/>
  <c r="AU144" i="31"/>
  <c r="V144" i="31"/>
  <c r="AD144" i="31" s="1"/>
  <c r="U144" i="31"/>
  <c r="AC144" i="31" s="1"/>
  <c r="T144" i="31"/>
  <c r="AB144" i="31" s="1"/>
  <c r="S144" i="31"/>
  <c r="AA144" i="31" s="1"/>
  <c r="R144" i="31"/>
  <c r="Z144" i="31" s="1"/>
  <c r="Q144" i="31"/>
  <c r="Y144" i="31" s="1"/>
  <c r="P144" i="31"/>
  <c r="X144" i="31" s="1"/>
  <c r="O144" i="31"/>
  <c r="BB39" i="20"/>
  <c r="BA39" i="20"/>
  <c r="AZ39" i="20"/>
  <c r="T39" i="20" s="1"/>
  <c r="AB39" i="20" s="1"/>
  <c r="AY39" i="20"/>
  <c r="AX39" i="20"/>
  <c r="AW39" i="20"/>
  <c r="AV39" i="20"/>
  <c r="AU39" i="20"/>
  <c r="V39" i="20"/>
  <c r="AD39" i="20" s="1"/>
  <c r="U39" i="20"/>
  <c r="AC39" i="20" s="1"/>
  <c r="BB143" i="31"/>
  <c r="BA143" i="31"/>
  <c r="AZ143" i="31"/>
  <c r="AY143" i="31"/>
  <c r="AX143" i="31"/>
  <c r="AW143" i="31"/>
  <c r="AV143" i="31"/>
  <c r="AU143" i="31"/>
  <c r="V143" i="31"/>
  <c r="AD143" i="31" s="1"/>
  <c r="U143" i="31"/>
  <c r="AC143" i="31" s="1"/>
  <c r="T143" i="31"/>
  <c r="AB143" i="31" s="1"/>
  <c r="S143" i="31"/>
  <c r="AA143" i="31" s="1"/>
  <c r="R143" i="31"/>
  <c r="Z143" i="31" s="1"/>
  <c r="Q143" i="31"/>
  <c r="Y143" i="31" s="1"/>
  <c r="O143" i="31"/>
  <c r="N143" i="31"/>
  <c r="D143" i="31"/>
  <c r="BB24" i="20"/>
  <c r="V24" i="20" s="1"/>
  <c r="AD24" i="20" s="1"/>
  <c r="BA24" i="20"/>
  <c r="U24" i="20" s="1"/>
  <c r="AC24" i="20" s="1"/>
  <c r="AZ24" i="20"/>
  <c r="T24" i="20" s="1"/>
  <c r="AB24" i="20" s="1"/>
  <c r="AY24" i="20"/>
  <c r="AX24" i="20"/>
  <c r="AW24" i="20"/>
  <c r="AV24" i="20"/>
  <c r="AU24" i="20"/>
  <c r="BB142" i="31"/>
  <c r="BA142" i="31"/>
  <c r="AZ142" i="31"/>
  <c r="AY142" i="31"/>
  <c r="AX142" i="31"/>
  <c r="AW142" i="31"/>
  <c r="AV142" i="31"/>
  <c r="N142" i="31" s="1"/>
  <c r="AU142" i="31"/>
  <c r="V142" i="31"/>
  <c r="AD142" i="31" s="1"/>
  <c r="U142" i="31"/>
  <c r="AC142" i="31" s="1"/>
  <c r="T142" i="31"/>
  <c r="AB142" i="31" s="1"/>
  <c r="S142" i="31"/>
  <c r="AA142" i="31" s="1"/>
  <c r="R142" i="31"/>
  <c r="Z142" i="31" s="1"/>
  <c r="Q142" i="31"/>
  <c r="Y142" i="31" s="1"/>
  <c r="O142" i="31"/>
  <c r="D142" i="31"/>
  <c r="BB204" i="20"/>
  <c r="BA204" i="20"/>
  <c r="U204" i="20" s="1"/>
  <c r="AC204" i="20" s="1"/>
  <c r="AZ204" i="20"/>
  <c r="T204" i="20" s="1"/>
  <c r="AB204" i="20" s="1"/>
  <c r="AY204" i="20"/>
  <c r="AX204" i="20"/>
  <c r="R204" i="20" s="1"/>
  <c r="Z204" i="20" s="1"/>
  <c r="AW204" i="20"/>
  <c r="AV204" i="20"/>
  <c r="AU204" i="20"/>
  <c r="O204" i="20" s="1"/>
  <c r="V204" i="20"/>
  <c r="AD204" i="20" s="1"/>
  <c r="BB141" i="31"/>
  <c r="BA141" i="31"/>
  <c r="AZ141" i="31"/>
  <c r="AY141" i="31"/>
  <c r="AX141" i="31"/>
  <c r="AW141" i="31"/>
  <c r="AV141" i="31"/>
  <c r="AU141" i="31"/>
  <c r="V141" i="31"/>
  <c r="AD141" i="31" s="1"/>
  <c r="U141" i="31"/>
  <c r="AC141" i="31" s="1"/>
  <c r="T141" i="31"/>
  <c r="AB141" i="31" s="1"/>
  <c r="S141" i="31"/>
  <c r="AA141" i="31" s="1"/>
  <c r="R141" i="31"/>
  <c r="Z141" i="31" s="1"/>
  <c r="Q141" i="31"/>
  <c r="Y141" i="31" s="1"/>
  <c r="O141" i="31"/>
  <c r="N141" i="31"/>
  <c r="D141" i="31"/>
  <c r="BB10" i="20"/>
  <c r="BA10" i="20"/>
  <c r="U10" i="20" s="1"/>
  <c r="AC10" i="20" s="1"/>
  <c r="AZ10" i="20"/>
  <c r="T10" i="20" s="1"/>
  <c r="AB10" i="20" s="1"/>
  <c r="AY10" i="20"/>
  <c r="AX10" i="20"/>
  <c r="AW10" i="20"/>
  <c r="AV10" i="20"/>
  <c r="AU10" i="20"/>
  <c r="V10" i="20"/>
  <c r="AD10" i="20" s="1"/>
  <c r="BB140" i="31"/>
  <c r="BA140" i="31"/>
  <c r="AZ140" i="31"/>
  <c r="AY140" i="31"/>
  <c r="AX140" i="31"/>
  <c r="AW140" i="31"/>
  <c r="AV140" i="31"/>
  <c r="AU140" i="31"/>
  <c r="V140" i="31"/>
  <c r="AD140" i="31" s="1"/>
  <c r="U140" i="31"/>
  <c r="AC140" i="31" s="1"/>
  <c r="T140" i="31"/>
  <c r="AB140" i="31" s="1"/>
  <c r="S140" i="31"/>
  <c r="AA140" i="31" s="1"/>
  <c r="R140" i="31"/>
  <c r="Z140" i="31" s="1"/>
  <c r="Q140" i="31"/>
  <c r="Y140" i="31" s="1"/>
  <c r="P140" i="31"/>
  <c r="X140" i="31" s="1"/>
  <c r="O140" i="31"/>
  <c r="N140" i="31"/>
  <c r="D140" i="31"/>
  <c r="BB47" i="20"/>
  <c r="BA47" i="20"/>
  <c r="U47" i="20" s="1"/>
  <c r="AC47" i="20" s="1"/>
  <c r="AZ47" i="20"/>
  <c r="T47" i="20" s="1"/>
  <c r="AB47" i="20" s="1"/>
  <c r="AY47" i="20"/>
  <c r="AX47" i="20"/>
  <c r="AW47" i="20"/>
  <c r="AV47" i="20"/>
  <c r="AU47" i="20"/>
  <c r="V47" i="20"/>
  <c r="AD47" i="20" s="1"/>
  <c r="BB139" i="31"/>
  <c r="BA139" i="31"/>
  <c r="AZ139" i="31"/>
  <c r="AY139" i="31"/>
  <c r="AX139" i="31"/>
  <c r="AW139" i="31"/>
  <c r="AV139" i="31"/>
  <c r="AU139" i="31"/>
  <c r="V139" i="31"/>
  <c r="AD139" i="31" s="1"/>
  <c r="U139" i="31"/>
  <c r="AC139" i="31" s="1"/>
  <c r="T139" i="31"/>
  <c r="AB139" i="31" s="1"/>
  <c r="S139" i="31"/>
  <c r="AA139" i="31" s="1"/>
  <c r="R139" i="31"/>
  <c r="Z139" i="31" s="1"/>
  <c r="Q139" i="31"/>
  <c r="Y139" i="31" s="1"/>
  <c r="O139" i="31"/>
  <c r="N139" i="31"/>
  <c r="D139" i="31"/>
  <c r="BB53" i="20"/>
  <c r="BA53" i="20"/>
  <c r="U53" i="20" s="1"/>
  <c r="AC53" i="20" s="1"/>
  <c r="AZ53" i="20"/>
  <c r="T53" i="20" s="1"/>
  <c r="AB53" i="20" s="1"/>
  <c r="AY53" i="20"/>
  <c r="AX53" i="20"/>
  <c r="AW53" i="20"/>
  <c r="AV53" i="20"/>
  <c r="AU53" i="20"/>
  <c r="V53" i="20"/>
  <c r="AD53" i="20" s="1"/>
  <c r="BB138" i="31"/>
  <c r="BA138" i="31"/>
  <c r="AZ138" i="31"/>
  <c r="AY138" i="31"/>
  <c r="AX138" i="31"/>
  <c r="AW138" i="31"/>
  <c r="AV138" i="31"/>
  <c r="AU138" i="31"/>
  <c r="V138" i="31"/>
  <c r="AD138" i="31" s="1"/>
  <c r="U138" i="31"/>
  <c r="AC138" i="31" s="1"/>
  <c r="T138" i="31"/>
  <c r="AB138" i="31" s="1"/>
  <c r="S138" i="31"/>
  <c r="AA138" i="31" s="1"/>
  <c r="R138" i="31"/>
  <c r="Z138" i="31" s="1"/>
  <c r="Q138" i="31"/>
  <c r="Y138" i="31" s="1"/>
  <c r="P138" i="31"/>
  <c r="X138" i="31" s="1"/>
  <c r="O138" i="31"/>
  <c r="N138" i="31"/>
  <c r="D138" i="31"/>
  <c r="BB38" i="20"/>
  <c r="V38" i="20" s="1"/>
  <c r="AD38" i="20" s="1"/>
  <c r="BA38" i="20"/>
  <c r="U38" i="20" s="1"/>
  <c r="AC38" i="20" s="1"/>
  <c r="AZ38" i="20"/>
  <c r="T38" i="20" s="1"/>
  <c r="AB38" i="20" s="1"/>
  <c r="AY38" i="20"/>
  <c r="AX38" i="20"/>
  <c r="AW38" i="20"/>
  <c r="AV38" i="20"/>
  <c r="AU38" i="20"/>
  <c r="BB137" i="31"/>
  <c r="BA137" i="31"/>
  <c r="AZ137" i="31"/>
  <c r="AY137" i="31"/>
  <c r="AX137" i="31"/>
  <c r="AW137" i="31"/>
  <c r="AV137" i="31"/>
  <c r="AU137" i="31"/>
  <c r="V137" i="31"/>
  <c r="AD137" i="31" s="1"/>
  <c r="U137" i="31"/>
  <c r="AC137" i="31" s="1"/>
  <c r="T137" i="31"/>
  <c r="AB137" i="31" s="1"/>
  <c r="S137" i="31"/>
  <c r="AA137" i="31" s="1"/>
  <c r="R137" i="31"/>
  <c r="Z137" i="31" s="1"/>
  <c r="Q137" i="31"/>
  <c r="Y137" i="31" s="1"/>
  <c r="P137" i="31"/>
  <c r="X137" i="31" s="1"/>
  <c r="O137" i="31"/>
  <c r="N137" i="31"/>
  <c r="D137" i="31"/>
  <c r="BB120" i="20"/>
  <c r="BA120" i="20"/>
  <c r="AZ120" i="20"/>
  <c r="AY120" i="20"/>
  <c r="AX120" i="20"/>
  <c r="AW120" i="20"/>
  <c r="AV120" i="20"/>
  <c r="AU120" i="20"/>
  <c r="V120" i="20"/>
  <c r="AD120" i="20" s="1"/>
  <c r="U120" i="20"/>
  <c r="AC120" i="20" s="1"/>
  <c r="T120" i="20"/>
  <c r="AB120" i="20" s="1"/>
  <c r="BB136" i="31"/>
  <c r="BA136" i="31"/>
  <c r="AZ136" i="31"/>
  <c r="AY136" i="31"/>
  <c r="AX136" i="31"/>
  <c r="AW136" i="31"/>
  <c r="AV136" i="31"/>
  <c r="AU136" i="31"/>
  <c r="V136" i="31"/>
  <c r="AD136" i="31" s="1"/>
  <c r="U136" i="31"/>
  <c r="AC136" i="31" s="1"/>
  <c r="T136" i="31"/>
  <c r="AB136" i="31" s="1"/>
  <c r="S136" i="31"/>
  <c r="AA136" i="31" s="1"/>
  <c r="R136" i="31"/>
  <c r="Z136" i="31" s="1"/>
  <c r="Q136" i="31"/>
  <c r="Y136" i="31" s="1"/>
  <c r="P136" i="31"/>
  <c r="X136" i="31" s="1"/>
  <c r="O136" i="31"/>
  <c r="N136" i="31"/>
  <c r="D136" i="31"/>
  <c r="BB67" i="20"/>
  <c r="BA67" i="20"/>
  <c r="AZ67" i="20"/>
  <c r="AY67" i="20"/>
  <c r="AX67" i="20"/>
  <c r="AW67" i="20"/>
  <c r="AV67" i="20"/>
  <c r="AU67" i="20"/>
  <c r="V67" i="20"/>
  <c r="AD67" i="20" s="1"/>
  <c r="U67" i="20"/>
  <c r="AC67" i="20" s="1"/>
  <c r="T67" i="20"/>
  <c r="AB67" i="20" s="1"/>
  <c r="BB135" i="31"/>
  <c r="BA135" i="31"/>
  <c r="AZ135" i="31"/>
  <c r="AY135" i="31"/>
  <c r="AX135" i="31"/>
  <c r="R134" i="31" s="1"/>
  <c r="Z134" i="31" s="1"/>
  <c r="AW135" i="31"/>
  <c r="AV135" i="31"/>
  <c r="D135" i="31" s="1"/>
  <c r="AU135" i="31"/>
  <c r="V135" i="31"/>
  <c r="AD135" i="31" s="1"/>
  <c r="U135" i="31"/>
  <c r="AC135" i="31" s="1"/>
  <c r="T135" i="31"/>
  <c r="AB135" i="31" s="1"/>
  <c r="S135" i="31"/>
  <c r="AA135" i="31" s="1"/>
  <c r="R135" i="31"/>
  <c r="Z135" i="31" s="1"/>
  <c r="Q135" i="31"/>
  <c r="Y135" i="31" s="1"/>
  <c r="P135" i="31"/>
  <c r="X135" i="31" s="1"/>
  <c r="O135" i="31"/>
  <c r="N135" i="31"/>
  <c r="BB56" i="20"/>
  <c r="BA56" i="20"/>
  <c r="AZ56" i="20"/>
  <c r="AY56" i="20"/>
  <c r="AX56" i="20"/>
  <c r="AW56" i="20"/>
  <c r="AV56" i="20"/>
  <c r="AU56" i="20"/>
  <c r="V56" i="20"/>
  <c r="AD56" i="20" s="1"/>
  <c r="U56" i="20"/>
  <c r="AC56" i="20" s="1"/>
  <c r="T56" i="20"/>
  <c r="AB56" i="20" s="1"/>
  <c r="BB134" i="31"/>
  <c r="BA134" i="31"/>
  <c r="AZ134" i="31"/>
  <c r="AY134" i="31"/>
  <c r="AX134" i="31"/>
  <c r="AW134" i="31"/>
  <c r="AV134" i="31"/>
  <c r="AU134" i="31"/>
  <c r="V134" i="31"/>
  <c r="AD134" i="31" s="1"/>
  <c r="U134" i="31"/>
  <c r="AC134" i="31" s="1"/>
  <c r="T134" i="31"/>
  <c r="AB134" i="31" s="1"/>
  <c r="S134" i="31"/>
  <c r="AA134" i="31" s="1"/>
  <c r="Q134" i="31"/>
  <c r="Y134" i="31" s="1"/>
  <c r="O134" i="31"/>
  <c r="N134" i="31"/>
  <c r="D134" i="31"/>
  <c r="BB74" i="20"/>
  <c r="BA74" i="20"/>
  <c r="AZ74" i="20"/>
  <c r="AY74" i="20"/>
  <c r="AX74" i="20"/>
  <c r="AW74" i="20"/>
  <c r="AV74" i="20"/>
  <c r="AU74" i="20"/>
  <c r="V74" i="20"/>
  <c r="AD74" i="20" s="1"/>
  <c r="U74" i="20"/>
  <c r="AC74" i="20" s="1"/>
  <c r="T74" i="20"/>
  <c r="AB74" i="20" s="1"/>
  <c r="BB133" i="31"/>
  <c r="BA133" i="31"/>
  <c r="AZ133" i="31"/>
  <c r="AY133" i="31"/>
  <c r="AX133" i="31"/>
  <c r="R132" i="31" s="1"/>
  <c r="Z132" i="31" s="1"/>
  <c r="AW133" i="31"/>
  <c r="AV133" i="31"/>
  <c r="AU133" i="31"/>
  <c r="V133" i="31"/>
  <c r="AD133" i="31" s="1"/>
  <c r="U133" i="31"/>
  <c r="AC133" i="31" s="1"/>
  <c r="T133" i="31"/>
  <c r="AB133" i="31" s="1"/>
  <c r="S133" i="31"/>
  <c r="AA133" i="31" s="1"/>
  <c r="R133" i="31"/>
  <c r="Z133" i="31" s="1"/>
  <c r="Q133" i="31"/>
  <c r="Y133" i="31" s="1"/>
  <c r="P133" i="31"/>
  <c r="X133" i="31" s="1"/>
  <c r="O133" i="31"/>
  <c r="N133" i="31"/>
  <c r="D133" i="31"/>
  <c r="BB64" i="20"/>
  <c r="BA64" i="20"/>
  <c r="AZ64" i="20"/>
  <c r="AY64" i="20"/>
  <c r="AX64" i="20"/>
  <c r="AW64" i="20"/>
  <c r="AV64" i="20"/>
  <c r="AU64" i="20"/>
  <c r="V64" i="20"/>
  <c r="AD64" i="20" s="1"/>
  <c r="U64" i="20"/>
  <c r="AC64" i="20" s="1"/>
  <c r="T64" i="20"/>
  <c r="AB64" i="20" s="1"/>
  <c r="BB132" i="31"/>
  <c r="BA132" i="31"/>
  <c r="AZ132" i="31"/>
  <c r="AY132" i="31"/>
  <c r="AX132" i="31"/>
  <c r="AW132" i="31"/>
  <c r="AV132" i="31"/>
  <c r="AU132" i="31"/>
  <c r="V132" i="31"/>
  <c r="AD132" i="31" s="1"/>
  <c r="U132" i="31"/>
  <c r="AC132" i="31" s="1"/>
  <c r="T132" i="31"/>
  <c r="AB132" i="31" s="1"/>
  <c r="S132" i="31"/>
  <c r="AA132" i="31" s="1"/>
  <c r="Q132" i="31"/>
  <c r="Y132" i="31" s="1"/>
  <c r="P132" i="31"/>
  <c r="X132" i="31" s="1"/>
  <c r="O132" i="31"/>
  <c r="N132" i="31"/>
  <c r="D132" i="31"/>
  <c r="BB42" i="20"/>
  <c r="BA42" i="20"/>
  <c r="AZ42" i="20"/>
  <c r="AY42" i="20"/>
  <c r="AX42" i="20"/>
  <c r="AW42" i="20"/>
  <c r="AV42" i="20"/>
  <c r="AU42" i="20"/>
  <c r="V42" i="20"/>
  <c r="AD42" i="20" s="1"/>
  <c r="U42" i="20"/>
  <c r="AC42" i="20" s="1"/>
  <c r="T42" i="20"/>
  <c r="AB42" i="20" s="1"/>
  <c r="BB131" i="31"/>
  <c r="BA131" i="31"/>
  <c r="AZ131" i="31"/>
  <c r="AY131" i="31"/>
  <c r="AX131" i="31"/>
  <c r="AW131" i="31"/>
  <c r="AV131" i="31"/>
  <c r="AU131" i="31"/>
  <c r="V131" i="31"/>
  <c r="AD131" i="31" s="1"/>
  <c r="U131" i="31"/>
  <c r="AC131" i="31" s="1"/>
  <c r="T131" i="31"/>
  <c r="AB131" i="31" s="1"/>
  <c r="S131" i="31"/>
  <c r="AA131" i="31" s="1"/>
  <c r="R131" i="31"/>
  <c r="Z131" i="31" s="1"/>
  <c r="Q131" i="31"/>
  <c r="Y131" i="31" s="1"/>
  <c r="P131" i="31"/>
  <c r="X131" i="31" s="1"/>
  <c r="O131" i="31"/>
  <c r="N131" i="31"/>
  <c r="D131" i="31"/>
  <c r="BB180" i="20"/>
  <c r="BA180" i="20"/>
  <c r="AZ180" i="20"/>
  <c r="AY180" i="20"/>
  <c r="AX180" i="20"/>
  <c r="R180" i="20" s="1"/>
  <c r="Z180" i="20" s="1"/>
  <c r="AW180" i="20"/>
  <c r="AV180" i="20"/>
  <c r="AU180" i="20"/>
  <c r="V180" i="20"/>
  <c r="AD180" i="20" s="1"/>
  <c r="U180" i="20"/>
  <c r="AC180" i="20" s="1"/>
  <c r="T180" i="20"/>
  <c r="AB180" i="20" s="1"/>
  <c r="O180" i="20"/>
  <c r="BB130" i="31"/>
  <c r="BA130" i="31"/>
  <c r="AZ130" i="31"/>
  <c r="AY130" i="31"/>
  <c r="AX130" i="31"/>
  <c r="AW130" i="31"/>
  <c r="AV130" i="31"/>
  <c r="N130" i="31" s="1"/>
  <c r="AU130" i="31"/>
  <c r="V130" i="31"/>
  <c r="AD130" i="31" s="1"/>
  <c r="U130" i="31"/>
  <c r="AC130" i="31" s="1"/>
  <c r="T130" i="31"/>
  <c r="AB130" i="31" s="1"/>
  <c r="S130" i="31"/>
  <c r="AA130" i="31" s="1"/>
  <c r="R130" i="31"/>
  <c r="Z130" i="31" s="1"/>
  <c r="Q130" i="31"/>
  <c r="Y130" i="31" s="1"/>
  <c r="P130" i="31"/>
  <c r="X130" i="31" s="1"/>
  <c r="O130" i="31"/>
  <c r="D130" i="31"/>
  <c r="BB200" i="20"/>
  <c r="BA200" i="20"/>
  <c r="AZ200" i="20"/>
  <c r="AY200" i="20"/>
  <c r="AX200" i="20"/>
  <c r="R200" i="20" s="1"/>
  <c r="Z200" i="20" s="1"/>
  <c r="AW200" i="20"/>
  <c r="AV200" i="20"/>
  <c r="AU200" i="20"/>
  <c r="O200" i="20" s="1"/>
  <c r="V200" i="20"/>
  <c r="AD200" i="20" s="1"/>
  <c r="U200" i="20"/>
  <c r="AC200" i="20" s="1"/>
  <c r="T200" i="20"/>
  <c r="AB200" i="20" s="1"/>
  <c r="BB129" i="31"/>
  <c r="BA129" i="31"/>
  <c r="AZ129" i="31"/>
  <c r="AY129" i="31"/>
  <c r="AX129" i="31"/>
  <c r="AW129" i="31"/>
  <c r="AV129" i="31"/>
  <c r="N129" i="31" s="1"/>
  <c r="AU129" i="31"/>
  <c r="V129" i="31"/>
  <c r="AD129" i="31" s="1"/>
  <c r="U129" i="31"/>
  <c r="AC129" i="31" s="1"/>
  <c r="T129" i="31"/>
  <c r="AB129" i="31" s="1"/>
  <c r="S129" i="31"/>
  <c r="AA129" i="31" s="1"/>
  <c r="R129" i="31"/>
  <c r="Z129" i="31" s="1"/>
  <c r="Q129" i="31"/>
  <c r="Y129" i="31" s="1"/>
  <c r="P129" i="31"/>
  <c r="X129" i="31" s="1"/>
  <c r="O129" i="31"/>
  <c r="D129" i="31"/>
  <c r="BB205" i="20"/>
  <c r="BA205" i="20"/>
  <c r="AZ205" i="20"/>
  <c r="AY205" i="20"/>
  <c r="AX205" i="20"/>
  <c r="R205" i="20" s="1"/>
  <c r="Z205" i="20" s="1"/>
  <c r="AW205" i="20"/>
  <c r="AV205" i="20"/>
  <c r="AU205" i="20"/>
  <c r="O205" i="20" s="1"/>
  <c r="V205" i="20"/>
  <c r="AD205" i="20" s="1"/>
  <c r="U205" i="20"/>
  <c r="AC205" i="20" s="1"/>
  <c r="T205" i="20"/>
  <c r="AB205" i="20" s="1"/>
  <c r="BB128" i="31"/>
  <c r="BA128" i="31"/>
  <c r="AZ128" i="31"/>
  <c r="AY128" i="31"/>
  <c r="AX128" i="31"/>
  <c r="AW128" i="31"/>
  <c r="AV128" i="31"/>
  <c r="AU128" i="31"/>
  <c r="V128" i="31"/>
  <c r="AD128" i="31" s="1"/>
  <c r="U128" i="31"/>
  <c r="AC128" i="31" s="1"/>
  <c r="T128" i="31"/>
  <c r="AB128" i="31" s="1"/>
  <c r="S128" i="31"/>
  <c r="AA128" i="31" s="1"/>
  <c r="R128" i="31"/>
  <c r="Z128" i="31" s="1"/>
  <c r="Q128" i="31"/>
  <c r="Y128" i="31" s="1"/>
  <c r="P128" i="31"/>
  <c r="X128" i="31" s="1"/>
  <c r="O128" i="31"/>
  <c r="N128" i="31"/>
  <c r="D128" i="31"/>
  <c r="BB224" i="20"/>
  <c r="BA224" i="20"/>
  <c r="AZ224" i="20"/>
  <c r="AY224" i="20"/>
  <c r="AX224" i="20"/>
  <c r="R224" i="20" s="1"/>
  <c r="Z224" i="20" s="1"/>
  <c r="AW224" i="20"/>
  <c r="AV224" i="20"/>
  <c r="AU224" i="20"/>
  <c r="V224" i="20"/>
  <c r="AD224" i="20" s="1"/>
  <c r="U224" i="20"/>
  <c r="AC224" i="20" s="1"/>
  <c r="T224" i="20"/>
  <c r="AB224" i="20" s="1"/>
  <c r="O224" i="20"/>
  <c r="BB127" i="31"/>
  <c r="BA127" i="31"/>
  <c r="AZ127" i="31"/>
  <c r="AY127" i="31"/>
  <c r="AX127" i="31"/>
  <c r="AW127" i="31"/>
  <c r="AV127" i="31"/>
  <c r="AU127" i="31"/>
  <c r="N127" i="31" s="1"/>
  <c r="V127" i="31"/>
  <c r="AD127" i="31" s="1"/>
  <c r="U127" i="31"/>
  <c r="AC127" i="31" s="1"/>
  <c r="T127" i="31"/>
  <c r="AB127" i="31" s="1"/>
  <c r="S127" i="31"/>
  <c r="AA127" i="31" s="1"/>
  <c r="R127" i="31"/>
  <c r="Z127" i="31" s="1"/>
  <c r="Q127" i="31"/>
  <c r="Y127" i="31" s="1"/>
  <c r="P127" i="31"/>
  <c r="X127" i="31" s="1"/>
  <c r="O127" i="31"/>
  <c r="D127" i="31"/>
  <c r="BB245" i="20"/>
  <c r="BA245" i="20"/>
  <c r="AZ245" i="20"/>
  <c r="AY245" i="20"/>
  <c r="AX245" i="20"/>
  <c r="AW245" i="20"/>
  <c r="AV245" i="20"/>
  <c r="AU245" i="20"/>
  <c r="O245" i="20" s="1"/>
  <c r="V245" i="20"/>
  <c r="AD245" i="20" s="1"/>
  <c r="U245" i="20"/>
  <c r="AC245" i="20" s="1"/>
  <c r="T245" i="20"/>
  <c r="AB245" i="20" s="1"/>
  <c r="S245" i="20"/>
  <c r="AA245" i="20" s="1"/>
  <c r="R245" i="20"/>
  <c r="Z245" i="20" s="1"/>
  <c r="BB126" i="31"/>
  <c r="BA126" i="31"/>
  <c r="AZ126" i="31"/>
  <c r="AY126" i="31"/>
  <c r="AX126" i="31"/>
  <c r="AW126" i="31"/>
  <c r="AV126" i="31"/>
  <c r="N126" i="31" s="1"/>
  <c r="AU126" i="31"/>
  <c r="V126" i="31"/>
  <c r="AD126" i="31" s="1"/>
  <c r="U126" i="31"/>
  <c r="AC126" i="31" s="1"/>
  <c r="T126" i="31"/>
  <c r="AB126" i="31" s="1"/>
  <c r="S126" i="31"/>
  <c r="AA126" i="31" s="1"/>
  <c r="R126" i="31"/>
  <c r="Z126" i="31" s="1"/>
  <c r="Q126" i="31"/>
  <c r="Y126" i="31" s="1"/>
  <c r="P126" i="31"/>
  <c r="X126" i="31" s="1"/>
  <c r="O126" i="31"/>
  <c r="BB259" i="20"/>
  <c r="BA259" i="20"/>
  <c r="AZ259" i="20"/>
  <c r="AY259" i="20"/>
  <c r="AX259" i="20"/>
  <c r="AW259" i="20"/>
  <c r="AV259" i="20"/>
  <c r="AU259" i="20"/>
  <c r="V259" i="20"/>
  <c r="AD259" i="20" s="1"/>
  <c r="U259" i="20"/>
  <c r="AC259" i="20" s="1"/>
  <c r="T259" i="20"/>
  <c r="AB259" i="20" s="1"/>
  <c r="S259" i="20"/>
  <c r="AA259" i="20" s="1"/>
  <c r="R259" i="20"/>
  <c r="Z259" i="20" s="1"/>
  <c r="Q259" i="20"/>
  <c r="Y259" i="20" s="1"/>
  <c r="P259" i="20"/>
  <c r="X259" i="20" s="1"/>
  <c r="BB125" i="31"/>
  <c r="BA125" i="31"/>
  <c r="AZ125" i="31"/>
  <c r="AY125" i="31"/>
  <c r="AX125" i="31"/>
  <c r="AW125" i="31"/>
  <c r="AV125" i="31"/>
  <c r="AU125" i="31"/>
  <c r="V125" i="31"/>
  <c r="AD125" i="31" s="1"/>
  <c r="U125" i="31"/>
  <c r="AC125" i="31" s="1"/>
  <c r="T125" i="31"/>
  <c r="AB125" i="31" s="1"/>
  <c r="S125" i="31"/>
  <c r="AA125" i="31" s="1"/>
  <c r="R125" i="31"/>
  <c r="Z125" i="31" s="1"/>
  <c r="Q125" i="31"/>
  <c r="Y125" i="31" s="1"/>
  <c r="P125" i="31"/>
  <c r="X125" i="31" s="1"/>
  <c r="O125" i="31"/>
  <c r="N125" i="31"/>
  <c r="D125" i="31"/>
  <c r="BB202" i="20"/>
  <c r="BA202" i="20"/>
  <c r="U202" i="20" s="1"/>
  <c r="AC202" i="20" s="1"/>
  <c r="AZ202" i="20"/>
  <c r="T202" i="20" s="1"/>
  <c r="AB202" i="20" s="1"/>
  <c r="AY202" i="20"/>
  <c r="AX202" i="20"/>
  <c r="R202" i="20" s="1"/>
  <c r="Z202" i="20" s="1"/>
  <c r="AW202" i="20"/>
  <c r="AV202" i="20"/>
  <c r="AU202" i="20"/>
  <c r="O202" i="20" s="1"/>
  <c r="V202" i="20"/>
  <c r="AD202" i="20" s="1"/>
  <c r="BB124" i="31"/>
  <c r="BA124" i="31"/>
  <c r="AZ124" i="31"/>
  <c r="AY124" i="31"/>
  <c r="AX124" i="31"/>
  <c r="R122" i="31" s="1"/>
  <c r="Z122" i="31" s="1"/>
  <c r="AW124" i="31"/>
  <c r="AV124" i="31"/>
  <c r="D124" i="31" s="1"/>
  <c r="AU124" i="31"/>
  <c r="V124" i="31"/>
  <c r="AD124" i="31" s="1"/>
  <c r="U124" i="31"/>
  <c r="AC124" i="31" s="1"/>
  <c r="T124" i="31"/>
  <c r="AB124" i="31" s="1"/>
  <c r="S124" i="31"/>
  <c r="AA124" i="31" s="1"/>
  <c r="R124" i="31"/>
  <c r="Z124" i="31" s="1"/>
  <c r="Q124" i="31"/>
  <c r="Y124" i="31" s="1"/>
  <c r="P124" i="31"/>
  <c r="X124" i="31" s="1"/>
  <c r="O124" i="31"/>
  <c r="N124" i="31"/>
  <c r="BB21" i="20"/>
  <c r="V21" i="20" s="1"/>
  <c r="AD21" i="20" s="1"/>
  <c r="BA21" i="20"/>
  <c r="U21" i="20" s="1"/>
  <c r="AC21" i="20" s="1"/>
  <c r="AZ21" i="20"/>
  <c r="T21" i="20" s="1"/>
  <c r="AB21" i="20" s="1"/>
  <c r="AY21" i="20"/>
  <c r="AX21" i="20"/>
  <c r="AW21" i="20"/>
  <c r="AV21" i="20"/>
  <c r="AU21" i="20"/>
  <c r="BB123" i="31"/>
  <c r="BA123" i="31"/>
  <c r="AZ123" i="31"/>
  <c r="AY123" i="31"/>
  <c r="AX123" i="31"/>
  <c r="AW123" i="31"/>
  <c r="AV123" i="31"/>
  <c r="AU123" i="31"/>
  <c r="V123" i="31"/>
  <c r="AD123" i="31" s="1"/>
  <c r="U123" i="31"/>
  <c r="AC123" i="31" s="1"/>
  <c r="T123" i="31"/>
  <c r="AB123" i="31" s="1"/>
  <c r="S123" i="31"/>
  <c r="AA123" i="31" s="1"/>
  <c r="Q123" i="31"/>
  <c r="Y123" i="31" s="1"/>
  <c r="P123" i="31"/>
  <c r="X123" i="31" s="1"/>
  <c r="O123" i="31"/>
  <c r="N123" i="31"/>
  <c r="D123" i="31"/>
  <c r="BB110" i="20"/>
  <c r="V110" i="20" s="1"/>
  <c r="AD110" i="20" s="1"/>
  <c r="BA110" i="20"/>
  <c r="U110" i="20" s="1"/>
  <c r="AC110" i="20" s="1"/>
  <c r="AZ110" i="20"/>
  <c r="T110" i="20" s="1"/>
  <c r="AB110" i="20" s="1"/>
  <c r="AY110" i="20"/>
  <c r="AX110" i="20"/>
  <c r="AW110" i="20"/>
  <c r="AV110" i="20"/>
  <c r="AU110" i="20"/>
  <c r="BB122" i="31"/>
  <c r="BA122" i="31"/>
  <c r="AZ122" i="31"/>
  <c r="AY122" i="31"/>
  <c r="AX122" i="31"/>
  <c r="AW122" i="31"/>
  <c r="Q121" i="31" s="1"/>
  <c r="Y121" i="31" s="1"/>
  <c r="AV122" i="31"/>
  <c r="AU122" i="31"/>
  <c r="V122" i="31"/>
  <c r="AD122" i="31" s="1"/>
  <c r="U122" i="31"/>
  <c r="AC122" i="31" s="1"/>
  <c r="T122" i="31"/>
  <c r="AB122" i="31" s="1"/>
  <c r="S122" i="31"/>
  <c r="AA122" i="31" s="1"/>
  <c r="Q122" i="31"/>
  <c r="Y122" i="31" s="1"/>
  <c r="P122" i="31"/>
  <c r="X122" i="31" s="1"/>
  <c r="O122" i="31"/>
  <c r="N122" i="31"/>
  <c r="D122" i="31"/>
  <c r="BB220" i="20"/>
  <c r="V220" i="20" s="1"/>
  <c r="AD220" i="20" s="1"/>
  <c r="BA220" i="20"/>
  <c r="U220" i="20" s="1"/>
  <c r="AC220" i="20" s="1"/>
  <c r="AZ220" i="20"/>
  <c r="T220" i="20" s="1"/>
  <c r="AB220" i="20" s="1"/>
  <c r="AY220" i="20"/>
  <c r="AX220" i="20"/>
  <c r="R220" i="20" s="1"/>
  <c r="Z220" i="20" s="1"/>
  <c r="AW220" i="20"/>
  <c r="AV220" i="20"/>
  <c r="AU220" i="20"/>
  <c r="O220" i="20" s="1"/>
  <c r="BB121" i="31"/>
  <c r="BA121" i="31"/>
  <c r="AZ121" i="31"/>
  <c r="AY121" i="31"/>
  <c r="AX121" i="31"/>
  <c r="AW121" i="31"/>
  <c r="AV121" i="31"/>
  <c r="AU121" i="31"/>
  <c r="V121" i="31"/>
  <c r="AD121" i="31" s="1"/>
  <c r="U121" i="31"/>
  <c r="AC121" i="31" s="1"/>
  <c r="T121" i="31"/>
  <c r="AB121" i="31" s="1"/>
  <c r="S121" i="31"/>
  <c r="AA121" i="31" s="1"/>
  <c r="R121" i="31"/>
  <c r="Z121" i="31" s="1"/>
  <c r="P121" i="31"/>
  <c r="X121" i="31" s="1"/>
  <c r="O121" i="31"/>
  <c r="N121" i="31"/>
  <c r="D121" i="31"/>
  <c r="BB257" i="20"/>
  <c r="BA257" i="20"/>
  <c r="AZ257" i="20"/>
  <c r="AY257" i="20"/>
  <c r="AX257" i="20"/>
  <c r="AW257" i="20"/>
  <c r="AV257" i="20"/>
  <c r="AU257" i="20"/>
  <c r="O257" i="20" s="1"/>
  <c r="V257" i="20"/>
  <c r="AD257" i="20" s="1"/>
  <c r="U257" i="20"/>
  <c r="AC257" i="20" s="1"/>
  <c r="T257" i="20"/>
  <c r="AB257" i="20" s="1"/>
  <c r="S257" i="20"/>
  <c r="AA257" i="20" s="1"/>
  <c r="R257" i="20"/>
  <c r="Z257" i="20" s="1"/>
  <c r="BB120" i="31"/>
  <c r="BA120" i="31"/>
  <c r="AZ120" i="31"/>
  <c r="AY120" i="31"/>
  <c r="AX120" i="31"/>
  <c r="AW120" i="31"/>
  <c r="AV120" i="31"/>
  <c r="AU120" i="31"/>
  <c r="V120" i="31"/>
  <c r="AD120" i="31" s="1"/>
  <c r="U120" i="31"/>
  <c r="AC120" i="31" s="1"/>
  <c r="T120" i="31"/>
  <c r="AB120" i="31" s="1"/>
  <c r="S120" i="31"/>
  <c r="AA120" i="31" s="1"/>
  <c r="R120" i="31"/>
  <c r="Z120" i="31" s="1"/>
  <c r="Q120" i="31"/>
  <c r="Y120" i="31" s="1"/>
  <c r="P120" i="31"/>
  <c r="X120" i="31" s="1"/>
  <c r="O120" i="31"/>
  <c r="N120" i="31"/>
  <c r="D120" i="31"/>
  <c r="BB46" i="20"/>
  <c r="BA46" i="20"/>
  <c r="AZ46" i="20"/>
  <c r="AY46" i="20"/>
  <c r="AX46" i="20"/>
  <c r="AW46" i="20"/>
  <c r="AV46" i="20"/>
  <c r="AU46" i="20"/>
  <c r="V46" i="20"/>
  <c r="AD46" i="20" s="1"/>
  <c r="U46" i="20"/>
  <c r="AC46" i="20" s="1"/>
  <c r="T46" i="20"/>
  <c r="AB46" i="20" s="1"/>
  <c r="BB119" i="31"/>
  <c r="BA119" i="31"/>
  <c r="AZ119" i="31"/>
  <c r="AY119" i="31"/>
  <c r="AX119" i="31"/>
  <c r="AW119" i="31"/>
  <c r="AV119" i="31"/>
  <c r="AU119" i="31"/>
  <c r="V119" i="31"/>
  <c r="AD119" i="31" s="1"/>
  <c r="U119" i="31"/>
  <c r="AC119" i="31" s="1"/>
  <c r="T119" i="31"/>
  <c r="AB119" i="31" s="1"/>
  <c r="S119" i="31"/>
  <c r="AA119" i="31" s="1"/>
  <c r="R119" i="31"/>
  <c r="Z119" i="31" s="1"/>
  <c r="Q119" i="31"/>
  <c r="Y119" i="31" s="1"/>
  <c r="P119" i="31"/>
  <c r="X119" i="31" s="1"/>
  <c r="O119" i="31"/>
  <c r="N119" i="31"/>
  <c r="D119" i="31"/>
  <c r="BB15" i="20"/>
  <c r="BA15" i="20"/>
  <c r="AZ15" i="20"/>
  <c r="AY15" i="20"/>
  <c r="AX15" i="20"/>
  <c r="AW15" i="20"/>
  <c r="AV15" i="20"/>
  <c r="AU15" i="20"/>
  <c r="V15" i="20"/>
  <c r="AD15" i="20" s="1"/>
  <c r="U15" i="20"/>
  <c r="AC15" i="20" s="1"/>
  <c r="T15" i="20"/>
  <c r="AB15" i="20" s="1"/>
  <c r="BB118" i="31"/>
  <c r="BA118" i="31"/>
  <c r="AZ118" i="31"/>
  <c r="AY118" i="31"/>
  <c r="AX118" i="31"/>
  <c r="AW118" i="31"/>
  <c r="AV118" i="31"/>
  <c r="N118" i="31" s="1"/>
  <c r="AU118" i="31"/>
  <c r="V118" i="31"/>
  <c r="AD118" i="31" s="1"/>
  <c r="U118" i="31"/>
  <c r="AC118" i="31" s="1"/>
  <c r="T118" i="31"/>
  <c r="AB118" i="31" s="1"/>
  <c r="S118" i="31"/>
  <c r="AA118" i="31" s="1"/>
  <c r="R118" i="31"/>
  <c r="Z118" i="31" s="1"/>
  <c r="Q118" i="31"/>
  <c r="Y118" i="31" s="1"/>
  <c r="P118" i="31"/>
  <c r="X118" i="31" s="1"/>
  <c r="O118" i="31"/>
  <c r="D118" i="31"/>
  <c r="BB238" i="20"/>
  <c r="BA238" i="20"/>
  <c r="AZ238" i="20"/>
  <c r="AY238" i="20"/>
  <c r="AX238" i="20"/>
  <c r="R238" i="20" s="1"/>
  <c r="Z238" i="20" s="1"/>
  <c r="AW238" i="20"/>
  <c r="AV238" i="20"/>
  <c r="AU238" i="20"/>
  <c r="O238" i="20" s="1"/>
  <c r="V238" i="20"/>
  <c r="AD238" i="20" s="1"/>
  <c r="U238" i="20"/>
  <c r="AC238" i="20" s="1"/>
  <c r="T238" i="20"/>
  <c r="AB238" i="20" s="1"/>
  <c r="BB117" i="31"/>
  <c r="BA117" i="31"/>
  <c r="AZ117" i="31"/>
  <c r="AY117" i="31"/>
  <c r="AX117" i="31"/>
  <c r="AW117" i="31"/>
  <c r="Q116" i="31" s="1"/>
  <c r="Y116" i="31" s="1"/>
  <c r="AV117" i="31"/>
  <c r="P115" i="31" s="1"/>
  <c r="X115" i="31" s="1"/>
  <c r="AU117" i="31"/>
  <c r="V117" i="31"/>
  <c r="AD117" i="31" s="1"/>
  <c r="U117" i="31"/>
  <c r="AC117" i="31" s="1"/>
  <c r="T117" i="31"/>
  <c r="AB117" i="31" s="1"/>
  <c r="S117" i="31"/>
  <c r="AA117" i="31" s="1"/>
  <c r="R117" i="31"/>
  <c r="Z117" i="31" s="1"/>
  <c r="Q117" i="31"/>
  <c r="Y117" i="31" s="1"/>
  <c r="P117" i="31"/>
  <c r="X117" i="31" s="1"/>
  <c r="O117" i="31"/>
  <c r="BB209" i="20"/>
  <c r="BA209" i="20"/>
  <c r="AZ209" i="20"/>
  <c r="AY209" i="20"/>
  <c r="AX209" i="20"/>
  <c r="R209" i="20" s="1"/>
  <c r="Z209" i="20" s="1"/>
  <c r="AW209" i="20"/>
  <c r="AV209" i="20"/>
  <c r="AU209" i="20"/>
  <c r="O209" i="20" s="1"/>
  <c r="V209" i="20"/>
  <c r="AD209" i="20" s="1"/>
  <c r="U209" i="20"/>
  <c r="AC209" i="20" s="1"/>
  <c r="T209" i="20"/>
  <c r="AB209" i="20" s="1"/>
  <c r="BB116" i="31"/>
  <c r="BA116" i="31"/>
  <c r="AZ116" i="31"/>
  <c r="AY116" i="31"/>
  <c r="AX116" i="31"/>
  <c r="AW116" i="31"/>
  <c r="AV116" i="31"/>
  <c r="AU116" i="31"/>
  <c r="V116" i="31"/>
  <c r="AD116" i="31" s="1"/>
  <c r="U116" i="31"/>
  <c r="AC116" i="31" s="1"/>
  <c r="T116" i="31"/>
  <c r="AB116" i="31" s="1"/>
  <c r="S116" i="31"/>
  <c r="AA116" i="31" s="1"/>
  <c r="R116" i="31"/>
  <c r="Z116" i="31" s="1"/>
  <c r="O116" i="31"/>
  <c r="N116" i="31"/>
  <c r="D116" i="31"/>
  <c r="BB225" i="20"/>
  <c r="BA225" i="20"/>
  <c r="AZ225" i="20"/>
  <c r="AY225" i="20"/>
  <c r="AX225" i="20"/>
  <c r="R225" i="20" s="1"/>
  <c r="Z225" i="20" s="1"/>
  <c r="AW225" i="20"/>
  <c r="AV225" i="20"/>
  <c r="AU225" i="20"/>
  <c r="V225" i="20"/>
  <c r="AD225" i="20" s="1"/>
  <c r="U225" i="20"/>
  <c r="AC225" i="20" s="1"/>
  <c r="T225" i="20"/>
  <c r="AB225" i="20" s="1"/>
  <c r="BB115" i="31"/>
  <c r="BA115" i="31"/>
  <c r="AZ115" i="31"/>
  <c r="AY115" i="31"/>
  <c r="AX115" i="31"/>
  <c r="AW115" i="31"/>
  <c r="AV115" i="31"/>
  <c r="AU115" i="31"/>
  <c r="V115" i="31"/>
  <c r="AD115" i="31" s="1"/>
  <c r="U115" i="31"/>
  <c r="AC115" i="31" s="1"/>
  <c r="T115" i="31"/>
  <c r="AB115" i="31" s="1"/>
  <c r="S115" i="31"/>
  <c r="AA115" i="31" s="1"/>
  <c r="R115" i="31"/>
  <c r="Z115" i="31" s="1"/>
  <c r="Q115" i="31"/>
  <c r="Y115" i="31" s="1"/>
  <c r="O115" i="31"/>
  <c r="N115" i="31"/>
  <c r="D115" i="31"/>
  <c r="BB114" i="31"/>
  <c r="BA114" i="31"/>
  <c r="AZ114" i="31"/>
  <c r="AY114" i="31"/>
  <c r="AX114" i="31"/>
  <c r="AW114" i="31"/>
  <c r="AV114" i="31"/>
  <c r="AU114" i="31"/>
  <c r="V114" i="31"/>
  <c r="AD114" i="31" s="1"/>
  <c r="U114" i="31"/>
  <c r="AC114" i="31" s="1"/>
  <c r="T114" i="31"/>
  <c r="AB114" i="31" s="1"/>
  <c r="S114" i="31"/>
  <c r="AA114" i="31" s="1"/>
  <c r="R114" i="31"/>
  <c r="Z114" i="31" s="1"/>
  <c r="Q114" i="31"/>
  <c r="Y114" i="31" s="1"/>
  <c r="P114" i="31"/>
  <c r="X114" i="31" s="1"/>
  <c r="O114" i="31"/>
  <c r="N114" i="31"/>
  <c r="D114" i="31"/>
  <c r="BB59" i="20"/>
  <c r="BA59" i="20"/>
  <c r="U59" i="20" s="1"/>
  <c r="AC59" i="20" s="1"/>
  <c r="AZ59" i="20"/>
  <c r="T59" i="20" s="1"/>
  <c r="AB59" i="20" s="1"/>
  <c r="AY59" i="20"/>
  <c r="AX59" i="20"/>
  <c r="AW59" i="20"/>
  <c r="AV59" i="20"/>
  <c r="AU59" i="20"/>
  <c r="V59" i="20"/>
  <c r="AD59" i="20" s="1"/>
  <c r="BB113" i="31"/>
  <c r="BA113" i="31"/>
  <c r="AZ113" i="31"/>
  <c r="AY113" i="31"/>
  <c r="AX113" i="31"/>
  <c r="AW113" i="31"/>
  <c r="AV113" i="31"/>
  <c r="AU113" i="31"/>
  <c r="N113" i="31" s="1"/>
  <c r="V113" i="31"/>
  <c r="AD113" i="31" s="1"/>
  <c r="U113" i="31"/>
  <c r="AC113" i="31" s="1"/>
  <c r="T113" i="31"/>
  <c r="AB113" i="31" s="1"/>
  <c r="S113" i="31"/>
  <c r="AA113" i="31" s="1"/>
  <c r="R113" i="31"/>
  <c r="Z113" i="31" s="1"/>
  <c r="Q113" i="31"/>
  <c r="Y113" i="31" s="1"/>
  <c r="O113" i="31"/>
  <c r="BB216" i="20"/>
  <c r="BA216" i="20"/>
  <c r="AZ216" i="20"/>
  <c r="AY216" i="20"/>
  <c r="AX216" i="20"/>
  <c r="R216" i="20" s="1"/>
  <c r="Z216" i="20" s="1"/>
  <c r="AW216" i="20"/>
  <c r="AV216" i="20"/>
  <c r="AU216" i="20"/>
  <c r="O216" i="20" s="1"/>
  <c r="V216" i="20"/>
  <c r="AD216" i="20" s="1"/>
  <c r="U216" i="20"/>
  <c r="AC216" i="20" s="1"/>
  <c r="T216" i="20"/>
  <c r="AB216" i="20" s="1"/>
  <c r="BB112" i="31"/>
  <c r="BA112" i="31"/>
  <c r="AZ112" i="31"/>
  <c r="AY112" i="31"/>
  <c r="AX112" i="31"/>
  <c r="AW112" i="31"/>
  <c r="AV112" i="31"/>
  <c r="AU112" i="31"/>
  <c r="D112" i="31" s="1"/>
  <c r="V112" i="31"/>
  <c r="AD112" i="31" s="1"/>
  <c r="U112" i="31"/>
  <c r="AC112" i="31" s="1"/>
  <c r="T112" i="31"/>
  <c r="AB112" i="31" s="1"/>
  <c r="S112" i="31"/>
  <c r="AA112" i="31" s="1"/>
  <c r="R112" i="31"/>
  <c r="Z112" i="31" s="1"/>
  <c r="Q112" i="31"/>
  <c r="Y112" i="31" s="1"/>
  <c r="O112" i="31"/>
  <c r="N112" i="31"/>
  <c r="BB214" i="20"/>
  <c r="BA214" i="20"/>
  <c r="AZ214" i="20"/>
  <c r="AY214" i="20"/>
  <c r="AX214" i="20"/>
  <c r="R214" i="20" s="1"/>
  <c r="Z214" i="20" s="1"/>
  <c r="AW214" i="20"/>
  <c r="AV214" i="20"/>
  <c r="AU214" i="20"/>
  <c r="O214" i="20" s="1"/>
  <c r="V214" i="20"/>
  <c r="AD214" i="20" s="1"/>
  <c r="U214" i="20"/>
  <c r="AC214" i="20" s="1"/>
  <c r="T214" i="20"/>
  <c r="AB214" i="20" s="1"/>
  <c r="BB111" i="31"/>
  <c r="BA111" i="31"/>
  <c r="AZ111" i="31"/>
  <c r="AY111" i="31"/>
  <c r="AX111" i="31"/>
  <c r="AW111" i="31"/>
  <c r="AV111" i="31"/>
  <c r="N111" i="31" s="1"/>
  <c r="AU111" i="31"/>
  <c r="V111" i="31"/>
  <c r="AD111" i="31" s="1"/>
  <c r="U111" i="31"/>
  <c r="AC111" i="31" s="1"/>
  <c r="T111" i="31"/>
  <c r="AB111" i="31" s="1"/>
  <c r="S111" i="31"/>
  <c r="AA111" i="31" s="1"/>
  <c r="R111" i="31"/>
  <c r="Z111" i="31" s="1"/>
  <c r="O111" i="31"/>
  <c r="D111" i="31"/>
  <c r="BB110" i="31"/>
  <c r="BA110" i="31"/>
  <c r="AZ110" i="31"/>
  <c r="AY110" i="31"/>
  <c r="AX110" i="31"/>
  <c r="R109" i="31" s="1"/>
  <c r="Z109" i="31" s="1"/>
  <c r="AW110" i="31"/>
  <c r="AV110" i="31"/>
  <c r="AU110" i="31"/>
  <c r="V110" i="31"/>
  <c r="AD110" i="31" s="1"/>
  <c r="U110" i="31"/>
  <c r="AC110" i="31" s="1"/>
  <c r="T110" i="31"/>
  <c r="AB110" i="31" s="1"/>
  <c r="S110" i="31"/>
  <c r="AA110" i="31" s="1"/>
  <c r="R110" i="31"/>
  <c r="Z110" i="31" s="1"/>
  <c r="O110" i="31"/>
  <c r="N110" i="31"/>
  <c r="D110" i="31"/>
  <c r="BB58" i="20"/>
  <c r="V58" i="20" s="1"/>
  <c r="AD58" i="20" s="1"/>
  <c r="BA58" i="20"/>
  <c r="U58" i="20" s="1"/>
  <c r="AC58" i="20" s="1"/>
  <c r="AZ58" i="20"/>
  <c r="T58" i="20" s="1"/>
  <c r="AB58" i="20" s="1"/>
  <c r="AY58" i="20"/>
  <c r="AX58" i="20"/>
  <c r="AW58" i="20"/>
  <c r="AV58" i="20"/>
  <c r="AU58" i="20"/>
  <c r="BB109" i="31"/>
  <c r="BA109" i="31"/>
  <c r="AZ109" i="31"/>
  <c r="AY109" i="31"/>
  <c r="AX109" i="31"/>
  <c r="AW109" i="31"/>
  <c r="AV109" i="31"/>
  <c r="AU109" i="31"/>
  <c r="V109" i="31"/>
  <c r="AD109" i="31" s="1"/>
  <c r="U109" i="31"/>
  <c r="AC109" i="31" s="1"/>
  <c r="T109" i="31"/>
  <c r="AB109" i="31" s="1"/>
  <c r="S109" i="31"/>
  <c r="AA109" i="31" s="1"/>
  <c r="Q109" i="31"/>
  <c r="Y109" i="31" s="1"/>
  <c r="O109" i="31"/>
  <c r="N109" i="31"/>
  <c r="D109" i="31"/>
  <c r="BB184" i="20"/>
  <c r="BA184" i="20"/>
  <c r="U184" i="20" s="1"/>
  <c r="AC184" i="20" s="1"/>
  <c r="AZ184" i="20"/>
  <c r="T184" i="20" s="1"/>
  <c r="AB184" i="20" s="1"/>
  <c r="AY184" i="20"/>
  <c r="AX184" i="20"/>
  <c r="R184" i="20" s="1"/>
  <c r="Z184" i="20" s="1"/>
  <c r="AW184" i="20"/>
  <c r="AV184" i="20"/>
  <c r="AU184" i="20"/>
  <c r="O184" i="20" s="1"/>
  <c r="V184" i="20"/>
  <c r="AD184" i="20" s="1"/>
  <c r="BB108" i="31"/>
  <c r="BA108" i="31"/>
  <c r="AZ108" i="31"/>
  <c r="AY108" i="31"/>
  <c r="AX108" i="31"/>
  <c r="AW108" i="31"/>
  <c r="AV108" i="31"/>
  <c r="AU108" i="31"/>
  <c r="V108" i="31"/>
  <c r="AD108" i="31" s="1"/>
  <c r="U108" i="31"/>
  <c r="AC108" i="31" s="1"/>
  <c r="T108" i="31"/>
  <c r="AB108" i="31" s="1"/>
  <c r="S108" i="31"/>
  <c r="AA108" i="31" s="1"/>
  <c r="R108" i="31"/>
  <c r="Z108" i="31" s="1"/>
  <c r="Q108" i="31"/>
  <c r="Y108" i="31" s="1"/>
  <c r="O108" i="31"/>
  <c r="N108" i="31"/>
  <c r="D108" i="31"/>
  <c r="BB113" i="20"/>
  <c r="BA113" i="20"/>
  <c r="AZ113" i="20"/>
  <c r="T113" i="20" s="1"/>
  <c r="AB113" i="20" s="1"/>
  <c r="AY113" i="20"/>
  <c r="AX113" i="20"/>
  <c r="AW113" i="20"/>
  <c r="AV113" i="20"/>
  <c r="AU113" i="20"/>
  <c r="V113" i="20"/>
  <c r="AD113" i="20" s="1"/>
  <c r="U113" i="20"/>
  <c r="AC113" i="20" s="1"/>
  <c r="BB107" i="31"/>
  <c r="BA107" i="31"/>
  <c r="AZ107" i="31"/>
  <c r="AY107" i="31"/>
  <c r="AX107" i="31"/>
  <c r="AW107" i="31"/>
  <c r="AV107" i="31"/>
  <c r="AU107" i="31"/>
  <c r="V107" i="31"/>
  <c r="AD107" i="31" s="1"/>
  <c r="U107" i="31"/>
  <c r="AC107" i="31" s="1"/>
  <c r="T107" i="31"/>
  <c r="AB107" i="31" s="1"/>
  <c r="S107" i="31"/>
  <c r="AA107" i="31" s="1"/>
  <c r="R107" i="31"/>
  <c r="Z107" i="31" s="1"/>
  <c r="Q107" i="31"/>
  <c r="Y107" i="31" s="1"/>
  <c r="P107" i="31"/>
  <c r="X107" i="31" s="1"/>
  <c r="O107" i="31"/>
  <c r="N107" i="31"/>
  <c r="D107" i="31"/>
  <c r="BB171" i="20"/>
  <c r="BA171" i="20"/>
  <c r="U171" i="20" s="1"/>
  <c r="AC171" i="20" s="1"/>
  <c r="AZ171" i="20"/>
  <c r="T171" i="20" s="1"/>
  <c r="AB171" i="20" s="1"/>
  <c r="AY171" i="20"/>
  <c r="AX171" i="20"/>
  <c r="R171" i="20" s="1"/>
  <c r="Z171" i="20" s="1"/>
  <c r="AW171" i="20"/>
  <c r="AV171" i="20"/>
  <c r="AU171" i="20"/>
  <c r="O171" i="20" s="1"/>
  <c r="V171" i="20"/>
  <c r="AD171" i="20" s="1"/>
  <c r="BB106" i="31"/>
  <c r="BA106" i="31"/>
  <c r="AZ106" i="31"/>
  <c r="AY106" i="31"/>
  <c r="AX106" i="31"/>
  <c r="AW106" i="31"/>
  <c r="AV106" i="31"/>
  <c r="N106" i="31" s="1"/>
  <c r="AU106" i="31"/>
  <c r="V106" i="31"/>
  <c r="AD106" i="31" s="1"/>
  <c r="U106" i="31"/>
  <c r="AC106" i="31" s="1"/>
  <c r="T106" i="31"/>
  <c r="AB106" i="31" s="1"/>
  <c r="S106" i="31"/>
  <c r="AA106" i="31" s="1"/>
  <c r="R106" i="31"/>
  <c r="Z106" i="31" s="1"/>
  <c r="Q106" i="31"/>
  <c r="Y106" i="31" s="1"/>
  <c r="P106" i="31"/>
  <c r="X106" i="31" s="1"/>
  <c r="O106" i="31"/>
  <c r="D106" i="31"/>
  <c r="BB145" i="20"/>
  <c r="BA145" i="20"/>
  <c r="AZ145" i="20"/>
  <c r="T145" i="20" s="1"/>
  <c r="AB145" i="20" s="1"/>
  <c r="AY145" i="20"/>
  <c r="S145" i="20" s="1"/>
  <c r="AA145" i="20" s="1"/>
  <c r="AX145" i="20"/>
  <c r="R145" i="20" s="1"/>
  <c r="Z145" i="20" s="1"/>
  <c r="AW145" i="20"/>
  <c r="AV145" i="20"/>
  <c r="AU145" i="20"/>
  <c r="V145" i="20"/>
  <c r="AD145" i="20" s="1"/>
  <c r="U145" i="20"/>
  <c r="AC145" i="20" s="1"/>
  <c r="BB105" i="31"/>
  <c r="BA105" i="31"/>
  <c r="AZ105" i="31"/>
  <c r="AY105" i="31"/>
  <c r="S103" i="31" s="1"/>
  <c r="AA103" i="31" s="1"/>
  <c r="AX105" i="31"/>
  <c r="AW105" i="31"/>
  <c r="AV105" i="31"/>
  <c r="AU105" i="31"/>
  <c r="N105" i="31" s="1"/>
  <c r="V105" i="31"/>
  <c r="AD105" i="31" s="1"/>
  <c r="U105" i="31"/>
  <c r="AC105" i="31" s="1"/>
  <c r="T105" i="31"/>
  <c r="AB105" i="31" s="1"/>
  <c r="S105" i="31"/>
  <c r="AA105" i="31" s="1"/>
  <c r="R105" i="31"/>
  <c r="Z105" i="31" s="1"/>
  <c r="Q105" i="31"/>
  <c r="Y105" i="31" s="1"/>
  <c r="P105" i="31"/>
  <c r="X105" i="31" s="1"/>
  <c r="O105" i="31"/>
  <c r="BB11" i="20"/>
  <c r="BA11" i="20"/>
  <c r="AZ11" i="20"/>
  <c r="T11" i="20" s="1"/>
  <c r="AB11" i="20" s="1"/>
  <c r="AY11" i="20"/>
  <c r="AX11" i="20"/>
  <c r="AW11" i="20"/>
  <c r="AV11" i="20"/>
  <c r="AU11" i="20"/>
  <c r="V11" i="20"/>
  <c r="AD11" i="20" s="1"/>
  <c r="U11" i="20"/>
  <c r="AC11" i="20" s="1"/>
  <c r="BB104" i="31"/>
  <c r="BA104" i="31"/>
  <c r="AZ104" i="31"/>
  <c r="AY104" i="31"/>
  <c r="AX104" i="31"/>
  <c r="AW104" i="31"/>
  <c r="AV104" i="31"/>
  <c r="AU104" i="31"/>
  <c r="V104" i="31"/>
  <c r="AD104" i="31" s="1"/>
  <c r="U104" i="31"/>
  <c r="AC104" i="31" s="1"/>
  <c r="T104" i="31"/>
  <c r="AB104" i="31" s="1"/>
  <c r="R104" i="31"/>
  <c r="Z104" i="31" s="1"/>
  <c r="Q104" i="31"/>
  <c r="Y104" i="31" s="1"/>
  <c r="P104" i="31"/>
  <c r="X104" i="31" s="1"/>
  <c r="N104" i="31"/>
  <c r="D104" i="31"/>
  <c r="BB4" i="20"/>
  <c r="V4" i="20" s="1"/>
  <c r="AD4" i="20" s="1"/>
  <c r="BA4" i="20"/>
  <c r="U4" i="20" s="1"/>
  <c r="AC4" i="20" s="1"/>
  <c r="AZ4" i="20"/>
  <c r="T4" i="20" s="1"/>
  <c r="AB4" i="20" s="1"/>
  <c r="AY4" i="20"/>
  <c r="AX4" i="20"/>
  <c r="AW4" i="20"/>
  <c r="AV4" i="20"/>
  <c r="AU4" i="20"/>
  <c r="BB103" i="31"/>
  <c r="BA103" i="31"/>
  <c r="AZ103" i="31"/>
  <c r="AY103" i="31"/>
  <c r="AX103" i="31"/>
  <c r="R102" i="31" s="1"/>
  <c r="Z102" i="31" s="1"/>
  <c r="AW103" i="31"/>
  <c r="AV103" i="31"/>
  <c r="AU103" i="31"/>
  <c r="V103" i="31"/>
  <c r="AD103" i="31" s="1"/>
  <c r="U103" i="31"/>
  <c r="AC103" i="31" s="1"/>
  <c r="T103" i="31"/>
  <c r="AB103" i="31" s="1"/>
  <c r="R103" i="31"/>
  <c r="Z103" i="31" s="1"/>
  <c r="Q103" i="31"/>
  <c r="Y103" i="31" s="1"/>
  <c r="N103" i="31"/>
  <c r="D103" i="31"/>
  <c r="BB26" i="20"/>
  <c r="BA26" i="20"/>
  <c r="AZ26" i="20"/>
  <c r="T26" i="20" s="1"/>
  <c r="AB26" i="20" s="1"/>
  <c r="AY26" i="20"/>
  <c r="AX26" i="20"/>
  <c r="AW26" i="20"/>
  <c r="AV26" i="20"/>
  <c r="AU26" i="20"/>
  <c r="V26" i="20"/>
  <c r="AD26" i="20" s="1"/>
  <c r="U26" i="20"/>
  <c r="AC26" i="20" s="1"/>
  <c r="BB102" i="31"/>
  <c r="BA102" i="31"/>
  <c r="AZ102" i="31"/>
  <c r="AY102" i="31"/>
  <c r="AX102" i="31"/>
  <c r="AW102" i="31"/>
  <c r="AV102" i="31"/>
  <c r="N102" i="31" s="1"/>
  <c r="AU102" i="31"/>
  <c r="V102" i="31"/>
  <c r="AD102" i="31" s="1"/>
  <c r="U102" i="31"/>
  <c r="AC102" i="31" s="1"/>
  <c r="T102" i="31"/>
  <c r="AB102" i="31" s="1"/>
  <c r="S102" i="31"/>
  <c r="AA102" i="31" s="1"/>
  <c r="Q102" i="31"/>
  <c r="Y102" i="31" s="1"/>
  <c r="O102" i="31"/>
  <c r="BB31" i="20"/>
  <c r="BA31" i="20"/>
  <c r="AZ31" i="20"/>
  <c r="AY31" i="20"/>
  <c r="AX31" i="20"/>
  <c r="AW31" i="20"/>
  <c r="AV31" i="20"/>
  <c r="AU31" i="20"/>
  <c r="V31" i="20"/>
  <c r="AD31" i="20" s="1"/>
  <c r="U31" i="20"/>
  <c r="AC31" i="20" s="1"/>
  <c r="T31" i="20"/>
  <c r="AB31" i="20" s="1"/>
  <c r="BB101" i="31"/>
  <c r="BA101" i="31"/>
  <c r="AZ101" i="31"/>
  <c r="AY101" i="31"/>
  <c r="AX101" i="31"/>
  <c r="AW101" i="31"/>
  <c r="AV101" i="31"/>
  <c r="AU101" i="31"/>
  <c r="V101" i="31"/>
  <c r="AD101" i="31" s="1"/>
  <c r="U101" i="31"/>
  <c r="AC101" i="31" s="1"/>
  <c r="T101" i="31"/>
  <c r="AB101" i="31" s="1"/>
  <c r="S101" i="31"/>
  <c r="AA101" i="31" s="1"/>
  <c r="R101" i="31"/>
  <c r="Z101" i="31" s="1"/>
  <c r="Q101" i="31"/>
  <c r="Y101" i="31" s="1"/>
  <c r="O101" i="31"/>
  <c r="N101" i="31"/>
  <c r="D101" i="31"/>
  <c r="BB157" i="20"/>
  <c r="BA157" i="20"/>
  <c r="AZ157" i="20"/>
  <c r="T157" i="20" s="1"/>
  <c r="AB157" i="20" s="1"/>
  <c r="AY157" i="20"/>
  <c r="AX157" i="20"/>
  <c r="R157" i="20" s="1"/>
  <c r="Z157" i="20" s="1"/>
  <c r="AW157" i="20"/>
  <c r="AV157" i="20"/>
  <c r="AU157" i="20"/>
  <c r="O157" i="20" s="1"/>
  <c r="V157" i="20"/>
  <c r="AD157" i="20" s="1"/>
  <c r="U157" i="20"/>
  <c r="AC157" i="20" s="1"/>
  <c r="BB100" i="31"/>
  <c r="BA100" i="31"/>
  <c r="AZ100" i="31"/>
  <c r="AY100" i="31"/>
  <c r="AX100" i="31"/>
  <c r="AW100" i="31"/>
  <c r="AV100" i="31"/>
  <c r="N100" i="31" s="1"/>
  <c r="AU100" i="31"/>
  <c r="V100" i="31"/>
  <c r="AD100" i="31" s="1"/>
  <c r="U100" i="31"/>
  <c r="AC100" i="31" s="1"/>
  <c r="T100" i="31"/>
  <c r="AB100" i="31" s="1"/>
  <c r="S100" i="31"/>
  <c r="AA100" i="31" s="1"/>
  <c r="R100" i="31"/>
  <c r="Z100" i="31" s="1"/>
  <c r="Q100" i="31"/>
  <c r="Y100" i="31" s="1"/>
  <c r="O100" i="31"/>
  <c r="D100" i="31"/>
  <c r="BB197" i="20"/>
  <c r="BA197" i="20"/>
  <c r="AZ197" i="20"/>
  <c r="T197" i="20" s="1"/>
  <c r="AB197" i="20" s="1"/>
  <c r="AY197" i="20"/>
  <c r="AX197" i="20"/>
  <c r="R197" i="20" s="1"/>
  <c r="Z197" i="20" s="1"/>
  <c r="AW197" i="20"/>
  <c r="AV197" i="20"/>
  <c r="AU197" i="20"/>
  <c r="O197" i="20" s="1"/>
  <c r="V197" i="20"/>
  <c r="AD197" i="20" s="1"/>
  <c r="U197" i="20"/>
  <c r="AC197" i="20" s="1"/>
  <c r="BB99" i="31"/>
  <c r="BA99" i="31"/>
  <c r="AZ99" i="31"/>
  <c r="AY99" i="31"/>
  <c r="AX99" i="31"/>
  <c r="AW99" i="31"/>
  <c r="AV99" i="31"/>
  <c r="AU99" i="31"/>
  <c r="V99" i="31"/>
  <c r="AD99" i="31" s="1"/>
  <c r="U99" i="31"/>
  <c r="AC99" i="31" s="1"/>
  <c r="T99" i="31"/>
  <c r="AB99" i="31" s="1"/>
  <c r="S99" i="31"/>
  <c r="AA99" i="31" s="1"/>
  <c r="R99" i="31"/>
  <c r="Z99" i="31" s="1"/>
  <c r="Q99" i="31"/>
  <c r="Y99" i="31" s="1"/>
  <c r="O99" i="31"/>
  <c r="N99" i="31"/>
  <c r="D99" i="31"/>
  <c r="BB163" i="20"/>
  <c r="V163" i="20" s="1"/>
  <c r="AD163" i="20" s="1"/>
  <c r="BA163" i="20"/>
  <c r="U163" i="20" s="1"/>
  <c r="AC163" i="20" s="1"/>
  <c r="AZ163" i="20"/>
  <c r="T163" i="20" s="1"/>
  <c r="AB163" i="20" s="1"/>
  <c r="AY163" i="20"/>
  <c r="AX163" i="20"/>
  <c r="R163" i="20" s="1"/>
  <c r="Z163" i="20" s="1"/>
  <c r="AW163" i="20"/>
  <c r="AV163" i="20"/>
  <c r="AU163" i="20"/>
  <c r="O163" i="20" s="1"/>
  <c r="BB98" i="31"/>
  <c r="BA98" i="31"/>
  <c r="AZ98" i="31"/>
  <c r="AY98" i="31"/>
  <c r="AX98" i="31"/>
  <c r="AW98" i="31"/>
  <c r="AV98" i="31"/>
  <c r="D98" i="31" s="1"/>
  <c r="AU98" i="31"/>
  <c r="V98" i="31"/>
  <c r="AD98" i="31" s="1"/>
  <c r="U98" i="31"/>
  <c r="AC98" i="31" s="1"/>
  <c r="T98" i="31"/>
  <c r="AB98" i="31" s="1"/>
  <c r="S98" i="31"/>
  <c r="AA98" i="31" s="1"/>
  <c r="R98" i="31"/>
  <c r="Z98" i="31" s="1"/>
  <c r="Q98" i="31"/>
  <c r="Y98" i="31" s="1"/>
  <c r="O98" i="31"/>
  <c r="N98" i="31"/>
  <c r="BB185" i="20"/>
  <c r="BA185" i="20"/>
  <c r="AZ185" i="20"/>
  <c r="AY185" i="20"/>
  <c r="AX185" i="20"/>
  <c r="R185" i="20" s="1"/>
  <c r="Z185" i="20" s="1"/>
  <c r="AW185" i="20"/>
  <c r="AV185" i="20"/>
  <c r="AU185" i="20"/>
  <c r="V185" i="20"/>
  <c r="AD185" i="20" s="1"/>
  <c r="U185" i="20"/>
  <c r="AC185" i="20" s="1"/>
  <c r="T185" i="20"/>
  <c r="AB185" i="20" s="1"/>
  <c r="O185" i="20"/>
  <c r="BB97" i="31"/>
  <c r="BA97" i="31"/>
  <c r="AZ97" i="31"/>
  <c r="AY97" i="31"/>
  <c r="AX97" i="31"/>
  <c r="AW97" i="31"/>
  <c r="AV97" i="31"/>
  <c r="N97" i="31" s="1"/>
  <c r="AU97" i="31"/>
  <c r="V97" i="31"/>
  <c r="AD97" i="31" s="1"/>
  <c r="U97" i="31"/>
  <c r="AC97" i="31" s="1"/>
  <c r="T97" i="31"/>
  <c r="AB97" i="31" s="1"/>
  <c r="S97" i="31"/>
  <c r="AA97" i="31" s="1"/>
  <c r="R97" i="31"/>
  <c r="Z97" i="31" s="1"/>
  <c r="Q97" i="31"/>
  <c r="Y97" i="31" s="1"/>
  <c r="O97" i="31"/>
  <c r="D97" i="31"/>
  <c r="BB133" i="20"/>
  <c r="BA133" i="20"/>
  <c r="AZ133" i="20"/>
  <c r="AY133" i="20"/>
  <c r="AX133" i="20"/>
  <c r="R133" i="20" s="1"/>
  <c r="Z133" i="20" s="1"/>
  <c r="AW133" i="20"/>
  <c r="AV133" i="20"/>
  <c r="AU133" i="20"/>
  <c r="V133" i="20"/>
  <c r="AD133" i="20" s="1"/>
  <c r="U133" i="20"/>
  <c r="AC133" i="20" s="1"/>
  <c r="T133" i="20"/>
  <c r="AB133" i="20" s="1"/>
  <c r="BB96" i="31"/>
  <c r="BA96" i="31"/>
  <c r="AZ96" i="31"/>
  <c r="AY96" i="31"/>
  <c r="AX96" i="31"/>
  <c r="AW96" i="31"/>
  <c r="AV96" i="31"/>
  <c r="AU96" i="31"/>
  <c r="V96" i="31"/>
  <c r="AD96" i="31" s="1"/>
  <c r="U96" i="31"/>
  <c r="AC96" i="31" s="1"/>
  <c r="T96" i="31"/>
  <c r="AB96" i="31" s="1"/>
  <c r="S96" i="31"/>
  <c r="AA96" i="31" s="1"/>
  <c r="R96" i="31"/>
  <c r="Z96" i="31" s="1"/>
  <c r="Q96" i="31"/>
  <c r="Y96" i="31" s="1"/>
  <c r="P96" i="31"/>
  <c r="X96" i="31" s="1"/>
  <c r="O96" i="31"/>
  <c r="N96" i="31"/>
  <c r="D96" i="31"/>
  <c r="BB168" i="20"/>
  <c r="BA168" i="20"/>
  <c r="AZ168" i="20"/>
  <c r="AY168" i="20"/>
  <c r="AX168" i="20"/>
  <c r="R168" i="20" s="1"/>
  <c r="Z168" i="20" s="1"/>
  <c r="AW168" i="20"/>
  <c r="AV168" i="20"/>
  <c r="AU168" i="20"/>
  <c r="O168" i="20" s="1"/>
  <c r="V168" i="20"/>
  <c r="AD168" i="20" s="1"/>
  <c r="U168" i="20"/>
  <c r="AC168" i="20" s="1"/>
  <c r="T168" i="20"/>
  <c r="AB168" i="20" s="1"/>
  <c r="BB95" i="31"/>
  <c r="BA95" i="31"/>
  <c r="AZ95" i="31"/>
  <c r="AY95" i="31"/>
  <c r="AX95" i="31"/>
  <c r="AW95" i="31"/>
  <c r="AV95" i="31"/>
  <c r="N95" i="31" s="1"/>
  <c r="AU95" i="31"/>
  <c r="V95" i="31"/>
  <c r="AD95" i="31" s="1"/>
  <c r="U95" i="31"/>
  <c r="AC95" i="31" s="1"/>
  <c r="T95" i="31"/>
  <c r="AB95" i="31" s="1"/>
  <c r="S95" i="31"/>
  <c r="AA95" i="31" s="1"/>
  <c r="R95" i="31"/>
  <c r="Z95" i="31" s="1"/>
  <c r="Q95" i="31"/>
  <c r="Y95" i="31" s="1"/>
  <c r="P95" i="31"/>
  <c r="X95" i="31" s="1"/>
  <c r="O95" i="31"/>
  <c r="BB135" i="20"/>
  <c r="BA135" i="20"/>
  <c r="AZ135" i="20"/>
  <c r="AY135" i="20"/>
  <c r="AX135" i="20"/>
  <c r="AW135" i="20"/>
  <c r="AV135" i="20"/>
  <c r="AU135" i="20"/>
  <c r="O135" i="20" s="1"/>
  <c r="V135" i="20"/>
  <c r="AD135" i="20" s="1"/>
  <c r="U135" i="20"/>
  <c r="AC135" i="20" s="1"/>
  <c r="T135" i="20"/>
  <c r="AB135" i="20" s="1"/>
  <c r="BB94" i="31"/>
  <c r="BA94" i="31"/>
  <c r="AZ94" i="31"/>
  <c r="AY94" i="31"/>
  <c r="AX94" i="31"/>
  <c r="AW94" i="31"/>
  <c r="AV94" i="31"/>
  <c r="D94" i="31" s="1"/>
  <c r="AU94" i="31"/>
  <c r="V94" i="31"/>
  <c r="AD94" i="31" s="1"/>
  <c r="U94" i="31"/>
  <c r="AC94" i="31" s="1"/>
  <c r="T94" i="31"/>
  <c r="AB94" i="31" s="1"/>
  <c r="S94" i="31"/>
  <c r="AA94" i="31" s="1"/>
  <c r="R94" i="31"/>
  <c r="Z94" i="31" s="1"/>
  <c r="Q94" i="31"/>
  <c r="Y94" i="31" s="1"/>
  <c r="P94" i="31"/>
  <c r="X94" i="31" s="1"/>
  <c r="O94" i="31"/>
  <c r="N94" i="31"/>
  <c r="BB125" i="20"/>
  <c r="V125" i="20" s="1"/>
  <c r="AD125" i="20" s="1"/>
  <c r="BA125" i="20"/>
  <c r="U125" i="20" s="1"/>
  <c r="AC125" i="20" s="1"/>
  <c r="AZ125" i="20"/>
  <c r="T125" i="20" s="1"/>
  <c r="AB125" i="20" s="1"/>
  <c r="AY125" i="20"/>
  <c r="AX125" i="20"/>
  <c r="AW125" i="20"/>
  <c r="AV125" i="20"/>
  <c r="AU125" i="20"/>
  <c r="BB93" i="31"/>
  <c r="BA93" i="31"/>
  <c r="AZ93" i="31"/>
  <c r="AY93" i="31"/>
  <c r="AX93" i="31"/>
  <c r="AW93" i="31"/>
  <c r="AV93" i="31"/>
  <c r="P92" i="31" s="1"/>
  <c r="X92" i="31" s="1"/>
  <c r="AU93" i="31"/>
  <c r="V93" i="31"/>
  <c r="AD93" i="31" s="1"/>
  <c r="U93" i="31"/>
  <c r="AC93" i="31" s="1"/>
  <c r="T93" i="31"/>
  <c r="AB93" i="31" s="1"/>
  <c r="S93" i="31"/>
  <c r="AA93" i="31" s="1"/>
  <c r="R93" i="31"/>
  <c r="Z93" i="31" s="1"/>
  <c r="Q93" i="31"/>
  <c r="Y93" i="31" s="1"/>
  <c r="P93" i="31"/>
  <c r="X93" i="31" s="1"/>
  <c r="O93" i="31"/>
  <c r="BB233" i="20"/>
  <c r="BA233" i="20"/>
  <c r="AZ233" i="20"/>
  <c r="AY233" i="20"/>
  <c r="AX233" i="20"/>
  <c r="R233" i="20" s="1"/>
  <c r="Z233" i="20" s="1"/>
  <c r="AW233" i="20"/>
  <c r="AV233" i="20"/>
  <c r="AU233" i="20"/>
  <c r="O233" i="20" s="1"/>
  <c r="V233" i="20"/>
  <c r="AD233" i="20" s="1"/>
  <c r="U233" i="20"/>
  <c r="AC233" i="20" s="1"/>
  <c r="T233" i="20"/>
  <c r="AB233" i="20" s="1"/>
  <c r="BB92" i="31"/>
  <c r="BA92" i="31"/>
  <c r="AZ92" i="31"/>
  <c r="AY92" i="31"/>
  <c r="AX92" i="31"/>
  <c r="AW92" i="31"/>
  <c r="N92" i="31" s="1"/>
  <c r="AV92" i="31"/>
  <c r="AU92" i="31"/>
  <c r="V92" i="31"/>
  <c r="AD92" i="31" s="1"/>
  <c r="U92" i="31"/>
  <c r="AC92" i="31" s="1"/>
  <c r="T92" i="31"/>
  <c r="AB92" i="31" s="1"/>
  <c r="S92" i="31"/>
  <c r="AA92" i="31" s="1"/>
  <c r="R92" i="31"/>
  <c r="Z92" i="31" s="1"/>
  <c r="Q92" i="31"/>
  <c r="Y92" i="31" s="1"/>
  <c r="O92" i="31"/>
  <c r="D92" i="31"/>
  <c r="BB173" i="20"/>
  <c r="BA173" i="20"/>
  <c r="AZ173" i="20"/>
  <c r="AY173" i="20"/>
  <c r="AX173" i="20"/>
  <c r="R173" i="20" s="1"/>
  <c r="Z173" i="20" s="1"/>
  <c r="AW173" i="20"/>
  <c r="AV173" i="20"/>
  <c r="AU173" i="20"/>
  <c r="V173" i="20"/>
  <c r="AD173" i="20" s="1"/>
  <c r="U173" i="20"/>
  <c r="AC173" i="20" s="1"/>
  <c r="T173" i="20"/>
  <c r="AB173" i="20" s="1"/>
  <c r="O173" i="20"/>
  <c r="BB91" i="31"/>
  <c r="BA91" i="31"/>
  <c r="AZ91" i="31"/>
  <c r="AY91" i="31"/>
  <c r="AX91" i="31"/>
  <c r="R90" i="31" s="1"/>
  <c r="Z90" i="31" s="1"/>
  <c r="AW91" i="31"/>
  <c r="AV91" i="31"/>
  <c r="AU91" i="31"/>
  <c r="V91" i="31"/>
  <c r="AD91" i="31" s="1"/>
  <c r="U91" i="31"/>
  <c r="AC91" i="31" s="1"/>
  <c r="T91" i="31"/>
  <c r="AB91" i="31" s="1"/>
  <c r="S91" i="31"/>
  <c r="AA91" i="31" s="1"/>
  <c r="R91" i="31"/>
  <c r="Z91" i="31" s="1"/>
  <c r="Q91" i="31"/>
  <c r="Y91" i="31" s="1"/>
  <c r="P91" i="31"/>
  <c r="X91" i="31" s="1"/>
  <c r="O91" i="31"/>
  <c r="N91" i="31"/>
  <c r="D91" i="31"/>
  <c r="BB6" i="20"/>
  <c r="BA6" i="20"/>
  <c r="U6" i="20" s="1"/>
  <c r="AC6" i="20" s="1"/>
  <c r="AZ6" i="20"/>
  <c r="T6" i="20" s="1"/>
  <c r="AB6" i="20" s="1"/>
  <c r="AY6" i="20"/>
  <c r="AX6" i="20"/>
  <c r="AW6" i="20"/>
  <c r="AV6" i="20"/>
  <c r="AU6" i="20"/>
  <c r="V6" i="20"/>
  <c r="AD6" i="20" s="1"/>
  <c r="BB90" i="31"/>
  <c r="BA90" i="31"/>
  <c r="AZ90" i="31"/>
  <c r="AY90" i="31"/>
  <c r="AX90" i="31"/>
  <c r="AW90" i="31"/>
  <c r="AV90" i="31"/>
  <c r="AU90" i="31"/>
  <c r="V90" i="31"/>
  <c r="AD90" i="31" s="1"/>
  <c r="U90" i="31"/>
  <c r="AC90" i="31" s="1"/>
  <c r="T90" i="31"/>
  <c r="AB90" i="31" s="1"/>
  <c r="S90" i="31"/>
  <c r="AA90" i="31" s="1"/>
  <c r="Q90" i="31"/>
  <c r="Y90" i="31" s="1"/>
  <c r="O90" i="31"/>
  <c r="N90" i="31"/>
  <c r="D90" i="31"/>
  <c r="BB140" i="20"/>
  <c r="BA140" i="20"/>
  <c r="AZ140" i="20"/>
  <c r="AY140" i="20"/>
  <c r="S140" i="20" s="1"/>
  <c r="AA140" i="20" s="1"/>
  <c r="AX140" i="20"/>
  <c r="AW140" i="20"/>
  <c r="AV140" i="20"/>
  <c r="AU140" i="20"/>
  <c r="V140" i="20"/>
  <c r="AD140" i="20" s="1"/>
  <c r="U140" i="20"/>
  <c r="AC140" i="20" s="1"/>
  <c r="T140" i="20"/>
  <c r="AB140" i="20" s="1"/>
  <c r="BB89" i="31"/>
  <c r="BA89" i="31"/>
  <c r="AZ89" i="31"/>
  <c r="AY89" i="31"/>
  <c r="AX89" i="31"/>
  <c r="AW89" i="31"/>
  <c r="AV89" i="31"/>
  <c r="AU89" i="31"/>
  <c r="V89" i="31"/>
  <c r="AD89" i="31" s="1"/>
  <c r="U89" i="31"/>
  <c r="AC89" i="31" s="1"/>
  <c r="T89" i="31"/>
  <c r="AB89" i="31" s="1"/>
  <c r="S89" i="31"/>
  <c r="AA89" i="31" s="1"/>
  <c r="R89" i="31"/>
  <c r="Z89" i="31" s="1"/>
  <c r="Q89" i="31"/>
  <c r="Y89" i="31" s="1"/>
  <c r="O89" i="31"/>
  <c r="N89" i="31"/>
  <c r="D89" i="31"/>
  <c r="BB71" i="20"/>
  <c r="BA71" i="20"/>
  <c r="AZ71" i="20"/>
  <c r="AY71" i="20"/>
  <c r="AX71" i="20"/>
  <c r="AW71" i="20"/>
  <c r="AV71" i="20"/>
  <c r="AU71" i="20"/>
  <c r="V71" i="20"/>
  <c r="AD71" i="20" s="1"/>
  <c r="U71" i="20"/>
  <c r="AC71" i="20" s="1"/>
  <c r="T71" i="20"/>
  <c r="AB71" i="20" s="1"/>
  <c r="BB88" i="31"/>
  <c r="BA88" i="31"/>
  <c r="AZ88" i="31"/>
  <c r="AY88" i="31"/>
  <c r="AX88" i="31"/>
  <c r="AW88" i="31"/>
  <c r="AV88" i="31"/>
  <c r="AU88" i="31"/>
  <c r="V88" i="31"/>
  <c r="AD88" i="31" s="1"/>
  <c r="U88" i="31"/>
  <c r="AC88" i="31" s="1"/>
  <c r="T88" i="31"/>
  <c r="AB88" i="31" s="1"/>
  <c r="S88" i="31"/>
  <c r="AA88" i="31" s="1"/>
  <c r="R88" i="31"/>
  <c r="Z88" i="31" s="1"/>
  <c r="Q88" i="31"/>
  <c r="Y88" i="31" s="1"/>
  <c r="P88" i="31"/>
  <c r="X88" i="31" s="1"/>
  <c r="O88" i="31"/>
  <c r="N88" i="31"/>
  <c r="D88" i="31"/>
  <c r="BB28" i="20"/>
  <c r="BA28" i="20"/>
  <c r="U28" i="20" s="1"/>
  <c r="AC28" i="20" s="1"/>
  <c r="AZ28" i="20"/>
  <c r="T28" i="20" s="1"/>
  <c r="AB28" i="20" s="1"/>
  <c r="AY28" i="20"/>
  <c r="AX28" i="20"/>
  <c r="AW28" i="20"/>
  <c r="AV28" i="20"/>
  <c r="AU28" i="20"/>
  <c r="V28" i="20"/>
  <c r="AD28" i="20" s="1"/>
  <c r="BB87" i="31"/>
  <c r="BA87" i="31"/>
  <c r="AZ87" i="31"/>
  <c r="AY87" i="31"/>
  <c r="AX87" i="31"/>
  <c r="AW87" i="31"/>
  <c r="Q86" i="31" s="1"/>
  <c r="Y86" i="31" s="1"/>
  <c r="AV87" i="31"/>
  <c r="AU87" i="31"/>
  <c r="V87" i="31"/>
  <c r="AD87" i="31" s="1"/>
  <c r="U87" i="31"/>
  <c r="AC87" i="31" s="1"/>
  <c r="T87" i="31"/>
  <c r="AB87" i="31" s="1"/>
  <c r="S87" i="31"/>
  <c r="AA87" i="31" s="1"/>
  <c r="R87" i="31"/>
  <c r="Z87" i="31" s="1"/>
  <c r="Q87" i="31"/>
  <c r="Y87" i="31" s="1"/>
  <c r="P87" i="31"/>
  <c r="X87" i="31" s="1"/>
  <c r="O87" i="31"/>
  <c r="N87" i="31"/>
  <c r="D87" i="31"/>
  <c r="BB37" i="20"/>
  <c r="BA37" i="20"/>
  <c r="U37" i="20" s="1"/>
  <c r="AC37" i="20" s="1"/>
  <c r="AZ37" i="20"/>
  <c r="T37" i="20" s="1"/>
  <c r="AB37" i="20" s="1"/>
  <c r="AY37" i="20"/>
  <c r="AX37" i="20"/>
  <c r="AW37" i="20"/>
  <c r="AV37" i="20"/>
  <c r="AU37" i="20"/>
  <c r="V37" i="20"/>
  <c r="AD37" i="20" s="1"/>
  <c r="BB86" i="31"/>
  <c r="BA86" i="31"/>
  <c r="AZ86" i="31"/>
  <c r="AY86" i="31"/>
  <c r="AX86" i="31"/>
  <c r="AW86" i="31"/>
  <c r="AV86" i="31"/>
  <c r="AU86" i="31"/>
  <c r="V86" i="31"/>
  <c r="AD86" i="31" s="1"/>
  <c r="U86" i="31"/>
  <c r="AC86" i="31" s="1"/>
  <c r="T86" i="31"/>
  <c r="AB86" i="31" s="1"/>
  <c r="S86" i="31"/>
  <c r="AA86" i="31" s="1"/>
  <c r="R86" i="31"/>
  <c r="Z86" i="31" s="1"/>
  <c r="P86" i="31"/>
  <c r="X86" i="31" s="1"/>
  <c r="O86" i="31"/>
  <c r="N86" i="31"/>
  <c r="D86" i="31"/>
  <c r="BB20" i="20"/>
  <c r="V20" i="20" s="1"/>
  <c r="AD20" i="20" s="1"/>
  <c r="BA20" i="20"/>
  <c r="U20" i="20" s="1"/>
  <c r="AC20" i="20" s="1"/>
  <c r="AZ20" i="20"/>
  <c r="T20" i="20" s="1"/>
  <c r="AB20" i="20" s="1"/>
  <c r="AY20" i="20"/>
  <c r="AX20" i="20"/>
  <c r="AW20" i="20"/>
  <c r="AV20" i="20"/>
  <c r="AU20" i="20"/>
  <c r="BB85" i="31"/>
  <c r="BA85" i="31"/>
  <c r="AZ85" i="31"/>
  <c r="AY85" i="31"/>
  <c r="AX85" i="31"/>
  <c r="AW85" i="31"/>
  <c r="AV85" i="31"/>
  <c r="AU85" i="31"/>
  <c r="V85" i="31"/>
  <c r="AD85" i="31" s="1"/>
  <c r="U85" i="31"/>
  <c r="AC85" i="31" s="1"/>
  <c r="T85" i="31"/>
  <c r="AB85" i="31" s="1"/>
  <c r="S85" i="31"/>
  <c r="AA85" i="31" s="1"/>
  <c r="R85" i="31"/>
  <c r="Z85" i="31" s="1"/>
  <c r="Q85" i="31"/>
  <c r="Y85" i="31" s="1"/>
  <c r="P85" i="31"/>
  <c r="X85" i="31" s="1"/>
  <c r="O85" i="31"/>
  <c r="N85" i="31"/>
  <c r="D85" i="31"/>
  <c r="BB193" i="20"/>
  <c r="BA193" i="20"/>
  <c r="AZ193" i="20"/>
  <c r="AY193" i="20"/>
  <c r="AX193" i="20"/>
  <c r="R193" i="20" s="1"/>
  <c r="Z193" i="20" s="1"/>
  <c r="AW193" i="20"/>
  <c r="AV193" i="20"/>
  <c r="AU193" i="20"/>
  <c r="O193" i="20" s="1"/>
  <c r="V193" i="20"/>
  <c r="AD193" i="20" s="1"/>
  <c r="U193" i="20"/>
  <c r="AC193" i="20" s="1"/>
  <c r="T193" i="20"/>
  <c r="AB193" i="20" s="1"/>
  <c r="BB84" i="31"/>
  <c r="BA84" i="31"/>
  <c r="AZ84" i="31"/>
  <c r="AY84" i="31"/>
  <c r="AX84" i="31"/>
  <c r="AW84" i="31"/>
  <c r="AV84" i="31"/>
  <c r="AU84" i="31"/>
  <c r="V84" i="31"/>
  <c r="AD84" i="31" s="1"/>
  <c r="U84" i="31"/>
  <c r="AC84" i="31" s="1"/>
  <c r="T84" i="31"/>
  <c r="AB84" i="31" s="1"/>
  <c r="S84" i="31"/>
  <c r="AA84" i="31" s="1"/>
  <c r="R84" i="31"/>
  <c r="Z84" i="31" s="1"/>
  <c r="Q84" i="31"/>
  <c r="Y84" i="31" s="1"/>
  <c r="P84" i="31"/>
  <c r="X84" i="31" s="1"/>
  <c r="O84" i="31"/>
  <c r="N84" i="31"/>
  <c r="D84" i="31"/>
  <c r="BB240" i="20"/>
  <c r="BA240" i="20"/>
  <c r="AZ240" i="20"/>
  <c r="AY240" i="20"/>
  <c r="AX240" i="20"/>
  <c r="R240" i="20" s="1"/>
  <c r="Z240" i="20" s="1"/>
  <c r="AW240" i="20"/>
  <c r="AV240" i="20"/>
  <c r="AU240" i="20"/>
  <c r="V240" i="20"/>
  <c r="AD240" i="20" s="1"/>
  <c r="U240" i="20"/>
  <c r="AC240" i="20" s="1"/>
  <c r="T240" i="20"/>
  <c r="AB240" i="20" s="1"/>
  <c r="O240" i="20"/>
  <c r="BB83" i="31"/>
  <c r="BA83" i="31"/>
  <c r="AZ83" i="31"/>
  <c r="AY83" i="31"/>
  <c r="AX83" i="31"/>
  <c r="AW83" i="31"/>
  <c r="AV83" i="31"/>
  <c r="N83" i="31" s="1"/>
  <c r="AU83" i="31"/>
  <c r="V83" i="31"/>
  <c r="AD83" i="31" s="1"/>
  <c r="U83" i="31"/>
  <c r="AC83" i="31" s="1"/>
  <c r="T83" i="31"/>
  <c r="AB83" i="31" s="1"/>
  <c r="S83" i="31"/>
  <c r="AA83" i="31" s="1"/>
  <c r="R83" i="31"/>
  <c r="Z83" i="31" s="1"/>
  <c r="Q83" i="31"/>
  <c r="Y83" i="31" s="1"/>
  <c r="P83" i="31"/>
  <c r="X83" i="31" s="1"/>
  <c r="O83" i="31"/>
  <c r="D83" i="31"/>
  <c r="BB174" i="20"/>
  <c r="BA174" i="20"/>
  <c r="AZ174" i="20"/>
  <c r="AY174" i="20"/>
  <c r="AX174" i="20"/>
  <c r="R174" i="20" s="1"/>
  <c r="Z174" i="20" s="1"/>
  <c r="AW174" i="20"/>
  <c r="AV174" i="20"/>
  <c r="AU174" i="20"/>
  <c r="V174" i="20"/>
  <c r="AD174" i="20" s="1"/>
  <c r="U174" i="20"/>
  <c r="AC174" i="20" s="1"/>
  <c r="T174" i="20"/>
  <c r="AB174" i="20" s="1"/>
  <c r="O174" i="20"/>
  <c r="BB82" i="31"/>
  <c r="BA82" i="31"/>
  <c r="AZ82" i="31"/>
  <c r="AY82" i="31"/>
  <c r="AX82" i="31"/>
  <c r="AW82" i="31"/>
  <c r="AV82" i="31"/>
  <c r="AU82" i="31"/>
  <c r="V82" i="31"/>
  <c r="AD82" i="31" s="1"/>
  <c r="U82" i="31"/>
  <c r="AC82" i="31" s="1"/>
  <c r="T82" i="31"/>
  <c r="AB82" i="31" s="1"/>
  <c r="S82" i="31"/>
  <c r="AA82" i="31" s="1"/>
  <c r="R82" i="31"/>
  <c r="Z82" i="31" s="1"/>
  <c r="Q82" i="31"/>
  <c r="Y82" i="31" s="1"/>
  <c r="P82" i="31"/>
  <c r="X82" i="31" s="1"/>
  <c r="O82" i="31"/>
  <c r="N82" i="31"/>
  <c r="D82" i="31"/>
  <c r="BB159" i="20"/>
  <c r="BA159" i="20"/>
  <c r="U159" i="20" s="1"/>
  <c r="AC159" i="20" s="1"/>
  <c r="AZ159" i="20"/>
  <c r="T159" i="20" s="1"/>
  <c r="AB159" i="20" s="1"/>
  <c r="AY159" i="20"/>
  <c r="AX159" i="20"/>
  <c r="R159" i="20" s="1"/>
  <c r="Z159" i="20" s="1"/>
  <c r="AW159" i="20"/>
  <c r="AV159" i="20"/>
  <c r="AU159" i="20"/>
  <c r="O159" i="20" s="1"/>
  <c r="V159" i="20"/>
  <c r="AD159" i="20" s="1"/>
  <c r="BB81" i="31"/>
  <c r="BA81" i="31"/>
  <c r="AZ81" i="31"/>
  <c r="AY81" i="31"/>
  <c r="AX81" i="31"/>
  <c r="AW81" i="31"/>
  <c r="Q80" i="31" s="1"/>
  <c r="Y80" i="31" s="1"/>
  <c r="AV81" i="31"/>
  <c r="P77" i="31" s="1"/>
  <c r="X77" i="31" s="1"/>
  <c r="AU81" i="31"/>
  <c r="V81" i="31"/>
  <c r="AD81" i="31" s="1"/>
  <c r="U81" i="31"/>
  <c r="AC81" i="31" s="1"/>
  <c r="T81" i="31"/>
  <c r="AB81" i="31" s="1"/>
  <c r="S81" i="31"/>
  <c r="AA81" i="31" s="1"/>
  <c r="R81" i="31"/>
  <c r="Z81" i="31" s="1"/>
  <c r="Q81" i="31"/>
  <c r="Y81" i="31" s="1"/>
  <c r="P81" i="31"/>
  <c r="X81" i="31" s="1"/>
  <c r="O81" i="31"/>
  <c r="BB23" i="20"/>
  <c r="BA23" i="20"/>
  <c r="U23" i="20" s="1"/>
  <c r="AC23" i="20" s="1"/>
  <c r="AZ23" i="20"/>
  <c r="T23" i="20" s="1"/>
  <c r="AB23" i="20" s="1"/>
  <c r="AY23" i="20"/>
  <c r="AX23" i="20"/>
  <c r="AW23" i="20"/>
  <c r="AV23" i="20"/>
  <c r="AU23" i="20"/>
  <c r="V23" i="20"/>
  <c r="AD23" i="20" s="1"/>
  <c r="BB80" i="31"/>
  <c r="BA80" i="31"/>
  <c r="AZ80" i="31"/>
  <c r="AY80" i="31"/>
  <c r="AX80" i="31"/>
  <c r="AW80" i="31"/>
  <c r="AV80" i="31"/>
  <c r="D80" i="31" s="1"/>
  <c r="AU80" i="31"/>
  <c r="V80" i="31"/>
  <c r="AD80" i="31" s="1"/>
  <c r="U80" i="31"/>
  <c r="AC80" i="31" s="1"/>
  <c r="T80" i="31"/>
  <c r="AB80" i="31" s="1"/>
  <c r="S80" i="31"/>
  <c r="AA80" i="31" s="1"/>
  <c r="R80" i="31"/>
  <c r="Z80" i="31" s="1"/>
  <c r="O80" i="31"/>
  <c r="N80" i="31"/>
  <c r="BB169" i="20"/>
  <c r="BA169" i="20"/>
  <c r="U169" i="20" s="1"/>
  <c r="AC169" i="20" s="1"/>
  <c r="AZ169" i="20"/>
  <c r="T169" i="20" s="1"/>
  <c r="AB169" i="20" s="1"/>
  <c r="AY169" i="20"/>
  <c r="AX169" i="20"/>
  <c r="R169" i="20" s="1"/>
  <c r="Z169" i="20" s="1"/>
  <c r="AW169" i="20"/>
  <c r="AV169" i="20"/>
  <c r="AU169" i="20"/>
  <c r="O169" i="20" s="1"/>
  <c r="V169" i="20"/>
  <c r="AD169" i="20" s="1"/>
  <c r="BB79" i="31"/>
  <c r="BA79" i="31"/>
  <c r="AZ79" i="31"/>
  <c r="AY79" i="31"/>
  <c r="AX79" i="31"/>
  <c r="AW79" i="31"/>
  <c r="AV79" i="31"/>
  <c r="AU79" i="31"/>
  <c r="N79" i="31" s="1"/>
  <c r="V79" i="31"/>
  <c r="AD79" i="31" s="1"/>
  <c r="U79" i="31"/>
  <c r="AC79" i="31" s="1"/>
  <c r="T79" i="31"/>
  <c r="AB79" i="31" s="1"/>
  <c r="S79" i="31"/>
  <c r="AA79" i="31" s="1"/>
  <c r="R79" i="31"/>
  <c r="Z79" i="31" s="1"/>
  <c r="O79" i="31"/>
  <c r="D79" i="31"/>
  <c r="BB201" i="20"/>
  <c r="BA201" i="20"/>
  <c r="AZ201" i="20"/>
  <c r="T201" i="20" s="1"/>
  <c r="AB201" i="20" s="1"/>
  <c r="AY201" i="20"/>
  <c r="AX201" i="20"/>
  <c r="R201" i="20" s="1"/>
  <c r="Z201" i="20" s="1"/>
  <c r="AW201" i="20"/>
  <c r="AV201" i="20"/>
  <c r="AU201" i="20"/>
  <c r="O201" i="20" s="1"/>
  <c r="V201" i="20"/>
  <c r="AD201" i="20" s="1"/>
  <c r="U201" i="20"/>
  <c r="AC201" i="20" s="1"/>
  <c r="BB78" i="31"/>
  <c r="BA78" i="31"/>
  <c r="AZ78" i="31"/>
  <c r="AY78" i="31"/>
  <c r="AX78" i="31"/>
  <c r="AW78" i="31"/>
  <c r="AV78" i="31"/>
  <c r="AU78" i="31"/>
  <c r="V78" i="31"/>
  <c r="AD78" i="31" s="1"/>
  <c r="U78" i="31"/>
  <c r="AC78" i="31" s="1"/>
  <c r="T78" i="31"/>
  <c r="AB78" i="31" s="1"/>
  <c r="S78" i="31"/>
  <c r="AA78" i="31" s="1"/>
  <c r="R78" i="31"/>
  <c r="Z78" i="31" s="1"/>
  <c r="O78" i="31"/>
  <c r="N78" i="31"/>
  <c r="D78" i="31"/>
  <c r="BB183" i="20"/>
  <c r="BA183" i="20"/>
  <c r="AZ183" i="20"/>
  <c r="T183" i="20" s="1"/>
  <c r="AB183" i="20" s="1"/>
  <c r="AY183" i="20"/>
  <c r="AX183" i="20"/>
  <c r="R183" i="20" s="1"/>
  <c r="Z183" i="20" s="1"/>
  <c r="AW183" i="20"/>
  <c r="AV183" i="20"/>
  <c r="AU183" i="20"/>
  <c r="O183" i="20" s="1"/>
  <c r="V183" i="20"/>
  <c r="AD183" i="20" s="1"/>
  <c r="U183" i="20"/>
  <c r="AC183" i="20" s="1"/>
  <c r="BB77" i="31"/>
  <c r="BA77" i="31"/>
  <c r="AZ77" i="31"/>
  <c r="AY77" i="31"/>
  <c r="AX77" i="31"/>
  <c r="AW77" i="31"/>
  <c r="N77" i="31" s="1"/>
  <c r="AV77" i="31"/>
  <c r="AU77" i="31"/>
  <c r="V77" i="31"/>
  <c r="AD77" i="31" s="1"/>
  <c r="U77" i="31"/>
  <c r="AC77" i="31" s="1"/>
  <c r="T77" i="31"/>
  <c r="AB77" i="31" s="1"/>
  <c r="S77" i="31"/>
  <c r="AA77" i="31" s="1"/>
  <c r="R77" i="31"/>
  <c r="Z77" i="31" s="1"/>
  <c r="Q77" i="31"/>
  <c r="Y77" i="31" s="1"/>
  <c r="O77" i="31"/>
  <c r="D77" i="31"/>
  <c r="BB212" i="20"/>
  <c r="BA212" i="20"/>
  <c r="AZ212" i="20"/>
  <c r="AY212" i="20"/>
  <c r="AX212" i="20"/>
  <c r="R212" i="20" s="1"/>
  <c r="Z212" i="20" s="1"/>
  <c r="AW212" i="20"/>
  <c r="AV212" i="20"/>
  <c r="AU212" i="20"/>
  <c r="V212" i="20"/>
  <c r="AD212" i="20" s="1"/>
  <c r="U212" i="20"/>
  <c r="AC212" i="20" s="1"/>
  <c r="T212" i="20"/>
  <c r="AB212" i="20" s="1"/>
  <c r="O212" i="20"/>
  <c r="BB76" i="31"/>
  <c r="BA76" i="31"/>
  <c r="AZ76" i="31"/>
  <c r="AY76" i="31"/>
  <c r="AX76" i="31"/>
  <c r="AW76" i="31"/>
  <c r="AV76" i="31"/>
  <c r="AU76" i="31"/>
  <c r="V76" i="31"/>
  <c r="AD76" i="31" s="1"/>
  <c r="U76" i="31"/>
  <c r="AC76" i="31" s="1"/>
  <c r="T76" i="31"/>
  <c r="AB76" i="31" s="1"/>
  <c r="S76" i="31"/>
  <c r="AA76" i="31" s="1"/>
  <c r="R76" i="31"/>
  <c r="Z76" i="31" s="1"/>
  <c r="Q76" i="31"/>
  <c r="Y76" i="31" s="1"/>
  <c r="P76" i="31"/>
  <c r="X76" i="31" s="1"/>
  <c r="O76" i="31"/>
  <c r="N76" i="31"/>
  <c r="D76" i="31"/>
  <c r="BB221" i="20"/>
  <c r="BA221" i="20"/>
  <c r="AZ221" i="20"/>
  <c r="AY221" i="20"/>
  <c r="AX221" i="20"/>
  <c r="R221" i="20" s="1"/>
  <c r="Z221" i="20" s="1"/>
  <c r="AW221" i="20"/>
  <c r="AV221" i="20"/>
  <c r="AU221" i="20"/>
  <c r="O221" i="20" s="1"/>
  <c r="V221" i="20"/>
  <c r="AD221" i="20" s="1"/>
  <c r="U221" i="20"/>
  <c r="AC221" i="20" s="1"/>
  <c r="T221" i="20"/>
  <c r="AB221" i="20" s="1"/>
  <c r="BB75" i="31"/>
  <c r="BA75" i="31"/>
  <c r="AZ75" i="31"/>
  <c r="AY75" i="31"/>
  <c r="AX75" i="31"/>
  <c r="AW75" i="31"/>
  <c r="AV75" i="31"/>
  <c r="N75" i="31" s="1"/>
  <c r="AU75" i="31"/>
  <c r="V75" i="31"/>
  <c r="AD75" i="31" s="1"/>
  <c r="U75" i="31"/>
  <c r="AC75" i="31" s="1"/>
  <c r="T75" i="31"/>
  <c r="AB75" i="31" s="1"/>
  <c r="S75" i="31"/>
  <c r="AA75" i="31" s="1"/>
  <c r="R75" i="31"/>
  <c r="Z75" i="31" s="1"/>
  <c r="Q75" i="31"/>
  <c r="Y75" i="31" s="1"/>
  <c r="O75" i="31"/>
  <c r="D75" i="31"/>
  <c r="BB262" i="20"/>
  <c r="BA262" i="20"/>
  <c r="U262" i="20" s="1"/>
  <c r="AC262" i="20" s="1"/>
  <c r="AZ262" i="20"/>
  <c r="T262" i="20" s="1"/>
  <c r="AB262" i="20" s="1"/>
  <c r="AY262" i="20"/>
  <c r="S262" i="20" s="1"/>
  <c r="AA262" i="20" s="1"/>
  <c r="AX262" i="20"/>
  <c r="R262" i="20" s="1"/>
  <c r="Z262" i="20" s="1"/>
  <c r="AW262" i="20"/>
  <c r="Q262" i="20" s="1"/>
  <c r="Y262" i="20" s="1"/>
  <c r="AV262" i="20"/>
  <c r="P262" i="20" s="1"/>
  <c r="X262" i="20" s="1"/>
  <c r="AU262" i="20"/>
  <c r="V262" i="20"/>
  <c r="AD262" i="20" s="1"/>
  <c r="BB74" i="31"/>
  <c r="BA74" i="31"/>
  <c r="AZ74" i="31"/>
  <c r="AY74" i="31"/>
  <c r="AX74" i="31"/>
  <c r="AW74" i="31"/>
  <c r="AV74" i="31"/>
  <c r="AU74" i="31"/>
  <c r="V74" i="31"/>
  <c r="AD74" i="31" s="1"/>
  <c r="U74" i="31"/>
  <c r="AC74" i="31" s="1"/>
  <c r="T74" i="31"/>
  <c r="AB74" i="31" s="1"/>
  <c r="S74" i="31"/>
  <c r="AA74" i="31" s="1"/>
  <c r="R74" i="31"/>
  <c r="Z74" i="31" s="1"/>
  <c r="Q74" i="31"/>
  <c r="Y74" i="31" s="1"/>
  <c r="P74" i="31"/>
  <c r="X74" i="31" s="1"/>
  <c r="O74" i="31"/>
  <c r="N74" i="31"/>
  <c r="D74" i="31"/>
  <c r="BB252" i="20"/>
  <c r="BA252" i="20"/>
  <c r="AZ252" i="20"/>
  <c r="AY252" i="20"/>
  <c r="AX252" i="20"/>
  <c r="R252" i="20" s="1"/>
  <c r="Z252" i="20" s="1"/>
  <c r="AW252" i="20"/>
  <c r="Q252" i="20" s="1"/>
  <c r="Y252" i="20" s="1"/>
  <c r="AV252" i="20"/>
  <c r="AU252" i="20"/>
  <c r="V252" i="20"/>
  <c r="AD252" i="20" s="1"/>
  <c r="U252" i="20"/>
  <c r="AC252" i="20" s="1"/>
  <c r="T252" i="20"/>
  <c r="AB252" i="20" s="1"/>
  <c r="O252" i="20"/>
  <c r="BB73" i="31"/>
  <c r="BA73" i="31"/>
  <c r="AZ73" i="31"/>
  <c r="AY73" i="31"/>
  <c r="AX73" i="31"/>
  <c r="AW73" i="31"/>
  <c r="AV73" i="31"/>
  <c r="AU73" i="31"/>
  <c r="V73" i="31"/>
  <c r="AD73" i="31" s="1"/>
  <c r="U73" i="31"/>
  <c r="AC73" i="31" s="1"/>
  <c r="T73" i="31"/>
  <c r="AB73" i="31" s="1"/>
  <c r="S73" i="31"/>
  <c r="AA73" i="31" s="1"/>
  <c r="R73" i="31"/>
  <c r="Z73" i="31" s="1"/>
  <c r="Q73" i="31"/>
  <c r="Y73" i="31" s="1"/>
  <c r="O73" i="31"/>
  <c r="N73" i="31"/>
  <c r="D73" i="31"/>
  <c r="BB182" i="20"/>
  <c r="BA182" i="20"/>
  <c r="AZ182" i="20"/>
  <c r="T182" i="20" s="1"/>
  <c r="AB182" i="20" s="1"/>
  <c r="AY182" i="20"/>
  <c r="AX182" i="20"/>
  <c r="R182" i="20" s="1"/>
  <c r="Z182" i="20" s="1"/>
  <c r="AW182" i="20"/>
  <c r="AV182" i="20"/>
  <c r="AU182" i="20"/>
  <c r="O182" i="20" s="1"/>
  <c r="V182" i="20"/>
  <c r="AD182" i="20" s="1"/>
  <c r="U182" i="20"/>
  <c r="AC182" i="20" s="1"/>
  <c r="BB72" i="31"/>
  <c r="BA72" i="31"/>
  <c r="AZ72" i="31"/>
  <c r="AY72" i="31"/>
  <c r="AX72" i="31"/>
  <c r="AW72" i="31"/>
  <c r="AV72" i="31"/>
  <c r="AU72" i="31"/>
  <c r="V72" i="31"/>
  <c r="AD72" i="31" s="1"/>
  <c r="U72" i="31"/>
  <c r="AC72" i="31" s="1"/>
  <c r="T72" i="31"/>
  <c r="AB72" i="31" s="1"/>
  <c r="S72" i="31"/>
  <c r="AA72" i="31" s="1"/>
  <c r="R72" i="31"/>
  <c r="Z72" i="31" s="1"/>
  <c r="Q72" i="31"/>
  <c r="Y72" i="31" s="1"/>
  <c r="O72" i="31"/>
  <c r="N72" i="31"/>
  <c r="D72" i="31"/>
  <c r="BB100" i="20"/>
  <c r="BA100" i="20"/>
  <c r="AZ100" i="20"/>
  <c r="T100" i="20" s="1"/>
  <c r="AB100" i="20" s="1"/>
  <c r="AY100" i="20"/>
  <c r="AX100" i="20"/>
  <c r="AW100" i="20"/>
  <c r="AV100" i="20"/>
  <c r="AU100" i="20"/>
  <c r="V100" i="20"/>
  <c r="AD100" i="20" s="1"/>
  <c r="U100" i="20"/>
  <c r="AC100" i="20" s="1"/>
  <c r="BB71" i="31"/>
  <c r="BA71" i="31"/>
  <c r="AZ71" i="31"/>
  <c r="AY71" i="31"/>
  <c r="AX71" i="31"/>
  <c r="AW71" i="31"/>
  <c r="AV71" i="31"/>
  <c r="AU71" i="31"/>
  <c r="V71" i="31"/>
  <c r="AD71" i="31" s="1"/>
  <c r="U71" i="31"/>
  <c r="AC71" i="31" s="1"/>
  <c r="T71" i="31"/>
  <c r="AB71" i="31" s="1"/>
  <c r="S71" i="31"/>
  <c r="AA71" i="31" s="1"/>
  <c r="R71" i="31"/>
  <c r="Z71" i="31" s="1"/>
  <c r="Q71" i="31"/>
  <c r="Y71" i="31" s="1"/>
  <c r="P71" i="31"/>
  <c r="X71" i="31" s="1"/>
  <c r="O71" i="31"/>
  <c r="N71" i="31"/>
  <c r="D71" i="31"/>
  <c r="BB189" i="20"/>
  <c r="BA189" i="20"/>
  <c r="U189" i="20" s="1"/>
  <c r="AC189" i="20" s="1"/>
  <c r="AZ189" i="20"/>
  <c r="T189" i="20" s="1"/>
  <c r="AB189" i="20" s="1"/>
  <c r="AY189" i="20"/>
  <c r="AX189" i="20"/>
  <c r="R189" i="20" s="1"/>
  <c r="Z189" i="20" s="1"/>
  <c r="AW189" i="20"/>
  <c r="AV189" i="20"/>
  <c r="AU189" i="20"/>
  <c r="O189" i="20" s="1"/>
  <c r="V189" i="20"/>
  <c r="AD189" i="20" s="1"/>
  <c r="BB70" i="31"/>
  <c r="BA70" i="31"/>
  <c r="AZ70" i="31"/>
  <c r="AY70" i="31"/>
  <c r="AX70" i="31"/>
  <c r="AW70" i="31"/>
  <c r="AV70" i="31"/>
  <c r="N70" i="31" s="1"/>
  <c r="AU70" i="31"/>
  <c r="V70" i="31"/>
  <c r="AD70" i="31" s="1"/>
  <c r="U70" i="31"/>
  <c r="AC70" i="31" s="1"/>
  <c r="T70" i="31"/>
  <c r="AB70" i="31" s="1"/>
  <c r="S70" i="31"/>
  <c r="AA70" i="31" s="1"/>
  <c r="R70" i="31"/>
  <c r="Z70" i="31" s="1"/>
  <c r="Q70" i="31"/>
  <c r="Y70" i="31" s="1"/>
  <c r="P70" i="31"/>
  <c r="X70" i="31" s="1"/>
  <c r="O70" i="31"/>
  <c r="D70" i="31"/>
  <c r="BB70" i="20"/>
  <c r="V70" i="20" s="1"/>
  <c r="AD70" i="20" s="1"/>
  <c r="BA70" i="20"/>
  <c r="U70" i="20" s="1"/>
  <c r="AC70" i="20" s="1"/>
  <c r="AZ70" i="20"/>
  <c r="T70" i="20" s="1"/>
  <c r="AB70" i="20" s="1"/>
  <c r="AY70" i="20"/>
  <c r="AX70" i="20"/>
  <c r="AW70" i="20"/>
  <c r="AV70" i="20"/>
  <c r="AU70" i="20"/>
  <c r="BB69" i="31"/>
  <c r="BA69" i="31"/>
  <c r="AZ69" i="31"/>
  <c r="AY69" i="31"/>
  <c r="AX69" i="31"/>
  <c r="AW69" i="31"/>
  <c r="AV69" i="31"/>
  <c r="AU69" i="31"/>
  <c r="N69" i="31" s="1"/>
  <c r="V69" i="31"/>
  <c r="AD69" i="31" s="1"/>
  <c r="U69" i="31"/>
  <c r="AC69" i="31" s="1"/>
  <c r="T69" i="31"/>
  <c r="AB69" i="31" s="1"/>
  <c r="S69" i="31"/>
  <c r="AA69" i="31" s="1"/>
  <c r="R69" i="31"/>
  <c r="Z69" i="31" s="1"/>
  <c r="Q69" i="31"/>
  <c r="Y69" i="31" s="1"/>
  <c r="O69" i="31"/>
  <c r="BB234" i="20"/>
  <c r="BA234" i="20"/>
  <c r="U234" i="20" s="1"/>
  <c r="AC234" i="20" s="1"/>
  <c r="AZ234" i="20"/>
  <c r="T234" i="20" s="1"/>
  <c r="AB234" i="20" s="1"/>
  <c r="AY234" i="20"/>
  <c r="S234" i="20" s="1"/>
  <c r="AA234" i="20" s="1"/>
  <c r="AX234" i="20"/>
  <c r="R234" i="20" s="1"/>
  <c r="Z234" i="20" s="1"/>
  <c r="AW234" i="20"/>
  <c r="AV234" i="20"/>
  <c r="AU234" i="20"/>
  <c r="V234" i="20"/>
  <c r="AD234" i="20" s="1"/>
  <c r="BB68" i="31"/>
  <c r="BA68" i="31"/>
  <c r="AZ68" i="31"/>
  <c r="AY68" i="31"/>
  <c r="AX68" i="31"/>
  <c r="AW68" i="31"/>
  <c r="AV68" i="31"/>
  <c r="AU68" i="31"/>
  <c r="V68" i="31"/>
  <c r="AD68" i="31" s="1"/>
  <c r="U68" i="31"/>
  <c r="AC68" i="31" s="1"/>
  <c r="T68" i="31"/>
  <c r="AB68" i="31" s="1"/>
  <c r="S68" i="31"/>
  <c r="AA68" i="31" s="1"/>
  <c r="R68" i="31"/>
  <c r="Z68" i="31" s="1"/>
  <c r="Q68" i="31"/>
  <c r="Y68" i="31" s="1"/>
  <c r="O68" i="31"/>
  <c r="N68" i="31"/>
  <c r="D68" i="31"/>
  <c r="BB256" i="20"/>
  <c r="V256" i="20" s="1"/>
  <c r="AD256" i="20" s="1"/>
  <c r="BA256" i="20"/>
  <c r="U256" i="20" s="1"/>
  <c r="AC256" i="20" s="1"/>
  <c r="AZ256" i="20"/>
  <c r="T256" i="20" s="1"/>
  <c r="AB256" i="20" s="1"/>
  <c r="AY256" i="20"/>
  <c r="S256" i="20" s="1"/>
  <c r="AA256" i="20" s="1"/>
  <c r="AX256" i="20"/>
  <c r="R256" i="20" s="1"/>
  <c r="Z256" i="20" s="1"/>
  <c r="AW256" i="20"/>
  <c r="Q256" i="20" s="1"/>
  <c r="Y256" i="20" s="1"/>
  <c r="AV256" i="20"/>
  <c r="AU256" i="20"/>
  <c r="BB67" i="31"/>
  <c r="BA67" i="31"/>
  <c r="AZ67" i="31"/>
  <c r="AY67" i="31"/>
  <c r="AX67" i="31"/>
  <c r="AW67" i="31"/>
  <c r="AV67" i="31"/>
  <c r="AU67" i="31"/>
  <c r="V67" i="31"/>
  <c r="AD67" i="31" s="1"/>
  <c r="U67" i="31"/>
  <c r="AC67" i="31" s="1"/>
  <c r="T67" i="31"/>
  <c r="AB67" i="31" s="1"/>
  <c r="S67" i="31"/>
  <c r="AA67" i="31" s="1"/>
  <c r="R67" i="31"/>
  <c r="Z67" i="31" s="1"/>
  <c r="Q67" i="31"/>
  <c r="Y67" i="31" s="1"/>
  <c r="O67" i="31"/>
  <c r="N67" i="31"/>
  <c r="D67" i="31"/>
  <c r="BB161" i="20"/>
  <c r="BA161" i="20"/>
  <c r="U161" i="20" s="1"/>
  <c r="AC161" i="20" s="1"/>
  <c r="AZ161" i="20"/>
  <c r="T161" i="20" s="1"/>
  <c r="AB161" i="20" s="1"/>
  <c r="AY161" i="20"/>
  <c r="AX161" i="20"/>
  <c r="R161" i="20" s="1"/>
  <c r="Z161" i="20" s="1"/>
  <c r="AW161" i="20"/>
  <c r="AV161" i="20"/>
  <c r="AU161" i="20"/>
  <c r="O161" i="20" s="1"/>
  <c r="V161" i="20"/>
  <c r="AD161" i="20" s="1"/>
  <c r="BB66" i="31"/>
  <c r="BA66" i="31"/>
  <c r="AZ66" i="31"/>
  <c r="AY66" i="31"/>
  <c r="AX66" i="31"/>
  <c r="D66" i="31" s="1"/>
  <c r="AW66" i="31"/>
  <c r="AV66" i="31"/>
  <c r="AU66" i="31"/>
  <c r="V66" i="31"/>
  <c r="AD66" i="31" s="1"/>
  <c r="U66" i="31"/>
  <c r="AC66" i="31" s="1"/>
  <c r="T66" i="31"/>
  <c r="AB66" i="31" s="1"/>
  <c r="S66" i="31"/>
  <c r="AA66" i="31" s="1"/>
  <c r="R66" i="31"/>
  <c r="Z66" i="31" s="1"/>
  <c r="Q66" i="31"/>
  <c r="Y66" i="31" s="1"/>
  <c r="O66" i="31"/>
  <c r="N66" i="31"/>
  <c r="BB188" i="20"/>
  <c r="BA188" i="20"/>
  <c r="AZ188" i="20"/>
  <c r="AY188" i="20"/>
  <c r="AX188" i="20"/>
  <c r="R188" i="20" s="1"/>
  <c r="Z188" i="20" s="1"/>
  <c r="AW188" i="20"/>
  <c r="AV188" i="20"/>
  <c r="AU188" i="20"/>
  <c r="O188" i="20" s="1"/>
  <c r="V188" i="20"/>
  <c r="AD188" i="20" s="1"/>
  <c r="U188" i="20"/>
  <c r="AC188" i="20" s="1"/>
  <c r="T188" i="20"/>
  <c r="AB188" i="20" s="1"/>
  <c r="BB65" i="31"/>
  <c r="BA65" i="31"/>
  <c r="AZ65" i="31"/>
  <c r="AY65" i="31"/>
  <c r="AX65" i="31"/>
  <c r="AW65" i="31"/>
  <c r="AV65" i="31"/>
  <c r="AU65" i="31"/>
  <c r="V65" i="31"/>
  <c r="AD65" i="31" s="1"/>
  <c r="U65" i="31"/>
  <c r="AC65" i="31" s="1"/>
  <c r="T65" i="31"/>
  <c r="AB65" i="31" s="1"/>
  <c r="S65" i="31"/>
  <c r="AA65" i="31" s="1"/>
  <c r="R65" i="31"/>
  <c r="Z65" i="31" s="1"/>
  <c r="Q65" i="31"/>
  <c r="Y65" i="31" s="1"/>
  <c r="O65" i="31"/>
  <c r="N65" i="31"/>
  <c r="D65" i="31"/>
  <c r="BB143" i="20"/>
  <c r="BA143" i="20"/>
  <c r="U143" i="20" s="1"/>
  <c r="AC143" i="20" s="1"/>
  <c r="AZ143" i="20"/>
  <c r="T143" i="20" s="1"/>
  <c r="AB143" i="20" s="1"/>
  <c r="AY143" i="20"/>
  <c r="AX143" i="20"/>
  <c r="R143" i="20" s="1"/>
  <c r="Z143" i="20" s="1"/>
  <c r="AW143" i="20"/>
  <c r="AV143" i="20"/>
  <c r="AU143" i="20"/>
  <c r="O143" i="20" s="1"/>
  <c r="V143" i="20"/>
  <c r="AD143" i="20" s="1"/>
  <c r="BB64" i="31"/>
  <c r="BA64" i="31"/>
  <c r="AZ64" i="31"/>
  <c r="AY64" i="31"/>
  <c r="AX64" i="31"/>
  <c r="AW64" i="31"/>
  <c r="AV64" i="31"/>
  <c r="AU64" i="31"/>
  <c r="V64" i="31"/>
  <c r="AD64" i="31" s="1"/>
  <c r="U64" i="31"/>
  <c r="AC64" i="31" s="1"/>
  <c r="T64" i="31"/>
  <c r="AB64" i="31" s="1"/>
  <c r="S64" i="31"/>
  <c r="AA64" i="31" s="1"/>
  <c r="R64" i="31"/>
  <c r="Z64" i="31" s="1"/>
  <c r="Q64" i="31"/>
  <c r="Y64" i="31" s="1"/>
  <c r="O64" i="31"/>
  <c r="N64" i="31"/>
  <c r="D64" i="31"/>
  <c r="BB186" i="20"/>
  <c r="V186" i="20" s="1"/>
  <c r="AD186" i="20" s="1"/>
  <c r="BA186" i="20"/>
  <c r="U186" i="20" s="1"/>
  <c r="AC186" i="20" s="1"/>
  <c r="AZ186" i="20"/>
  <c r="T186" i="20" s="1"/>
  <c r="AB186" i="20" s="1"/>
  <c r="AY186" i="20"/>
  <c r="AX186" i="20"/>
  <c r="R186" i="20" s="1"/>
  <c r="Z186" i="20" s="1"/>
  <c r="AW186" i="20"/>
  <c r="AV186" i="20"/>
  <c r="AU186" i="20"/>
  <c r="O186" i="20" s="1"/>
  <c r="BB63" i="31"/>
  <c r="BA63" i="31"/>
  <c r="AZ63" i="31"/>
  <c r="AY63" i="31"/>
  <c r="AX63" i="31"/>
  <c r="AW63" i="31"/>
  <c r="AV63" i="31"/>
  <c r="AU63" i="31"/>
  <c r="V63" i="31"/>
  <c r="AD63" i="31" s="1"/>
  <c r="U63" i="31"/>
  <c r="AC63" i="31" s="1"/>
  <c r="T63" i="31"/>
  <c r="AB63" i="31" s="1"/>
  <c r="S63" i="31"/>
  <c r="AA63" i="31" s="1"/>
  <c r="R63" i="31"/>
  <c r="Z63" i="31" s="1"/>
  <c r="Q63" i="31"/>
  <c r="Y63" i="31" s="1"/>
  <c r="O63" i="31"/>
  <c r="N63" i="31"/>
  <c r="D63" i="31"/>
  <c r="BB147" i="20"/>
  <c r="BA147" i="20"/>
  <c r="U147" i="20" s="1"/>
  <c r="AC147" i="20" s="1"/>
  <c r="AZ147" i="20"/>
  <c r="T147" i="20" s="1"/>
  <c r="AB147" i="20" s="1"/>
  <c r="AY147" i="20"/>
  <c r="AX147" i="20"/>
  <c r="R147" i="20" s="1"/>
  <c r="Z147" i="20" s="1"/>
  <c r="AW147" i="20"/>
  <c r="AV147" i="20"/>
  <c r="AU147" i="20"/>
  <c r="O147" i="20" s="1"/>
  <c r="V147" i="20"/>
  <c r="AD147" i="20" s="1"/>
  <c r="BB62" i="31"/>
  <c r="BA62" i="31"/>
  <c r="AZ62" i="31"/>
  <c r="AY62" i="31"/>
  <c r="AX62" i="31"/>
  <c r="AW62" i="31"/>
  <c r="AV62" i="31"/>
  <c r="N62" i="31" s="1"/>
  <c r="AU62" i="31"/>
  <c r="V62" i="31"/>
  <c r="AD62" i="31" s="1"/>
  <c r="U62" i="31"/>
  <c r="AC62" i="31" s="1"/>
  <c r="T62" i="31"/>
  <c r="AB62" i="31" s="1"/>
  <c r="S62" i="31"/>
  <c r="AA62" i="31" s="1"/>
  <c r="R62" i="31"/>
  <c r="Z62" i="31" s="1"/>
  <c r="Q62" i="31"/>
  <c r="Y62" i="31" s="1"/>
  <c r="P62" i="31"/>
  <c r="X62" i="31" s="1"/>
  <c r="O62" i="31"/>
  <c r="D62" i="31"/>
  <c r="BB149" i="20"/>
  <c r="BA149" i="20"/>
  <c r="U149" i="20" s="1"/>
  <c r="AC149" i="20" s="1"/>
  <c r="AZ149" i="20"/>
  <c r="T149" i="20" s="1"/>
  <c r="AB149" i="20" s="1"/>
  <c r="AY149" i="20"/>
  <c r="AX149" i="20"/>
  <c r="R149" i="20" s="1"/>
  <c r="Z149" i="20" s="1"/>
  <c r="AW149" i="20"/>
  <c r="AV149" i="20"/>
  <c r="AU149" i="20"/>
  <c r="O149" i="20" s="1"/>
  <c r="V149" i="20"/>
  <c r="AD149" i="20" s="1"/>
  <c r="BB61" i="31"/>
  <c r="BA61" i="31"/>
  <c r="AZ61" i="31"/>
  <c r="AY61" i="31"/>
  <c r="AX61" i="31"/>
  <c r="AW61" i="31"/>
  <c r="AV61" i="31"/>
  <c r="AU61" i="31"/>
  <c r="V61" i="31"/>
  <c r="AD61" i="31" s="1"/>
  <c r="U61" i="31"/>
  <c r="AC61" i="31" s="1"/>
  <c r="T61" i="31"/>
  <c r="AB61" i="31" s="1"/>
  <c r="S61" i="31"/>
  <c r="AA61" i="31" s="1"/>
  <c r="R61" i="31"/>
  <c r="Z61" i="31" s="1"/>
  <c r="Q61" i="31"/>
  <c r="Y61" i="31" s="1"/>
  <c r="O61" i="31"/>
  <c r="N61" i="31"/>
  <c r="D61" i="31"/>
  <c r="BB195" i="20"/>
  <c r="V195" i="20" s="1"/>
  <c r="AD195" i="20" s="1"/>
  <c r="BA195" i="20"/>
  <c r="U195" i="20" s="1"/>
  <c r="AC195" i="20" s="1"/>
  <c r="AZ195" i="20"/>
  <c r="T195" i="20" s="1"/>
  <c r="AB195" i="20" s="1"/>
  <c r="AY195" i="20"/>
  <c r="AX195" i="20"/>
  <c r="R195" i="20" s="1"/>
  <c r="Z195" i="20" s="1"/>
  <c r="AW195" i="20"/>
  <c r="AV195" i="20"/>
  <c r="AU195" i="20"/>
  <c r="O195" i="20" s="1"/>
  <c r="BB60" i="31"/>
  <c r="BA60" i="31"/>
  <c r="AZ60" i="31"/>
  <c r="AY60" i="31"/>
  <c r="AX60" i="31"/>
  <c r="AW60" i="31"/>
  <c r="AV60" i="31"/>
  <c r="AU60" i="31"/>
  <c r="V60" i="31"/>
  <c r="AD60" i="31" s="1"/>
  <c r="U60" i="31"/>
  <c r="AC60" i="31" s="1"/>
  <c r="T60" i="31"/>
  <c r="AB60" i="31" s="1"/>
  <c r="S60" i="31"/>
  <c r="AA60" i="31" s="1"/>
  <c r="R60" i="31"/>
  <c r="Z60" i="31" s="1"/>
  <c r="Q60" i="31"/>
  <c r="Y60" i="31" s="1"/>
  <c r="O60" i="31"/>
  <c r="N60" i="31"/>
  <c r="D60" i="31"/>
  <c r="BB176" i="20"/>
  <c r="BA176" i="20"/>
  <c r="AZ176" i="20"/>
  <c r="AY176" i="20"/>
  <c r="AX176" i="20"/>
  <c r="R176" i="20" s="1"/>
  <c r="Z176" i="20" s="1"/>
  <c r="AW176" i="20"/>
  <c r="AV176" i="20"/>
  <c r="AU176" i="20"/>
  <c r="V176" i="20"/>
  <c r="AD176" i="20" s="1"/>
  <c r="U176" i="20"/>
  <c r="AC176" i="20" s="1"/>
  <c r="T176" i="20"/>
  <c r="AB176" i="20" s="1"/>
  <c r="O176" i="20"/>
  <c r="BB59" i="31"/>
  <c r="BA59" i="31"/>
  <c r="AZ59" i="31"/>
  <c r="AY59" i="31"/>
  <c r="AX59" i="31"/>
  <c r="AW59" i="31"/>
  <c r="AV59" i="31"/>
  <c r="AU59" i="31"/>
  <c r="N59" i="31" s="1"/>
  <c r="V59" i="31"/>
  <c r="AD59" i="31" s="1"/>
  <c r="U59" i="31"/>
  <c r="AC59" i="31" s="1"/>
  <c r="T59" i="31"/>
  <c r="AB59" i="31" s="1"/>
  <c r="S59" i="31"/>
  <c r="AA59" i="31" s="1"/>
  <c r="R59" i="31"/>
  <c r="Z59" i="31" s="1"/>
  <c r="Q59" i="31"/>
  <c r="Y59" i="31" s="1"/>
  <c r="O59" i="31"/>
  <c r="BB248" i="20"/>
  <c r="BA248" i="20"/>
  <c r="AZ248" i="20"/>
  <c r="AY248" i="20"/>
  <c r="AX248" i="20"/>
  <c r="AW248" i="20"/>
  <c r="AV248" i="20"/>
  <c r="AU248" i="20"/>
  <c r="O248" i="20" s="1"/>
  <c r="V248" i="20"/>
  <c r="AD248" i="20" s="1"/>
  <c r="U248" i="20"/>
  <c r="AC248" i="20" s="1"/>
  <c r="T248" i="20"/>
  <c r="AB248" i="20" s="1"/>
  <c r="S248" i="20"/>
  <c r="AA248" i="20" s="1"/>
  <c r="R248" i="20"/>
  <c r="Z248" i="20" s="1"/>
  <c r="BB58" i="31"/>
  <c r="BA58" i="31"/>
  <c r="AZ58" i="31"/>
  <c r="AY58" i="31"/>
  <c r="AX58" i="31"/>
  <c r="AW58" i="31"/>
  <c r="AV58" i="31"/>
  <c r="AU58" i="31"/>
  <c r="V58" i="31"/>
  <c r="AD58" i="31" s="1"/>
  <c r="U58" i="31"/>
  <c r="AC58" i="31" s="1"/>
  <c r="T58" i="31"/>
  <c r="AB58" i="31" s="1"/>
  <c r="S58" i="31"/>
  <c r="AA58" i="31" s="1"/>
  <c r="R58" i="31"/>
  <c r="Z58" i="31" s="1"/>
  <c r="Q58" i="31"/>
  <c r="Y58" i="31" s="1"/>
  <c r="P58" i="31"/>
  <c r="X58" i="31" s="1"/>
  <c r="O58" i="31"/>
  <c r="N58" i="31"/>
  <c r="D58" i="31"/>
  <c r="BB181" i="20"/>
  <c r="V181" i="20" s="1"/>
  <c r="AD181" i="20" s="1"/>
  <c r="BA181" i="20"/>
  <c r="U181" i="20" s="1"/>
  <c r="AC181" i="20" s="1"/>
  <c r="AZ181" i="20"/>
  <c r="T181" i="20" s="1"/>
  <c r="AB181" i="20" s="1"/>
  <c r="AY181" i="20"/>
  <c r="AX181" i="20"/>
  <c r="R181" i="20" s="1"/>
  <c r="Z181" i="20" s="1"/>
  <c r="AW181" i="20"/>
  <c r="AV181" i="20"/>
  <c r="AU181" i="20"/>
  <c r="O181" i="20" s="1"/>
  <c r="BB57" i="31"/>
  <c r="BA57" i="31"/>
  <c r="AZ57" i="31"/>
  <c r="AY57" i="31"/>
  <c r="AX57" i="31"/>
  <c r="AW57" i="31"/>
  <c r="AV57" i="31"/>
  <c r="AU57" i="31"/>
  <c r="N57" i="31" s="1"/>
  <c r="V57" i="31"/>
  <c r="AD57" i="31" s="1"/>
  <c r="U57" i="31"/>
  <c r="AC57" i="31" s="1"/>
  <c r="T57" i="31"/>
  <c r="AB57" i="31" s="1"/>
  <c r="S57" i="31"/>
  <c r="AA57" i="31" s="1"/>
  <c r="R57" i="31"/>
  <c r="Z57" i="31" s="1"/>
  <c r="Q57" i="31"/>
  <c r="Y57" i="31" s="1"/>
  <c r="P57" i="31"/>
  <c r="X57" i="31" s="1"/>
  <c r="O57" i="31"/>
  <c r="BB151" i="20"/>
  <c r="BA151" i="20"/>
  <c r="U151" i="20" s="1"/>
  <c r="AC151" i="20" s="1"/>
  <c r="AZ151" i="20"/>
  <c r="T151" i="20" s="1"/>
  <c r="AB151" i="20" s="1"/>
  <c r="AY151" i="20"/>
  <c r="AX151" i="20"/>
  <c r="R151" i="20" s="1"/>
  <c r="Z151" i="20" s="1"/>
  <c r="AW151" i="20"/>
  <c r="AV151" i="20"/>
  <c r="AU151" i="20"/>
  <c r="O151" i="20" s="1"/>
  <c r="V151" i="20"/>
  <c r="AD151" i="20" s="1"/>
  <c r="BB56" i="31"/>
  <c r="BA56" i="31"/>
  <c r="AZ56" i="31"/>
  <c r="AY56" i="31"/>
  <c r="AX56" i="31"/>
  <c r="AW56" i="31"/>
  <c r="AV56" i="31"/>
  <c r="N56" i="31" s="1"/>
  <c r="AU56" i="31"/>
  <c r="V56" i="31"/>
  <c r="AD56" i="31" s="1"/>
  <c r="U56" i="31"/>
  <c r="AC56" i="31" s="1"/>
  <c r="T56" i="31"/>
  <c r="AB56" i="31" s="1"/>
  <c r="S56" i="31"/>
  <c r="AA56" i="31" s="1"/>
  <c r="R56" i="31"/>
  <c r="Z56" i="31" s="1"/>
  <c r="Q56" i="31"/>
  <c r="Y56" i="31" s="1"/>
  <c r="O56" i="31"/>
  <c r="D56" i="31"/>
  <c r="BB237" i="20"/>
  <c r="BA237" i="20"/>
  <c r="U237" i="20" s="1"/>
  <c r="AC237" i="20" s="1"/>
  <c r="AZ237" i="20"/>
  <c r="T237" i="20" s="1"/>
  <c r="AB237" i="20" s="1"/>
  <c r="AY237" i="20"/>
  <c r="AX237" i="20"/>
  <c r="R237" i="20" s="1"/>
  <c r="Z237" i="20" s="1"/>
  <c r="AW237" i="20"/>
  <c r="AV237" i="20"/>
  <c r="AU237" i="20"/>
  <c r="O237" i="20" s="1"/>
  <c r="V237" i="20"/>
  <c r="AD237" i="20" s="1"/>
  <c r="BB55" i="31"/>
  <c r="BA55" i="31"/>
  <c r="AZ55" i="31"/>
  <c r="AY55" i="31"/>
  <c r="AX55" i="31"/>
  <c r="AW55" i="31"/>
  <c r="AV55" i="31"/>
  <c r="N55" i="31" s="1"/>
  <c r="AU55" i="31"/>
  <c r="V55" i="31"/>
  <c r="AD55" i="31" s="1"/>
  <c r="U55" i="31"/>
  <c r="AC55" i="31" s="1"/>
  <c r="T55" i="31"/>
  <c r="AB55" i="31" s="1"/>
  <c r="S55" i="31"/>
  <c r="AA55" i="31" s="1"/>
  <c r="R55" i="31"/>
  <c r="Z55" i="31" s="1"/>
  <c r="Q55" i="31"/>
  <c r="Y55" i="31" s="1"/>
  <c r="O55" i="31"/>
  <c r="D55" i="31"/>
  <c r="BB215" i="20"/>
  <c r="BA215" i="20"/>
  <c r="U215" i="20" s="1"/>
  <c r="AC215" i="20" s="1"/>
  <c r="AZ215" i="20"/>
  <c r="T215" i="20" s="1"/>
  <c r="AB215" i="20" s="1"/>
  <c r="AY215" i="20"/>
  <c r="AX215" i="20"/>
  <c r="R215" i="20" s="1"/>
  <c r="Z215" i="20" s="1"/>
  <c r="AW215" i="20"/>
  <c r="AV215" i="20"/>
  <c r="AU215" i="20"/>
  <c r="O215" i="20" s="1"/>
  <c r="V215" i="20"/>
  <c r="AD215" i="20" s="1"/>
  <c r="BB54" i="31"/>
  <c r="BA54" i="31"/>
  <c r="AZ54" i="31"/>
  <c r="AY54" i="31"/>
  <c r="AX54" i="31"/>
  <c r="AW54" i="31"/>
  <c r="AV54" i="31"/>
  <c r="AU54" i="31"/>
  <c r="V54" i="31"/>
  <c r="AD54" i="31" s="1"/>
  <c r="U54" i="31"/>
  <c r="AC54" i="31" s="1"/>
  <c r="T54" i="31"/>
  <c r="AB54" i="31" s="1"/>
  <c r="S54" i="31"/>
  <c r="AA54" i="31" s="1"/>
  <c r="R54" i="31"/>
  <c r="Z54" i="31" s="1"/>
  <c r="Q54" i="31"/>
  <c r="Y54" i="31" s="1"/>
  <c r="P54" i="31"/>
  <c r="X54" i="31" s="1"/>
  <c r="O54" i="31"/>
  <c r="N54" i="31"/>
  <c r="D54" i="31"/>
  <c r="BB222" i="20"/>
  <c r="BA222" i="20"/>
  <c r="U222" i="20" s="1"/>
  <c r="AC222" i="20" s="1"/>
  <c r="AZ222" i="20"/>
  <c r="T222" i="20" s="1"/>
  <c r="AB222" i="20" s="1"/>
  <c r="AY222" i="20"/>
  <c r="AX222" i="20"/>
  <c r="R222" i="20" s="1"/>
  <c r="Z222" i="20" s="1"/>
  <c r="AW222" i="20"/>
  <c r="AV222" i="20"/>
  <c r="AU222" i="20"/>
  <c r="O222" i="20" s="1"/>
  <c r="V222" i="20"/>
  <c r="AD222" i="20" s="1"/>
  <c r="BB53" i="31"/>
  <c r="BA53" i="31"/>
  <c r="AZ53" i="31"/>
  <c r="AY53" i="31"/>
  <c r="AX53" i="31"/>
  <c r="AW53" i="31"/>
  <c r="AV53" i="31"/>
  <c r="AU53" i="31"/>
  <c r="V53" i="31"/>
  <c r="AD53" i="31" s="1"/>
  <c r="U53" i="31"/>
  <c r="AC53" i="31" s="1"/>
  <c r="T53" i="31"/>
  <c r="AB53" i="31" s="1"/>
  <c r="S53" i="31"/>
  <c r="AA53" i="31" s="1"/>
  <c r="R53" i="31"/>
  <c r="Z53" i="31" s="1"/>
  <c r="Q53" i="31"/>
  <c r="Y53" i="31" s="1"/>
  <c r="P53" i="31"/>
  <c r="X53" i="31" s="1"/>
  <c r="O53" i="31"/>
  <c r="N53" i="31"/>
  <c r="D53" i="31"/>
  <c r="BB141" i="20"/>
  <c r="BA141" i="20"/>
  <c r="AZ141" i="20"/>
  <c r="T141" i="20" s="1"/>
  <c r="AB141" i="20" s="1"/>
  <c r="AY141" i="20"/>
  <c r="S141" i="20" s="1"/>
  <c r="AA141" i="20" s="1"/>
  <c r="AX141" i="20"/>
  <c r="R141" i="20" s="1"/>
  <c r="Z141" i="20" s="1"/>
  <c r="AW141" i="20"/>
  <c r="AV141" i="20"/>
  <c r="AU141" i="20"/>
  <c r="V141" i="20"/>
  <c r="AD141" i="20" s="1"/>
  <c r="U141" i="20"/>
  <c r="AC141" i="20" s="1"/>
  <c r="BB52" i="31"/>
  <c r="BA52" i="31"/>
  <c r="AZ52" i="31"/>
  <c r="AY52" i="31"/>
  <c r="AX52" i="31"/>
  <c r="AW52" i="31"/>
  <c r="AV52" i="31"/>
  <c r="AU52" i="31"/>
  <c r="V52" i="31"/>
  <c r="AD52" i="31" s="1"/>
  <c r="U52" i="31"/>
  <c r="AC52" i="31" s="1"/>
  <c r="T52" i="31"/>
  <c r="AB52" i="31" s="1"/>
  <c r="S52" i="31"/>
  <c r="AA52" i="31" s="1"/>
  <c r="R52" i="31"/>
  <c r="Z52" i="31" s="1"/>
  <c r="Q52" i="31"/>
  <c r="Y52" i="31" s="1"/>
  <c r="O52" i="31"/>
  <c r="BB247" i="20"/>
  <c r="V247" i="20" s="1"/>
  <c r="AD247" i="20" s="1"/>
  <c r="BA247" i="20"/>
  <c r="U247" i="20" s="1"/>
  <c r="AC247" i="20" s="1"/>
  <c r="AZ247" i="20"/>
  <c r="T247" i="20" s="1"/>
  <c r="AB247" i="20" s="1"/>
  <c r="AY247" i="20"/>
  <c r="S247" i="20" s="1"/>
  <c r="AA247" i="20" s="1"/>
  <c r="AX247" i="20"/>
  <c r="R247" i="20" s="1"/>
  <c r="Z247" i="20" s="1"/>
  <c r="AW247" i="20"/>
  <c r="AV247" i="20"/>
  <c r="AU247" i="20"/>
  <c r="O247" i="20" s="1"/>
  <c r="BB51" i="31"/>
  <c r="BA51" i="31"/>
  <c r="AZ51" i="31"/>
  <c r="AY51" i="31"/>
  <c r="AX51" i="31"/>
  <c r="AW51" i="31"/>
  <c r="AV51" i="31"/>
  <c r="AU51" i="31"/>
  <c r="V51" i="31"/>
  <c r="AD51" i="31" s="1"/>
  <c r="U51" i="31"/>
  <c r="AC51" i="31" s="1"/>
  <c r="T51" i="31"/>
  <c r="AB51" i="31" s="1"/>
  <c r="S51" i="31"/>
  <c r="AA51" i="31" s="1"/>
  <c r="R51" i="31"/>
  <c r="Z51" i="31" s="1"/>
  <c r="Q51" i="31"/>
  <c r="Y51" i="31" s="1"/>
  <c r="P51" i="31"/>
  <c r="X51" i="31" s="1"/>
  <c r="O51" i="31"/>
  <c r="N51" i="31"/>
  <c r="D51" i="31"/>
  <c r="BB211" i="20"/>
  <c r="BA211" i="20"/>
  <c r="U211" i="20" s="1"/>
  <c r="AC211" i="20" s="1"/>
  <c r="AZ211" i="20"/>
  <c r="T211" i="20" s="1"/>
  <c r="AB211" i="20" s="1"/>
  <c r="AY211" i="20"/>
  <c r="AX211" i="20"/>
  <c r="R211" i="20" s="1"/>
  <c r="Z211" i="20" s="1"/>
  <c r="AW211" i="20"/>
  <c r="AV211" i="20"/>
  <c r="AU211" i="20"/>
  <c r="O211" i="20" s="1"/>
  <c r="V211" i="20"/>
  <c r="AD211" i="20" s="1"/>
  <c r="BB50" i="31"/>
  <c r="BA50" i="31"/>
  <c r="AZ50" i="31"/>
  <c r="AY50" i="31"/>
  <c r="AX50" i="31"/>
  <c r="AW50" i="31"/>
  <c r="AV50" i="31"/>
  <c r="AU50" i="31"/>
  <c r="V50" i="31"/>
  <c r="AD50" i="31" s="1"/>
  <c r="U50" i="31"/>
  <c r="AC50" i="31" s="1"/>
  <c r="T50" i="31"/>
  <c r="AB50" i="31" s="1"/>
  <c r="S50" i="31"/>
  <c r="AA50" i="31" s="1"/>
  <c r="R50" i="31"/>
  <c r="Z50" i="31" s="1"/>
  <c r="Q50" i="31"/>
  <c r="Y50" i="31" s="1"/>
  <c r="P50" i="31"/>
  <c r="X50" i="31" s="1"/>
  <c r="O50" i="31"/>
  <c r="N50" i="31"/>
  <c r="D50" i="31"/>
  <c r="BB8" i="20"/>
  <c r="BA8" i="20"/>
  <c r="AZ8" i="20"/>
  <c r="T8" i="20" s="1"/>
  <c r="AB8" i="20" s="1"/>
  <c r="AY8" i="20"/>
  <c r="AX8" i="20"/>
  <c r="AW8" i="20"/>
  <c r="AV8" i="20"/>
  <c r="AU8" i="20"/>
  <c r="V8" i="20"/>
  <c r="AD8" i="20" s="1"/>
  <c r="U8" i="20"/>
  <c r="AC8" i="20" s="1"/>
  <c r="BB49" i="31"/>
  <c r="BA49" i="31"/>
  <c r="AZ49" i="31"/>
  <c r="AY49" i="31"/>
  <c r="AX49" i="31"/>
  <c r="AW49" i="31"/>
  <c r="AV49" i="31"/>
  <c r="AU49" i="31"/>
  <c r="V49" i="31"/>
  <c r="AD49" i="31" s="1"/>
  <c r="U49" i="31"/>
  <c r="AC49" i="31" s="1"/>
  <c r="T49" i="31"/>
  <c r="AB49" i="31" s="1"/>
  <c r="S49" i="31"/>
  <c r="AA49" i="31" s="1"/>
  <c r="R49" i="31"/>
  <c r="Z49" i="31" s="1"/>
  <c r="Q49" i="31"/>
  <c r="Y49" i="31" s="1"/>
  <c r="O49" i="31"/>
  <c r="N49" i="31"/>
  <c r="D49" i="31"/>
  <c r="BB138" i="20"/>
  <c r="V138" i="20" s="1"/>
  <c r="AD138" i="20" s="1"/>
  <c r="BA138" i="20"/>
  <c r="U138" i="20" s="1"/>
  <c r="AC138" i="20" s="1"/>
  <c r="AZ138" i="20"/>
  <c r="T138" i="20" s="1"/>
  <c r="AB138" i="20" s="1"/>
  <c r="AY138" i="20"/>
  <c r="AX138" i="20"/>
  <c r="AW138" i="20"/>
  <c r="AV138" i="20"/>
  <c r="AU138" i="20"/>
  <c r="O138" i="20" s="1"/>
  <c r="BB48" i="31"/>
  <c r="BA48" i="31"/>
  <c r="AZ48" i="31"/>
  <c r="AY48" i="31"/>
  <c r="AX48" i="31"/>
  <c r="AW48" i="31"/>
  <c r="AV48" i="31"/>
  <c r="N48" i="31" s="1"/>
  <c r="AU48" i="31"/>
  <c r="V48" i="31"/>
  <c r="AD48" i="31" s="1"/>
  <c r="U48" i="31"/>
  <c r="AC48" i="31" s="1"/>
  <c r="T48" i="31"/>
  <c r="AB48" i="31" s="1"/>
  <c r="S48" i="31"/>
  <c r="AA48" i="31" s="1"/>
  <c r="R48" i="31"/>
  <c r="Z48" i="31" s="1"/>
  <c r="Q48" i="31"/>
  <c r="Y48" i="31" s="1"/>
  <c r="O48" i="31"/>
  <c r="D48" i="31"/>
  <c r="BB136" i="20"/>
  <c r="BA136" i="20"/>
  <c r="U136" i="20" s="1"/>
  <c r="AC136" i="20" s="1"/>
  <c r="AZ136" i="20"/>
  <c r="T136" i="20" s="1"/>
  <c r="AB136" i="20" s="1"/>
  <c r="AY136" i="20"/>
  <c r="AX136" i="20"/>
  <c r="AW136" i="20"/>
  <c r="AV136" i="20"/>
  <c r="AU136" i="20"/>
  <c r="O136" i="20" s="1"/>
  <c r="V136" i="20"/>
  <c r="AD136" i="20" s="1"/>
  <c r="BB47" i="31"/>
  <c r="BA47" i="31"/>
  <c r="AZ47" i="31"/>
  <c r="AY47" i="31"/>
  <c r="AX47" i="31"/>
  <c r="AW47" i="31"/>
  <c r="AV47" i="31"/>
  <c r="AU47" i="31"/>
  <c r="V47" i="31"/>
  <c r="AD47" i="31" s="1"/>
  <c r="U47" i="31"/>
  <c r="AC47" i="31" s="1"/>
  <c r="T47" i="31"/>
  <c r="AB47" i="31" s="1"/>
  <c r="S47" i="31"/>
  <c r="AA47" i="31" s="1"/>
  <c r="R47" i="31"/>
  <c r="Z47" i="31" s="1"/>
  <c r="Q47" i="31"/>
  <c r="Y47" i="31" s="1"/>
  <c r="O47" i="31"/>
  <c r="N47" i="31"/>
  <c r="D47" i="31"/>
  <c r="BB254" i="20"/>
  <c r="V254" i="20" s="1"/>
  <c r="AD254" i="20" s="1"/>
  <c r="BA254" i="20"/>
  <c r="U254" i="20" s="1"/>
  <c r="AC254" i="20" s="1"/>
  <c r="AZ254" i="20"/>
  <c r="T254" i="20" s="1"/>
  <c r="AB254" i="20" s="1"/>
  <c r="AY254" i="20"/>
  <c r="AX254" i="20"/>
  <c r="R254" i="20" s="1"/>
  <c r="Z254" i="20" s="1"/>
  <c r="AW254" i="20"/>
  <c r="Q254" i="20" s="1"/>
  <c r="Y254" i="20" s="1"/>
  <c r="AV254" i="20"/>
  <c r="AU254" i="20"/>
  <c r="O254" i="20" s="1"/>
  <c r="BB46" i="31"/>
  <c r="BA46" i="31"/>
  <c r="AZ46" i="31"/>
  <c r="AY46" i="31"/>
  <c r="AX46" i="31"/>
  <c r="AW46" i="31"/>
  <c r="AV46" i="31"/>
  <c r="AU46" i="31"/>
  <c r="V46" i="31"/>
  <c r="AD46" i="31" s="1"/>
  <c r="U46" i="31"/>
  <c r="AC46" i="31" s="1"/>
  <c r="T46" i="31"/>
  <c r="AB46" i="31" s="1"/>
  <c r="S46" i="31"/>
  <c r="AA46" i="31" s="1"/>
  <c r="R46" i="31"/>
  <c r="Z46" i="31" s="1"/>
  <c r="Q46" i="31"/>
  <c r="Y46" i="31" s="1"/>
  <c r="O46" i="31"/>
  <c r="N46" i="31"/>
  <c r="D46" i="31"/>
  <c r="BB249" i="20"/>
  <c r="BA249" i="20"/>
  <c r="U249" i="20" s="1"/>
  <c r="AC249" i="20" s="1"/>
  <c r="AZ249" i="20"/>
  <c r="T249" i="20" s="1"/>
  <c r="AB249" i="20" s="1"/>
  <c r="AY249" i="20"/>
  <c r="S249" i="20" s="1"/>
  <c r="AA249" i="20" s="1"/>
  <c r="AX249" i="20"/>
  <c r="R249" i="20" s="1"/>
  <c r="Z249" i="20" s="1"/>
  <c r="AW249" i="20"/>
  <c r="Q249" i="20" s="1"/>
  <c r="Y249" i="20" s="1"/>
  <c r="AV249" i="20"/>
  <c r="AU249" i="20"/>
  <c r="V249" i="20"/>
  <c r="AD249" i="20" s="1"/>
  <c r="BB45" i="31"/>
  <c r="BA45" i="31"/>
  <c r="AZ45" i="31"/>
  <c r="AY45" i="31"/>
  <c r="AX45" i="31"/>
  <c r="AW45" i="31"/>
  <c r="AV45" i="31"/>
  <c r="N45" i="31" s="1"/>
  <c r="AU45" i="31"/>
  <c r="V45" i="31"/>
  <c r="AD45" i="31" s="1"/>
  <c r="U45" i="31"/>
  <c r="AC45" i="31" s="1"/>
  <c r="T45" i="31"/>
  <c r="AB45" i="31" s="1"/>
  <c r="S45" i="31"/>
  <c r="AA45" i="31" s="1"/>
  <c r="R45" i="31"/>
  <c r="Z45" i="31" s="1"/>
  <c r="Q45" i="31"/>
  <c r="Y45" i="31" s="1"/>
  <c r="P45" i="31"/>
  <c r="X45" i="31" s="1"/>
  <c r="O45" i="31"/>
  <c r="BB29" i="20"/>
  <c r="V29" i="20" s="1"/>
  <c r="AD29" i="20" s="1"/>
  <c r="BA29" i="20"/>
  <c r="U29" i="20" s="1"/>
  <c r="AC29" i="20" s="1"/>
  <c r="AZ29" i="20"/>
  <c r="T29" i="20" s="1"/>
  <c r="AB29" i="20" s="1"/>
  <c r="AY29" i="20"/>
  <c r="AX29" i="20"/>
  <c r="AW29" i="20"/>
  <c r="AV29" i="20"/>
  <c r="AU29" i="20"/>
  <c r="BB44" i="31"/>
  <c r="BA44" i="31"/>
  <c r="AZ44" i="31"/>
  <c r="AY44" i="31"/>
  <c r="AX44" i="31"/>
  <c r="AW44" i="31"/>
  <c r="AV44" i="31"/>
  <c r="AU44" i="31"/>
  <c r="D44" i="31" s="1"/>
  <c r="V44" i="31"/>
  <c r="AD44" i="31" s="1"/>
  <c r="U44" i="31"/>
  <c r="AC44" i="31" s="1"/>
  <c r="T44" i="31"/>
  <c r="AB44" i="31" s="1"/>
  <c r="S44" i="31"/>
  <c r="AA44" i="31" s="1"/>
  <c r="R44" i="31"/>
  <c r="Z44" i="31" s="1"/>
  <c r="Q44" i="31"/>
  <c r="Y44" i="31" s="1"/>
  <c r="O44" i="31"/>
  <c r="BB164" i="20"/>
  <c r="BA164" i="20"/>
  <c r="AZ164" i="20"/>
  <c r="T164" i="20" s="1"/>
  <c r="AB164" i="20" s="1"/>
  <c r="AY164" i="20"/>
  <c r="AX164" i="20"/>
  <c r="R164" i="20" s="1"/>
  <c r="Z164" i="20" s="1"/>
  <c r="AW164" i="20"/>
  <c r="AV164" i="20"/>
  <c r="AU164" i="20"/>
  <c r="O164" i="20" s="1"/>
  <c r="V164" i="20"/>
  <c r="AD164" i="20" s="1"/>
  <c r="U164" i="20"/>
  <c r="AC164" i="20" s="1"/>
  <c r="BB43" i="31"/>
  <c r="BA43" i="31"/>
  <c r="AZ43" i="31"/>
  <c r="AY43" i="31"/>
  <c r="AX43" i="31"/>
  <c r="AW43" i="31"/>
  <c r="Q39" i="31" s="1"/>
  <c r="Y39" i="31" s="1"/>
  <c r="AV43" i="31"/>
  <c r="AU43" i="31"/>
  <c r="N43" i="31" s="1"/>
  <c r="V43" i="31"/>
  <c r="AD43" i="31" s="1"/>
  <c r="U43" i="31"/>
  <c r="AC43" i="31" s="1"/>
  <c r="T43" i="31"/>
  <c r="AB43" i="31" s="1"/>
  <c r="S43" i="31"/>
  <c r="AA43" i="31" s="1"/>
  <c r="R43" i="31"/>
  <c r="Z43" i="31" s="1"/>
  <c r="Q43" i="31"/>
  <c r="Y43" i="31" s="1"/>
  <c r="O43" i="31"/>
  <c r="BB227" i="20"/>
  <c r="BA227" i="20"/>
  <c r="U227" i="20" s="1"/>
  <c r="AC227" i="20" s="1"/>
  <c r="AZ227" i="20"/>
  <c r="T227" i="20" s="1"/>
  <c r="AB227" i="20" s="1"/>
  <c r="AY227" i="20"/>
  <c r="AX227" i="20"/>
  <c r="R227" i="20" s="1"/>
  <c r="Z227" i="20" s="1"/>
  <c r="AW227" i="20"/>
  <c r="AV227" i="20"/>
  <c r="AU227" i="20"/>
  <c r="V227" i="20"/>
  <c r="AD227" i="20" s="1"/>
  <c r="BB42" i="31"/>
  <c r="BA42" i="31"/>
  <c r="AZ42" i="31"/>
  <c r="AY42" i="31"/>
  <c r="AX42" i="31"/>
  <c r="AW42" i="31"/>
  <c r="AV42" i="31"/>
  <c r="AU42" i="31"/>
  <c r="N42" i="31" s="1"/>
  <c r="V42" i="31"/>
  <c r="AD42" i="31" s="1"/>
  <c r="U42" i="31"/>
  <c r="AC42" i="31" s="1"/>
  <c r="T42" i="31"/>
  <c r="AB42" i="31" s="1"/>
  <c r="S42" i="31"/>
  <c r="AA42" i="31" s="1"/>
  <c r="R42" i="31"/>
  <c r="Z42" i="31" s="1"/>
  <c r="O42" i="31"/>
  <c r="BB246" i="20"/>
  <c r="V246" i="20" s="1"/>
  <c r="AD246" i="20" s="1"/>
  <c r="BA246" i="20"/>
  <c r="U246" i="20" s="1"/>
  <c r="AC246" i="20" s="1"/>
  <c r="AZ246" i="20"/>
  <c r="T246" i="20" s="1"/>
  <c r="AB246" i="20" s="1"/>
  <c r="AY246" i="20"/>
  <c r="S246" i="20" s="1"/>
  <c r="AA246" i="20" s="1"/>
  <c r="AX246" i="20"/>
  <c r="R246" i="20" s="1"/>
  <c r="Z246" i="20" s="1"/>
  <c r="AW246" i="20"/>
  <c r="AV246" i="20"/>
  <c r="AU246" i="20"/>
  <c r="BB41" i="31"/>
  <c r="BA41" i="31"/>
  <c r="AZ41" i="31"/>
  <c r="AY41" i="31"/>
  <c r="AX41" i="31"/>
  <c r="AW41" i="31"/>
  <c r="AV41" i="31"/>
  <c r="AU41" i="31"/>
  <c r="N41" i="31" s="1"/>
  <c r="V41" i="31"/>
  <c r="AD41" i="31" s="1"/>
  <c r="U41" i="31"/>
  <c r="AC41" i="31" s="1"/>
  <c r="T41" i="31"/>
  <c r="AB41" i="31" s="1"/>
  <c r="S41" i="31"/>
  <c r="AA41" i="31" s="1"/>
  <c r="R41" i="31"/>
  <c r="Z41" i="31" s="1"/>
  <c r="O41" i="31"/>
  <c r="D41" i="31"/>
  <c r="BB154" i="20"/>
  <c r="V154" i="20" s="1"/>
  <c r="AD154" i="20" s="1"/>
  <c r="BA154" i="20"/>
  <c r="U154" i="20" s="1"/>
  <c r="AC154" i="20" s="1"/>
  <c r="AZ154" i="20"/>
  <c r="T154" i="20" s="1"/>
  <c r="AB154" i="20" s="1"/>
  <c r="AY154" i="20"/>
  <c r="AX154" i="20"/>
  <c r="R154" i="20" s="1"/>
  <c r="Z154" i="20" s="1"/>
  <c r="AW154" i="20"/>
  <c r="AV154" i="20"/>
  <c r="AU154" i="20"/>
  <c r="BB40" i="31"/>
  <c r="BA40" i="31"/>
  <c r="AZ40" i="31"/>
  <c r="AY40" i="31"/>
  <c r="AX40" i="31"/>
  <c r="AW40" i="31"/>
  <c r="AV40" i="31"/>
  <c r="AU40" i="31"/>
  <c r="V40" i="31"/>
  <c r="AD40" i="31" s="1"/>
  <c r="U40" i="31"/>
  <c r="AC40" i="31" s="1"/>
  <c r="T40" i="31"/>
  <c r="AB40" i="31" s="1"/>
  <c r="S40" i="31"/>
  <c r="AA40" i="31" s="1"/>
  <c r="R40" i="31"/>
  <c r="Z40" i="31" s="1"/>
  <c r="Q40" i="31"/>
  <c r="Y40" i="31" s="1"/>
  <c r="O40" i="31"/>
  <c r="N40" i="31"/>
  <c r="D40" i="31"/>
  <c r="BB87" i="20"/>
  <c r="BA87" i="20"/>
  <c r="U87" i="20" s="1"/>
  <c r="AC87" i="20" s="1"/>
  <c r="AZ87" i="20"/>
  <c r="T87" i="20" s="1"/>
  <c r="AB87" i="20" s="1"/>
  <c r="AY87" i="20"/>
  <c r="AX87" i="20"/>
  <c r="AW87" i="20"/>
  <c r="AV87" i="20"/>
  <c r="AU87" i="20"/>
  <c r="V87" i="20"/>
  <c r="AD87" i="20" s="1"/>
  <c r="BB39" i="31"/>
  <c r="BA39" i="31"/>
  <c r="AZ39" i="31"/>
  <c r="AY39" i="31"/>
  <c r="AX39" i="31"/>
  <c r="AW39" i="31"/>
  <c r="AV39" i="31"/>
  <c r="AU39" i="31"/>
  <c r="V39" i="31"/>
  <c r="AD39" i="31" s="1"/>
  <c r="U39" i="31"/>
  <c r="AC39" i="31" s="1"/>
  <c r="T39" i="31"/>
  <c r="AB39" i="31" s="1"/>
  <c r="S39" i="31"/>
  <c r="AA39" i="31" s="1"/>
  <c r="R39" i="31"/>
  <c r="Z39" i="31" s="1"/>
  <c r="O39" i="31"/>
  <c r="N39" i="31"/>
  <c r="D39" i="31"/>
  <c r="BB207" i="20"/>
  <c r="BA207" i="20"/>
  <c r="U207" i="20" s="1"/>
  <c r="AC207" i="20" s="1"/>
  <c r="AZ207" i="20"/>
  <c r="T207" i="20" s="1"/>
  <c r="AB207" i="20" s="1"/>
  <c r="AY207" i="20"/>
  <c r="AX207" i="20"/>
  <c r="R207" i="20" s="1"/>
  <c r="Z207" i="20" s="1"/>
  <c r="AW207" i="20"/>
  <c r="AV207" i="20"/>
  <c r="AU207" i="20"/>
  <c r="O207" i="20" s="1"/>
  <c r="V207" i="20"/>
  <c r="AD207" i="20" s="1"/>
  <c r="BB38" i="31"/>
  <c r="BA38" i="31"/>
  <c r="AZ38" i="31"/>
  <c r="AY38" i="31"/>
  <c r="AX38" i="31"/>
  <c r="AW38" i="31"/>
  <c r="AV38" i="31"/>
  <c r="N38" i="31" s="1"/>
  <c r="AU38" i="31"/>
  <c r="V38" i="31"/>
  <c r="AD38" i="31" s="1"/>
  <c r="U38" i="31"/>
  <c r="AC38" i="31" s="1"/>
  <c r="T38" i="31"/>
  <c r="AB38" i="31" s="1"/>
  <c r="S38" i="31"/>
  <c r="AA38" i="31" s="1"/>
  <c r="R38" i="31"/>
  <c r="Z38" i="31" s="1"/>
  <c r="Q38" i="31"/>
  <c r="Y38" i="31" s="1"/>
  <c r="O38" i="31"/>
  <c r="D38" i="31"/>
  <c r="BB32" i="20"/>
  <c r="V32" i="20" s="1"/>
  <c r="AD32" i="20" s="1"/>
  <c r="BA32" i="20"/>
  <c r="U32" i="20" s="1"/>
  <c r="AC32" i="20" s="1"/>
  <c r="AZ32" i="20"/>
  <c r="T32" i="20" s="1"/>
  <c r="AB32" i="20" s="1"/>
  <c r="AY32" i="20"/>
  <c r="AX32" i="20"/>
  <c r="AW32" i="20"/>
  <c r="AV32" i="20"/>
  <c r="AU32" i="20"/>
  <c r="BB37" i="31"/>
  <c r="BA37" i="31"/>
  <c r="AZ37" i="31"/>
  <c r="AY37" i="31"/>
  <c r="AX37" i="31"/>
  <c r="AW37" i="31"/>
  <c r="AV37" i="31"/>
  <c r="AU37" i="31"/>
  <c r="N37" i="31" s="1"/>
  <c r="V37" i="31"/>
  <c r="AD37" i="31" s="1"/>
  <c r="U37" i="31"/>
  <c r="AC37" i="31" s="1"/>
  <c r="T37" i="31"/>
  <c r="AB37" i="31" s="1"/>
  <c r="S37" i="31"/>
  <c r="AA37" i="31" s="1"/>
  <c r="R37" i="31"/>
  <c r="Z37" i="31" s="1"/>
  <c r="O37" i="31"/>
  <c r="BB191" i="20"/>
  <c r="BA191" i="20"/>
  <c r="U191" i="20" s="1"/>
  <c r="AC191" i="20" s="1"/>
  <c r="AZ191" i="20"/>
  <c r="T191" i="20" s="1"/>
  <c r="AB191" i="20" s="1"/>
  <c r="AY191" i="20"/>
  <c r="AX191" i="20"/>
  <c r="R191" i="20" s="1"/>
  <c r="Z191" i="20" s="1"/>
  <c r="AW191" i="20"/>
  <c r="AV191" i="20"/>
  <c r="AU191" i="20"/>
  <c r="O191" i="20" s="1"/>
  <c r="V191" i="20"/>
  <c r="AD191" i="20" s="1"/>
  <c r="BB36" i="31"/>
  <c r="BA36" i="31"/>
  <c r="AZ36" i="31"/>
  <c r="AY36" i="31"/>
  <c r="AX36" i="31"/>
  <c r="AW36" i="31"/>
  <c r="AV36" i="31"/>
  <c r="AU36" i="31"/>
  <c r="V36" i="31"/>
  <c r="AD36" i="31" s="1"/>
  <c r="U36" i="31"/>
  <c r="AC36" i="31" s="1"/>
  <c r="T36" i="31"/>
  <c r="AB36" i="31" s="1"/>
  <c r="S36" i="31"/>
  <c r="AA36" i="31" s="1"/>
  <c r="R36" i="31"/>
  <c r="Z36" i="31" s="1"/>
  <c r="Q36" i="31"/>
  <c r="Y36" i="31" s="1"/>
  <c r="O36" i="31"/>
  <c r="N36" i="31"/>
  <c r="D36" i="31"/>
  <c r="BB172" i="20"/>
  <c r="V172" i="20" s="1"/>
  <c r="AD172" i="20" s="1"/>
  <c r="BA172" i="20"/>
  <c r="U172" i="20" s="1"/>
  <c r="AC172" i="20" s="1"/>
  <c r="AZ172" i="20"/>
  <c r="T172" i="20" s="1"/>
  <c r="AB172" i="20" s="1"/>
  <c r="AY172" i="20"/>
  <c r="AX172" i="20"/>
  <c r="R172" i="20" s="1"/>
  <c r="Z172" i="20" s="1"/>
  <c r="AW172" i="20"/>
  <c r="AV172" i="20"/>
  <c r="AU172" i="20"/>
  <c r="O172" i="20" s="1"/>
  <c r="BB35" i="31"/>
  <c r="BA35" i="31"/>
  <c r="AZ35" i="31"/>
  <c r="AY35" i="31"/>
  <c r="AX35" i="31"/>
  <c r="AW35" i="31"/>
  <c r="AV35" i="31"/>
  <c r="AU35" i="31"/>
  <c r="V35" i="31"/>
  <c r="AD35" i="31" s="1"/>
  <c r="U35" i="31"/>
  <c r="AC35" i="31" s="1"/>
  <c r="T35" i="31"/>
  <c r="AB35" i="31" s="1"/>
  <c r="S35" i="31"/>
  <c r="AA35" i="31" s="1"/>
  <c r="R35" i="31"/>
  <c r="Z35" i="31" s="1"/>
  <c r="Q35" i="31"/>
  <c r="Y35" i="31" s="1"/>
  <c r="O35" i="31"/>
  <c r="N35" i="31"/>
  <c r="D35" i="31"/>
  <c r="BB175" i="20"/>
  <c r="BA175" i="20"/>
  <c r="U175" i="20" s="1"/>
  <c r="AC175" i="20" s="1"/>
  <c r="AZ175" i="20"/>
  <c r="T175" i="20" s="1"/>
  <c r="AB175" i="20" s="1"/>
  <c r="AY175" i="20"/>
  <c r="AX175" i="20"/>
  <c r="R175" i="20" s="1"/>
  <c r="Z175" i="20" s="1"/>
  <c r="AW175" i="20"/>
  <c r="AV175" i="20"/>
  <c r="AU175" i="20"/>
  <c r="O175" i="20" s="1"/>
  <c r="V175" i="20"/>
  <c r="AD175" i="20" s="1"/>
  <c r="BB34" i="31"/>
  <c r="BA34" i="31"/>
  <c r="AZ34" i="31"/>
  <c r="AY34" i="31"/>
  <c r="AX34" i="31"/>
  <c r="AW34" i="31"/>
  <c r="AV34" i="31"/>
  <c r="N34" i="31" s="1"/>
  <c r="AU34" i="31"/>
  <c r="V34" i="31"/>
  <c r="AD34" i="31" s="1"/>
  <c r="U34" i="31"/>
  <c r="AC34" i="31" s="1"/>
  <c r="T34" i="31"/>
  <c r="AB34" i="31" s="1"/>
  <c r="S34" i="31"/>
  <c r="AA34" i="31" s="1"/>
  <c r="R34" i="31"/>
  <c r="Z34" i="31" s="1"/>
  <c r="Q34" i="31"/>
  <c r="Y34" i="31" s="1"/>
  <c r="O34" i="31"/>
  <c r="D34" i="31"/>
  <c r="BB258" i="20"/>
  <c r="V258" i="20" s="1"/>
  <c r="AD258" i="20" s="1"/>
  <c r="BA258" i="20"/>
  <c r="U258" i="20" s="1"/>
  <c r="AC258" i="20" s="1"/>
  <c r="AZ258" i="20"/>
  <c r="T258" i="20" s="1"/>
  <c r="AB258" i="20" s="1"/>
  <c r="AY258" i="20"/>
  <c r="S258" i="20" s="1"/>
  <c r="AA258" i="20" s="1"/>
  <c r="AX258" i="20"/>
  <c r="R258" i="20" s="1"/>
  <c r="Z258" i="20" s="1"/>
  <c r="AW258" i="20"/>
  <c r="AV258" i="20"/>
  <c r="P258" i="20" s="1"/>
  <c r="X258" i="20" s="1"/>
  <c r="AU258" i="20"/>
  <c r="O258" i="20" s="1"/>
  <c r="BB33" i="31"/>
  <c r="BA33" i="31"/>
  <c r="AZ33" i="31"/>
  <c r="AY33" i="31"/>
  <c r="AX33" i="31"/>
  <c r="AW33" i="31"/>
  <c r="AV33" i="31"/>
  <c r="AU33" i="31"/>
  <c r="V33" i="31"/>
  <c r="AD33" i="31" s="1"/>
  <c r="U33" i="31"/>
  <c r="AC33" i="31" s="1"/>
  <c r="T33" i="31"/>
  <c r="AB33" i="31" s="1"/>
  <c r="S33" i="31"/>
  <c r="AA33" i="31" s="1"/>
  <c r="R33" i="31"/>
  <c r="Z33" i="31" s="1"/>
  <c r="Q33" i="31"/>
  <c r="Y33" i="31" s="1"/>
  <c r="P33" i="31"/>
  <c r="X33" i="31" s="1"/>
  <c r="O33" i="31"/>
  <c r="N33" i="31"/>
  <c r="D33" i="31"/>
  <c r="BB166" i="20"/>
  <c r="BA166" i="20"/>
  <c r="U166" i="20" s="1"/>
  <c r="AC166" i="20" s="1"/>
  <c r="AZ166" i="20"/>
  <c r="T166" i="20" s="1"/>
  <c r="AB166" i="20" s="1"/>
  <c r="AY166" i="20"/>
  <c r="AX166" i="20"/>
  <c r="R166" i="20" s="1"/>
  <c r="Z166" i="20" s="1"/>
  <c r="AW166" i="20"/>
  <c r="AV166" i="20"/>
  <c r="AU166" i="20"/>
  <c r="O166" i="20" s="1"/>
  <c r="V166" i="20"/>
  <c r="AD166" i="20" s="1"/>
  <c r="BB32" i="31"/>
  <c r="BA32" i="31"/>
  <c r="AZ32" i="31"/>
  <c r="AY32" i="31"/>
  <c r="AX32" i="31"/>
  <c r="AW32" i="31"/>
  <c r="AV32" i="31"/>
  <c r="N32" i="31" s="1"/>
  <c r="AU32" i="31"/>
  <c r="V32" i="31"/>
  <c r="AD32" i="31" s="1"/>
  <c r="U32" i="31"/>
  <c r="AC32" i="31" s="1"/>
  <c r="T32" i="31"/>
  <c r="AB32" i="31" s="1"/>
  <c r="S32" i="31"/>
  <c r="AA32" i="31" s="1"/>
  <c r="R32" i="31"/>
  <c r="Z32" i="31" s="1"/>
  <c r="Q32" i="31"/>
  <c r="Y32" i="31" s="1"/>
  <c r="O32" i="31"/>
  <c r="BB150" i="20"/>
  <c r="V150" i="20" s="1"/>
  <c r="AD150" i="20" s="1"/>
  <c r="BA150" i="20"/>
  <c r="U150" i="20" s="1"/>
  <c r="AC150" i="20" s="1"/>
  <c r="AZ150" i="20"/>
  <c r="T150" i="20" s="1"/>
  <c r="AB150" i="20" s="1"/>
  <c r="AY150" i="20"/>
  <c r="AX150" i="20"/>
  <c r="R150" i="20" s="1"/>
  <c r="Z150" i="20" s="1"/>
  <c r="AW150" i="20"/>
  <c r="AV150" i="20"/>
  <c r="AU150" i="20"/>
  <c r="O150" i="20" s="1"/>
  <c r="BB31" i="31"/>
  <c r="BA31" i="31"/>
  <c r="AZ31" i="31"/>
  <c r="AY31" i="31"/>
  <c r="AX31" i="31"/>
  <c r="AW31" i="31"/>
  <c r="AV31" i="31"/>
  <c r="AU31" i="31"/>
  <c r="V31" i="31"/>
  <c r="AD31" i="31" s="1"/>
  <c r="U31" i="31"/>
  <c r="AC31" i="31" s="1"/>
  <c r="T31" i="31"/>
  <c r="AB31" i="31" s="1"/>
  <c r="S31" i="31"/>
  <c r="AA31" i="31" s="1"/>
  <c r="R31" i="31"/>
  <c r="Z31" i="31" s="1"/>
  <c r="Q31" i="31"/>
  <c r="Y31" i="31" s="1"/>
  <c r="O31" i="31"/>
  <c r="D31" i="31"/>
  <c r="BB162" i="20"/>
  <c r="V162" i="20" s="1"/>
  <c r="AD162" i="20" s="1"/>
  <c r="BA162" i="20"/>
  <c r="U162" i="20" s="1"/>
  <c r="AC162" i="20" s="1"/>
  <c r="AZ162" i="20"/>
  <c r="T162" i="20" s="1"/>
  <c r="AB162" i="20" s="1"/>
  <c r="AY162" i="20"/>
  <c r="AX162" i="20"/>
  <c r="R162" i="20" s="1"/>
  <c r="Z162" i="20" s="1"/>
  <c r="AW162" i="20"/>
  <c r="AV162" i="20"/>
  <c r="AU162" i="20"/>
  <c r="O162" i="20" s="1"/>
  <c r="BB30" i="31"/>
  <c r="BA30" i="31"/>
  <c r="AZ30" i="31"/>
  <c r="AY30" i="31"/>
  <c r="AX30" i="31"/>
  <c r="AW30" i="31"/>
  <c r="AV30" i="31"/>
  <c r="AU30" i="31"/>
  <c r="V30" i="31"/>
  <c r="AD30" i="31" s="1"/>
  <c r="U30" i="31"/>
  <c r="AC30" i="31" s="1"/>
  <c r="T30" i="31"/>
  <c r="AB30" i="31" s="1"/>
  <c r="S30" i="31"/>
  <c r="AA30" i="31" s="1"/>
  <c r="R30" i="31"/>
  <c r="Z30" i="31" s="1"/>
  <c r="Q30" i="31"/>
  <c r="Y30" i="31" s="1"/>
  <c r="O30" i="31"/>
  <c r="N30" i="31"/>
  <c r="D30" i="31"/>
  <c r="BB156" i="20"/>
  <c r="BA156" i="20"/>
  <c r="U156" i="20" s="1"/>
  <c r="AC156" i="20" s="1"/>
  <c r="AZ156" i="20"/>
  <c r="T156" i="20" s="1"/>
  <c r="AB156" i="20" s="1"/>
  <c r="AY156" i="20"/>
  <c r="AX156" i="20"/>
  <c r="R156" i="20" s="1"/>
  <c r="Z156" i="20" s="1"/>
  <c r="AW156" i="20"/>
  <c r="AV156" i="20"/>
  <c r="AU156" i="20"/>
  <c r="O156" i="20" s="1"/>
  <c r="V156" i="20"/>
  <c r="AD156" i="20" s="1"/>
  <c r="BB29" i="31"/>
  <c r="BA29" i="31"/>
  <c r="AZ29" i="31"/>
  <c r="AY29" i="31"/>
  <c r="AX29" i="31"/>
  <c r="AW29" i="31"/>
  <c r="Q28" i="31" s="1"/>
  <c r="Y28" i="31" s="1"/>
  <c r="AV29" i="31"/>
  <c r="AU29" i="31"/>
  <c r="V29" i="31"/>
  <c r="AD29" i="31" s="1"/>
  <c r="U29" i="31"/>
  <c r="AC29" i="31" s="1"/>
  <c r="T29" i="31"/>
  <c r="AB29" i="31" s="1"/>
  <c r="S29" i="31"/>
  <c r="AA29" i="31" s="1"/>
  <c r="R29" i="31"/>
  <c r="Z29" i="31" s="1"/>
  <c r="Q29" i="31"/>
  <c r="Y29" i="31" s="1"/>
  <c r="O29" i="31"/>
  <c r="N29" i="31"/>
  <c r="D29" i="31"/>
  <c r="BB148" i="20"/>
  <c r="BA148" i="20"/>
  <c r="U148" i="20" s="1"/>
  <c r="AC148" i="20" s="1"/>
  <c r="AZ148" i="20"/>
  <c r="T148" i="20" s="1"/>
  <c r="AB148" i="20" s="1"/>
  <c r="AY148" i="20"/>
  <c r="AX148" i="20"/>
  <c r="R148" i="20" s="1"/>
  <c r="Z148" i="20" s="1"/>
  <c r="AW148" i="20"/>
  <c r="AV148" i="20"/>
  <c r="AU148" i="20"/>
  <c r="O148" i="20" s="1"/>
  <c r="V148" i="20"/>
  <c r="AD148" i="20" s="1"/>
  <c r="BB28" i="31"/>
  <c r="BA28" i="31"/>
  <c r="AZ28" i="31"/>
  <c r="AY28" i="31"/>
  <c r="AX28" i="31"/>
  <c r="AW28" i="31"/>
  <c r="AV28" i="31"/>
  <c r="AU28" i="31"/>
  <c r="V28" i="31"/>
  <c r="AD28" i="31" s="1"/>
  <c r="U28" i="31"/>
  <c r="AC28" i="31" s="1"/>
  <c r="T28" i="31"/>
  <c r="AB28" i="31" s="1"/>
  <c r="S28" i="31"/>
  <c r="AA28" i="31" s="1"/>
  <c r="R28" i="31"/>
  <c r="Z28" i="31" s="1"/>
  <c r="O28" i="31"/>
  <c r="N28" i="31"/>
  <c r="D28" i="31"/>
  <c r="BB226" i="20"/>
  <c r="V226" i="20" s="1"/>
  <c r="AD226" i="20" s="1"/>
  <c r="BA226" i="20"/>
  <c r="U226" i="20" s="1"/>
  <c r="AC226" i="20" s="1"/>
  <c r="AZ226" i="20"/>
  <c r="T226" i="20" s="1"/>
  <c r="AB226" i="20" s="1"/>
  <c r="AY226" i="20"/>
  <c r="AX226" i="20"/>
  <c r="R226" i="20" s="1"/>
  <c r="Z226" i="20" s="1"/>
  <c r="AW226" i="20"/>
  <c r="AV226" i="20"/>
  <c r="AU226" i="20"/>
  <c r="O226" i="20" s="1"/>
  <c r="BB27" i="31"/>
  <c r="BA27" i="31"/>
  <c r="AZ27" i="31"/>
  <c r="AY27" i="31"/>
  <c r="AX27" i="31"/>
  <c r="AW27" i="31"/>
  <c r="AV27" i="31"/>
  <c r="N27" i="31" s="1"/>
  <c r="AU27" i="31"/>
  <c r="V27" i="31"/>
  <c r="AD27" i="31" s="1"/>
  <c r="U27" i="31"/>
  <c r="AC27" i="31" s="1"/>
  <c r="T27" i="31"/>
  <c r="AB27" i="31" s="1"/>
  <c r="S27" i="31"/>
  <c r="AA27" i="31" s="1"/>
  <c r="R27" i="31"/>
  <c r="Z27" i="31" s="1"/>
  <c r="Q27" i="31"/>
  <c r="Y27" i="31" s="1"/>
  <c r="O27" i="31"/>
  <c r="D27" i="31"/>
  <c r="BB223" i="20"/>
  <c r="BA223" i="20"/>
  <c r="U223" i="20" s="1"/>
  <c r="AC223" i="20" s="1"/>
  <c r="AZ223" i="20"/>
  <c r="T223" i="20" s="1"/>
  <c r="AB223" i="20" s="1"/>
  <c r="AY223" i="20"/>
  <c r="AX223" i="20"/>
  <c r="R223" i="20" s="1"/>
  <c r="Z223" i="20" s="1"/>
  <c r="AW223" i="20"/>
  <c r="AV223" i="20"/>
  <c r="AU223" i="20"/>
  <c r="O223" i="20" s="1"/>
  <c r="V223" i="20"/>
  <c r="AD223" i="20" s="1"/>
  <c r="BB26" i="31"/>
  <c r="BA26" i="31"/>
  <c r="AZ26" i="31"/>
  <c r="AY26" i="31"/>
  <c r="AX26" i="31"/>
  <c r="AW26" i="31"/>
  <c r="AV26" i="31"/>
  <c r="N26" i="31" s="1"/>
  <c r="AU26" i="31"/>
  <c r="V26" i="31"/>
  <c r="AD26" i="31" s="1"/>
  <c r="U26" i="31"/>
  <c r="AC26" i="31" s="1"/>
  <c r="T26" i="31"/>
  <c r="AB26" i="31" s="1"/>
  <c r="S26" i="31"/>
  <c r="AA26" i="31" s="1"/>
  <c r="R26" i="31"/>
  <c r="Z26" i="31" s="1"/>
  <c r="Q26" i="31"/>
  <c r="Y26" i="31" s="1"/>
  <c r="O26" i="31"/>
  <c r="D26" i="31"/>
  <c r="BB177" i="20"/>
  <c r="V177" i="20" s="1"/>
  <c r="AD177" i="20" s="1"/>
  <c r="BA177" i="20"/>
  <c r="U177" i="20" s="1"/>
  <c r="AC177" i="20" s="1"/>
  <c r="AZ177" i="20"/>
  <c r="T177" i="20" s="1"/>
  <c r="AB177" i="20" s="1"/>
  <c r="AY177" i="20"/>
  <c r="AX177" i="20"/>
  <c r="R177" i="20" s="1"/>
  <c r="Z177" i="20" s="1"/>
  <c r="AW177" i="20"/>
  <c r="AV177" i="20"/>
  <c r="AU177" i="20"/>
  <c r="O177" i="20" s="1"/>
  <c r="BB25" i="31"/>
  <c r="BA25" i="31"/>
  <c r="AZ25" i="31"/>
  <c r="AY25" i="31"/>
  <c r="AX25" i="31"/>
  <c r="AW25" i="31"/>
  <c r="AV25" i="31"/>
  <c r="AU25" i="31"/>
  <c r="V25" i="31"/>
  <c r="AD25" i="31" s="1"/>
  <c r="U25" i="31"/>
  <c r="AC25" i="31" s="1"/>
  <c r="T25" i="31"/>
  <c r="AB25" i="31" s="1"/>
  <c r="S25" i="31"/>
  <c r="AA25" i="31" s="1"/>
  <c r="R25" i="31"/>
  <c r="Z25" i="31" s="1"/>
  <c r="Q25" i="31"/>
  <c r="Y25" i="31" s="1"/>
  <c r="O25" i="31"/>
  <c r="N25" i="31"/>
  <c r="D25" i="31"/>
  <c r="BB203" i="20"/>
  <c r="V203" i="20" s="1"/>
  <c r="AD203" i="20" s="1"/>
  <c r="BA203" i="20"/>
  <c r="U203" i="20" s="1"/>
  <c r="AC203" i="20" s="1"/>
  <c r="AZ203" i="20"/>
  <c r="T203" i="20" s="1"/>
  <c r="AB203" i="20" s="1"/>
  <c r="AY203" i="20"/>
  <c r="AX203" i="20"/>
  <c r="R203" i="20" s="1"/>
  <c r="Z203" i="20" s="1"/>
  <c r="AW203" i="20"/>
  <c r="AV203" i="20"/>
  <c r="AU203" i="20"/>
  <c r="O203" i="20" s="1"/>
  <c r="BB24" i="31"/>
  <c r="BA24" i="31"/>
  <c r="AZ24" i="31"/>
  <c r="AY24" i="31"/>
  <c r="AX24" i="31"/>
  <c r="AW24" i="31"/>
  <c r="AV24" i="31"/>
  <c r="AU24" i="31"/>
  <c r="V24" i="31"/>
  <c r="AD24" i="31" s="1"/>
  <c r="U24" i="31"/>
  <c r="AC24" i="31" s="1"/>
  <c r="T24" i="31"/>
  <c r="AB24" i="31" s="1"/>
  <c r="S24" i="31"/>
  <c r="AA24" i="31" s="1"/>
  <c r="R24" i="31"/>
  <c r="Z24" i="31" s="1"/>
  <c r="Q24" i="31"/>
  <c r="Y24" i="31" s="1"/>
  <c r="O24" i="31"/>
  <c r="N24" i="31"/>
  <c r="D24" i="31"/>
  <c r="BB213" i="20"/>
  <c r="V213" i="20" s="1"/>
  <c r="AD213" i="20" s="1"/>
  <c r="BA213" i="20"/>
  <c r="U213" i="20" s="1"/>
  <c r="AC213" i="20" s="1"/>
  <c r="AZ213" i="20"/>
  <c r="T213" i="20" s="1"/>
  <c r="AB213" i="20" s="1"/>
  <c r="AY213" i="20"/>
  <c r="AX213" i="20"/>
  <c r="R213" i="20" s="1"/>
  <c r="Z213" i="20" s="1"/>
  <c r="AW213" i="20"/>
  <c r="AV213" i="20"/>
  <c r="AU213" i="20"/>
  <c r="O213" i="20" s="1"/>
  <c r="BB23" i="31"/>
  <c r="BA23" i="31"/>
  <c r="AZ23" i="31"/>
  <c r="AY23" i="31"/>
  <c r="AX23" i="31"/>
  <c r="AW23" i="31"/>
  <c r="AV23" i="31"/>
  <c r="N23" i="31" s="1"/>
  <c r="AU23" i="31"/>
  <c r="V23" i="31"/>
  <c r="AD23" i="31" s="1"/>
  <c r="U23" i="31"/>
  <c r="AC23" i="31" s="1"/>
  <c r="T23" i="31"/>
  <c r="AB23" i="31" s="1"/>
  <c r="S23" i="31"/>
  <c r="AA23" i="31" s="1"/>
  <c r="R23" i="31"/>
  <c r="Z23" i="31" s="1"/>
  <c r="Q23" i="31"/>
  <c r="Y23" i="31" s="1"/>
  <c r="P23" i="31"/>
  <c r="X23" i="31" s="1"/>
  <c r="O23" i="31"/>
  <c r="D23" i="31"/>
  <c r="BB170" i="20"/>
  <c r="BA170" i="20"/>
  <c r="U170" i="20" s="1"/>
  <c r="AC170" i="20" s="1"/>
  <c r="AZ170" i="20"/>
  <c r="T170" i="20" s="1"/>
  <c r="AB170" i="20" s="1"/>
  <c r="AY170" i="20"/>
  <c r="AX170" i="20"/>
  <c r="R170" i="20" s="1"/>
  <c r="Z170" i="20" s="1"/>
  <c r="AW170" i="20"/>
  <c r="AV170" i="20"/>
  <c r="AU170" i="20"/>
  <c r="O170" i="20" s="1"/>
  <c r="V170" i="20"/>
  <c r="AD170" i="20" s="1"/>
  <c r="BB22" i="31"/>
  <c r="BA22" i="31"/>
  <c r="AZ22" i="31"/>
  <c r="AY22" i="31"/>
  <c r="AX22" i="31"/>
  <c r="AW22" i="31"/>
  <c r="AV22" i="31"/>
  <c r="AU22" i="31"/>
  <c r="N22" i="31" s="1"/>
  <c r="V22" i="31"/>
  <c r="AD22" i="31" s="1"/>
  <c r="U22" i="31"/>
  <c r="AC22" i="31" s="1"/>
  <c r="T22" i="31"/>
  <c r="AB22" i="31" s="1"/>
  <c r="S22" i="31"/>
  <c r="AA22" i="31" s="1"/>
  <c r="R22" i="31"/>
  <c r="Z22" i="31" s="1"/>
  <c r="Q22" i="31"/>
  <c r="Y22" i="31" s="1"/>
  <c r="O22" i="31"/>
  <c r="BB179" i="20"/>
  <c r="V179" i="20" s="1"/>
  <c r="AD179" i="20" s="1"/>
  <c r="BA179" i="20"/>
  <c r="U179" i="20" s="1"/>
  <c r="AC179" i="20" s="1"/>
  <c r="AZ179" i="20"/>
  <c r="T179" i="20" s="1"/>
  <c r="AB179" i="20" s="1"/>
  <c r="AY179" i="20"/>
  <c r="AX179" i="20"/>
  <c r="R179" i="20" s="1"/>
  <c r="Z179" i="20" s="1"/>
  <c r="AW179" i="20"/>
  <c r="AV179" i="20"/>
  <c r="AU179" i="20"/>
  <c r="O179" i="20" s="1"/>
  <c r="BB21" i="31"/>
  <c r="BA21" i="31"/>
  <c r="AZ21" i="31"/>
  <c r="AY21" i="31"/>
  <c r="AX21" i="31"/>
  <c r="AW21" i="31"/>
  <c r="AV21" i="31"/>
  <c r="N21" i="31" s="1"/>
  <c r="AU21" i="31"/>
  <c r="V21" i="31"/>
  <c r="AD21" i="31" s="1"/>
  <c r="U21" i="31"/>
  <c r="AC21" i="31" s="1"/>
  <c r="T21" i="31"/>
  <c r="AB21" i="31" s="1"/>
  <c r="S21" i="31"/>
  <c r="AA21" i="31" s="1"/>
  <c r="R21" i="31"/>
  <c r="Z21" i="31" s="1"/>
  <c r="Q21" i="31"/>
  <c r="Y21" i="31" s="1"/>
  <c r="O21" i="31"/>
  <c r="BB127" i="20"/>
  <c r="V127" i="20" s="1"/>
  <c r="AD127" i="20" s="1"/>
  <c r="BA127" i="20"/>
  <c r="U127" i="20" s="1"/>
  <c r="AC127" i="20" s="1"/>
  <c r="AZ127" i="20"/>
  <c r="T127" i="20" s="1"/>
  <c r="AB127" i="20" s="1"/>
  <c r="AY127" i="20"/>
  <c r="AX127" i="20"/>
  <c r="AW127" i="20"/>
  <c r="AV127" i="20"/>
  <c r="AU127" i="20"/>
  <c r="BB20" i="31"/>
  <c r="BA20" i="31"/>
  <c r="AZ20" i="31"/>
  <c r="AY20" i="31"/>
  <c r="AX20" i="31"/>
  <c r="AW20" i="31"/>
  <c r="AV20" i="31"/>
  <c r="AU20" i="31"/>
  <c r="V20" i="31"/>
  <c r="AD20" i="31" s="1"/>
  <c r="U20" i="31"/>
  <c r="AC20" i="31" s="1"/>
  <c r="T20" i="31"/>
  <c r="AB20" i="31" s="1"/>
  <c r="S20" i="31"/>
  <c r="AA20" i="31" s="1"/>
  <c r="R20" i="31"/>
  <c r="Z20" i="31" s="1"/>
  <c r="Q20" i="31"/>
  <c r="Y20" i="31" s="1"/>
  <c r="O20" i="31"/>
  <c r="N20" i="31"/>
  <c r="D20" i="31"/>
  <c r="BB92" i="20"/>
  <c r="V92" i="20" s="1"/>
  <c r="AD92" i="20" s="1"/>
  <c r="BA92" i="20"/>
  <c r="U92" i="20" s="1"/>
  <c r="AC92" i="20" s="1"/>
  <c r="AZ92" i="20"/>
  <c r="T92" i="20" s="1"/>
  <c r="AB92" i="20" s="1"/>
  <c r="AY92" i="20"/>
  <c r="AX92" i="20"/>
  <c r="AW92" i="20"/>
  <c r="AV92" i="20"/>
  <c r="AU92" i="20"/>
  <c r="BB19" i="31"/>
  <c r="BA19" i="31"/>
  <c r="AZ19" i="31"/>
  <c r="AY19" i="31"/>
  <c r="S18" i="31" s="1"/>
  <c r="AA18" i="31" s="1"/>
  <c r="AX19" i="31"/>
  <c r="AW19" i="31"/>
  <c r="AV19" i="31"/>
  <c r="AU19" i="31"/>
  <c r="D19" i="31" s="1"/>
  <c r="V19" i="31"/>
  <c r="AD19" i="31" s="1"/>
  <c r="U19" i="31"/>
  <c r="AC19" i="31" s="1"/>
  <c r="T19" i="31"/>
  <c r="AB19" i="31" s="1"/>
  <c r="S19" i="31"/>
  <c r="AA19" i="31" s="1"/>
  <c r="R19" i="31"/>
  <c r="Z19" i="31" s="1"/>
  <c r="Q19" i="31"/>
  <c r="Y19" i="31" s="1"/>
  <c r="O19" i="31"/>
  <c r="N19" i="31"/>
  <c r="BB9" i="20"/>
  <c r="V9" i="20" s="1"/>
  <c r="AD9" i="20" s="1"/>
  <c r="BA9" i="20"/>
  <c r="U9" i="20" s="1"/>
  <c r="AC9" i="20" s="1"/>
  <c r="AZ9" i="20"/>
  <c r="T9" i="20" s="1"/>
  <c r="AB9" i="20" s="1"/>
  <c r="AY9" i="20"/>
  <c r="AX9" i="20"/>
  <c r="AW9" i="20"/>
  <c r="AV9" i="20"/>
  <c r="AU9" i="20"/>
  <c r="BB18" i="31"/>
  <c r="BA18" i="31"/>
  <c r="AZ18" i="31"/>
  <c r="AY18" i="31"/>
  <c r="AX18" i="31"/>
  <c r="AW18" i="31"/>
  <c r="AV18" i="31"/>
  <c r="AU18" i="31"/>
  <c r="N18" i="31" s="1"/>
  <c r="V18" i="31"/>
  <c r="AD18" i="31" s="1"/>
  <c r="U18" i="31"/>
  <c r="AC18" i="31" s="1"/>
  <c r="T18" i="31"/>
  <c r="AB18" i="31" s="1"/>
  <c r="R18" i="31"/>
  <c r="Z18" i="31" s="1"/>
  <c r="Q18" i="31"/>
  <c r="Y18" i="31" s="1"/>
  <c r="BB12" i="20"/>
  <c r="V12" i="20" s="1"/>
  <c r="AD12" i="20" s="1"/>
  <c r="BA12" i="20"/>
  <c r="U12" i="20" s="1"/>
  <c r="AC12" i="20" s="1"/>
  <c r="AZ12" i="20"/>
  <c r="T12" i="20" s="1"/>
  <c r="AB12" i="20" s="1"/>
  <c r="AY12" i="20"/>
  <c r="AX12" i="20"/>
  <c r="AW12" i="20"/>
  <c r="AV12" i="20"/>
  <c r="AU12" i="20"/>
  <c r="BB17" i="31"/>
  <c r="BA17" i="31"/>
  <c r="AZ17" i="31"/>
  <c r="AY17" i="31"/>
  <c r="AX17" i="31"/>
  <c r="AW17" i="31"/>
  <c r="AV17" i="31"/>
  <c r="AU17" i="31"/>
  <c r="V17" i="31"/>
  <c r="AD17" i="31" s="1"/>
  <c r="U17" i="31"/>
  <c r="AC17" i="31" s="1"/>
  <c r="T17" i="31"/>
  <c r="AB17" i="31" s="1"/>
  <c r="R17" i="31"/>
  <c r="Z17" i="31" s="1"/>
  <c r="Q17" i="31"/>
  <c r="Y17" i="31" s="1"/>
  <c r="N17" i="31"/>
  <c r="D17" i="31"/>
  <c r="BB261" i="20"/>
  <c r="V261" i="20" s="1"/>
  <c r="AD261" i="20" s="1"/>
  <c r="BA261" i="20"/>
  <c r="U261" i="20" s="1"/>
  <c r="AC261" i="20" s="1"/>
  <c r="AZ261" i="20"/>
  <c r="T261" i="20" s="1"/>
  <c r="AB261" i="20" s="1"/>
  <c r="AY261" i="20"/>
  <c r="S261" i="20" s="1"/>
  <c r="AA261" i="20" s="1"/>
  <c r="AX261" i="20"/>
  <c r="R261" i="20" s="1"/>
  <c r="Z261" i="20" s="1"/>
  <c r="AW261" i="20"/>
  <c r="Q261" i="20" s="1"/>
  <c r="Y261" i="20" s="1"/>
  <c r="AV261" i="20"/>
  <c r="AU261" i="20"/>
  <c r="O261" i="20" s="1"/>
  <c r="BB16" i="31"/>
  <c r="BA16" i="31"/>
  <c r="AZ16" i="31"/>
  <c r="AY16" i="31"/>
  <c r="AX16" i="31"/>
  <c r="AW16" i="31"/>
  <c r="AV16" i="31"/>
  <c r="AU16" i="31"/>
  <c r="V16" i="31"/>
  <c r="AD16" i="31" s="1"/>
  <c r="U16" i="31"/>
  <c r="AC16" i="31" s="1"/>
  <c r="T16" i="31"/>
  <c r="AB16" i="31" s="1"/>
  <c r="S16" i="31"/>
  <c r="AA16" i="31" s="1"/>
  <c r="R16" i="31"/>
  <c r="Z16" i="31" s="1"/>
  <c r="Q16" i="31"/>
  <c r="Y16" i="31" s="1"/>
  <c r="O16" i="31"/>
  <c r="N16" i="31"/>
  <c r="D16" i="31"/>
  <c r="BB61" i="20"/>
  <c r="V61" i="20" s="1"/>
  <c r="AD61" i="20" s="1"/>
  <c r="BA61" i="20"/>
  <c r="U61" i="20" s="1"/>
  <c r="AC61" i="20" s="1"/>
  <c r="AZ61" i="20"/>
  <c r="T61" i="20" s="1"/>
  <c r="AB61" i="20" s="1"/>
  <c r="AY61" i="20"/>
  <c r="AX61" i="20"/>
  <c r="AW61" i="20"/>
  <c r="AV61" i="20"/>
  <c r="AU61" i="20"/>
  <c r="BB15" i="31"/>
  <c r="BA15" i="31"/>
  <c r="AZ15" i="31"/>
  <c r="AY15" i="31"/>
  <c r="AX15" i="31"/>
  <c r="AW15" i="31"/>
  <c r="AV15" i="31"/>
  <c r="AU15" i="31"/>
  <c r="V15" i="31"/>
  <c r="AD15" i="31" s="1"/>
  <c r="U15" i="31"/>
  <c r="AC15" i="31" s="1"/>
  <c r="T15" i="31"/>
  <c r="AB15" i="31" s="1"/>
  <c r="S15" i="31"/>
  <c r="AA15" i="31" s="1"/>
  <c r="R15" i="31"/>
  <c r="Z15" i="31" s="1"/>
  <c r="Q15" i="31"/>
  <c r="Y15" i="31" s="1"/>
  <c r="O15" i="31"/>
  <c r="N15" i="31"/>
  <c r="D15" i="31"/>
  <c r="BB196" i="20"/>
  <c r="V196" i="20" s="1"/>
  <c r="AD196" i="20" s="1"/>
  <c r="BA196" i="20"/>
  <c r="U196" i="20" s="1"/>
  <c r="AC196" i="20" s="1"/>
  <c r="AZ196" i="20"/>
  <c r="T196" i="20" s="1"/>
  <c r="AB196" i="20" s="1"/>
  <c r="AY196" i="20"/>
  <c r="AX196" i="20"/>
  <c r="R196" i="20" s="1"/>
  <c r="Z196" i="20" s="1"/>
  <c r="AW196" i="20"/>
  <c r="AV196" i="20"/>
  <c r="AU196" i="20"/>
  <c r="O196" i="20" s="1"/>
  <c r="BB14" i="31"/>
  <c r="BA14" i="31"/>
  <c r="AZ14" i="31"/>
  <c r="AY14" i="31"/>
  <c r="AX14" i="31"/>
  <c r="AW14" i="31"/>
  <c r="AV14" i="31"/>
  <c r="N14" i="31" s="1"/>
  <c r="AU14" i="31"/>
  <c r="V14" i="31"/>
  <c r="AD14" i="31" s="1"/>
  <c r="U14" i="31"/>
  <c r="AC14" i="31" s="1"/>
  <c r="T14" i="31"/>
  <c r="AB14" i="31" s="1"/>
  <c r="S14" i="31"/>
  <c r="AA14" i="31" s="1"/>
  <c r="R14" i="31"/>
  <c r="Z14" i="31" s="1"/>
  <c r="Q14" i="31"/>
  <c r="Y14" i="31" s="1"/>
  <c r="O14" i="31"/>
  <c r="D14" i="31"/>
  <c r="BB187" i="20"/>
  <c r="V187" i="20" s="1"/>
  <c r="AD187" i="20" s="1"/>
  <c r="BA187" i="20"/>
  <c r="U187" i="20" s="1"/>
  <c r="AC187" i="20" s="1"/>
  <c r="AZ187" i="20"/>
  <c r="T187" i="20" s="1"/>
  <c r="AB187" i="20" s="1"/>
  <c r="AY187" i="20"/>
  <c r="AX187" i="20"/>
  <c r="R187" i="20" s="1"/>
  <c r="Z187" i="20" s="1"/>
  <c r="AW187" i="20"/>
  <c r="AV187" i="20"/>
  <c r="AU187" i="20"/>
  <c r="O187" i="20" s="1"/>
  <c r="BB13" i="31"/>
  <c r="BA13" i="31"/>
  <c r="AZ13" i="31"/>
  <c r="AY13" i="31"/>
  <c r="AX13" i="31"/>
  <c r="D13" i="31" s="1"/>
  <c r="AW13" i="31"/>
  <c r="AV13" i="31"/>
  <c r="AU13" i="31"/>
  <c r="V13" i="31"/>
  <c r="AD13" i="31" s="1"/>
  <c r="U13" i="31"/>
  <c r="AC13" i="31" s="1"/>
  <c r="T13" i="31"/>
  <c r="AB13" i="31" s="1"/>
  <c r="S13" i="31"/>
  <c r="AA13" i="31" s="1"/>
  <c r="R13" i="31"/>
  <c r="Z13" i="31" s="1"/>
  <c r="Q13" i="31"/>
  <c r="Y13" i="31" s="1"/>
  <c r="O13" i="31"/>
  <c r="N13" i="31"/>
  <c r="BB260" i="20"/>
  <c r="V260" i="20" s="1"/>
  <c r="AD260" i="20" s="1"/>
  <c r="BA260" i="20"/>
  <c r="U260" i="20" s="1"/>
  <c r="AC260" i="20" s="1"/>
  <c r="AZ260" i="20"/>
  <c r="T260" i="20" s="1"/>
  <c r="AB260" i="20" s="1"/>
  <c r="AY260" i="20"/>
  <c r="S260" i="20" s="1"/>
  <c r="AA260" i="20" s="1"/>
  <c r="AX260" i="20"/>
  <c r="R260" i="20" s="1"/>
  <c r="Z260" i="20" s="1"/>
  <c r="AW260" i="20"/>
  <c r="Q260" i="20" s="1"/>
  <c r="Y260" i="20" s="1"/>
  <c r="AV260" i="20"/>
  <c r="AU260" i="20"/>
  <c r="O260" i="20" s="1"/>
  <c r="BB12" i="31"/>
  <c r="BA12" i="31"/>
  <c r="AZ12" i="31"/>
  <c r="AY12" i="31"/>
  <c r="AX12" i="31"/>
  <c r="AW12" i="31"/>
  <c r="AV12" i="31"/>
  <c r="AU12" i="31"/>
  <c r="V12" i="31"/>
  <c r="AD12" i="31" s="1"/>
  <c r="U12" i="31"/>
  <c r="AC12" i="31" s="1"/>
  <c r="T12" i="31"/>
  <c r="AB12" i="31" s="1"/>
  <c r="S12" i="31"/>
  <c r="AA12" i="31" s="1"/>
  <c r="R12" i="31"/>
  <c r="Z12" i="31" s="1"/>
  <c r="Q12" i="31"/>
  <c r="Y12" i="31" s="1"/>
  <c r="O12" i="31"/>
  <c r="N12" i="31"/>
  <c r="D12" i="31"/>
  <c r="BB218" i="20"/>
  <c r="V218" i="20" s="1"/>
  <c r="AD218" i="20" s="1"/>
  <c r="BA218" i="20"/>
  <c r="U218" i="20" s="1"/>
  <c r="AC218" i="20" s="1"/>
  <c r="AZ218" i="20"/>
  <c r="T218" i="20" s="1"/>
  <c r="AB218" i="20" s="1"/>
  <c r="AY218" i="20"/>
  <c r="AX218" i="20"/>
  <c r="R218" i="20" s="1"/>
  <c r="Z218" i="20" s="1"/>
  <c r="AW218" i="20"/>
  <c r="AV218" i="20"/>
  <c r="AU218" i="20"/>
  <c r="O218" i="20" s="1"/>
  <c r="BB11" i="31"/>
  <c r="BA11" i="31"/>
  <c r="AZ11" i="31"/>
  <c r="AY11" i="31"/>
  <c r="AX11" i="31"/>
  <c r="AW11" i="31"/>
  <c r="AV11" i="31"/>
  <c r="AU11" i="31"/>
  <c r="V11" i="31"/>
  <c r="AD11" i="31" s="1"/>
  <c r="U11" i="31"/>
  <c r="AC11" i="31" s="1"/>
  <c r="T11" i="31"/>
  <c r="AB11" i="31" s="1"/>
  <c r="S11" i="31"/>
  <c r="AA11" i="31" s="1"/>
  <c r="R11" i="31"/>
  <c r="Z11" i="31" s="1"/>
  <c r="Q11" i="31"/>
  <c r="Y11" i="31" s="1"/>
  <c r="O11" i="31"/>
  <c r="N11" i="31"/>
  <c r="D11" i="31"/>
  <c r="BB210" i="20"/>
  <c r="V210" i="20" s="1"/>
  <c r="AD210" i="20" s="1"/>
  <c r="BA210" i="20"/>
  <c r="U210" i="20" s="1"/>
  <c r="AC210" i="20" s="1"/>
  <c r="AZ210" i="20"/>
  <c r="T210" i="20" s="1"/>
  <c r="AB210" i="20" s="1"/>
  <c r="AY210" i="20"/>
  <c r="AX210" i="20"/>
  <c r="R210" i="20" s="1"/>
  <c r="Z210" i="20" s="1"/>
  <c r="AW210" i="20"/>
  <c r="AV210" i="20"/>
  <c r="AU210" i="20"/>
  <c r="O210" i="20" s="1"/>
  <c r="BB10" i="31"/>
  <c r="BA10" i="31"/>
  <c r="AZ10" i="31"/>
  <c r="AY10" i="31"/>
  <c r="AX10" i="31"/>
  <c r="AW10" i="31"/>
  <c r="AV10" i="31"/>
  <c r="AU10" i="31"/>
  <c r="V10" i="31"/>
  <c r="AD10" i="31" s="1"/>
  <c r="U10" i="31"/>
  <c r="AC10" i="31" s="1"/>
  <c r="T10" i="31"/>
  <c r="AB10" i="31" s="1"/>
  <c r="S10" i="31"/>
  <c r="AA10" i="31" s="1"/>
  <c r="R10" i="31"/>
  <c r="Z10" i="31" s="1"/>
  <c r="Q10" i="31"/>
  <c r="Y10" i="31" s="1"/>
  <c r="O10" i="31"/>
  <c r="N10" i="31"/>
  <c r="D10" i="31"/>
  <c r="BB178" i="20"/>
  <c r="V178" i="20" s="1"/>
  <c r="AD178" i="20" s="1"/>
  <c r="BA178" i="20"/>
  <c r="U178" i="20" s="1"/>
  <c r="AC178" i="20" s="1"/>
  <c r="AZ178" i="20"/>
  <c r="T178" i="20" s="1"/>
  <c r="AB178" i="20" s="1"/>
  <c r="AY178" i="20"/>
  <c r="AX178" i="20"/>
  <c r="R178" i="20" s="1"/>
  <c r="Z178" i="20" s="1"/>
  <c r="AW178" i="20"/>
  <c r="AV178" i="20"/>
  <c r="AU178" i="20"/>
  <c r="O178" i="20" s="1"/>
  <c r="BB9" i="31"/>
  <c r="BA9" i="31"/>
  <c r="AZ9" i="31"/>
  <c r="AY9" i="31"/>
  <c r="AX9" i="31"/>
  <c r="AW9" i="31"/>
  <c r="AV9" i="31"/>
  <c r="AU9" i="31"/>
  <c r="V9" i="31"/>
  <c r="AD9" i="31" s="1"/>
  <c r="U9" i="31"/>
  <c r="AC9" i="31" s="1"/>
  <c r="T9" i="31"/>
  <c r="AB9" i="31" s="1"/>
  <c r="S9" i="31"/>
  <c r="AA9" i="31" s="1"/>
  <c r="R9" i="31"/>
  <c r="Z9" i="31" s="1"/>
  <c r="Q9" i="31"/>
  <c r="Y9" i="31" s="1"/>
  <c r="O9" i="31"/>
  <c r="N9" i="31"/>
  <c r="D9" i="31"/>
  <c r="BB219" i="20"/>
  <c r="V219" i="20" s="1"/>
  <c r="AD219" i="20" s="1"/>
  <c r="BA219" i="20"/>
  <c r="U219" i="20" s="1"/>
  <c r="AC219" i="20" s="1"/>
  <c r="AZ219" i="20"/>
  <c r="T219" i="20" s="1"/>
  <c r="AB219" i="20" s="1"/>
  <c r="AY219" i="20"/>
  <c r="AX219" i="20"/>
  <c r="R219" i="20" s="1"/>
  <c r="Z219" i="20" s="1"/>
  <c r="AW219" i="20"/>
  <c r="AV219" i="20"/>
  <c r="AU219" i="20"/>
  <c r="BB8" i="31"/>
  <c r="BA8" i="31"/>
  <c r="AZ8" i="31"/>
  <c r="AY8" i="31"/>
  <c r="AX8" i="31"/>
  <c r="AW8" i="31"/>
  <c r="AV8" i="31"/>
  <c r="N8" i="31" s="1"/>
  <c r="AU8" i="31"/>
  <c r="V8" i="31"/>
  <c r="AD8" i="31" s="1"/>
  <c r="U8" i="31"/>
  <c r="AC8" i="31" s="1"/>
  <c r="T8" i="31"/>
  <c r="AB8" i="31" s="1"/>
  <c r="S8" i="31"/>
  <c r="AA8" i="31" s="1"/>
  <c r="R8" i="31"/>
  <c r="Z8" i="31" s="1"/>
  <c r="Q8" i="31"/>
  <c r="Y8" i="31" s="1"/>
  <c r="O8" i="31"/>
  <c r="D8" i="31"/>
  <c r="BB142" i="20"/>
  <c r="V142" i="20" s="1"/>
  <c r="AD142" i="20" s="1"/>
  <c r="BA142" i="20"/>
  <c r="U142" i="20" s="1"/>
  <c r="AC142" i="20" s="1"/>
  <c r="AZ142" i="20"/>
  <c r="T142" i="20" s="1"/>
  <c r="AB142" i="20" s="1"/>
  <c r="AY142" i="20"/>
  <c r="AX142" i="20"/>
  <c r="R142" i="20" s="1"/>
  <c r="Z142" i="20" s="1"/>
  <c r="AW142" i="20"/>
  <c r="AV142" i="20"/>
  <c r="AU142" i="20"/>
  <c r="BB7" i="31"/>
  <c r="BA7" i="31"/>
  <c r="AZ7" i="31"/>
  <c r="AY7" i="31"/>
  <c r="AX7" i="31"/>
  <c r="AW7" i="31"/>
  <c r="AV7" i="31"/>
  <c r="N7" i="31" s="1"/>
  <c r="AU7" i="31"/>
  <c r="V7" i="31"/>
  <c r="AD7" i="31" s="1"/>
  <c r="U7" i="31"/>
  <c r="AC7" i="31" s="1"/>
  <c r="T7" i="31"/>
  <c r="AB7" i="31" s="1"/>
  <c r="S7" i="31"/>
  <c r="AA7" i="31" s="1"/>
  <c r="R7" i="31"/>
  <c r="Z7" i="31" s="1"/>
  <c r="Q7" i="31"/>
  <c r="Y7" i="31" s="1"/>
  <c r="O7" i="31"/>
  <c r="D7" i="31"/>
  <c r="BB6" i="31"/>
  <c r="BA6" i="31"/>
  <c r="AZ6" i="31"/>
  <c r="AY6" i="31"/>
  <c r="AX6" i="31"/>
  <c r="AW6" i="31"/>
  <c r="AV6" i="31"/>
  <c r="AU6" i="31"/>
  <c r="V6" i="31"/>
  <c r="AD6" i="31" s="1"/>
  <c r="U6" i="31"/>
  <c r="AC6" i="31" s="1"/>
  <c r="T6" i="31"/>
  <c r="AB6" i="31" s="1"/>
  <c r="S6" i="31"/>
  <c r="AA6" i="31" s="1"/>
  <c r="R6" i="31"/>
  <c r="Z6" i="31" s="1"/>
  <c r="Q6" i="31"/>
  <c r="Y6" i="31" s="1"/>
  <c r="O6" i="31"/>
  <c r="N6" i="31"/>
  <c r="D6" i="31"/>
  <c r="BB152" i="20"/>
  <c r="V152" i="20" s="1"/>
  <c r="AD152" i="20" s="1"/>
  <c r="BA152" i="20"/>
  <c r="U152" i="20" s="1"/>
  <c r="AC152" i="20" s="1"/>
  <c r="AZ152" i="20"/>
  <c r="T152" i="20" s="1"/>
  <c r="AB152" i="20" s="1"/>
  <c r="AY152" i="20"/>
  <c r="AX152" i="20"/>
  <c r="R152" i="20" s="1"/>
  <c r="Z152" i="20" s="1"/>
  <c r="AW152" i="20"/>
  <c r="AV152" i="20"/>
  <c r="AU152" i="20"/>
  <c r="O152" i="20" s="1"/>
  <c r="BB5" i="31"/>
  <c r="BA5" i="31"/>
  <c r="AZ5" i="31"/>
  <c r="AY5" i="31"/>
  <c r="AX5" i="31"/>
  <c r="AW5" i="31"/>
  <c r="AV5" i="31"/>
  <c r="AU5" i="31"/>
  <c r="V5" i="31"/>
  <c r="AD5" i="31" s="1"/>
  <c r="U5" i="31"/>
  <c r="AC5" i="31" s="1"/>
  <c r="T5" i="31"/>
  <c r="AB5" i="31" s="1"/>
  <c r="S5" i="31"/>
  <c r="AA5" i="31" s="1"/>
  <c r="R5" i="31"/>
  <c r="Z5" i="31" s="1"/>
  <c r="Q5" i="31"/>
  <c r="Y5" i="31" s="1"/>
  <c r="O5" i="31"/>
  <c r="N5" i="31"/>
  <c r="D5" i="31"/>
  <c r="BB229" i="20"/>
  <c r="V229" i="20" s="1"/>
  <c r="AD229" i="20" s="1"/>
  <c r="BA229" i="20"/>
  <c r="U229" i="20" s="1"/>
  <c r="AC229" i="20" s="1"/>
  <c r="AZ229" i="20"/>
  <c r="T229" i="20" s="1"/>
  <c r="AB229" i="20" s="1"/>
  <c r="AY229" i="20"/>
  <c r="AX229" i="20"/>
  <c r="R229" i="20" s="1"/>
  <c r="Z229" i="20" s="1"/>
  <c r="AW229" i="20"/>
  <c r="AV229" i="20"/>
  <c r="AU229" i="20"/>
  <c r="O229" i="20" s="1"/>
  <c r="BB4" i="31"/>
  <c r="BA4" i="31"/>
  <c r="AZ4" i="31"/>
  <c r="AY4" i="31"/>
  <c r="AX4" i="31"/>
  <c r="AW4" i="31"/>
  <c r="N4" i="31" s="1"/>
  <c r="AV4" i="31"/>
  <c r="AU4" i="31"/>
  <c r="V4" i="31"/>
  <c r="AD4" i="31" s="1"/>
  <c r="U4" i="31"/>
  <c r="AC4" i="31" s="1"/>
  <c r="T4" i="31"/>
  <c r="AB4" i="31" s="1"/>
  <c r="S4" i="31"/>
  <c r="AA4" i="31" s="1"/>
  <c r="R4" i="31"/>
  <c r="Z4" i="31" s="1"/>
  <c r="Q4" i="31"/>
  <c r="Y4" i="31" s="1"/>
  <c r="O4" i="31"/>
  <c r="D4" i="31"/>
  <c r="BB153" i="20"/>
  <c r="V153" i="20" s="1"/>
  <c r="AD153" i="20" s="1"/>
  <c r="BA153" i="20"/>
  <c r="U153" i="20" s="1"/>
  <c r="AC153" i="20" s="1"/>
  <c r="AZ153" i="20"/>
  <c r="T153" i="20" s="1"/>
  <c r="AB153" i="20" s="1"/>
  <c r="AY153" i="20"/>
  <c r="AX153" i="20"/>
  <c r="R153" i="20" s="1"/>
  <c r="Z153" i="20" s="1"/>
  <c r="AW153" i="20"/>
  <c r="AV153" i="20"/>
  <c r="P153" i="20" s="1"/>
  <c r="X153" i="20" s="1"/>
  <c r="AU153" i="20"/>
  <c r="BB3" i="31"/>
  <c r="BA3" i="31"/>
  <c r="AZ3" i="31"/>
  <c r="AY3" i="31"/>
  <c r="AX3" i="31"/>
  <c r="AW3" i="31"/>
  <c r="N3" i="31" s="1"/>
  <c r="AV3" i="31"/>
  <c r="AU3" i="31"/>
  <c r="V3" i="31"/>
  <c r="AD3" i="31" s="1"/>
  <c r="U3" i="31"/>
  <c r="AC3" i="31" s="1"/>
  <c r="T3" i="31"/>
  <c r="AB3" i="31" s="1"/>
  <c r="S3" i="31"/>
  <c r="AA3" i="31" s="1"/>
  <c r="R3" i="31"/>
  <c r="Z3" i="31" s="1"/>
  <c r="Q3" i="31"/>
  <c r="Y3" i="31" s="1"/>
  <c r="P3" i="31"/>
  <c r="X3" i="31" s="1"/>
  <c r="O3" i="31"/>
  <c r="D3" i="31"/>
  <c r="B287" i="38"/>
  <c r="B132" i="31" s="1"/>
  <c r="B288" i="38"/>
  <c r="W288" i="38" s="1"/>
  <c r="B289" i="38"/>
  <c r="B122" i="20" s="1"/>
  <c r="B290" i="38"/>
  <c r="B90" i="31" s="1"/>
  <c r="B291" i="38"/>
  <c r="B62" i="31" s="1"/>
  <c r="F287" i="38"/>
  <c r="F288" i="38"/>
  <c r="F289" i="38"/>
  <c r="F290" i="38"/>
  <c r="F291" i="38"/>
  <c r="G291" i="38" s="1"/>
  <c r="I287" i="38"/>
  <c r="I288" i="38"/>
  <c r="I289" i="38"/>
  <c r="I290" i="38"/>
  <c r="I291" i="38"/>
  <c r="P287" i="38"/>
  <c r="P288" i="38"/>
  <c r="P289" i="38"/>
  <c r="P290" i="38"/>
  <c r="P291" i="38"/>
  <c r="V287" i="38"/>
  <c r="V288" i="38"/>
  <c r="V289" i="38"/>
  <c r="V290" i="38"/>
  <c r="V291" i="38"/>
  <c r="W290" i="38"/>
  <c r="Y290" i="38" s="1"/>
  <c r="AD287" i="38"/>
  <c r="AD288" i="38"/>
  <c r="AD289" i="38"/>
  <c r="AD290" i="38"/>
  <c r="AD291" i="38"/>
  <c r="AF287" i="38"/>
  <c r="AF288" i="38"/>
  <c r="AF289" i="38"/>
  <c r="AF290" i="38"/>
  <c r="AF291" i="38"/>
  <c r="AI287" i="38" a="1"/>
  <c r="AI287" i="38" s="1"/>
  <c r="AI288" i="38" a="1"/>
  <c r="AI288" i="38" s="1"/>
  <c r="AI289" i="38" a="1"/>
  <c r="AI289" i="38" s="1"/>
  <c r="AI290" i="38" a="1"/>
  <c r="AI290" i="38" s="1"/>
  <c r="AI291" i="38" a="1"/>
  <c r="AI291" i="38" s="1"/>
  <c r="AJ287" i="38"/>
  <c r="AJ288" i="38"/>
  <c r="AJ289" i="38"/>
  <c r="AJ290" i="38"/>
  <c r="AJ291" i="38"/>
  <c r="AB287" i="38"/>
  <c r="AB288" i="38"/>
  <c r="AB289" i="38"/>
  <c r="AB290" i="38"/>
  <c r="AB291" i="38"/>
  <c r="AB281" i="38"/>
  <c r="AB282" i="38"/>
  <c r="AB283" i="38"/>
  <c r="AB284" i="38"/>
  <c r="AB285" i="38"/>
  <c r="AB286" i="38"/>
  <c r="AB153" i="38"/>
  <c r="AB154" i="38"/>
  <c r="AB155" i="38"/>
  <c r="AB156" i="38"/>
  <c r="AB157" i="38"/>
  <c r="AB158" i="38"/>
  <c r="AB159" i="38"/>
  <c r="AB160" i="38"/>
  <c r="AB161" i="38"/>
  <c r="AB162" i="38"/>
  <c r="AB163" i="38"/>
  <c r="AB164" i="38"/>
  <c r="AB165" i="38"/>
  <c r="AB166" i="38"/>
  <c r="AB167" i="38"/>
  <c r="AB168" i="38"/>
  <c r="AB169" i="38"/>
  <c r="AB170" i="38"/>
  <c r="AB171" i="38"/>
  <c r="AB172" i="38"/>
  <c r="AB173" i="38"/>
  <c r="AB174" i="38"/>
  <c r="AB175" i="38"/>
  <c r="AB176" i="38"/>
  <c r="AB177" i="38"/>
  <c r="AB178" i="38"/>
  <c r="AB179" i="38"/>
  <c r="AB180" i="38"/>
  <c r="AB181" i="38"/>
  <c r="AB182" i="38"/>
  <c r="AB183" i="38"/>
  <c r="AB184" i="38"/>
  <c r="AB185" i="38"/>
  <c r="AB186" i="38"/>
  <c r="AB187" i="38"/>
  <c r="AB188" i="38"/>
  <c r="AB189" i="38"/>
  <c r="AB190" i="38"/>
  <c r="AB191" i="38"/>
  <c r="AB192" i="38"/>
  <c r="AB193" i="38"/>
  <c r="AB194" i="38"/>
  <c r="AB195" i="38"/>
  <c r="AB196" i="38"/>
  <c r="AB197" i="38"/>
  <c r="AB198" i="38"/>
  <c r="AB199" i="38"/>
  <c r="AB200" i="38"/>
  <c r="AB201" i="38"/>
  <c r="AB202" i="38"/>
  <c r="AB203" i="38"/>
  <c r="AB204" i="38"/>
  <c r="AB205" i="38"/>
  <c r="AB206" i="38"/>
  <c r="AB207" i="38"/>
  <c r="AB208" i="38"/>
  <c r="AB209" i="38"/>
  <c r="AB210" i="38"/>
  <c r="AB211" i="38"/>
  <c r="AB212" i="38"/>
  <c r="AB213" i="38"/>
  <c r="AB214" i="38"/>
  <c r="AB215" i="38"/>
  <c r="AB216" i="38"/>
  <c r="AB217" i="38"/>
  <c r="AB218" i="38"/>
  <c r="AB219" i="38"/>
  <c r="AB220" i="38"/>
  <c r="AB221" i="38"/>
  <c r="AB222" i="38"/>
  <c r="AB223" i="38"/>
  <c r="AB224" i="38"/>
  <c r="AB225" i="38"/>
  <c r="AB226" i="38"/>
  <c r="AB227" i="38"/>
  <c r="AB228" i="38"/>
  <c r="AB229" i="38"/>
  <c r="AB230" i="38"/>
  <c r="AB231" i="38"/>
  <c r="AB232" i="38"/>
  <c r="AB233" i="38"/>
  <c r="AB234" i="38"/>
  <c r="AB235" i="38"/>
  <c r="AB236" i="38"/>
  <c r="AB237" i="38"/>
  <c r="AB238" i="38"/>
  <c r="AB239" i="38"/>
  <c r="AB240" i="38"/>
  <c r="AB241" i="38"/>
  <c r="AB242" i="38"/>
  <c r="AB243" i="38"/>
  <c r="AB244" i="38"/>
  <c r="AB245" i="38"/>
  <c r="AB246" i="38"/>
  <c r="AB247" i="38"/>
  <c r="AB248" i="38"/>
  <c r="AB249" i="38"/>
  <c r="AB250" i="38"/>
  <c r="AB251" i="38"/>
  <c r="AB252" i="38"/>
  <c r="AB253" i="38"/>
  <c r="AB254" i="38"/>
  <c r="AB255" i="38"/>
  <c r="AB256" i="38"/>
  <c r="AB257" i="38"/>
  <c r="AB258" i="38"/>
  <c r="AB259" i="38"/>
  <c r="AB260" i="38"/>
  <c r="AB261" i="38"/>
  <c r="AB262" i="38"/>
  <c r="AB263" i="38"/>
  <c r="AB264" i="38"/>
  <c r="AB265" i="38"/>
  <c r="AB266" i="38"/>
  <c r="AB267" i="38"/>
  <c r="AB268" i="38"/>
  <c r="AB269" i="38"/>
  <c r="AB270" i="38"/>
  <c r="AB271" i="38"/>
  <c r="AB272" i="38"/>
  <c r="AB273" i="38"/>
  <c r="AB274" i="38"/>
  <c r="AB275" i="38"/>
  <c r="AB276" i="38"/>
  <c r="AB277" i="38"/>
  <c r="AB278" i="38"/>
  <c r="AB279" i="38"/>
  <c r="AB280" i="38"/>
  <c r="AB12" i="38"/>
  <c r="AB11" i="38"/>
  <c r="AB10" i="38"/>
  <c r="AB8" i="38"/>
  <c r="AB7" i="38"/>
  <c r="AB6" i="38"/>
  <c r="AB4" i="38"/>
  <c r="AB3" i="38"/>
  <c r="AB43" i="38"/>
  <c r="AB24" i="38"/>
  <c r="AB146" i="38"/>
  <c r="AB147" i="38"/>
  <c r="AB148" i="38"/>
  <c r="AB149" i="38"/>
  <c r="AB150" i="38"/>
  <c r="AB151" i="38"/>
  <c r="AB152" i="38"/>
  <c r="AB23" i="38"/>
  <c r="AB27" i="38"/>
  <c r="AB25" i="38"/>
  <c r="AB42" i="38"/>
  <c r="AB41" i="38"/>
  <c r="AB40" i="38"/>
  <c r="AB39" i="38"/>
  <c r="AB37" i="38"/>
  <c r="AB36" i="38"/>
  <c r="AB35" i="38"/>
  <c r="AB34" i="38"/>
  <c r="AB33" i="38"/>
  <c r="AB32" i="38"/>
  <c r="AB31" i="38"/>
  <c r="AB30" i="38"/>
  <c r="AB29" i="38"/>
  <c r="AB28" i="38"/>
  <c r="AB145" i="38"/>
  <c r="AQ53" i="52"/>
  <c r="AQ52" i="52"/>
  <c r="AQ51" i="52"/>
  <c r="AQ50" i="52"/>
  <c r="AQ49" i="52"/>
  <c r="AQ48" i="52"/>
  <c r="AQ47" i="52"/>
  <c r="AQ46" i="52"/>
  <c r="AQ45" i="52"/>
  <c r="AQ44" i="52"/>
  <c r="AQ43" i="52"/>
  <c r="AQ42" i="52"/>
  <c r="AQ41" i="52"/>
  <c r="AQ40" i="52"/>
  <c r="AQ39" i="52"/>
  <c r="AQ38" i="52"/>
  <c r="AQ37" i="52"/>
  <c r="AQ36" i="52"/>
  <c r="AQ35" i="52"/>
  <c r="AQ34" i="52"/>
  <c r="AQ33" i="52"/>
  <c r="AQ32" i="52"/>
  <c r="AQ31" i="52"/>
  <c r="AQ30" i="52"/>
  <c r="AQ29" i="52"/>
  <c r="AQ28" i="52"/>
  <c r="AQ27" i="52"/>
  <c r="AQ26" i="52"/>
  <c r="AQ25" i="52"/>
  <c r="AQ24" i="52"/>
  <c r="AQ23" i="52"/>
  <c r="AQ22" i="52"/>
  <c r="AQ21" i="52"/>
  <c r="AQ20" i="52"/>
  <c r="AQ19" i="52"/>
  <c r="AQ18" i="52"/>
  <c r="AQ17" i="52"/>
  <c r="AQ16" i="52"/>
  <c r="AQ15" i="52"/>
  <c r="AQ14" i="52"/>
  <c r="AQ13" i="52"/>
  <c r="AQ12" i="52"/>
  <c r="AQ11" i="52"/>
  <c r="AQ10" i="52"/>
  <c r="AQ9" i="52"/>
  <c r="AQ8" i="52"/>
  <c r="AQ7" i="52"/>
  <c r="AQ6" i="52"/>
  <c r="AQ5" i="52"/>
  <c r="D250" i="13"/>
  <c r="C250" i="13"/>
  <c r="B250" i="13"/>
  <c r="D249" i="13"/>
  <c r="C249" i="13"/>
  <c r="B249" i="13"/>
  <c r="D248" i="13"/>
  <c r="C248" i="13"/>
  <c r="B248" i="13"/>
  <c r="D247" i="13"/>
  <c r="C247" i="13"/>
  <c r="B247" i="13"/>
  <c r="D246" i="13"/>
  <c r="C246" i="13"/>
  <c r="B246" i="13"/>
  <c r="D245" i="13"/>
  <c r="C245" i="13"/>
  <c r="B245" i="13"/>
  <c r="D244" i="13"/>
  <c r="C244" i="13"/>
  <c r="B244" i="13"/>
  <c r="D243" i="13"/>
  <c r="C243" i="13"/>
  <c r="B243" i="13"/>
  <c r="D242" i="13"/>
  <c r="C242" i="13"/>
  <c r="B242" i="13"/>
  <c r="D241" i="13"/>
  <c r="C241" i="13"/>
  <c r="B241" i="13"/>
  <c r="D240" i="13"/>
  <c r="C240" i="13"/>
  <c r="B240" i="13"/>
  <c r="D239" i="13"/>
  <c r="C239" i="13"/>
  <c r="B239" i="13"/>
  <c r="D238" i="13"/>
  <c r="C238" i="13"/>
  <c r="B238" i="13"/>
  <c r="D237" i="13"/>
  <c r="C237" i="13"/>
  <c r="B237" i="13"/>
  <c r="D236" i="13"/>
  <c r="C236" i="13"/>
  <c r="B236" i="13"/>
  <c r="D235" i="13"/>
  <c r="C235" i="13"/>
  <c r="B235" i="13"/>
  <c r="D234" i="13"/>
  <c r="C234" i="13"/>
  <c r="B234" i="13"/>
  <c r="D233" i="13"/>
  <c r="C233" i="13"/>
  <c r="B233" i="13"/>
  <c r="D232" i="13"/>
  <c r="C232" i="13"/>
  <c r="B232" i="13"/>
  <c r="D231" i="13"/>
  <c r="C231" i="13"/>
  <c r="B231" i="13"/>
  <c r="D230" i="13"/>
  <c r="C230" i="13"/>
  <c r="B230" i="13"/>
  <c r="D229" i="13"/>
  <c r="C229" i="13"/>
  <c r="B229" i="13"/>
  <c r="D228" i="13"/>
  <c r="C228" i="13"/>
  <c r="B228" i="13"/>
  <c r="D227" i="13"/>
  <c r="C227" i="13"/>
  <c r="B227" i="13"/>
  <c r="D226" i="13"/>
  <c r="C226" i="13"/>
  <c r="B226" i="13"/>
  <c r="D225" i="13"/>
  <c r="C225" i="13"/>
  <c r="B225" i="13"/>
  <c r="D224" i="13"/>
  <c r="C224" i="13"/>
  <c r="B224" i="13"/>
  <c r="D223" i="13"/>
  <c r="C223" i="13"/>
  <c r="B223" i="13"/>
  <c r="D222" i="13"/>
  <c r="C222" i="13"/>
  <c r="B222" i="13"/>
  <c r="D221" i="13"/>
  <c r="C221" i="13"/>
  <c r="B221" i="13"/>
  <c r="D220" i="13"/>
  <c r="C220" i="13"/>
  <c r="B220" i="13"/>
  <c r="D219" i="13"/>
  <c r="C219" i="13"/>
  <c r="B219" i="13"/>
  <c r="D218" i="13"/>
  <c r="C218" i="13"/>
  <c r="B218" i="13"/>
  <c r="D217" i="13"/>
  <c r="C217" i="13"/>
  <c r="B217" i="13"/>
  <c r="D216" i="13"/>
  <c r="C216" i="13"/>
  <c r="B216" i="13"/>
  <c r="D215" i="13"/>
  <c r="C215" i="13"/>
  <c r="B215" i="13"/>
  <c r="D214" i="13"/>
  <c r="C214" i="13"/>
  <c r="B214" i="13"/>
  <c r="D213" i="13"/>
  <c r="C213" i="13"/>
  <c r="B213" i="13"/>
  <c r="D212" i="13"/>
  <c r="C212" i="13"/>
  <c r="B212" i="13"/>
  <c r="D211" i="13"/>
  <c r="C211" i="13"/>
  <c r="B211" i="13"/>
  <c r="D210" i="13"/>
  <c r="C210" i="13"/>
  <c r="B210" i="13"/>
  <c r="D209" i="13"/>
  <c r="C209" i="13"/>
  <c r="B209" i="13"/>
  <c r="D208" i="13"/>
  <c r="C208" i="13"/>
  <c r="B208" i="13"/>
  <c r="D207" i="13"/>
  <c r="C207" i="13"/>
  <c r="B207" i="13"/>
  <c r="D206" i="13"/>
  <c r="C206" i="13"/>
  <c r="B206" i="13"/>
  <c r="D205" i="13"/>
  <c r="C205" i="13"/>
  <c r="B205" i="13"/>
  <c r="D204" i="13"/>
  <c r="C204" i="13"/>
  <c r="B204" i="13"/>
  <c r="D203" i="13"/>
  <c r="C203" i="13"/>
  <c r="B203" i="13"/>
  <c r="D202" i="13"/>
  <c r="C202" i="13"/>
  <c r="B202" i="13"/>
  <c r="D201" i="13"/>
  <c r="C201" i="13"/>
  <c r="B201" i="13"/>
  <c r="D200" i="13"/>
  <c r="C200" i="13"/>
  <c r="B200" i="13"/>
  <c r="D199" i="13"/>
  <c r="C199" i="13"/>
  <c r="B199" i="13"/>
  <c r="D198" i="13"/>
  <c r="C198" i="13"/>
  <c r="B198" i="13"/>
  <c r="D197" i="13"/>
  <c r="C197" i="13"/>
  <c r="B197" i="13"/>
  <c r="D196" i="13"/>
  <c r="C196" i="13"/>
  <c r="B196" i="13"/>
  <c r="D195" i="13"/>
  <c r="C195" i="13"/>
  <c r="B195" i="13"/>
  <c r="D194" i="13"/>
  <c r="C194" i="13"/>
  <c r="B194" i="13"/>
  <c r="D193" i="13"/>
  <c r="C193" i="13"/>
  <c r="B193" i="13"/>
  <c r="D192" i="13"/>
  <c r="C192" i="13"/>
  <c r="B192" i="13"/>
  <c r="D191" i="13"/>
  <c r="C191" i="13"/>
  <c r="B191" i="13"/>
  <c r="D190" i="13"/>
  <c r="C190" i="13"/>
  <c r="B190" i="13"/>
  <c r="D189" i="13"/>
  <c r="C189" i="13"/>
  <c r="B189" i="13"/>
  <c r="D188" i="13"/>
  <c r="C188" i="13"/>
  <c r="B188" i="13"/>
  <c r="D187" i="13"/>
  <c r="C187" i="13"/>
  <c r="B187" i="13"/>
  <c r="D186" i="13"/>
  <c r="C186" i="13"/>
  <c r="B186" i="13"/>
  <c r="D185" i="13"/>
  <c r="C185" i="13"/>
  <c r="B185" i="13"/>
  <c r="D184" i="13"/>
  <c r="C184" i="13"/>
  <c r="B184" i="13"/>
  <c r="D183" i="13"/>
  <c r="C183" i="13"/>
  <c r="B183" i="13"/>
  <c r="D182" i="13"/>
  <c r="C182" i="13"/>
  <c r="B182" i="13"/>
  <c r="D181" i="13"/>
  <c r="C181" i="13"/>
  <c r="B181" i="13"/>
  <c r="D180" i="13"/>
  <c r="C180" i="13"/>
  <c r="B180" i="13"/>
  <c r="D179" i="13"/>
  <c r="C179" i="13"/>
  <c r="B179" i="13"/>
  <c r="D178" i="13"/>
  <c r="C178" i="13"/>
  <c r="B178" i="13"/>
  <c r="D177" i="13"/>
  <c r="C177" i="13"/>
  <c r="B177" i="13"/>
  <c r="D176" i="13"/>
  <c r="C176" i="13"/>
  <c r="B176" i="13"/>
  <c r="D175" i="13"/>
  <c r="C175" i="13"/>
  <c r="B175" i="13"/>
  <c r="D174" i="13"/>
  <c r="C174" i="13"/>
  <c r="B174" i="13"/>
  <c r="D173" i="13"/>
  <c r="C173" i="13"/>
  <c r="B173" i="13"/>
  <c r="D172" i="13"/>
  <c r="C172" i="13"/>
  <c r="B172" i="13"/>
  <c r="D171" i="13"/>
  <c r="C171" i="13"/>
  <c r="B171" i="13"/>
  <c r="D170" i="13"/>
  <c r="C170" i="13"/>
  <c r="B170" i="13"/>
  <c r="D169" i="13"/>
  <c r="C169" i="13"/>
  <c r="B169" i="13"/>
  <c r="D168" i="13"/>
  <c r="C168" i="13"/>
  <c r="B168" i="13"/>
  <c r="D167" i="13"/>
  <c r="C167" i="13"/>
  <c r="B167" i="13"/>
  <c r="D166" i="13"/>
  <c r="C166" i="13"/>
  <c r="B166" i="13"/>
  <c r="D165" i="13"/>
  <c r="C165" i="13"/>
  <c r="B165" i="13"/>
  <c r="D164" i="13"/>
  <c r="C164" i="13"/>
  <c r="B164" i="13"/>
  <c r="D163" i="13"/>
  <c r="C163" i="13"/>
  <c r="B163" i="13"/>
  <c r="D162" i="13"/>
  <c r="C162" i="13"/>
  <c r="B162" i="13"/>
  <c r="D161" i="13"/>
  <c r="C161" i="13"/>
  <c r="B161" i="13"/>
  <c r="D160" i="13"/>
  <c r="C160" i="13"/>
  <c r="B160" i="13"/>
  <c r="D159" i="13"/>
  <c r="C159" i="13"/>
  <c r="B159" i="13"/>
  <c r="D158" i="13"/>
  <c r="C158" i="13"/>
  <c r="B158" i="13"/>
  <c r="D157" i="13"/>
  <c r="C157" i="13"/>
  <c r="B157" i="13"/>
  <c r="D156" i="13"/>
  <c r="C156" i="13"/>
  <c r="B156" i="13"/>
  <c r="D155" i="13"/>
  <c r="C155" i="13"/>
  <c r="B155" i="13"/>
  <c r="D154" i="13"/>
  <c r="C154" i="13"/>
  <c r="B154" i="13"/>
  <c r="D153" i="13"/>
  <c r="C153" i="13"/>
  <c r="B153" i="13"/>
  <c r="D152" i="13"/>
  <c r="C152" i="13"/>
  <c r="B152" i="13"/>
  <c r="D151" i="13"/>
  <c r="C151" i="13"/>
  <c r="B151" i="13"/>
  <c r="D150" i="13"/>
  <c r="C150" i="13"/>
  <c r="B150" i="13"/>
  <c r="D149" i="13"/>
  <c r="C149" i="13"/>
  <c r="B149" i="13"/>
  <c r="D148" i="13"/>
  <c r="C148" i="13"/>
  <c r="B148" i="13"/>
  <c r="D147" i="13"/>
  <c r="C147" i="13"/>
  <c r="B147" i="13"/>
  <c r="D146" i="13"/>
  <c r="C146" i="13"/>
  <c r="B146" i="13"/>
  <c r="D145" i="13"/>
  <c r="C145" i="13"/>
  <c r="B145" i="13"/>
  <c r="D144" i="13"/>
  <c r="C144" i="13"/>
  <c r="B144" i="13"/>
  <c r="D143" i="13"/>
  <c r="C143" i="13"/>
  <c r="B143" i="13"/>
  <c r="D142" i="13"/>
  <c r="C142" i="13"/>
  <c r="B142" i="13"/>
  <c r="D141" i="13"/>
  <c r="C141" i="13"/>
  <c r="B141" i="13"/>
  <c r="D140" i="13"/>
  <c r="C140" i="13"/>
  <c r="B140" i="13"/>
  <c r="D139" i="13"/>
  <c r="C139" i="13"/>
  <c r="B139" i="13"/>
  <c r="D138" i="13"/>
  <c r="C138" i="13"/>
  <c r="B138" i="13"/>
  <c r="D137" i="13"/>
  <c r="C137" i="13"/>
  <c r="B137" i="13"/>
  <c r="D136" i="13"/>
  <c r="C136" i="13"/>
  <c r="B136" i="13"/>
  <c r="D135" i="13"/>
  <c r="C135" i="13"/>
  <c r="B135" i="13"/>
  <c r="D134" i="13"/>
  <c r="C134" i="13"/>
  <c r="B134" i="13"/>
  <c r="D133" i="13"/>
  <c r="C133" i="13"/>
  <c r="B133" i="13"/>
  <c r="D132" i="13"/>
  <c r="C132" i="13"/>
  <c r="B132" i="13"/>
  <c r="D131" i="13"/>
  <c r="C131" i="13"/>
  <c r="B131" i="13"/>
  <c r="D130" i="13"/>
  <c r="C130" i="13"/>
  <c r="B130" i="13"/>
  <c r="D129" i="13"/>
  <c r="C129" i="13"/>
  <c r="B129" i="13"/>
  <c r="D128" i="13"/>
  <c r="C128" i="13"/>
  <c r="B128" i="13"/>
  <c r="D127" i="13"/>
  <c r="C127" i="13"/>
  <c r="B127" i="13"/>
  <c r="D126" i="13"/>
  <c r="C126" i="13"/>
  <c r="B126" i="13"/>
  <c r="D125" i="13"/>
  <c r="C125" i="13"/>
  <c r="B125" i="13"/>
  <c r="D124" i="13"/>
  <c r="C124" i="13"/>
  <c r="B124" i="13"/>
  <c r="D123" i="13"/>
  <c r="C123" i="13"/>
  <c r="B123" i="13"/>
  <c r="D122" i="13"/>
  <c r="C122" i="13"/>
  <c r="B122" i="13"/>
  <c r="D121" i="13"/>
  <c r="C121" i="13"/>
  <c r="B121" i="13"/>
  <c r="D120" i="13"/>
  <c r="C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/>
  <c r="C14" i="13"/>
  <c r="B14" i="13"/>
  <c r="D13" i="13"/>
  <c r="C13" i="13"/>
  <c r="B13" i="13"/>
  <c r="D12" i="13"/>
  <c r="C12" i="13"/>
  <c r="B12" i="13"/>
  <c r="D11" i="13"/>
  <c r="C11" i="13"/>
  <c r="B11" i="13"/>
  <c r="D10" i="13"/>
  <c r="C10" i="13"/>
  <c r="B10" i="13"/>
  <c r="D9" i="13"/>
  <c r="C9" i="13"/>
  <c r="B9" i="13"/>
  <c r="D8" i="13"/>
  <c r="C8" i="13"/>
  <c r="B8" i="13"/>
  <c r="D7" i="13"/>
  <c r="C7" i="13"/>
  <c r="B7" i="13"/>
  <c r="D6" i="13"/>
  <c r="C6" i="13"/>
  <c r="B6" i="13"/>
  <c r="D5" i="13"/>
  <c r="C5" i="13"/>
  <c r="B5" i="13"/>
  <c r="D4" i="13"/>
  <c r="C4" i="13"/>
  <c r="B4" i="13"/>
  <c r="D3" i="13"/>
  <c r="C3" i="13"/>
  <c r="B3" i="13"/>
  <c r="AB44" i="38"/>
  <c r="AB52" i="38"/>
  <c r="AB53" i="38"/>
  <c r="AB59" i="38"/>
  <c r="AB60" i="38"/>
  <c r="AB61" i="38"/>
  <c r="AB62" i="38"/>
  <c r="AB63" i="38"/>
  <c r="AB64" i="38"/>
  <c r="AB65" i="38"/>
  <c r="AB66" i="38"/>
  <c r="AB67" i="38"/>
  <c r="AB69" i="38"/>
  <c r="AB70" i="38"/>
  <c r="AB71" i="38"/>
  <c r="AB72" i="38"/>
  <c r="AB75" i="38"/>
  <c r="AB77" i="38"/>
  <c r="AB78" i="38"/>
  <c r="AB79" i="38"/>
  <c r="AB80" i="38"/>
  <c r="AB81" i="38"/>
  <c r="AB82" i="38"/>
  <c r="AB85" i="38"/>
  <c r="AB86" i="38"/>
  <c r="AB89" i="38"/>
  <c r="AB90" i="38"/>
  <c r="AB91" i="38"/>
  <c r="AB94" i="38"/>
  <c r="AB95" i="38"/>
  <c r="AB97" i="38"/>
  <c r="AB98" i="38"/>
  <c r="AB99" i="38"/>
  <c r="AB101" i="38"/>
  <c r="AB102" i="38"/>
  <c r="AB26" i="38"/>
  <c r="AB45" i="38"/>
  <c r="AB49" i="38"/>
  <c r="AB54" i="38"/>
  <c r="AB55" i="38"/>
  <c r="AB58" i="38"/>
  <c r="AB73" i="38"/>
  <c r="AB74" i="38"/>
  <c r="AB76" i="38"/>
  <c r="AB83" i="38"/>
  <c r="AB87" i="38"/>
  <c r="AB88" i="38"/>
  <c r="AB92" i="38"/>
  <c r="AB100" i="38"/>
  <c r="AB38" i="38"/>
  <c r="AB48" i="38"/>
  <c r="AB50" i="38"/>
  <c r="AB51" i="38"/>
  <c r="AB56" i="38"/>
  <c r="AB57" i="38"/>
  <c r="AB84" i="38"/>
  <c r="AB93" i="38"/>
  <c r="AB96" i="38"/>
  <c r="AB5" i="38"/>
  <c r="AB103" i="38"/>
  <c r="AB104" i="38"/>
  <c r="AB68" i="38"/>
  <c r="AB105" i="38"/>
  <c r="AB106" i="38"/>
  <c r="AB107" i="38"/>
  <c r="AB108" i="38"/>
  <c r="AB109" i="38"/>
  <c r="AB110" i="38"/>
  <c r="AB111" i="38"/>
  <c r="AB112" i="38"/>
  <c r="AB9" i="38"/>
  <c r="AB15" i="38"/>
  <c r="AB113" i="38"/>
  <c r="AB114" i="38"/>
  <c r="AB115" i="38"/>
  <c r="AB116" i="38"/>
  <c r="AB117" i="38"/>
  <c r="AB118" i="38"/>
  <c r="AB119" i="38"/>
  <c r="AB120" i="38"/>
  <c r="AB121" i="38"/>
  <c r="AB122" i="38"/>
  <c r="AB123" i="38"/>
  <c r="AB124" i="38"/>
  <c r="AB125" i="38"/>
  <c r="AB126" i="38"/>
  <c r="AB127" i="38"/>
  <c r="AB128" i="38"/>
  <c r="AB129" i="38"/>
  <c r="AB130" i="38"/>
  <c r="AB131" i="38"/>
  <c r="AB132" i="38"/>
  <c r="AB133" i="38"/>
  <c r="AB134" i="38"/>
  <c r="AB135" i="38"/>
  <c r="AB136" i="38"/>
  <c r="AB137" i="38"/>
  <c r="AB138" i="38"/>
  <c r="AB139" i="38"/>
  <c r="AB140" i="38"/>
  <c r="AB141" i="38"/>
  <c r="AB142" i="38"/>
  <c r="AB143" i="38"/>
  <c r="AB144" i="38"/>
  <c r="AB47" i="38"/>
  <c r="AB46" i="38"/>
  <c r="AB22" i="38"/>
  <c r="AB21" i="38"/>
  <c r="AB20" i="38"/>
  <c r="AB19" i="38"/>
  <c r="AB18" i="38"/>
  <c r="AB17" i="38"/>
  <c r="AB16" i="38"/>
  <c r="AB14" i="38"/>
  <c r="AB13" i="38"/>
  <c r="P86" i="20" l="1"/>
  <c r="X86" i="20" s="1"/>
  <c r="Q86" i="20"/>
  <c r="Y86" i="20" s="1"/>
  <c r="R86" i="20"/>
  <c r="Z86" i="20" s="1"/>
  <c r="O86" i="20"/>
  <c r="S86" i="20"/>
  <c r="AA86" i="20" s="1"/>
  <c r="BC271" i="31"/>
  <c r="BI272" i="31"/>
  <c r="BJ272" i="31"/>
  <c r="BK272" i="31"/>
  <c r="W289" i="38"/>
  <c r="X289" i="38" s="1"/>
  <c r="W291" i="38"/>
  <c r="X291" i="38" s="1"/>
  <c r="N208" i="20"/>
  <c r="P208" i="20"/>
  <c r="X208" i="20" s="1"/>
  <c r="Q208" i="20"/>
  <c r="Y208" i="20" s="1"/>
  <c r="S208" i="20"/>
  <c r="AA208" i="20" s="1"/>
  <c r="BK271" i="31"/>
  <c r="BJ271" i="31"/>
  <c r="BF271" i="31"/>
  <c r="BI271" i="31"/>
  <c r="D271" i="31"/>
  <c r="D208" i="20"/>
  <c r="P266" i="31"/>
  <c r="X266" i="31" s="1"/>
  <c r="P270" i="31"/>
  <c r="X270" i="31" s="1"/>
  <c r="N271" i="31"/>
  <c r="P267" i="31"/>
  <c r="X267" i="31" s="1"/>
  <c r="P268" i="31"/>
  <c r="X268" i="31" s="1"/>
  <c r="W271" i="31"/>
  <c r="W208" i="20"/>
  <c r="W287" i="38"/>
  <c r="O117" i="20"/>
  <c r="W117" i="20" s="1"/>
  <c r="S117" i="20"/>
  <c r="AA117" i="20" s="1"/>
  <c r="P117" i="20"/>
  <c r="X117" i="20" s="1"/>
  <c r="Q117" i="20"/>
  <c r="Y117" i="20" s="1"/>
  <c r="D117" i="20"/>
  <c r="R117" i="20"/>
  <c r="Z117" i="20" s="1"/>
  <c r="N117" i="20"/>
  <c r="N121" i="20"/>
  <c r="BC269" i="31"/>
  <c r="BK269" i="31" s="1"/>
  <c r="W270" i="31"/>
  <c r="Q121" i="20"/>
  <c r="Y121" i="20" s="1"/>
  <c r="R121" i="20"/>
  <c r="Z121" i="20" s="1"/>
  <c r="N80" i="20"/>
  <c r="O121" i="20"/>
  <c r="W121" i="20" s="1"/>
  <c r="S121" i="20"/>
  <c r="AA121" i="20" s="1"/>
  <c r="P121" i="20"/>
  <c r="X121" i="20" s="1"/>
  <c r="D121" i="20"/>
  <c r="R267" i="31"/>
  <c r="Z267" i="31" s="1"/>
  <c r="BC268" i="31"/>
  <c r="BI268" i="31" s="1"/>
  <c r="W269" i="31"/>
  <c r="D80" i="20"/>
  <c r="Q80" i="20"/>
  <c r="Y80" i="20" s="1"/>
  <c r="R80" i="20"/>
  <c r="Z80" i="20" s="1"/>
  <c r="O80" i="20"/>
  <c r="W80" i="20" s="1"/>
  <c r="S80" i="20"/>
  <c r="AA80" i="20" s="1"/>
  <c r="P80" i="20"/>
  <c r="X80" i="20" s="1"/>
  <c r="BK268" i="31"/>
  <c r="W268" i="31"/>
  <c r="Q66" i="20"/>
  <c r="Y66" i="20" s="1"/>
  <c r="O66" i="20"/>
  <c r="W66" i="20" s="1"/>
  <c r="S66" i="20"/>
  <c r="AA66" i="20" s="1"/>
  <c r="N139" i="20"/>
  <c r="R66" i="20"/>
  <c r="Z66" i="20" s="1"/>
  <c r="P66" i="20"/>
  <c r="X66" i="20" s="1"/>
  <c r="D139" i="20"/>
  <c r="N66" i="20"/>
  <c r="D267" i="31"/>
  <c r="D66" i="20"/>
  <c r="N267" i="31"/>
  <c r="P259" i="31"/>
  <c r="X259" i="31" s="1"/>
  <c r="P264" i="31"/>
  <c r="X264" i="31" s="1"/>
  <c r="W267" i="31"/>
  <c r="P253" i="20"/>
  <c r="X253" i="20" s="1"/>
  <c r="S253" i="20"/>
  <c r="AA253" i="20" s="1"/>
  <c r="N253" i="20"/>
  <c r="D266" i="31"/>
  <c r="D253" i="20"/>
  <c r="P261" i="31"/>
  <c r="X261" i="31" s="1"/>
  <c r="P265" i="31"/>
  <c r="X265" i="31" s="1"/>
  <c r="P257" i="31"/>
  <c r="X257" i="31" s="1"/>
  <c r="P260" i="31"/>
  <c r="X260" i="31" s="1"/>
  <c r="P262" i="31"/>
  <c r="X262" i="31" s="1"/>
  <c r="W266" i="31"/>
  <c r="W253" i="20"/>
  <c r="S139" i="20"/>
  <c r="AA139" i="20" s="1"/>
  <c r="P139" i="20"/>
  <c r="X139" i="20" s="1"/>
  <c r="Q139" i="20"/>
  <c r="Y139" i="20" s="1"/>
  <c r="R139" i="20"/>
  <c r="Z139" i="20" s="1"/>
  <c r="N128" i="20"/>
  <c r="W265" i="31"/>
  <c r="W139" i="20"/>
  <c r="D128" i="20"/>
  <c r="O128" i="20"/>
  <c r="W128" i="20" s="1"/>
  <c r="S128" i="20"/>
  <c r="AA128" i="20" s="1"/>
  <c r="P128" i="20"/>
  <c r="X128" i="20" s="1"/>
  <c r="Q128" i="20"/>
  <c r="Y128" i="20" s="1"/>
  <c r="R128" i="20"/>
  <c r="Z128" i="20" s="1"/>
  <c r="BC263" i="31"/>
  <c r="BI263" i="31" s="1"/>
  <c r="W264" i="31"/>
  <c r="R72" i="20"/>
  <c r="Z72" i="20" s="1"/>
  <c r="D131" i="20"/>
  <c r="O72" i="20"/>
  <c r="W72" i="20" s="1"/>
  <c r="S72" i="20"/>
  <c r="AA72" i="20" s="1"/>
  <c r="P72" i="20"/>
  <c r="X72" i="20" s="1"/>
  <c r="Q72" i="20"/>
  <c r="Y72" i="20" s="1"/>
  <c r="N72" i="20"/>
  <c r="D263" i="31"/>
  <c r="D72" i="20"/>
  <c r="W263" i="31"/>
  <c r="N131" i="20"/>
  <c r="O131" i="20"/>
  <c r="W131" i="20" s="1"/>
  <c r="S131" i="20"/>
  <c r="AA131" i="20" s="1"/>
  <c r="P131" i="20"/>
  <c r="X131" i="20" s="1"/>
  <c r="Q131" i="20"/>
  <c r="Y131" i="20" s="1"/>
  <c r="N73" i="20"/>
  <c r="R131" i="20"/>
  <c r="Z131" i="20" s="1"/>
  <c r="D262" i="31"/>
  <c r="W262" i="31"/>
  <c r="D73" i="20"/>
  <c r="R73" i="20"/>
  <c r="Z73" i="20" s="1"/>
  <c r="O73" i="20"/>
  <c r="W73" i="20" s="1"/>
  <c r="S73" i="20"/>
  <c r="AA73" i="20" s="1"/>
  <c r="P73" i="20"/>
  <c r="X73" i="20" s="1"/>
  <c r="Q73" i="20"/>
  <c r="Y73" i="20" s="1"/>
  <c r="N75" i="20"/>
  <c r="BC260" i="31"/>
  <c r="BK260" i="31" s="1"/>
  <c r="W261" i="31"/>
  <c r="D75" i="20"/>
  <c r="O75" i="20"/>
  <c r="W75" i="20" s="1"/>
  <c r="S75" i="20"/>
  <c r="AA75" i="20" s="1"/>
  <c r="N49" i="20"/>
  <c r="P75" i="20"/>
  <c r="X75" i="20" s="1"/>
  <c r="Q75" i="20"/>
  <c r="Y75" i="20" s="1"/>
  <c r="R75" i="20"/>
  <c r="Z75" i="20" s="1"/>
  <c r="BC259" i="31"/>
  <c r="BK259" i="31" s="1"/>
  <c r="W260" i="31"/>
  <c r="D49" i="20"/>
  <c r="P49" i="20"/>
  <c r="X49" i="20" s="1"/>
  <c r="Q49" i="20"/>
  <c r="Y49" i="20" s="1"/>
  <c r="R49" i="20"/>
  <c r="Z49" i="20" s="1"/>
  <c r="O49" i="20"/>
  <c r="W49" i="20" s="1"/>
  <c r="S49" i="20"/>
  <c r="AA49" i="20" s="1"/>
  <c r="N126" i="20"/>
  <c r="BC254" i="31"/>
  <c r="BK254" i="31" s="1"/>
  <c r="BC258" i="31"/>
  <c r="BJ258" i="31" s="1"/>
  <c r="W259" i="31"/>
  <c r="D126" i="20"/>
  <c r="R126" i="20"/>
  <c r="Z126" i="20" s="1"/>
  <c r="O126" i="20"/>
  <c r="W126" i="20" s="1"/>
  <c r="S126" i="20"/>
  <c r="AA126" i="20" s="1"/>
  <c r="P126" i="20"/>
  <c r="X126" i="20" s="1"/>
  <c r="Q126" i="20"/>
  <c r="Y126" i="20" s="1"/>
  <c r="D94" i="20"/>
  <c r="W258" i="31"/>
  <c r="R94" i="20"/>
  <c r="Z94" i="20" s="1"/>
  <c r="O94" i="20"/>
  <c r="S94" i="20"/>
  <c r="AA94" i="20" s="1"/>
  <c r="N94" i="20"/>
  <c r="P94" i="20"/>
  <c r="X94" i="20" s="1"/>
  <c r="Q94" i="20"/>
  <c r="Y94" i="20" s="1"/>
  <c r="D129" i="20"/>
  <c r="BC256" i="31"/>
  <c r="BK256" i="31" s="1"/>
  <c r="W257" i="31"/>
  <c r="W94" i="20"/>
  <c r="P129" i="20"/>
  <c r="X129" i="20" s="1"/>
  <c r="N129" i="20"/>
  <c r="Q129" i="20"/>
  <c r="Y129" i="20" s="1"/>
  <c r="R129" i="20"/>
  <c r="Z129" i="20" s="1"/>
  <c r="O129" i="20"/>
  <c r="W129" i="20" s="1"/>
  <c r="S129" i="20"/>
  <c r="AA129" i="20" s="1"/>
  <c r="D81" i="20"/>
  <c r="BC255" i="31"/>
  <c r="BK255" i="31" s="1"/>
  <c r="W256" i="31"/>
  <c r="Q81" i="20"/>
  <c r="Y81" i="20" s="1"/>
  <c r="N81" i="20"/>
  <c r="R81" i="20"/>
  <c r="Z81" i="20" s="1"/>
  <c r="O81" i="20"/>
  <c r="W81" i="20" s="1"/>
  <c r="S81" i="20"/>
  <c r="AA81" i="20" s="1"/>
  <c r="P81" i="20"/>
  <c r="X81" i="20" s="1"/>
  <c r="D132" i="20"/>
  <c r="W255" i="31"/>
  <c r="Q132" i="20"/>
  <c r="Y132" i="20" s="1"/>
  <c r="R132" i="20"/>
  <c r="Z132" i="20" s="1"/>
  <c r="O132" i="20"/>
  <c r="W132" i="20" s="1"/>
  <c r="S132" i="20"/>
  <c r="AA132" i="20" s="1"/>
  <c r="P132" i="20"/>
  <c r="X132" i="20" s="1"/>
  <c r="D88" i="20"/>
  <c r="N132" i="20"/>
  <c r="BJ254" i="31"/>
  <c r="BI254" i="31"/>
  <c r="BC252" i="31"/>
  <c r="BK252" i="31" s="1"/>
  <c r="S250" i="31"/>
  <c r="AA250" i="31" s="1"/>
  <c r="O253" i="31"/>
  <c r="BC253" i="31" s="1"/>
  <c r="BJ253" i="31" s="1"/>
  <c r="D254" i="31"/>
  <c r="W254" i="31"/>
  <c r="R88" i="20"/>
  <c r="Z88" i="20" s="1"/>
  <c r="O88" i="20"/>
  <c r="W88" i="20" s="1"/>
  <c r="S88" i="20"/>
  <c r="AA88" i="20" s="1"/>
  <c r="P88" i="20"/>
  <c r="X88" i="20" s="1"/>
  <c r="N88" i="20"/>
  <c r="Q88" i="20"/>
  <c r="Y88" i="20" s="1"/>
  <c r="O206" i="20"/>
  <c r="W206" i="20" s="1"/>
  <c r="Q206" i="20"/>
  <c r="Y206" i="20" s="1"/>
  <c r="R206" i="20"/>
  <c r="Z206" i="20" s="1"/>
  <c r="N206" i="20"/>
  <c r="O251" i="31"/>
  <c r="W251" i="31" s="1"/>
  <c r="S251" i="31"/>
  <c r="AA251" i="31" s="1"/>
  <c r="D252" i="31"/>
  <c r="D206" i="20"/>
  <c r="W252" i="31"/>
  <c r="O115" i="20"/>
  <c r="W115" i="20" s="1"/>
  <c r="S115" i="20"/>
  <c r="AA115" i="20" s="1"/>
  <c r="N165" i="20"/>
  <c r="P115" i="20"/>
  <c r="X115" i="20" s="1"/>
  <c r="Q115" i="20"/>
  <c r="Y115" i="20" s="1"/>
  <c r="R115" i="20"/>
  <c r="Z115" i="20" s="1"/>
  <c r="N115" i="20"/>
  <c r="D251" i="31"/>
  <c r="D115" i="20"/>
  <c r="BC249" i="31"/>
  <c r="BJ249" i="31" s="1"/>
  <c r="S165" i="20"/>
  <c r="AA165" i="20" s="1"/>
  <c r="P165" i="20"/>
  <c r="X165" i="20" s="1"/>
  <c r="Q165" i="20"/>
  <c r="Y165" i="20" s="1"/>
  <c r="D165" i="20"/>
  <c r="N231" i="20"/>
  <c r="BC245" i="31"/>
  <c r="BK245" i="31" s="1"/>
  <c r="W250" i="31"/>
  <c r="W165" i="20"/>
  <c r="P231" i="20"/>
  <c r="X231" i="20" s="1"/>
  <c r="Q231" i="20"/>
  <c r="Y231" i="20" s="1"/>
  <c r="D231" i="20"/>
  <c r="S231" i="20"/>
  <c r="AA231" i="20" s="1"/>
  <c r="BC248" i="31"/>
  <c r="BF248" i="31" s="1"/>
  <c r="W249" i="31"/>
  <c r="W231" i="20"/>
  <c r="P232" i="20"/>
  <c r="X232" i="20" s="1"/>
  <c r="Q232" i="20"/>
  <c r="Y232" i="20" s="1"/>
  <c r="N232" i="20"/>
  <c r="S232" i="20"/>
  <c r="AA232" i="20" s="1"/>
  <c r="BC247" i="31"/>
  <c r="BK247" i="31" s="1"/>
  <c r="D248" i="31"/>
  <c r="D232" i="20"/>
  <c r="W248" i="31"/>
  <c r="W232" i="20"/>
  <c r="N250" i="20"/>
  <c r="O250" i="20"/>
  <c r="W250" i="20" s="1"/>
  <c r="D250" i="20"/>
  <c r="P250" i="20"/>
  <c r="X250" i="20" s="1"/>
  <c r="BC246" i="31"/>
  <c r="BJ246" i="31" s="1"/>
  <c r="W247" i="31"/>
  <c r="P230" i="20"/>
  <c r="X230" i="20" s="1"/>
  <c r="Q230" i="20"/>
  <c r="Y230" i="20" s="1"/>
  <c r="D230" i="20"/>
  <c r="S230" i="20"/>
  <c r="AA230" i="20" s="1"/>
  <c r="N230" i="20"/>
  <c r="W246" i="31"/>
  <c r="W230" i="20"/>
  <c r="N116" i="20"/>
  <c r="BC244" i="31"/>
  <c r="BI244" i="31" s="1"/>
  <c r="W245" i="31"/>
  <c r="BC243" i="31"/>
  <c r="BK243" i="31" s="1"/>
  <c r="W244" i="31"/>
  <c r="D116" i="20"/>
  <c r="Q116" i="20"/>
  <c r="Y116" i="20" s="1"/>
  <c r="R116" i="20"/>
  <c r="Z116" i="20" s="1"/>
  <c r="O116" i="20"/>
  <c r="W116" i="20" s="1"/>
  <c r="S116" i="20"/>
  <c r="AA116" i="20" s="1"/>
  <c r="P116" i="20"/>
  <c r="X116" i="20" s="1"/>
  <c r="D130" i="20"/>
  <c r="BC242" i="31"/>
  <c r="BK242" i="31" s="1"/>
  <c r="W243" i="31"/>
  <c r="N130" i="20"/>
  <c r="R130" i="20"/>
  <c r="Z130" i="20" s="1"/>
  <c r="O130" i="20"/>
  <c r="W130" i="20" s="1"/>
  <c r="S130" i="20"/>
  <c r="AA130" i="20" s="1"/>
  <c r="P130" i="20"/>
  <c r="X130" i="20" s="1"/>
  <c r="Q130" i="20"/>
  <c r="Y130" i="20" s="1"/>
  <c r="N108" i="20"/>
  <c r="BC241" i="31"/>
  <c r="BJ241" i="31" s="1"/>
  <c r="W242" i="31"/>
  <c r="D108" i="20"/>
  <c r="O108" i="20"/>
  <c r="W108" i="20" s="1"/>
  <c r="S108" i="20"/>
  <c r="AA108" i="20" s="1"/>
  <c r="P108" i="20"/>
  <c r="X108" i="20" s="1"/>
  <c r="Q108" i="20"/>
  <c r="Y108" i="20" s="1"/>
  <c r="R108" i="20"/>
  <c r="Z108" i="20" s="1"/>
  <c r="D65" i="20"/>
  <c r="BC240" i="31"/>
  <c r="W241" i="31"/>
  <c r="N65" i="20"/>
  <c r="P65" i="20"/>
  <c r="X65" i="20" s="1"/>
  <c r="Q65" i="20"/>
  <c r="Y65" i="20" s="1"/>
  <c r="R65" i="20"/>
  <c r="Z65" i="20" s="1"/>
  <c r="O65" i="20"/>
  <c r="W65" i="20" s="1"/>
  <c r="S65" i="20"/>
  <c r="AA65" i="20" s="1"/>
  <c r="N106" i="20"/>
  <c r="BC238" i="31"/>
  <c r="BK238" i="31" s="1"/>
  <c r="BC239" i="31"/>
  <c r="BK239" i="31" s="1"/>
  <c r="W240" i="31"/>
  <c r="D106" i="20"/>
  <c r="Q106" i="20"/>
  <c r="Y106" i="20" s="1"/>
  <c r="R106" i="20"/>
  <c r="Z106" i="20" s="1"/>
  <c r="O106" i="20"/>
  <c r="W106" i="20" s="1"/>
  <c r="S106" i="20"/>
  <c r="AA106" i="20" s="1"/>
  <c r="P106" i="20"/>
  <c r="X106" i="20" s="1"/>
  <c r="BJ239" i="31"/>
  <c r="W239" i="31"/>
  <c r="N160" i="20"/>
  <c r="Q194" i="20"/>
  <c r="Y194" i="20" s="1"/>
  <c r="N194" i="20"/>
  <c r="S194" i="20"/>
  <c r="AA194" i="20" s="1"/>
  <c r="P194" i="20"/>
  <c r="X194" i="20" s="1"/>
  <c r="BJ238" i="31"/>
  <c r="D238" i="31"/>
  <c r="D194" i="20"/>
  <c r="BC237" i="31"/>
  <c r="BK237" i="31" s="1"/>
  <c r="W238" i="31"/>
  <c r="W194" i="20"/>
  <c r="S160" i="20"/>
  <c r="AA160" i="20" s="1"/>
  <c r="P160" i="20"/>
  <c r="X160" i="20" s="1"/>
  <c r="Q160" i="20"/>
  <c r="Y160" i="20" s="1"/>
  <c r="N228" i="20"/>
  <c r="P235" i="31"/>
  <c r="X235" i="31" s="1"/>
  <c r="D237" i="31"/>
  <c r="D160" i="20"/>
  <c r="P233" i="31"/>
  <c r="X233" i="31" s="1"/>
  <c r="BC236" i="31"/>
  <c r="BK236" i="31" s="1"/>
  <c r="W237" i="31"/>
  <c r="W160" i="20"/>
  <c r="R228" i="20"/>
  <c r="Z228" i="20" s="1"/>
  <c r="S228" i="20"/>
  <c r="AA228" i="20" s="1"/>
  <c r="D228" i="20"/>
  <c r="P228" i="20"/>
  <c r="X228" i="20" s="1"/>
  <c r="Q228" i="20"/>
  <c r="Y228" i="20" s="1"/>
  <c r="N85" i="20"/>
  <c r="W236" i="31"/>
  <c r="W228" i="20"/>
  <c r="D85" i="20"/>
  <c r="Q85" i="20"/>
  <c r="Y85" i="20" s="1"/>
  <c r="R85" i="20"/>
  <c r="Z85" i="20" s="1"/>
  <c r="O85" i="20"/>
  <c r="W85" i="20" s="1"/>
  <c r="S85" i="20"/>
  <c r="AA85" i="20" s="1"/>
  <c r="P85" i="20"/>
  <c r="X85" i="20" s="1"/>
  <c r="N102" i="20"/>
  <c r="BC234" i="31"/>
  <c r="BK234" i="31" s="1"/>
  <c r="W235" i="31"/>
  <c r="Q102" i="20"/>
  <c r="Y102" i="20" s="1"/>
  <c r="D102" i="20"/>
  <c r="R102" i="20"/>
  <c r="Z102" i="20" s="1"/>
  <c r="O102" i="20"/>
  <c r="W102" i="20" s="1"/>
  <c r="S102" i="20"/>
  <c r="AA102" i="20" s="1"/>
  <c r="P102" i="20"/>
  <c r="X102" i="20" s="1"/>
  <c r="N167" i="20"/>
  <c r="W234" i="31"/>
  <c r="S167" i="20"/>
  <c r="AA167" i="20" s="1"/>
  <c r="P167" i="20"/>
  <c r="X167" i="20" s="1"/>
  <c r="Q167" i="20"/>
  <c r="Y167" i="20" s="1"/>
  <c r="N239" i="20"/>
  <c r="D167" i="20"/>
  <c r="BC232" i="31"/>
  <c r="BJ232" i="31" s="1"/>
  <c r="W233" i="31"/>
  <c r="W167" i="20"/>
  <c r="P239" i="20"/>
  <c r="X239" i="20" s="1"/>
  <c r="Q239" i="20"/>
  <c r="Y239" i="20" s="1"/>
  <c r="D239" i="20"/>
  <c r="S239" i="20"/>
  <c r="AA239" i="20" s="1"/>
  <c r="N236" i="20"/>
  <c r="BK232" i="31"/>
  <c r="BC231" i="31"/>
  <c r="BI231" i="31" s="1"/>
  <c r="W232" i="31"/>
  <c r="W239" i="20"/>
  <c r="P236" i="20"/>
  <c r="X236" i="20" s="1"/>
  <c r="Q236" i="20"/>
  <c r="Y236" i="20" s="1"/>
  <c r="S236" i="20"/>
  <c r="AA236" i="20" s="1"/>
  <c r="D236" i="20"/>
  <c r="BC230" i="31"/>
  <c r="BI230" i="31" s="1"/>
  <c r="W231" i="31"/>
  <c r="W236" i="20"/>
  <c r="D134" i="20"/>
  <c r="S134" i="20"/>
  <c r="AA134" i="20" s="1"/>
  <c r="P134" i="20"/>
  <c r="X134" i="20" s="1"/>
  <c r="N134" i="20"/>
  <c r="Q134" i="20"/>
  <c r="Y134" i="20" s="1"/>
  <c r="R134" i="20"/>
  <c r="Z134" i="20" s="1"/>
  <c r="N84" i="20"/>
  <c r="BC229" i="31"/>
  <c r="BK229" i="31" s="1"/>
  <c r="W230" i="31"/>
  <c r="W134" i="20"/>
  <c r="D84" i="20"/>
  <c r="P84" i="20"/>
  <c r="X84" i="20" s="1"/>
  <c r="Q84" i="20"/>
  <c r="Y84" i="20" s="1"/>
  <c r="R84" i="20"/>
  <c r="Z84" i="20" s="1"/>
  <c r="O84" i="20"/>
  <c r="W84" i="20" s="1"/>
  <c r="S84" i="20"/>
  <c r="AA84" i="20" s="1"/>
  <c r="BC228" i="31"/>
  <c r="BK228" i="31" s="1"/>
  <c r="W229" i="31"/>
  <c r="N35" i="20"/>
  <c r="P35" i="20"/>
  <c r="X35" i="20" s="1"/>
  <c r="D35" i="20"/>
  <c r="Q35" i="20"/>
  <c r="Y35" i="20" s="1"/>
  <c r="R35" i="20"/>
  <c r="Z35" i="20" s="1"/>
  <c r="O35" i="20"/>
  <c r="W35" i="20" s="1"/>
  <c r="S35" i="20"/>
  <c r="AA35" i="20" s="1"/>
  <c r="BC227" i="31"/>
  <c r="BJ227" i="31" s="1"/>
  <c r="W228" i="31"/>
  <c r="BC226" i="31"/>
  <c r="BI226" i="31" s="1"/>
  <c r="W227" i="31"/>
  <c r="D22" i="20"/>
  <c r="P22" i="20"/>
  <c r="X22" i="20" s="1"/>
  <c r="N22" i="20"/>
  <c r="Q22" i="20"/>
  <c r="Y22" i="20" s="1"/>
  <c r="R22" i="20"/>
  <c r="Z22" i="20" s="1"/>
  <c r="O22" i="20"/>
  <c r="W22" i="20" s="1"/>
  <c r="S22" i="20"/>
  <c r="AA22" i="20" s="1"/>
  <c r="BC225" i="31"/>
  <c r="BK225" i="31" s="1"/>
  <c r="W226" i="31"/>
  <c r="S244" i="20"/>
  <c r="AA244" i="20" s="1"/>
  <c r="P244" i="20"/>
  <c r="X244" i="20" s="1"/>
  <c r="D244" i="20"/>
  <c r="Q244" i="20"/>
  <c r="Y244" i="20" s="1"/>
  <c r="N243" i="20"/>
  <c r="N244" i="20"/>
  <c r="BC224" i="31"/>
  <c r="BJ224" i="31" s="1"/>
  <c r="W225" i="31"/>
  <c r="W244" i="20"/>
  <c r="D235" i="20"/>
  <c r="S235" i="20"/>
  <c r="AA235" i="20" s="1"/>
  <c r="R235" i="20"/>
  <c r="Z235" i="20" s="1"/>
  <c r="P235" i="20"/>
  <c r="X235" i="20" s="1"/>
  <c r="N235" i="20"/>
  <c r="Q235" i="20"/>
  <c r="Y235" i="20" s="1"/>
  <c r="D243" i="20"/>
  <c r="BC222" i="31"/>
  <c r="BK222" i="31" s="1"/>
  <c r="BC223" i="31"/>
  <c r="BJ223" i="31" s="1"/>
  <c r="W224" i="31"/>
  <c r="W235" i="20"/>
  <c r="S243" i="20"/>
  <c r="AA243" i="20" s="1"/>
  <c r="P243" i="20"/>
  <c r="X243" i="20" s="1"/>
  <c r="Q243" i="20"/>
  <c r="Y243" i="20" s="1"/>
  <c r="W223" i="31"/>
  <c r="W243" i="20"/>
  <c r="D103" i="20"/>
  <c r="BC221" i="31"/>
  <c r="BK221" i="31" s="1"/>
  <c r="W222" i="31"/>
  <c r="N103" i="20"/>
  <c r="P103" i="20"/>
  <c r="X103" i="20" s="1"/>
  <c r="Q103" i="20"/>
  <c r="Y103" i="20" s="1"/>
  <c r="R103" i="20"/>
  <c r="Z103" i="20" s="1"/>
  <c r="O103" i="20"/>
  <c r="S103" i="20"/>
  <c r="AA103" i="20" s="1"/>
  <c r="BC220" i="31"/>
  <c r="BJ220" i="31" s="1"/>
  <c r="W221" i="31"/>
  <c r="W103" i="20"/>
  <c r="D123" i="20"/>
  <c r="P123" i="20"/>
  <c r="X123" i="20" s="1"/>
  <c r="Q123" i="20"/>
  <c r="Y123" i="20" s="1"/>
  <c r="N123" i="20"/>
  <c r="R123" i="20"/>
  <c r="Z123" i="20" s="1"/>
  <c r="O123" i="20"/>
  <c r="W123" i="20" s="1"/>
  <c r="S123" i="20"/>
  <c r="AA123" i="20" s="1"/>
  <c r="BC219" i="31"/>
  <c r="BJ219" i="31" s="1"/>
  <c r="W220" i="31"/>
  <c r="R99" i="20"/>
  <c r="Z99" i="20" s="1"/>
  <c r="O99" i="20"/>
  <c r="W99" i="20" s="1"/>
  <c r="S99" i="20"/>
  <c r="AA99" i="20" s="1"/>
  <c r="P99" i="20"/>
  <c r="X99" i="20" s="1"/>
  <c r="N99" i="20"/>
  <c r="Q99" i="20"/>
  <c r="Y99" i="20" s="1"/>
  <c r="D99" i="20"/>
  <c r="BC218" i="31"/>
  <c r="BJ218" i="31" s="1"/>
  <c r="W219" i="31"/>
  <c r="D119" i="20"/>
  <c r="BC217" i="31"/>
  <c r="BJ217" i="31" s="1"/>
  <c r="W218" i="31"/>
  <c r="R119" i="20"/>
  <c r="Z119" i="20" s="1"/>
  <c r="O119" i="20"/>
  <c r="W119" i="20" s="1"/>
  <c r="S119" i="20"/>
  <c r="AA119" i="20" s="1"/>
  <c r="P119" i="20"/>
  <c r="X119" i="20" s="1"/>
  <c r="N119" i="20"/>
  <c r="Q119" i="20"/>
  <c r="Y119" i="20" s="1"/>
  <c r="N91" i="20"/>
  <c r="Q211" i="31"/>
  <c r="Y211" i="31" s="1"/>
  <c r="Q215" i="31"/>
  <c r="Y215" i="31" s="1"/>
  <c r="BC216" i="31"/>
  <c r="BK216" i="31" s="1"/>
  <c r="Q213" i="31"/>
  <c r="Y213" i="31" s="1"/>
  <c r="W217" i="31"/>
  <c r="P91" i="20"/>
  <c r="X91" i="20" s="1"/>
  <c r="D91" i="20"/>
  <c r="Q91" i="20"/>
  <c r="Y91" i="20" s="1"/>
  <c r="R91" i="20"/>
  <c r="Z91" i="20" s="1"/>
  <c r="O91" i="20"/>
  <c r="W91" i="20" s="1"/>
  <c r="S91" i="20"/>
  <c r="AA91" i="20" s="1"/>
  <c r="W216" i="31"/>
  <c r="D48" i="20"/>
  <c r="R48" i="20"/>
  <c r="Z48" i="20" s="1"/>
  <c r="O48" i="20"/>
  <c r="W48" i="20" s="1"/>
  <c r="S48" i="20"/>
  <c r="AA48" i="20" s="1"/>
  <c r="P48" i="20"/>
  <c r="X48" i="20" s="1"/>
  <c r="N48" i="20"/>
  <c r="Q48" i="20"/>
  <c r="Y48" i="20" s="1"/>
  <c r="D107" i="20"/>
  <c r="BC214" i="31"/>
  <c r="BK214" i="31" s="1"/>
  <c r="W215" i="31"/>
  <c r="N107" i="20"/>
  <c r="O107" i="20"/>
  <c r="W107" i="20" s="1"/>
  <c r="S107" i="20"/>
  <c r="AA107" i="20" s="1"/>
  <c r="P107" i="20"/>
  <c r="X107" i="20" s="1"/>
  <c r="Q107" i="20"/>
  <c r="Y107" i="20" s="1"/>
  <c r="R107" i="20"/>
  <c r="Z107" i="20" s="1"/>
  <c r="BJ214" i="31"/>
  <c r="BC212" i="31"/>
  <c r="BK212" i="31" s="1"/>
  <c r="W214" i="31"/>
  <c r="D50" i="20"/>
  <c r="D96" i="20"/>
  <c r="N50" i="20"/>
  <c r="Q50" i="20"/>
  <c r="Y50" i="20" s="1"/>
  <c r="R50" i="20"/>
  <c r="Z50" i="20" s="1"/>
  <c r="O50" i="20"/>
  <c r="W50" i="20" s="1"/>
  <c r="S50" i="20"/>
  <c r="AA50" i="20" s="1"/>
  <c r="P50" i="20"/>
  <c r="X50" i="20" s="1"/>
  <c r="W213" i="31"/>
  <c r="Q96" i="20"/>
  <c r="Y96" i="20" s="1"/>
  <c r="R96" i="20"/>
  <c r="Z96" i="20" s="1"/>
  <c r="N96" i="20"/>
  <c r="O96" i="20"/>
  <c r="W96" i="20" s="1"/>
  <c r="S96" i="20"/>
  <c r="AA96" i="20" s="1"/>
  <c r="P96" i="20"/>
  <c r="X96" i="20" s="1"/>
  <c r="W212" i="31"/>
  <c r="Q118" i="20"/>
  <c r="Y118" i="20" s="1"/>
  <c r="N118" i="20"/>
  <c r="R118" i="20"/>
  <c r="Z118" i="20" s="1"/>
  <c r="O118" i="20"/>
  <c r="S118" i="20"/>
  <c r="AA118" i="20" s="1"/>
  <c r="P118" i="20"/>
  <c r="X118" i="20" s="1"/>
  <c r="D118" i="20"/>
  <c r="BC210" i="31"/>
  <c r="BI210" i="31" s="1"/>
  <c r="W211" i="31"/>
  <c r="P255" i="20"/>
  <c r="X255" i="20" s="1"/>
  <c r="N255" i="20"/>
  <c r="S255" i="20"/>
  <c r="AA255" i="20" s="1"/>
  <c r="D255" i="20"/>
  <c r="BC209" i="31"/>
  <c r="BI209" i="31" s="1"/>
  <c r="W210" i="31"/>
  <c r="W255" i="20"/>
  <c r="N97" i="20"/>
  <c r="O97" i="20"/>
  <c r="W97" i="20" s="1"/>
  <c r="S97" i="20"/>
  <c r="AA97" i="20" s="1"/>
  <c r="D97" i="20"/>
  <c r="P97" i="20"/>
  <c r="X97" i="20" s="1"/>
  <c r="Q97" i="20"/>
  <c r="Y97" i="20" s="1"/>
  <c r="R97" i="20"/>
  <c r="Z97" i="20" s="1"/>
  <c r="D62" i="20"/>
  <c r="BC206" i="31"/>
  <c r="BK206" i="31" s="1"/>
  <c r="Q208" i="31"/>
  <c r="Y208" i="31" s="1"/>
  <c r="W209" i="31"/>
  <c r="R62" i="20"/>
  <c r="Z62" i="20" s="1"/>
  <c r="O62" i="20"/>
  <c r="W62" i="20" s="1"/>
  <c r="S62" i="20"/>
  <c r="AA62" i="20" s="1"/>
  <c r="N62" i="20"/>
  <c r="P62" i="20"/>
  <c r="X62" i="20" s="1"/>
  <c r="Q62" i="20"/>
  <c r="Y62" i="20" s="1"/>
  <c r="D79" i="20"/>
  <c r="BC207" i="31"/>
  <c r="BK207" i="31" s="1"/>
  <c r="W208" i="31"/>
  <c r="N79" i="20"/>
  <c r="O79" i="20"/>
  <c r="W79" i="20" s="1"/>
  <c r="S79" i="20"/>
  <c r="AA79" i="20" s="1"/>
  <c r="P79" i="20"/>
  <c r="X79" i="20" s="1"/>
  <c r="Q79" i="20"/>
  <c r="Y79" i="20" s="1"/>
  <c r="R79" i="20"/>
  <c r="Z79" i="20" s="1"/>
  <c r="N54" i="20"/>
  <c r="W207" i="31"/>
  <c r="P54" i="20"/>
  <c r="X54" i="20" s="1"/>
  <c r="D54" i="20"/>
  <c r="Q54" i="20"/>
  <c r="Y54" i="20" s="1"/>
  <c r="R54" i="20"/>
  <c r="Z54" i="20" s="1"/>
  <c r="O54" i="20"/>
  <c r="W54" i="20" s="1"/>
  <c r="S54" i="20"/>
  <c r="AA54" i="20" s="1"/>
  <c r="N111" i="20"/>
  <c r="O205" i="31"/>
  <c r="BC205" i="31" s="1"/>
  <c r="BI205" i="31" s="1"/>
  <c r="D206" i="31"/>
  <c r="W206" i="31"/>
  <c r="D111" i="20"/>
  <c r="R111" i="20"/>
  <c r="Z111" i="20" s="1"/>
  <c r="O111" i="20"/>
  <c r="W111" i="20" s="1"/>
  <c r="S111" i="20"/>
  <c r="AA111" i="20" s="1"/>
  <c r="P111" i="20"/>
  <c r="X111" i="20" s="1"/>
  <c r="Q111" i="20"/>
  <c r="Y111" i="20" s="1"/>
  <c r="N114" i="20"/>
  <c r="BC204" i="31"/>
  <c r="BK204" i="31" s="1"/>
  <c r="D114" i="20"/>
  <c r="O114" i="20"/>
  <c r="W114" i="20" s="1"/>
  <c r="S114" i="20"/>
  <c r="AA114" i="20" s="1"/>
  <c r="P114" i="20"/>
  <c r="X114" i="20" s="1"/>
  <c r="Q114" i="20"/>
  <c r="Y114" i="20" s="1"/>
  <c r="R114" i="20"/>
  <c r="Z114" i="20" s="1"/>
  <c r="D13" i="20"/>
  <c r="BI204" i="31"/>
  <c r="BC203" i="31"/>
  <c r="BK203" i="31" s="1"/>
  <c r="W204" i="31"/>
  <c r="N13" i="20"/>
  <c r="N76" i="20"/>
  <c r="P13" i="20"/>
  <c r="X13" i="20" s="1"/>
  <c r="Q13" i="20"/>
  <c r="Y13" i="20" s="1"/>
  <c r="R13" i="20"/>
  <c r="Z13" i="20" s="1"/>
  <c r="O13" i="20"/>
  <c r="W13" i="20" s="1"/>
  <c r="S13" i="20"/>
  <c r="AA13" i="20" s="1"/>
  <c r="P202" i="31"/>
  <c r="X202" i="31" s="1"/>
  <c r="D203" i="31"/>
  <c r="W203" i="31"/>
  <c r="R76" i="20"/>
  <c r="Z76" i="20" s="1"/>
  <c r="O76" i="20"/>
  <c r="W76" i="20" s="1"/>
  <c r="S76" i="20"/>
  <c r="AA76" i="20" s="1"/>
  <c r="P76" i="20"/>
  <c r="X76" i="20" s="1"/>
  <c r="Q76" i="20"/>
  <c r="Y76" i="20" s="1"/>
  <c r="N25" i="20"/>
  <c r="D76" i="20"/>
  <c r="BC201" i="31"/>
  <c r="BI201" i="31" s="1"/>
  <c r="W202" i="31"/>
  <c r="D25" i="20"/>
  <c r="P25" i="20"/>
  <c r="X25" i="20" s="1"/>
  <c r="Q25" i="20"/>
  <c r="Y25" i="20" s="1"/>
  <c r="R25" i="20"/>
  <c r="Z25" i="20" s="1"/>
  <c r="O25" i="20"/>
  <c r="W25" i="20" s="1"/>
  <c r="S25" i="20"/>
  <c r="AA25" i="20" s="1"/>
  <c r="N43" i="20"/>
  <c r="BC200" i="31"/>
  <c r="BK200" i="31" s="1"/>
  <c r="W201" i="31"/>
  <c r="Q43" i="20"/>
  <c r="Y43" i="20" s="1"/>
  <c r="D43" i="20"/>
  <c r="R43" i="20"/>
  <c r="Z43" i="20" s="1"/>
  <c r="O43" i="20"/>
  <c r="W43" i="20" s="1"/>
  <c r="S43" i="20"/>
  <c r="AA43" i="20" s="1"/>
  <c r="P43" i="20"/>
  <c r="X43" i="20" s="1"/>
  <c r="D57" i="20"/>
  <c r="BC199" i="31"/>
  <c r="BK199" i="31" s="1"/>
  <c r="W200" i="31"/>
  <c r="R57" i="20"/>
  <c r="Z57" i="20" s="1"/>
  <c r="O57" i="20"/>
  <c r="W57" i="20" s="1"/>
  <c r="S57" i="20"/>
  <c r="AA57" i="20" s="1"/>
  <c r="N57" i="20"/>
  <c r="P57" i="20"/>
  <c r="X57" i="20" s="1"/>
  <c r="Q57" i="20"/>
  <c r="Y57" i="20" s="1"/>
  <c r="BI199" i="31"/>
  <c r="BC198" i="31"/>
  <c r="BK198" i="31" s="1"/>
  <c r="W199" i="31"/>
  <c r="N95" i="20"/>
  <c r="D95" i="20"/>
  <c r="Q95" i="20"/>
  <c r="Y95" i="20" s="1"/>
  <c r="R95" i="20"/>
  <c r="Z95" i="20" s="1"/>
  <c r="O95" i="20"/>
  <c r="W95" i="20" s="1"/>
  <c r="S95" i="20"/>
  <c r="AA95" i="20" s="1"/>
  <c r="P95" i="20"/>
  <c r="X95" i="20" s="1"/>
  <c r="BC197" i="31"/>
  <c r="BJ197" i="31" s="1"/>
  <c r="W198" i="31"/>
  <c r="N112" i="20"/>
  <c r="P112" i="20"/>
  <c r="X112" i="20" s="1"/>
  <c r="Q112" i="20"/>
  <c r="Y112" i="20" s="1"/>
  <c r="R112" i="20"/>
  <c r="Z112" i="20" s="1"/>
  <c r="O112" i="20"/>
  <c r="W112" i="20" s="1"/>
  <c r="S112" i="20"/>
  <c r="AA112" i="20" s="1"/>
  <c r="D112" i="20"/>
  <c r="BC196" i="31"/>
  <c r="BI196" i="31" s="1"/>
  <c r="W197" i="31"/>
  <c r="N77" i="20"/>
  <c r="R77" i="20"/>
  <c r="Z77" i="20" s="1"/>
  <c r="D77" i="20"/>
  <c r="O77" i="20"/>
  <c r="W77" i="20" s="1"/>
  <c r="S77" i="20"/>
  <c r="AA77" i="20" s="1"/>
  <c r="P77" i="20"/>
  <c r="X77" i="20" s="1"/>
  <c r="Q77" i="20"/>
  <c r="Y77" i="20" s="1"/>
  <c r="BC195" i="31"/>
  <c r="BI195" i="31" s="1"/>
  <c r="R194" i="31"/>
  <c r="Z194" i="31" s="1"/>
  <c r="W196" i="31"/>
  <c r="D90" i="20"/>
  <c r="Q90" i="20"/>
  <c r="Y90" i="20" s="1"/>
  <c r="R90" i="20"/>
  <c r="Z90" i="20" s="1"/>
  <c r="O90" i="20"/>
  <c r="W90" i="20" s="1"/>
  <c r="S90" i="20"/>
  <c r="AA90" i="20" s="1"/>
  <c r="N90" i="20"/>
  <c r="P90" i="20"/>
  <c r="X90" i="20" s="1"/>
  <c r="W195" i="31"/>
  <c r="N137" i="20"/>
  <c r="Q137" i="20"/>
  <c r="Y137" i="20" s="1"/>
  <c r="R137" i="20"/>
  <c r="Z137" i="20" s="1"/>
  <c r="S137" i="20"/>
  <c r="AA137" i="20" s="1"/>
  <c r="P137" i="20"/>
  <c r="X137" i="20" s="1"/>
  <c r="D137" i="20"/>
  <c r="N40" i="20"/>
  <c r="BC193" i="31"/>
  <c r="BK193" i="31" s="1"/>
  <c r="W194" i="31"/>
  <c r="W137" i="20"/>
  <c r="D40" i="20"/>
  <c r="O40" i="20"/>
  <c r="W40" i="20" s="1"/>
  <c r="S40" i="20"/>
  <c r="AA40" i="20" s="1"/>
  <c r="P40" i="20"/>
  <c r="X40" i="20" s="1"/>
  <c r="Q40" i="20"/>
  <c r="Y40" i="20" s="1"/>
  <c r="R40" i="20"/>
  <c r="Z40" i="20" s="1"/>
  <c r="BC192" i="31"/>
  <c r="BK192" i="31" s="1"/>
  <c r="W193" i="31"/>
  <c r="R124" i="20"/>
  <c r="Z124" i="20" s="1"/>
  <c r="O124" i="20"/>
  <c r="W124" i="20" s="1"/>
  <c r="S124" i="20"/>
  <c r="AA124" i="20" s="1"/>
  <c r="P124" i="20"/>
  <c r="X124" i="20" s="1"/>
  <c r="Q124" i="20"/>
  <c r="Y124" i="20" s="1"/>
  <c r="N124" i="20"/>
  <c r="BI192" i="31"/>
  <c r="P187" i="31"/>
  <c r="X187" i="31" s="1"/>
  <c r="P191" i="31"/>
  <c r="X191" i="31" s="1"/>
  <c r="D192" i="31"/>
  <c r="D124" i="20"/>
  <c r="W192" i="31"/>
  <c r="D89" i="20"/>
  <c r="Q89" i="20"/>
  <c r="Y89" i="20" s="1"/>
  <c r="N89" i="20"/>
  <c r="R89" i="20"/>
  <c r="Z89" i="20" s="1"/>
  <c r="O89" i="20"/>
  <c r="W89" i="20" s="1"/>
  <c r="S89" i="20"/>
  <c r="AA89" i="20" s="1"/>
  <c r="P89" i="20"/>
  <c r="X89" i="20" s="1"/>
  <c r="N69" i="20"/>
  <c r="BC190" i="31"/>
  <c r="BK190" i="31" s="1"/>
  <c r="W191" i="31"/>
  <c r="O69" i="20"/>
  <c r="W69" i="20" s="1"/>
  <c r="S69" i="20"/>
  <c r="AA69" i="20" s="1"/>
  <c r="D69" i="20"/>
  <c r="P69" i="20"/>
  <c r="X69" i="20" s="1"/>
  <c r="Q69" i="20"/>
  <c r="Y69" i="20" s="1"/>
  <c r="R69" i="20"/>
  <c r="Z69" i="20" s="1"/>
  <c r="BC189" i="31"/>
  <c r="BI189" i="31" s="1"/>
  <c r="W190" i="31"/>
  <c r="D34" i="20"/>
  <c r="P33" i="20"/>
  <c r="X33" i="20" s="1"/>
  <c r="N33" i="20"/>
  <c r="Q33" i="20"/>
  <c r="Y33" i="20" s="1"/>
  <c r="R33" i="20"/>
  <c r="Z33" i="20" s="1"/>
  <c r="O33" i="20"/>
  <c r="W33" i="20" s="1"/>
  <c r="S33" i="20"/>
  <c r="AA33" i="20" s="1"/>
  <c r="D33" i="20"/>
  <c r="BC188" i="31"/>
  <c r="BI188" i="31" s="1"/>
  <c r="W189" i="31"/>
  <c r="N34" i="20"/>
  <c r="O34" i="20"/>
  <c r="W34" i="20" s="1"/>
  <c r="S34" i="20"/>
  <c r="AA34" i="20" s="1"/>
  <c r="N19" i="20"/>
  <c r="P34" i="20"/>
  <c r="X34" i="20" s="1"/>
  <c r="Q34" i="20"/>
  <c r="Y34" i="20" s="1"/>
  <c r="R34" i="20"/>
  <c r="Z34" i="20" s="1"/>
  <c r="D44" i="20"/>
  <c r="W188" i="31"/>
  <c r="D19" i="20"/>
  <c r="P19" i="20"/>
  <c r="X19" i="20" s="1"/>
  <c r="Q19" i="20"/>
  <c r="Y19" i="20" s="1"/>
  <c r="R19" i="20"/>
  <c r="Z19" i="20" s="1"/>
  <c r="O19" i="20"/>
  <c r="W19" i="20" s="1"/>
  <c r="S19" i="20"/>
  <c r="AA19" i="20" s="1"/>
  <c r="O186" i="31"/>
  <c r="BC186" i="31" s="1"/>
  <c r="BK186" i="31" s="1"/>
  <c r="D187" i="31"/>
  <c r="W187" i="31"/>
  <c r="N44" i="20"/>
  <c r="Q44" i="20"/>
  <c r="Y44" i="20" s="1"/>
  <c r="R44" i="20"/>
  <c r="Z44" i="20" s="1"/>
  <c r="O44" i="20"/>
  <c r="W44" i="20" s="1"/>
  <c r="S44" i="20"/>
  <c r="AA44" i="20" s="1"/>
  <c r="P44" i="20"/>
  <c r="X44" i="20" s="1"/>
  <c r="D51" i="20"/>
  <c r="BC185" i="31"/>
  <c r="BJ185" i="31" s="1"/>
  <c r="N51" i="20"/>
  <c r="R51" i="20"/>
  <c r="Z51" i="20" s="1"/>
  <c r="O51" i="20"/>
  <c r="W51" i="20" s="1"/>
  <c r="S51" i="20"/>
  <c r="AA51" i="20" s="1"/>
  <c r="P51" i="20"/>
  <c r="X51" i="20" s="1"/>
  <c r="Q51" i="20"/>
  <c r="Y51" i="20" s="1"/>
  <c r="D55" i="20"/>
  <c r="BK185" i="31"/>
  <c r="BC184" i="31"/>
  <c r="BK184" i="31" s="1"/>
  <c r="W185" i="31"/>
  <c r="R55" i="20"/>
  <c r="Z55" i="20" s="1"/>
  <c r="O55" i="20"/>
  <c r="W55" i="20" s="1"/>
  <c r="S55" i="20"/>
  <c r="AA55" i="20" s="1"/>
  <c r="N55" i="20"/>
  <c r="P55" i="20"/>
  <c r="X55" i="20" s="1"/>
  <c r="Q55" i="20"/>
  <c r="Y55" i="20" s="1"/>
  <c r="BC183" i="31"/>
  <c r="W184" i="31"/>
  <c r="D98" i="20"/>
  <c r="O98" i="20"/>
  <c r="W98" i="20" s="1"/>
  <c r="S98" i="20"/>
  <c r="AA98" i="20" s="1"/>
  <c r="P98" i="20"/>
  <c r="X98" i="20" s="1"/>
  <c r="Q98" i="20"/>
  <c r="Y98" i="20" s="1"/>
  <c r="R98" i="20"/>
  <c r="Z98" i="20" s="1"/>
  <c r="N104" i="20"/>
  <c r="N98" i="20"/>
  <c r="O182" i="31"/>
  <c r="BC182" i="31" s="1"/>
  <c r="W183" i="31"/>
  <c r="D104" i="20"/>
  <c r="R104" i="20"/>
  <c r="Z104" i="20" s="1"/>
  <c r="N52" i="20"/>
  <c r="O104" i="20"/>
  <c r="W104" i="20" s="1"/>
  <c r="S104" i="20"/>
  <c r="AA104" i="20" s="1"/>
  <c r="P104" i="20"/>
  <c r="X104" i="20" s="1"/>
  <c r="Q104" i="20"/>
  <c r="Y104" i="20" s="1"/>
  <c r="BC181" i="31"/>
  <c r="BK181" i="31" s="1"/>
  <c r="D52" i="20"/>
  <c r="O52" i="20"/>
  <c r="W52" i="20" s="1"/>
  <c r="S52" i="20"/>
  <c r="AA52" i="20" s="1"/>
  <c r="P52" i="20"/>
  <c r="X52" i="20" s="1"/>
  <c r="Q52" i="20"/>
  <c r="Y52" i="20" s="1"/>
  <c r="R52" i="20"/>
  <c r="Z52" i="20" s="1"/>
  <c r="N27" i="20"/>
  <c r="BI181" i="31"/>
  <c r="BC180" i="31"/>
  <c r="BK180" i="31" s="1"/>
  <c r="W181" i="31"/>
  <c r="D27" i="20"/>
  <c r="P27" i="20"/>
  <c r="X27" i="20" s="1"/>
  <c r="Q27" i="20"/>
  <c r="Y27" i="20" s="1"/>
  <c r="R27" i="20"/>
  <c r="Z27" i="20" s="1"/>
  <c r="O27" i="20"/>
  <c r="S27" i="20"/>
  <c r="AA27" i="20" s="1"/>
  <c r="BC179" i="31"/>
  <c r="BJ179" i="31" s="1"/>
  <c r="W180" i="31"/>
  <c r="W27" i="20"/>
  <c r="O16" i="20"/>
  <c r="W16" i="20" s="1"/>
  <c r="S16" i="20"/>
  <c r="AA16" i="20" s="1"/>
  <c r="P16" i="20"/>
  <c r="X16" i="20" s="1"/>
  <c r="N16" i="20"/>
  <c r="Q16" i="20"/>
  <c r="Y16" i="20" s="1"/>
  <c r="R16" i="20"/>
  <c r="Z16" i="20" s="1"/>
  <c r="D30" i="20"/>
  <c r="BC177" i="31"/>
  <c r="BI177" i="31" s="1"/>
  <c r="P178" i="31"/>
  <c r="X178" i="31" s="1"/>
  <c r="D179" i="31"/>
  <c r="D16" i="20"/>
  <c r="W179" i="31"/>
  <c r="P30" i="20"/>
  <c r="X30" i="20" s="1"/>
  <c r="Q30" i="20"/>
  <c r="Y30" i="20" s="1"/>
  <c r="R30" i="20"/>
  <c r="Z30" i="20" s="1"/>
  <c r="N30" i="20"/>
  <c r="O30" i="20"/>
  <c r="W30" i="20" s="1"/>
  <c r="S30" i="20"/>
  <c r="AA30" i="20" s="1"/>
  <c r="W178" i="31"/>
  <c r="BJ177" i="31"/>
  <c r="BC174" i="31"/>
  <c r="BI174" i="31" s="1"/>
  <c r="O176" i="31"/>
  <c r="BC176" i="31" s="1"/>
  <c r="BK176" i="31" s="1"/>
  <c r="D177" i="31"/>
  <c r="W177" i="31"/>
  <c r="N14" i="20"/>
  <c r="Q41" i="20"/>
  <c r="Y41" i="20" s="1"/>
  <c r="R41" i="20"/>
  <c r="Z41" i="20" s="1"/>
  <c r="N41" i="20"/>
  <c r="O41" i="20"/>
  <c r="S41" i="20"/>
  <c r="AA41" i="20" s="1"/>
  <c r="P41" i="20"/>
  <c r="X41" i="20" s="1"/>
  <c r="D158" i="20"/>
  <c r="BC175" i="31"/>
  <c r="BJ175" i="31" s="1"/>
  <c r="BC173" i="31"/>
  <c r="BI173" i="31" s="1"/>
  <c r="D176" i="31"/>
  <c r="D41" i="20"/>
  <c r="D14" i="20"/>
  <c r="P14" i="20"/>
  <c r="X14" i="20" s="1"/>
  <c r="Q14" i="20"/>
  <c r="Y14" i="20" s="1"/>
  <c r="R14" i="20"/>
  <c r="Z14" i="20" s="1"/>
  <c r="O14" i="20"/>
  <c r="W14" i="20" s="1"/>
  <c r="S14" i="20"/>
  <c r="AA14" i="20" s="1"/>
  <c r="W175" i="31"/>
  <c r="Q158" i="20"/>
  <c r="Y158" i="20" s="1"/>
  <c r="N158" i="20"/>
  <c r="P158" i="20"/>
  <c r="X158" i="20" s="1"/>
  <c r="S158" i="20"/>
  <c r="AA158" i="20" s="1"/>
  <c r="W174" i="31"/>
  <c r="W158" i="20"/>
  <c r="BC172" i="31"/>
  <c r="BK172" i="31" s="1"/>
  <c r="W173" i="31"/>
  <c r="S146" i="20"/>
  <c r="AA146" i="20" s="1"/>
  <c r="D146" i="20"/>
  <c r="P146" i="20"/>
  <c r="X146" i="20" s="1"/>
  <c r="Q146" i="20"/>
  <c r="Y146" i="20" s="1"/>
  <c r="N5" i="20"/>
  <c r="N146" i="20"/>
  <c r="BC171" i="31"/>
  <c r="BI171" i="31" s="1"/>
  <c r="W172" i="31"/>
  <c r="W146" i="20"/>
  <c r="D5" i="20"/>
  <c r="P5" i="20"/>
  <c r="X5" i="20" s="1"/>
  <c r="Q5" i="20"/>
  <c r="Y5" i="20" s="1"/>
  <c r="R5" i="20"/>
  <c r="Z5" i="20" s="1"/>
  <c r="O5" i="20"/>
  <c r="W5" i="20" s="1"/>
  <c r="S5" i="20"/>
  <c r="AA5" i="20" s="1"/>
  <c r="N17" i="20"/>
  <c r="BC170" i="31"/>
  <c r="BK170" i="31" s="1"/>
  <c r="W171" i="31"/>
  <c r="D17" i="20"/>
  <c r="Q17" i="20"/>
  <c r="Y17" i="20" s="1"/>
  <c r="R17" i="20"/>
  <c r="Z17" i="20" s="1"/>
  <c r="O17" i="20"/>
  <c r="W17" i="20" s="1"/>
  <c r="S17" i="20"/>
  <c r="AA17" i="20" s="1"/>
  <c r="P17" i="20"/>
  <c r="X17" i="20" s="1"/>
  <c r="BC169" i="31"/>
  <c r="BI169" i="31" s="1"/>
  <c r="W170" i="31"/>
  <c r="D3" i="20"/>
  <c r="N18" i="20"/>
  <c r="Q18" i="20"/>
  <c r="Y18" i="20" s="1"/>
  <c r="P18" i="20"/>
  <c r="X18" i="20" s="1"/>
  <c r="R18" i="20"/>
  <c r="Z18" i="20" s="1"/>
  <c r="O18" i="20"/>
  <c r="S18" i="20"/>
  <c r="AA18" i="20" s="1"/>
  <c r="P164" i="31"/>
  <c r="X164" i="31" s="1"/>
  <c r="P162" i="31"/>
  <c r="X162" i="31" s="1"/>
  <c r="P167" i="31"/>
  <c r="X167" i="31" s="1"/>
  <c r="N3" i="20"/>
  <c r="D169" i="31"/>
  <c r="D18" i="20"/>
  <c r="P155" i="31"/>
  <c r="X155" i="31" s="1"/>
  <c r="P165" i="31"/>
  <c r="X165" i="31" s="1"/>
  <c r="BC166" i="31"/>
  <c r="BK166" i="31" s="1"/>
  <c r="BC168" i="31"/>
  <c r="BK168" i="31" s="1"/>
  <c r="W169" i="31"/>
  <c r="R3" i="20"/>
  <c r="O3" i="20"/>
  <c r="S3" i="20"/>
  <c r="P3" i="20"/>
  <c r="Q3" i="20"/>
  <c r="W168" i="31"/>
  <c r="N198" i="20"/>
  <c r="P198" i="20"/>
  <c r="X198" i="20" s="1"/>
  <c r="Q198" i="20"/>
  <c r="Y198" i="20" s="1"/>
  <c r="R198" i="20"/>
  <c r="Z198" i="20" s="1"/>
  <c r="O198" i="20"/>
  <c r="W198" i="20" s="1"/>
  <c r="D198" i="20"/>
  <c r="N122" i="20"/>
  <c r="W167" i="31"/>
  <c r="B64" i="20"/>
  <c r="B166" i="31"/>
  <c r="Y291" i="38"/>
  <c r="Z291" i="38" s="1"/>
  <c r="B147" i="20"/>
  <c r="D122" i="20"/>
  <c r="N190" i="20"/>
  <c r="P122" i="20"/>
  <c r="X122" i="20" s="1"/>
  <c r="Q122" i="20"/>
  <c r="Y122" i="20" s="1"/>
  <c r="R122" i="20"/>
  <c r="Z122" i="20" s="1"/>
  <c r="O122" i="20"/>
  <c r="W122" i="20" s="1"/>
  <c r="S122" i="20"/>
  <c r="AA122" i="20" s="1"/>
  <c r="D190" i="20"/>
  <c r="N78" i="20"/>
  <c r="W166" i="31"/>
  <c r="Q190" i="20"/>
  <c r="Y190" i="20" s="1"/>
  <c r="S190" i="20"/>
  <c r="AA190" i="20" s="1"/>
  <c r="P190" i="20"/>
  <c r="X190" i="20" s="1"/>
  <c r="D199" i="20"/>
  <c r="W165" i="31"/>
  <c r="W190" i="20"/>
  <c r="Q199" i="20"/>
  <c r="Y199" i="20" s="1"/>
  <c r="N199" i="20"/>
  <c r="S199" i="20"/>
  <c r="AA199" i="20" s="1"/>
  <c r="P199" i="20"/>
  <c r="X199" i="20" s="1"/>
  <c r="P163" i="31"/>
  <c r="X163" i="31" s="1"/>
  <c r="D164" i="31"/>
  <c r="N164" i="31"/>
  <c r="R162" i="31"/>
  <c r="Z162" i="31" s="1"/>
  <c r="W164" i="31"/>
  <c r="W199" i="20"/>
  <c r="Q78" i="20"/>
  <c r="Y78" i="20" s="1"/>
  <c r="D78" i="20"/>
  <c r="R78" i="20"/>
  <c r="Z78" i="20" s="1"/>
  <c r="O78" i="20"/>
  <c r="W78" i="20" s="1"/>
  <c r="S78" i="20"/>
  <c r="AA78" i="20" s="1"/>
  <c r="P78" i="20"/>
  <c r="X78" i="20" s="1"/>
  <c r="D109" i="20"/>
  <c r="W163" i="31"/>
  <c r="P109" i="20"/>
  <c r="X109" i="20" s="1"/>
  <c r="N109" i="20"/>
  <c r="Q109" i="20"/>
  <c r="Y109" i="20" s="1"/>
  <c r="R109" i="20"/>
  <c r="Z109" i="20" s="1"/>
  <c r="O109" i="20"/>
  <c r="W109" i="20" s="1"/>
  <c r="S109" i="20"/>
  <c r="AA109" i="20" s="1"/>
  <c r="BC161" i="31"/>
  <c r="BI161" i="31" s="1"/>
  <c r="W162" i="31"/>
  <c r="O60" i="20"/>
  <c r="W60" i="20" s="1"/>
  <c r="S60" i="20"/>
  <c r="AA60" i="20" s="1"/>
  <c r="D45" i="20"/>
  <c r="P60" i="20"/>
  <c r="X60" i="20" s="1"/>
  <c r="Q60" i="20"/>
  <c r="Y60" i="20" s="1"/>
  <c r="R60" i="20"/>
  <c r="Z60" i="20" s="1"/>
  <c r="N60" i="20"/>
  <c r="N105" i="20"/>
  <c r="P147" i="31"/>
  <c r="X147" i="31" s="1"/>
  <c r="P154" i="31"/>
  <c r="X154" i="31" s="1"/>
  <c r="P160" i="31"/>
  <c r="X160" i="31" s="1"/>
  <c r="D161" i="31"/>
  <c r="D60" i="20"/>
  <c r="P152" i="31"/>
  <c r="X152" i="31" s="1"/>
  <c r="P153" i="31"/>
  <c r="X153" i="31" s="1"/>
  <c r="P156" i="31"/>
  <c r="X156" i="31" s="1"/>
  <c r="P158" i="31"/>
  <c r="X158" i="31" s="1"/>
  <c r="P157" i="31"/>
  <c r="X157" i="31" s="1"/>
  <c r="P159" i="31"/>
  <c r="X159" i="31" s="1"/>
  <c r="N161" i="31"/>
  <c r="W161" i="31"/>
  <c r="D105" i="20"/>
  <c r="Q105" i="20"/>
  <c r="Y105" i="20" s="1"/>
  <c r="R105" i="20"/>
  <c r="Z105" i="20" s="1"/>
  <c r="O105" i="20"/>
  <c r="W105" i="20" s="1"/>
  <c r="S105" i="20"/>
  <c r="AA105" i="20" s="1"/>
  <c r="P105" i="20"/>
  <c r="X105" i="20" s="1"/>
  <c r="N45" i="20"/>
  <c r="W160" i="31"/>
  <c r="N155" i="20"/>
  <c r="O45" i="20"/>
  <c r="W45" i="20" s="1"/>
  <c r="S45" i="20"/>
  <c r="AA45" i="20" s="1"/>
  <c r="P45" i="20"/>
  <c r="X45" i="20" s="1"/>
  <c r="Q45" i="20"/>
  <c r="Y45" i="20" s="1"/>
  <c r="R45" i="20"/>
  <c r="Z45" i="20" s="1"/>
  <c r="N144" i="20"/>
  <c r="W159" i="31"/>
  <c r="S144" i="20"/>
  <c r="AA144" i="20" s="1"/>
  <c r="P144" i="20"/>
  <c r="X144" i="20" s="1"/>
  <c r="D155" i="20"/>
  <c r="Q144" i="20"/>
  <c r="Y144" i="20" s="1"/>
  <c r="D158" i="31"/>
  <c r="D144" i="20"/>
  <c r="BC156" i="31"/>
  <c r="BJ156" i="31" s="1"/>
  <c r="W158" i="31"/>
  <c r="W144" i="20"/>
  <c r="S155" i="20"/>
  <c r="AA155" i="20" s="1"/>
  <c r="P155" i="20"/>
  <c r="X155" i="20" s="1"/>
  <c r="Q155" i="20"/>
  <c r="Y155" i="20" s="1"/>
  <c r="W157" i="31"/>
  <c r="W155" i="20"/>
  <c r="N68" i="20"/>
  <c r="P68" i="20"/>
  <c r="X68" i="20" s="1"/>
  <c r="Q68" i="20"/>
  <c r="Y68" i="20" s="1"/>
  <c r="R68" i="20"/>
  <c r="Z68" i="20" s="1"/>
  <c r="O68" i="20"/>
  <c r="W68" i="20" s="1"/>
  <c r="S68" i="20"/>
  <c r="AA68" i="20" s="1"/>
  <c r="D36" i="20"/>
  <c r="D68" i="20"/>
  <c r="BK156" i="31"/>
  <c r="W156" i="31"/>
  <c r="N36" i="20"/>
  <c r="P36" i="20"/>
  <c r="X36" i="20" s="1"/>
  <c r="D7" i="20"/>
  <c r="Q36" i="20"/>
  <c r="Y36" i="20" s="1"/>
  <c r="R36" i="20"/>
  <c r="Z36" i="20" s="1"/>
  <c r="O36" i="20"/>
  <c r="W36" i="20" s="1"/>
  <c r="S36" i="20"/>
  <c r="AA36" i="20" s="1"/>
  <c r="W155" i="31"/>
  <c r="N7" i="20"/>
  <c r="R7" i="20"/>
  <c r="Z7" i="20" s="1"/>
  <c r="O7" i="20"/>
  <c r="W7" i="20" s="1"/>
  <c r="S7" i="20"/>
  <c r="AA7" i="20" s="1"/>
  <c r="P7" i="20"/>
  <c r="X7" i="20" s="1"/>
  <c r="Q7" i="20"/>
  <c r="Y7" i="20" s="1"/>
  <c r="N251" i="20"/>
  <c r="N63" i="20"/>
  <c r="W154" i="31"/>
  <c r="D63" i="20"/>
  <c r="O63" i="20"/>
  <c r="W63" i="20" s="1"/>
  <c r="S63" i="20"/>
  <c r="AA63" i="20" s="1"/>
  <c r="P63" i="20"/>
  <c r="X63" i="20" s="1"/>
  <c r="Q63" i="20"/>
  <c r="Y63" i="20" s="1"/>
  <c r="R63" i="20"/>
  <c r="Z63" i="20" s="1"/>
  <c r="W153" i="31"/>
  <c r="D251" i="20"/>
  <c r="D93" i="20"/>
  <c r="S251" i="20"/>
  <c r="AA251" i="20" s="1"/>
  <c r="P251" i="20"/>
  <c r="X251" i="20" s="1"/>
  <c r="BC151" i="31"/>
  <c r="BK151" i="31" s="1"/>
  <c r="W152" i="31"/>
  <c r="W251" i="20"/>
  <c r="R93" i="20"/>
  <c r="Z93" i="20" s="1"/>
  <c r="O93" i="20"/>
  <c r="W93" i="20" s="1"/>
  <c r="S93" i="20"/>
  <c r="AA93" i="20" s="1"/>
  <c r="N93" i="20"/>
  <c r="P93" i="20"/>
  <c r="X93" i="20" s="1"/>
  <c r="Q93" i="20"/>
  <c r="Y93" i="20" s="1"/>
  <c r="BC150" i="31"/>
  <c r="BJ150" i="31" s="1"/>
  <c r="W151" i="31"/>
  <c r="P192" i="20"/>
  <c r="X192" i="20" s="1"/>
  <c r="Q192" i="20"/>
  <c r="Y192" i="20" s="1"/>
  <c r="N217" i="20"/>
  <c r="S192" i="20"/>
  <c r="AA192" i="20" s="1"/>
  <c r="N242" i="20"/>
  <c r="D217" i="20"/>
  <c r="N192" i="20"/>
  <c r="O146" i="31"/>
  <c r="W146" i="31" s="1"/>
  <c r="S146" i="31"/>
  <c r="AA146" i="31" s="1"/>
  <c r="P148" i="31"/>
  <c r="X148" i="31" s="1"/>
  <c r="BC149" i="31"/>
  <c r="BJ149" i="31" s="1"/>
  <c r="D150" i="31"/>
  <c r="D192" i="20"/>
  <c r="W150" i="31"/>
  <c r="W192" i="20"/>
  <c r="S217" i="20"/>
  <c r="AA217" i="20" s="1"/>
  <c r="N241" i="20"/>
  <c r="D242" i="20"/>
  <c r="P217" i="20"/>
  <c r="X217" i="20" s="1"/>
  <c r="Q217" i="20"/>
  <c r="Y217" i="20" s="1"/>
  <c r="W149" i="31"/>
  <c r="W217" i="20"/>
  <c r="Q242" i="20"/>
  <c r="Y242" i="20" s="1"/>
  <c r="S242" i="20"/>
  <c r="AA242" i="20" s="1"/>
  <c r="P242" i="20"/>
  <c r="X242" i="20" s="1"/>
  <c r="W148" i="31"/>
  <c r="W242" i="20"/>
  <c r="D241" i="20"/>
  <c r="P241" i="20"/>
  <c r="X241" i="20" s="1"/>
  <c r="Q241" i="20"/>
  <c r="Y241" i="20" s="1"/>
  <c r="S241" i="20"/>
  <c r="AA241" i="20" s="1"/>
  <c r="W147" i="31"/>
  <c r="W241" i="20"/>
  <c r="R82" i="20"/>
  <c r="Z82" i="20" s="1"/>
  <c r="O82" i="20"/>
  <c r="W82" i="20" s="1"/>
  <c r="S82" i="20"/>
  <c r="AA82" i="20" s="1"/>
  <c r="N82" i="20"/>
  <c r="P82" i="20"/>
  <c r="X82" i="20" s="1"/>
  <c r="Q82" i="20"/>
  <c r="Y82" i="20" s="1"/>
  <c r="N83" i="20"/>
  <c r="D82" i="20"/>
  <c r="BC145" i="31"/>
  <c r="BK145" i="31" s="1"/>
  <c r="D83" i="20"/>
  <c r="R83" i="20"/>
  <c r="Z83" i="20" s="1"/>
  <c r="O83" i="20"/>
  <c r="W83" i="20" s="1"/>
  <c r="S83" i="20"/>
  <c r="AA83" i="20" s="1"/>
  <c r="P83" i="20"/>
  <c r="X83" i="20" s="1"/>
  <c r="Q83" i="20"/>
  <c r="Y83" i="20" s="1"/>
  <c r="BC144" i="31"/>
  <c r="BJ144" i="31" s="1"/>
  <c r="W145" i="31"/>
  <c r="N39" i="20"/>
  <c r="Q101" i="20"/>
  <c r="Y101" i="20" s="1"/>
  <c r="R101" i="20"/>
  <c r="Z101" i="20" s="1"/>
  <c r="N101" i="20"/>
  <c r="O101" i="20"/>
  <c r="W101" i="20" s="1"/>
  <c r="S101" i="20"/>
  <c r="AA101" i="20" s="1"/>
  <c r="P101" i="20"/>
  <c r="X101" i="20" s="1"/>
  <c r="P139" i="31"/>
  <c r="X139" i="31" s="1"/>
  <c r="P143" i="31"/>
  <c r="X143" i="31" s="1"/>
  <c r="D144" i="31"/>
  <c r="D101" i="20"/>
  <c r="BC141" i="31"/>
  <c r="BJ141" i="31" s="1"/>
  <c r="P142" i="31"/>
  <c r="X142" i="31" s="1"/>
  <c r="N144" i="31"/>
  <c r="W144" i="31"/>
  <c r="D39" i="20"/>
  <c r="R39" i="20"/>
  <c r="Z39" i="20" s="1"/>
  <c r="O39" i="20"/>
  <c r="W39" i="20" s="1"/>
  <c r="S39" i="20"/>
  <c r="AA39" i="20" s="1"/>
  <c r="P39" i="20"/>
  <c r="X39" i="20" s="1"/>
  <c r="Q39" i="20"/>
  <c r="Y39" i="20" s="1"/>
  <c r="D24" i="20"/>
  <c r="W143" i="31"/>
  <c r="Q24" i="20"/>
  <c r="Y24" i="20" s="1"/>
  <c r="R24" i="20"/>
  <c r="Z24" i="20" s="1"/>
  <c r="O24" i="20"/>
  <c r="W24" i="20" s="1"/>
  <c r="S24" i="20"/>
  <c r="AA24" i="20" s="1"/>
  <c r="P24" i="20"/>
  <c r="X24" i="20" s="1"/>
  <c r="N204" i="20"/>
  <c r="N24" i="20"/>
  <c r="BC140" i="31"/>
  <c r="BI140" i="31" s="1"/>
  <c r="W142" i="31"/>
  <c r="D204" i="20"/>
  <c r="Q204" i="20"/>
  <c r="Y204" i="20" s="1"/>
  <c r="S204" i="20"/>
  <c r="AA204" i="20" s="1"/>
  <c r="P204" i="20"/>
  <c r="X204" i="20" s="1"/>
  <c r="N10" i="20"/>
  <c r="W141" i="31"/>
  <c r="W204" i="20"/>
  <c r="P10" i="20"/>
  <c r="X10" i="20" s="1"/>
  <c r="D10" i="20"/>
  <c r="Q10" i="20"/>
  <c r="Y10" i="20" s="1"/>
  <c r="R10" i="20"/>
  <c r="Z10" i="20" s="1"/>
  <c r="O10" i="20"/>
  <c r="W10" i="20" s="1"/>
  <c r="S10" i="20"/>
  <c r="AA10" i="20" s="1"/>
  <c r="D47" i="20"/>
  <c r="W140" i="31"/>
  <c r="R47" i="20"/>
  <c r="Z47" i="20" s="1"/>
  <c r="O47" i="20"/>
  <c r="W47" i="20" s="1"/>
  <c r="S47" i="20"/>
  <c r="AA47" i="20" s="1"/>
  <c r="N47" i="20"/>
  <c r="P47" i="20"/>
  <c r="X47" i="20" s="1"/>
  <c r="Q47" i="20"/>
  <c r="Y47" i="20" s="1"/>
  <c r="N53" i="20"/>
  <c r="BC138" i="31"/>
  <c r="BK138" i="31" s="1"/>
  <c r="W139" i="31"/>
  <c r="D53" i="20"/>
  <c r="P53" i="20"/>
  <c r="X53" i="20" s="1"/>
  <c r="Q53" i="20"/>
  <c r="Y53" i="20" s="1"/>
  <c r="R53" i="20"/>
  <c r="Z53" i="20" s="1"/>
  <c r="O53" i="20"/>
  <c r="W53" i="20" s="1"/>
  <c r="S53" i="20"/>
  <c r="AA53" i="20" s="1"/>
  <c r="BI138" i="31"/>
  <c r="BC137" i="31"/>
  <c r="W138" i="31"/>
  <c r="D38" i="20"/>
  <c r="P38" i="20"/>
  <c r="X38" i="20" s="1"/>
  <c r="Q38" i="20"/>
  <c r="Y38" i="20" s="1"/>
  <c r="R38" i="20"/>
  <c r="Z38" i="20" s="1"/>
  <c r="N38" i="20"/>
  <c r="O38" i="20"/>
  <c r="W38" i="20" s="1"/>
  <c r="S38" i="20"/>
  <c r="AA38" i="20" s="1"/>
  <c r="N67" i="20"/>
  <c r="D120" i="20"/>
  <c r="BC136" i="31"/>
  <c r="BK136" i="31" s="1"/>
  <c r="W137" i="31"/>
  <c r="Q120" i="20"/>
  <c r="Y120" i="20" s="1"/>
  <c r="R120" i="20"/>
  <c r="Z120" i="20" s="1"/>
  <c r="O120" i="20"/>
  <c r="W120" i="20" s="1"/>
  <c r="S120" i="20"/>
  <c r="AA120" i="20" s="1"/>
  <c r="N120" i="20"/>
  <c r="P120" i="20"/>
  <c r="X120" i="20" s="1"/>
  <c r="BC135" i="31"/>
  <c r="W136" i="31"/>
  <c r="Q67" i="20"/>
  <c r="Y67" i="20" s="1"/>
  <c r="R67" i="20"/>
  <c r="Z67" i="20" s="1"/>
  <c r="O67" i="20"/>
  <c r="W67" i="20" s="1"/>
  <c r="S67" i="20"/>
  <c r="AA67" i="20" s="1"/>
  <c r="P67" i="20"/>
  <c r="X67" i="20" s="1"/>
  <c r="D56" i="20"/>
  <c r="D67" i="20"/>
  <c r="P134" i="31"/>
  <c r="X134" i="31" s="1"/>
  <c r="W135" i="31"/>
  <c r="Q56" i="20"/>
  <c r="Y56" i="20" s="1"/>
  <c r="R56" i="20"/>
  <c r="Z56" i="20" s="1"/>
  <c r="N56" i="20"/>
  <c r="O56" i="20"/>
  <c r="W56" i="20" s="1"/>
  <c r="S56" i="20"/>
  <c r="AA56" i="20" s="1"/>
  <c r="P56" i="20"/>
  <c r="X56" i="20" s="1"/>
  <c r="D74" i="20"/>
  <c r="BC133" i="31"/>
  <c r="BI133" i="31" s="1"/>
  <c r="W134" i="31"/>
  <c r="R74" i="20"/>
  <c r="Z74" i="20" s="1"/>
  <c r="O74" i="20"/>
  <c r="W74" i="20" s="1"/>
  <c r="S74" i="20"/>
  <c r="AA74" i="20" s="1"/>
  <c r="N74" i="20"/>
  <c r="P74" i="20"/>
  <c r="X74" i="20" s="1"/>
  <c r="Q74" i="20"/>
  <c r="Y74" i="20" s="1"/>
  <c r="N64" i="20"/>
  <c r="BC132" i="31"/>
  <c r="BI132" i="31" s="1"/>
  <c r="W133" i="31"/>
  <c r="D64" i="20"/>
  <c r="Q64" i="20"/>
  <c r="Y64" i="20" s="1"/>
  <c r="R64" i="20"/>
  <c r="Z64" i="20" s="1"/>
  <c r="O64" i="20"/>
  <c r="W64" i="20" s="1"/>
  <c r="S64" i="20"/>
  <c r="AA64" i="20" s="1"/>
  <c r="P64" i="20"/>
  <c r="X64" i="20" s="1"/>
  <c r="D180" i="20"/>
  <c r="BC130" i="31"/>
  <c r="BK130" i="31" s="1"/>
  <c r="BC131" i="31"/>
  <c r="BK131" i="31" s="1"/>
  <c r="W132" i="31"/>
  <c r="D42" i="20"/>
  <c r="O42" i="20"/>
  <c r="W42" i="20" s="1"/>
  <c r="S42" i="20"/>
  <c r="AA42" i="20" s="1"/>
  <c r="N42" i="20"/>
  <c r="P42" i="20"/>
  <c r="X42" i="20" s="1"/>
  <c r="Q42" i="20"/>
  <c r="Y42" i="20" s="1"/>
  <c r="R42" i="20"/>
  <c r="Z42" i="20" s="1"/>
  <c r="W131" i="31"/>
  <c r="N180" i="20"/>
  <c r="S180" i="20"/>
  <c r="AA180" i="20" s="1"/>
  <c r="P180" i="20"/>
  <c r="X180" i="20" s="1"/>
  <c r="Q180" i="20"/>
  <c r="Y180" i="20" s="1"/>
  <c r="N205" i="20"/>
  <c r="D205" i="20"/>
  <c r="BC128" i="31"/>
  <c r="BI128" i="31" s="1"/>
  <c r="BC129" i="31"/>
  <c r="BK129" i="31" s="1"/>
  <c r="W130" i="31"/>
  <c r="W180" i="20"/>
  <c r="D224" i="20"/>
  <c r="D200" i="20"/>
  <c r="N200" i="20"/>
  <c r="Q200" i="20"/>
  <c r="Y200" i="20" s="1"/>
  <c r="S200" i="20"/>
  <c r="AA200" i="20" s="1"/>
  <c r="P200" i="20"/>
  <c r="X200" i="20" s="1"/>
  <c r="W129" i="31"/>
  <c r="W200" i="20"/>
  <c r="Q205" i="20"/>
  <c r="Y205" i="20" s="1"/>
  <c r="S205" i="20"/>
  <c r="AA205" i="20" s="1"/>
  <c r="P205" i="20"/>
  <c r="X205" i="20" s="1"/>
  <c r="N224" i="20"/>
  <c r="BK128" i="31"/>
  <c r="BC127" i="31"/>
  <c r="BJ127" i="31" s="1"/>
  <c r="W128" i="31"/>
  <c r="W205" i="20"/>
  <c r="S224" i="20"/>
  <c r="AA224" i="20" s="1"/>
  <c r="P224" i="20"/>
  <c r="X224" i="20" s="1"/>
  <c r="Q224" i="20"/>
  <c r="Y224" i="20" s="1"/>
  <c r="N245" i="20"/>
  <c r="D245" i="20"/>
  <c r="BK127" i="31"/>
  <c r="BC126" i="31"/>
  <c r="BJ126" i="31" s="1"/>
  <c r="BC125" i="31"/>
  <c r="BK125" i="31" s="1"/>
  <c r="W127" i="31"/>
  <c r="W224" i="20"/>
  <c r="D259" i="20"/>
  <c r="P245" i="20"/>
  <c r="X245" i="20" s="1"/>
  <c r="Q245" i="20"/>
  <c r="Y245" i="20" s="1"/>
  <c r="D126" i="31"/>
  <c r="W126" i="31"/>
  <c r="W245" i="20"/>
  <c r="O259" i="20"/>
  <c r="W259" i="20" s="1"/>
  <c r="N259" i="20"/>
  <c r="BC124" i="31"/>
  <c r="BJ124" i="31" s="1"/>
  <c r="W125" i="31"/>
  <c r="P202" i="20"/>
  <c r="X202" i="20" s="1"/>
  <c r="Q202" i="20"/>
  <c r="Y202" i="20" s="1"/>
  <c r="D21" i="20"/>
  <c r="S202" i="20"/>
  <c r="AA202" i="20" s="1"/>
  <c r="N202" i="20"/>
  <c r="R123" i="31"/>
  <c r="Z123" i="31" s="1"/>
  <c r="D202" i="20"/>
  <c r="W124" i="31"/>
  <c r="W202" i="20"/>
  <c r="B6" i="20"/>
  <c r="Q21" i="20"/>
  <c r="Y21" i="20" s="1"/>
  <c r="R21" i="20"/>
  <c r="Z21" i="20" s="1"/>
  <c r="N21" i="20"/>
  <c r="O21" i="20"/>
  <c r="W21" i="20" s="1"/>
  <c r="S21" i="20"/>
  <c r="AA21" i="20" s="1"/>
  <c r="P21" i="20"/>
  <c r="X21" i="20" s="1"/>
  <c r="D220" i="20"/>
  <c r="D110" i="20"/>
  <c r="BC122" i="31"/>
  <c r="BI122" i="31" s="1"/>
  <c r="W123" i="31"/>
  <c r="P110" i="20"/>
  <c r="X110" i="20" s="1"/>
  <c r="N110" i="20"/>
  <c r="Q110" i="20"/>
  <c r="Y110" i="20" s="1"/>
  <c r="R110" i="20"/>
  <c r="Z110" i="20" s="1"/>
  <c r="O110" i="20"/>
  <c r="W110" i="20" s="1"/>
  <c r="S110" i="20"/>
  <c r="AA110" i="20" s="1"/>
  <c r="N220" i="20"/>
  <c r="BC121" i="31"/>
  <c r="BJ121" i="31" s="1"/>
  <c r="W122" i="31"/>
  <c r="S220" i="20"/>
  <c r="AA220" i="20" s="1"/>
  <c r="P220" i="20"/>
  <c r="X220" i="20" s="1"/>
  <c r="Q220" i="20"/>
  <c r="Y220" i="20" s="1"/>
  <c r="D257" i="20"/>
  <c r="BC120" i="31"/>
  <c r="BC119" i="31"/>
  <c r="BI119" i="31" s="1"/>
  <c r="W121" i="31"/>
  <c r="W220" i="20"/>
  <c r="Q257" i="20"/>
  <c r="Y257" i="20" s="1"/>
  <c r="N257" i="20"/>
  <c r="P257" i="20"/>
  <c r="X257" i="20" s="1"/>
  <c r="N46" i="20"/>
  <c r="BK120" i="31"/>
  <c r="W120" i="31"/>
  <c r="W257" i="20"/>
  <c r="D46" i="20"/>
  <c r="P46" i="20"/>
  <c r="X46" i="20" s="1"/>
  <c r="Q46" i="20"/>
  <c r="Y46" i="20" s="1"/>
  <c r="R46" i="20"/>
  <c r="Z46" i="20" s="1"/>
  <c r="O46" i="20"/>
  <c r="W46" i="20" s="1"/>
  <c r="S46" i="20"/>
  <c r="AA46" i="20" s="1"/>
  <c r="D15" i="20"/>
  <c r="BC118" i="31"/>
  <c r="BJ118" i="31" s="1"/>
  <c r="W119" i="31"/>
  <c r="P15" i="20"/>
  <c r="X15" i="20" s="1"/>
  <c r="Q15" i="20"/>
  <c r="Y15" i="20" s="1"/>
  <c r="N15" i="20"/>
  <c r="R15" i="20"/>
  <c r="Z15" i="20" s="1"/>
  <c r="O15" i="20"/>
  <c r="W15" i="20" s="1"/>
  <c r="S15" i="20"/>
  <c r="AA15" i="20" s="1"/>
  <c r="N238" i="20"/>
  <c r="D209" i="20"/>
  <c r="BC117" i="31"/>
  <c r="BJ117" i="31" s="1"/>
  <c r="W118" i="31"/>
  <c r="N209" i="20"/>
  <c r="S238" i="20"/>
  <c r="AA238" i="20" s="1"/>
  <c r="P238" i="20"/>
  <c r="X238" i="20" s="1"/>
  <c r="Q238" i="20"/>
  <c r="Y238" i="20" s="1"/>
  <c r="P113" i="31"/>
  <c r="X113" i="31" s="1"/>
  <c r="P109" i="31"/>
  <c r="X109" i="31" s="1"/>
  <c r="D117" i="31"/>
  <c r="D238" i="20"/>
  <c r="P116" i="31"/>
  <c r="X116" i="31" s="1"/>
  <c r="N117" i="31"/>
  <c r="Q111" i="31"/>
  <c r="Y111" i="31" s="1"/>
  <c r="Q110" i="31"/>
  <c r="Y110" i="31" s="1"/>
  <c r="W117" i="31"/>
  <c r="W238" i="20"/>
  <c r="S209" i="20"/>
  <c r="AA209" i="20" s="1"/>
  <c r="P209" i="20"/>
  <c r="X209" i="20" s="1"/>
  <c r="Q209" i="20"/>
  <c r="Y209" i="20" s="1"/>
  <c r="BC115" i="31"/>
  <c r="BK115" i="31" s="1"/>
  <c r="W116" i="31"/>
  <c r="W209" i="20"/>
  <c r="N225" i="20"/>
  <c r="S225" i="20"/>
  <c r="AA225" i="20" s="1"/>
  <c r="P225" i="20"/>
  <c r="X225" i="20" s="1"/>
  <c r="Q225" i="20"/>
  <c r="Y225" i="20" s="1"/>
  <c r="O225" i="20"/>
  <c r="W225" i="20" s="1"/>
  <c r="D225" i="20"/>
  <c r="BC114" i="31"/>
  <c r="BJ114" i="31" s="1"/>
  <c r="W115" i="31"/>
  <c r="W114" i="31"/>
  <c r="R59" i="20"/>
  <c r="Z59" i="20" s="1"/>
  <c r="O59" i="20"/>
  <c r="W59" i="20" s="1"/>
  <c r="S59" i="20"/>
  <c r="AA59" i="20" s="1"/>
  <c r="P59" i="20"/>
  <c r="X59" i="20" s="1"/>
  <c r="Q59" i="20"/>
  <c r="Y59" i="20" s="1"/>
  <c r="N59" i="20"/>
  <c r="P98" i="31"/>
  <c r="X98" i="31" s="1"/>
  <c r="P99" i="31"/>
  <c r="X99" i="31" s="1"/>
  <c r="P110" i="31"/>
  <c r="X110" i="31" s="1"/>
  <c r="P112" i="31"/>
  <c r="X112" i="31" s="1"/>
  <c r="D113" i="31"/>
  <c r="D59" i="20"/>
  <c r="P97" i="31"/>
  <c r="X97" i="31" s="1"/>
  <c r="P102" i="31"/>
  <c r="X102" i="31" s="1"/>
  <c r="P111" i="31"/>
  <c r="X111" i="31" s="1"/>
  <c r="P103" i="31"/>
  <c r="X103" i="31" s="1"/>
  <c r="P108" i="31"/>
  <c r="X108" i="31" s="1"/>
  <c r="W113" i="31"/>
  <c r="Q216" i="20"/>
  <c r="Y216" i="20" s="1"/>
  <c r="S216" i="20"/>
  <c r="AA216" i="20" s="1"/>
  <c r="N216" i="20"/>
  <c r="P216" i="20"/>
  <c r="X216" i="20" s="1"/>
  <c r="D216" i="20"/>
  <c r="D214" i="20"/>
  <c r="W112" i="31"/>
  <c r="W216" i="20"/>
  <c r="S214" i="20"/>
  <c r="AA214" i="20" s="1"/>
  <c r="P214" i="20"/>
  <c r="X214" i="20" s="1"/>
  <c r="Q214" i="20"/>
  <c r="Y214" i="20" s="1"/>
  <c r="N214" i="20"/>
  <c r="W111" i="31"/>
  <c r="W214" i="20"/>
  <c r="N58" i="20"/>
  <c r="W110" i="31"/>
  <c r="Q58" i="20"/>
  <c r="Y58" i="20" s="1"/>
  <c r="R58" i="20"/>
  <c r="Z58" i="20" s="1"/>
  <c r="N184" i="20"/>
  <c r="O58" i="20"/>
  <c r="W58" i="20" s="1"/>
  <c r="S58" i="20"/>
  <c r="AA58" i="20" s="1"/>
  <c r="P58" i="20"/>
  <c r="X58" i="20" s="1"/>
  <c r="D58" i="20"/>
  <c r="D184" i="20"/>
  <c r="W109" i="31"/>
  <c r="D113" i="20"/>
  <c r="P184" i="20"/>
  <c r="X184" i="20" s="1"/>
  <c r="Q184" i="20"/>
  <c r="Y184" i="20" s="1"/>
  <c r="S184" i="20"/>
  <c r="AA184" i="20" s="1"/>
  <c r="N113" i="20"/>
  <c r="BC107" i="31"/>
  <c r="BK107" i="31" s="1"/>
  <c r="W108" i="31"/>
  <c r="W184" i="20"/>
  <c r="O113" i="20"/>
  <c r="W113" i="20" s="1"/>
  <c r="S113" i="20"/>
  <c r="AA113" i="20" s="1"/>
  <c r="P113" i="20"/>
  <c r="X113" i="20" s="1"/>
  <c r="Q113" i="20"/>
  <c r="Y113" i="20" s="1"/>
  <c r="R113" i="20"/>
  <c r="Z113" i="20" s="1"/>
  <c r="D145" i="20"/>
  <c r="BC105" i="31"/>
  <c r="BK105" i="31" s="1"/>
  <c r="BC106" i="31"/>
  <c r="BK106" i="31" s="1"/>
  <c r="W107" i="31"/>
  <c r="N171" i="20"/>
  <c r="Q171" i="20"/>
  <c r="Y171" i="20" s="1"/>
  <c r="S171" i="20"/>
  <c r="AA171" i="20" s="1"/>
  <c r="D171" i="20"/>
  <c r="P171" i="20"/>
  <c r="X171" i="20" s="1"/>
  <c r="W106" i="31"/>
  <c r="W171" i="20"/>
  <c r="P145" i="20"/>
  <c r="X145" i="20" s="1"/>
  <c r="Q145" i="20"/>
  <c r="Y145" i="20" s="1"/>
  <c r="O145" i="20"/>
  <c r="W145" i="20" s="1"/>
  <c r="N145" i="20"/>
  <c r="O104" i="31"/>
  <c r="S104" i="31"/>
  <c r="AA104" i="31" s="1"/>
  <c r="O103" i="31"/>
  <c r="W103" i="31" s="1"/>
  <c r="D105" i="31"/>
  <c r="W105" i="31"/>
  <c r="N11" i="20"/>
  <c r="D11" i="20"/>
  <c r="P11" i="20"/>
  <c r="X11" i="20" s="1"/>
  <c r="R11" i="20"/>
  <c r="Z11" i="20" s="1"/>
  <c r="Q11" i="20"/>
  <c r="Y11" i="20" s="1"/>
  <c r="O11" i="20"/>
  <c r="W11" i="20" s="1"/>
  <c r="S11" i="20"/>
  <c r="AA11" i="20" s="1"/>
  <c r="D4" i="20"/>
  <c r="O4" i="20"/>
  <c r="S4" i="20"/>
  <c r="AA4" i="20" s="1"/>
  <c r="N4" i="20"/>
  <c r="P4" i="20"/>
  <c r="X4" i="20" s="1"/>
  <c r="Q4" i="20"/>
  <c r="Y4" i="20" s="1"/>
  <c r="R4" i="20"/>
  <c r="Z4" i="20" s="1"/>
  <c r="O26" i="20"/>
  <c r="W26" i="20" s="1"/>
  <c r="S26" i="20"/>
  <c r="AA26" i="20" s="1"/>
  <c r="D31" i="20"/>
  <c r="N26" i="20"/>
  <c r="P26" i="20"/>
  <c r="X26" i="20" s="1"/>
  <c r="Q26" i="20"/>
  <c r="Y26" i="20" s="1"/>
  <c r="R26" i="20"/>
  <c r="Z26" i="20" s="1"/>
  <c r="D157" i="20"/>
  <c r="D26" i="20"/>
  <c r="P100" i="31"/>
  <c r="X100" i="31" s="1"/>
  <c r="P101" i="31"/>
  <c r="X101" i="31" s="1"/>
  <c r="D102" i="31"/>
  <c r="W102" i="31"/>
  <c r="O31" i="20"/>
  <c r="W31" i="20" s="1"/>
  <c r="S31" i="20"/>
  <c r="AA31" i="20" s="1"/>
  <c r="N31" i="20"/>
  <c r="P31" i="20"/>
  <c r="X31" i="20" s="1"/>
  <c r="Q31" i="20"/>
  <c r="Y31" i="20" s="1"/>
  <c r="R31" i="20"/>
  <c r="Z31" i="20" s="1"/>
  <c r="N157" i="20"/>
  <c r="W101" i="31"/>
  <c r="P157" i="20"/>
  <c r="X157" i="20" s="1"/>
  <c r="Q157" i="20"/>
  <c r="Y157" i="20" s="1"/>
  <c r="S157" i="20"/>
  <c r="AA157" i="20" s="1"/>
  <c r="W100" i="31"/>
  <c r="W157" i="20"/>
  <c r="Q197" i="20"/>
  <c r="Y197" i="20" s="1"/>
  <c r="N197" i="20"/>
  <c r="S197" i="20"/>
  <c r="AA197" i="20" s="1"/>
  <c r="D197" i="20"/>
  <c r="P197" i="20"/>
  <c r="X197" i="20" s="1"/>
  <c r="N163" i="20"/>
  <c r="W99" i="31"/>
  <c r="W197" i="20"/>
  <c r="D163" i="20"/>
  <c r="S163" i="20"/>
  <c r="AA163" i="20" s="1"/>
  <c r="P163" i="20"/>
  <c r="X163" i="20" s="1"/>
  <c r="Q163" i="20"/>
  <c r="Y163" i="20" s="1"/>
  <c r="N185" i="20"/>
  <c r="BC95" i="31"/>
  <c r="BK95" i="31" s="1"/>
  <c r="W98" i="31"/>
  <c r="W163" i="20"/>
  <c r="D185" i="20"/>
  <c r="S185" i="20"/>
  <c r="AA185" i="20" s="1"/>
  <c r="P185" i="20"/>
  <c r="X185" i="20" s="1"/>
  <c r="Q185" i="20"/>
  <c r="Y185" i="20" s="1"/>
  <c r="BC96" i="31"/>
  <c r="BK96" i="31" s="1"/>
  <c r="W97" i="31"/>
  <c r="W185" i="20"/>
  <c r="P133" i="20"/>
  <c r="X133" i="20" s="1"/>
  <c r="N133" i="20"/>
  <c r="S133" i="20"/>
  <c r="AA133" i="20" s="1"/>
  <c r="Q133" i="20"/>
  <c r="Y133" i="20" s="1"/>
  <c r="O133" i="20"/>
  <c r="W133" i="20" s="1"/>
  <c r="D133" i="20"/>
  <c r="W96" i="31"/>
  <c r="P168" i="20"/>
  <c r="X168" i="20" s="1"/>
  <c r="Q168" i="20"/>
  <c r="Y168" i="20" s="1"/>
  <c r="S168" i="20"/>
  <c r="AA168" i="20" s="1"/>
  <c r="N168" i="20"/>
  <c r="D135" i="20"/>
  <c r="D95" i="31"/>
  <c r="D168" i="20"/>
  <c r="BC94" i="31"/>
  <c r="W95" i="31"/>
  <c r="W168" i="20"/>
  <c r="N135" i="20"/>
  <c r="R135" i="20"/>
  <c r="Z135" i="20" s="1"/>
  <c r="S135" i="20"/>
  <c r="AA135" i="20" s="1"/>
  <c r="P135" i="20"/>
  <c r="X135" i="20" s="1"/>
  <c r="Q135" i="20"/>
  <c r="Y135" i="20" s="1"/>
  <c r="D233" i="20"/>
  <c r="N125" i="20"/>
  <c r="BC93" i="31"/>
  <c r="BK93" i="31" s="1"/>
  <c r="W94" i="31"/>
  <c r="W135" i="20"/>
  <c r="O125" i="20"/>
  <c r="W125" i="20" s="1"/>
  <c r="S125" i="20"/>
  <c r="AA125" i="20" s="1"/>
  <c r="P125" i="20"/>
  <c r="X125" i="20" s="1"/>
  <c r="Q125" i="20"/>
  <c r="Y125" i="20" s="1"/>
  <c r="R125" i="20"/>
  <c r="Z125" i="20" s="1"/>
  <c r="D173" i="20"/>
  <c r="D93" i="31"/>
  <c r="D125" i="20"/>
  <c r="P89" i="31"/>
  <c r="X89" i="31" s="1"/>
  <c r="P90" i="31"/>
  <c r="X90" i="31" s="1"/>
  <c r="BC92" i="31"/>
  <c r="BK92" i="31" s="1"/>
  <c r="N93" i="31"/>
  <c r="W93" i="31"/>
  <c r="Q233" i="20"/>
  <c r="Y233" i="20" s="1"/>
  <c r="P233" i="20"/>
  <c r="X233" i="20" s="1"/>
  <c r="S233" i="20"/>
  <c r="AA233" i="20" s="1"/>
  <c r="N233" i="20"/>
  <c r="N173" i="20"/>
  <c r="BC91" i="31"/>
  <c r="W92" i="31"/>
  <c r="W233" i="20"/>
  <c r="P173" i="20"/>
  <c r="X173" i="20" s="1"/>
  <c r="Q173" i="20"/>
  <c r="Y173" i="20" s="1"/>
  <c r="S173" i="20"/>
  <c r="AA173" i="20" s="1"/>
  <c r="N140" i="20"/>
  <c r="D6" i="20"/>
  <c r="BK91" i="31"/>
  <c r="W91" i="31"/>
  <c r="W173" i="20"/>
  <c r="N6" i="20"/>
  <c r="Q6" i="20"/>
  <c r="Y6" i="20" s="1"/>
  <c r="R6" i="20"/>
  <c r="Z6" i="20" s="1"/>
  <c r="O6" i="20"/>
  <c r="W6" i="20" s="1"/>
  <c r="S6" i="20"/>
  <c r="AA6" i="20" s="1"/>
  <c r="P6" i="20"/>
  <c r="X6" i="20" s="1"/>
  <c r="D140" i="20"/>
  <c r="W90" i="31"/>
  <c r="Q140" i="20"/>
  <c r="Y140" i="20" s="1"/>
  <c r="R140" i="20"/>
  <c r="Z140" i="20" s="1"/>
  <c r="O140" i="20"/>
  <c r="W140" i="20" s="1"/>
  <c r="P140" i="20"/>
  <c r="X140" i="20" s="1"/>
  <c r="N71" i="20"/>
  <c r="BC88" i="31"/>
  <c r="BI88" i="31" s="1"/>
  <c r="W89" i="31"/>
  <c r="D71" i="20"/>
  <c r="Q71" i="20"/>
  <c r="Y71" i="20" s="1"/>
  <c r="R71" i="20"/>
  <c r="Z71" i="20" s="1"/>
  <c r="O71" i="20"/>
  <c r="W71" i="20" s="1"/>
  <c r="S71" i="20"/>
  <c r="AA71" i="20" s="1"/>
  <c r="P71" i="20"/>
  <c r="X71" i="20" s="1"/>
  <c r="N193" i="20"/>
  <c r="BC87" i="31"/>
  <c r="BI87" i="31" s="1"/>
  <c r="W88" i="31"/>
  <c r="D28" i="20"/>
  <c r="N37" i="20"/>
  <c r="O37" i="20"/>
  <c r="W37" i="20" s="1"/>
  <c r="S37" i="20"/>
  <c r="AA37" i="20" s="1"/>
  <c r="D37" i="20"/>
  <c r="P37" i="20"/>
  <c r="X37" i="20" s="1"/>
  <c r="N28" i="20"/>
  <c r="Q28" i="20"/>
  <c r="Y28" i="20" s="1"/>
  <c r="R28" i="20"/>
  <c r="Z28" i="20" s="1"/>
  <c r="Q37" i="20"/>
  <c r="Y37" i="20" s="1"/>
  <c r="O28" i="20"/>
  <c r="W28" i="20" s="1"/>
  <c r="S28" i="20"/>
  <c r="AA28" i="20" s="1"/>
  <c r="R37" i="20"/>
  <c r="Z37" i="20" s="1"/>
  <c r="P28" i="20"/>
  <c r="X28" i="20" s="1"/>
  <c r="N20" i="20"/>
  <c r="BC86" i="31"/>
  <c r="BJ86" i="31" s="1"/>
  <c r="W87" i="31"/>
  <c r="BC85" i="31"/>
  <c r="BG85" i="31" s="1"/>
  <c r="BC84" i="31"/>
  <c r="BI84" i="31" s="1"/>
  <c r="W86" i="31"/>
  <c r="D20" i="20"/>
  <c r="R20" i="20"/>
  <c r="Z20" i="20" s="1"/>
  <c r="O20" i="20"/>
  <c r="W20" i="20" s="1"/>
  <c r="S20" i="20"/>
  <c r="AA20" i="20" s="1"/>
  <c r="P20" i="20"/>
  <c r="X20" i="20" s="1"/>
  <c r="Q20" i="20"/>
  <c r="Y20" i="20" s="1"/>
  <c r="N240" i="20"/>
  <c r="D193" i="20"/>
  <c r="W85" i="31"/>
  <c r="P193" i="20"/>
  <c r="X193" i="20" s="1"/>
  <c r="Q193" i="20"/>
  <c r="Y193" i="20" s="1"/>
  <c r="D174" i="20"/>
  <c r="D240" i="20"/>
  <c r="S193" i="20"/>
  <c r="AA193" i="20" s="1"/>
  <c r="N174" i="20"/>
  <c r="D201" i="20"/>
  <c r="BC82" i="31"/>
  <c r="BK82" i="31" s="1"/>
  <c r="BC83" i="31"/>
  <c r="BI83" i="31" s="1"/>
  <c r="W84" i="31"/>
  <c r="W193" i="20"/>
  <c r="Q240" i="20"/>
  <c r="Y240" i="20" s="1"/>
  <c r="S240" i="20"/>
  <c r="AA240" i="20" s="1"/>
  <c r="P240" i="20"/>
  <c r="X240" i="20" s="1"/>
  <c r="W83" i="31"/>
  <c r="W240" i="20"/>
  <c r="D169" i="20"/>
  <c r="N23" i="20"/>
  <c r="P174" i="20"/>
  <c r="X174" i="20" s="1"/>
  <c r="Q174" i="20"/>
  <c r="Y174" i="20" s="1"/>
  <c r="S174" i="20"/>
  <c r="AA174" i="20" s="1"/>
  <c r="BC81" i="31"/>
  <c r="BJ81" i="31" s="1"/>
  <c r="W82" i="31"/>
  <c r="W174" i="20"/>
  <c r="N159" i="20"/>
  <c r="Q159" i="20"/>
  <c r="Y159" i="20" s="1"/>
  <c r="S159" i="20"/>
  <c r="AA159" i="20" s="1"/>
  <c r="P159" i="20"/>
  <c r="X159" i="20" s="1"/>
  <c r="P75" i="31"/>
  <c r="X75" i="31" s="1"/>
  <c r="P78" i="31"/>
  <c r="X78" i="31" s="1"/>
  <c r="P79" i="31"/>
  <c r="X79" i="31" s="1"/>
  <c r="P80" i="31"/>
  <c r="X80" i="31" s="1"/>
  <c r="D81" i="31"/>
  <c r="D159" i="20"/>
  <c r="P69" i="31"/>
  <c r="X69" i="31" s="1"/>
  <c r="P67" i="31"/>
  <c r="X67" i="31" s="1"/>
  <c r="Q78" i="31"/>
  <c r="Y78" i="31" s="1"/>
  <c r="Q79" i="31"/>
  <c r="Y79" i="31" s="1"/>
  <c r="N81" i="31"/>
  <c r="P63" i="31"/>
  <c r="X63" i="31" s="1"/>
  <c r="P64" i="31"/>
  <c r="X64" i="31" s="1"/>
  <c r="P65" i="31"/>
  <c r="X65" i="31" s="1"/>
  <c r="P72" i="31"/>
  <c r="X72" i="31" s="1"/>
  <c r="P73" i="31"/>
  <c r="X73" i="31" s="1"/>
  <c r="W81" i="31"/>
  <c r="W159" i="20"/>
  <c r="P23" i="20"/>
  <c r="X23" i="20" s="1"/>
  <c r="Q23" i="20"/>
  <c r="Y23" i="20" s="1"/>
  <c r="R23" i="20"/>
  <c r="Z23" i="20" s="1"/>
  <c r="O23" i="20"/>
  <c r="W23" i="20" s="1"/>
  <c r="S23" i="20"/>
  <c r="AA23" i="20" s="1"/>
  <c r="N169" i="20"/>
  <c r="D23" i="20"/>
  <c r="W80" i="31"/>
  <c r="P169" i="20"/>
  <c r="X169" i="20" s="1"/>
  <c r="Q169" i="20"/>
  <c r="Y169" i="20" s="1"/>
  <c r="S169" i="20"/>
  <c r="AA169" i="20" s="1"/>
  <c r="N201" i="20"/>
  <c r="W79" i="31"/>
  <c r="W169" i="20"/>
  <c r="S201" i="20"/>
  <c r="AA201" i="20" s="1"/>
  <c r="P201" i="20"/>
  <c r="X201" i="20" s="1"/>
  <c r="Q201" i="20"/>
  <c r="Y201" i="20" s="1"/>
  <c r="BC77" i="31"/>
  <c r="W78" i="31"/>
  <c r="W201" i="20"/>
  <c r="Q183" i="20"/>
  <c r="Y183" i="20" s="1"/>
  <c r="D183" i="20"/>
  <c r="S183" i="20"/>
  <c r="AA183" i="20" s="1"/>
  <c r="P183" i="20"/>
  <c r="X183" i="20" s="1"/>
  <c r="N183" i="20"/>
  <c r="N212" i="20"/>
  <c r="N252" i="20"/>
  <c r="BC76" i="31"/>
  <c r="W77" i="31"/>
  <c r="W183" i="20"/>
  <c r="N262" i="20"/>
  <c r="D212" i="20"/>
  <c r="P212" i="20"/>
  <c r="X212" i="20" s="1"/>
  <c r="Q212" i="20"/>
  <c r="Y212" i="20" s="1"/>
  <c r="S212" i="20"/>
  <c r="AA212" i="20" s="1"/>
  <c r="BK76" i="31"/>
  <c r="W76" i="31"/>
  <c r="W212" i="20"/>
  <c r="S221" i="20"/>
  <c r="AA221" i="20" s="1"/>
  <c r="P221" i="20"/>
  <c r="X221" i="20" s="1"/>
  <c r="D262" i="20"/>
  <c r="D221" i="20"/>
  <c r="Q221" i="20"/>
  <c r="Y221" i="20" s="1"/>
  <c r="N221" i="20"/>
  <c r="BC74" i="31"/>
  <c r="BK74" i="31" s="1"/>
  <c r="W75" i="31"/>
  <c r="W221" i="20"/>
  <c r="O262" i="20"/>
  <c r="W262" i="20" s="1"/>
  <c r="N182" i="20"/>
  <c r="D252" i="20"/>
  <c r="W74" i="31"/>
  <c r="P252" i="20"/>
  <c r="X252" i="20" s="1"/>
  <c r="S252" i="20"/>
  <c r="AA252" i="20" s="1"/>
  <c r="N189" i="20"/>
  <c r="BC70" i="31"/>
  <c r="W73" i="31"/>
  <c r="W252" i="20"/>
  <c r="D182" i="20"/>
  <c r="S182" i="20"/>
  <c r="AA182" i="20" s="1"/>
  <c r="P182" i="20"/>
  <c r="X182" i="20" s="1"/>
  <c r="Q182" i="20"/>
  <c r="Y182" i="20" s="1"/>
  <c r="N100" i="20"/>
  <c r="BC71" i="31"/>
  <c r="BG71" i="31" s="1"/>
  <c r="W72" i="31"/>
  <c r="W182" i="20"/>
  <c r="D100" i="20"/>
  <c r="R100" i="20"/>
  <c r="Z100" i="20" s="1"/>
  <c r="O100" i="20"/>
  <c r="W100" i="20" s="1"/>
  <c r="S100" i="20"/>
  <c r="AA100" i="20" s="1"/>
  <c r="P100" i="20"/>
  <c r="X100" i="20" s="1"/>
  <c r="Q100" i="20"/>
  <c r="Y100" i="20" s="1"/>
  <c r="D189" i="20"/>
  <c r="W71" i="31"/>
  <c r="S189" i="20"/>
  <c r="AA189" i="20" s="1"/>
  <c r="P189" i="20"/>
  <c r="X189" i="20" s="1"/>
  <c r="D234" i="20"/>
  <c r="Q189" i="20"/>
  <c r="Y189" i="20" s="1"/>
  <c r="N234" i="20"/>
  <c r="W70" i="31"/>
  <c r="W189" i="20"/>
  <c r="N70" i="20"/>
  <c r="R70" i="20"/>
  <c r="Z70" i="20" s="1"/>
  <c r="O70" i="20"/>
  <c r="W70" i="20" s="1"/>
  <c r="S70" i="20"/>
  <c r="AA70" i="20" s="1"/>
  <c r="P70" i="20"/>
  <c r="X70" i="20" s="1"/>
  <c r="Q70" i="20"/>
  <c r="Y70" i="20" s="1"/>
  <c r="P68" i="31"/>
  <c r="X68" i="31" s="1"/>
  <c r="D69" i="31"/>
  <c r="D70" i="20"/>
  <c r="P40" i="31"/>
  <c r="X40" i="31" s="1"/>
  <c r="P56" i="31"/>
  <c r="X56" i="31" s="1"/>
  <c r="P61" i="31"/>
  <c r="X61" i="31" s="1"/>
  <c r="P52" i="31"/>
  <c r="X52" i="31" s="1"/>
  <c r="P44" i="31"/>
  <c r="X44" i="31" s="1"/>
  <c r="P55" i="31"/>
  <c r="X55" i="31" s="1"/>
  <c r="P59" i="31"/>
  <c r="X59" i="31" s="1"/>
  <c r="P60" i="31"/>
  <c r="X60" i="31" s="1"/>
  <c r="P66" i="31"/>
  <c r="X66" i="31" s="1"/>
  <c r="W69" i="31"/>
  <c r="N256" i="20"/>
  <c r="P234" i="20"/>
  <c r="X234" i="20" s="1"/>
  <c r="D256" i="20"/>
  <c r="Q234" i="20"/>
  <c r="Y234" i="20" s="1"/>
  <c r="O234" i="20"/>
  <c r="W234" i="20" s="1"/>
  <c r="W68" i="31"/>
  <c r="N161" i="20"/>
  <c r="O256" i="20"/>
  <c r="W256" i="20" s="1"/>
  <c r="P256" i="20"/>
  <c r="X256" i="20" s="1"/>
  <c r="N188" i="20"/>
  <c r="W67" i="31"/>
  <c r="D161" i="20"/>
  <c r="D188" i="20"/>
  <c r="S161" i="20"/>
  <c r="AA161" i="20" s="1"/>
  <c r="P161" i="20"/>
  <c r="X161" i="20" s="1"/>
  <c r="Q161" i="20"/>
  <c r="Y161" i="20" s="1"/>
  <c r="N186" i="20"/>
  <c r="N143" i="20"/>
  <c r="W66" i="31"/>
  <c r="W161" i="20"/>
  <c r="N147" i="20"/>
  <c r="D143" i="20"/>
  <c r="P188" i="20"/>
  <c r="X188" i="20" s="1"/>
  <c r="Q188" i="20"/>
  <c r="Y188" i="20" s="1"/>
  <c r="S188" i="20"/>
  <c r="AA188" i="20" s="1"/>
  <c r="W65" i="31"/>
  <c r="W188" i="20"/>
  <c r="D186" i="20"/>
  <c r="P143" i="20"/>
  <c r="X143" i="20" s="1"/>
  <c r="Q143" i="20"/>
  <c r="Y143" i="20" s="1"/>
  <c r="S143" i="20"/>
  <c r="AA143" i="20" s="1"/>
  <c r="BC62" i="31"/>
  <c r="BK62" i="31" s="1"/>
  <c r="W64" i="31"/>
  <c r="W143" i="20"/>
  <c r="P186" i="20"/>
  <c r="X186" i="20" s="1"/>
  <c r="Q186" i="20"/>
  <c r="Y186" i="20" s="1"/>
  <c r="D147" i="20"/>
  <c r="S186" i="20"/>
  <c r="AA186" i="20" s="1"/>
  <c r="W63" i="31"/>
  <c r="W186" i="20"/>
  <c r="S147" i="20"/>
  <c r="AA147" i="20" s="1"/>
  <c r="P147" i="20"/>
  <c r="X147" i="20" s="1"/>
  <c r="Q147" i="20"/>
  <c r="Y147" i="20" s="1"/>
  <c r="W62" i="31"/>
  <c r="W147" i="20"/>
  <c r="D149" i="20"/>
  <c r="N149" i="20"/>
  <c r="P149" i="20"/>
  <c r="X149" i="20" s="1"/>
  <c r="Q149" i="20"/>
  <c r="Y149" i="20" s="1"/>
  <c r="S149" i="20"/>
  <c r="AA149" i="20" s="1"/>
  <c r="W61" i="31"/>
  <c r="W149" i="20"/>
  <c r="Q195" i="20"/>
  <c r="Y195" i="20" s="1"/>
  <c r="D195" i="20"/>
  <c r="S195" i="20"/>
  <c r="AA195" i="20" s="1"/>
  <c r="N195" i="20"/>
  <c r="P195" i="20"/>
  <c r="X195" i="20" s="1"/>
  <c r="W60" i="31"/>
  <c r="W195" i="20"/>
  <c r="S176" i="20"/>
  <c r="AA176" i="20" s="1"/>
  <c r="P176" i="20"/>
  <c r="X176" i="20" s="1"/>
  <c r="Q176" i="20"/>
  <c r="Y176" i="20" s="1"/>
  <c r="D248" i="20"/>
  <c r="N176" i="20"/>
  <c r="BC57" i="31"/>
  <c r="BK57" i="31" s="1"/>
  <c r="BC58" i="31"/>
  <c r="D59" i="31"/>
  <c r="D176" i="20"/>
  <c r="W59" i="31"/>
  <c r="W176" i="20"/>
  <c r="P248" i="20"/>
  <c r="X248" i="20" s="1"/>
  <c r="N248" i="20"/>
  <c r="Q248" i="20"/>
  <c r="Y248" i="20" s="1"/>
  <c r="N215" i="20"/>
  <c r="D237" i="20"/>
  <c r="N151" i="20"/>
  <c r="N181" i="20"/>
  <c r="BK58" i="31"/>
  <c r="W58" i="31"/>
  <c r="W248" i="20"/>
  <c r="N237" i="20"/>
  <c r="S181" i="20"/>
  <c r="AA181" i="20" s="1"/>
  <c r="P181" i="20"/>
  <c r="X181" i="20" s="1"/>
  <c r="Q181" i="20"/>
  <c r="Y181" i="20" s="1"/>
  <c r="D151" i="20"/>
  <c r="D181" i="20"/>
  <c r="D57" i="31"/>
  <c r="W57" i="31"/>
  <c r="W181" i="20"/>
  <c r="S151" i="20"/>
  <c r="AA151" i="20" s="1"/>
  <c r="P151" i="20"/>
  <c r="X151" i="20" s="1"/>
  <c r="Q151" i="20"/>
  <c r="Y151" i="20" s="1"/>
  <c r="D215" i="20"/>
  <c r="BC54" i="31"/>
  <c r="BI54" i="31" s="1"/>
  <c r="W56" i="31"/>
  <c r="W151" i="20"/>
  <c r="D222" i="20"/>
  <c r="S237" i="20"/>
  <c r="AA237" i="20" s="1"/>
  <c r="P237" i="20"/>
  <c r="X237" i="20" s="1"/>
  <c r="Q237" i="20"/>
  <c r="Y237" i="20" s="1"/>
  <c r="W55" i="31"/>
  <c r="W237" i="20"/>
  <c r="S215" i="20"/>
  <c r="AA215" i="20" s="1"/>
  <c r="P215" i="20"/>
  <c r="X215" i="20" s="1"/>
  <c r="Q215" i="20"/>
  <c r="Y215" i="20" s="1"/>
  <c r="N222" i="20"/>
  <c r="BC53" i="31"/>
  <c r="BK53" i="31" s="1"/>
  <c r="W54" i="31"/>
  <c r="W215" i="20"/>
  <c r="P222" i="20"/>
  <c r="X222" i="20" s="1"/>
  <c r="Q222" i="20"/>
  <c r="Y222" i="20" s="1"/>
  <c r="S222" i="20"/>
  <c r="AA222" i="20" s="1"/>
  <c r="W53" i="31"/>
  <c r="W222" i="20"/>
  <c r="N141" i="20"/>
  <c r="O141" i="20"/>
  <c r="W141" i="20" s="1"/>
  <c r="N247" i="20"/>
  <c r="P141" i="20"/>
  <c r="X141" i="20" s="1"/>
  <c r="Q141" i="20"/>
  <c r="Y141" i="20" s="1"/>
  <c r="D247" i="20"/>
  <c r="P48" i="31"/>
  <c r="X48" i="31" s="1"/>
  <c r="P49" i="31"/>
  <c r="X49" i="31" s="1"/>
  <c r="D52" i="31"/>
  <c r="D141" i="20"/>
  <c r="P46" i="31"/>
  <c r="X46" i="31" s="1"/>
  <c r="P47" i="31"/>
  <c r="X47" i="31" s="1"/>
  <c r="N52" i="31"/>
  <c r="P43" i="31"/>
  <c r="X43" i="31" s="1"/>
  <c r="P38" i="31"/>
  <c r="X38" i="31" s="1"/>
  <c r="P14" i="31"/>
  <c r="X14" i="31" s="1"/>
  <c r="BC50" i="31"/>
  <c r="BI50" i="31" s="1"/>
  <c r="BC51" i="31"/>
  <c r="BJ51" i="31" s="1"/>
  <c r="W52" i="31"/>
  <c r="P247" i="20"/>
  <c r="X247" i="20" s="1"/>
  <c r="N211" i="20"/>
  <c r="Q247" i="20"/>
  <c r="Y247" i="20" s="1"/>
  <c r="W51" i="31"/>
  <c r="W247" i="20"/>
  <c r="P211" i="20"/>
  <c r="X211" i="20" s="1"/>
  <c r="Q211" i="20"/>
  <c r="Y211" i="20" s="1"/>
  <c r="S211" i="20"/>
  <c r="AA211" i="20" s="1"/>
  <c r="D211" i="20"/>
  <c r="BK50" i="31"/>
  <c r="W50" i="31"/>
  <c r="W211" i="20"/>
  <c r="N8" i="20"/>
  <c r="D8" i="20"/>
  <c r="O8" i="20"/>
  <c r="S8" i="20"/>
  <c r="AA8" i="20" s="1"/>
  <c r="P8" i="20"/>
  <c r="X8" i="20" s="1"/>
  <c r="Q8" i="20"/>
  <c r="Y8" i="20" s="1"/>
  <c r="R8" i="20"/>
  <c r="Z8" i="20" s="1"/>
  <c r="D136" i="20"/>
  <c r="W49" i="31"/>
  <c r="N136" i="20"/>
  <c r="S138" i="20"/>
  <c r="AA138" i="20" s="1"/>
  <c r="D254" i="20"/>
  <c r="P138" i="20"/>
  <c r="X138" i="20" s="1"/>
  <c r="Q138" i="20"/>
  <c r="Y138" i="20" s="1"/>
  <c r="N138" i="20"/>
  <c r="R138" i="20"/>
  <c r="Z138" i="20" s="1"/>
  <c r="D249" i="20"/>
  <c r="D138" i="20"/>
  <c r="W48" i="31"/>
  <c r="W138" i="20"/>
  <c r="R136" i="20"/>
  <c r="Z136" i="20" s="1"/>
  <c r="S136" i="20"/>
  <c r="AA136" i="20" s="1"/>
  <c r="P136" i="20"/>
  <c r="X136" i="20" s="1"/>
  <c r="Q136" i="20"/>
  <c r="Y136" i="20" s="1"/>
  <c r="BC45" i="31"/>
  <c r="BK45" i="31" s="1"/>
  <c r="W47" i="31"/>
  <c r="W136" i="20"/>
  <c r="N254" i="20"/>
  <c r="S254" i="20"/>
  <c r="AA254" i="20" s="1"/>
  <c r="P254" i="20"/>
  <c r="X254" i="20" s="1"/>
  <c r="N249" i="20"/>
  <c r="W46" i="31"/>
  <c r="W254" i="20"/>
  <c r="O249" i="20"/>
  <c r="W249" i="20" s="1"/>
  <c r="P249" i="20"/>
  <c r="X249" i="20" s="1"/>
  <c r="D45" i="31"/>
  <c r="W45" i="31"/>
  <c r="R29" i="20"/>
  <c r="Z29" i="20" s="1"/>
  <c r="O29" i="20"/>
  <c r="W29" i="20" s="1"/>
  <c r="S29" i="20"/>
  <c r="AA29" i="20" s="1"/>
  <c r="N29" i="20"/>
  <c r="P29" i="20"/>
  <c r="X29" i="20" s="1"/>
  <c r="Q29" i="20"/>
  <c r="Y29" i="20" s="1"/>
  <c r="P9" i="31"/>
  <c r="X9" i="31" s="1"/>
  <c r="P10" i="31"/>
  <c r="X10" i="31" s="1"/>
  <c r="P34" i="31"/>
  <c r="X34" i="31" s="1"/>
  <c r="D29" i="20"/>
  <c r="P7" i="31"/>
  <c r="X7" i="31" s="1"/>
  <c r="P16" i="31"/>
  <c r="X16" i="31" s="1"/>
  <c r="P31" i="31"/>
  <c r="X31" i="31" s="1"/>
  <c r="P30" i="31"/>
  <c r="X30" i="31" s="1"/>
  <c r="N44" i="31"/>
  <c r="P13" i="31"/>
  <c r="X13" i="31" s="1"/>
  <c r="W44" i="31"/>
  <c r="Q164" i="20"/>
  <c r="Y164" i="20" s="1"/>
  <c r="S164" i="20"/>
  <c r="AA164" i="20" s="1"/>
  <c r="P164" i="20"/>
  <c r="X164" i="20" s="1"/>
  <c r="N164" i="20"/>
  <c r="N227" i="20"/>
  <c r="P25" i="31"/>
  <c r="X25" i="31" s="1"/>
  <c r="P32" i="31"/>
  <c r="X32" i="31" s="1"/>
  <c r="P37" i="31"/>
  <c r="X37" i="31" s="1"/>
  <c r="P41" i="31"/>
  <c r="X41" i="31" s="1"/>
  <c r="P42" i="31"/>
  <c r="X42" i="31" s="1"/>
  <c r="D43" i="31"/>
  <c r="D164" i="20"/>
  <c r="P5" i="31"/>
  <c r="X5" i="31" s="1"/>
  <c r="P8" i="31"/>
  <c r="X8" i="31" s="1"/>
  <c r="P12" i="31"/>
  <c r="X12" i="31" s="1"/>
  <c r="P22" i="31"/>
  <c r="X22" i="31" s="1"/>
  <c r="P17" i="31"/>
  <c r="X17" i="31" s="1"/>
  <c r="Q37" i="31"/>
  <c r="Y37" i="31" s="1"/>
  <c r="P39" i="31"/>
  <c r="X39" i="31" s="1"/>
  <c r="Q41" i="31"/>
  <c r="Y41" i="31" s="1"/>
  <c r="Q42" i="31"/>
  <c r="Y42" i="31" s="1"/>
  <c r="P4" i="31"/>
  <c r="X4" i="31" s="1"/>
  <c r="P6" i="31"/>
  <c r="X6" i="31" s="1"/>
  <c r="P11" i="31"/>
  <c r="X11" i="31" s="1"/>
  <c r="P15" i="31"/>
  <c r="X15" i="31" s="1"/>
  <c r="P21" i="31"/>
  <c r="X21" i="31" s="1"/>
  <c r="P24" i="31"/>
  <c r="X24" i="31" s="1"/>
  <c r="P27" i="31"/>
  <c r="X27" i="31" s="1"/>
  <c r="P28" i="31"/>
  <c r="X28" i="31" s="1"/>
  <c r="P35" i="31"/>
  <c r="X35" i="31" s="1"/>
  <c r="P36" i="31"/>
  <c r="X36" i="31" s="1"/>
  <c r="W43" i="31"/>
  <c r="W164" i="20"/>
  <c r="S227" i="20"/>
  <c r="AA227" i="20" s="1"/>
  <c r="P227" i="20"/>
  <c r="X227" i="20" s="1"/>
  <c r="Q227" i="20"/>
  <c r="Y227" i="20" s="1"/>
  <c r="D227" i="20"/>
  <c r="D246" i="20"/>
  <c r="O227" i="20"/>
  <c r="W227" i="20" s="1"/>
  <c r="D42" i="31"/>
  <c r="W42" i="31"/>
  <c r="P246" i="20"/>
  <c r="X246" i="20" s="1"/>
  <c r="Q246" i="20"/>
  <c r="Y246" i="20" s="1"/>
  <c r="O246" i="20"/>
  <c r="W246" i="20" s="1"/>
  <c r="N246" i="20"/>
  <c r="W41" i="31"/>
  <c r="N154" i="20"/>
  <c r="N207" i="20"/>
  <c r="P154" i="20"/>
  <c r="X154" i="20" s="1"/>
  <c r="Q154" i="20"/>
  <c r="Y154" i="20" s="1"/>
  <c r="N87" i="20"/>
  <c r="S154" i="20"/>
  <c r="AA154" i="20" s="1"/>
  <c r="O154" i="20"/>
  <c r="W154" i="20" s="1"/>
  <c r="D154" i="20"/>
  <c r="W40" i="31"/>
  <c r="D87" i="20"/>
  <c r="P87" i="20"/>
  <c r="X87" i="20" s="1"/>
  <c r="D207" i="20"/>
  <c r="Q87" i="20"/>
  <c r="Y87" i="20" s="1"/>
  <c r="R87" i="20"/>
  <c r="Z87" i="20" s="1"/>
  <c r="O87" i="20"/>
  <c r="W87" i="20" s="1"/>
  <c r="S87" i="20"/>
  <c r="AA87" i="20" s="1"/>
  <c r="W39" i="31"/>
  <c r="S207" i="20"/>
  <c r="AA207" i="20" s="1"/>
  <c r="P207" i="20"/>
  <c r="X207" i="20" s="1"/>
  <c r="Q207" i="20"/>
  <c r="Y207" i="20" s="1"/>
  <c r="N191" i="20"/>
  <c r="W38" i="31"/>
  <c r="W207" i="20"/>
  <c r="Q32" i="20"/>
  <c r="Y32" i="20" s="1"/>
  <c r="R32" i="20"/>
  <c r="Z32" i="20" s="1"/>
  <c r="O32" i="20"/>
  <c r="W32" i="20" s="1"/>
  <c r="S32" i="20"/>
  <c r="AA32" i="20" s="1"/>
  <c r="P32" i="20"/>
  <c r="X32" i="20" s="1"/>
  <c r="N172" i="20"/>
  <c r="D191" i="20"/>
  <c r="N32" i="20"/>
  <c r="N175" i="20"/>
  <c r="D37" i="31"/>
  <c r="D32" i="20"/>
  <c r="W37" i="31"/>
  <c r="D258" i="20"/>
  <c r="D172" i="20"/>
  <c r="P191" i="20"/>
  <c r="X191" i="20" s="1"/>
  <c r="Q191" i="20"/>
  <c r="Y191" i="20" s="1"/>
  <c r="S191" i="20"/>
  <c r="AA191" i="20" s="1"/>
  <c r="W36" i="31"/>
  <c r="W191" i="20"/>
  <c r="P172" i="20"/>
  <c r="X172" i="20" s="1"/>
  <c r="Q172" i="20"/>
  <c r="Y172" i="20" s="1"/>
  <c r="D175" i="20"/>
  <c r="S172" i="20"/>
  <c r="AA172" i="20" s="1"/>
  <c r="W35" i="31"/>
  <c r="W172" i="20"/>
  <c r="N258" i="20"/>
  <c r="P175" i="20"/>
  <c r="X175" i="20" s="1"/>
  <c r="Q175" i="20"/>
  <c r="Y175" i="20" s="1"/>
  <c r="S175" i="20"/>
  <c r="AA175" i="20" s="1"/>
  <c r="BC33" i="31"/>
  <c r="BJ33" i="31" s="1"/>
  <c r="W34" i="31"/>
  <c r="W175" i="20"/>
  <c r="Q258" i="20"/>
  <c r="Y258" i="20" s="1"/>
  <c r="BK33" i="31"/>
  <c r="W33" i="31"/>
  <c r="W258" i="20"/>
  <c r="N166" i="20"/>
  <c r="Q166" i="20"/>
  <c r="Y166" i="20" s="1"/>
  <c r="S166" i="20"/>
  <c r="AA166" i="20" s="1"/>
  <c r="P166" i="20"/>
  <c r="X166" i="20" s="1"/>
  <c r="P26" i="31"/>
  <c r="X26" i="31" s="1"/>
  <c r="D32" i="31"/>
  <c r="D166" i="20"/>
  <c r="W32" i="31"/>
  <c r="W166" i="20"/>
  <c r="D162" i="20"/>
  <c r="S150" i="20"/>
  <c r="AA150" i="20" s="1"/>
  <c r="N162" i="20"/>
  <c r="D150" i="20"/>
  <c r="P150" i="20"/>
  <c r="X150" i="20" s="1"/>
  <c r="N150" i="20"/>
  <c r="Q150" i="20"/>
  <c r="Y150" i="20" s="1"/>
  <c r="N31" i="31"/>
  <c r="P29" i="31"/>
  <c r="X29" i="31" s="1"/>
  <c r="W31" i="31"/>
  <c r="W150" i="20"/>
  <c r="P162" i="20"/>
  <c r="X162" i="20" s="1"/>
  <c r="Q162" i="20"/>
  <c r="Y162" i="20" s="1"/>
  <c r="S162" i="20"/>
  <c r="AA162" i="20" s="1"/>
  <c r="D156" i="20"/>
  <c r="W30" i="31"/>
  <c r="W162" i="20"/>
  <c r="S156" i="20"/>
  <c r="AA156" i="20" s="1"/>
  <c r="P156" i="20"/>
  <c r="X156" i="20" s="1"/>
  <c r="Q156" i="20"/>
  <c r="Y156" i="20" s="1"/>
  <c r="N148" i="20"/>
  <c r="N156" i="20"/>
  <c r="D148" i="20"/>
  <c r="N226" i="20"/>
  <c r="W29" i="31"/>
  <c r="W156" i="20"/>
  <c r="S148" i="20"/>
  <c r="AA148" i="20" s="1"/>
  <c r="D223" i="20"/>
  <c r="P148" i="20"/>
  <c r="X148" i="20" s="1"/>
  <c r="D226" i="20"/>
  <c r="Q148" i="20"/>
  <c r="Y148" i="20" s="1"/>
  <c r="W28" i="31"/>
  <c r="W148" i="20"/>
  <c r="S226" i="20"/>
  <c r="AA226" i="20" s="1"/>
  <c r="P226" i="20"/>
  <c r="X226" i="20" s="1"/>
  <c r="Q226" i="20"/>
  <c r="Y226" i="20" s="1"/>
  <c r="N223" i="20"/>
  <c r="W27" i="31"/>
  <c r="W226" i="20"/>
  <c r="Q223" i="20"/>
  <c r="Y223" i="20" s="1"/>
  <c r="S223" i="20"/>
  <c r="AA223" i="20" s="1"/>
  <c r="P223" i="20"/>
  <c r="X223" i="20" s="1"/>
  <c r="N177" i="20"/>
  <c r="W26" i="31"/>
  <c r="W223" i="20"/>
  <c r="D177" i="20"/>
  <c r="S177" i="20"/>
  <c r="AA177" i="20" s="1"/>
  <c r="P177" i="20"/>
  <c r="X177" i="20" s="1"/>
  <c r="Q177" i="20"/>
  <c r="Y177" i="20" s="1"/>
  <c r="N203" i="20"/>
  <c r="BC23" i="31"/>
  <c r="W25" i="31"/>
  <c r="W177" i="20"/>
  <c r="S203" i="20"/>
  <c r="AA203" i="20" s="1"/>
  <c r="P203" i="20"/>
  <c r="X203" i="20" s="1"/>
  <c r="D213" i="20"/>
  <c r="Q203" i="20"/>
  <c r="Y203" i="20" s="1"/>
  <c r="N213" i="20"/>
  <c r="D203" i="20"/>
  <c r="W24" i="31"/>
  <c r="W203" i="20"/>
  <c r="S213" i="20"/>
  <c r="AA213" i="20" s="1"/>
  <c r="P213" i="20"/>
  <c r="X213" i="20" s="1"/>
  <c r="Q213" i="20"/>
  <c r="Y213" i="20" s="1"/>
  <c r="W23" i="31"/>
  <c r="W213" i="20"/>
  <c r="S170" i="20"/>
  <c r="AA170" i="20" s="1"/>
  <c r="P170" i="20"/>
  <c r="X170" i="20" s="1"/>
  <c r="Q170" i="20"/>
  <c r="Y170" i="20" s="1"/>
  <c r="N179" i="20"/>
  <c r="N170" i="20"/>
  <c r="P18" i="31"/>
  <c r="X18" i="31" s="1"/>
  <c r="D22" i="31"/>
  <c r="D170" i="20"/>
  <c r="W22" i="31"/>
  <c r="W170" i="20"/>
  <c r="S179" i="20"/>
  <c r="AA179" i="20" s="1"/>
  <c r="P179" i="20"/>
  <c r="X179" i="20" s="1"/>
  <c r="Q179" i="20"/>
  <c r="Y179" i="20" s="1"/>
  <c r="D179" i="20"/>
  <c r="P20" i="31"/>
  <c r="X20" i="31" s="1"/>
  <c r="D21" i="31"/>
  <c r="P19" i="31"/>
  <c r="X19" i="31" s="1"/>
  <c r="W21" i="31"/>
  <c r="W179" i="20"/>
  <c r="P127" i="20"/>
  <c r="X127" i="20" s="1"/>
  <c r="N127" i="20"/>
  <c r="Q127" i="20"/>
  <c r="Y127" i="20" s="1"/>
  <c r="R127" i="20"/>
  <c r="Z127" i="20" s="1"/>
  <c r="O127" i="20"/>
  <c r="W127" i="20" s="1"/>
  <c r="S127" i="20"/>
  <c r="AA127" i="20" s="1"/>
  <c r="D127" i="20"/>
  <c r="N92" i="20"/>
  <c r="W20" i="31"/>
  <c r="R92" i="20"/>
  <c r="Z92" i="20" s="1"/>
  <c r="O92" i="20"/>
  <c r="W92" i="20" s="1"/>
  <c r="S92" i="20"/>
  <c r="AA92" i="20" s="1"/>
  <c r="P92" i="20"/>
  <c r="X92" i="20" s="1"/>
  <c r="Q92" i="20"/>
  <c r="Y92" i="20" s="1"/>
  <c r="D92" i="20"/>
  <c r="O18" i="31"/>
  <c r="W18" i="31" s="1"/>
  <c r="S17" i="31"/>
  <c r="AA17" i="31" s="1"/>
  <c r="W19" i="31"/>
  <c r="D9" i="20"/>
  <c r="N12" i="20"/>
  <c r="N9" i="20"/>
  <c r="R9" i="20"/>
  <c r="Z9" i="20" s="1"/>
  <c r="O9" i="20"/>
  <c r="W9" i="20" s="1"/>
  <c r="S9" i="20"/>
  <c r="AA9" i="20" s="1"/>
  <c r="Q9" i="20"/>
  <c r="Y9" i="20" s="1"/>
  <c r="P9" i="20"/>
  <c r="X9" i="20" s="1"/>
  <c r="D196" i="20"/>
  <c r="O17" i="31"/>
  <c r="D18" i="31"/>
  <c r="D12" i="20"/>
  <c r="O12" i="20"/>
  <c r="W12" i="20" s="1"/>
  <c r="S12" i="20"/>
  <c r="AA12" i="20" s="1"/>
  <c r="P12" i="20"/>
  <c r="X12" i="20" s="1"/>
  <c r="Q12" i="20"/>
  <c r="Y12" i="20" s="1"/>
  <c r="R12" i="20"/>
  <c r="Z12" i="20" s="1"/>
  <c r="BC14" i="31"/>
  <c r="P261" i="20"/>
  <c r="X261" i="20" s="1"/>
  <c r="N261" i="20"/>
  <c r="N61" i="20"/>
  <c r="D261" i="20"/>
  <c r="W16" i="31"/>
  <c r="W261" i="20"/>
  <c r="O61" i="20"/>
  <c r="W61" i="20" s="1"/>
  <c r="S61" i="20"/>
  <c r="AA61" i="20" s="1"/>
  <c r="P61" i="20"/>
  <c r="X61" i="20" s="1"/>
  <c r="Q61" i="20"/>
  <c r="Y61" i="20" s="1"/>
  <c r="N196" i="20"/>
  <c r="R61" i="20"/>
  <c r="Z61" i="20" s="1"/>
  <c r="D61" i="20"/>
  <c r="W15" i="31"/>
  <c r="Q196" i="20"/>
  <c r="Y196" i="20" s="1"/>
  <c r="S196" i="20"/>
  <c r="AA196" i="20" s="1"/>
  <c r="P196" i="20"/>
  <c r="X196" i="20" s="1"/>
  <c r="W14" i="31"/>
  <c r="W196" i="20"/>
  <c r="P187" i="20"/>
  <c r="X187" i="20" s="1"/>
  <c r="Q187" i="20"/>
  <c r="Y187" i="20" s="1"/>
  <c r="N218" i="20"/>
  <c r="D187" i="20"/>
  <c r="S187" i="20"/>
  <c r="AA187" i="20" s="1"/>
  <c r="N187" i="20"/>
  <c r="W13" i="31"/>
  <c r="W187" i="20"/>
  <c r="N260" i="20"/>
  <c r="D218" i="20"/>
  <c r="D260" i="20"/>
  <c r="P260" i="20"/>
  <c r="X260" i="20" s="1"/>
  <c r="W12" i="31"/>
  <c r="W260" i="20"/>
  <c r="P218" i="20"/>
  <c r="X218" i="20" s="1"/>
  <c r="Q218" i="20"/>
  <c r="Y218" i="20" s="1"/>
  <c r="S218" i="20"/>
  <c r="AA218" i="20" s="1"/>
  <c r="W11" i="31"/>
  <c r="W218" i="20"/>
  <c r="S210" i="20"/>
  <c r="AA210" i="20" s="1"/>
  <c r="Q210" i="20"/>
  <c r="Y210" i="20" s="1"/>
  <c r="P210" i="20"/>
  <c r="X210" i="20" s="1"/>
  <c r="N210" i="20"/>
  <c r="N178" i="20"/>
  <c r="D210" i="20"/>
  <c r="W10" i="31"/>
  <c r="W210" i="20"/>
  <c r="P178" i="20"/>
  <c r="X178" i="20" s="1"/>
  <c r="S178" i="20"/>
  <c r="AA178" i="20" s="1"/>
  <c r="Q178" i="20"/>
  <c r="Y178" i="20" s="1"/>
  <c r="D178" i="20"/>
  <c r="W9" i="31"/>
  <c r="W178" i="20"/>
  <c r="N219" i="20"/>
  <c r="S219" i="20"/>
  <c r="AA219" i="20" s="1"/>
  <c r="P219" i="20"/>
  <c r="X219" i="20" s="1"/>
  <c r="Q219" i="20"/>
  <c r="Y219" i="20" s="1"/>
  <c r="D219" i="20"/>
  <c r="O219" i="20"/>
  <c r="W219" i="20" s="1"/>
  <c r="W8" i="31"/>
  <c r="Q142" i="20"/>
  <c r="Y142" i="20" s="1"/>
  <c r="N142" i="20"/>
  <c r="S142" i="20"/>
  <c r="AA142" i="20" s="1"/>
  <c r="P142" i="20"/>
  <c r="X142" i="20" s="1"/>
  <c r="O142" i="20"/>
  <c r="W142" i="20" s="1"/>
  <c r="D142" i="20"/>
  <c r="W7" i="31"/>
  <c r="Q153" i="20"/>
  <c r="Y153" i="20" s="1"/>
  <c r="Q229" i="20"/>
  <c r="Y229" i="20" s="1"/>
  <c r="S229" i="20"/>
  <c r="AA229" i="20" s="1"/>
  <c r="S153" i="20"/>
  <c r="AA153" i="20" s="1"/>
  <c r="S152" i="20"/>
  <c r="AA152" i="20" s="1"/>
  <c r="O153" i="20"/>
  <c r="W153" i="20" s="1"/>
  <c r="N152" i="20"/>
  <c r="W6" i="31"/>
  <c r="P152" i="20"/>
  <c r="X152" i="20" s="1"/>
  <c r="D229" i="20"/>
  <c r="P229" i="20"/>
  <c r="X229" i="20" s="1"/>
  <c r="D152" i="20"/>
  <c r="Q152" i="20"/>
  <c r="Y152" i="20" s="1"/>
  <c r="W5" i="31"/>
  <c r="W152" i="20"/>
  <c r="N229" i="20"/>
  <c r="BC3" i="31"/>
  <c r="BJ3" i="31" s="1"/>
  <c r="W4" i="31"/>
  <c r="W229" i="20"/>
  <c r="D153" i="20"/>
  <c r="N153" i="20"/>
  <c r="W3" i="31"/>
  <c r="X288" i="38"/>
  <c r="Y288" i="38"/>
  <c r="AC291" i="38"/>
  <c r="Y289" i="38"/>
  <c r="Z289" i="38" s="1"/>
  <c r="X290" i="38"/>
  <c r="Z290" i="38" s="1"/>
  <c r="B281" i="38"/>
  <c r="B282" i="38"/>
  <c r="B283" i="38"/>
  <c r="W283" i="38" s="1"/>
  <c r="X283" i="38" s="1"/>
  <c r="B284" i="38"/>
  <c r="W284" i="38" s="1"/>
  <c r="X284" i="38" s="1"/>
  <c r="B285" i="38"/>
  <c r="B286" i="38"/>
  <c r="F281" i="38"/>
  <c r="F282" i="38"/>
  <c r="F283" i="38"/>
  <c r="I284" i="38"/>
  <c r="I285" i="38"/>
  <c r="I286" i="38"/>
  <c r="P281" i="38"/>
  <c r="P282" i="38"/>
  <c r="P283" i="38"/>
  <c r="P284" i="38"/>
  <c r="P285" i="38"/>
  <c r="P286" i="38"/>
  <c r="V281" i="38"/>
  <c r="V282" i="38"/>
  <c r="V283" i="38"/>
  <c r="V284" i="38"/>
  <c r="V285" i="38"/>
  <c r="V286" i="38"/>
  <c r="AC286" i="38"/>
  <c r="AD281" i="38"/>
  <c r="AD282" i="38"/>
  <c r="AD283" i="38"/>
  <c r="AD284" i="38"/>
  <c r="AD285" i="38"/>
  <c r="AD286" i="38"/>
  <c r="AF281" i="38"/>
  <c r="AF282" i="38"/>
  <c r="AF283" i="38"/>
  <c r="AF284" i="38"/>
  <c r="AF285" i="38"/>
  <c r="AF286" i="38"/>
  <c r="AJ281" i="38"/>
  <c r="AJ282" i="38"/>
  <c r="AJ283" i="38"/>
  <c r="AJ284" i="38"/>
  <c r="AJ285" i="38"/>
  <c r="AJ286" i="38"/>
  <c r="BC144" i="20" l="1"/>
  <c r="W86" i="20"/>
  <c r="W3" i="20"/>
  <c r="BD144" i="20"/>
  <c r="BG272" i="31"/>
  <c r="BF272" i="31"/>
  <c r="Y3" i="20"/>
  <c r="BF144" i="20"/>
  <c r="Z3" i="20"/>
  <c r="BG144" i="20"/>
  <c r="BH272" i="31"/>
  <c r="BD266" i="31"/>
  <c r="X3" i="20"/>
  <c r="BE144" i="20"/>
  <c r="BC266" i="31"/>
  <c r="BI266" i="31" s="1"/>
  <c r="BJ268" i="31"/>
  <c r="BI269" i="31"/>
  <c r="BE272" i="31"/>
  <c r="AA3" i="20"/>
  <c r="BH144" i="20"/>
  <c r="BD272" i="31"/>
  <c r="BC19" i="20"/>
  <c r="BF19" i="20" s="1"/>
  <c r="BD271" i="31"/>
  <c r="BD19" i="20"/>
  <c r="BH271" i="31"/>
  <c r="BH19" i="20"/>
  <c r="BE271" i="31"/>
  <c r="BG271" i="31"/>
  <c r="BC270" i="31"/>
  <c r="X287" i="38"/>
  <c r="Y287" i="38"/>
  <c r="B210" i="31"/>
  <c r="B255" i="20"/>
  <c r="BC57" i="20"/>
  <c r="BF57" i="20" s="1"/>
  <c r="BC264" i="31"/>
  <c r="BK264" i="31" s="1"/>
  <c r="BJ269" i="31"/>
  <c r="BD270" i="31"/>
  <c r="BF270" i="31"/>
  <c r="BH270" i="31"/>
  <c r="BE270" i="31"/>
  <c r="BG270" i="31"/>
  <c r="BC246" i="20"/>
  <c r="BF246" i="20" s="1"/>
  <c r="BC257" i="31"/>
  <c r="BD269" i="31"/>
  <c r="BF269" i="31"/>
  <c r="BD246" i="20"/>
  <c r="BH269" i="31"/>
  <c r="BC267" i="31"/>
  <c r="BD267" i="31" s="1"/>
  <c r="BE269" i="31"/>
  <c r="BG269" i="31"/>
  <c r="BC69" i="20"/>
  <c r="BF69" i="20" s="1"/>
  <c r="BK267" i="31"/>
  <c r="BD268" i="31"/>
  <c r="BF268" i="31"/>
  <c r="BD69" i="20"/>
  <c r="BJ266" i="31"/>
  <c r="BH268" i="31"/>
  <c r="BE268" i="31"/>
  <c r="BG268" i="31"/>
  <c r="BC185" i="20"/>
  <c r="BF185" i="20" s="1"/>
  <c r="BC262" i="31"/>
  <c r="BJ262" i="31" s="1"/>
  <c r="BK266" i="31"/>
  <c r="BF267" i="31"/>
  <c r="BC261" i="31"/>
  <c r="BE267" i="31"/>
  <c r="BC20" i="20"/>
  <c r="BD20" i="20" s="1"/>
  <c r="BF258" i="31"/>
  <c r="BI260" i="31"/>
  <c r="BJ264" i="31"/>
  <c r="BF266" i="31"/>
  <c r="BH266" i="31"/>
  <c r="BE266" i="31"/>
  <c r="BG266" i="31"/>
  <c r="BD263" i="31"/>
  <c r="BC265" i="31"/>
  <c r="BD265" i="31" s="1"/>
  <c r="BC146" i="20"/>
  <c r="BF146" i="20" s="1"/>
  <c r="BK262" i="31"/>
  <c r="BJ263" i="31"/>
  <c r="BI264" i="31"/>
  <c r="BD146" i="20"/>
  <c r="BE265" i="31"/>
  <c r="BC147" i="20"/>
  <c r="BF147" i="20" s="1"/>
  <c r="BK263" i="31"/>
  <c r="BD264" i="31"/>
  <c r="BF264" i="31"/>
  <c r="BD147" i="20"/>
  <c r="BH264" i="31"/>
  <c r="BE264" i="31"/>
  <c r="BG264" i="31"/>
  <c r="BG147" i="20"/>
  <c r="BC149" i="20"/>
  <c r="BD149" i="20" s="1"/>
  <c r="BF263" i="31"/>
  <c r="BI262" i="31"/>
  <c r="BH263" i="31"/>
  <c r="BH257" i="31"/>
  <c r="BI259" i="31"/>
  <c r="BE263" i="31"/>
  <c r="BG263" i="31"/>
  <c r="BG149" i="20"/>
  <c r="BC145" i="20"/>
  <c r="BH145" i="20" s="1"/>
  <c r="BD260" i="31"/>
  <c r="BI256" i="31"/>
  <c r="BI258" i="31"/>
  <c r="BD262" i="31"/>
  <c r="BF262" i="31"/>
  <c r="BH262" i="31"/>
  <c r="BI245" i="31"/>
  <c r="BI255" i="31"/>
  <c r="BK258" i="31"/>
  <c r="BE262" i="31"/>
  <c r="BG262" i="31"/>
  <c r="BC241" i="20"/>
  <c r="BH241" i="20" s="1"/>
  <c r="BJ260" i="31"/>
  <c r="BD261" i="31"/>
  <c r="BF261" i="31"/>
  <c r="BD241" i="20"/>
  <c r="BH261" i="31"/>
  <c r="BE261" i="31"/>
  <c r="BC257" i="20"/>
  <c r="BH257" i="20" s="1"/>
  <c r="BJ259" i="31"/>
  <c r="BF260" i="31"/>
  <c r="BH260" i="31"/>
  <c r="BD259" i="31"/>
  <c r="BI257" i="31"/>
  <c r="BE260" i="31"/>
  <c r="BG260" i="31"/>
  <c r="BC98" i="20"/>
  <c r="BH98" i="20" s="1"/>
  <c r="BF259" i="31"/>
  <c r="BH259" i="31"/>
  <c r="BD230" i="31"/>
  <c r="BE259" i="31"/>
  <c r="BG259" i="31"/>
  <c r="BC87" i="20"/>
  <c r="BD87" i="20" s="1"/>
  <c r="BJ257" i="31"/>
  <c r="BD258" i="31"/>
  <c r="BK257" i="31"/>
  <c r="BH258" i="31"/>
  <c r="BI249" i="31"/>
  <c r="BI253" i="31"/>
  <c r="BE258" i="31"/>
  <c r="BG258" i="31"/>
  <c r="BC86" i="20"/>
  <c r="BF86" i="20" s="1"/>
  <c r="BJ256" i="31"/>
  <c r="BD257" i="31"/>
  <c r="BF257" i="31"/>
  <c r="BD86" i="20"/>
  <c r="BJ245" i="31"/>
  <c r="BC250" i="31"/>
  <c r="BK250" i="31" s="1"/>
  <c r="BE257" i="31"/>
  <c r="BG257" i="31"/>
  <c r="BC258" i="20"/>
  <c r="BF258" i="20" s="1"/>
  <c r="BJ255" i="31"/>
  <c r="BD256" i="31"/>
  <c r="BF256" i="31"/>
  <c r="BD258" i="20"/>
  <c r="BH256" i="31"/>
  <c r="BK249" i="31"/>
  <c r="BE256" i="31"/>
  <c r="BG256" i="31"/>
  <c r="BC22" i="20"/>
  <c r="BD22" i="20" s="1"/>
  <c r="BD240" i="31"/>
  <c r="BK253" i="31"/>
  <c r="BD255" i="31"/>
  <c r="BF255" i="31"/>
  <c r="BH255" i="31"/>
  <c r="BJ252" i="31"/>
  <c r="BE255" i="31"/>
  <c r="BG255" i="31"/>
  <c r="BC192" i="20"/>
  <c r="BJ192" i="20" s="1"/>
  <c r="BI252" i="31"/>
  <c r="W253" i="31"/>
  <c r="BD254" i="31"/>
  <c r="BF254" i="31"/>
  <c r="BH254" i="31"/>
  <c r="BE254" i="31"/>
  <c r="BG254" i="31"/>
  <c r="BC90" i="20"/>
  <c r="BD90" i="20" s="1"/>
  <c r="BI238" i="31"/>
  <c r="BD253" i="31"/>
  <c r="BF253" i="31"/>
  <c r="BH253" i="31"/>
  <c r="BI246" i="31"/>
  <c r="BC251" i="31"/>
  <c r="BF251" i="31" s="1"/>
  <c r="BE253" i="31"/>
  <c r="BG253" i="31"/>
  <c r="BC193" i="20"/>
  <c r="BF193" i="20" s="1"/>
  <c r="BI251" i="31"/>
  <c r="BD252" i="31"/>
  <c r="BF252" i="31"/>
  <c r="BD193" i="20"/>
  <c r="BH252" i="31"/>
  <c r="BE252" i="31"/>
  <c r="BG252" i="31"/>
  <c r="BE193" i="20"/>
  <c r="BC102" i="20"/>
  <c r="BF102" i="20" s="1"/>
  <c r="BJ248" i="31"/>
  <c r="BI247" i="31"/>
  <c r="BC43" i="20"/>
  <c r="BF43" i="20" s="1"/>
  <c r="BK246" i="31"/>
  <c r="BD250" i="31"/>
  <c r="BF250" i="31"/>
  <c r="BD43" i="20"/>
  <c r="BH250" i="31"/>
  <c r="BE250" i="31"/>
  <c r="BG250" i="31"/>
  <c r="BG43" i="20"/>
  <c r="BC13" i="20"/>
  <c r="BF13" i="20" s="1"/>
  <c r="BK248" i="31"/>
  <c r="BD249" i="31"/>
  <c r="BF249" i="31"/>
  <c r="BD13" i="20"/>
  <c r="BI248" i="31"/>
  <c r="BH249" i="31"/>
  <c r="BE249" i="31"/>
  <c r="BG249" i="31"/>
  <c r="BC206" i="20"/>
  <c r="BD206" i="20" s="1"/>
  <c r="BJ247" i="31"/>
  <c r="BD248" i="31"/>
  <c r="BJ244" i="31"/>
  <c r="BG247" i="31"/>
  <c r="BH248" i="31"/>
  <c r="BE248" i="31"/>
  <c r="BG248" i="31"/>
  <c r="BG206" i="20"/>
  <c r="BC41" i="20"/>
  <c r="BE41" i="20" s="1"/>
  <c r="BI243" i="31"/>
  <c r="BD247" i="31"/>
  <c r="BF247" i="31"/>
  <c r="BD41" i="20"/>
  <c r="BJ243" i="31"/>
  <c r="BH247" i="31"/>
  <c r="BI242" i="31"/>
  <c r="BE247" i="31"/>
  <c r="BC47" i="20"/>
  <c r="BE47" i="20" s="1"/>
  <c r="BD246" i="31"/>
  <c r="BF246" i="31"/>
  <c r="BH246" i="31"/>
  <c r="BE246" i="31"/>
  <c r="BG246" i="31"/>
  <c r="BI239" i="31"/>
  <c r="BC139" i="20"/>
  <c r="BK139" i="20" s="1"/>
  <c r="BI241" i="31"/>
  <c r="BK244" i="31"/>
  <c r="BD245" i="31"/>
  <c r="BF245" i="31"/>
  <c r="BG14" i="31"/>
  <c r="BI237" i="31"/>
  <c r="BK241" i="31"/>
  <c r="BH245" i="31"/>
  <c r="BI240" i="31"/>
  <c r="BE245" i="31"/>
  <c r="BG245" i="31"/>
  <c r="BC239" i="20"/>
  <c r="BH239" i="20" s="1"/>
  <c r="BD244" i="31"/>
  <c r="BF244" i="31"/>
  <c r="BH244" i="31"/>
  <c r="BJ234" i="31"/>
  <c r="BJ237" i="31"/>
  <c r="BK240" i="31"/>
  <c r="BE244" i="31"/>
  <c r="BG244" i="31"/>
  <c r="BC235" i="31"/>
  <c r="BH235" i="31" s="1"/>
  <c r="BC181" i="20"/>
  <c r="BF181" i="20" s="1"/>
  <c r="BJ242" i="31"/>
  <c r="BD243" i="31"/>
  <c r="BF243" i="31"/>
  <c r="BD181" i="20"/>
  <c r="BG237" i="31"/>
  <c r="BH243" i="31"/>
  <c r="BG239" i="31"/>
  <c r="BE243" i="31"/>
  <c r="BG243" i="31"/>
  <c r="BC210" i="20"/>
  <c r="BF210" i="20" s="1"/>
  <c r="BG234" i="31"/>
  <c r="BD242" i="31"/>
  <c r="BF242" i="31"/>
  <c r="BD210" i="20"/>
  <c r="BH242" i="31"/>
  <c r="BE242" i="31"/>
  <c r="BG242" i="31"/>
  <c r="BG210" i="20"/>
  <c r="BC214" i="20"/>
  <c r="BF214" i="20" s="1"/>
  <c r="BJ240" i="31"/>
  <c r="BD241" i="31"/>
  <c r="BF241" i="31"/>
  <c r="BD214" i="20"/>
  <c r="BH241" i="31"/>
  <c r="BE241" i="31"/>
  <c r="BG241" i="31"/>
  <c r="BG214" i="20"/>
  <c r="BC119" i="20"/>
  <c r="BE119" i="20" s="1"/>
  <c r="BF238" i="31"/>
  <c r="BF240" i="31"/>
  <c r="BH240" i="31"/>
  <c r="BE240" i="31"/>
  <c r="BG240" i="31"/>
  <c r="BC254" i="20"/>
  <c r="BH254" i="20" s="1"/>
  <c r="BD239" i="31"/>
  <c r="BF239" i="31"/>
  <c r="BH239" i="31"/>
  <c r="BE239" i="31"/>
  <c r="BC16" i="20"/>
  <c r="BD16" i="20" s="1"/>
  <c r="BD238" i="31"/>
  <c r="BH238" i="31"/>
  <c r="BI234" i="31"/>
  <c r="BC233" i="31"/>
  <c r="BF233" i="31" s="1"/>
  <c r="BE238" i="31"/>
  <c r="BG238" i="31"/>
  <c r="BC91" i="20"/>
  <c r="BE91" i="20" s="1"/>
  <c r="BI236" i="31"/>
  <c r="BD237" i="31"/>
  <c r="BF237" i="31"/>
  <c r="BD91" i="20"/>
  <c r="BK235" i="31"/>
  <c r="BJ236" i="31"/>
  <c r="BH237" i="31"/>
  <c r="BE237" i="31"/>
  <c r="BC116" i="20"/>
  <c r="BE116" i="20" s="1"/>
  <c r="BD236" i="31"/>
  <c r="BF236" i="31"/>
  <c r="BH236" i="31"/>
  <c r="BE236" i="31"/>
  <c r="BG236" i="31"/>
  <c r="BC21" i="20"/>
  <c r="BH21" i="20" s="1"/>
  <c r="BF235" i="31"/>
  <c r="BJ231" i="31"/>
  <c r="BG235" i="31"/>
  <c r="BC129" i="20"/>
  <c r="BF129" i="20" s="1"/>
  <c r="BJ229" i="31"/>
  <c r="BD234" i="31"/>
  <c r="BF234" i="31"/>
  <c r="BD129" i="20"/>
  <c r="BH234" i="31"/>
  <c r="BK223" i="31"/>
  <c r="BF230" i="31"/>
  <c r="BE234" i="31"/>
  <c r="BC84" i="20"/>
  <c r="BF84" i="20" s="1"/>
  <c r="BI224" i="31"/>
  <c r="BK224" i="31"/>
  <c r="BI232" i="31"/>
  <c r="BE233" i="31"/>
  <c r="BC158" i="20"/>
  <c r="BH158" i="20" s="1"/>
  <c r="BK231" i="31"/>
  <c r="BD232" i="31"/>
  <c r="BF232" i="31"/>
  <c r="BD158" i="20"/>
  <c r="BH232" i="31"/>
  <c r="BE232" i="31"/>
  <c r="BG232" i="31"/>
  <c r="BE158" i="20"/>
  <c r="BC37" i="20"/>
  <c r="BD37" i="20" s="1"/>
  <c r="BJ230" i="31"/>
  <c r="BD231" i="31"/>
  <c r="BF231" i="31"/>
  <c r="BK230" i="31"/>
  <c r="BH231" i="31"/>
  <c r="BJ226" i="31"/>
  <c r="BI228" i="31"/>
  <c r="BG37" i="20"/>
  <c r="BE231" i="31"/>
  <c r="BG231" i="31"/>
  <c r="BC157" i="20"/>
  <c r="BI157" i="20" s="1"/>
  <c r="BI229" i="31"/>
  <c r="BH230" i="31"/>
  <c r="BE230" i="31"/>
  <c r="BG230" i="31"/>
  <c r="BC122" i="20"/>
  <c r="BF122" i="20" s="1"/>
  <c r="BD216" i="31"/>
  <c r="BJ228" i="31"/>
  <c r="BD229" i="31"/>
  <c r="BF229" i="31"/>
  <c r="BH229" i="31"/>
  <c r="BE229" i="31"/>
  <c r="BG229" i="31"/>
  <c r="BE122" i="20"/>
  <c r="BC205" i="20"/>
  <c r="BF205" i="20" s="1"/>
  <c r="BK227" i="31"/>
  <c r="BD228" i="31"/>
  <c r="BF228" i="31"/>
  <c r="BD205" i="20"/>
  <c r="BI227" i="31"/>
  <c r="BH228" i="31"/>
  <c r="BE228" i="31"/>
  <c r="BG228" i="31"/>
  <c r="BG227" i="31"/>
  <c r="BC85" i="20"/>
  <c r="BF85" i="20" s="1"/>
  <c r="BI223" i="31"/>
  <c r="BG226" i="31"/>
  <c r="BD227" i="31"/>
  <c r="BF227" i="31"/>
  <c r="BK226" i="31"/>
  <c r="BH227" i="31"/>
  <c r="BE227" i="31"/>
  <c r="BC110" i="20"/>
  <c r="BF110" i="20" s="1"/>
  <c r="BI225" i="31"/>
  <c r="BD226" i="31"/>
  <c r="BF226" i="31"/>
  <c r="BD110" i="20"/>
  <c r="BJ225" i="31"/>
  <c r="BH226" i="31"/>
  <c r="BE226" i="31"/>
  <c r="BC54" i="20"/>
  <c r="BE54" i="20" s="1"/>
  <c r="BD225" i="31"/>
  <c r="BF225" i="31"/>
  <c r="BH225" i="31"/>
  <c r="BE225" i="31"/>
  <c r="BG225" i="31"/>
  <c r="BC73" i="20"/>
  <c r="BF73" i="20" s="1"/>
  <c r="BI222" i="31"/>
  <c r="BD224" i="31"/>
  <c r="BF224" i="31"/>
  <c r="BD73" i="20"/>
  <c r="BK220" i="31"/>
  <c r="BJ222" i="31"/>
  <c r="BH224" i="31"/>
  <c r="BH73" i="20"/>
  <c r="BE224" i="31"/>
  <c r="BG224" i="31"/>
  <c r="BC170" i="20"/>
  <c r="BD170" i="20" s="1"/>
  <c r="BD223" i="31"/>
  <c r="BF223" i="31"/>
  <c r="BH223" i="31"/>
  <c r="BE223" i="31"/>
  <c r="BG223" i="31"/>
  <c r="BC180" i="20"/>
  <c r="BF180" i="20" s="1"/>
  <c r="BI220" i="31"/>
  <c r="BI221" i="31"/>
  <c r="BD222" i="31"/>
  <c r="BF222" i="31"/>
  <c r="BI219" i="31"/>
  <c r="BJ221" i="31"/>
  <c r="BH222" i="31"/>
  <c r="BK219" i="31"/>
  <c r="BE222" i="31"/>
  <c r="BG222" i="31"/>
  <c r="BC46" i="20"/>
  <c r="BF46" i="20" s="1"/>
  <c r="BK218" i="31"/>
  <c r="BD221" i="31"/>
  <c r="BF221" i="31"/>
  <c r="BD46" i="20"/>
  <c r="BH221" i="31"/>
  <c r="BI216" i="31"/>
  <c r="BI217" i="31"/>
  <c r="BE221" i="31"/>
  <c r="BG221" i="31"/>
  <c r="BC74" i="20"/>
  <c r="BH74" i="20" s="1"/>
  <c r="BK217" i="31"/>
  <c r="BD220" i="31"/>
  <c r="BF220" i="31"/>
  <c r="BD74" i="20"/>
  <c r="BH220" i="31"/>
  <c r="BE220" i="31"/>
  <c r="BG220" i="31"/>
  <c r="BE74" i="20"/>
  <c r="BC255" i="20"/>
  <c r="BF255" i="20" s="1"/>
  <c r="BI214" i="31"/>
  <c r="BJ216" i="31"/>
  <c r="BD219" i="31"/>
  <c r="BF219" i="31"/>
  <c r="BI218" i="31"/>
  <c r="BH219" i="31"/>
  <c r="BI212" i="31"/>
  <c r="BE219" i="31"/>
  <c r="BG219" i="31"/>
  <c r="BH216" i="31"/>
  <c r="BC112" i="20"/>
  <c r="BK112" i="20" s="1"/>
  <c r="BG120" i="31"/>
  <c r="BD218" i="31"/>
  <c r="BF218" i="31"/>
  <c r="BH218" i="31"/>
  <c r="BJ212" i="31"/>
  <c r="BC213" i="31"/>
  <c r="BK213" i="31" s="1"/>
  <c r="BE218" i="31"/>
  <c r="BG218" i="31"/>
  <c r="BC215" i="31"/>
  <c r="BK215" i="31" s="1"/>
  <c r="BC135" i="20"/>
  <c r="BH135" i="20" s="1"/>
  <c r="BI207" i="31"/>
  <c r="BC211" i="31"/>
  <c r="BK211" i="31" s="1"/>
  <c r="BD217" i="31"/>
  <c r="BF217" i="31"/>
  <c r="BH217" i="31"/>
  <c r="BE217" i="31"/>
  <c r="BG217" i="31"/>
  <c r="BC103" i="20"/>
  <c r="BF103" i="20" s="1"/>
  <c r="BF216" i="31"/>
  <c r="BJ210" i="31"/>
  <c r="BD166" i="31"/>
  <c r="BG58" i="31"/>
  <c r="BJ205" i="31"/>
  <c r="BE216" i="31"/>
  <c r="BG216" i="31"/>
  <c r="BC261" i="20"/>
  <c r="BE261" i="20" s="1"/>
  <c r="BG206" i="31"/>
  <c r="BF214" i="31"/>
  <c r="BD215" i="31"/>
  <c r="BH206" i="31"/>
  <c r="BI206" i="31"/>
  <c r="BJ209" i="31"/>
  <c r="BH214" i="31"/>
  <c r="BJ206" i="31"/>
  <c r="BC55" i="20"/>
  <c r="BF55" i="20" s="1"/>
  <c r="BD214" i="31"/>
  <c r="BC153" i="31"/>
  <c r="BK153" i="31" s="1"/>
  <c r="BE214" i="31"/>
  <c r="BG214" i="31"/>
  <c r="BC50" i="20"/>
  <c r="BH50" i="20" s="1"/>
  <c r="BC245" i="20"/>
  <c r="BE245" i="20" s="1"/>
  <c r="BD212" i="31"/>
  <c r="BF212" i="31"/>
  <c r="BH212" i="31"/>
  <c r="BE212" i="31"/>
  <c r="BG212" i="31"/>
  <c r="BC25" i="20"/>
  <c r="BF25" i="20" s="1"/>
  <c r="W118" i="20"/>
  <c r="BK210" i="31"/>
  <c r="BI203" i="31"/>
  <c r="BC4" i="20"/>
  <c r="BF4" i="20" s="1"/>
  <c r="BK209" i="31"/>
  <c r="BD210" i="31"/>
  <c r="BF210" i="31"/>
  <c r="BD4" i="20"/>
  <c r="BC208" i="31"/>
  <c r="BD208" i="31" s="1"/>
  <c r="BH210" i="31"/>
  <c r="BC155" i="31"/>
  <c r="BJ155" i="31" s="1"/>
  <c r="BE210" i="31"/>
  <c r="BG210" i="31"/>
  <c r="BC167" i="20"/>
  <c r="BE167" i="20" s="1"/>
  <c r="BD209" i="31"/>
  <c r="BF209" i="31"/>
  <c r="BH209" i="31"/>
  <c r="BE209" i="31"/>
  <c r="BG209" i="31"/>
  <c r="BC236" i="20"/>
  <c r="BF236" i="20" s="1"/>
  <c r="BJ207" i="31"/>
  <c r="BC81" i="20"/>
  <c r="BE81" i="20" s="1"/>
  <c r="BD207" i="31"/>
  <c r="BF207" i="31"/>
  <c r="BH207" i="31"/>
  <c r="BE207" i="31"/>
  <c r="BG207" i="31"/>
  <c r="BC184" i="20"/>
  <c r="BD184" i="20" s="1"/>
  <c r="W205" i="31"/>
  <c r="BK205" i="31"/>
  <c r="BD206" i="31"/>
  <c r="BF206" i="31"/>
  <c r="BE206" i="31"/>
  <c r="BC17" i="20"/>
  <c r="BH17" i="20" s="1"/>
  <c r="BJ204" i="31"/>
  <c r="BD205" i="31"/>
  <c r="BF205" i="31"/>
  <c r="BD17" i="20"/>
  <c r="BH205" i="31"/>
  <c r="BH182" i="31"/>
  <c r="BE205" i="31"/>
  <c r="BG205" i="31"/>
  <c r="BC15" i="20"/>
  <c r="BG15" i="20" s="1"/>
  <c r="BK197" i="31"/>
  <c r="BJ199" i="31"/>
  <c r="BJ201" i="31"/>
  <c r="BJ203" i="31"/>
  <c r="BD204" i="31"/>
  <c r="BF204" i="31"/>
  <c r="BG199" i="31"/>
  <c r="BH204" i="31"/>
  <c r="BI200" i="31"/>
  <c r="BC202" i="31"/>
  <c r="BI202" i="31" s="1"/>
  <c r="BE204" i="31"/>
  <c r="BG204" i="31"/>
  <c r="BC32" i="20"/>
  <c r="BF32" i="20" s="1"/>
  <c r="BI197" i="31"/>
  <c r="BD203" i="31"/>
  <c r="BF203" i="31"/>
  <c r="BD32" i="20"/>
  <c r="BH203" i="31"/>
  <c r="BJ196" i="31"/>
  <c r="BE203" i="31"/>
  <c r="BG203" i="31"/>
  <c r="BC178" i="20"/>
  <c r="BD178" i="20" s="1"/>
  <c r="BG201" i="31"/>
  <c r="BK201" i="31"/>
  <c r="BI198" i="31"/>
  <c r="BG202" i="31"/>
  <c r="BC10" i="20"/>
  <c r="BH10" i="20" s="1"/>
  <c r="BJ200" i="31"/>
  <c r="BD201" i="31"/>
  <c r="BF201" i="31"/>
  <c r="BD10" i="20"/>
  <c r="BH201" i="31"/>
  <c r="BE201" i="31"/>
  <c r="BC108" i="20"/>
  <c r="BH108" i="20" s="1"/>
  <c r="BD200" i="31"/>
  <c r="BF200" i="31"/>
  <c r="BH200" i="31"/>
  <c r="BJ195" i="31"/>
  <c r="BH199" i="31"/>
  <c r="BE200" i="31"/>
  <c r="BG200" i="31"/>
  <c r="BC95" i="20"/>
  <c r="BF95" i="20" s="1"/>
  <c r="BJ198" i="31"/>
  <c r="BD199" i="31"/>
  <c r="BF199" i="31"/>
  <c r="BD95" i="20"/>
  <c r="BE199" i="31"/>
  <c r="BC260" i="20"/>
  <c r="BF260" i="20" s="1"/>
  <c r="BK196" i="31"/>
  <c r="BD198" i="31"/>
  <c r="BF198" i="31"/>
  <c r="BD260" i="20"/>
  <c r="BH198" i="31"/>
  <c r="BE198" i="31"/>
  <c r="BG198" i="31"/>
  <c r="BG196" i="31"/>
  <c r="BC141" i="20"/>
  <c r="BD141" i="20" s="1"/>
  <c r="BD197" i="31"/>
  <c r="BF197" i="31"/>
  <c r="BK195" i="31"/>
  <c r="BC194" i="31"/>
  <c r="BF194" i="31" s="1"/>
  <c r="BH197" i="31"/>
  <c r="BE197" i="31"/>
  <c r="BG197" i="31"/>
  <c r="BC187" i="31"/>
  <c r="BI187" i="31" s="1"/>
  <c r="BC56" i="20"/>
  <c r="BD56" i="20" s="1"/>
  <c r="BD196" i="31"/>
  <c r="BF196" i="31"/>
  <c r="BH196" i="31"/>
  <c r="BH56" i="20"/>
  <c r="BI193" i="31"/>
  <c r="BE196" i="31"/>
  <c r="BC203" i="20"/>
  <c r="BH203" i="20" s="1"/>
  <c r="BD195" i="31"/>
  <c r="BF195" i="31"/>
  <c r="BH195" i="31"/>
  <c r="BE195" i="31"/>
  <c r="BG195" i="31"/>
  <c r="BC249" i="20"/>
  <c r="BF249" i="20" s="1"/>
  <c r="BJ186" i="31"/>
  <c r="BJ193" i="31"/>
  <c r="BG193" i="31"/>
  <c r="BC49" i="20"/>
  <c r="BF49" i="20" s="1"/>
  <c r="BJ192" i="31"/>
  <c r="BD193" i="31"/>
  <c r="BF193" i="31"/>
  <c r="BD49" i="20"/>
  <c r="BG192" i="31"/>
  <c r="BH193" i="31"/>
  <c r="BC191" i="31"/>
  <c r="BD191" i="31" s="1"/>
  <c r="BE193" i="31"/>
  <c r="BC131" i="20"/>
  <c r="BD131" i="20" s="1"/>
  <c r="BJ190" i="31"/>
  <c r="BK191" i="31"/>
  <c r="BD192" i="31"/>
  <c r="BF192" i="31"/>
  <c r="BH192" i="31"/>
  <c r="BE192" i="31"/>
  <c r="BC125" i="20"/>
  <c r="BD125" i="20" s="1"/>
  <c r="BI185" i="31"/>
  <c r="BJ188" i="31"/>
  <c r="BJ189" i="31"/>
  <c r="BI190" i="31"/>
  <c r="BK188" i="31"/>
  <c r="BI186" i="31"/>
  <c r="BC3" i="20"/>
  <c r="BF3" i="20" s="1"/>
  <c r="BF183" i="31"/>
  <c r="BK189" i="31"/>
  <c r="BD190" i="31"/>
  <c r="BF190" i="31"/>
  <c r="BH190" i="31"/>
  <c r="BE190" i="31"/>
  <c r="BG190" i="31"/>
  <c r="BG3" i="20"/>
  <c r="BC172" i="20"/>
  <c r="BF172" i="20" s="1"/>
  <c r="BD189" i="31"/>
  <c r="BF189" i="31"/>
  <c r="BH189" i="31"/>
  <c r="BG172" i="20"/>
  <c r="BE189" i="31"/>
  <c r="BG189" i="31"/>
  <c r="BC105" i="20"/>
  <c r="BF105" i="20" s="1"/>
  <c r="BJ174" i="31"/>
  <c r="BD188" i="31"/>
  <c r="BF188" i="31"/>
  <c r="BH188" i="31"/>
  <c r="BE188" i="31"/>
  <c r="BG188" i="31"/>
  <c r="BC35" i="20"/>
  <c r="BF35" i="20" s="1"/>
  <c r="W186" i="31"/>
  <c r="BK173" i="31"/>
  <c r="BK174" i="31"/>
  <c r="BC164" i="20"/>
  <c r="BE164" i="20" s="1"/>
  <c r="BD186" i="31"/>
  <c r="BF186" i="31"/>
  <c r="BI166" i="31"/>
  <c r="BH186" i="31"/>
  <c r="BE186" i="31"/>
  <c r="BG186" i="31"/>
  <c r="BC8" i="20"/>
  <c r="BF8" i="20" s="1"/>
  <c r="BI183" i="31"/>
  <c r="BI184" i="31"/>
  <c r="BD185" i="31"/>
  <c r="BF185" i="31"/>
  <c r="BJ183" i="31"/>
  <c r="BJ184" i="31"/>
  <c r="BH185" i="31"/>
  <c r="BI182" i="31"/>
  <c r="BE185" i="31"/>
  <c r="BG185" i="31"/>
  <c r="BC238" i="20"/>
  <c r="BF238" i="20" s="1"/>
  <c r="BK183" i="31"/>
  <c r="BD184" i="31"/>
  <c r="BF184" i="31"/>
  <c r="BD238" i="20"/>
  <c r="BH184" i="31"/>
  <c r="BJ166" i="31"/>
  <c r="BK179" i="31"/>
  <c r="BE184" i="31"/>
  <c r="BG184" i="31"/>
  <c r="BC202" i="20"/>
  <c r="BF202" i="20" s="1"/>
  <c r="BC164" i="31"/>
  <c r="BI164" i="31" s="1"/>
  <c r="W182" i="31"/>
  <c r="BJ182" i="31"/>
  <c r="BD183" i="31"/>
  <c r="BK182" i="31"/>
  <c r="BH183" i="31"/>
  <c r="BE183" i="31"/>
  <c r="BG183" i="31"/>
  <c r="BC222" i="20"/>
  <c r="BF222" i="20" s="1"/>
  <c r="BJ181" i="31"/>
  <c r="BD182" i="31"/>
  <c r="BF182" i="31"/>
  <c r="BD222" i="20"/>
  <c r="BE182" i="31"/>
  <c r="BG182" i="31"/>
  <c r="BC59" i="20"/>
  <c r="BD59" i="20" s="1"/>
  <c r="W176" i="31"/>
  <c r="BI179" i="31"/>
  <c r="BI180" i="31"/>
  <c r="BD181" i="31"/>
  <c r="BF181" i="31"/>
  <c r="BJ180" i="31"/>
  <c r="BH181" i="31"/>
  <c r="BJ173" i="31"/>
  <c r="BK177" i="31"/>
  <c r="BE181" i="31"/>
  <c r="BG181" i="31"/>
  <c r="BG59" i="20"/>
  <c r="BC151" i="20"/>
  <c r="BF151" i="20" s="1"/>
  <c r="BD180" i="31"/>
  <c r="BF180" i="31"/>
  <c r="BH180" i="31"/>
  <c r="BC178" i="31"/>
  <c r="BK178" i="31" s="1"/>
  <c r="BE180" i="31"/>
  <c r="BG180" i="31"/>
  <c r="BC30" i="20"/>
  <c r="BF30" i="20" s="1"/>
  <c r="BD179" i="31"/>
  <c r="BF179" i="31"/>
  <c r="BH179" i="31"/>
  <c r="BG76" i="31"/>
  <c r="BJ176" i="31"/>
  <c r="BE179" i="31"/>
  <c r="BG179" i="31"/>
  <c r="BC71" i="20"/>
  <c r="BD71" i="20" s="1"/>
  <c r="BK175" i="31"/>
  <c r="BI176" i="31"/>
  <c r="BC175" i="20"/>
  <c r="BE175" i="20" s="1"/>
  <c r="BD177" i="31"/>
  <c r="BF177" i="31"/>
  <c r="BH177" i="31"/>
  <c r="BE177" i="31"/>
  <c r="BG177" i="31"/>
  <c r="BC78" i="20"/>
  <c r="BF78" i="20" s="1"/>
  <c r="W41" i="20"/>
  <c r="BF171" i="31"/>
  <c r="BD176" i="31"/>
  <c r="BF176" i="31"/>
  <c r="BI175" i="31"/>
  <c r="BH176" i="31"/>
  <c r="BC147" i="31"/>
  <c r="BI147" i="31" s="1"/>
  <c r="BE176" i="31"/>
  <c r="BG176" i="31"/>
  <c r="BC262" i="20"/>
  <c r="BF262" i="20" s="1"/>
  <c r="BC165" i="31"/>
  <c r="BI165" i="31" s="1"/>
  <c r="BD175" i="31"/>
  <c r="BF175" i="31"/>
  <c r="BD262" i="20"/>
  <c r="BH175" i="31"/>
  <c r="BE175" i="31"/>
  <c r="BG175" i="31"/>
  <c r="BG262" i="20"/>
  <c r="BC190" i="20"/>
  <c r="BD190" i="20" s="1"/>
  <c r="BD174" i="31"/>
  <c r="BF174" i="31"/>
  <c r="BF166" i="31"/>
  <c r="BH174" i="31"/>
  <c r="BJ169" i="31"/>
  <c r="BE174" i="31"/>
  <c r="BG174" i="31"/>
  <c r="BC143" i="20"/>
  <c r="BF143" i="20" s="1"/>
  <c r="BI172" i="31"/>
  <c r="BD173" i="31"/>
  <c r="BF173" i="31"/>
  <c r="BD143" i="20"/>
  <c r="BJ172" i="31"/>
  <c r="BH173" i="31"/>
  <c r="BE173" i="31"/>
  <c r="BG173" i="31"/>
  <c r="BJ171" i="31"/>
  <c r="BD172" i="31"/>
  <c r="BF172" i="31"/>
  <c r="BK171" i="31"/>
  <c r="BH172" i="31"/>
  <c r="BJ168" i="31"/>
  <c r="BE172" i="31"/>
  <c r="BG172" i="31"/>
  <c r="BC26" i="20"/>
  <c r="BF26" i="20" s="1"/>
  <c r="BC167" i="31"/>
  <c r="BH167" i="31" s="1"/>
  <c r="BI170" i="31"/>
  <c r="BD171" i="31"/>
  <c r="BD26" i="20"/>
  <c r="BJ170" i="31"/>
  <c r="BH171" i="31"/>
  <c r="BE171" i="31"/>
  <c r="BG171" i="31"/>
  <c r="BC215" i="20"/>
  <c r="BD215" i="20" s="1"/>
  <c r="BG168" i="31"/>
  <c r="BG169" i="31"/>
  <c r="BD170" i="31"/>
  <c r="BF170" i="31"/>
  <c r="BK169" i="31"/>
  <c r="BH170" i="31"/>
  <c r="BI168" i="31"/>
  <c r="BE170" i="31"/>
  <c r="BG170" i="31"/>
  <c r="BC232" i="20"/>
  <c r="BF232" i="20" s="1"/>
  <c r="W18" i="20"/>
  <c r="BD169" i="31"/>
  <c r="BF169" i="31"/>
  <c r="BH169" i="31"/>
  <c r="BE169" i="31"/>
  <c r="BC200" i="20"/>
  <c r="BH200" i="20" s="1"/>
  <c r="BD168" i="31"/>
  <c r="BF168" i="31"/>
  <c r="BH168" i="31"/>
  <c r="BE168" i="31"/>
  <c r="BC220" i="20"/>
  <c r="BH220" i="20" s="1"/>
  <c r="BI145" i="31"/>
  <c r="BJ161" i="31"/>
  <c r="B36" i="20"/>
  <c r="B155" i="31"/>
  <c r="BC53" i="20"/>
  <c r="BF53" i="20" s="1"/>
  <c r="BH166" i="31"/>
  <c r="BD120" i="31"/>
  <c r="BE166" i="31"/>
  <c r="BG166" i="31"/>
  <c r="BC221" i="20"/>
  <c r="BD221" i="20" s="1"/>
  <c r="BC163" i="31"/>
  <c r="BD163" i="31" s="1"/>
  <c r="BK164" i="31"/>
  <c r="BC148" i="20"/>
  <c r="BD148" i="20" s="1"/>
  <c r="BI141" i="31"/>
  <c r="BK141" i="31"/>
  <c r="BC154" i="31"/>
  <c r="BK154" i="31" s="1"/>
  <c r="BC139" i="31"/>
  <c r="BK139" i="31" s="1"/>
  <c r="BC159" i="31"/>
  <c r="BK159" i="31" s="1"/>
  <c r="BK161" i="31"/>
  <c r="BC162" i="31"/>
  <c r="BJ162" i="31" s="1"/>
  <c r="BC52" i="20"/>
  <c r="BE52" i="20" s="1"/>
  <c r="BC152" i="31"/>
  <c r="BE152" i="31" s="1"/>
  <c r="BC132" i="20"/>
  <c r="BF132" i="20" s="1"/>
  <c r="BC160" i="31"/>
  <c r="BF160" i="31" s="1"/>
  <c r="BI155" i="31"/>
  <c r="BC155" i="20"/>
  <c r="BH155" i="20" s="1"/>
  <c r="BI156" i="31"/>
  <c r="BC157" i="31"/>
  <c r="BK157" i="31" s="1"/>
  <c r="BC158" i="31"/>
  <c r="BD158" i="31" s="1"/>
  <c r="BD161" i="31"/>
  <c r="BF161" i="31"/>
  <c r="BI160" i="31"/>
  <c r="BH161" i="31"/>
  <c r="BK155" i="31"/>
  <c r="BE161" i="31"/>
  <c r="BG161" i="31"/>
  <c r="BC234" i="20"/>
  <c r="BD234" i="20" s="1"/>
  <c r="BC225" i="20"/>
  <c r="BD225" i="20" s="1"/>
  <c r="BI150" i="31"/>
  <c r="BK150" i="31"/>
  <c r="BJ140" i="31"/>
  <c r="BC208" i="20"/>
  <c r="BD208" i="20" s="1"/>
  <c r="BG137" i="31"/>
  <c r="BC5" i="20"/>
  <c r="BD5" i="20" s="1"/>
  <c r="BJ151" i="31"/>
  <c r="BC89" i="20"/>
  <c r="BD89" i="20" s="1"/>
  <c r="BD156" i="31"/>
  <c r="BF156" i="31"/>
  <c r="BH156" i="31"/>
  <c r="BE156" i="31"/>
  <c r="BG156" i="31"/>
  <c r="BC152" i="20"/>
  <c r="BD152" i="20" s="1"/>
  <c r="BI149" i="31"/>
  <c r="BD155" i="31"/>
  <c r="BF155" i="31"/>
  <c r="BF152" i="20"/>
  <c r="BF149" i="31"/>
  <c r="BH155" i="31"/>
  <c r="BI153" i="31"/>
  <c r="BE155" i="31"/>
  <c r="BG155" i="31"/>
  <c r="BC99" i="20"/>
  <c r="BD99" i="20" s="1"/>
  <c r="BC146" i="31"/>
  <c r="BK146" i="31" s="1"/>
  <c r="BJ153" i="31"/>
  <c r="BI151" i="31"/>
  <c r="BG153" i="31"/>
  <c r="BD153" i="31"/>
  <c r="BC63" i="20"/>
  <c r="BD63" i="20" s="1"/>
  <c r="BF153" i="31"/>
  <c r="BF135" i="31"/>
  <c r="BH153" i="31"/>
  <c r="BK149" i="31"/>
  <c r="BH151" i="31"/>
  <c r="BE153" i="31"/>
  <c r="BC189" i="20"/>
  <c r="BF189" i="20" s="1"/>
  <c r="BC204" i="20"/>
  <c r="BD204" i="20" s="1"/>
  <c r="BD151" i="31"/>
  <c r="BF151" i="31"/>
  <c r="BE151" i="31"/>
  <c r="BG151" i="31"/>
  <c r="BC114" i="20"/>
  <c r="BD114" i="20" s="1"/>
  <c r="BD150" i="31"/>
  <c r="BF150" i="31"/>
  <c r="BK140" i="31"/>
  <c r="BH150" i="31"/>
  <c r="BC148" i="31"/>
  <c r="BD148" i="31" s="1"/>
  <c r="BE150" i="31"/>
  <c r="BG150" i="31"/>
  <c r="BG114" i="20"/>
  <c r="BC39" i="20"/>
  <c r="BD39" i="20" s="1"/>
  <c r="BD149" i="31"/>
  <c r="BH149" i="31"/>
  <c r="BE149" i="31"/>
  <c r="BG149" i="31"/>
  <c r="BC130" i="20"/>
  <c r="BF130" i="20" s="1"/>
  <c r="BC142" i="31"/>
  <c r="BG142" i="31" s="1"/>
  <c r="BI144" i="31"/>
  <c r="BE148" i="31"/>
  <c r="BC194" i="20"/>
  <c r="BE194" i="20" s="1"/>
  <c r="BD147" i="31"/>
  <c r="BF144" i="31"/>
  <c r="BF145" i="31"/>
  <c r="BH147" i="31"/>
  <c r="BK144" i="31"/>
  <c r="BJ145" i="31"/>
  <c r="BE147" i="31"/>
  <c r="BG147" i="31"/>
  <c r="BG145" i="31"/>
  <c r="BC196" i="20"/>
  <c r="BD196" i="20" s="1"/>
  <c r="BD145" i="31"/>
  <c r="BC143" i="31"/>
  <c r="BF143" i="31" s="1"/>
  <c r="BH145" i="31"/>
  <c r="BH196" i="20"/>
  <c r="BE145" i="31"/>
  <c r="BC138" i="20"/>
  <c r="BD138" i="20" s="1"/>
  <c r="BD144" i="31"/>
  <c r="BI130" i="31"/>
  <c r="BH144" i="31"/>
  <c r="BJ130" i="31"/>
  <c r="BE144" i="31"/>
  <c r="BG144" i="31"/>
  <c r="BC199" i="20"/>
  <c r="BF199" i="20" s="1"/>
  <c r="BF140" i="31"/>
  <c r="BC166" i="20"/>
  <c r="BD166" i="20" s="1"/>
  <c r="BI131" i="31"/>
  <c r="BJ131" i="31"/>
  <c r="BJ133" i="31"/>
  <c r="BC107" i="20"/>
  <c r="BE107" i="20" s="1"/>
  <c r="BD141" i="31"/>
  <c r="BF141" i="31"/>
  <c r="BI126" i="31"/>
  <c r="BK137" i="31"/>
  <c r="BH141" i="31"/>
  <c r="BG70" i="31"/>
  <c r="BG91" i="31"/>
  <c r="BG94" i="31"/>
  <c r="BE141" i="31"/>
  <c r="BG141" i="31"/>
  <c r="BG92" i="31"/>
  <c r="BC133" i="20"/>
  <c r="BF133" i="20" s="1"/>
  <c r="BC98" i="31"/>
  <c r="BJ98" i="31" s="1"/>
  <c r="BD140" i="31"/>
  <c r="BH140" i="31"/>
  <c r="BE140" i="31"/>
  <c r="BG140" i="31"/>
  <c r="BC163" i="20"/>
  <c r="BE163" i="20" s="1"/>
  <c r="BJ138" i="31"/>
  <c r="BG138" i="31"/>
  <c r="BC100" i="20"/>
  <c r="BE100" i="20" s="1"/>
  <c r="BI137" i="31"/>
  <c r="BD138" i="31"/>
  <c r="BF138" i="31"/>
  <c r="BJ137" i="31"/>
  <c r="BH138" i="31"/>
  <c r="BJ132" i="31"/>
  <c r="BE138" i="31"/>
  <c r="BC240" i="20"/>
  <c r="BD240" i="20" s="1"/>
  <c r="BI135" i="31"/>
  <c r="BI136" i="31"/>
  <c r="BD137" i="31"/>
  <c r="BF137" i="31"/>
  <c r="BG131" i="31"/>
  <c r="BJ135" i="31"/>
  <c r="BJ136" i="31"/>
  <c r="BH137" i="31"/>
  <c r="BG119" i="31"/>
  <c r="BK132" i="31"/>
  <c r="BE137" i="31"/>
  <c r="BC117" i="20"/>
  <c r="BD117" i="20" s="1"/>
  <c r="BJ129" i="31"/>
  <c r="BF130" i="31"/>
  <c r="BC134" i="31"/>
  <c r="BH134" i="31" s="1"/>
  <c r="BG135" i="31"/>
  <c r="BD136" i="31"/>
  <c r="BF136" i="31"/>
  <c r="BK135" i="31"/>
  <c r="BH136" i="31"/>
  <c r="BE136" i="31"/>
  <c r="BG136" i="31"/>
  <c r="BC237" i="20"/>
  <c r="BH237" i="20" s="1"/>
  <c r="BD135" i="31"/>
  <c r="BH135" i="31"/>
  <c r="BE135" i="31"/>
  <c r="BH133" i="31"/>
  <c r="BC34" i="20"/>
  <c r="BD34" i="20" s="1"/>
  <c r="BG133" i="31"/>
  <c r="BK133" i="31"/>
  <c r="BC201" i="20"/>
  <c r="BD201" i="20" s="1"/>
  <c r="BG126" i="31"/>
  <c r="BG132" i="31"/>
  <c r="BD133" i="31"/>
  <c r="BF133" i="31"/>
  <c r="BJ128" i="31"/>
  <c r="BE133" i="31"/>
  <c r="BC156" i="20"/>
  <c r="BD156" i="20" s="1"/>
  <c r="BC97" i="31"/>
  <c r="BJ97" i="31" s="1"/>
  <c r="BK124" i="31"/>
  <c r="BI125" i="31"/>
  <c r="BI129" i="31"/>
  <c r="BD132" i="31"/>
  <c r="BF132" i="31"/>
  <c r="BH132" i="31"/>
  <c r="BE132" i="31"/>
  <c r="BC183" i="20"/>
  <c r="BD183" i="20" s="1"/>
  <c r="BD131" i="31"/>
  <c r="BF131" i="31"/>
  <c r="BH131" i="31"/>
  <c r="BE131" i="31"/>
  <c r="BC67" i="20"/>
  <c r="BD67" i="20" s="1"/>
  <c r="BD130" i="31"/>
  <c r="BH130" i="31"/>
  <c r="BG125" i="31"/>
  <c r="BE130" i="31"/>
  <c r="BG130" i="31"/>
  <c r="BC140" i="20"/>
  <c r="BD140" i="20" s="1"/>
  <c r="BD129" i="31"/>
  <c r="BF129" i="31"/>
  <c r="BH129" i="31"/>
  <c r="BE129" i="31"/>
  <c r="BG129" i="31"/>
  <c r="BC66" i="20"/>
  <c r="BD66" i="20" s="1"/>
  <c r="BC109" i="31"/>
  <c r="BJ109" i="31" s="1"/>
  <c r="BJ125" i="31"/>
  <c r="BD128" i="31"/>
  <c r="BF128" i="31"/>
  <c r="BI127" i="31"/>
  <c r="BH128" i="31"/>
  <c r="BE128" i="31"/>
  <c r="BG128" i="31"/>
  <c r="BC252" i="20"/>
  <c r="BD252" i="20" s="1"/>
  <c r="BK126" i="31"/>
  <c r="BD127" i="31"/>
  <c r="BF127" i="31"/>
  <c r="BF252" i="20"/>
  <c r="BH127" i="31"/>
  <c r="BG117" i="31"/>
  <c r="BH124" i="31"/>
  <c r="BE127" i="31"/>
  <c r="BG127" i="31"/>
  <c r="BC191" i="20"/>
  <c r="BD191" i="20" s="1"/>
  <c r="BJ119" i="31"/>
  <c r="BG121" i="31"/>
  <c r="BD126" i="31"/>
  <c r="BF126" i="31"/>
  <c r="BK119" i="31"/>
  <c r="BH126" i="31"/>
  <c r="BE126" i="31"/>
  <c r="BC97" i="20"/>
  <c r="BF97" i="20" s="1"/>
  <c r="BI124" i="31"/>
  <c r="BD125" i="31"/>
  <c r="BF125" i="31"/>
  <c r="BF124" i="31"/>
  <c r="BH125" i="31"/>
  <c r="BE125" i="31"/>
  <c r="BC69" i="31"/>
  <c r="BK69" i="31" s="1"/>
  <c r="BC247" i="20"/>
  <c r="BF247" i="20" s="1"/>
  <c r="BD124" i="31"/>
  <c r="BJ122" i="31"/>
  <c r="BC123" i="31"/>
  <c r="BH123" i="31" s="1"/>
  <c r="BE124" i="31"/>
  <c r="BG124" i="31"/>
  <c r="B110" i="31"/>
  <c r="B58" i="20"/>
  <c r="B109" i="31"/>
  <c r="BC101" i="20"/>
  <c r="BD101" i="20" s="1"/>
  <c r="BG122" i="31"/>
  <c r="BD123" i="31"/>
  <c r="BH122" i="31"/>
  <c r="BK122" i="31"/>
  <c r="BC27" i="20"/>
  <c r="BH27" i="20" s="1"/>
  <c r="BC6" i="31"/>
  <c r="BJ6" i="31" s="1"/>
  <c r="BJ106" i="31"/>
  <c r="BH114" i="31"/>
  <c r="BI121" i="31"/>
  <c r="BK121" i="31"/>
  <c r="BD122" i="31"/>
  <c r="BF122" i="31"/>
  <c r="BK114" i="31"/>
  <c r="BG118" i="31"/>
  <c r="BI120" i="31"/>
  <c r="BF121" i="31"/>
  <c r="BC102" i="31"/>
  <c r="BG102" i="31" s="1"/>
  <c r="BJ120" i="31"/>
  <c r="BE122" i="31"/>
  <c r="BC161" i="20"/>
  <c r="BD161" i="20" s="1"/>
  <c r="BF120" i="31"/>
  <c r="BD121" i="31"/>
  <c r="BH121" i="31"/>
  <c r="BI118" i="31"/>
  <c r="BE121" i="31"/>
  <c r="BI105" i="31"/>
  <c r="BC113" i="31"/>
  <c r="BD113" i="31" s="1"/>
  <c r="BH120" i="31"/>
  <c r="BE120" i="31"/>
  <c r="BC233" i="20"/>
  <c r="BD233" i="20" s="1"/>
  <c r="BK118" i="31"/>
  <c r="BD119" i="31"/>
  <c r="BF119" i="31"/>
  <c r="BH119" i="31"/>
  <c r="BE119" i="31"/>
  <c r="BC219" i="20"/>
  <c r="BD219" i="20" s="1"/>
  <c r="BI117" i="31"/>
  <c r="BK117" i="31"/>
  <c r="BD118" i="31"/>
  <c r="BF118" i="31"/>
  <c r="BC116" i="31"/>
  <c r="BD116" i="31" s="1"/>
  <c r="BF117" i="31"/>
  <c r="BH118" i="31"/>
  <c r="BH219" i="20"/>
  <c r="BI45" i="31"/>
  <c r="BE118" i="31"/>
  <c r="BC23" i="20"/>
  <c r="BF23" i="20" s="1"/>
  <c r="BG106" i="31"/>
  <c r="BC108" i="31"/>
  <c r="BG108" i="31" s="1"/>
  <c r="BG114" i="31"/>
  <c r="BI115" i="31"/>
  <c r="BD117" i="31"/>
  <c r="BH117" i="31"/>
  <c r="BC16" i="31"/>
  <c r="BG16" i="31" s="1"/>
  <c r="BI95" i="31"/>
  <c r="BE117" i="31"/>
  <c r="BC216" i="20"/>
  <c r="BD216" i="20" s="1"/>
  <c r="BJ95" i="31"/>
  <c r="BJ115" i="31"/>
  <c r="BC10" i="31"/>
  <c r="BF10" i="31" s="1"/>
  <c r="BG115" i="31"/>
  <c r="BC169" i="20"/>
  <c r="BD169" i="20" s="1"/>
  <c r="BD115" i="31"/>
  <c r="BF115" i="31"/>
  <c r="BG95" i="31"/>
  <c r="BJ105" i="31"/>
  <c r="BC110" i="31"/>
  <c r="BI110" i="31" s="1"/>
  <c r="BI114" i="31"/>
  <c r="BH115" i="31"/>
  <c r="BC13" i="31"/>
  <c r="BG13" i="31" s="1"/>
  <c r="BC40" i="31"/>
  <c r="BF40" i="31" s="1"/>
  <c r="BC44" i="31"/>
  <c r="BF44" i="31" s="1"/>
  <c r="BC99" i="31"/>
  <c r="BK99" i="31" s="1"/>
  <c r="BG105" i="31"/>
  <c r="BI106" i="31"/>
  <c r="BE115" i="31"/>
  <c r="BC211" i="20"/>
  <c r="BD211" i="20" s="1"/>
  <c r="BD114" i="31"/>
  <c r="BF114" i="31"/>
  <c r="BC111" i="31"/>
  <c r="BF111" i="31" s="1"/>
  <c r="BC112" i="31"/>
  <c r="BD112" i="31" s="1"/>
  <c r="BE114" i="31"/>
  <c r="BC83" i="20"/>
  <c r="BD83" i="20" s="1"/>
  <c r="BC65" i="31"/>
  <c r="BD65" i="31" s="1"/>
  <c r="BC187" i="20"/>
  <c r="BD187" i="20" s="1"/>
  <c r="BC235" i="20"/>
  <c r="BE235" i="20" s="1"/>
  <c r="BC70" i="20"/>
  <c r="BH70" i="20" s="1"/>
  <c r="BC104" i="31"/>
  <c r="BF104" i="31" s="1"/>
  <c r="BC24" i="20"/>
  <c r="BD24" i="20" s="1"/>
  <c r="BI107" i="31"/>
  <c r="BC256" i="20"/>
  <c r="BD256" i="20" s="1"/>
  <c r="BC7" i="31"/>
  <c r="BJ107" i="31"/>
  <c r="BG107" i="31"/>
  <c r="BC209" i="20"/>
  <c r="BD209" i="20" s="1"/>
  <c r="BC61" i="31"/>
  <c r="BD61" i="31" s="1"/>
  <c r="BC100" i="31"/>
  <c r="BI100" i="31" s="1"/>
  <c r="BD107" i="31"/>
  <c r="BF107" i="31"/>
  <c r="BH107" i="31"/>
  <c r="BE107" i="31"/>
  <c r="BF106" i="31"/>
  <c r="BC94" i="20"/>
  <c r="BD94" i="20" s="1"/>
  <c r="W104" i="31"/>
  <c r="BD106" i="31"/>
  <c r="BC64" i="31"/>
  <c r="BJ64" i="31" s="1"/>
  <c r="BC75" i="31"/>
  <c r="BK75" i="31" s="1"/>
  <c r="BK84" i="31"/>
  <c r="BC103" i="31"/>
  <c r="BD103" i="31" s="1"/>
  <c r="BH106" i="31"/>
  <c r="BE106" i="31"/>
  <c r="BC6" i="20"/>
  <c r="BD6" i="20" s="1"/>
  <c r="W4" i="20"/>
  <c r="BD105" i="31"/>
  <c r="BF105" i="31"/>
  <c r="BH105" i="31"/>
  <c r="BE105" i="31"/>
  <c r="BC58" i="20"/>
  <c r="BE58" i="20" s="1"/>
  <c r="BC80" i="20"/>
  <c r="BE80" i="20" s="1"/>
  <c r="BC67" i="31"/>
  <c r="BG67" i="31" s="1"/>
  <c r="BG96" i="31"/>
  <c r="BC72" i="31"/>
  <c r="BJ72" i="31" s="1"/>
  <c r="BK87" i="31"/>
  <c r="BC101" i="31"/>
  <c r="BD101" i="31" s="1"/>
  <c r="BC14" i="20"/>
  <c r="BF14" i="20" s="1"/>
  <c r="BJ94" i="31"/>
  <c r="BK94" i="31"/>
  <c r="BC115" i="20"/>
  <c r="BE115" i="20" s="1"/>
  <c r="BG82" i="31"/>
  <c r="BC227" i="20"/>
  <c r="BG227" i="20" s="1"/>
  <c r="BI97" i="31"/>
  <c r="BC63" i="31"/>
  <c r="BG63" i="31" s="1"/>
  <c r="BI82" i="31"/>
  <c r="BJ84" i="31"/>
  <c r="BI96" i="31"/>
  <c r="BC48" i="20"/>
  <c r="BH48" i="20" s="1"/>
  <c r="BF98" i="31"/>
  <c r="BH98" i="31"/>
  <c r="BC251" i="20"/>
  <c r="BH251" i="20" s="1"/>
  <c r="BI92" i="31"/>
  <c r="BI94" i="31"/>
  <c r="BJ96" i="31"/>
  <c r="BF97" i="31"/>
  <c r="BC4" i="31"/>
  <c r="BK4" i="31" s="1"/>
  <c r="BC8" i="31"/>
  <c r="BK8" i="31" s="1"/>
  <c r="BC9" i="31"/>
  <c r="BF9" i="31" s="1"/>
  <c r="BG84" i="31"/>
  <c r="BC89" i="31"/>
  <c r="BF89" i="31" s="1"/>
  <c r="BG93" i="31"/>
  <c r="BE97" i="31"/>
  <c r="BC188" i="20"/>
  <c r="BG188" i="20" s="1"/>
  <c r="BD96" i="31"/>
  <c r="BF96" i="31"/>
  <c r="BH96" i="31"/>
  <c r="BE96" i="31"/>
  <c r="BC136" i="20"/>
  <c r="BD136" i="20" s="1"/>
  <c r="BK85" i="31"/>
  <c r="BI93" i="31"/>
  <c r="BF94" i="31"/>
  <c r="BD95" i="31"/>
  <c r="BF95" i="31"/>
  <c r="BH88" i="31"/>
  <c r="BH95" i="31"/>
  <c r="BJ88" i="31"/>
  <c r="BF92" i="31"/>
  <c r="BE95" i="31"/>
  <c r="BC160" i="20"/>
  <c r="BF160" i="20" s="1"/>
  <c r="BJ82" i="31"/>
  <c r="BC90" i="31"/>
  <c r="BF90" i="31" s="1"/>
  <c r="BJ93" i="31"/>
  <c r="BD94" i="31"/>
  <c r="BH94" i="31"/>
  <c r="BE94" i="31"/>
  <c r="BC109" i="20"/>
  <c r="BF109" i="20" s="1"/>
  <c r="BJ92" i="31"/>
  <c r="BD93" i="31"/>
  <c r="BF93" i="31"/>
  <c r="BD109" i="20"/>
  <c r="BH93" i="31"/>
  <c r="BI81" i="31"/>
  <c r="BE93" i="31"/>
  <c r="BC230" i="20"/>
  <c r="BF230" i="20" s="1"/>
  <c r="BJ87" i="31"/>
  <c r="BI91" i="31"/>
  <c r="BD92" i="31"/>
  <c r="BD230" i="20"/>
  <c r="BJ83" i="31"/>
  <c r="BJ91" i="31"/>
  <c r="BH92" i="31"/>
  <c r="BH230" i="20"/>
  <c r="BE92" i="31"/>
  <c r="BC198" i="20"/>
  <c r="BD198" i="20" s="1"/>
  <c r="BD91" i="31"/>
  <c r="BF91" i="31"/>
  <c r="BH91" i="31"/>
  <c r="BE91" i="31"/>
  <c r="BC106" i="20"/>
  <c r="BD106" i="20" s="1"/>
  <c r="BC186" i="20"/>
  <c r="BD186" i="20" s="1"/>
  <c r="BG88" i="31"/>
  <c r="BD89" i="31"/>
  <c r="BK88" i="31"/>
  <c r="BF82" i="31"/>
  <c r="BC5" i="31"/>
  <c r="BF5" i="31" s="1"/>
  <c r="BF4" i="31"/>
  <c r="BC36" i="20"/>
  <c r="BD36" i="20" s="1"/>
  <c r="BC55" i="31"/>
  <c r="BF55" i="31" s="1"/>
  <c r="BC78" i="31"/>
  <c r="BI78" i="31" s="1"/>
  <c r="BG81" i="31"/>
  <c r="BG87" i="31"/>
  <c r="BD88" i="31"/>
  <c r="BF88" i="31"/>
  <c r="BC11" i="31"/>
  <c r="BJ11" i="31" s="1"/>
  <c r="BG86" i="31"/>
  <c r="BE88" i="31"/>
  <c r="BC154" i="20"/>
  <c r="BD154" i="20" s="1"/>
  <c r="BG83" i="31"/>
  <c r="BI86" i="31"/>
  <c r="BK86" i="31"/>
  <c r="BD87" i="31"/>
  <c r="BF87" i="31"/>
  <c r="BK83" i="31"/>
  <c r="BF86" i="31"/>
  <c r="BH87" i="31"/>
  <c r="BI85" i="31"/>
  <c r="BE87" i="31"/>
  <c r="BC88" i="20"/>
  <c r="BD88" i="20" s="1"/>
  <c r="BF85" i="31"/>
  <c r="BD86" i="31"/>
  <c r="BJ85" i="31"/>
  <c r="BH86" i="31"/>
  <c r="BE86" i="31"/>
  <c r="BC229" i="20"/>
  <c r="BE229" i="20" s="1"/>
  <c r="BK70" i="31"/>
  <c r="BJ74" i="31"/>
  <c r="BD85" i="31"/>
  <c r="BF229" i="20"/>
  <c r="BF23" i="31"/>
  <c r="BH85" i="31"/>
  <c r="BE85" i="31"/>
  <c r="BI70" i="31"/>
  <c r="BC127" i="20"/>
  <c r="BD127" i="20" s="1"/>
  <c r="BD84" i="31"/>
  <c r="BF84" i="31"/>
  <c r="BH84" i="31"/>
  <c r="BE84" i="31"/>
  <c r="BC248" i="20"/>
  <c r="BD248" i="20" s="1"/>
  <c r="BD83" i="31"/>
  <c r="BF83" i="31"/>
  <c r="BH83" i="31"/>
  <c r="BE83" i="31"/>
  <c r="BC168" i="20"/>
  <c r="BD168" i="20" s="1"/>
  <c r="BF77" i="31"/>
  <c r="BK81" i="31"/>
  <c r="BD82" i="31"/>
  <c r="BF70" i="31"/>
  <c r="BG74" i="31"/>
  <c r="BI77" i="31"/>
  <c r="BF81" i="31"/>
  <c r="BH82" i="31"/>
  <c r="BJ70" i="31"/>
  <c r="BC73" i="31"/>
  <c r="BJ73" i="31" s="1"/>
  <c r="BF76" i="31"/>
  <c r="BJ77" i="31"/>
  <c r="BC79" i="31"/>
  <c r="BD79" i="31" s="1"/>
  <c r="BE82" i="31"/>
  <c r="BJ76" i="31"/>
  <c r="BC77" i="20"/>
  <c r="BF77" i="20" s="1"/>
  <c r="BD81" i="31"/>
  <c r="BC21" i="31"/>
  <c r="BG21" i="31" s="1"/>
  <c r="BH81" i="31"/>
  <c r="BK77" i="31"/>
  <c r="BE81" i="31"/>
  <c r="BF74" i="31"/>
  <c r="BC80" i="31"/>
  <c r="BH80" i="31" s="1"/>
  <c r="BC259" i="20"/>
  <c r="BD259" i="20" s="1"/>
  <c r="BC25" i="31"/>
  <c r="BK25" i="31" s="1"/>
  <c r="BC59" i="31"/>
  <c r="BG59" i="31" s="1"/>
  <c r="BC45" i="20"/>
  <c r="BD45" i="20" s="1"/>
  <c r="BI76" i="31"/>
  <c r="BI71" i="31"/>
  <c r="BC173" i="20"/>
  <c r="BE173" i="20" s="1"/>
  <c r="BG77" i="31"/>
  <c r="BH74" i="31"/>
  <c r="BC28" i="20"/>
  <c r="BD28" i="20" s="1"/>
  <c r="BJ71" i="31"/>
  <c r="BI74" i="31"/>
  <c r="BD77" i="31"/>
  <c r="BH77" i="31"/>
  <c r="BG62" i="31"/>
  <c r="BE77" i="31"/>
  <c r="BC228" i="20"/>
  <c r="BD228" i="20" s="1"/>
  <c r="BD76" i="31"/>
  <c r="BH76" i="31"/>
  <c r="BE76" i="31"/>
  <c r="BC65" i="20"/>
  <c r="BD65" i="20" s="1"/>
  <c r="BE75" i="31"/>
  <c r="BC43" i="31"/>
  <c r="BG43" i="31" s="1"/>
  <c r="BJ57" i="31"/>
  <c r="BC93" i="20"/>
  <c r="BE93" i="20" s="1"/>
  <c r="BD74" i="31"/>
  <c r="BE74" i="31"/>
  <c r="BC134" i="20"/>
  <c r="BD134" i="20" s="1"/>
  <c r="BF71" i="31"/>
  <c r="BC79" i="20"/>
  <c r="BD79" i="20" s="1"/>
  <c r="BK71" i="31"/>
  <c r="BC123" i="20"/>
  <c r="BF123" i="20" s="1"/>
  <c r="BD71" i="31"/>
  <c r="BF69" i="31"/>
  <c r="BH71" i="31"/>
  <c r="BE71" i="31"/>
  <c r="BC253" i="20"/>
  <c r="BF253" i="20" s="1"/>
  <c r="BD70" i="31"/>
  <c r="BH69" i="31"/>
  <c r="BH70" i="31"/>
  <c r="BE70" i="31"/>
  <c r="BJ54" i="31"/>
  <c r="BC165" i="20"/>
  <c r="BH165" i="20" s="1"/>
  <c r="BC60" i="31"/>
  <c r="BI60" i="31" s="1"/>
  <c r="BF62" i="31"/>
  <c r="BK64" i="31"/>
  <c r="BC66" i="31"/>
  <c r="BH66" i="31" s="1"/>
  <c r="BD69" i="31"/>
  <c r="BC52" i="31"/>
  <c r="BK52" i="31" s="1"/>
  <c r="BC56" i="31"/>
  <c r="BH56" i="31" s="1"/>
  <c r="BJ62" i="31"/>
  <c r="BE69" i="31"/>
  <c r="BI62" i="31"/>
  <c r="BC68" i="31"/>
  <c r="BD68" i="31" s="1"/>
  <c r="BC226" i="20"/>
  <c r="BD226" i="20" s="1"/>
  <c r="BC213" i="20"/>
  <c r="BD213" i="20" s="1"/>
  <c r="BI57" i="31"/>
  <c r="BG57" i="31"/>
  <c r="BC38" i="31"/>
  <c r="BJ38" i="31" s="1"/>
  <c r="BC176" i="20"/>
  <c r="BD176" i="20" s="1"/>
  <c r="BC64" i="20"/>
  <c r="BD64" i="20" s="1"/>
  <c r="BF14" i="31"/>
  <c r="BC27" i="31"/>
  <c r="BJ27" i="31" s="1"/>
  <c r="BJ50" i="31"/>
  <c r="BH58" i="31"/>
  <c r="BJ61" i="31"/>
  <c r="BC29" i="20"/>
  <c r="BD29" i="20" s="1"/>
  <c r="BG54" i="31"/>
  <c r="BC15" i="31"/>
  <c r="BF15" i="31" s="1"/>
  <c r="BF16" i="31"/>
  <c r="BC48" i="31"/>
  <c r="BK48" i="31" s="1"/>
  <c r="BK54" i="31"/>
  <c r="BC33" i="20"/>
  <c r="BD33" i="20" s="1"/>
  <c r="BF58" i="31"/>
  <c r="BF57" i="31"/>
  <c r="BC61" i="20"/>
  <c r="BE61" i="20" s="1"/>
  <c r="BJ58" i="31"/>
  <c r="BD62" i="31"/>
  <c r="BH62" i="31"/>
  <c r="BI58" i="31"/>
  <c r="BE62" i="31"/>
  <c r="BC126" i="20"/>
  <c r="BD126" i="20" s="1"/>
  <c r="BC34" i="31"/>
  <c r="BF34" i="31" s="1"/>
  <c r="BF61" i="31"/>
  <c r="BC47" i="31"/>
  <c r="BK47" i="31" s="1"/>
  <c r="BC171" i="20"/>
  <c r="BD171" i="20" s="1"/>
  <c r="BC30" i="31"/>
  <c r="BJ30" i="31" s="1"/>
  <c r="BC96" i="20"/>
  <c r="BD96" i="20" s="1"/>
  <c r="BC137" i="20"/>
  <c r="BD137" i="20" s="1"/>
  <c r="BG50" i="31"/>
  <c r="BD58" i="31"/>
  <c r="BF54" i="31"/>
  <c r="BE58" i="31"/>
  <c r="BC142" i="20"/>
  <c r="BF142" i="20" s="1"/>
  <c r="BD57" i="31"/>
  <c r="BH57" i="31"/>
  <c r="BC36" i="31"/>
  <c r="BK36" i="31" s="1"/>
  <c r="BE57" i="31"/>
  <c r="BC24" i="31"/>
  <c r="BF24" i="31" s="1"/>
  <c r="BI51" i="31"/>
  <c r="BI53" i="31"/>
  <c r="BC12" i="31"/>
  <c r="BF12" i="31" s="1"/>
  <c r="BC22" i="31"/>
  <c r="BE22" i="31" s="1"/>
  <c r="BC31" i="31"/>
  <c r="BK31" i="31" s="1"/>
  <c r="BC32" i="31"/>
  <c r="BF32" i="31" s="1"/>
  <c r="BC39" i="31"/>
  <c r="BF39" i="31" s="1"/>
  <c r="BC46" i="31"/>
  <c r="BH46" i="31" s="1"/>
  <c r="BG51" i="31"/>
  <c r="BJ53" i="31"/>
  <c r="BK51" i="31"/>
  <c r="BC207" i="20"/>
  <c r="BD207" i="20" s="1"/>
  <c r="BC37" i="31"/>
  <c r="BK37" i="31" s="1"/>
  <c r="BG53" i="31"/>
  <c r="BD54" i="31"/>
  <c r="BH54" i="31"/>
  <c r="BE54" i="31"/>
  <c r="BF50" i="31"/>
  <c r="BC128" i="20"/>
  <c r="BH128" i="20" s="1"/>
  <c r="BD53" i="31"/>
  <c r="BF53" i="31"/>
  <c r="BJ45" i="31"/>
  <c r="BH53" i="31"/>
  <c r="BC28" i="31"/>
  <c r="BI28" i="31" s="1"/>
  <c r="BK44" i="31"/>
  <c r="BG45" i="31"/>
  <c r="BC49" i="31"/>
  <c r="BE49" i="31" s="1"/>
  <c r="BE53" i="31"/>
  <c r="BC31" i="20"/>
  <c r="BD31" i="20" s="1"/>
  <c r="BD51" i="31"/>
  <c r="BF51" i="31"/>
  <c r="BH51" i="31"/>
  <c r="BE51" i="31"/>
  <c r="BC159" i="20"/>
  <c r="BH159" i="20" s="1"/>
  <c r="W8" i="20"/>
  <c r="BD50" i="31"/>
  <c r="BJ40" i="31"/>
  <c r="BH50" i="31"/>
  <c r="BE50" i="31"/>
  <c r="BC35" i="31"/>
  <c r="BF35" i="31" s="1"/>
  <c r="BC72" i="20"/>
  <c r="BD72" i="20" s="1"/>
  <c r="BC218" i="20"/>
  <c r="BE218" i="20" s="1"/>
  <c r="BC38" i="20"/>
  <c r="BD38" i="20" s="1"/>
  <c r="BC118" i="20"/>
  <c r="BF118" i="20" s="1"/>
  <c r="BC212" i="20"/>
  <c r="BF212" i="20" s="1"/>
  <c r="BD45" i="31"/>
  <c r="BF45" i="31"/>
  <c r="BH45" i="31"/>
  <c r="BE45" i="31"/>
  <c r="BC41" i="31"/>
  <c r="BD41" i="31" s="1"/>
  <c r="BD44" i="31"/>
  <c r="BE44" i="31"/>
  <c r="BH44" i="31"/>
  <c r="BC120" i="20"/>
  <c r="BE120" i="20" s="1"/>
  <c r="BI33" i="31"/>
  <c r="BC42" i="31"/>
  <c r="BH42" i="31" s="1"/>
  <c r="BC243" i="20"/>
  <c r="BH243" i="20" s="1"/>
  <c r="BG33" i="31"/>
  <c r="BC179" i="20"/>
  <c r="BH179" i="20" s="1"/>
  <c r="BC60" i="20"/>
  <c r="BF60" i="20" s="1"/>
  <c r="BH40" i="31"/>
  <c r="BC18" i="20"/>
  <c r="BD18" i="20" s="1"/>
  <c r="BC121" i="20"/>
  <c r="BD121" i="20" s="1"/>
  <c r="BC104" i="20"/>
  <c r="BF104" i="20" s="1"/>
  <c r="BC42" i="20"/>
  <c r="BF42" i="20" s="1"/>
  <c r="BG23" i="31"/>
  <c r="BC26" i="31"/>
  <c r="BF26" i="31" s="1"/>
  <c r="BF33" i="31"/>
  <c r="BC231" i="20"/>
  <c r="BF231" i="20" s="1"/>
  <c r="BK23" i="31"/>
  <c r="BH10" i="31"/>
  <c r="BC29" i="31"/>
  <c r="BD29" i="31" s="1"/>
  <c r="BC150" i="20"/>
  <c r="BF150" i="20" s="1"/>
  <c r="BH23" i="31"/>
  <c r="BC174" i="20"/>
  <c r="BD174" i="20" s="1"/>
  <c r="BD33" i="31"/>
  <c r="BH33" i="31"/>
  <c r="BE33" i="31"/>
  <c r="BC62" i="20"/>
  <c r="BH62" i="20" s="1"/>
  <c r="BC40" i="20"/>
  <c r="BF40" i="20" s="1"/>
  <c r="BJ23" i="31"/>
  <c r="BI23" i="31"/>
  <c r="BC51" i="20"/>
  <c r="BE51" i="20" s="1"/>
  <c r="BC44" i="20"/>
  <c r="BD44" i="20" s="1"/>
  <c r="BK10" i="31"/>
  <c r="BH14" i="31"/>
  <c r="BC18" i="31"/>
  <c r="BE18" i="31" s="1"/>
  <c r="BC82" i="20"/>
  <c r="BD82" i="20" s="1"/>
  <c r="BE10" i="31"/>
  <c r="BC242" i="20"/>
  <c r="BH242" i="20" s="1"/>
  <c r="BC17" i="31"/>
  <c r="BF17" i="31" s="1"/>
  <c r="BC11" i="20"/>
  <c r="BJ11" i="20" s="1"/>
  <c r="BG10" i="31"/>
  <c r="BE23" i="31"/>
  <c r="BD14" i="31"/>
  <c r="BJ14" i="31"/>
  <c r="W17" i="31"/>
  <c r="BI14" i="31"/>
  <c r="BC177" i="20"/>
  <c r="BG177" i="20" s="1"/>
  <c r="BE13" i="31"/>
  <c r="BE14" i="31"/>
  <c r="BK14" i="31"/>
  <c r="BC153" i="20"/>
  <c r="BE153" i="20" s="1"/>
  <c r="BD23" i="31"/>
  <c r="BC224" i="20"/>
  <c r="BF224" i="20" s="1"/>
  <c r="BC19" i="31"/>
  <c r="BH19" i="31" s="1"/>
  <c r="BC12" i="20"/>
  <c r="BD12" i="20" s="1"/>
  <c r="BG6" i="31"/>
  <c r="BG9" i="31"/>
  <c r="BJ10" i="31"/>
  <c r="BH13" i="31"/>
  <c r="BK13" i="31"/>
  <c r="BI13" i="31"/>
  <c r="BJ13" i="31"/>
  <c r="BC20" i="31"/>
  <c r="BH20" i="31" s="1"/>
  <c r="BC223" i="20"/>
  <c r="BD223" i="20" s="1"/>
  <c r="BC76" i="20"/>
  <c r="BD76" i="20" s="1"/>
  <c r="BE6" i="31"/>
  <c r="BH16" i="31"/>
  <c r="BI6" i="31"/>
  <c r="BJ16" i="31"/>
  <c r="BC124" i="20"/>
  <c r="BH124" i="20" s="1"/>
  <c r="BE16" i="31"/>
  <c r="BI16" i="31"/>
  <c r="BI4" i="31"/>
  <c r="BE7" i="31"/>
  <c r="BD10" i="31"/>
  <c r="BD13" i="31"/>
  <c r="BF13" i="31"/>
  <c r="BD16" i="31"/>
  <c r="BC244" i="20"/>
  <c r="BD244" i="20" s="1"/>
  <c r="BG4" i="31"/>
  <c r="BK6" i="31"/>
  <c r="BC250" i="20"/>
  <c r="BD250" i="20" s="1"/>
  <c r="BC197" i="20"/>
  <c r="BD197" i="20" s="1"/>
  <c r="BD8" i="31"/>
  <c r="BH7" i="31"/>
  <c r="BC113" i="20"/>
  <c r="BD113" i="20" s="1"/>
  <c r="BD3" i="31"/>
  <c r="BC111" i="20"/>
  <c r="BD111" i="20" s="1"/>
  <c r="BI7" i="31"/>
  <c r="BI8" i="31"/>
  <c r="BC92" i="20"/>
  <c r="BD92" i="20" s="1"/>
  <c r="BF3" i="31"/>
  <c r="BC217" i="20"/>
  <c r="BJ217" i="20" s="1"/>
  <c r="BK3" i="31"/>
  <c r="BD6" i="31"/>
  <c r="BD7" i="31"/>
  <c r="BG7" i="31"/>
  <c r="BG8" i="31"/>
  <c r="BH6" i="31"/>
  <c r="BC162" i="20"/>
  <c r="BD162" i="20" s="1"/>
  <c r="BI3" i="31"/>
  <c r="BG5" i="31"/>
  <c r="BF7" i="31"/>
  <c r="BC75" i="20"/>
  <c r="BG75" i="20" s="1"/>
  <c r="BI5" i="31"/>
  <c r="BK5" i="31"/>
  <c r="BE5" i="31"/>
  <c r="BC182" i="20"/>
  <c r="BD182" i="20" s="1"/>
  <c r="BE3" i="31"/>
  <c r="BG3" i="31"/>
  <c r="BH4" i="31"/>
  <c r="BH5" i="31"/>
  <c r="BJ5" i="31"/>
  <c r="BH3" i="31"/>
  <c r="BD5" i="31"/>
  <c r="BC7" i="20"/>
  <c r="BD7" i="20" s="1"/>
  <c r="BC68" i="20"/>
  <c r="BG68" i="20" s="1"/>
  <c r="BC195" i="20"/>
  <c r="BF195" i="20" s="1"/>
  <c r="BC9" i="20"/>
  <c r="BF9" i="20" s="1"/>
  <c r="W282" i="38"/>
  <c r="X282" i="38" s="1"/>
  <c r="W285" i="38"/>
  <c r="X285" i="38" s="1"/>
  <c r="W281" i="38"/>
  <c r="Y281" i="38" s="1"/>
  <c r="Z288" i="38"/>
  <c r="W286" i="38"/>
  <c r="X286" i="38" s="1"/>
  <c r="Y283" i="38"/>
  <c r="Z283" i="38" s="1"/>
  <c r="Y284" i="38"/>
  <c r="Z284" i="38" s="1"/>
  <c r="G282" i="38"/>
  <c r="AC282" i="38"/>
  <c r="X281" i="38"/>
  <c r="F125" i="38"/>
  <c r="B164" i="74"/>
  <c r="B165" i="74"/>
  <c r="B166" i="74"/>
  <c r="B167" i="74"/>
  <c r="B168" i="74"/>
  <c r="B169" i="74"/>
  <c r="B170" i="74"/>
  <c r="B171" i="74"/>
  <c r="B172" i="74"/>
  <c r="B173" i="74"/>
  <c r="B174" i="74"/>
  <c r="B175" i="74"/>
  <c r="B176" i="74"/>
  <c r="B177" i="74"/>
  <c r="B178" i="74"/>
  <c r="B179" i="74"/>
  <c r="B180" i="74"/>
  <c r="B181" i="74"/>
  <c r="B182" i="74"/>
  <c r="B183" i="74"/>
  <c r="B184" i="74"/>
  <c r="B185" i="74"/>
  <c r="B186" i="74"/>
  <c r="B187" i="74"/>
  <c r="B188" i="74"/>
  <c r="B189" i="74"/>
  <c r="B190" i="74"/>
  <c r="B191" i="74"/>
  <c r="B192" i="74"/>
  <c r="B193" i="74"/>
  <c r="B194" i="74"/>
  <c r="B195" i="74"/>
  <c r="B196" i="74"/>
  <c r="B197" i="74"/>
  <c r="B198" i="74"/>
  <c r="B199" i="74"/>
  <c r="B200" i="74"/>
  <c r="B201" i="74"/>
  <c r="B202" i="74"/>
  <c r="B203" i="74"/>
  <c r="B204" i="74"/>
  <c r="B205" i="74"/>
  <c r="B206" i="74"/>
  <c r="B207" i="74"/>
  <c r="B208" i="74"/>
  <c r="B209" i="74"/>
  <c r="B210" i="74"/>
  <c r="B211" i="74"/>
  <c r="B212" i="74"/>
  <c r="B213" i="74"/>
  <c r="B214" i="74"/>
  <c r="B215" i="74"/>
  <c r="B216" i="74"/>
  <c r="B217" i="74"/>
  <c r="B218" i="74"/>
  <c r="B219" i="74"/>
  <c r="B220" i="74"/>
  <c r="B221" i="74"/>
  <c r="B222" i="74"/>
  <c r="B223" i="74"/>
  <c r="B224" i="74"/>
  <c r="B225" i="74"/>
  <c r="B226" i="74"/>
  <c r="B227" i="74"/>
  <c r="B228" i="74"/>
  <c r="B229" i="74"/>
  <c r="B230" i="74"/>
  <c r="B231" i="74"/>
  <c r="B232" i="74"/>
  <c r="B233" i="74"/>
  <c r="B234" i="74"/>
  <c r="B235" i="74"/>
  <c r="B236" i="74"/>
  <c r="B237" i="74"/>
  <c r="B238" i="74"/>
  <c r="B239" i="74"/>
  <c r="B240" i="74"/>
  <c r="B241" i="74"/>
  <c r="B242" i="74"/>
  <c r="B243" i="74"/>
  <c r="B244" i="74"/>
  <c r="B245" i="74"/>
  <c r="B246" i="74"/>
  <c r="B247" i="74"/>
  <c r="B248" i="74"/>
  <c r="B249" i="74"/>
  <c r="B250" i="74"/>
  <c r="B251" i="74"/>
  <c r="B252" i="74"/>
  <c r="B253" i="74"/>
  <c r="B254" i="74"/>
  <c r="B255" i="74"/>
  <c r="B256" i="74"/>
  <c r="B257" i="74"/>
  <c r="B258" i="74"/>
  <c r="B259" i="74"/>
  <c r="B260" i="74"/>
  <c r="B261" i="74"/>
  <c r="B262" i="74"/>
  <c r="B263" i="74"/>
  <c r="B264" i="74"/>
  <c r="B265" i="74"/>
  <c r="B266" i="74"/>
  <c r="B267" i="74"/>
  <c r="B268" i="74"/>
  <c r="B269" i="74"/>
  <c r="B270" i="74"/>
  <c r="B271" i="74"/>
  <c r="B272" i="74"/>
  <c r="B273" i="74"/>
  <c r="B274" i="74"/>
  <c r="B275" i="74"/>
  <c r="B276" i="74"/>
  <c r="B277" i="74"/>
  <c r="B278" i="74"/>
  <c r="B279" i="74"/>
  <c r="B280" i="74"/>
  <c r="B161" i="74"/>
  <c r="B162" i="74"/>
  <c r="B163" i="74"/>
  <c r="B2" i="74"/>
  <c r="B3" i="74"/>
  <c r="B4" i="74"/>
  <c r="B5" i="74"/>
  <c r="B6" i="74"/>
  <c r="B7" i="74"/>
  <c r="B8" i="74"/>
  <c r="B9" i="74"/>
  <c r="B10" i="74"/>
  <c r="B11" i="74"/>
  <c r="B12" i="74"/>
  <c r="B13" i="74"/>
  <c r="B14" i="74"/>
  <c r="B15" i="74"/>
  <c r="B16" i="74"/>
  <c r="B17" i="74"/>
  <c r="B18" i="74"/>
  <c r="B19" i="74"/>
  <c r="B20" i="74"/>
  <c r="B21" i="74"/>
  <c r="B22" i="74"/>
  <c r="B23" i="74"/>
  <c r="B24" i="74"/>
  <c r="B25" i="74"/>
  <c r="B26" i="74"/>
  <c r="B27" i="74"/>
  <c r="B28" i="74"/>
  <c r="B29" i="74"/>
  <c r="B30" i="74"/>
  <c r="B31" i="74"/>
  <c r="B32" i="74"/>
  <c r="B33" i="74"/>
  <c r="B34" i="74"/>
  <c r="B35" i="74"/>
  <c r="B36" i="74"/>
  <c r="B37" i="74"/>
  <c r="B38" i="74"/>
  <c r="B39" i="74"/>
  <c r="B40" i="74"/>
  <c r="B41" i="74"/>
  <c r="B42" i="74"/>
  <c r="B43" i="74"/>
  <c r="B44" i="74"/>
  <c r="B45" i="74"/>
  <c r="B46" i="74"/>
  <c r="B47" i="74"/>
  <c r="B48" i="74"/>
  <c r="B49" i="74"/>
  <c r="B50" i="74"/>
  <c r="B51" i="74"/>
  <c r="B52" i="74"/>
  <c r="B53" i="74"/>
  <c r="B54" i="74"/>
  <c r="B55" i="74"/>
  <c r="B56" i="74"/>
  <c r="B57" i="74"/>
  <c r="B58" i="74"/>
  <c r="B59" i="74"/>
  <c r="B60" i="74"/>
  <c r="B61" i="74"/>
  <c r="B62" i="74"/>
  <c r="B63" i="74"/>
  <c r="B64" i="74"/>
  <c r="B65" i="74"/>
  <c r="B66" i="74"/>
  <c r="B67" i="74"/>
  <c r="B68" i="74"/>
  <c r="B69" i="74"/>
  <c r="B70" i="74"/>
  <c r="B71" i="74"/>
  <c r="B72" i="74"/>
  <c r="B73" i="74"/>
  <c r="B74" i="74"/>
  <c r="B75" i="74"/>
  <c r="B76" i="74"/>
  <c r="B77" i="74"/>
  <c r="B78" i="74"/>
  <c r="B79" i="74"/>
  <c r="B80" i="74"/>
  <c r="B81" i="74"/>
  <c r="B82" i="74"/>
  <c r="B83" i="74"/>
  <c r="B84" i="74"/>
  <c r="B85" i="74"/>
  <c r="B86" i="74"/>
  <c r="B87" i="74"/>
  <c r="B88" i="74"/>
  <c r="B89" i="74"/>
  <c r="B90" i="74"/>
  <c r="B91" i="74"/>
  <c r="B92" i="74"/>
  <c r="B93" i="74"/>
  <c r="B94" i="74"/>
  <c r="B95" i="74"/>
  <c r="B96" i="74"/>
  <c r="B97" i="74"/>
  <c r="B98" i="74"/>
  <c r="B99" i="74"/>
  <c r="B100" i="74"/>
  <c r="B101" i="74"/>
  <c r="B102" i="74"/>
  <c r="B103" i="74"/>
  <c r="B104" i="74"/>
  <c r="B105" i="74"/>
  <c r="B106" i="74"/>
  <c r="B107" i="74"/>
  <c r="B108" i="74"/>
  <c r="B109" i="74"/>
  <c r="B110" i="74"/>
  <c r="B111" i="74"/>
  <c r="B112" i="74"/>
  <c r="B113" i="74"/>
  <c r="B114" i="74"/>
  <c r="B115" i="74"/>
  <c r="B116" i="74"/>
  <c r="B117" i="74"/>
  <c r="B118" i="74"/>
  <c r="B119" i="74"/>
  <c r="B120" i="74"/>
  <c r="B121" i="74"/>
  <c r="B122" i="74"/>
  <c r="B123" i="74"/>
  <c r="B124" i="74"/>
  <c r="B125" i="74"/>
  <c r="B126" i="74"/>
  <c r="B127" i="74"/>
  <c r="B128" i="74"/>
  <c r="B129" i="74"/>
  <c r="B130" i="74"/>
  <c r="B131" i="74"/>
  <c r="B132" i="74"/>
  <c r="B133" i="74"/>
  <c r="B134" i="74"/>
  <c r="B135" i="74"/>
  <c r="B136" i="74"/>
  <c r="B137" i="74"/>
  <c r="B138" i="74"/>
  <c r="B139" i="74"/>
  <c r="B140" i="74"/>
  <c r="B141" i="74"/>
  <c r="B142" i="74"/>
  <c r="B143" i="74"/>
  <c r="B144" i="74"/>
  <c r="B145" i="74"/>
  <c r="B146" i="74"/>
  <c r="B147" i="74"/>
  <c r="B148" i="74"/>
  <c r="B149" i="74"/>
  <c r="B150" i="74"/>
  <c r="B151" i="74"/>
  <c r="B152" i="74"/>
  <c r="B153" i="74"/>
  <c r="B154" i="74"/>
  <c r="B155" i="74"/>
  <c r="B156" i="74"/>
  <c r="B157" i="74"/>
  <c r="B158" i="74"/>
  <c r="B159" i="74"/>
  <c r="B160" i="74"/>
  <c r="B153" i="38"/>
  <c r="W153" i="38" s="1"/>
  <c r="Y153" i="38" s="1"/>
  <c r="B154" i="38"/>
  <c r="W154" i="38" s="1"/>
  <c r="Y154" i="38" s="1"/>
  <c r="B155" i="38"/>
  <c r="B156" i="38"/>
  <c r="W156" i="38" s="1"/>
  <c r="X156" i="38" s="1"/>
  <c r="B157" i="38"/>
  <c r="W157" i="38" s="1"/>
  <c r="Y157" i="38" s="1"/>
  <c r="B158" i="38"/>
  <c r="W158" i="38" s="1"/>
  <c r="Y158" i="38" s="1"/>
  <c r="B159" i="38"/>
  <c r="B160" i="38"/>
  <c r="B161" i="38"/>
  <c r="W161" i="38" s="1"/>
  <c r="Y161" i="38" s="1"/>
  <c r="B162" i="38"/>
  <c r="W162" i="38" s="1"/>
  <c r="Y162" i="38" s="1"/>
  <c r="B163" i="38"/>
  <c r="B164" i="38"/>
  <c r="B165" i="38"/>
  <c r="B166" i="38"/>
  <c r="W166" i="38" s="1"/>
  <c r="Y166" i="38" s="1"/>
  <c r="B167" i="38"/>
  <c r="B168" i="38"/>
  <c r="B169" i="38"/>
  <c r="W169" i="38" s="1"/>
  <c r="Y169" i="38" s="1"/>
  <c r="B170" i="38"/>
  <c r="B171" i="38"/>
  <c r="W171" i="38" s="1"/>
  <c r="B172" i="38"/>
  <c r="W172" i="38" s="1"/>
  <c r="X172" i="38" s="1"/>
  <c r="B173" i="38"/>
  <c r="W173" i="38" s="1"/>
  <c r="Y173" i="38" s="1"/>
  <c r="B174" i="38"/>
  <c r="W174" i="38" s="1"/>
  <c r="Y174" i="38" s="1"/>
  <c r="B175" i="38"/>
  <c r="B176" i="38"/>
  <c r="W176" i="38" s="1"/>
  <c r="Y176" i="38" s="1"/>
  <c r="B177" i="38"/>
  <c r="W177" i="38" s="1"/>
  <c r="Y177" i="38" s="1"/>
  <c r="B178" i="38"/>
  <c r="W178" i="38" s="1"/>
  <c r="Y178" i="38" s="1"/>
  <c r="B179" i="38"/>
  <c r="B180" i="38"/>
  <c r="W180" i="38" s="1"/>
  <c r="Y180" i="38" s="1"/>
  <c r="B181" i="38"/>
  <c r="W181" i="38" s="1"/>
  <c r="Y181" i="38" s="1"/>
  <c r="B182" i="38"/>
  <c r="W182" i="38" s="1"/>
  <c r="Y182" i="38" s="1"/>
  <c r="B183" i="38"/>
  <c r="B184" i="38"/>
  <c r="B185" i="38"/>
  <c r="W185" i="38" s="1"/>
  <c r="Y185" i="38" s="1"/>
  <c r="B186" i="38"/>
  <c r="B187" i="38"/>
  <c r="W187" i="38" s="1"/>
  <c r="B188" i="38"/>
  <c r="B189" i="38"/>
  <c r="B190" i="38"/>
  <c r="W190" i="38" s="1"/>
  <c r="Y190" i="38" s="1"/>
  <c r="B191" i="38"/>
  <c r="B192" i="38"/>
  <c r="B193" i="38"/>
  <c r="B194" i="38"/>
  <c r="W194" i="38" s="1"/>
  <c r="Y194" i="38" s="1"/>
  <c r="B195" i="38"/>
  <c r="B196" i="38"/>
  <c r="B197" i="38"/>
  <c r="B198" i="38"/>
  <c r="W198" i="38" s="1"/>
  <c r="Y198" i="38" s="1"/>
  <c r="B199" i="38"/>
  <c r="B200" i="38"/>
  <c r="B201" i="38"/>
  <c r="B202" i="38"/>
  <c r="B203" i="38"/>
  <c r="B204" i="38"/>
  <c r="B205" i="38"/>
  <c r="W205" i="38" s="1"/>
  <c r="X205" i="38" s="1"/>
  <c r="B206" i="38"/>
  <c r="W206" i="38" s="1"/>
  <c r="Y206" i="38" s="1"/>
  <c r="B207" i="38"/>
  <c r="B208" i="38"/>
  <c r="B209" i="38"/>
  <c r="W209" i="38" s="1"/>
  <c r="X209" i="38" s="1"/>
  <c r="B210" i="38"/>
  <c r="W210" i="38" s="1"/>
  <c r="Y210" i="38" s="1"/>
  <c r="B211" i="38"/>
  <c r="B212" i="38"/>
  <c r="B213" i="38"/>
  <c r="W213" i="38" s="1"/>
  <c r="X213" i="38" s="1"/>
  <c r="B214" i="38"/>
  <c r="W214" i="38" s="1"/>
  <c r="Y214" i="38" s="1"/>
  <c r="B215" i="38"/>
  <c r="B216" i="38"/>
  <c r="B217" i="38"/>
  <c r="W217" i="38" s="1"/>
  <c r="X217" i="38" s="1"/>
  <c r="B218" i="38"/>
  <c r="B219" i="38"/>
  <c r="B220" i="38"/>
  <c r="B221" i="38"/>
  <c r="W221" i="38" s="1"/>
  <c r="X221" i="38" s="1"/>
  <c r="B222" i="38"/>
  <c r="W222" i="38" s="1"/>
  <c r="Y222" i="38" s="1"/>
  <c r="B223" i="38"/>
  <c r="B224" i="38"/>
  <c r="B225" i="38"/>
  <c r="W225" i="38" s="1"/>
  <c r="X225" i="38" s="1"/>
  <c r="B226" i="38"/>
  <c r="W226" i="38" s="1"/>
  <c r="Y226" i="38" s="1"/>
  <c r="B227" i="38"/>
  <c r="B228" i="38"/>
  <c r="B229" i="38"/>
  <c r="W229" i="38" s="1"/>
  <c r="X229" i="38" s="1"/>
  <c r="B230" i="38"/>
  <c r="W230" i="38" s="1"/>
  <c r="Y230" i="38" s="1"/>
  <c r="B231" i="38"/>
  <c r="B232" i="38"/>
  <c r="B233" i="38"/>
  <c r="B234" i="38"/>
  <c r="B235" i="38"/>
  <c r="B236" i="38"/>
  <c r="B237" i="38"/>
  <c r="B238" i="38"/>
  <c r="W238" i="38" s="1"/>
  <c r="Y238" i="38" s="1"/>
  <c r="B239" i="38"/>
  <c r="B240" i="38"/>
  <c r="B241" i="38"/>
  <c r="B242" i="38"/>
  <c r="W242" i="38" s="1"/>
  <c r="Y242" i="38" s="1"/>
  <c r="B243" i="38"/>
  <c r="B244" i="38"/>
  <c r="B245" i="38"/>
  <c r="B246" i="38"/>
  <c r="W246" i="38" s="1"/>
  <c r="Y246" i="38" s="1"/>
  <c r="B247" i="38"/>
  <c r="B248" i="38"/>
  <c r="B249" i="38"/>
  <c r="B250" i="38"/>
  <c r="B251" i="38"/>
  <c r="B252" i="38"/>
  <c r="B253" i="38"/>
  <c r="B254" i="38"/>
  <c r="W254" i="38" s="1"/>
  <c r="Y254" i="38" s="1"/>
  <c r="B255" i="38"/>
  <c r="B256" i="38"/>
  <c r="B257" i="38"/>
  <c r="B258" i="38"/>
  <c r="W258" i="38" s="1"/>
  <c r="Y258" i="38" s="1"/>
  <c r="B259" i="38"/>
  <c r="B260" i="38"/>
  <c r="B261" i="38"/>
  <c r="B262" i="38"/>
  <c r="W262" i="38" s="1"/>
  <c r="Y262" i="38" s="1"/>
  <c r="B263" i="38"/>
  <c r="B264" i="38"/>
  <c r="B265" i="38"/>
  <c r="W265" i="38" s="1"/>
  <c r="X265" i="38" s="1"/>
  <c r="B266" i="38"/>
  <c r="W266" i="38" s="1"/>
  <c r="Y266" i="38" s="1"/>
  <c r="B267" i="38"/>
  <c r="B268" i="38"/>
  <c r="B269" i="38"/>
  <c r="W269" i="38" s="1"/>
  <c r="B270" i="38"/>
  <c r="B271" i="38"/>
  <c r="B272" i="38"/>
  <c r="B273" i="38"/>
  <c r="B274" i="38"/>
  <c r="W274" i="38" s="1"/>
  <c r="B275" i="38"/>
  <c r="W275" i="38" s="1"/>
  <c r="B276" i="38"/>
  <c r="B277" i="38"/>
  <c r="B278" i="38"/>
  <c r="W278" i="38" s="1"/>
  <c r="B279" i="38"/>
  <c r="W279" i="38" s="1"/>
  <c r="X279" i="38" s="1"/>
  <c r="B280" i="38"/>
  <c r="F153" i="38"/>
  <c r="F154" i="38"/>
  <c r="F155" i="38"/>
  <c r="F156" i="38"/>
  <c r="F157" i="38"/>
  <c r="F158" i="38"/>
  <c r="F159" i="38"/>
  <c r="F160" i="38"/>
  <c r="F161" i="38"/>
  <c r="F162" i="38"/>
  <c r="F163" i="38"/>
  <c r="F164" i="38"/>
  <c r="F165" i="38"/>
  <c r="F166" i="38"/>
  <c r="F167" i="38"/>
  <c r="F168" i="38"/>
  <c r="F169" i="38"/>
  <c r="F170" i="38"/>
  <c r="F171" i="38"/>
  <c r="F172" i="38"/>
  <c r="F174" i="38"/>
  <c r="F175" i="38"/>
  <c r="F176" i="38"/>
  <c r="F177" i="38"/>
  <c r="F178" i="38"/>
  <c r="F179" i="38"/>
  <c r="F180" i="38"/>
  <c r="F181" i="38"/>
  <c r="F182" i="38"/>
  <c r="F184" i="38"/>
  <c r="F185" i="38"/>
  <c r="F186" i="38"/>
  <c r="F187" i="38"/>
  <c r="F188" i="38"/>
  <c r="F189" i="38"/>
  <c r="F190" i="38"/>
  <c r="F191" i="38"/>
  <c r="F192" i="38"/>
  <c r="F193" i="38"/>
  <c r="F194" i="38"/>
  <c r="F195" i="38"/>
  <c r="F196" i="38"/>
  <c r="F197" i="38"/>
  <c r="F199" i="38"/>
  <c r="F200" i="38"/>
  <c r="F201" i="38"/>
  <c r="F202" i="38"/>
  <c r="F203" i="38"/>
  <c r="F204" i="38"/>
  <c r="F205" i="38"/>
  <c r="F206" i="38"/>
  <c r="F207" i="38"/>
  <c r="F208" i="38"/>
  <c r="F209" i="38"/>
  <c r="F210" i="38"/>
  <c r="F211" i="38"/>
  <c r="F212" i="38"/>
  <c r="F213" i="38"/>
  <c r="F214" i="38"/>
  <c r="F215" i="38"/>
  <c r="F216" i="38"/>
  <c r="F217" i="38"/>
  <c r="F218" i="38"/>
  <c r="F219" i="38"/>
  <c r="F220" i="38"/>
  <c r="F221" i="38"/>
  <c r="F222" i="38"/>
  <c r="F223" i="38"/>
  <c r="F224" i="38"/>
  <c r="F225" i="38"/>
  <c r="F226" i="38"/>
  <c r="F227" i="38"/>
  <c r="F228" i="38"/>
  <c r="F229" i="38"/>
  <c r="F230" i="38"/>
  <c r="F231" i="38"/>
  <c r="F232" i="38"/>
  <c r="F233" i="38"/>
  <c r="F234" i="38"/>
  <c r="F235" i="38"/>
  <c r="F236" i="38"/>
  <c r="F237" i="38"/>
  <c r="F238" i="38"/>
  <c r="F239" i="38"/>
  <c r="F240" i="38"/>
  <c r="F241" i="38"/>
  <c r="F242" i="38"/>
  <c r="F243" i="38"/>
  <c r="F244" i="38"/>
  <c r="F245" i="38"/>
  <c r="F246" i="38"/>
  <c r="F247" i="38"/>
  <c r="F248" i="38"/>
  <c r="F249" i="38"/>
  <c r="F250" i="38"/>
  <c r="F251" i="38"/>
  <c r="F252" i="38"/>
  <c r="F253" i="38"/>
  <c r="F254" i="38"/>
  <c r="F255" i="38"/>
  <c r="F256" i="38"/>
  <c r="F257" i="38"/>
  <c r="F258" i="38"/>
  <c r="F259" i="38"/>
  <c r="F260" i="38"/>
  <c r="F261" i="38"/>
  <c r="F262" i="38"/>
  <c r="F263" i="38"/>
  <c r="F264" i="38"/>
  <c r="F265" i="38"/>
  <c r="F267" i="38"/>
  <c r="F268" i="38"/>
  <c r="F269" i="38"/>
  <c r="F270" i="38"/>
  <c r="F271" i="38"/>
  <c r="F272" i="38"/>
  <c r="F273" i="38"/>
  <c r="F274" i="38"/>
  <c r="F275" i="38"/>
  <c r="F276" i="38"/>
  <c r="F277" i="38"/>
  <c r="F278" i="38"/>
  <c r="F279" i="38"/>
  <c r="F280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264" i="38"/>
  <c r="V265" i="38"/>
  <c r="V266" i="38"/>
  <c r="V267" i="38"/>
  <c r="V268" i="38"/>
  <c r="V269" i="38"/>
  <c r="V270" i="38"/>
  <c r="V271" i="38"/>
  <c r="V272" i="38"/>
  <c r="V273" i="38"/>
  <c r="V274" i="38"/>
  <c r="V275" i="38"/>
  <c r="V276" i="38"/>
  <c r="V277" i="38"/>
  <c r="V278" i="38"/>
  <c r="V279" i="38"/>
  <c r="V280" i="38"/>
  <c r="W170" i="38"/>
  <c r="Y170" i="38" s="1"/>
  <c r="W186" i="38"/>
  <c r="Y186" i="38" s="1"/>
  <c r="W202" i="38"/>
  <c r="Y202" i="38" s="1"/>
  <c r="W218" i="38"/>
  <c r="Y218" i="38" s="1"/>
  <c r="W234" i="38"/>
  <c r="Y234" i="38" s="1"/>
  <c r="W250" i="38"/>
  <c r="Y250" i="38" s="1"/>
  <c r="W270" i="38"/>
  <c r="Y270" i="38" s="1"/>
  <c r="AD153" i="38"/>
  <c r="AD154" i="38"/>
  <c r="AD155" i="38"/>
  <c r="AD156" i="38"/>
  <c r="AD157" i="38"/>
  <c r="AD158" i="38"/>
  <c r="AD159" i="38"/>
  <c r="AD160" i="38"/>
  <c r="AD161" i="38"/>
  <c r="AD162" i="38"/>
  <c r="AD163" i="38"/>
  <c r="AD164" i="38"/>
  <c r="AD165" i="38"/>
  <c r="AD166" i="38"/>
  <c r="AD167" i="38"/>
  <c r="AD168" i="38"/>
  <c r="AD169" i="38"/>
  <c r="AD170" i="38"/>
  <c r="AD171" i="38"/>
  <c r="AD172" i="38"/>
  <c r="AD173" i="38"/>
  <c r="AD174" i="38"/>
  <c r="AD175" i="38"/>
  <c r="AD176" i="38"/>
  <c r="AD177" i="38"/>
  <c r="AD178" i="38"/>
  <c r="AD179" i="38"/>
  <c r="AD180" i="38"/>
  <c r="AD181" i="38"/>
  <c r="AD182" i="38"/>
  <c r="AD183" i="38"/>
  <c r="AD184" i="38"/>
  <c r="AD185" i="38"/>
  <c r="AD186" i="38"/>
  <c r="AD187" i="38"/>
  <c r="AD188" i="38"/>
  <c r="AD189" i="38"/>
  <c r="AD190" i="38"/>
  <c r="AD191" i="38"/>
  <c r="AD192" i="38"/>
  <c r="AD193" i="38"/>
  <c r="AD194" i="38"/>
  <c r="AD195" i="38"/>
  <c r="AD196" i="38"/>
  <c r="AD197" i="38"/>
  <c r="AD198" i="38"/>
  <c r="AD199" i="38"/>
  <c r="AD200" i="38"/>
  <c r="AD201" i="38"/>
  <c r="AD202" i="38"/>
  <c r="AD203" i="38"/>
  <c r="AD204" i="38"/>
  <c r="AD205" i="38"/>
  <c r="AD206" i="38"/>
  <c r="AD207" i="38"/>
  <c r="AD208" i="38"/>
  <c r="AD209" i="38"/>
  <c r="AD210" i="38"/>
  <c r="AD211" i="38"/>
  <c r="AD212" i="38"/>
  <c r="AD213" i="38"/>
  <c r="AD214" i="38"/>
  <c r="AD215" i="38"/>
  <c r="AD216" i="38"/>
  <c r="AD217" i="38"/>
  <c r="AD218" i="38"/>
  <c r="AD219" i="38"/>
  <c r="AD220" i="38"/>
  <c r="AD221" i="38"/>
  <c r="AD222" i="38"/>
  <c r="AD223" i="38"/>
  <c r="AD224" i="38"/>
  <c r="AD225" i="38"/>
  <c r="AD226" i="38"/>
  <c r="AD227" i="38"/>
  <c r="AD228" i="38"/>
  <c r="AD229" i="38"/>
  <c r="AD230" i="38"/>
  <c r="AD231" i="38"/>
  <c r="AD232" i="38"/>
  <c r="AD233" i="38"/>
  <c r="AD234" i="38"/>
  <c r="AD235" i="38"/>
  <c r="AD236" i="38"/>
  <c r="AD237" i="38"/>
  <c r="AD238" i="38"/>
  <c r="AD239" i="38"/>
  <c r="AD240" i="38"/>
  <c r="AD241" i="38"/>
  <c r="AD242" i="38"/>
  <c r="AD243" i="38"/>
  <c r="AD244" i="38"/>
  <c r="AD245" i="38"/>
  <c r="AD246" i="38"/>
  <c r="AD247" i="38"/>
  <c r="AD248" i="38"/>
  <c r="AD249" i="38"/>
  <c r="AD250" i="38"/>
  <c r="AD251" i="38"/>
  <c r="AD252" i="38"/>
  <c r="AD253" i="38"/>
  <c r="AD254" i="38"/>
  <c r="AD255" i="38"/>
  <c r="AD256" i="38"/>
  <c r="AD257" i="38"/>
  <c r="AD258" i="38"/>
  <c r="AD259" i="38"/>
  <c r="AD260" i="38"/>
  <c r="AD261" i="38"/>
  <c r="AD262" i="38"/>
  <c r="AD263" i="38"/>
  <c r="AD264" i="38"/>
  <c r="AD265" i="38"/>
  <c r="AD266" i="38"/>
  <c r="AD267" i="38"/>
  <c r="AD268" i="38"/>
  <c r="AD269" i="38"/>
  <c r="AD270" i="38"/>
  <c r="AD271" i="38"/>
  <c r="AD272" i="38"/>
  <c r="AD273" i="38"/>
  <c r="AD274" i="38"/>
  <c r="AD275" i="38"/>
  <c r="AD276" i="38"/>
  <c r="AD277" i="38"/>
  <c r="AD278" i="38"/>
  <c r="AD279" i="38"/>
  <c r="AD280" i="38"/>
  <c r="AF153" i="38"/>
  <c r="AF154" i="38"/>
  <c r="AF155" i="38"/>
  <c r="AF156" i="38"/>
  <c r="AF157" i="38"/>
  <c r="AF158" i="38"/>
  <c r="AF159" i="38"/>
  <c r="AF160" i="38"/>
  <c r="AF161" i="38"/>
  <c r="AF162" i="38"/>
  <c r="AF163" i="38"/>
  <c r="AF164" i="38"/>
  <c r="AF165" i="38"/>
  <c r="AF166" i="38"/>
  <c r="AF167" i="38"/>
  <c r="AF168" i="38"/>
  <c r="AF169" i="38"/>
  <c r="AF170" i="38"/>
  <c r="AF171" i="38"/>
  <c r="AF172" i="38"/>
  <c r="AF173" i="38"/>
  <c r="AF174" i="38"/>
  <c r="AF175" i="38"/>
  <c r="AF176" i="38"/>
  <c r="AF177" i="38"/>
  <c r="AF178" i="38"/>
  <c r="AF179" i="38"/>
  <c r="AF180" i="38"/>
  <c r="AF181" i="38"/>
  <c r="AF182" i="38"/>
  <c r="AF183" i="38"/>
  <c r="AF184" i="38"/>
  <c r="AF185" i="38"/>
  <c r="AF186" i="38"/>
  <c r="AF187" i="38"/>
  <c r="AF188" i="38"/>
  <c r="AF189" i="38"/>
  <c r="AF190" i="38"/>
  <c r="AF191" i="38"/>
  <c r="AF192" i="38"/>
  <c r="AF193" i="38"/>
  <c r="AF194" i="38"/>
  <c r="AF195" i="38"/>
  <c r="AF196" i="38"/>
  <c r="AF197" i="38"/>
  <c r="AF198" i="38"/>
  <c r="AF199" i="38"/>
  <c r="AF200" i="38"/>
  <c r="AF201" i="38"/>
  <c r="AF202" i="38"/>
  <c r="AF203" i="38"/>
  <c r="AF204" i="38"/>
  <c r="AF205" i="38"/>
  <c r="AF206" i="38"/>
  <c r="AF207" i="38"/>
  <c r="AF208" i="38"/>
  <c r="AF209" i="38"/>
  <c r="AF210" i="38"/>
  <c r="AF211" i="38"/>
  <c r="AF212" i="38"/>
  <c r="AF213" i="38"/>
  <c r="AF214" i="38"/>
  <c r="AF215" i="38"/>
  <c r="AF216" i="38"/>
  <c r="AF217" i="38"/>
  <c r="AF218" i="38"/>
  <c r="AF219" i="38"/>
  <c r="AF220" i="38"/>
  <c r="AF221" i="38"/>
  <c r="AF222" i="38"/>
  <c r="AF223" i="38"/>
  <c r="AF224" i="38"/>
  <c r="AF225" i="38"/>
  <c r="AF226" i="38"/>
  <c r="AF227" i="38"/>
  <c r="AF228" i="38"/>
  <c r="AF229" i="38"/>
  <c r="AF230" i="38"/>
  <c r="AF231" i="38"/>
  <c r="AF232" i="38"/>
  <c r="AF233" i="38"/>
  <c r="AF234" i="38"/>
  <c r="AF235" i="38"/>
  <c r="AF236" i="38"/>
  <c r="AF237" i="38"/>
  <c r="AF238" i="38"/>
  <c r="AF239" i="38"/>
  <c r="AF240" i="38"/>
  <c r="AF241" i="38"/>
  <c r="AF242" i="38"/>
  <c r="AF243" i="38"/>
  <c r="AF244" i="38"/>
  <c r="AF245" i="38"/>
  <c r="AF246" i="38"/>
  <c r="AF247" i="38"/>
  <c r="AF248" i="38"/>
  <c r="AF249" i="38"/>
  <c r="AF250" i="38"/>
  <c r="AF251" i="38"/>
  <c r="AF252" i="38"/>
  <c r="AF253" i="38"/>
  <c r="AF254" i="38"/>
  <c r="AF255" i="38"/>
  <c r="AF256" i="38"/>
  <c r="AF257" i="38"/>
  <c r="AF258" i="38"/>
  <c r="AF259" i="38"/>
  <c r="AF260" i="38"/>
  <c r="AF261" i="38"/>
  <c r="AF262" i="38"/>
  <c r="AF263" i="38"/>
  <c r="AF264" i="38"/>
  <c r="AF265" i="38"/>
  <c r="AF266" i="38"/>
  <c r="AF267" i="38"/>
  <c r="AF268" i="38"/>
  <c r="AF269" i="38"/>
  <c r="AF270" i="38"/>
  <c r="AF271" i="38"/>
  <c r="AF272" i="38"/>
  <c r="AF273" i="38"/>
  <c r="AF274" i="38"/>
  <c r="AF275" i="38"/>
  <c r="AF276" i="38"/>
  <c r="AF277" i="38"/>
  <c r="AF278" i="38"/>
  <c r="AF279" i="38"/>
  <c r="AF280" i="38"/>
  <c r="AJ153" i="38"/>
  <c r="AJ154" i="38"/>
  <c r="AJ155" i="38"/>
  <c r="AJ156" i="38"/>
  <c r="AJ157" i="38"/>
  <c r="AJ158" i="38"/>
  <c r="AJ159" i="38"/>
  <c r="AJ160" i="38"/>
  <c r="AJ161" i="38"/>
  <c r="AJ162" i="38"/>
  <c r="AJ163" i="38"/>
  <c r="AJ164" i="38"/>
  <c r="AJ165" i="38"/>
  <c r="AJ166" i="38"/>
  <c r="AJ167" i="38"/>
  <c r="AJ168" i="38"/>
  <c r="AJ169" i="38"/>
  <c r="AJ170" i="38"/>
  <c r="AJ171" i="38"/>
  <c r="AJ172" i="38"/>
  <c r="AJ173" i="38"/>
  <c r="AJ174" i="38"/>
  <c r="AJ175" i="38"/>
  <c r="AJ176" i="38"/>
  <c r="AJ177" i="38"/>
  <c r="AJ178" i="38"/>
  <c r="AJ179" i="38"/>
  <c r="AJ180" i="38"/>
  <c r="AJ181" i="38"/>
  <c r="AJ182" i="38"/>
  <c r="AJ183" i="38"/>
  <c r="AJ184" i="38"/>
  <c r="AJ185" i="38"/>
  <c r="AJ186" i="38"/>
  <c r="AJ187" i="38"/>
  <c r="AJ188" i="38"/>
  <c r="AJ189" i="38"/>
  <c r="AJ190" i="38"/>
  <c r="AJ191" i="38"/>
  <c r="AJ192" i="38"/>
  <c r="AJ193" i="38"/>
  <c r="AJ194" i="38"/>
  <c r="AJ195" i="38"/>
  <c r="AJ196" i="38"/>
  <c r="AJ197" i="38"/>
  <c r="AJ198" i="38"/>
  <c r="AJ199" i="38"/>
  <c r="AJ200" i="38"/>
  <c r="AJ201" i="38"/>
  <c r="AJ202" i="38"/>
  <c r="AJ203" i="38"/>
  <c r="AJ204" i="38"/>
  <c r="AJ205" i="38"/>
  <c r="AJ206" i="38"/>
  <c r="AJ207" i="38"/>
  <c r="AJ208" i="38"/>
  <c r="AJ209" i="38"/>
  <c r="AJ210" i="38"/>
  <c r="AJ211" i="38"/>
  <c r="AJ212" i="38"/>
  <c r="AJ213" i="38"/>
  <c r="AJ214" i="38"/>
  <c r="AJ215" i="38"/>
  <c r="AJ216" i="38"/>
  <c r="AJ217" i="38"/>
  <c r="AJ218" i="38"/>
  <c r="AJ219" i="38"/>
  <c r="AJ220" i="38"/>
  <c r="AJ221" i="38"/>
  <c r="AJ222" i="38"/>
  <c r="AJ223" i="38"/>
  <c r="AJ224" i="38"/>
  <c r="AJ225" i="38"/>
  <c r="AJ226" i="38"/>
  <c r="AJ227" i="38"/>
  <c r="AJ228" i="38"/>
  <c r="AJ229" i="38"/>
  <c r="AJ230" i="38"/>
  <c r="AJ231" i="38"/>
  <c r="AJ232" i="38"/>
  <c r="AJ233" i="38"/>
  <c r="AJ234" i="38"/>
  <c r="AJ235" i="38"/>
  <c r="AJ236" i="38"/>
  <c r="AJ237" i="38"/>
  <c r="AJ238" i="38"/>
  <c r="AJ239" i="38"/>
  <c r="AJ240" i="38"/>
  <c r="AJ241" i="38"/>
  <c r="AJ242" i="38"/>
  <c r="AJ243" i="38"/>
  <c r="AJ244" i="38"/>
  <c r="AJ245" i="38"/>
  <c r="AJ246" i="38"/>
  <c r="AJ247" i="38"/>
  <c r="AJ248" i="38"/>
  <c r="AJ249" i="38"/>
  <c r="AJ250" i="38"/>
  <c r="AJ251" i="38"/>
  <c r="AJ252" i="38"/>
  <c r="AJ253" i="38"/>
  <c r="AJ254" i="38"/>
  <c r="AJ255" i="38"/>
  <c r="AJ256" i="38"/>
  <c r="AJ257" i="38"/>
  <c r="AJ258" i="38"/>
  <c r="AJ259" i="38"/>
  <c r="AJ260" i="38"/>
  <c r="AJ261" i="38"/>
  <c r="AJ262" i="38"/>
  <c r="AJ263" i="38"/>
  <c r="AJ264" i="38"/>
  <c r="AJ265" i="38"/>
  <c r="AJ266" i="38"/>
  <c r="AJ267" i="38"/>
  <c r="AJ268" i="38"/>
  <c r="AJ269" i="38"/>
  <c r="AJ270" i="38"/>
  <c r="AJ271" i="38"/>
  <c r="AJ272" i="38"/>
  <c r="AJ273" i="38"/>
  <c r="AJ274" i="38"/>
  <c r="AJ275" i="38"/>
  <c r="AJ276" i="38"/>
  <c r="AJ277" i="38"/>
  <c r="AJ278" i="38"/>
  <c r="AJ279" i="38"/>
  <c r="AJ280" i="38"/>
  <c r="BG19" i="20" l="1"/>
  <c r="BF145" i="20"/>
  <c r="BG57" i="20"/>
  <c r="BD57" i="20"/>
  <c r="BE19" i="20"/>
  <c r="BJ144" i="20"/>
  <c r="BI144" i="20"/>
  <c r="BK144" i="20"/>
  <c r="BD251" i="31"/>
  <c r="BG251" i="31"/>
  <c r="BD233" i="31"/>
  <c r="BH251" i="31"/>
  <c r="BI250" i="31"/>
  <c r="BH265" i="31"/>
  <c r="BG267" i="31"/>
  <c r="B208" i="20"/>
  <c r="B271" i="31"/>
  <c r="BG145" i="20"/>
  <c r="BK19" i="20"/>
  <c r="BJ19" i="20"/>
  <c r="BI19" i="20"/>
  <c r="BE213" i="31"/>
  <c r="BJ270" i="31"/>
  <c r="BI270" i="31"/>
  <c r="BK270" i="31"/>
  <c r="BE145" i="20"/>
  <c r="BH57" i="20"/>
  <c r="BE57" i="20"/>
  <c r="BG246" i="20"/>
  <c r="BH69" i="20"/>
  <c r="BG69" i="20"/>
  <c r="Z287" i="38"/>
  <c r="Y282" i="38"/>
  <c r="B66" i="20"/>
  <c r="B267" i="31"/>
  <c r="B131" i="20"/>
  <c r="B262" i="31"/>
  <c r="B253" i="31"/>
  <c r="B88" i="20"/>
  <c r="B48" i="20"/>
  <c r="B215" i="31"/>
  <c r="B181" i="31"/>
  <c r="B52" i="20"/>
  <c r="B223" i="31"/>
  <c r="B243" i="20"/>
  <c r="W168" i="38"/>
  <c r="Y168" i="38" s="1"/>
  <c r="W271" i="38"/>
  <c r="X271" i="38" s="1"/>
  <c r="B174" i="31"/>
  <c r="B158" i="20"/>
  <c r="W263" i="38"/>
  <c r="Y263" i="38" s="1"/>
  <c r="B255" i="31"/>
  <c r="B81" i="20"/>
  <c r="W251" i="38"/>
  <c r="Y251" i="38" s="1"/>
  <c r="B17" i="20"/>
  <c r="B170" i="31"/>
  <c r="W235" i="38"/>
  <c r="Y235" i="38" s="1"/>
  <c r="B263" i="31"/>
  <c r="B72" i="20"/>
  <c r="W203" i="38"/>
  <c r="Y203" i="38" s="1"/>
  <c r="B69" i="20"/>
  <c r="B190" i="31"/>
  <c r="W175" i="38"/>
  <c r="B268" i="31"/>
  <c r="B80" i="20"/>
  <c r="W167" i="38"/>
  <c r="Y167" i="38" s="1"/>
  <c r="B43" i="20"/>
  <c r="B200" i="31"/>
  <c r="W159" i="38"/>
  <c r="Y159" i="38" s="1"/>
  <c r="B134" i="20"/>
  <c r="B230" i="31"/>
  <c r="Y285" i="38"/>
  <c r="Z285" i="38" s="1"/>
  <c r="B168" i="31"/>
  <c r="B3" i="20"/>
  <c r="B73" i="20"/>
  <c r="B261" i="31"/>
  <c r="B44" i="20"/>
  <c r="B186" i="31"/>
  <c r="B235" i="31"/>
  <c r="B85" i="20"/>
  <c r="W160" i="38"/>
  <c r="Y160" i="38" s="1"/>
  <c r="B132" i="20"/>
  <c r="B254" i="31"/>
  <c r="B201" i="31"/>
  <c r="B25" i="20"/>
  <c r="B14" i="20"/>
  <c r="B175" i="31"/>
  <c r="B265" i="31"/>
  <c r="B139" i="20"/>
  <c r="B253" i="20"/>
  <c r="B266" i="31"/>
  <c r="B16" i="20"/>
  <c r="B179" i="31"/>
  <c r="B251" i="31"/>
  <c r="B115" i="20"/>
  <c r="B98" i="20"/>
  <c r="B183" i="31"/>
  <c r="B84" i="20"/>
  <c r="B229" i="31"/>
  <c r="B241" i="31"/>
  <c r="B108" i="20"/>
  <c r="B228" i="31"/>
  <c r="B35" i="20"/>
  <c r="W164" i="38"/>
  <c r="Y164" i="38" s="1"/>
  <c r="B218" i="31"/>
  <c r="B217" i="31"/>
  <c r="B119" i="20"/>
  <c r="B128" i="20"/>
  <c r="B264" i="31"/>
  <c r="W237" i="38"/>
  <c r="X237" i="38" s="1"/>
  <c r="B195" i="31"/>
  <c r="B90" i="20"/>
  <c r="W233" i="38"/>
  <c r="X233" i="38" s="1"/>
  <c r="B91" i="20"/>
  <c r="B216" i="31"/>
  <c r="W201" i="38"/>
  <c r="Y201" i="38" s="1"/>
  <c r="B185" i="31"/>
  <c r="B51" i="20"/>
  <c r="W197" i="38"/>
  <c r="X197" i="38" s="1"/>
  <c r="B246" i="31"/>
  <c r="B230" i="20"/>
  <c r="W193" i="38"/>
  <c r="X193" i="38" s="1"/>
  <c r="B173" i="31"/>
  <c r="B146" i="20"/>
  <c r="B172" i="31"/>
  <c r="W189" i="38"/>
  <c r="X189" i="38" s="1"/>
  <c r="B189" i="31"/>
  <c r="B33" i="20"/>
  <c r="W165" i="38"/>
  <c r="Y165" i="38" s="1"/>
  <c r="B49" i="20"/>
  <c r="B259" i="31"/>
  <c r="BG146" i="20"/>
  <c r="BH185" i="20"/>
  <c r="BE69" i="20"/>
  <c r="BE246" i="20"/>
  <c r="BH246" i="20"/>
  <c r="BK57" i="20"/>
  <c r="BJ57" i="20"/>
  <c r="BI57" i="20"/>
  <c r="BG185" i="20"/>
  <c r="BJ250" i="31"/>
  <c r="BH20" i="20"/>
  <c r="BE185" i="20"/>
  <c r="BG20" i="20"/>
  <c r="BD185" i="20"/>
  <c r="BJ246" i="20"/>
  <c r="BI246" i="20"/>
  <c r="BK246" i="20"/>
  <c r="BG265" i="31"/>
  <c r="BF265" i="31"/>
  <c r="BE20" i="20"/>
  <c r="BH267" i="31"/>
  <c r="BJ267" i="31"/>
  <c r="BI267" i="31"/>
  <c r="BK69" i="20"/>
  <c r="BJ69" i="20"/>
  <c r="BI69" i="20"/>
  <c r="BF20" i="20"/>
  <c r="BH146" i="20"/>
  <c r="BK185" i="20"/>
  <c r="BJ185" i="20"/>
  <c r="BI185" i="20"/>
  <c r="BE146" i="20"/>
  <c r="BG64" i="31"/>
  <c r="BG261" i="31"/>
  <c r="BJ261" i="31"/>
  <c r="BI261" i="31"/>
  <c r="BK261" i="31"/>
  <c r="BD9" i="31"/>
  <c r="BE25" i="31"/>
  <c r="BJ25" i="31"/>
  <c r="BG69" i="31"/>
  <c r="BE164" i="31"/>
  <c r="BK20" i="20"/>
  <c r="BJ20" i="20"/>
  <c r="BI20" i="20"/>
  <c r="BH11" i="31"/>
  <c r="BF67" i="31"/>
  <c r="BF213" i="31"/>
  <c r="BH233" i="31"/>
  <c r="BE235" i="31"/>
  <c r="BD235" i="31"/>
  <c r="BD164" i="31"/>
  <c r="BG233" i="31"/>
  <c r="BJ265" i="31"/>
  <c r="BI265" i="31"/>
  <c r="BK265" i="31"/>
  <c r="BH147" i="20"/>
  <c r="BE241" i="20"/>
  <c r="BI146" i="20"/>
  <c r="BK146" i="20"/>
  <c r="BJ146" i="20"/>
  <c r="BE147" i="20"/>
  <c r="BG164" i="31"/>
  <c r="BF164" i="31"/>
  <c r="BH164" i="31"/>
  <c r="BE211" i="31"/>
  <c r="BF257" i="20"/>
  <c r="BG257" i="20"/>
  <c r="BK147" i="20"/>
  <c r="BJ147" i="20"/>
  <c r="BI147" i="20"/>
  <c r="BE98" i="20"/>
  <c r="BF98" i="20"/>
  <c r="BH197" i="20"/>
  <c r="BG241" i="20"/>
  <c r="BF241" i="20"/>
  <c r="BD257" i="20"/>
  <c r="BD145" i="20"/>
  <c r="BE149" i="20"/>
  <c r="BF149" i="20"/>
  <c r="BD98" i="20"/>
  <c r="BE257" i="20"/>
  <c r="BH149" i="20"/>
  <c r="BF8" i="31"/>
  <c r="BH8" i="31"/>
  <c r="BD21" i="31"/>
  <c r="BH97" i="31"/>
  <c r="BK97" i="31"/>
  <c r="BG98" i="20"/>
  <c r="BJ149" i="20"/>
  <c r="BI149" i="20"/>
  <c r="BK149" i="20"/>
  <c r="BI145" i="20"/>
  <c r="BK145" i="20"/>
  <c r="BJ145" i="20"/>
  <c r="BG86" i="20"/>
  <c r="BH86" i="20"/>
  <c r="BG87" i="20"/>
  <c r="BI241" i="20"/>
  <c r="BK241" i="20"/>
  <c r="BJ241" i="20"/>
  <c r="BK11" i="31"/>
  <c r="BE192" i="20"/>
  <c r="BF192" i="20"/>
  <c r="BD102" i="20"/>
  <c r="BE87" i="20"/>
  <c r="BF87" i="20"/>
  <c r="BH87" i="20"/>
  <c r="BI257" i="20"/>
  <c r="BK257" i="20"/>
  <c r="BJ257" i="20"/>
  <c r="BI98" i="20"/>
  <c r="BK98" i="20"/>
  <c r="BJ98" i="20"/>
  <c r="BD192" i="20"/>
  <c r="BG22" i="20"/>
  <c r="BG192" i="20"/>
  <c r="BK192" i="20"/>
  <c r="BG258" i="20"/>
  <c r="BI87" i="20"/>
  <c r="BK87" i="20"/>
  <c r="BJ87" i="20"/>
  <c r="BH192" i="20"/>
  <c r="BD213" i="31"/>
  <c r="BG213" i="31"/>
  <c r="BE251" i="31"/>
  <c r="BI192" i="20"/>
  <c r="BE22" i="20"/>
  <c r="BH22" i="20"/>
  <c r="BE258" i="20"/>
  <c r="BH258" i="20"/>
  <c r="BE86" i="20"/>
  <c r="BF22" i="20"/>
  <c r="BJ86" i="20"/>
  <c r="BI86" i="20"/>
  <c r="BK86" i="20"/>
  <c r="BF187" i="31"/>
  <c r="BK258" i="20"/>
  <c r="BJ258" i="20"/>
  <c r="BI258" i="20"/>
  <c r="BH41" i="20"/>
  <c r="BJ22" i="20"/>
  <c r="BI22" i="20"/>
  <c r="BK22" i="20"/>
  <c r="BH90" i="20"/>
  <c r="BG193" i="20"/>
  <c r="BG90" i="20"/>
  <c r="BE90" i="20"/>
  <c r="BF90" i="20"/>
  <c r="BH43" i="20"/>
  <c r="BI90" i="20"/>
  <c r="BK90" i="20"/>
  <c r="BJ90" i="20"/>
  <c r="BK251" i="31"/>
  <c r="BJ251" i="31"/>
  <c r="BH193" i="20"/>
  <c r="BG102" i="20"/>
  <c r="BK193" i="20"/>
  <c r="BJ193" i="20"/>
  <c r="BI193" i="20"/>
  <c r="BE102" i="20"/>
  <c r="BH102" i="20"/>
  <c r="BH13" i="20"/>
  <c r="BG13" i="20"/>
  <c r="BE43" i="20"/>
  <c r="BK102" i="20"/>
  <c r="BJ102" i="20"/>
  <c r="BI102" i="20"/>
  <c r="BH206" i="20"/>
  <c r="BF206" i="20"/>
  <c r="BE206" i="20"/>
  <c r="BE13" i="20"/>
  <c r="BI43" i="20"/>
  <c r="BK43" i="20"/>
  <c r="BJ43" i="20"/>
  <c r="BH84" i="20"/>
  <c r="BD84" i="20"/>
  <c r="BK13" i="20"/>
  <c r="BJ13" i="20"/>
  <c r="BI13" i="20"/>
  <c r="BF41" i="20"/>
  <c r="BF239" i="20"/>
  <c r="BF47" i="20"/>
  <c r="BG41" i="20"/>
  <c r="BG119" i="20"/>
  <c r="BG239" i="20"/>
  <c r="BE239" i="20"/>
  <c r="BD239" i="20"/>
  <c r="BK206" i="20"/>
  <c r="BJ206" i="20"/>
  <c r="BI206" i="20"/>
  <c r="BE187" i="31"/>
  <c r="BH211" i="31"/>
  <c r="BJ41" i="20"/>
  <c r="BI41" i="20"/>
  <c r="BK41" i="20"/>
  <c r="BF119" i="20"/>
  <c r="BE139" i="20"/>
  <c r="BH139" i="20"/>
  <c r="BD119" i="20"/>
  <c r="BD47" i="20"/>
  <c r="BG47" i="20"/>
  <c r="BH47" i="20"/>
  <c r="BH187" i="31"/>
  <c r="BI47" i="20"/>
  <c r="BK47" i="20"/>
  <c r="BJ47" i="20"/>
  <c r="BF139" i="20"/>
  <c r="BG181" i="20"/>
  <c r="BD139" i="20"/>
  <c r="BG139" i="20"/>
  <c r="BI139" i="20"/>
  <c r="BJ139" i="20"/>
  <c r="BD4" i="31"/>
  <c r="BJ4" i="31"/>
  <c r="BE8" i="31"/>
  <c r="BD11" i="31"/>
  <c r="BJ8" i="31"/>
  <c r="BE11" i="31"/>
  <c r="BE40" i="31"/>
  <c r="BI10" i="31"/>
  <c r="BJ44" i="31"/>
  <c r="BG65" i="31"/>
  <c r="BD211" i="31"/>
  <c r="BH213" i="31"/>
  <c r="BE4" i="31"/>
  <c r="BF11" i="31"/>
  <c r="BI11" i="31"/>
  <c r="BG11" i="31"/>
  <c r="BI44" i="31"/>
  <c r="BG44" i="31"/>
  <c r="BI64" i="31"/>
  <c r="BH64" i="31"/>
  <c r="BD98" i="31"/>
  <c r="BH210" i="20"/>
  <c r="BE181" i="20"/>
  <c r="BH181" i="20"/>
  <c r="BK239" i="20"/>
  <c r="BJ239" i="20"/>
  <c r="BI239" i="20"/>
  <c r="BE210" i="20"/>
  <c r="BJ235" i="31"/>
  <c r="BI235" i="31"/>
  <c r="BE217" i="20"/>
  <c r="BJ181" i="20"/>
  <c r="BI181" i="20"/>
  <c r="BK181" i="20"/>
  <c r="BF6" i="31"/>
  <c r="BK16" i="31"/>
  <c r="BD25" i="31"/>
  <c r="BI69" i="31"/>
  <c r="BJ69" i="31"/>
  <c r="BE16" i="20"/>
  <c r="BH16" i="20"/>
  <c r="BG254" i="20"/>
  <c r="BF254" i="20"/>
  <c r="BH214" i="20"/>
  <c r="BF16" i="20"/>
  <c r="BE254" i="20"/>
  <c r="BH91" i="20"/>
  <c r="BF91" i="20"/>
  <c r="BG16" i="20"/>
  <c r="BI210" i="20"/>
  <c r="BK210" i="20"/>
  <c r="BJ210" i="20"/>
  <c r="BE214" i="20"/>
  <c r="BD254" i="20"/>
  <c r="BI214" i="20"/>
  <c r="BK214" i="20"/>
  <c r="BJ214" i="20"/>
  <c r="BH119" i="20"/>
  <c r="BI119" i="20"/>
  <c r="BK119" i="20"/>
  <c r="BJ119" i="20"/>
  <c r="BK254" i="20"/>
  <c r="BJ254" i="20"/>
  <c r="BI254" i="20"/>
  <c r="BD116" i="20"/>
  <c r="BG91" i="20"/>
  <c r="BK16" i="20"/>
  <c r="BJ16" i="20"/>
  <c r="BI16" i="20"/>
  <c r="BH116" i="20"/>
  <c r="BG84" i="20"/>
  <c r="BG116" i="20"/>
  <c r="BF116" i="20"/>
  <c r="BJ116" i="20"/>
  <c r="BI233" i="31"/>
  <c r="BK233" i="31"/>
  <c r="BJ233" i="31"/>
  <c r="BJ157" i="20"/>
  <c r="BF21" i="20"/>
  <c r="BE129" i="20"/>
  <c r="BK91" i="20"/>
  <c r="BJ91" i="20"/>
  <c r="BI91" i="20"/>
  <c r="BD245" i="20"/>
  <c r="BE84" i="20"/>
  <c r="BG129" i="20"/>
  <c r="BG211" i="31"/>
  <c r="BH35" i="20"/>
  <c r="BD35" i="20"/>
  <c r="BD21" i="20"/>
  <c r="BG21" i="20"/>
  <c r="BK116" i="20"/>
  <c r="BI116" i="20"/>
  <c r="BH129" i="20"/>
  <c r="BE21" i="20"/>
  <c r="BJ164" i="31"/>
  <c r="BD187" i="31"/>
  <c r="BJ187" i="31"/>
  <c r="BF158" i="20"/>
  <c r="BI21" i="20"/>
  <c r="BK21" i="20"/>
  <c r="BJ21" i="20"/>
  <c r="BG158" i="20"/>
  <c r="BJ129" i="20"/>
  <c r="BI129" i="20"/>
  <c r="BK129" i="20"/>
  <c r="BI84" i="20"/>
  <c r="BK84" i="20"/>
  <c r="BJ84" i="20"/>
  <c r="BF157" i="20"/>
  <c r="BF211" i="31"/>
  <c r="BD157" i="20"/>
  <c r="BI158" i="20"/>
  <c r="BK158" i="20"/>
  <c r="BJ158" i="20"/>
  <c r="BE37" i="20"/>
  <c r="BH37" i="20"/>
  <c r="BF37" i="20"/>
  <c r="BG157" i="20"/>
  <c r="BH157" i="20"/>
  <c r="BE157" i="20"/>
  <c r="BK157" i="20"/>
  <c r="BK37" i="20"/>
  <c r="BJ37" i="20"/>
  <c r="BI37" i="20"/>
  <c r="BD122" i="20"/>
  <c r="BG122" i="20"/>
  <c r="BH122" i="20"/>
  <c r="BG205" i="20"/>
  <c r="BH205" i="20"/>
  <c r="BG85" i="20"/>
  <c r="BH85" i="20"/>
  <c r="BE205" i="20"/>
  <c r="BK122" i="20"/>
  <c r="BJ122" i="20"/>
  <c r="BI122" i="20"/>
  <c r="BF43" i="31"/>
  <c r="BI205" i="20"/>
  <c r="BK205" i="20"/>
  <c r="BJ205" i="20"/>
  <c r="BG215" i="31"/>
  <c r="BD85" i="20"/>
  <c r="BE85" i="20"/>
  <c r="BG73" i="20"/>
  <c r="BH110" i="20"/>
  <c r="BK85" i="20"/>
  <c r="BJ85" i="20"/>
  <c r="BI85" i="20"/>
  <c r="BG110" i="20"/>
  <c r="BE110" i="20"/>
  <c r="BG180" i="20"/>
  <c r="BI110" i="20"/>
  <c r="BK110" i="20"/>
  <c r="BJ110" i="20"/>
  <c r="BF54" i="20"/>
  <c r="BE73" i="20"/>
  <c r="BE180" i="20"/>
  <c r="BE170" i="20"/>
  <c r="BF170" i="20"/>
  <c r="BD54" i="20"/>
  <c r="BE215" i="31"/>
  <c r="BH215" i="31"/>
  <c r="BG54" i="20"/>
  <c r="BH54" i="20"/>
  <c r="BJ54" i="20"/>
  <c r="BI54" i="20"/>
  <c r="BK54" i="20"/>
  <c r="BF139" i="31"/>
  <c r="BF147" i="31"/>
  <c r="BJ73" i="20"/>
  <c r="BI73" i="20"/>
  <c r="BK73" i="20"/>
  <c r="BD180" i="20"/>
  <c r="BG170" i="20"/>
  <c r="BH170" i="20"/>
  <c r="BG255" i="20"/>
  <c r="BE46" i="20"/>
  <c r="BK170" i="20"/>
  <c r="BJ170" i="20"/>
  <c r="BI170" i="20"/>
  <c r="BH180" i="20"/>
  <c r="BF74" i="20"/>
  <c r="BH112" i="20"/>
  <c r="BE255" i="20"/>
  <c r="BH255" i="20"/>
  <c r="BG74" i="20"/>
  <c r="BI180" i="20"/>
  <c r="BK180" i="20"/>
  <c r="BJ180" i="20"/>
  <c r="BK147" i="31"/>
  <c r="BH46" i="20"/>
  <c r="BG112" i="20"/>
  <c r="BF112" i="20"/>
  <c r="BE112" i="20"/>
  <c r="BD112" i="20"/>
  <c r="BG46" i="20"/>
  <c r="BK46" i="20"/>
  <c r="BJ46" i="20"/>
  <c r="BI46" i="20"/>
  <c r="BF215" i="31"/>
  <c r="BD255" i="20"/>
  <c r="BI74" i="20"/>
  <c r="BK74" i="20"/>
  <c r="BJ74" i="20"/>
  <c r="BG103" i="20"/>
  <c r="BJ255" i="20"/>
  <c r="BI255" i="20"/>
  <c r="BK255" i="20"/>
  <c r="BE103" i="20"/>
  <c r="BD103" i="20"/>
  <c r="BI112" i="20"/>
  <c r="BJ112" i="20"/>
  <c r="BF135" i="20"/>
  <c r="BE135" i="20"/>
  <c r="BG55" i="20"/>
  <c r="BD135" i="20"/>
  <c r="BI215" i="31"/>
  <c r="BJ215" i="31"/>
  <c r="BG135" i="20"/>
  <c r="BJ213" i="31"/>
  <c r="BI213" i="31"/>
  <c r="BJ135" i="20"/>
  <c r="BI135" i="20"/>
  <c r="BK135" i="20"/>
  <c r="BH103" i="20"/>
  <c r="BF146" i="31"/>
  <c r="BG50" i="20"/>
  <c r="BG194" i="31"/>
  <c r="BE50" i="20"/>
  <c r="BI211" i="31"/>
  <c r="BJ211" i="31"/>
  <c r="BF50" i="20"/>
  <c r="BH261" i="20"/>
  <c r="BD55" i="20"/>
  <c r="BD261" i="20"/>
  <c r="BD50" i="20"/>
  <c r="BH55" i="20"/>
  <c r="BG261" i="20"/>
  <c r="BI103" i="20"/>
  <c r="BK103" i="20"/>
  <c r="BJ103" i="20"/>
  <c r="BF261" i="20"/>
  <c r="BD194" i="31"/>
  <c r="BG208" i="31"/>
  <c r="BG154" i="31"/>
  <c r="BE194" i="31"/>
  <c r="BJ261" i="20"/>
  <c r="BI261" i="20"/>
  <c r="BK261" i="20"/>
  <c r="BH208" i="31"/>
  <c r="BE55" i="20"/>
  <c r="BI55" i="20"/>
  <c r="BK55" i="20"/>
  <c r="BJ55" i="20"/>
  <c r="BF167" i="20"/>
  <c r="BH245" i="20"/>
  <c r="BG245" i="20"/>
  <c r="BK50" i="20"/>
  <c r="BJ50" i="20"/>
  <c r="BI50" i="20"/>
  <c r="BG61" i="20"/>
  <c r="BF61" i="20"/>
  <c r="BG25" i="20"/>
  <c r="BF245" i="20"/>
  <c r="BH25" i="20"/>
  <c r="BG22" i="31"/>
  <c r="BE9" i="31"/>
  <c r="BJ43" i="31"/>
  <c r="BI43" i="31"/>
  <c r="BI61" i="31"/>
  <c r="BH63" i="31"/>
  <c r="BD67" i="31"/>
  <c r="BF72" i="31"/>
  <c r="BE208" i="31"/>
  <c r="BI208" i="31"/>
  <c r="BH43" i="31"/>
  <c r="BE67" i="31"/>
  <c r="BE21" i="31"/>
  <c r="BH9" i="31"/>
  <c r="BJ9" i="31"/>
  <c r="BI9" i="31"/>
  <c r="BK9" i="31"/>
  <c r="BE55" i="31"/>
  <c r="BF21" i="31"/>
  <c r="BH61" i="31"/>
  <c r="BH72" i="31"/>
  <c r="BF208" i="31"/>
  <c r="BH167" i="20"/>
  <c r="BD167" i="20"/>
  <c r="BG4" i="20"/>
  <c r="BE25" i="20"/>
  <c r="BD25" i="20"/>
  <c r="BG167" i="20"/>
  <c r="BI245" i="20"/>
  <c r="BK245" i="20"/>
  <c r="BJ245" i="20"/>
  <c r="BG236" i="20"/>
  <c r="BD236" i="20"/>
  <c r="BH236" i="20"/>
  <c r="BE4" i="20"/>
  <c r="BH4" i="20"/>
  <c r="BG139" i="31"/>
  <c r="BI25" i="31"/>
  <c r="BJ25" i="20"/>
  <c r="BI25" i="20"/>
  <c r="BK25" i="20"/>
  <c r="BH79" i="20"/>
  <c r="BH21" i="31"/>
  <c r="BI21" i="31"/>
  <c r="BJ21" i="31"/>
  <c r="BK21" i="31"/>
  <c r="BD40" i="31"/>
  <c r="BD43" i="31"/>
  <c r="BI40" i="31"/>
  <c r="BE61" i="31"/>
  <c r="BH67" i="31"/>
  <c r="BE72" i="31"/>
  <c r="BD72" i="31"/>
  <c r="BJ67" i="31"/>
  <c r="BD75" i="31"/>
  <c r="BI75" i="31"/>
  <c r="BE98" i="31"/>
  <c r="BJ139" i="31"/>
  <c r="BF15" i="20"/>
  <c r="BE139" i="31"/>
  <c r="BD139" i="31"/>
  <c r="BI139" i="31"/>
  <c r="BE191" i="31"/>
  <c r="BD202" i="31"/>
  <c r="BK67" i="31"/>
  <c r="BI67" i="31"/>
  <c r="BG72" i="31"/>
  <c r="BD97" i="31"/>
  <c r="BI98" i="31"/>
  <c r="BG97" i="31"/>
  <c r="BH139" i="31"/>
  <c r="BG81" i="20"/>
  <c r="BF81" i="20"/>
  <c r="BK4" i="20"/>
  <c r="BJ4" i="20"/>
  <c r="BI4" i="20"/>
  <c r="BE15" i="20"/>
  <c r="BE184" i="20"/>
  <c r="BD81" i="20"/>
  <c r="BH15" i="20"/>
  <c r="BD15" i="20"/>
  <c r="BK72" i="31"/>
  <c r="BJ208" i="31"/>
  <c r="BK208" i="31"/>
  <c r="BE236" i="20"/>
  <c r="BH184" i="20"/>
  <c r="BK167" i="20"/>
  <c r="BJ167" i="20"/>
  <c r="BI167" i="20"/>
  <c r="BG191" i="31"/>
  <c r="BH191" i="31"/>
  <c r="BE202" i="31"/>
  <c r="BF202" i="31"/>
  <c r="BE32" i="20"/>
  <c r="BH32" i="20"/>
  <c r="BH202" i="31"/>
  <c r="BG184" i="20"/>
  <c r="BF184" i="20"/>
  <c r="BG17" i="20"/>
  <c r="BG32" i="20"/>
  <c r="BE17" i="20"/>
  <c r="BJ236" i="20"/>
  <c r="BI236" i="20"/>
  <c r="BK236" i="20"/>
  <c r="BF17" i="20"/>
  <c r="BE178" i="20"/>
  <c r="BH154" i="31"/>
  <c r="BF191" i="31"/>
  <c r="BD152" i="31"/>
  <c r="BI184" i="20"/>
  <c r="BH81" i="20"/>
  <c r="BI81" i="20"/>
  <c r="BK81" i="20"/>
  <c r="BJ81" i="20"/>
  <c r="BK184" i="20"/>
  <c r="BJ184" i="20"/>
  <c r="BI17" i="20"/>
  <c r="BK17" i="20"/>
  <c r="BJ17" i="20"/>
  <c r="BE163" i="31"/>
  <c r="BD167" i="31"/>
  <c r="BI15" i="20"/>
  <c r="BK15" i="20"/>
  <c r="BJ15" i="20"/>
  <c r="BE10" i="20"/>
  <c r="BF10" i="20"/>
  <c r="BG178" i="20"/>
  <c r="BH178" i="20"/>
  <c r="BF178" i="20"/>
  <c r="BJ202" i="31"/>
  <c r="BK202" i="31"/>
  <c r="BK32" i="20"/>
  <c r="BJ32" i="20"/>
  <c r="BI32" i="20"/>
  <c r="BG95" i="20"/>
  <c r="BE95" i="20"/>
  <c r="BF108" i="20"/>
  <c r="BG165" i="31"/>
  <c r="BJ147" i="31"/>
  <c r="BF165" i="31"/>
  <c r="BJ165" i="31"/>
  <c r="BG108" i="20"/>
  <c r="BI178" i="20"/>
  <c r="BK178" i="20"/>
  <c r="BJ178" i="20"/>
  <c r="BH95" i="20"/>
  <c r="BG10" i="20"/>
  <c r="BE165" i="31"/>
  <c r="BD165" i="31"/>
  <c r="BK165" i="31"/>
  <c r="BG167" i="31"/>
  <c r="BH141" i="20"/>
  <c r="BD159" i="31"/>
  <c r="BH165" i="31"/>
  <c r="BG178" i="31"/>
  <c r="BG56" i="20"/>
  <c r="BI10" i="20"/>
  <c r="BK10" i="20"/>
  <c r="BJ10" i="20"/>
  <c r="BE108" i="20"/>
  <c r="BD108" i="20"/>
  <c r="BE167" i="31"/>
  <c r="BG141" i="20"/>
  <c r="BE56" i="20"/>
  <c r="BF141" i="20"/>
  <c r="BJ108" i="20"/>
  <c r="BI108" i="20"/>
  <c r="BK108" i="20"/>
  <c r="BH260" i="20"/>
  <c r="BF163" i="31"/>
  <c r="BG163" i="31"/>
  <c r="BE141" i="20"/>
  <c r="BG260" i="20"/>
  <c r="BE260" i="20"/>
  <c r="BI95" i="20"/>
  <c r="BK95" i="20"/>
  <c r="BJ95" i="20"/>
  <c r="BF56" i="20"/>
  <c r="BK260" i="20"/>
  <c r="BJ260" i="20"/>
  <c r="BI260" i="20"/>
  <c r="BG203" i="20"/>
  <c r="BF203" i="20"/>
  <c r="BJ141" i="20"/>
  <c r="BI141" i="20"/>
  <c r="BK141" i="20"/>
  <c r="BD203" i="20"/>
  <c r="BH194" i="31"/>
  <c r="BI194" i="31"/>
  <c r="BK194" i="31"/>
  <c r="BJ194" i="31"/>
  <c r="BK187" i="31"/>
  <c r="BG187" i="31"/>
  <c r="BI56" i="20"/>
  <c r="BK56" i="20"/>
  <c r="BJ56" i="20"/>
  <c r="BH131" i="20"/>
  <c r="BG249" i="20"/>
  <c r="BE203" i="20"/>
  <c r="BD249" i="20"/>
  <c r="BH249" i="20"/>
  <c r="BD3" i="20"/>
  <c r="BE125" i="20"/>
  <c r="BE249" i="20"/>
  <c r="BI203" i="20"/>
  <c r="BK203" i="20"/>
  <c r="BJ203" i="20"/>
  <c r="BG125" i="20"/>
  <c r="BF125" i="20"/>
  <c r="BG49" i="20"/>
  <c r="BF167" i="31"/>
  <c r="BH49" i="20"/>
  <c r="BH125" i="20"/>
  <c r="BG131" i="20"/>
  <c r="BE49" i="20"/>
  <c r="BE131" i="20"/>
  <c r="BF131" i="20"/>
  <c r="BH3" i="20"/>
  <c r="BJ249" i="20"/>
  <c r="BI249" i="20"/>
  <c r="BK249" i="20"/>
  <c r="BE3" i="20"/>
  <c r="BH99" i="31"/>
  <c r="BF225" i="20"/>
  <c r="BH159" i="31"/>
  <c r="BD178" i="31"/>
  <c r="BJ178" i="31"/>
  <c r="BK49" i="20"/>
  <c r="BJ49" i="20"/>
  <c r="BI49" i="20"/>
  <c r="BF65" i="31"/>
  <c r="BJ65" i="31"/>
  <c r="BD157" i="31"/>
  <c r="BG25" i="31"/>
  <c r="BH25" i="31"/>
  <c r="BF78" i="31"/>
  <c r="BE159" i="31"/>
  <c r="BF159" i="31"/>
  <c r="BI191" i="31"/>
  <c r="BJ191" i="31"/>
  <c r="BI131" i="20"/>
  <c r="BK131" i="20"/>
  <c r="BJ131" i="20"/>
  <c r="BJ125" i="20"/>
  <c r="BI125" i="20"/>
  <c r="BK125" i="20"/>
  <c r="BH172" i="20"/>
  <c r="BE172" i="20"/>
  <c r="BD172" i="20"/>
  <c r="BJ3" i="20"/>
  <c r="BI3" i="20"/>
  <c r="BK3" i="20"/>
  <c r="BH105" i="20"/>
  <c r="BG105" i="20"/>
  <c r="BD105" i="20"/>
  <c r="BF164" i="20"/>
  <c r="BJ172" i="20"/>
  <c r="BI172" i="20"/>
  <c r="BK172" i="20"/>
  <c r="BH164" i="20"/>
  <c r="BD164" i="20"/>
  <c r="BG35" i="20"/>
  <c r="BE105" i="20"/>
  <c r="BG152" i="31"/>
  <c r="BE154" i="31"/>
  <c r="BH152" i="31"/>
  <c r="BD154" i="31"/>
  <c r="BE65" i="31"/>
  <c r="BH65" i="31"/>
  <c r="BF75" i="31"/>
  <c r="BH75" i="31"/>
  <c r="BE64" i="31"/>
  <c r="BD64" i="31"/>
  <c r="BD102" i="31"/>
  <c r="BH202" i="20"/>
  <c r="BG202" i="20"/>
  <c r="BG164" i="20"/>
  <c r="BE35" i="20"/>
  <c r="BJ105" i="20"/>
  <c r="BI105" i="20"/>
  <c r="BK105" i="20"/>
  <c r="BE146" i="31"/>
  <c r="BD202" i="20"/>
  <c r="BG151" i="20"/>
  <c r="BH151" i="20"/>
  <c r="BG8" i="20"/>
  <c r="BE151" i="20"/>
  <c r="BE202" i="20"/>
  <c r="BE238" i="20"/>
  <c r="BK35" i="20"/>
  <c r="BJ35" i="20"/>
  <c r="BI35" i="20"/>
  <c r="BD151" i="20"/>
  <c r="BD8" i="20"/>
  <c r="BF142" i="31"/>
  <c r="BG222" i="20"/>
  <c r="BI164" i="20"/>
  <c r="BK164" i="20"/>
  <c r="BJ164" i="20"/>
  <c r="BE178" i="31"/>
  <c r="BE222" i="20"/>
  <c r="BH238" i="20"/>
  <c r="BH178" i="31"/>
  <c r="BJ99" i="31"/>
  <c r="BG238" i="20"/>
  <c r="BE8" i="20"/>
  <c r="BH8" i="20"/>
  <c r="BI8" i="20"/>
  <c r="BK8" i="20"/>
  <c r="BJ8" i="20"/>
  <c r="BG30" i="20"/>
  <c r="BG158" i="31"/>
  <c r="BD30" i="20"/>
  <c r="BH158" i="31"/>
  <c r="BI238" i="20"/>
  <c r="BK238" i="20"/>
  <c r="BJ238" i="20"/>
  <c r="BI178" i="31"/>
  <c r="BH222" i="20"/>
  <c r="BE71" i="20"/>
  <c r="BK202" i="20"/>
  <c r="BJ202" i="20"/>
  <c r="BI202" i="20"/>
  <c r="BE59" i="20"/>
  <c r="BF59" i="20"/>
  <c r="BH59" i="20"/>
  <c r="BH162" i="31"/>
  <c r="BD146" i="31"/>
  <c r="BF178" i="31"/>
  <c r="BI222" i="20"/>
  <c r="BK222" i="20"/>
  <c r="BJ222" i="20"/>
  <c r="BI59" i="20"/>
  <c r="BK59" i="20"/>
  <c r="BJ59" i="20"/>
  <c r="BG160" i="31"/>
  <c r="BJ163" i="31"/>
  <c r="BG71" i="20"/>
  <c r="BH71" i="20"/>
  <c r="BF71" i="20"/>
  <c r="BE30" i="20"/>
  <c r="BK151" i="20"/>
  <c r="BJ151" i="20"/>
  <c r="BI151" i="20"/>
  <c r="BG78" i="20"/>
  <c r="BH30" i="20"/>
  <c r="BH262" i="20"/>
  <c r="BE78" i="20"/>
  <c r="BH78" i="20"/>
  <c r="BK30" i="20"/>
  <c r="BJ30" i="20"/>
  <c r="BI30" i="20"/>
  <c r="BE78" i="31"/>
  <c r="BD78" i="20"/>
  <c r="BJ71" i="20"/>
  <c r="BI71" i="20"/>
  <c r="BK71" i="20"/>
  <c r="BE262" i="20"/>
  <c r="BG143" i="20"/>
  <c r="BG175" i="20"/>
  <c r="BF175" i="20"/>
  <c r="BF190" i="20"/>
  <c r="BD175" i="20"/>
  <c r="BH175" i="20"/>
  <c r="BK175" i="20"/>
  <c r="BJ175" i="20"/>
  <c r="BI175" i="20"/>
  <c r="BG190" i="20"/>
  <c r="BD160" i="31"/>
  <c r="BE142" i="31"/>
  <c r="BJ78" i="20"/>
  <c r="BI78" i="20"/>
  <c r="BK78" i="20"/>
  <c r="BH143" i="20"/>
  <c r="BE143" i="20"/>
  <c r="BI72" i="31"/>
  <c r="BG89" i="20"/>
  <c r="BK262" i="20"/>
  <c r="BJ262" i="20"/>
  <c r="BI262" i="20"/>
  <c r="BE157" i="31"/>
  <c r="BJ157" i="31"/>
  <c r="BG162" i="31"/>
  <c r="BE190" i="20"/>
  <c r="BH190" i="20"/>
  <c r="BI157" i="31"/>
  <c r="BF154" i="31"/>
  <c r="BH157" i="31"/>
  <c r="BK190" i="20"/>
  <c r="BJ190" i="20"/>
  <c r="BI190" i="20"/>
  <c r="BI146" i="31"/>
  <c r="BH26" i="20"/>
  <c r="BG26" i="20"/>
  <c r="BK143" i="20"/>
  <c r="BJ143" i="20"/>
  <c r="BI143" i="20"/>
  <c r="BF200" i="20"/>
  <c r="BI232" i="20"/>
  <c r="BG215" i="20"/>
  <c r="BE26" i="20"/>
  <c r="BJ232" i="20"/>
  <c r="BE215" i="20"/>
  <c r="BD142" i="31"/>
  <c r="BH146" i="31"/>
  <c r="BG157" i="31"/>
  <c r="BF157" i="31"/>
  <c r="BE158" i="31"/>
  <c r="BF158" i="31"/>
  <c r="BH163" i="31"/>
  <c r="BD99" i="31"/>
  <c r="BF215" i="20"/>
  <c r="BG53" i="20"/>
  <c r="BK232" i="20"/>
  <c r="BH215" i="20"/>
  <c r="BD200" i="20"/>
  <c r="BI26" i="20"/>
  <c r="BK26" i="20"/>
  <c r="BJ26" i="20"/>
  <c r="BH232" i="20"/>
  <c r="BI154" i="31"/>
  <c r="BJ154" i="31"/>
  <c r="BG221" i="20"/>
  <c r="BE232" i="20"/>
  <c r="BG232" i="20"/>
  <c r="BJ100" i="31"/>
  <c r="BJ146" i="31"/>
  <c r="BG159" i="31"/>
  <c r="BE162" i="31"/>
  <c r="BD232" i="20"/>
  <c r="BK167" i="31"/>
  <c r="BJ167" i="31"/>
  <c r="BI167" i="31"/>
  <c r="BK215" i="20"/>
  <c r="BJ215" i="20"/>
  <c r="BI215" i="20"/>
  <c r="BG200" i="20"/>
  <c r="BE200" i="20"/>
  <c r="BG94" i="20"/>
  <c r="BK102" i="31"/>
  <c r="BH48" i="31"/>
  <c r="BF64" i="31"/>
  <c r="BE109" i="31"/>
  <c r="BH109" i="31"/>
  <c r="BI109" i="31"/>
  <c r="BE160" i="31"/>
  <c r="BD162" i="31"/>
  <c r="BF108" i="31"/>
  <c r="BH142" i="31"/>
  <c r="BG146" i="31"/>
  <c r="BH160" i="31"/>
  <c r="BF220" i="20"/>
  <c r="BH108" i="31"/>
  <c r="BJ108" i="31"/>
  <c r="BE53" i="20"/>
  <c r="BG220" i="20"/>
  <c r="BD220" i="20"/>
  <c r="BK200" i="20"/>
  <c r="BJ200" i="20"/>
  <c r="BI200" i="20"/>
  <c r="BH53" i="20"/>
  <c r="BF162" i="31"/>
  <c r="BE221" i="20"/>
  <c r="BH221" i="20"/>
  <c r="BF221" i="20"/>
  <c r="BD53" i="20"/>
  <c r="W267" i="38"/>
  <c r="Y267" i="38" s="1"/>
  <c r="B198" i="20"/>
  <c r="B167" i="31"/>
  <c r="X176" i="38"/>
  <c r="BE220" i="20"/>
  <c r="BG234" i="20"/>
  <c r="BJ220" i="20"/>
  <c r="BI220" i="20"/>
  <c r="BK220" i="20"/>
  <c r="BH52" i="20"/>
  <c r="B164" i="31"/>
  <c r="B199" i="20"/>
  <c r="W273" i="38"/>
  <c r="X273" i="38" s="1"/>
  <c r="B190" i="20"/>
  <c r="B165" i="31"/>
  <c r="B140" i="31"/>
  <c r="B10" i="20"/>
  <c r="B74" i="20"/>
  <c r="B133" i="31"/>
  <c r="B145" i="31"/>
  <c r="B83" i="20"/>
  <c r="B136" i="31"/>
  <c r="B120" i="20"/>
  <c r="W227" i="38"/>
  <c r="Y227" i="38" s="1"/>
  <c r="B154" i="31"/>
  <c r="B7" i="20"/>
  <c r="W179" i="38"/>
  <c r="B53" i="20"/>
  <c r="B138" i="31"/>
  <c r="B251" i="20"/>
  <c r="B152" i="31"/>
  <c r="B155" i="20"/>
  <c r="B157" i="31"/>
  <c r="B67" i="20"/>
  <c r="B135" i="31"/>
  <c r="B204" i="20"/>
  <c r="B141" i="31"/>
  <c r="B142" i="31"/>
  <c r="B24" i="20"/>
  <c r="B180" i="20"/>
  <c r="B130" i="31"/>
  <c r="B101" i="20"/>
  <c r="B144" i="31"/>
  <c r="BF155" i="20"/>
  <c r="BG52" i="20"/>
  <c r="BK53" i="20"/>
  <c r="BJ53" i="20"/>
  <c r="BI53" i="20"/>
  <c r="BG148" i="20"/>
  <c r="BH148" i="20"/>
  <c r="BG155" i="20"/>
  <c r="BE148" i="20"/>
  <c r="BF52" i="20"/>
  <c r="BD52" i="20"/>
  <c r="BE143" i="31"/>
  <c r="BH143" i="31"/>
  <c r="BJ12" i="31"/>
  <c r="BF102" i="31"/>
  <c r="BJ102" i="31"/>
  <c r="BG132" i="20"/>
  <c r="BD132" i="20"/>
  <c r="BE234" i="20"/>
  <c r="BF234" i="20"/>
  <c r="BK221" i="20"/>
  <c r="BJ221" i="20"/>
  <c r="BI221" i="20"/>
  <c r="BK163" i="31"/>
  <c r="BI163" i="31"/>
  <c r="BF148" i="20"/>
  <c r="BK148" i="20"/>
  <c r="BJ148" i="20"/>
  <c r="BI148" i="20"/>
  <c r="BK162" i="31"/>
  <c r="BI162" i="31"/>
  <c r="BJ143" i="31"/>
  <c r="BI159" i="31"/>
  <c r="BJ159" i="31"/>
  <c r="BJ52" i="20"/>
  <c r="BI52" i="20"/>
  <c r="BK52" i="20"/>
  <c r="BD155" i="20"/>
  <c r="BE132" i="20"/>
  <c r="BH132" i="20"/>
  <c r="BJ152" i="31"/>
  <c r="BF152" i="31"/>
  <c r="BI152" i="31"/>
  <c r="BK152" i="31"/>
  <c r="BI132" i="20"/>
  <c r="BK132" i="20"/>
  <c r="BJ132" i="20"/>
  <c r="BG225" i="20"/>
  <c r="BE155" i="20"/>
  <c r="BJ160" i="31"/>
  <c r="BK160" i="31"/>
  <c r="BH225" i="20"/>
  <c r="BH234" i="20"/>
  <c r="BG208" i="20"/>
  <c r="BK155" i="20"/>
  <c r="BJ155" i="20"/>
  <c r="BI155" i="20"/>
  <c r="BG5" i="20"/>
  <c r="BE225" i="20"/>
  <c r="BK158" i="31"/>
  <c r="BJ158" i="31"/>
  <c r="BI158" i="31"/>
  <c r="BD134" i="31"/>
  <c r="BK108" i="31"/>
  <c r="BI234" i="20"/>
  <c r="BK234" i="20"/>
  <c r="BJ234" i="20"/>
  <c r="BE89" i="20"/>
  <c r="BH89" i="20"/>
  <c r="BF5" i="20"/>
  <c r="BH12" i="31"/>
  <c r="BE99" i="31"/>
  <c r="BI99" i="31"/>
  <c r="BD143" i="31"/>
  <c r="BF89" i="20"/>
  <c r="BE208" i="20"/>
  <c r="BH208" i="20"/>
  <c r="BG12" i="31"/>
  <c r="BG99" i="31"/>
  <c r="BF99" i="31"/>
  <c r="BK100" i="31"/>
  <c r="BI225" i="20"/>
  <c r="BK225" i="20"/>
  <c r="BJ225" i="20"/>
  <c r="BF208" i="20"/>
  <c r="BK208" i="20"/>
  <c r="BJ208" i="20"/>
  <c r="BI208" i="20"/>
  <c r="BE5" i="20"/>
  <c r="BH5" i="20"/>
  <c r="BE152" i="20"/>
  <c r="BG152" i="20"/>
  <c r="BK5" i="20"/>
  <c r="BJ5" i="20"/>
  <c r="BI5" i="20"/>
  <c r="BH152" i="20"/>
  <c r="BJ89" i="20"/>
  <c r="BI89" i="20"/>
  <c r="BK89" i="20"/>
  <c r="BK12" i="31"/>
  <c r="BK38" i="31"/>
  <c r="BJ75" i="31"/>
  <c r="BE102" i="31"/>
  <c r="BH102" i="31"/>
  <c r="BF110" i="31"/>
  <c r="BD110" i="31"/>
  <c r="BI113" i="31"/>
  <c r="BH148" i="31"/>
  <c r="BD24" i="31"/>
  <c r="BE12" i="31"/>
  <c r="BI12" i="31"/>
  <c r="BG75" i="31"/>
  <c r="BI102" i="31"/>
  <c r="BF109" i="31"/>
  <c r="BK109" i="31"/>
  <c r="BD109" i="31"/>
  <c r="BG109" i="31"/>
  <c r="BG148" i="31"/>
  <c r="BE204" i="20"/>
  <c r="BI152" i="20"/>
  <c r="BK152" i="20"/>
  <c r="BJ152" i="20"/>
  <c r="BG204" i="20"/>
  <c r="BH204" i="20"/>
  <c r="BH104" i="31"/>
  <c r="BK104" i="31"/>
  <c r="BF204" i="20"/>
  <c r="BG99" i="20"/>
  <c r="BE99" i="20"/>
  <c r="BH99" i="20"/>
  <c r="BF99" i="20"/>
  <c r="BJ99" i="20"/>
  <c r="BI99" i="20"/>
  <c r="BK99" i="20"/>
  <c r="BE189" i="20"/>
  <c r="BF114" i="20"/>
  <c r="BG63" i="20"/>
  <c r="BF63" i="20"/>
  <c r="BD12" i="31"/>
  <c r="BH32" i="31"/>
  <c r="BH113" i="31"/>
  <c r="BG134" i="31"/>
  <c r="BG143" i="31"/>
  <c r="BF148" i="31"/>
  <c r="BE114" i="20"/>
  <c r="BH114" i="20"/>
  <c r="BG189" i="20"/>
  <c r="BH189" i="20"/>
  <c r="BD189" i="20"/>
  <c r="BE63" i="20"/>
  <c r="BH63" i="20"/>
  <c r="BH59" i="31"/>
  <c r="BI63" i="20"/>
  <c r="BK63" i="20"/>
  <c r="BJ63" i="20"/>
  <c r="BD30" i="31"/>
  <c r="BH38" i="31"/>
  <c r="BK189" i="20"/>
  <c r="BJ189" i="20"/>
  <c r="BI189" i="20"/>
  <c r="BH194" i="20"/>
  <c r="BG196" i="20"/>
  <c r="BJ204" i="20"/>
  <c r="BI204" i="20"/>
  <c r="BK204" i="20"/>
  <c r="BE39" i="20"/>
  <c r="BE130" i="20"/>
  <c r="BG39" i="20"/>
  <c r="BF194" i="20"/>
  <c r="BF39" i="20"/>
  <c r="BD194" i="20"/>
  <c r="BG130" i="20"/>
  <c r="BH130" i="20"/>
  <c r="BD130" i="20"/>
  <c r="BH39" i="20"/>
  <c r="BK114" i="20"/>
  <c r="BJ114" i="20"/>
  <c r="BI114" i="20"/>
  <c r="BK148" i="31"/>
  <c r="BJ148" i="31"/>
  <c r="BI148" i="31"/>
  <c r="BI39" i="20"/>
  <c r="BK39" i="20"/>
  <c r="BJ39" i="20"/>
  <c r="BE138" i="20"/>
  <c r="BD78" i="31"/>
  <c r="BH138" i="20"/>
  <c r="BF138" i="20"/>
  <c r="BG138" i="20"/>
  <c r="BJ130" i="20"/>
  <c r="BI130" i="20"/>
  <c r="BK130" i="20"/>
  <c r="BG194" i="20"/>
  <c r="BK142" i="31"/>
  <c r="BI142" i="31"/>
  <c r="BJ142" i="31"/>
  <c r="BE196" i="20"/>
  <c r="BK194" i="20"/>
  <c r="BJ194" i="20"/>
  <c r="BI194" i="20"/>
  <c r="BF196" i="20"/>
  <c r="BG199" i="20"/>
  <c r="BE134" i="31"/>
  <c r="BH199" i="20"/>
  <c r="BK196" i="20"/>
  <c r="BJ196" i="20"/>
  <c r="BI196" i="20"/>
  <c r="BD199" i="20"/>
  <c r="BE199" i="20"/>
  <c r="BK143" i="31"/>
  <c r="BI143" i="31"/>
  <c r="BH107" i="20"/>
  <c r="BF107" i="20"/>
  <c r="BD107" i="20"/>
  <c r="BI138" i="20"/>
  <c r="BK138" i="20"/>
  <c r="BJ138" i="20"/>
  <c r="BF166" i="20"/>
  <c r="BE123" i="31"/>
  <c r="BG166" i="20"/>
  <c r="BH166" i="20"/>
  <c r="BE108" i="31"/>
  <c r="BD108" i="31"/>
  <c r="BI108" i="31"/>
  <c r="BE166" i="20"/>
  <c r="BI199" i="20"/>
  <c r="BK199" i="20"/>
  <c r="BJ199" i="20"/>
  <c r="BE100" i="31"/>
  <c r="BG107" i="20"/>
  <c r="BH133" i="20"/>
  <c r="BJ166" i="20"/>
  <c r="BI166" i="20"/>
  <c r="BK166" i="20"/>
  <c r="BH163" i="20"/>
  <c r="BD133" i="20"/>
  <c r="BG34" i="20"/>
  <c r="BE34" i="31"/>
  <c r="BK78" i="31"/>
  <c r="BF163" i="20"/>
  <c r="BD163" i="20"/>
  <c r="BG133" i="20"/>
  <c r="BK107" i="20"/>
  <c r="BJ107" i="20"/>
  <c r="BI107" i="20"/>
  <c r="BE133" i="20"/>
  <c r="BH15" i="31"/>
  <c r="BF48" i="31"/>
  <c r="BF134" i="31"/>
  <c r="BK134" i="31"/>
  <c r="BG163" i="20"/>
  <c r="BK133" i="20"/>
  <c r="BJ133" i="20"/>
  <c r="BI133" i="20"/>
  <c r="BG98" i="31"/>
  <c r="BK98" i="31"/>
  <c r="BH100" i="20"/>
  <c r="BG100" i="20"/>
  <c r="BJ163" i="20"/>
  <c r="BI163" i="20"/>
  <c r="BK163" i="20"/>
  <c r="BF100" i="20"/>
  <c r="BD100" i="20"/>
  <c r="BG117" i="20"/>
  <c r="BG240" i="20"/>
  <c r="BE240" i="20"/>
  <c r="BH240" i="20"/>
  <c r="BK100" i="20"/>
  <c r="BJ100" i="20"/>
  <c r="BI100" i="20"/>
  <c r="BF240" i="20"/>
  <c r="BG237" i="20"/>
  <c r="BF237" i="20"/>
  <c r="BE237" i="20"/>
  <c r="BD237" i="20"/>
  <c r="BH117" i="20"/>
  <c r="BK240" i="20"/>
  <c r="BJ240" i="20"/>
  <c r="BI240" i="20"/>
  <c r="BE117" i="20"/>
  <c r="BI117" i="20"/>
  <c r="BF117" i="20"/>
  <c r="BH34" i="20"/>
  <c r="BE34" i="20"/>
  <c r="BK117" i="20"/>
  <c r="BJ117" i="20"/>
  <c r="BF34" i="20"/>
  <c r="BI134" i="31"/>
  <c r="BJ134" i="31"/>
  <c r="BI22" i="31"/>
  <c r="BJ237" i="20"/>
  <c r="BI237" i="20"/>
  <c r="BK237" i="20"/>
  <c r="BF156" i="20"/>
  <c r="BG201" i="20"/>
  <c r="BG28" i="31"/>
  <c r="BJ78" i="31"/>
  <c r="BG156" i="20"/>
  <c r="BH201" i="20"/>
  <c r="BF183" i="20"/>
  <c r="BJ34" i="20"/>
  <c r="BI34" i="20"/>
  <c r="BK34" i="20"/>
  <c r="BF165" i="20"/>
  <c r="BG183" i="20"/>
  <c r="BE156" i="20"/>
  <c r="BE201" i="20"/>
  <c r="BF201" i="20"/>
  <c r="BF33" i="20"/>
  <c r="BH30" i="31"/>
  <c r="BD38" i="31"/>
  <c r="BF38" i="31"/>
  <c r="BF63" i="31"/>
  <c r="BD55" i="31"/>
  <c r="BE63" i="31"/>
  <c r="BD63" i="31"/>
  <c r="BE30" i="31"/>
  <c r="BD32" i="31"/>
  <c r="BH34" i="31"/>
  <c r="BE38" i="31"/>
  <c r="BG38" i="31"/>
  <c r="BI38" i="31"/>
  <c r="BH55" i="31"/>
  <c r="BK55" i="31"/>
  <c r="BJ55" i="31"/>
  <c r="BH100" i="31"/>
  <c r="BG67" i="20"/>
  <c r="BE183" i="20"/>
  <c r="BJ201" i="20"/>
  <c r="BI201" i="20"/>
  <c r="BK201" i="20"/>
  <c r="BH183" i="20"/>
  <c r="BJ110" i="31"/>
  <c r="BE67" i="20"/>
  <c r="BH156" i="20"/>
  <c r="BI156" i="20"/>
  <c r="BK156" i="20"/>
  <c r="BJ156" i="20"/>
  <c r="BE66" i="20"/>
  <c r="BF67" i="20"/>
  <c r="BH67" i="20"/>
  <c r="BG66" i="20"/>
  <c r="BF140" i="20"/>
  <c r="BI183" i="20"/>
  <c r="BK183" i="20"/>
  <c r="BJ183" i="20"/>
  <c r="BG191" i="20"/>
  <c r="BG140" i="20"/>
  <c r="BH140" i="20"/>
  <c r="BE140" i="20"/>
  <c r="BJ22" i="31"/>
  <c r="BF27" i="31"/>
  <c r="BH191" i="20"/>
  <c r="BF191" i="20"/>
  <c r="BD22" i="31"/>
  <c r="BH22" i="31"/>
  <c r="BG15" i="31"/>
  <c r="BJ36" i="31"/>
  <c r="BG252" i="20"/>
  <c r="BE191" i="20"/>
  <c r="BH252" i="20"/>
  <c r="BE252" i="20"/>
  <c r="BI67" i="20"/>
  <c r="BK67" i="20"/>
  <c r="BJ67" i="20"/>
  <c r="BF66" i="20"/>
  <c r="BD100" i="31"/>
  <c r="BH66" i="20"/>
  <c r="BK140" i="20"/>
  <c r="BJ140" i="20"/>
  <c r="BI140" i="20"/>
  <c r="BK66" i="20"/>
  <c r="BJ66" i="20"/>
  <c r="BI66" i="20"/>
  <c r="BD97" i="20"/>
  <c r="W155" i="38"/>
  <c r="X155" i="38" s="1"/>
  <c r="B245" i="20"/>
  <c r="B126" i="31"/>
  <c r="X169" i="38"/>
  <c r="X168" i="38"/>
  <c r="Z168" i="38" s="1"/>
  <c r="BE27" i="20"/>
  <c r="BI252" i="20"/>
  <c r="BK252" i="20"/>
  <c r="BJ252" i="20"/>
  <c r="BF27" i="20"/>
  <c r="BD27" i="20"/>
  <c r="BG97" i="20"/>
  <c r="BK30" i="31"/>
  <c r="BF56" i="31"/>
  <c r="BG78" i="31"/>
  <c r="BD111" i="31"/>
  <c r="BF113" i="31"/>
  <c r="BG113" i="31"/>
  <c r="BE97" i="20"/>
  <c r="BJ191" i="20"/>
  <c r="BI191" i="20"/>
  <c r="BK191" i="20"/>
  <c r="BE112" i="31"/>
  <c r="BH110" i="31"/>
  <c r="BH101" i="20"/>
  <c r="BF101" i="20"/>
  <c r="BG31" i="31"/>
  <c r="BJ31" i="31"/>
  <c r="BE213" i="20"/>
  <c r="BE110" i="31"/>
  <c r="BH112" i="31"/>
  <c r="BG100" i="31"/>
  <c r="BJ112" i="31"/>
  <c r="BH97" i="20"/>
  <c r="BE247" i="20"/>
  <c r="BG247" i="20"/>
  <c r="BI97" i="20"/>
  <c r="BK97" i="20"/>
  <c r="BJ97" i="20"/>
  <c r="BH247" i="20"/>
  <c r="BD247" i="20"/>
  <c r="BD60" i="20"/>
  <c r="BE113" i="31"/>
  <c r="BG101" i="20"/>
  <c r="BE161" i="20"/>
  <c r="BF161" i="20"/>
  <c r="BI247" i="20"/>
  <c r="BK247" i="20"/>
  <c r="BJ247" i="20"/>
  <c r="BG27" i="20"/>
  <c r="BE101" i="20"/>
  <c r="BD15" i="31"/>
  <c r="BI15" i="31"/>
  <c r="BJ15" i="31"/>
  <c r="BH24" i="31"/>
  <c r="BE28" i="31"/>
  <c r="BE15" i="31"/>
  <c r="BH36" i="31"/>
  <c r="BH37" i="31"/>
  <c r="BE36" i="31"/>
  <c r="BG39" i="31"/>
  <c r="BG27" i="31"/>
  <c r="BH103" i="31"/>
  <c r="BF103" i="31"/>
  <c r="BH28" i="31"/>
  <c r="BG24" i="31"/>
  <c r="BD36" i="31"/>
  <c r="BE39" i="31"/>
  <c r="BI27" i="31"/>
  <c r="BE103" i="31"/>
  <c r="BG103" i="31"/>
  <c r="BJ104" i="31"/>
  <c r="BE111" i="31"/>
  <c r="BK15" i="31"/>
  <c r="BE24" i="31"/>
  <c r="BD28" i="31"/>
  <c r="BK24" i="31"/>
  <c r="BE27" i="31"/>
  <c r="BI24" i="31"/>
  <c r="BH27" i="31"/>
  <c r="BE37" i="31"/>
  <c r="BJ103" i="31"/>
  <c r="BG161" i="20"/>
  <c r="BH161" i="20"/>
  <c r="BJ123" i="31"/>
  <c r="BF123" i="31"/>
  <c r="BK123" i="31"/>
  <c r="BI123" i="31"/>
  <c r="BG123" i="31"/>
  <c r="W259" i="38"/>
  <c r="X259" i="38" s="1"/>
  <c r="B237" i="20"/>
  <c r="B55" i="31"/>
  <c r="W247" i="38"/>
  <c r="Y247" i="38" s="1"/>
  <c r="B107" i="31"/>
  <c r="B113" i="20"/>
  <c r="W239" i="38"/>
  <c r="Y239" i="38" s="1"/>
  <c r="B246" i="20"/>
  <c r="B41" i="31"/>
  <c r="W215" i="38"/>
  <c r="Y215" i="38" s="1"/>
  <c r="B120" i="31"/>
  <c r="B257" i="20"/>
  <c r="B104" i="31"/>
  <c r="B11" i="20"/>
  <c r="X186" i="38"/>
  <c r="Z186" i="38" s="1"/>
  <c r="B94" i="31"/>
  <c r="B135" i="20"/>
  <c r="B26" i="20"/>
  <c r="B102" i="31"/>
  <c r="B114" i="31"/>
  <c r="B59" i="20"/>
  <c r="B113" i="31"/>
  <c r="B177" i="20"/>
  <c r="B25" i="31"/>
  <c r="B112" i="31"/>
  <c r="B216" i="20"/>
  <c r="B141" i="20"/>
  <c r="B52" i="31"/>
  <c r="B87" i="31"/>
  <c r="B28" i="20"/>
  <c r="B37" i="20"/>
  <c r="B86" i="31"/>
  <c r="B49" i="31"/>
  <c r="B8" i="20"/>
  <c r="B4" i="20"/>
  <c r="B103" i="31"/>
  <c r="B211" i="20"/>
  <c r="B50" i="31"/>
  <c r="B184" i="20"/>
  <c r="B108" i="31"/>
  <c r="B169" i="20"/>
  <c r="B79" i="31"/>
  <c r="B37" i="31"/>
  <c r="B32" i="20"/>
  <c r="W223" i="38"/>
  <c r="Y223" i="38" s="1"/>
  <c r="B76" i="31"/>
  <c r="B212" i="20"/>
  <c r="B40" i="31"/>
  <c r="B154" i="20"/>
  <c r="W199" i="38"/>
  <c r="Y199" i="38" s="1"/>
  <c r="B254" i="20"/>
  <c r="B46" i="31"/>
  <c r="W191" i="38"/>
  <c r="Y191" i="38" s="1"/>
  <c r="B30" i="31"/>
  <c r="B162" i="20"/>
  <c r="W183" i="38"/>
  <c r="X183" i="38" s="1"/>
  <c r="B27" i="31"/>
  <c r="B226" i="20"/>
  <c r="X185" i="38"/>
  <c r="Z185" i="38" s="1"/>
  <c r="W211" i="38"/>
  <c r="Y211" i="38" s="1"/>
  <c r="B151" i="20"/>
  <c r="B56" i="31"/>
  <c r="B87" i="20"/>
  <c r="B39" i="31"/>
  <c r="B71" i="31"/>
  <c r="B100" i="20"/>
  <c r="B172" i="20"/>
  <c r="B35" i="31"/>
  <c r="B63" i="31"/>
  <c r="B186" i="20"/>
  <c r="B125" i="20"/>
  <c r="B93" i="31"/>
  <c r="B72" i="31"/>
  <c r="B182" i="20"/>
  <c r="B23" i="20"/>
  <c r="B80" i="31"/>
  <c r="B28" i="31"/>
  <c r="B148" i="20"/>
  <c r="B189" i="20"/>
  <c r="B70" i="31"/>
  <c r="B233" i="20"/>
  <c r="B92" i="31"/>
  <c r="B258" i="20"/>
  <c r="B33" i="31"/>
  <c r="B173" i="20"/>
  <c r="B91" i="31"/>
  <c r="B58" i="31"/>
  <c r="B248" i="20"/>
  <c r="B163" i="20"/>
  <c r="B98" i="31"/>
  <c r="B83" i="31"/>
  <c r="B240" i="20"/>
  <c r="W255" i="38"/>
  <c r="Y255" i="38" s="1"/>
  <c r="B123" i="31"/>
  <c r="B21" i="20"/>
  <c r="W243" i="38"/>
  <c r="Y243" i="38" s="1"/>
  <c r="B252" i="20"/>
  <c r="B73" i="31"/>
  <c r="W231" i="38"/>
  <c r="Y231" i="38" s="1"/>
  <c r="B138" i="20"/>
  <c r="B48" i="31"/>
  <c r="W219" i="38"/>
  <c r="Y219" i="38" s="1"/>
  <c r="B221" i="20"/>
  <c r="B75" i="31"/>
  <c r="W207" i="38"/>
  <c r="Y207" i="38" s="1"/>
  <c r="B61" i="31"/>
  <c r="B149" i="20"/>
  <c r="W163" i="38"/>
  <c r="Y163" i="38" s="1"/>
  <c r="B195" i="20"/>
  <c r="B60" i="31"/>
  <c r="Y209" i="38"/>
  <c r="Z209" i="38" s="1"/>
  <c r="X153" i="38"/>
  <c r="Z153" i="38" s="1"/>
  <c r="W195" i="38"/>
  <c r="Y195" i="38" s="1"/>
  <c r="Z176" i="38"/>
  <c r="W276" i="38"/>
  <c r="B53" i="31"/>
  <c r="B222" i="20"/>
  <c r="B70" i="20"/>
  <c r="B69" i="31"/>
  <c r="B191" i="20"/>
  <c r="B36" i="31"/>
  <c r="B136" i="20"/>
  <c r="B47" i="31"/>
  <c r="B88" i="31"/>
  <c r="B71" i="20"/>
  <c r="B188" i="20"/>
  <c r="B65" i="31"/>
  <c r="B119" i="31"/>
  <c r="B46" i="20"/>
  <c r="B29" i="31"/>
  <c r="B156" i="20"/>
  <c r="B85" i="31"/>
  <c r="B20" i="20"/>
  <c r="BK101" i="20"/>
  <c r="BJ101" i="20"/>
  <c r="BI101" i="20"/>
  <c r="BI52" i="31"/>
  <c r="BH31" i="31"/>
  <c r="BF31" i="31"/>
  <c r="BD31" i="31"/>
  <c r="BE43" i="31"/>
  <c r="BK43" i="31"/>
  <c r="BJ27" i="20"/>
  <c r="BI27" i="20"/>
  <c r="BK27" i="20"/>
  <c r="BE233" i="20"/>
  <c r="BF233" i="20"/>
  <c r="BI161" i="20"/>
  <c r="BK161" i="20"/>
  <c r="BJ161" i="20"/>
  <c r="BK113" i="31"/>
  <c r="BJ113" i="31"/>
  <c r="BG219" i="20"/>
  <c r="BH233" i="20"/>
  <c r="BG233" i="20"/>
  <c r="BI233" i="20"/>
  <c r="BK233" i="20"/>
  <c r="BJ233" i="20"/>
  <c r="BG6" i="20"/>
  <c r="BE219" i="20"/>
  <c r="BF219" i="20"/>
  <c r="BK219" i="20"/>
  <c r="BJ219" i="20"/>
  <c r="BI219" i="20"/>
  <c r="BE104" i="31"/>
  <c r="BD104" i="31"/>
  <c r="BF112" i="31"/>
  <c r="BG169" i="20"/>
  <c r="BH116" i="31"/>
  <c r="BG23" i="20"/>
  <c r="BF59" i="31"/>
  <c r="BF100" i="31"/>
  <c r="BG104" i="31"/>
  <c r="BI104" i="31"/>
  <c r="BE23" i="20"/>
  <c r="BH23" i="20"/>
  <c r="BD23" i="20"/>
  <c r="BJ116" i="31"/>
  <c r="BI116" i="31"/>
  <c r="BK116" i="31"/>
  <c r="BG116" i="31"/>
  <c r="BE116" i="31"/>
  <c r="BF116" i="31"/>
  <c r="BE82" i="20"/>
  <c r="BG216" i="20"/>
  <c r="BE216" i="20"/>
  <c r="BK23" i="20"/>
  <c r="BJ23" i="20"/>
  <c r="BI23" i="20"/>
  <c r="BH216" i="20"/>
  <c r="BF216" i="20"/>
  <c r="BK27" i="31"/>
  <c r="BE32" i="31"/>
  <c r="BD34" i="31"/>
  <c r="BE48" i="31"/>
  <c r="BD48" i="31"/>
  <c r="BE59" i="31"/>
  <c r="BG55" i="31"/>
  <c r="BI63" i="31"/>
  <c r="BK63" i="31"/>
  <c r="BE187" i="20"/>
  <c r="BF169" i="20"/>
  <c r="BE52" i="31"/>
  <c r="BD59" i="31"/>
  <c r="BJ59" i="31"/>
  <c r="BI55" i="31"/>
  <c r="BJ63" i="31"/>
  <c r="BG187" i="20"/>
  <c r="BF187" i="20"/>
  <c r="BH169" i="20"/>
  <c r="BK216" i="20"/>
  <c r="BJ216" i="20"/>
  <c r="BI216" i="20"/>
  <c r="BE169" i="20"/>
  <c r="BI37" i="31"/>
  <c r="BH187" i="20"/>
  <c r="BE83" i="20"/>
  <c r="BH83" i="20"/>
  <c r="BF83" i="20"/>
  <c r="BG211" i="20"/>
  <c r="BH211" i="20"/>
  <c r="BF211" i="20"/>
  <c r="BE211" i="20"/>
  <c r="BI169" i="20"/>
  <c r="BK169" i="20"/>
  <c r="BJ169" i="20"/>
  <c r="BK40" i="31"/>
  <c r="BG40" i="31"/>
  <c r="BG110" i="31"/>
  <c r="BK110" i="31"/>
  <c r="BK211" i="20"/>
  <c r="BJ211" i="20"/>
  <c r="BI211" i="20"/>
  <c r="BF256" i="20"/>
  <c r="BG235" i="20"/>
  <c r="BJ32" i="31"/>
  <c r="BE47" i="31"/>
  <c r="BG111" i="31"/>
  <c r="BJ111" i="31"/>
  <c r="BI111" i="31"/>
  <c r="BK111" i="31"/>
  <c r="BH111" i="31"/>
  <c r="BG47" i="31"/>
  <c r="BG83" i="20"/>
  <c r="BK112" i="31"/>
  <c r="BI112" i="31"/>
  <c r="BG112" i="31"/>
  <c r="BE70" i="20"/>
  <c r="BJ83" i="20"/>
  <c r="BI83" i="20"/>
  <c r="BK83" i="20"/>
  <c r="BE256" i="20"/>
  <c r="BG70" i="20"/>
  <c r="BF70" i="20"/>
  <c r="BD70" i="20"/>
  <c r="BK34" i="31"/>
  <c r="BJ34" i="31"/>
  <c r="BI48" i="31"/>
  <c r="BI65" i="31"/>
  <c r="BK65" i="31"/>
  <c r="BH235" i="20"/>
  <c r="BE24" i="20"/>
  <c r="BF235" i="20"/>
  <c r="BD235" i="20"/>
  <c r="BG256" i="20"/>
  <c r="BH256" i="20"/>
  <c r="BG24" i="20"/>
  <c r="BJ187" i="20"/>
  <c r="BI187" i="20"/>
  <c r="BK187" i="20"/>
  <c r="BF24" i="20"/>
  <c r="BH89" i="31"/>
  <c r="BH78" i="31"/>
  <c r="BK235" i="20"/>
  <c r="BJ235" i="20"/>
  <c r="BI235" i="20"/>
  <c r="BK32" i="31"/>
  <c r="BG34" i="31"/>
  <c r="BI34" i="31"/>
  <c r="BF47" i="31"/>
  <c r="BE90" i="31"/>
  <c r="BE31" i="31"/>
  <c r="BI31" i="31"/>
  <c r="BE56" i="31"/>
  <c r="BD90" i="31"/>
  <c r="BH24" i="20"/>
  <c r="BI70" i="20"/>
  <c r="BK70" i="20"/>
  <c r="BJ70" i="20"/>
  <c r="BG209" i="20"/>
  <c r="BK24" i="20"/>
  <c r="BJ24" i="20"/>
  <c r="BI24" i="20"/>
  <c r="BH209" i="20"/>
  <c r="BE209" i="20"/>
  <c r="BF209" i="20"/>
  <c r="BG80" i="20"/>
  <c r="BF80" i="20"/>
  <c r="BG58" i="20"/>
  <c r="BK256" i="20"/>
  <c r="BJ256" i="20"/>
  <c r="BI256" i="20"/>
  <c r="BJ7" i="31"/>
  <c r="BK7" i="31"/>
  <c r="BI209" i="20"/>
  <c r="BK209" i="20"/>
  <c r="BJ209" i="20"/>
  <c r="BG14" i="20"/>
  <c r="BE94" i="20"/>
  <c r="BH94" i="20"/>
  <c r="BF94" i="20"/>
  <c r="BG61" i="31"/>
  <c r="BK61" i="31"/>
  <c r="BK94" i="20"/>
  <c r="BJ94" i="20"/>
  <c r="BI94" i="20"/>
  <c r="BG136" i="20"/>
  <c r="BE6" i="20"/>
  <c r="BF6" i="20"/>
  <c r="BH6" i="20"/>
  <c r="BK103" i="31"/>
  <c r="BI103" i="31"/>
  <c r="BH14" i="20"/>
  <c r="BF58" i="20"/>
  <c r="BD58" i="20"/>
  <c r="BK6" i="20"/>
  <c r="BJ6" i="20"/>
  <c r="BI6" i="20"/>
  <c r="BH58" i="20"/>
  <c r="BE101" i="31"/>
  <c r="BF101" i="31"/>
  <c r="BE14" i="20"/>
  <c r="BD14" i="20"/>
  <c r="BJ58" i="20"/>
  <c r="BI58" i="20"/>
  <c r="BK58" i="20"/>
  <c r="BH90" i="31"/>
  <c r="BI89" i="31"/>
  <c r="BD73" i="31"/>
  <c r="BD80" i="20"/>
  <c r="BH80" i="20"/>
  <c r="BG115" i="20"/>
  <c r="BH115" i="20"/>
  <c r="BI80" i="20"/>
  <c r="BK80" i="20"/>
  <c r="BJ80" i="20"/>
  <c r="BF115" i="20"/>
  <c r="BF52" i="31"/>
  <c r="BD115" i="20"/>
  <c r="BD39" i="31"/>
  <c r="BJ37" i="31"/>
  <c r="BH52" i="31"/>
  <c r="BG48" i="20"/>
  <c r="BF48" i="20"/>
  <c r="BJ101" i="31"/>
  <c r="BI101" i="31"/>
  <c r="BK101" i="31"/>
  <c r="BH101" i="31"/>
  <c r="BG101" i="31"/>
  <c r="BK14" i="20"/>
  <c r="BJ14" i="20"/>
  <c r="BI14" i="20"/>
  <c r="BE251" i="20"/>
  <c r="BD37" i="31"/>
  <c r="BF37" i="31"/>
  <c r="BF251" i="20"/>
  <c r="BE48" i="20"/>
  <c r="BE79" i="31"/>
  <c r="BK115" i="20"/>
  <c r="BJ115" i="20"/>
  <c r="BI115" i="20"/>
  <c r="BF227" i="20"/>
  <c r="BF186" i="20"/>
  <c r="BD251" i="20"/>
  <c r="BD48" i="20"/>
  <c r="BE227" i="20"/>
  <c r="BG251" i="20"/>
  <c r="BH39" i="31"/>
  <c r="BD52" i="31"/>
  <c r="BG52" i="31"/>
  <c r="BJ52" i="31"/>
  <c r="BE73" i="31"/>
  <c r="BI73" i="31"/>
  <c r="BD227" i="20"/>
  <c r="BK59" i="31"/>
  <c r="BH73" i="31"/>
  <c r="BF73" i="31"/>
  <c r="BE89" i="31"/>
  <c r="BH227" i="20"/>
  <c r="BJ227" i="20"/>
  <c r="BI227" i="20"/>
  <c r="BK227" i="20"/>
  <c r="BF188" i="20"/>
  <c r="BE188" i="20"/>
  <c r="BF136" i="20"/>
  <c r="BK48" i="20"/>
  <c r="BJ48" i="20"/>
  <c r="BI48" i="20"/>
  <c r="BD188" i="20"/>
  <c r="BJ48" i="31"/>
  <c r="BI79" i="31"/>
  <c r="BH188" i="20"/>
  <c r="BG37" i="31"/>
  <c r="BD56" i="31"/>
  <c r="BG56" i="31"/>
  <c r="BH160" i="20"/>
  <c r="BK251" i="20"/>
  <c r="BJ251" i="20"/>
  <c r="BI251" i="20"/>
  <c r="BG109" i="20"/>
  <c r="BH109" i="20"/>
  <c r="BG160" i="20"/>
  <c r="BE136" i="20"/>
  <c r="BH136" i="20"/>
  <c r="BE109" i="20"/>
  <c r="BE160" i="20"/>
  <c r="BD160" i="20"/>
  <c r="BG89" i="31"/>
  <c r="BK89" i="31"/>
  <c r="BJ89" i="31"/>
  <c r="BI188" i="20"/>
  <c r="BK188" i="20"/>
  <c r="BJ188" i="20"/>
  <c r="BF28" i="31"/>
  <c r="BI136" i="20"/>
  <c r="BK136" i="20"/>
  <c r="BJ136" i="20"/>
  <c r="BJ160" i="20"/>
  <c r="BI160" i="20"/>
  <c r="BK160" i="20"/>
  <c r="BD46" i="31"/>
  <c r="BI90" i="31"/>
  <c r="BK90" i="31"/>
  <c r="BG90" i="31"/>
  <c r="BJ90" i="31"/>
  <c r="BG230" i="20"/>
  <c r="BF198" i="20"/>
  <c r="BE230" i="20"/>
  <c r="BI109" i="20"/>
  <c r="BK109" i="20"/>
  <c r="BJ109" i="20"/>
  <c r="BG106" i="20"/>
  <c r="BF106" i="20"/>
  <c r="BE198" i="20"/>
  <c r="BH154" i="20"/>
  <c r="BE106" i="20"/>
  <c r="BH106" i="20"/>
  <c r="BI230" i="20"/>
  <c r="BK230" i="20"/>
  <c r="BJ230" i="20"/>
  <c r="BH198" i="20"/>
  <c r="BG198" i="20"/>
  <c r="BH26" i="31"/>
  <c r="BI26" i="31"/>
  <c r="BK198" i="20"/>
  <c r="BJ198" i="20"/>
  <c r="BI198" i="20"/>
  <c r="BH186" i="20"/>
  <c r="BG186" i="20"/>
  <c r="BK39" i="31"/>
  <c r="BF154" i="20"/>
  <c r="BE186" i="20"/>
  <c r="BG154" i="20"/>
  <c r="BE154" i="20"/>
  <c r="BI106" i="20"/>
  <c r="BK106" i="20"/>
  <c r="BJ106" i="20"/>
  <c r="BF36" i="20"/>
  <c r="BG36" i="20"/>
  <c r="BE36" i="20"/>
  <c r="BH36" i="20"/>
  <c r="BI186" i="20"/>
  <c r="BK186" i="20"/>
  <c r="BJ186" i="20"/>
  <c r="BG88" i="20"/>
  <c r="BH88" i="20"/>
  <c r="BI36" i="20"/>
  <c r="BK36" i="20"/>
  <c r="BJ36" i="20"/>
  <c r="BJ56" i="31"/>
  <c r="BI36" i="31"/>
  <c r="BH229" i="20"/>
  <c r="BG229" i="20"/>
  <c r="BD229" i="20"/>
  <c r="BE88" i="20"/>
  <c r="BF88" i="20"/>
  <c r="BI154" i="20"/>
  <c r="BK154" i="20"/>
  <c r="BJ154" i="20"/>
  <c r="BH47" i="31"/>
  <c r="BI59" i="31"/>
  <c r="BH79" i="31"/>
  <c r="BF79" i="31"/>
  <c r="BK79" i="31"/>
  <c r="BG127" i="20"/>
  <c r="BJ24" i="31"/>
  <c r="BI30" i="31"/>
  <c r="BG30" i="31"/>
  <c r="BD47" i="31"/>
  <c r="BJ47" i="31"/>
  <c r="BE60" i="31"/>
  <c r="BD60" i="31"/>
  <c r="BK88" i="20"/>
  <c r="BJ88" i="20"/>
  <c r="BI88" i="20"/>
  <c r="BG168" i="20"/>
  <c r="BD80" i="31"/>
  <c r="BE35" i="31"/>
  <c r="BD35" i="31"/>
  <c r="BE80" i="31"/>
  <c r="BG77" i="20"/>
  <c r="BD77" i="20"/>
  <c r="BH248" i="20"/>
  <c r="BE127" i="20"/>
  <c r="BF168" i="20"/>
  <c r="BG248" i="20"/>
  <c r="BF248" i="20"/>
  <c r="BF127" i="20"/>
  <c r="BJ229" i="20"/>
  <c r="BI229" i="20"/>
  <c r="BK229" i="20"/>
  <c r="BH127" i="20"/>
  <c r="BE248" i="20"/>
  <c r="BE77" i="20"/>
  <c r="BH77" i="20"/>
  <c r="BK127" i="20"/>
  <c r="BJ127" i="20"/>
  <c r="BI127" i="20"/>
  <c r="BE168" i="20"/>
  <c r="BH168" i="20"/>
  <c r="BG36" i="31"/>
  <c r="BF36" i="31"/>
  <c r="BF60" i="31"/>
  <c r="BE66" i="31"/>
  <c r="BD66" i="31"/>
  <c r="BF30" i="31"/>
  <c r="BH60" i="31"/>
  <c r="BG45" i="20"/>
  <c r="BK248" i="20"/>
  <c r="BJ248" i="20"/>
  <c r="BI248" i="20"/>
  <c r="BF11" i="20"/>
  <c r="BF45" i="20"/>
  <c r="BD26" i="31"/>
  <c r="BF25" i="31"/>
  <c r="BE259" i="20"/>
  <c r="BE45" i="20"/>
  <c r="BG259" i="20"/>
  <c r="BK168" i="20"/>
  <c r="BJ168" i="20"/>
  <c r="BI168" i="20"/>
  <c r="BH45" i="20"/>
  <c r="BH259" i="20"/>
  <c r="BF259" i="20"/>
  <c r="BJ79" i="31"/>
  <c r="BG79" i="31"/>
  <c r="BK73" i="31"/>
  <c r="BG73" i="31"/>
  <c r="BK77" i="20"/>
  <c r="BJ77" i="20"/>
  <c r="BI77" i="20"/>
  <c r="BJ60" i="31"/>
  <c r="BH173" i="20"/>
  <c r="BJ80" i="31"/>
  <c r="BF80" i="31"/>
  <c r="BK80" i="31"/>
  <c r="BI80" i="31"/>
  <c r="BG80" i="31"/>
  <c r="BK259" i="20"/>
  <c r="BJ259" i="20"/>
  <c r="BI259" i="20"/>
  <c r="BD173" i="20"/>
  <c r="BK45" i="20"/>
  <c r="BJ45" i="20"/>
  <c r="BI45" i="20"/>
  <c r="BG65" i="20"/>
  <c r="BG28" i="20"/>
  <c r="BH28" i="20"/>
  <c r="BG173" i="20"/>
  <c r="BF173" i="20"/>
  <c r="BK173" i="20"/>
  <c r="BJ173" i="20"/>
  <c r="BI173" i="20"/>
  <c r="BF93" i="20"/>
  <c r="BE28" i="20"/>
  <c r="BF28" i="20"/>
  <c r="BK28" i="20"/>
  <c r="BJ28" i="20"/>
  <c r="BI28" i="20"/>
  <c r="BH228" i="20"/>
  <c r="BH93" i="20"/>
  <c r="BD93" i="20"/>
  <c r="BG228" i="20"/>
  <c r="BG48" i="31"/>
  <c r="BG93" i="20"/>
  <c r="BH65" i="20"/>
  <c r="BE228" i="20"/>
  <c r="BF228" i="20"/>
  <c r="B68" i="31"/>
  <c r="B234" i="20"/>
  <c r="BF65" i="20"/>
  <c r="BK228" i="20"/>
  <c r="BJ228" i="20"/>
  <c r="BI228" i="20"/>
  <c r="BE65" i="20"/>
  <c r="BI39" i="31"/>
  <c r="BI47" i="31"/>
  <c r="BJ39" i="31"/>
  <c r="BJ65" i="20"/>
  <c r="BI65" i="20"/>
  <c r="BK65" i="20"/>
  <c r="BG134" i="20"/>
  <c r="BG79" i="20"/>
  <c r="BG253" i="20"/>
  <c r="BG123" i="20"/>
  <c r="BE79" i="20"/>
  <c r="BD253" i="20"/>
  <c r="BH253" i="20"/>
  <c r="BH134" i="20"/>
  <c r="BE123" i="20"/>
  <c r="BJ93" i="20"/>
  <c r="BI93" i="20"/>
  <c r="BK93" i="20"/>
  <c r="BF79" i="20"/>
  <c r="BE134" i="20"/>
  <c r="BF134" i="20"/>
  <c r="BE253" i="20"/>
  <c r="BK134" i="20"/>
  <c r="BJ134" i="20"/>
  <c r="BI134" i="20"/>
  <c r="BH123" i="20"/>
  <c r="BD123" i="20"/>
  <c r="BK35" i="31"/>
  <c r="BG165" i="20"/>
  <c r="BK79" i="20"/>
  <c r="BJ79" i="20"/>
  <c r="BI79" i="20"/>
  <c r="BE165" i="20"/>
  <c r="BD27" i="31"/>
  <c r="BG35" i="31"/>
  <c r="BD165" i="20"/>
  <c r="BI123" i="20"/>
  <c r="BK123" i="20"/>
  <c r="BJ123" i="20"/>
  <c r="BH35" i="31"/>
  <c r="BI253" i="20"/>
  <c r="BK253" i="20"/>
  <c r="BJ253" i="20"/>
  <c r="BE226" i="20"/>
  <c r="BE68" i="31"/>
  <c r="BG213" i="20"/>
  <c r="BH213" i="20"/>
  <c r="BK165" i="20"/>
  <c r="BJ165" i="20"/>
  <c r="BI165" i="20"/>
  <c r="BF213" i="20"/>
  <c r="BJ68" i="31"/>
  <c r="BI68" i="31"/>
  <c r="BK68" i="31"/>
  <c r="BG68" i="31"/>
  <c r="BG26" i="31"/>
  <c r="BE46" i="31"/>
  <c r="BG64" i="20"/>
  <c r="BH64" i="20"/>
  <c r="BI56" i="31"/>
  <c r="BK56" i="31"/>
  <c r="BE29" i="31"/>
  <c r="BE41" i="31"/>
  <c r="BF29" i="20"/>
  <c r="BE64" i="20"/>
  <c r="BF64" i="20"/>
  <c r="BG226" i="20"/>
  <c r="BH226" i="20"/>
  <c r="BF226" i="20"/>
  <c r="BK66" i="31"/>
  <c r="BI66" i="31"/>
  <c r="BG66" i="31"/>
  <c r="BJ66" i="31"/>
  <c r="BF66" i="31"/>
  <c r="BG60" i="31"/>
  <c r="BK60" i="31"/>
  <c r="BH171" i="20"/>
  <c r="BH68" i="31"/>
  <c r="BF68" i="31"/>
  <c r="BK226" i="20"/>
  <c r="BJ226" i="20"/>
  <c r="BI226" i="20"/>
  <c r="BH176" i="20"/>
  <c r="BF176" i="20"/>
  <c r="BG176" i="20"/>
  <c r="BE176" i="20"/>
  <c r="BK213" i="20"/>
  <c r="BJ213" i="20"/>
  <c r="BI213" i="20"/>
  <c r="BH51" i="20"/>
  <c r="BD51" i="20"/>
  <c r="BE33" i="20"/>
  <c r="BE29" i="20"/>
  <c r="BI176" i="20"/>
  <c r="BK176" i="20"/>
  <c r="BJ176" i="20"/>
  <c r="BH33" i="20"/>
  <c r="BD179" i="20"/>
  <c r="BK26" i="31"/>
  <c r="BE26" i="31"/>
  <c r="BH41" i="31"/>
  <c r="BJ26" i="31"/>
  <c r="BG29" i="20"/>
  <c r="BH29" i="20"/>
  <c r="BK64" i="20"/>
  <c r="BJ64" i="20"/>
  <c r="BI64" i="20"/>
  <c r="BG171" i="20"/>
  <c r="BD61" i="20"/>
  <c r="BH61" i="20"/>
  <c r="BG33" i="20"/>
  <c r="BK29" i="20"/>
  <c r="BJ29" i="20"/>
  <c r="BI29" i="20"/>
  <c r="BK33" i="20"/>
  <c r="BJ33" i="20"/>
  <c r="BI33" i="20"/>
  <c r="BF171" i="20"/>
  <c r="BG126" i="20"/>
  <c r="BF126" i="20"/>
  <c r="BE126" i="20"/>
  <c r="BH126" i="20"/>
  <c r="BK61" i="20"/>
  <c r="BJ61" i="20"/>
  <c r="BI61" i="20"/>
  <c r="BE171" i="20"/>
  <c r="BG96" i="20"/>
  <c r="BF96" i="20"/>
  <c r="BE96" i="20"/>
  <c r="BK126" i="20"/>
  <c r="BJ126" i="20"/>
  <c r="BI126" i="20"/>
  <c r="BH96" i="20"/>
  <c r="BH142" i="20"/>
  <c r="BI171" i="20"/>
  <c r="BK171" i="20"/>
  <c r="BJ171" i="20"/>
  <c r="BG137" i="20"/>
  <c r="BH17" i="31"/>
  <c r="BF18" i="31"/>
  <c r="BH49" i="31"/>
  <c r="BD17" i="31"/>
  <c r="BD49" i="31"/>
  <c r="BG142" i="20"/>
  <c r="BE128" i="20"/>
  <c r="BF128" i="20"/>
  <c r="BE142" i="20"/>
  <c r="BI96" i="20"/>
  <c r="BK96" i="20"/>
  <c r="BJ96" i="20"/>
  <c r="BH137" i="20"/>
  <c r="BE137" i="20"/>
  <c r="BF137" i="20"/>
  <c r="BD142" i="20"/>
  <c r="BK137" i="20"/>
  <c r="BJ137" i="20"/>
  <c r="BI137" i="20"/>
  <c r="BJ142" i="20"/>
  <c r="BI142" i="20"/>
  <c r="BK142" i="20"/>
  <c r="BG128" i="20"/>
  <c r="BE72" i="20"/>
  <c r="BG159" i="20"/>
  <c r="BD128" i="20"/>
  <c r="BG32" i="31"/>
  <c r="BI32" i="31"/>
  <c r="BF207" i="20"/>
  <c r="BF46" i="31"/>
  <c r="BG46" i="31"/>
  <c r="BJ46" i="31"/>
  <c r="BI46" i="31"/>
  <c r="BK46" i="31"/>
  <c r="BF22" i="31"/>
  <c r="BK22" i="31"/>
  <c r="BH207" i="20"/>
  <c r="BG207" i="20"/>
  <c r="BE207" i="20"/>
  <c r="BK207" i="20"/>
  <c r="BJ207" i="20"/>
  <c r="BI207" i="20"/>
  <c r="BI128" i="20"/>
  <c r="BK128" i="20"/>
  <c r="BJ128" i="20"/>
  <c r="BE159" i="20"/>
  <c r="BF159" i="20"/>
  <c r="BF49" i="31"/>
  <c r="BG49" i="31"/>
  <c r="BJ49" i="31"/>
  <c r="BI49" i="31"/>
  <c r="BK49" i="31"/>
  <c r="BJ28" i="31"/>
  <c r="BK28" i="31"/>
  <c r="BG31" i="20"/>
  <c r="BH31" i="20"/>
  <c r="BE31" i="20"/>
  <c r="BD159" i="20"/>
  <c r="BF31" i="20"/>
  <c r="BG72" i="20"/>
  <c r="BK31" i="20"/>
  <c r="BJ31" i="20"/>
  <c r="BI31" i="20"/>
  <c r="BH72" i="20"/>
  <c r="BG38" i="20"/>
  <c r="BF72" i="20"/>
  <c r="BJ35" i="31"/>
  <c r="BI35" i="31"/>
  <c r="BH38" i="20"/>
  <c r="BG218" i="20"/>
  <c r="BE38" i="20"/>
  <c r="BF38" i="20"/>
  <c r="BK159" i="20"/>
  <c r="BJ159" i="20"/>
  <c r="BI159" i="20"/>
  <c r="BF218" i="20"/>
  <c r="BI72" i="20"/>
  <c r="BK72" i="20"/>
  <c r="BJ72" i="20"/>
  <c r="BH218" i="20"/>
  <c r="BD218" i="20"/>
  <c r="BK218" i="20"/>
  <c r="BJ218" i="20"/>
  <c r="BI218" i="20"/>
  <c r="BI19" i="31"/>
  <c r="BH118" i="20"/>
  <c r="BI38" i="20"/>
  <c r="BK38" i="20"/>
  <c r="BJ38" i="20"/>
  <c r="BG212" i="20"/>
  <c r="BG118" i="20"/>
  <c r="BE212" i="20"/>
  <c r="BH212" i="20"/>
  <c r="BE118" i="20"/>
  <c r="BD118" i="20"/>
  <c r="BD212" i="20"/>
  <c r="BK118" i="20"/>
  <c r="BJ118" i="20"/>
  <c r="BI118" i="20"/>
  <c r="BG19" i="31"/>
  <c r="BD120" i="20"/>
  <c r="BI212" i="20"/>
  <c r="BK212" i="20"/>
  <c r="BJ212" i="20"/>
  <c r="BE19" i="31"/>
  <c r="BJ41" i="31"/>
  <c r="BF41" i="31"/>
  <c r="BK41" i="31"/>
  <c r="BI41" i="31"/>
  <c r="BG41" i="31"/>
  <c r="BJ19" i="31"/>
  <c r="BG120" i="20"/>
  <c r="BH120" i="20"/>
  <c r="BG243" i="20"/>
  <c r="BF120" i="20"/>
  <c r="BE243" i="20"/>
  <c r="BD243" i="20"/>
  <c r="BF243" i="20"/>
  <c r="BI120" i="20"/>
  <c r="BJ120" i="20"/>
  <c r="BK120" i="20"/>
  <c r="BG42" i="31"/>
  <c r="BE42" i="31"/>
  <c r="BJ42" i="31"/>
  <c r="BD42" i="31"/>
  <c r="BF42" i="31"/>
  <c r="BK42" i="31"/>
  <c r="BI42" i="31"/>
  <c r="BH60" i="20"/>
  <c r="BG179" i="20"/>
  <c r="BH18" i="20"/>
  <c r="BI243" i="20"/>
  <c r="BK243" i="20"/>
  <c r="BJ243" i="20"/>
  <c r="BE179" i="20"/>
  <c r="BF179" i="20"/>
  <c r="BE76" i="20"/>
  <c r="BG60" i="20"/>
  <c r="BG17" i="31"/>
  <c r="BH18" i="31"/>
  <c r="BH42" i="20"/>
  <c r="BG18" i="31"/>
  <c r="BD18" i="31"/>
  <c r="BJ17" i="31"/>
  <c r="BK17" i="31"/>
  <c r="BH121" i="20"/>
  <c r="BE60" i="20"/>
  <c r="BG121" i="20"/>
  <c r="BF121" i="20"/>
  <c r="BG18" i="20"/>
  <c r="BF18" i="20"/>
  <c r="BD42" i="20"/>
  <c r="BH104" i="20"/>
  <c r="BE121" i="20"/>
  <c r="BE18" i="20"/>
  <c r="BJ179" i="20"/>
  <c r="BI179" i="20"/>
  <c r="BK179" i="20"/>
  <c r="BJ60" i="20"/>
  <c r="BI60" i="20"/>
  <c r="BK60" i="20"/>
  <c r="BI18" i="20"/>
  <c r="BK18" i="20"/>
  <c r="BJ18" i="20"/>
  <c r="BG42" i="20"/>
  <c r="BE42" i="20"/>
  <c r="BK121" i="20"/>
  <c r="BJ121" i="20"/>
  <c r="BI121" i="20"/>
  <c r="BH44" i="20"/>
  <c r="BD104" i="20"/>
  <c r="BI17" i="31"/>
  <c r="BE17" i="31"/>
  <c r="BG104" i="20"/>
  <c r="BE104" i="20"/>
  <c r="BH231" i="20"/>
  <c r="BI104" i="20"/>
  <c r="BK104" i="20"/>
  <c r="BJ104" i="20"/>
  <c r="BG231" i="20"/>
  <c r="BK42" i="20"/>
  <c r="BJ42" i="20"/>
  <c r="BI42" i="20"/>
  <c r="BG150" i="20"/>
  <c r="BE231" i="20"/>
  <c r="BD231" i="20"/>
  <c r="BG62" i="20"/>
  <c r="BF62" i="20"/>
  <c r="BH174" i="20"/>
  <c r="BH150" i="20"/>
  <c r="BE62" i="20"/>
  <c r="BE174" i="20"/>
  <c r="BF174" i="20"/>
  <c r="BK231" i="20"/>
  <c r="BJ231" i="20"/>
  <c r="BI231" i="20"/>
  <c r="BG174" i="20"/>
  <c r="BE150" i="20"/>
  <c r="BD150" i="20"/>
  <c r="BD62" i="20"/>
  <c r="BG29" i="31"/>
  <c r="BK29" i="31"/>
  <c r="BJ29" i="31"/>
  <c r="BF29" i="31"/>
  <c r="BI29" i="31"/>
  <c r="BH29" i="31"/>
  <c r="BH40" i="20"/>
  <c r="BG40" i="20"/>
  <c r="BE40" i="20"/>
  <c r="BD40" i="20"/>
  <c r="BK150" i="20"/>
  <c r="BJ150" i="20"/>
  <c r="BI150" i="20"/>
  <c r="BI174" i="20"/>
  <c r="BK174" i="20"/>
  <c r="BJ174" i="20"/>
  <c r="BG51" i="20"/>
  <c r="BK62" i="20"/>
  <c r="BJ62" i="20"/>
  <c r="BI62" i="20"/>
  <c r="BF51" i="20"/>
  <c r="BK40" i="20"/>
  <c r="BI40" i="20"/>
  <c r="BJ40" i="20"/>
  <c r="BE242" i="20"/>
  <c r="BG11" i="20"/>
  <c r="BE44" i="20"/>
  <c r="BE11" i="20"/>
  <c r="BK51" i="20"/>
  <c r="BJ51" i="20"/>
  <c r="BI51" i="20"/>
  <c r="BF44" i="20"/>
  <c r="BH11" i="20"/>
  <c r="BG44" i="20"/>
  <c r="BG82" i="20"/>
  <c r="BF177" i="20"/>
  <c r="BK44" i="20"/>
  <c r="BJ44" i="20"/>
  <c r="BI44" i="20"/>
  <c r="BE177" i="20"/>
  <c r="BD177" i="20"/>
  <c r="BF82" i="20"/>
  <c r="BH82" i="20"/>
  <c r="BI177" i="20"/>
  <c r="BK18" i="31"/>
  <c r="BJ18" i="31"/>
  <c r="BI18" i="31"/>
  <c r="BD242" i="20"/>
  <c r="BH177" i="20"/>
  <c r="BG242" i="20"/>
  <c r="BD11" i="20"/>
  <c r="BI82" i="20"/>
  <c r="BK82" i="20"/>
  <c r="BJ82" i="20"/>
  <c r="BF242" i="20"/>
  <c r="BK242" i="20"/>
  <c r="BJ242" i="20"/>
  <c r="BI242" i="20"/>
  <c r="BK11" i="20"/>
  <c r="BI11" i="20"/>
  <c r="BH153" i="20"/>
  <c r="BF153" i="20"/>
  <c r="BD153" i="20"/>
  <c r="BG153" i="20"/>
  <c r="X243" i="38"/>
  <c r="X187" i="38"/>
  <c r="Y187" i="38"/>
  <c r="Y183" i="38"/>
  <c r="Y175" i="38"/>
  <c r="X175" i="38"/>
  <c r="Y171" i="38"/>
  <c r="X171" i="38"/>
  <c r="X163" i="38"/>
  <c r="X159" i="38"/>
  <c r="Y155" i="38"/>
  <c r="Y275" i="38"/>
  <c r="X275" i="38"/>
  <c r="Y259" i="38"/>
  <c r="X251" i="38"/>
  <c r="X179" i="38"/>
  <c r="Y179" i="38"/>
  <c r="X180" i="38"/>
  <c r="Y172" i="38"/>
  <c r="Z172" i="38" s="1"/>
  <c r="Y156" i="38"/>
  <c r="Z156" i="38" s="1"/>
  <c r="B179" i="20"/>
  <c r="B21" i="31"/>
  <c r="B170" i="20"/>
  <c r="B22" i="31"/>
  <c r="Z180" i="38"/>
  <c r="X173" i="38"/>
  <c r="Z173" i="38" s="1"/>
  <c r="X157" i="38"/>
  <c r="Z157" i="38" s="1"/>
  <c r="Y225" i="38"/>
  <c r="Z225" i="38" s="1"/>
  <c r="X177" i="38"/>
  <c r="Z177" i="38" s="1"/>
  <c r="X161" i="38"/>
  <c r="Z161" i="38" s="1"/>
  <c r="B203" i="20"/>
  <c r="B24" i="31"/>
  <c r="B9" i="20"/>
  <c r="B18" i="31"/>
  <c r="Y217" i="38"/>
  <c r="Z217" i="38" s="1"/>
  <c r="X181" i="38"/>
  <c r="Z181" i="38" s="1"/>
  <c r="B142" i="20"/>
  <c r="B7" i="31"/>
  <c r="B213" i="20"/>
  <c r="B23" i="31"/>
  <c r="B3" i="31"/>
  <c r="B153" i="20"/>
  <c r="BE224" i="20"/>
  <c r="BH224" i="20"/>
  <c r="BG224" i="20"/>
  <c r="BD224" i="20"/>
  <c r="BJ177" i="20"/>
  <c r="BK177" i="20"/>
  <c r="BH12" i="20"/>
  <c r="BG12" i="20"/>
  <c r="BF12" i="20"/>
  <c r="BK153" i="20"/>
  <c r="BJ153" i="20"/>
  <c r="BI153" i="20"/>
  <c r="BE12" i="20"/>
  <c r="BG76" i="20"/>
  <c r="BG250" i="20"/>
  <c r="BJ224" i="20"/>
  <c r="BK224" i="20"/>
  <c r="BI224" i="20"/>
  <c r="BH223" i="20"/>
  <c r="BF223" i="20"/>
  <c r="BK19" i="31"/>
  <c r="BF19" i="31"/>
  <c r="BD19" i="31"/>
  <c r="BK12" i="20"/>
  <c r="BJ12" i="20"/>
  <c r="BI12" i="20"/>
  <c r="BE223" i="20"/>
  <c r="BD124" i="20"/>
  <c r="BG223" i="20"/>
  <c r="BJ20" i="31"/>
  <c r="BD20" i="31"/>
  <c r="BF20" i="31"/>
  <c r="BK20" i="31"/>
  <c r="BI20" i="31"/>
  <c r="BG20" i="31"/>
  <c r="BE20" i="31"/>
  <c r="BG124" i="20"/>
  <c r="BK223" i="20"/>
  <c r="BJ223" i="20"/>
  <c r="BI223" i="20"/>
  <c r="BH76" i="20"/>
  <c r="BF76" i="20"/>
  <c r="BI76" i="20"/>
  <c r="BK76" i="20"/>
  <c r="BJ76" i="20"/>
  <c r="BH250" i="20"/>
  <c r="BE244" i="20"/>
  <c r="BE124" i="20"/>
  <c r="BG244" i="20"/>
  <c r="BF244" i="20"/>
  <c r="BE250" i="20"/>
  <c r="BF250" i="20"/>
  <c r="BK250" i="20"/>
  <c r="BJ124" i="20"/>
  <c r="BF124" i="20"/>
  <c r="BI124" i="20"/>
  <c r="BK124" i="20"/>
  <c r="BH244" i="20"/>
  <c r="BK244" i="20"/>
  <c r="BJ244" i="20"/>
  <c r="BI244" i="20"/>
  <c r="BF113" i="20"/>
  <c r="BH113" i="20"/>
  <c r="BE113" i="20"/>
  <c r="BE197" i="20"/>
  <c r="BF197" i="20"/>
  <c r="BI250" i="20"/>
  <c r="BJ250" i="20"/>
  <c r="BH111" i="20"/>
  <c r="BE92" i="20"/>
  <c r="BK197" i="20"/>
  <c r="BG197" i="20"/>
  <c r="BJ197" i="20"/>
  <c r="BI197" i="20"/>
  <c r="BH217" i="20"/>
  <c r="BD217" i="20"/>
  <c r="BF217" i="20"/>
  <c r="BF92" i="20"/>
  <c r="BE111" i="20"/>
  <c r="BJ113" i="20"/>
  <c r="BK113" i="20"/>
  <c r="BG113" i="20"/>
  <c r="BI113" i="20"/>
  <c r="BG217" i="20"/>
  <c r="BH92" i="20"/>
  <c r="BF111" i="20"/>
  <c r="BJ111" i="20"/>
  <c r="BI111" i="20"/>
  <c r="BK111" i="20"/>
  <c r="BG111" i="20"/>
  <c r="BJ92" i="20"/>
  <c r="BK92" i="20"/>
  <c r="BG92" i="20"/>
  <c r="BI92" i="20"/>
  <c r="BE162" i="20"/>
  <c r="BH162" i="20"/>
  <c r="BF162" i="20"/>
  <c r="BK217" i="20"/>
  <c r="BI217" i="20"/>
  <c r="BF75" i="20"/>
  <c r="BE75" i="20"/>
  <c r="BH75" i="20"/>
  <c r="BJ162" i="20"/>
  <c r="BI162" i="20"/>
  <c r="BK162" i="20"/>
  <c r="BG162" i="20"/>
  <c r="BD75" i="20"/>
  <c r="BE182" i="20"/>
  <c r="BH182" i="20"/>
  <c r="BK75" i="20"/>
  <c r="BJ75" i="20"/>
  <c r="BI75" i="20"/>
  <c r="BF182" i="20"/>
  <c r="BE7" i="20"/>
  <c r="BI182" i="20"/>
  <c r="BK182" i="20"/>
  <c r="BG182" i="20"/>
  <c r="BJ182" i="20"/>
  <c r="BH7" i="20"/>
  <c r="BF7" i="20"/>
  <c r="BJ68" i="20"/>
  <c r="BJ7" i="20"/>
  <c r="BI7" i="20"/>
  <c r="BK7" i="20"/>
  <c r="BG7" i="20"/>
  <c r="BE68" i="20"/>
  <c r="BI68" i="20"/>
  <c r="BD68" i="20"/>
  <c r="BK68" i="20"/>
  <c r="BF68" i="20"/>
  <c r="BH68" i="20"/>
  <c r="BI195" i="20"/>
  <c r="BG195" i="20"/>
  <c r="BK195" i="20"/>
  <c r="BD195" i="20"/>
  <c r="BE195" i="20"/>
  <c r="BJ195" i="20"/>
  <c r="BH195" i="20"/>
  <c r="BG9" i="20"/>
  <c r="BH9" i="20"/>
  <c r="BJ9" i="20"/>
  <c r="BD9" i="20"/>
  <c r="BI9" i="20"/>
  <c r="BK9" i="20"/>
  <c r="BE9" i="20"/>
  <c r="W261" i="38"/>
  <c r="W257" i="38"/>
  <c r="W253" i="38"/>
  <c r="W249" i="38"/>
  <c r="W245" i="38"/>
  <c r="X274" i="38"/>
  <c r="Y274" i="38"/>
  <c r="X269" i="38"/>
  <c r="Y269" i="38"/>
  <c r="X278" i="38"/>
  <c r="Y278" i="38"/>
  <c r="Y265" i="38"/>
  <c r="Z265" i="38" s="1"/>
  <c r="X182" i="38"/>
  <c r="Z182" i="38" s="1"/>
  <c r="X178" i="38"/>
  <c r="Z178" i="38" s="1"/>
  <c r="X174" i="38"/>
  <c r="Z174" i="38" s="1"/>
  <c r="X170" i="38"/>
  <c r="Z170" i="38" s="1"/>
  <c r="X166" i="38"/>
  <c r="Z166" i="38" s="1"/>
  <c r="X162" i="38"/>
  <c r="Z162" i="38" s="1"/>
  <c r="X158" i="38"/>
  <c r="Z158" i="38" s="1"/>
  <c r="X154" i="38"/>
  <c r="Z154" i="38" s="1"/>
  <c r="W277" i="38"/>
  <c r="Y279" i="38"/>
  <c r="Z279" i="38" s="1"/>
  <c r="X263" i="38"/>
  <c r="Z263" i="38" s="1"/>
  <c r="W280" i="38"/>
  <c r="W272" i="38"/>
  <c r="W268" i="38"/>
  <c r="W264" i="38"/>
  <c r="W260" i="38"/>
  <c r="W256" i="38"/>
  <c r="W252" i="38"/>
  <c r="W248" i="38"/>
  <c r="W244" i="38"/>
  <c r="W240" i="38"/>
  <c r="W236" i="38"/>
  <c r="W232" i="38"/>
  <c r="W228" i="38"/>
  <c r="W224" i="38"/>
  <c r="W220" i="38"/>
  <c r="W216" i="38"/>
  <c r="W212" i="38"/>
  <c r="W208" i="38"/>
  <c r="W204" i="38"/>
  <c r="W200" i="38"/>
  <c r="W196" i="38"/>
  <c r="W192" i="38"/>
  <c r="W188" i="38"/>
  <c r="Y188" i="38" s="1"/>
  <c r="W184" i="38"/>
  <c r="Y286" i="38"/>
  <c r="Z286" i="38" s="1"/>
  <c r="W241" i="38"/>
  <c r="Y237" i="38"/>
  <c r="Z237" i="38" s="1"/>
  <c r="Y229" i="38"/>
  <c r="Z229" i="38" s="1"/>
  <c r="Y221" i="38"/>
  <c r="Z221" i="38" s="1"/>
  <c r="Y213" i="38"/>
  <c r="Z213" i="38" s="1"/>
  <c r="Y205" i="38"/>
  <c r="Z205" i="38" s="1"/>
  <c r="Y197" i="38"/>
  <c r="Z197" i="38" s="1"/>
  <c r="X266" i="38"/>
  <c r="Z266" i="38" s="1"/>
  <c r="X262" i="38"/>
  <c r="Z262" i="38" s="1"/>
  <c r="X258" i="38"/>
  <c r="Z258" i="38" s="1"/>
  <c r="X254" i="38"/>
  <c r="Z254" i="38" s="1"/>
  <c r="X250" i="38"/>
  <c r="Z250" i="38" s="1"/>
  <c r="X246" i="38"/>
  <c r="Z246" i="38" s="1"/>
  <c r="X242" i="38"/>
  <c r="Z242" i="38" s="1"/>
  <c r="X238" i="38"/>
  <c r="Z238" i="38" s="1"/>
  <c r="X234" i="38"/>
  <c r="Z234" i="38" s="1"/>
  <c r="X230" i="38"/>
  <c r="Z230" i="38" s="1"/>
  <c r="X226" i="38"/>
  <c r="Z226" i="38" s="1"/>
  <c r="X222" i="38"/>
  <c r="Z222" i="38" s="1"/>
  <c r="X218" i="38"/>
  <c r="Z218" i="38" s="1"/>
  <c r="X214" i="38"/>
  <c r="Z214" i="38" s="1"/>
  <c r="X210" i="38"/>
  <c r="Z210" i="38" s="1"/>
  <c r="X206" i="38"/>
  <c r="Z206" i="38" s="1"/>
  <c r="X202" i="38"/>
  <c r="Z202" i="38" s="1"/>
  <c r="X198" i="38"/>
  <c r="Z198" i="38" s="1"/>
  <c r="X194" i="38"/>
  <c r="Z194" i="38" s="1"/>
  <c r="X190" i="38"/>
  <c r="Z190" i="38" s="1"/>
  <c r="X270" i="38"/>
  <c r="Z270" i="38" s="1"/>
  <c r="Z282" i="38"/>
  <c r="Z281" i="38"/>
  <c r="Z169" i="38"/>
  <c r="F100" i="69"/>
  <c r="F101" i="69"/>
  <c r="H52" i="69"/>
  <c r="H53" i="69"/>
  <c r="H54" i="69"/>
  <c r="H55" i="69"/>
  <c r="H57" i="69"/>
  <c r="F52" i="69"/>
  <c r="F53" i="69"/>
  <c r="F54" i="69"/>
  <c r="F55" i="69"/>
  <c r="F56" i="69"/>
  <c r="F57" i="69"/>
  <c r="E52" i="69"/>
  <c r="E53" i="69"/>
  <c r="E54" i="69"/>
  <c r="E55" i="69"/>
  <c r="E56" i="69"/>
  <c r="E57" i="69"/>
  <c r="AT4" i="66"/>
  <c r="O2" i="66"/>
  <c r="X203" i="38" l="1"/>
  <c r="X219" i="38"/>
  <c r="X267" i="38"/>
  <c r="Z267" i="38" s="1"/>
  <c r="X201" i="38"/>
  <c r="Z201" i="38" s="1"/>
  <c r="Y271" i="38"/>
  <c r="Z271" i="38" s="1"/>
  <c r="X164" i="38"/>
  <c r="Z164" i="38" s="1"/>
  <c r="X235" i="38"/>
  <c r="X160" i="38"/>
  <c r="Z160" i="38" s="1"/>
  <c r="Y233" i="38"/>
  <c r="Z233" i="38" s="1"/>
  <c r="X165" i="38"/>
  <c r="Z165" i="38" s="1"/>
  <c r="X167" i="38"/>
  <c r="Z167" i="38" s="1"/>
  <c r="Y189" i="38"/>
  <c r="Z189" i="38" s="1"/>
  <c r="Y273" i="38"/>
  <c r="Z273" i="38" s="1"/>
  <c r="Y193" i="38"/>
  <c r="Z193" i="38" s="1"/>
  <c r="Z219" i="38"/>
  <c r="Z155" i="38"/>
  <c r="X239" i="38"/>
  <c r="Z239" i="38" s="1"/>
  <c r="Z275" i="38"/>
  <c r="Z159" i="38"/>
  <c r="Z243" i="38"/>
  <c r="Z278" i="38"/>
  <c r="Z274" i="38"/>
  <c r="Z171" i="38"/>
  <c r="Z259" i="38"/>
  <c r="X191" i="38"/>
  <c r="Z191" i="38" s="1"/>
  <c r="X223" i="38"/>
  <c r="Z223" i="38" s="1"/>
  <c r="X227" i="38"/>
  <c r="Z227" i="38" s="1"/>
  <c r="Z163" i="38"/>
  <c r="X211" i="38"/>
  <c r="Z211" i="38" s="1"/>
  <c r="Z179" i="38"/>
  <c r="X255" i="38"/>
  <c r="Z255" i="38" s="1"/>
  <c r="X207" i="38"/>
  <c r="Z207" i="38" s="1"/>
  <c r="X215" i="38"/>
  <c r="Z215" i="38" s="1"/>
  <c r="X195" i="38"/>
  <c r="Z195" i="38" s="1"/>
  <c r="X199" i="38"/>
  <c r="Z199" i="38" s="1"/>
  <c r="Z183" i="38"/>
  <c r="X247" i="38"/>
  <c r="Z247" i="38" s="1"/>
  <c r="Z269" i="38"/>
  <c r="Z203" i="38"/>
  <c r="Z251" i="38"/>
  <c r="Z175" i="38"/>
  <c r="Z187" i="38"/>
  <c r="Z235" i="38"/>
  <c r="X231" i="38"/>
  <c r="Z231" i="38" s="1"/>
  <c r="X276" i="38"/>
  <c r="Y276" i="38"/>
  <c r="X188" i="38"/>
  <c r="Z188" i="38" s="1"/>
  <c r="J287" i="38"/>
  <c r="J288" i="38"/>
  <c r="J291" i="38"/>
  <c r="J289" i="38"/>
  <c r="J290" i="38"/>
  <c r="X184" i="38"/>
  <c r="Y184" i="38"/>
  <c r="Y200" i="38"/>
  <c r="X200" i="38"/>
  <c r="Y216" i="38"/>
  <c r="X216" i="38"/>
  <c r="Y232" i="38"/>
  <c r="X232" i="38"/>
  <c r="Y248" i="38"/>
  <c r="X248" i="38"/>
  <c r="Y264" i="38"/>
  <c r="X264" i="38"/>
  <c r="X204" i="38"/>
  <c r="Y204" i="38"/>
  <c r="X220" i="38"/>
  <c r="Y220" i="38"/>
  <c r="X236" i="38"/>
  <c r="Y236" i="38"/>
  <c r="X252" i="38"/>
  <c r="Y252" i="38"/>
  <c r="X268" i="38"/>
  <c r="Y268" i="38"/>
  <c r="X249" i="38"/>
  <c r="Y249" i="38"/>
  <c r="X257" i="38"/>
  <c r="Y257" i="38"/>
  <c r="X241" i="38"/>
  <c r="Y241" i="38"/>
  <c r="Y192" i="38"/>
  <c r="X192" i="38"/>
  <c r="Y208" i="38"/>
  <c r="X208" i="38"/>
  <c r="Y224" i="38"/>
  <c r="X224" i="38"/>
  <c r="Y240" i="38"/>
  <c r="X240" i="38"/>
  <c r="Y256" i="38"/>
  <c r="X256" i="38"/>
  <c r="X272" i="38"/>
  <c r="Y272" i="38"/>
  <c r="X277" i="38"/>
  <c r="Y277" i="38"/>
  <c r="X196" i="38"/>
  <c r="Y196" i="38"/>
  <c r="X212" i="38"/>
  <c r="Y212" i="38"/>
  <c r="X228" i="38"/>
  <c r="Y228" i="38"/>
  <c r="X244" i="38"/>
  <c r="Y244" i="38"/>
  <c r="X260" i="38"/>
  <c r="Y260" i="38"/>
  <c r="X280" i="38"/>
  <c r="Y280" i="38"/>
  <c r="X245" i="38"/>
  <c r="Y245" i="38"/>
  <c r="X253" i="38"/>
  <c r="Y253" i="38"/>
  <c r="X261" i="38"/>
  <c r="Y261" i="38"/>
  <c r="J280" i="38"/>
  <c r="AC280" i="38" s="1"/>
  <c r="J284" i="38"/>
  <c r="J285" i="38"/>
  <c r="J286" i="38"/>
  <c r="G286" i="38" s="1"/>
  <c r="J165" i="38"/>
  <c r="J181" i="38"/>
  <c r="J197" i="38"/>
  <c r="J213" i="38"/>
  <c r="J229" i="38"/>
  <c r="J162" i="38"/>
  <c r="J178" i="38"/>
  <c r="J241" i="38"/>
  <c r="J257" i="38"/>
  <c r="J273" i="38"/>
  <c r="J190" i="38"/>
  <c r="J206" i="38"/>
  <c r="J222" i="38"/>
  <c r="J238" i="38"/>
  <c r="J254" i="38"/>
  <c r="J270" i="38"/>
  <c r="J239" i="38"/>
  <c r="J247" i="38"/>
  <c r="J255" i="38"/>
  <c r="J263" i="38"/>
  <c r="J271" i="38"/>
  <c r="J279" i="38"/>
  <c r="J188" i="38"/>
  <c r="J204" i="38"/>
  <c r="J220" i="38"/>
  <c r="J236" i="38"/>
  <c r="J252" i="38"/>
  <c r="J268" i="38"/>
  <c r="J153" i="38"/>
  <c r="J169" i="38"/>
  <c r="J185" i="38"/>
  <c r="J201" i="38"/>
  <c r="J217" i="38"/>
  <c r="J233" i="38"/>
  <c r="J166" i="38"/>
  <c r="J182" i="38"/>
  <c r="J245" i="38"/>
  <c r="J261" i="38"/>
  <c r="J277" i="38"/>
  <c r="J194" i="38"/>
  <c r="J210" i="38"/>
  <c r="J226" i="38"/>
  <c r="J242" i="38"/>
  <c r="J258" i="38"/>
  <c r="J274" i="38"/>
  <c r="J195" i="38"/>
  <c r="J211" i="38"/>
  <c r="J227" i="38"/>
  <c r="J192" i="38"/>
  <c r="J208" i="38"/>
  <c r="J224" i="38"/>
  <c r="J240" i="38"/>
  <c r="J256" i="38"/>
  <c r="J272" i="38"/>
  <c r="J157" i="38"/>
  <c r="J173" i="38"/>
  <c r="J189" i="38"/>
  <c r="J205" i="38"/>
  <c r="J221" i="38"/>
  <c r="J154" i="38"/>
  <c r="J170" i="38"/>
  <c r="J186" i="38"/>
  <c r="J249" i="38"/>
  <c r="J265" i="38"/>
  <c r="J198" i="38"/>
  <c r="J214" i="38"/>
  <c r="J230" i="38"/>
  <c r="J246" i="38"/>
  <c r="J262" i="38"/>
  <c r="J278" i="38"/>
  <c r="J155" i="38"/>
  <c r="J163" i="38"/>
  <c r="J171" i="38"/>
  <c r="J179" i="38"/>
  <c r="J187" i="38"/>
  <c r="J203" i="38"/>
  <c r="J219" i="38"/>
  <c r="J235" i="38"/>
  <c r="J243" i="38"/>
  <c r="J251" i="38"/>
  <c r="J259" i="38"/>
  <c r="J267" i="38"/>
  <c r="J275" i="38"/>
  <c r="J156" i="38"/>
  <c r="J164" i="38"/>
  <c r="J172" i="38"/>
  <c r="J180" i="38"/>
  <c r="J196" i="38"/>
  <c r="J212" i="38"/>
  <c r="J228" i="38"/>
  <c r="J244" i="38"/>
  <c r="J260" i="38"/>
  <c r="J276" i="38"/>
  <c r="J161" i="38"/>
  <c r="J177" i="38"/>
  <c r="J193" i="38"/>
  <c r="J209" i="38"/>
  <c r="J225" i="38"/>
  <c r="J158" i="38"/>
  <c r="J174" i="38"/>
  <c r="J237" i="38"/>
  <c r="J253" i="38"/>
  <c r="J269" i="38"/>
  <c r="J202" i="38"/>
  <c r="J218" i="38"/>
  <c r="J234" i="38"/>
  <c r="J250" i="38"/>
  <c r="J266" i="38"/>
  <c r="J159" i="38"/>
  <c r="J167" i="38"/>
  <c r="J175" i="38"/>
  <c r="J183" i="38"/>
  <c r="J191" i="38"/>
  <c r="J199" i="38"/>
  <c r="J207" i="38"/>
  <c r="J215" i="38"/>
  <c r="J223" i="38"/>
  <c r="J231" i="38"/>
  <c r="J160" i="38"/>
  <c r="J168" i="38"/>
  <c r="J176" i="38"/>
  <c r="J184" i="38"/>
  <c r="J200" i="38"/>
  <c r="J216" i="38"/>
  <c r="J232" i="38"/>
  <c r="J248" i="38"/>
  <c r="J264" i="38"/>
  <c r="A505" i="11"/>
  <c r="H505" i="11" s="1"/>
  <c r="A501" i="11"/>
  <c r="H501" i="11" s="1"/>
  <c r="A502" i="11"/>
  <c r="H502" i="11" s="1"/>
  <c r="A503" i="11"/>
  <c r="L503" i="11" s="1"/>
  <c r="A504" i="11"/>
  <c r="F504" i="11" s="1"/>
  <c r="A490" i="11"/>
  <c r="D490" i="11" s="1"/>
  <c r="A491" i="11"/>
  <c r="D491" i="11" s="1"/>
  <c r="A492" i="11"/>
  <c r="H492" i="11" s="1"/>
  <c r="A493" i="11"/>
  <c r="L493" i="11" s="1"/>
  <c r="A494" i="11"/>
  <c r="D494" i="11" s="1"/>
  <c r="A495" i="11"/>
  <c r="D495" i="11" s="1"/>
  <c r="A496" i="11"/>
  <c r="H496" i="11" s="1"/>
  <c r="A497" i="11"/>
  <c r="E497" i="11" s="1"/>
  <c r="A498" i="11"/>
  <c r="D498" i="11" s="1"/>
  <c r="A499" i="11"/>
  <c r="D499" i="11" s="1"/>
  <c r="A500" i="11"/>
  <c r="H500" i="11" s="1"/>
  <c r="AC284" i="38" l="1"/>
  <c r="G284" i="38"/>
  <c r="Z244" i="38"/>
  <c r="Z212" i="38"/>
  <c r="Z268" i="38"/>
  <c r="Z236" i="38"/>
  <c r="Z204" i="38"/>
  <c r="Z184" i="38"/>
  <c r="Z260" i="38"/>
  <c r="Z228" i="38"/>
  <c r="Z196" i="38"/>
  <c r="Z252" i="38"/>
  <c r="Z220" i="38"/>
  <c r="Z276" i="38"/>
  <c r="G289" i="38"/>
  <c r="AC289" i="38"/>
  <c r="AC288" i="38"/>
  <c r="G288" i="38"/>
  <c r="G290" i="38"/>
  <c r="AC290" i="38"/>
  <c r="G287" i="38"/>
  <c r="AC287" i="38"/>
  <c r="Z261" i="38"/>
  <c r="Z245" i="38"/>
  <c r="Z272" i="38"/>
  <c r="Z240" i="38"/>
  <c r="Z208" i="38"/>
  <c r="Z241" i="38"/>
  <c r="Z249" i="38"/>
  <c r="Z264" i="38"/>
  <c r="Z232" i="38"/>
  <c r="Z200" i="38"/>
  <c r="Z253" i="38"/>
  <c r="Z280" i="38"/>
  <c r="Z277" i="38"/>
  <c r="Z256" i="38"/>
  <c r="Z224" i="38"/>
  <c r="Z192" i="38"/>
  <c r="Z257" i="38"/>
  <c r="Z248" i="38"/>
  <c r="Z216" i="38"/>
  <c r="G280" i="38"/>
  <c r="G283" i="38"/>
  <c r="AC283" i="38"/>
  <c r="AC285" i="38"/>
  <c r="G285" i="38"/>
  <c r="G281" i="38"/>
  <c r="AC281" i="38"/>
  <c r="AC248" i="38"/>
  <c r="G248" i="38"/>
  <c r="G184" i="38"/>
  <c r="AC184" i="38"/>
  <c r="G231" i="38"/>
  <c r="AC231" i="38"/>
  <c r="G199" i="38"/>
  <c r="AC199" i="38"/>
  <c r="G167" i="38"/>
  <c r="AC167" i="38"/>
  <c r="G234" i="38"/>
  <c r="AC234" i="38"/>
  <c r="G253" i="38"/>
  <c r="AC253" i="38"/>
  <c r="G225" i="38"/>
  <c r="AC225" i="38"/>
  <c r="G161" i="38"/>
  <c r="AC161" i="38"/>
  <c r="AC228" i="38"/>
  <c r="G228" i="38"/>
  <c r="G172" i="38"/>
  <c r="AC172" i="38"/>
  <c r="G267" i="38"/>
  <c r="AC267" i="38"/>
  <c r="G235" i="38"/>
  <c r="AC235" i="38"/>
  <c r="G179" i="38"/>
  <c r="AC179" i="38"/>
  <c r="G278" i="38"/>
  <c r="AC278" i="38"/>
  <c r="G214" i="38"/>
  <c r="AC214" i="38"/>
  <c r="G186" i="38"/>
  <c r="AC186" i="38"/>
  <c r="G205" i="38"/>
  <c r="AC205" i="38"/>
  <c r="G272" i="38"/>
  <c r="AC272" i="38"/>
  <c r="G208" i="38"/>
  <c r="AC208" i="38"/>
  <c r="G195" i="38"/>
  <c r="AC195" i="38"/>
  <c r="G226" i="38"/>
  <c r="AC226" i="38"/>
  <c r="G261" i="38"/>
  <c r="AC261" i="38"/>
  <c r="G233" i="38"/>
  <c r="AC233" i="38"/>
  <c r="G169" i="38"/>
  <c r="AC169" i="38"/>
  <c r="G236" i="38"/>
  <c r="AC236" i="38"/>
  <c r="G279" i="38"/>
  <c r="AC279" i="38"/>
  <c r="G247" i="38"/>
  <c r="AC247" i="38"/>
  <c r="G238" i="38"/>
  <c r="AC238" i="38"/>
  <c r="G273" i="38"/>
  <c r="AC273" i="38"/>
  <c r="G162" i="38"/>
  <c r="AC162" i="38"/>
  <c r="G181" i="38"/>
  <c r="AC181" i="38"/>
  <c r="AC232" i="38"/>
  <c r="G232" i="38"/>
  <c r="G176" i="38"/>
  <c r="AC176" i="38"/>
  <c r="G223" i="38"/>
  <c r="AC223" i="38"/>
  <c r="G191" i="38"/>
  <c r="AC191" i="38"/>
  <c r="G159" i="38"/>
  <c r="AC159" i="38"/>
  <c r="G218" i="38"/>
  <c r="AC218" i="38"/>
  <c r="G237" i="38"/>
  <c r="AC237" i="38"/>
  <c r="G209" i="38"/>
  <c r="AC209" i="38"/>
  <c r="AC276" i="38"/>
  <c r="G276" i="38"/>
  <c r="AC212" i="38"/>
  <c r="G212" i="38"/>
  <c r="G164" i="38"/>
  <c r="AC164" i="38"/>
  <c r="G259" i="38"/>
  <c r="AC259" i="38"/>
  <c r="G219" i="38"/>
  <c r="AC219" i="38"/>
  <c r="G171" i="38"/>
  <c r="AC171" i="38"/>
  <c r="G262" i="38"/>
  <c r="AC262" i="38"/>
  <c r="G198" i="38"/>
  <c r="AC198" i="38"/>
  <c r="G170" i="38"/>
  <c r="AC170" i="38"/>
  <c r="G189" i="38"/>
  <c r="AC189" i="38"/>
  <c r="G256" i="38"/>
  <c r="AC256" i="38"/>
  <c r="G192" i="38"/>
  <c r="AC192" i="38"/>
  <c r="G274" i="38"/>
  <c r="AC274" i="38"/>
  <c r="G210" i="38"/>
  <c r="AC210" i="38"/>
  <c r="G245" i="38"/>
  <c r="AC245" i="38"/>
  <c r="G217" i="38"/>
  <c r="AC217" i="38"/>
  <c r="G153" i="38"/>
  <c r="AC153" i="38"/>
  <c r="G220" i="38"/>
  <c r="AC220" i="38"/>
  <c r="G271" i="38"/>
  <c r="AC271" i="38"/>
  <c r="G239" i="38"/>
  <c r="AC239" i="38"/>
  <c r="G222" i="38"/>
  <c r="AC222" i="38"/>
  <c r="G257" i="38"/>
  <c r="AC257" i="38"/>
  <c r="G229" i="38"/>
  <c r="AC229" i="38"/>
  <c r="G165" i="38"/>
  <c r="AC165" i="38"/>
  <c r="AC216" i="38"/>
  <c r="G216" i="38"/>
  <c r="G168" i="38"/>
  <c r="AC168" i="38"/>
  <c r="G215" i="38"/>
  <c r="AC215" i="38"/>
  <c r="G183" i="38"/>
  <c r="AC183" i="38"/>
  <c r="G266" i="38"/>
  <c r="AC266" i="38"/>
  <c r="G202" i="38"/>
  <c r="AC202" i="38"/>
  <c r="G174" i="38"/>
  <c r="AC174" i="38"/>
  <c r="G193" i="38"/>
  <c r="AC193" i="38"/>
  <c r="AC260" i="38"/>
  <c r="G260" i="38"/>
  <c r="G196" i="38"/>
  <c r="AC196" i="38"/>
  <c r="G156" i="38"/>
  <c r="AC156" i="38"/>
  <c r="G251" i="38"/>
  <c r="AC251" i="38"/>
  <c r="G203" i="38"/>
  <c r="AC203" i="38"/>
  <c r="G163" i="38"/>
  <c r="AC163" i="38"/>
  <c r="G246" i="38"/>
  <c r="AC246" i="38"/>
  <c r="G265" i="38"/>
  <c r="AC265" i="38"/>
  <c r="G154" i="38"/>
  <c r="AC154" i="38"/>
  <c r="G173" i="38"/>
  <c r="AC173" i="38"/>
  <c r="G240" i="38"/>
  <c r="AC240" i="38"/>
  <c r="G227" i="38"/>
  <c r="AC227" i="38"/>
  <c r="G258" i="38"/>
  <c r="AC258" i="38"/>
  <c r="G194" i="38"/>
  <c r="AC194" i="38"/>
  <c r="G182" i="38"/>
  <c r="AC182" i="38"/>
  <c r="G201" i="38"/>
  <c r="AC201" i="38"/>
  <c r="G268" i="38"/>
  <c r="AC268" i="38"/>
  <c r="G204" i="38"/>
  <c r="AC204" i="38"/>
  <c r="G263" i="38"/>
  <c r="AC263" i="38"/>
  <c r="G270" i="38"/>
  <c r="AC270" i="38"/>
  <c r="G206" i="38"/>
  <c r="AC206" i="38"/>
  <c r="G241" i="38"/>
  <c r="AC241" i="38"/>
  <c r="G213" i="38"/>
  <c r="AC213" i="38"/>
  <c r="AC264" i="38"/>
  <c r="G264" i="38"/>
  <c r="G200" i="38"/>
  <c r="AC200" i="38"/>
  <c r="G160" i="38"/>
  <c r="AC160" i="38"/>
  <c r="G207" i="38"/>
  <c r="AC207" i="38"/>
  <c r="G175" i="38"/>
  <c r="AC175" i="38"/>
  <c r="G250" i="38"/>
  <c r="AC250" i="38"/>
  <c r="G269" i="38"/>
  <c r="AC269" i="38"/>
  <c r="G158" i="38"/>
  <c r="AC158" i="38"/>
  <c r="G177" i="38"/>
  <c r="AC177" i="38"/>
  <c r="AC244" i="38"/>
  <c r="G244" i="38"/>
  <c r="G180" i="38"/>
  <c r="AC180" i="38"/>
  <c r="G275" i="38"/>
  <c r="AC275" i="38"/>
  <c r="G243" i="38"/>
  <c r="AC243" i="38"/>
  <c r="G187" i="38"/>
  <c r="AC187" i="38"/>
  <c r="G155" i="38"/>
  <c r="AC155" i="38"/>
  <c r="G230" i="38"/>
  <c r="AC230" i="38"/>
  <c r="G249" i="38"/>
  <c r="AC249" i="38"/>
  <c r="G221" i="38"/>
  <c r="AC221" i="38"/>
  <c r="G157" i="38"/>
  <c r="AC157" i="38"/>
  <c r="G224" i="38"/>
  <c r="AC224" i="38"/>
  <c r="G211" i="38"/>
  <c r="AC211" i="38"/>
  <c r="G242" i="38"/>
  <c r="AC242" i="38"/>
  <c r="G277" i="38"/>
  <c r="AC277" i="38"/>
  <c r="G166" i="38"/>
  <c r="AC166" i="38"/>
  <c r="G185" i="38"/>
  <c r="AC185" i="38"/>
  <c r="G252" i="38"/>
  <c r="AC252" i="38"/>
  <c r="G188" i="38"/>
  <c r="AC188" i="38"/>
  <c r="G255" i="38"/>
  <c r="AC255" i="38"/>
  <c r="G254" i="38"/>
  <c r="AC254" i="38"/>
  <c r="G190" i="38"/>
  <c r="AC190" i="38"/>
  <c r="G178" i="38"/>
  <c r="AC178" i="38"/>
  <c r="G197" i="38"/>
  <c r="AC197" i="38"/>
  <c r="J501" i="11"/>
  <c r="I502" i="11"/>
  <c r="V502" i="11" s="1"/>
  <c r="Q502" i="11"/>
  <c r="U502" i="11"/>
  <c r="N504" i="11"/>
  <c r="R504" i="11"/>
  <c r="J504" i="11"/>
  <c r="Q504" i="11"/>
  <c r="I504" i="11"/>
  <c r="O504" i="11"/>
  <c r="D504" i="11"/>
  <c r="N491" i="11"/>
  <c r="U493" i="11"/>
  <c r="N490" i="11"/>
  <c r="N496" i="11"/>
  <c r="O490" i="11"/>
  <c r="J497" i="11"/>
  <c r="K493" i="11"/>
  <c r="J491" i="11"/>
  <c r="K490" i="11"/>
  <c r="R497" i="11"/>
  <c r="N497" i="11"/>
  <c r="M493" i="11"/>
  <c r="R499" i="11"/>
  <c r="U500" i="11"/>
  <c r="N499" i="11"/>
  <c r="J498" i="11"/>
  <c r="I497" i="11"/>
  <c r="N494" i="11"/>
  <c r="D500" i="11"/>
  <c r="J499" i="11"/>
  <c r="N498" i="11"/>
  <c r="H498" i="11"/>
  <c r="O497" i="11"/>
  <c r="D497" i="11"/>
  <c r="I496" i="11"/>
  <c r="V496" i="11" s="1"/>
  <c r="R494" i="11"/>
  <c r="J494" i="11"/>
  <c r="N493" i="11"/>
  <c r="U492" i="11"/>
  <c r="J490" i="11"/>
  <c r="D496" i="11"/>
  <c r="P494" i="11"/>
  <c r="H494" i="11"/>
  <c r="L498" i="11"/>
  <c r="R498" i="11"/>
  <c r="K498" i="11"/>
  <c r="O494" i="11"/>
  <c r="O498" i="11"/>
  <c r="Q497" i="11"/>
  <c r="M496" i="11"/>
  <c r="R493" i="11"/>
  <c r="J493" i="11"/>
  <c r="N492" i="11"/>
  <c r="O502" i="11"/>
  <c r="R501" i="11"/>
  <c r="R505" i="11"/>
  <c r="F503" i="11"/>
  <c r="F495" i="11"/>
  <c r="E504" i="11"/>
  <c r="E496" i="11"/>
  <c r="Q492" i="11"/>
  <c r="N500" i="11"/>
  <c r="M500" i="11"/>
  <c r="M497" i="11"/>
  <c r="U496" i="11"/>
  <c r="Q493" i="11"/>
  <c r="I493" i="11"/>
  <c r="M492" i="11"/>
  <c r="H490" i="11"/>
  <c r="M504" i="11"/>
  <c r="R503" i="11"/>
  <c r="N502" i="11"/>
  <c r="P501" i="11"/>
  <c r="O505" i="11"/>
  <c r="F502" i="11"/>
  <c r="F494" i="11"/>
  <c r="E503" i="11"/>
  <c r="E495" i="11"/>
  <c r="L504" i="11"/>
  <c r="N503" i="11"/>
  <c r="M502" i="11"/>
  <c r="O501" i="11"/>
  <c r="N505" i="11"/>
  <c r="F501" i="11"/>
  <c r="F493" i="11"/>
  <c r="E502" i="11"/>
  <c r="E494" i="11"/>
  <c r="J500" i="11"/>
  <c r="L497" i="11"/>
  <c r="R496" i="11"/>
  <c r="R495" i="11"/>
  <c r="L494" i="11"/>
  <c r="P493" i="11"/>
  <c r="H493" i="11"/>
  <c r="J492" i="11"/>
  <c r="R490" i="11"/>
  <c r="I500" i="11"/>
  <c r="V500" i="11" s="1"/>
  <c r="P498" i="11"/>
  <c r="U497" i="11"/>
  <c r="K497" i="11"/>
  <c r="Q496" i="11"/>
  <c r="N495" i="11"/>
  <c r="K494" i="11"/>
  <c r="O493" i="11"/>
  <c r="D493" i="11"/>
  <c r="I492" i="11"/>
  <c r="P490" i="11"/>
  <c r="U504" i="11"/>
  <c r="K504" i="11"/>
  <c r="J503" i="11"/>
  <c r="K502" i="11"/>
  <c r="N501" i="11"/>
  <c r="K505" i="11"/>
  <c r="F500" i="11"/>
  <c r="F492" i="11"/>
  <c r="E501" i="11"/>
  <c r="E493" i="11"/>
  <c r="J495" i="11"/>
  <c r="D492" i="11"/>
  <c r="J502" i="11"/>
  <c r="L501" i="11"/>
  <c r="J505" i="11"/>
  <c r="F499" i="11"/>
  <c r="F491" i="11"/>
  <c r="E500" i="11"/>
  <c r="E492" i="11"/>
  <c r="F498" i="11"/>
  <c r="F490" i="11"/>
  <c r="E499" i="11"/>
  <c r="E491" i="11"/>
  <c r="R500" i="11"/>
  <c r="P497" i="11"/>
  <c r="H497" i="11"/>
  <c r="J496" i="11"/>
  <c r="R492" i="11"/>
  <c r="R491" i="11"/>
  <c r="L490" i="11"/>
  <c r="P504" i="11"/>
  <c r="H504" i="11"/>
  <c r="R502" i="11"/>
  <c r="D502" i="11"/>
  <c r="F505" i="11"/>
  <c r="F497" i="11"/>
  <c r="E498" i="11"/>
  <c r="E490" i="11"/>
  <c r="Q500" i="11"/>
  <c r="F496" i="11"/>
  <c r="E505" i="11"/>
  <c r="U505" i="11"/>
  <c r="Q505" i="11"/>
  <c r="M505" i="11"/>
  <c r="I505" i="11"/>
  <c r="D505" i="11"/>
  <c r="P505" i="11"/>
  <c r="L505" i="11"/>
  <c r="P503" i="11"/>
  <c r="H503" i="11"/>
  <c r="O503" i="11"/>
  <c r="K503" i="11"/>
  <c r="P502" i="11"/>
  <c r="L502" i="11"/>
  <c r="U501" i="11"/>
  <c r="Q501" i="11"/>
  <c r="M501" i="11"/>
  <c r="I501" i="11"/>
  <c r="D501" i="11"/>
  <c r="U503" i="11"/>
  <c r="Q503" i="11"/>
  <c r="M503" i="11"/>
  <c r="I503" i="11"/>
  <c r="D503" i="11"/>
  <c r="K501" i="11"/>
  <c r="O500" i="11"/>
  <c r="K500" i="11"/>
  <c r="P499" i="11"/>
  <c r="L499" i="11"/>
  <c r="H499" i="11"/>
  <c r="U498" i="11"/>
  <c r="Q498" i="11"/>
  <c r="M498" i="11"/>
  <c r="I498" i="11"/>
  <c r="O496" i="11"/>
  <c r="K496" i="11"/>
  <c r="P495" i="11"/>
  <c r="L495" i="11"/>
  <c r="H495" i="11"/>
  <c r="U494" i="11"/>
  <c r="Q494" i="11"/>
  <c r="M494" i="11"/>
  <c r="I494" i="11"/>
  <c r="O492" i="11"/>
  <c r="K492" i="11"/>
  <c r="P491" i="11"/>
  <c r="L491" i="11"/>
  <c r="H491" i="11"/>
  <c r="U490" i="11"/>
  <c r="Q490" i="11"/>
  <c r="M490" i="11"/>
  <c r="I490" i="11"/>
  <c r="O499" i="11"/>
  <c r="K499" i="11"/>
  <c r="O495" i="11"/>
  <c r="K495" i="11"/>
  <c r="O491" i="11"/>
  <c r="K491" i="11"/>
  <c r="P500" i="11"/>
  <c r="L500" i="11"/>
  <c r="U499" i="11"/>
  <c r="Q499" i="11"/>
  <c r="M499" i="11"/>
  <c r="I499" i="11"/>
  <c r="P496" i="11"/>
  <c r="L496" i="11"/>
  <c r="U495" i="11"/>
  <c r="Q495" i="11"/>
  <c r="M495" i="11"/>
  <c r="I495" i="11"/>
  <c r="P492" i="11"/>
  <c r="L492" i="11"/>
  <c r="U491" i="11"/>
  <c r="Q491" i="11"/>
  <c r="M491" i="11"/>
  <c r="I491" i="11"/>
  <c r="K32" i="12"/>
  <c r="K31" i="12"/>
  <c r="K30" i="12"/>
  <c r="K29" i="12"/>
  <c r="K28" i="12"/>
  <c r="K27" i="12"/>
  <c r="K24" i="12"/>
  <c r="K23" i="12"/>
  <c r="K22" i="12"/>
  <c r="K21" i="12"/>
  <c r="K20" i="12"/>
  <c r="K19" i="12"/>
  <c r="K18" i="12"/>
  <c r="K17" i="12"/>
  <c r="K15" i="12"/>
  <c r="K14" i="12"/>
  <c r="K13" i="12"/>
  <c r="K12" i="12"/>
  <c r="K11" i="12"/>
  <c r="K10" i="12"/>
  <c r="K9" i="12"/>
  <c r="K8" i="12"/>
  <c r="K7" i="12"/>
  <c r="K6" i="12"/>
  <c r="K4" i="12"/>
  <c r="K3" i="12"/>
  <c r="J15" i="12"/>
  <c r="J14" i="12"/>
  <c r="J3" i="12"/>
  <c r="T503" i="11" l="1"/>
  <c r="S505" i="11"/>
  <c r="S504" i="11"/>
  <c r="V504" i="11"/>
  <c r="T505" i="11"/>
  <c r="T492" i="11"/>
  <c r="T494" i="11"/>
  <c r="S494" i="11"/>
  <c r="S498" i="11"/>
  <c r="T499" i="11"/>
  <c r="S495" i="11"/>
  <c r="S491" i="11"/>
  <c r="S492" i="11"/>
  <c r="T497" i="11"/>
  <c r="S496" i="11"/>
  <c r="V497" i="11"/>
  <c r="S502" i="11"/>
  <c r="T498" i="11"/>
  <c r="S493" i="11"/>
  <c r="S500" i="11"/>
  <c r="S497" i="11"/>
  <c r="S503" i="11"/>
  <c r="S501" i="11"/>
  <c r="T493" i="11"/>
  <c r="V493" i="11"/>
  <c r="S499" i="11"/>
  <c r="V492" i="11"/>
  <c r="T495" i="11"/>
  <c r="T496" i="11"/>
  <c r="V491" i="11"/>
  <c r="V494" i="11"/>
  <c r="V505" i="11"/>
  <c r="T501" i="11"/>
  <c r="V501" i="11"/>
  <c r="T504" i="11"/>
  <c r="V503" i="11"/>
  <c r="T502" i="11"/>
  <c r="V495" i="11"/>
  <c r="V490" i="11"/>
  <c r="V498" i="11"/>
  <c r="T491" i="11"/>
  <c r="V499" i="11"/>
  <c r="T500" i="11"/>
  <c r="B146" i="38"/>
  <c r="J4" i="12"/>
  <c r="J6" i="12"/>
  <c r="J7" i="12"/>
  <c r="J8" i="12"/>
  <c r="J9" i="12"/>
  <c r="J10" i="12"/>
  <c r="J11" i="12"/>
  <c r="J12" i="12"/>
  <c r="J13" i="12"/>
  <c r="J17" i="12"/>
  <c r="J18" i="12"/>
  <c r="J19" i="12"/>
  <c r="J20" i="12"/>
  <c r="J21" i="12"/>
  <c r="J22" i="12"/>
  <c r="J23" i="12"/>
  <c r="J24" i="12"/>
  <c r="J27" i="12"/>
  <c r="J28" i="12"/>
  <c r="J29" i="12"/>
  <c r="J30" i="12"/>
  <c r="J31" i="12"/>
  <c r="J32" i="12"/>
  <c r="F98" i="38"/>
  <c r="AJ145" i="38"/>
  <c r="AJ144" i="38"/>
  <c r="AJ143" i="38"/>
  <c r="AJ142" i="38"/>
  <c r="AJ141" i="38"/>
  <c r="AJ140" i="38"/>
  <c r="AJ139" i="38"/>
  <c r="AJ138" i="38"/>
  <c r="AJ137" i="38"/>
  <c r="AJ136" i="38"/>
  <c r="AJ135" i="38"/>
  <c r="AJ134" i="38"/>
  <c r="AJ133" i="38"/>
  <c r="AJ132" i="38"/>
  <c r="AJ131" i="38"/>
  <c r="AJ130" i="38"/>
  <c r="AJ129" i="38"/>
  <c r="AJ128" i="38"/>
  <c r="AJ127" i="38"/>
  <c r="AJ126" i="38"/>
  <c r="AJ125" i="38"/>
  <c r="AJ124" i="38"/>
  <c r="AJ123" i="38"/>
  <c r="AJ122" i="38"/>
  <c r="AJ121" i="38"/>
  <c r="AJ120" i="38"/>
  <c r="AJ119" i="38"/>
  <c r="AJ118" i="38"/>
  <c r="AJ117" i="38"/>
  <c r="AJ116" i="38"/>
  <c r="AJ115" i="38"/>
  <c r="AJ114" i="38"/>
  <c r="AJ113" i="38"/>
  <c r="AJ15" i="38"/>
  <c r="AJ9" i="38"/>
  <c r="AJ112" i="38"/>
  <c r="AJ111" i="38"/>
  <c r="AJ110" i="38"/>
  <c r="AJ109" i="38"/>
  <c r="AJ108" i="38"/>
  <c r="AJ107" i="38"/>
  <c r="AJ106" i="38"/>
  <c r="AJ105" i="38"/>
  <c r="AJ104" i="38"/>
  <c r="AJ103" i="38"/>
  <c r="AJ5" i="38"/>
  <c r="AJ96" i="38"/>
  <c r="AJ93" i="38"/>
  <c r="AJ84" i="38"/>
  <c r="AJ57" i="38"/>
  <c r="AJ56" i="38"/>
  <c r="AJ51" i="38"/>
  <c r="AJ50" i="38"/>
  <c r="AJ48" i="38"/>
  <c r="AJ38" i="38"/>
  <c r="AJ100" i="38"/>
  <c r="AJ92" i="38"/>
  <c r="AJ88" i="38"/>
  <c r="AJ87" i="38"/>
  <c r="AJ83" i="38"/>
  <c r="AJ76" i="38"/>
  <c r="AJ74" i="38"/>
  <c r="AJ73" i="38"/>
  <c r="AJ58" i="38"/>
  <c r="AJ55" i="38"/>
  <c r="AJ54" i="38"/>
  <c r="AJ49" i="38"/>
  <c r="AJ45" i="38"/>
  <c r="AJ26" i="38"/>
  <c r="AJ102" i="38"/>
  <c r="AJ101" i="38"/>
  <c r="AJ99" i="38"/>
  <c r="AJ98" i="38"/>
  <c r="AJ97" i="38"/>
  <c r="AJ95" i="38"/>
  <c r="AJ94" i="38"/>
  <c r="AJ91" i="38"/>
  <c r="AJ90" i="38"/>
  <c r="AJ89" i="38"/>
  <c r="AJ86" i="38"/>
  <c r="AJ85" i="38"/>
  <c r="AJ82" i="38"/>
  <c r="AJ81" i="38"/>
  <c r="AJ80" i="38"/>
  <c r="AJ79" i="38"/>
  <c r="AJ78" i="38"/>
  <c r="AJ77" i="38"/>
  <c r="AJ75" i="38"/>
  <c r="AJ72" i="38"/>
  <c r="AJ71" i="38"/>
  <c r="AJ70" i="38"/>
  <c r="AJ69" i="38"/>
  <c r="AJ68" i="38"/>
  <c r="AJ67" i="38"/>
  <c r="AJ66" i="38"/>
  <c r="AJ65" i="38"/>
  <c r="AJ64" i="38"/>
  <c r="AJ63" i="38"/>
  <c r="AJ62" i="38"/>
  <c r="AJ61" i="38"/>
  <c r="AJ60" i="38"/>
  <c r="AJ59" i="38"/>
  <c r="AJ53" i="38"/>
  <c r="AJ52" i="38"/>
  <c r="AJ47" i="38"/>
  <c r="AJ46" i="38"/>
  <c r="AJ44" i="38"/>
  <c r="AJ42" i="38"/>
  <c r="AJ41" i="38"/>
  <c r="AJ40" i="38"/>
  <c r="AJ39" i="38"/>
  <c r="AJ37" i="38"/>
  <c r="AJ36" i="38"/>
  <c r="AJ35" i="38"/>
  <c r="AJ34" i="38"/>
  <c r="AJ33" i="38"/>
  <c r="AJ32" i="38"/>
  <c r="AJ31" i="38"/>
  <c r="AJ30" i="38"/>
  <c r="AJ29" i="38"/>
  <c r="AJ28" i="38"/>
  <c r="AJ27" i="38"/>
  <c r="AJ25" i="38"/>
  <c r="AJ23" i="38"/>
  <c r="B12" i="38"/>
  <c r="F12" i="38"/>
  <c r="I12" i="38"/>
  <c r="V12" i="38"/>
  <c r="AF12" i="38"/>
  <c r="AJ12" i="38"/>
  <c r="B11" i="38"/>
  <c r="F11" i="38"/>
  <c r="I11" i="38"/>
  <c r="V11" i="38"/>
  <c r="AD11" i="38"/>
  <c r="AF11" i="38"/>
  <c r="AJ11" i="38"/>
  <c r="B10" i="38"/>
  <c r="F10" i="38"/>
  <c r="I10" i="38"/>
  <c r="V10" i="38"/>
  <c r="AD10" i="38"/>
  <c r="AF10" i="38"/>
  <c r="AJ10" i="38"/>
  <c r="B8" i="38"/>
  <c r="F8" i="38"/>
  <c r="I8" i="38"/>
  <c r="V8" i="38"/>
  <c r="AD8" i="38"/>
  <c r="AF8" i="38"/>
  <c r="AJ8" i="38"/>
  <c r="B7" i="38"/>
  <c r="F7" i="38"/>
  <c r="I7" i="38"/>
  <c r="V7" i="38"/>
  <c r="AD7" i="38"/>
  <c r="AF7" i="38"/>
  <c r="AJ7" i="38"/>
  <c r="B6" i="38"/>
  <c r="F6" i="38"/>
  <c r="I6" i="38"/>
  <c r="V6" i="38"/>
  <c r="AF6" i="38"/>
  <c r="AJ6" i="38"/>
  <c r="B4" i="38"/>
  <c r="F4" i="38"/>
  <c r="I4" i="38"/>
  <c r="V4" i="38"/>
  <c r="AF4" i="38"/>
  <c r="AJ4" i="38"/>
  <c r="B3" i="38"/>
  <c r="F3" i="38"/>
  <c r="AD3" i="38"/>
  <c r="V3" i="38"/>
  <c r="AF3" i="38"/>
  <c r="AJ3" i="38"/>
  <c r="B43" i="38"/>
  <c r="F43" i="38"/>
  <c r="I43" i="38"/>
  <c r="V43" i="38"/>
  <c r="AF43" i="38"/>
  <c r="AJ43" i="38"/>
  <c r="B24" i="38"/>
  <c r="F24" i="38"/>
  <c r="I24" i="38"/>
  <c r="V24" i="38"/>
  <c r="AF24" i="38"/>
  <c r="AJ24" i="38"/>
  <c r="F146" i="38"/>
  <c r="I146" i="38"/>
  <c r="V146" i="38"/>
  <c r="AD146" i="38"/>
  <c r="AF146" i="38"/>
  <c r="AJ146" i="38"/>
  <c r="B147" i="38"/>
  <c r="F147" i="38"/>
  <c r="I147" i="38"/>
  <c r="V147" i="38"/>
  <c r="AD147" i="38"/>
  <c r="AF147" i="38"/>
  <c r="AJ147" i="38"/>
  <c r="B148" i="38"/>
  <c r="F148" i="38"/>
  <c r="AD148" i="38"/>
  <c r="V148" i="38"/>
  <c r="AF148" i="38"/>
  <c r="AJ148" i="38"/>
  <c r="B149" i="38"/>
  <c r="F149" i="38"/>
  <c r="I149" i="38"/>
  <c r="V149" i="38"/>
  <c r="AF149" i="38"/>
  <c r="AJ149" i="38"/>
  <c r="B150" i="38"/>
  <c r="F150" i="38"/>
  <c r="AD150" i="38"/>
  <c r="V150" i="38"/>
  <c r="AF150" i="38"/>
  <c r="AJ150" i="38"/>
  <c r="B151" i="38"/>
  <c r="F151" i="38"/>
  <c r="I151" i="38"/>
  <c r="V151" i="38"/>
  <c r="AF151" i="38"/>
  <c r="AJ151" i="38"/>
  <c r="B152" i="38"/>
  <c r="F152" i="38"/>
  <c r="I152" i="38"/>
  <c r="V152" i="38"/>
  <c r="AF152" i="38"/>
  <c r="AJ152" i="38"/>
  <c r="F23" i="38"/>
  <c r="F145" i="38"/>
  <c r="B247" i="31" l="1"/>
  <c r="B250" i="20"/>
  <c r="B111" i="20"/>
  <c r="B205" i="31"/>
  <c r="B260" i="31"/>
  <c r="B75" i="20"/>
  <c r="B124" i="20"/>
  <c r="B192" i="31"/>
  <c r="B206" i="20"/>
  <c r="B252" i="31"/>
  <c r="B258" i="31"/>
  <c r="B126" i="20"/>
  <c r="B239" i="31"/>
  <c r="B106" i="20"/>
  <c r="B222" i="31"/>
  <c r="B221" i="31"/>
  <c r="B103" i="20"/>
  <c r="B160" i="31"/>
  <c r="B105" i="20"/>
  <c r="B164" i="20"/>
  <c r="B43" i="31"/>
  <c r="B99" i="31"/>
  <c r="B197" i="20"/>
  <c r="B42" i="31"/>
  <c r="B227" i="20"/>
  <c r="B12" i="20"/>
  <c r="B17" i="31"/>
  <c r="B13" i="31"/>
  <c r="B187" i="20"/>
  <c r="B210" i="20"/>
  <c r="B10" i="31"/>
  <c r="AI284" i="38" a="1"/>
  <c r="AI284" i="38" s="1"/>
  <c r="AI281" i="38" a="1"/>
  <c r="AI281" i="38" s="1"/>
  <c r="AI285" i="38" a="1"/>
  <c r="AI285" i="38" s="1"/>
  <c r="AI282" i="38" a="1"/>
  <c r="AI282" i="38" s="1"/>
  <c r="AI286" i="38" a="1"/>
  <c r="AI286" i="38" s="1"/>
  <c r="AI283" i="38" a="1"/>
  <c r="AI283" i="38" s="1"/>
  <c r="W152" i="38"/>
  <c r="Y152" i="38" s="1"/>
  <c r="W150" i="38"/>
  <c r="X150" i="38" s="1"/>
  <c r="W148" i="38"/>
  <c r="X148" i="38" s="1"/>
  <c r="W146" i="38"/>
  <c r="Y146" i="38" s="1"/>
  <c r="W151" i="38"/>
  <c r="X151" i="38" s="1"/>
  <c r="AI154" i="38" a="1"/>
  <c r="AI154" i="38" s="1"/>
  <c r="AI156" i="38" a="1"/>
  <c r="AI156" i="38" s="1"/>
  <c r="AI158" i="38" a="1"/>
  <c r="AI158" i="38" s="1"/>
  <c r="AI160" i="38" a="1"/>
  <c r="AI160" i="38" s="1"/>
  <c r="AI162" i="38" a="1"/>
  <c r="AI162" i="38" s="1"/>
  <c r="AI164" i="38" a="1"/>
  <c r="AI164" i="38" s="1"/>
  <c r="AI166" i="38" a="1"/>
  <c r="AI166" i="38" s="1"/>
  <c r="AI168" i="38" a="1"/>
  <c r="AI168" i="38" s="1"/>
  <c r="AI170" i="38" a="1"/>
  <c r="AI170" i="38" s="1"/>
  <c r="AI172" i="38" a="1"/>
  <c r="AI172" i="38" s="1"/>
  <c r="AI174" i="38" a="1"/>
  <c r="AI174" i="38" s="1"/>
  <c r="AI176" i="38" a="1"/>
  <c r="AI176" i="38" s="1"/>
  <c r="AI178" i="38" a="1"/>
  <c r="AI178" i="38" s="1"/>
  <c r="AI180" i="38" a="1"/>
  <c r="AI180" i="38" s="1"/>
  <c r="AI182" i="38" a="1"/>
  <c r="AI182" i="38" s="1"/>
  <c r="AI184" i="38" a="1"/>
  <c r="AI184" i="38" s="1"/>
  <c r="AI186" i="38" a="1"/>
  <c r="AI186" i="38" s="1"/>
  <c r="AI188" i="38" a="1"/>
  <c r="AI188" i="38" s="1"/>
  <c r="AI190" i="38" a="1"/>
  <c r="AI190" i="38" s="1"/>
  <c r="AI192" i="38" a="1"/>
  <c r="AI192" i="38" s="1"/>
  <c r="AI194" i="38" a="1"/>
  <c r="AI194" i="38" s="1"/>
  <c r="AI196" i="38" a="1"/>
  <c r="AI196" i="38" s="1"/>
  <c r="AI198" i="38" a="1"/>
  <c r="AI198" i="38" s="1"/>
  <c r="AI200" i="38" a="1"/>
  <c r="AI200" i="38" s="1"/>
  <c r="AI202" i="38" a="1"/>
  <c r="AI202" i="38" s="1"/>
  <c r="AI204" i="38" a="1"/>
  <c r="AI204" i="38" s="1"/>
  <c r="AI206" i="38" a="1"/>
  <c r="AI206" i="38" s="1"/>
  <c r="AI208" i="38" a="1"/>
  <c r="AI208" i="38" s="1"/>
  <c r="AI210" i="38" a="1"/>
  <c r="AI210" i="38" s="1"/>
  <c r="AI212" i="38" a="1"/>
  <c r="AI212" i="38" s="1"/>
  <c r="AI214" i="38" a="1"/>
  <c r="AI214" i="38" s="1"/>
  <c r="AI216" i="38" a="1"/>
  <c r="AI216" i="38" s="1"/>
  <c r="AI218" i="38" a="1"/>
  <c r="AI218" i="38" s="1"/>
  <c r="AI220" i="38" a="1"/>
  <c r="AI220" i="38" s="1"/>
  <c r="AI222" i="38" a="1"/>
  <c r="AI222" i="38" s="1"/>
  <c r="AI224" i="38" a="1"/>
  <c r="AI224" i="38" s="1"/>
  <c r="AI226" i="38" a="1"/>
  <c r="AI226" i="38" s="1"/>
  <c r="AI228" i="38" a="1"/>
  <c r="AI228" i="38" s="1"/>
  <c r="AI230" i="38" a="1"/>
  <c r="AI230" i="38" s="1"/>
  <c r="AI232" i="38" a="1"/>
  <c r="AI232" i="38" s="1"/>
  <c r="AI234" i="38" a="1"/>
  <c r="AI234" i="38" s="1"/>
  <c r="AI236" i="38" a="1"/>
  <c r="AI236" i="38" s="1"/>
  <c r="AI238" i="38" a="1"/>
  <c r="AI238" i="38" s="1"/>
  <c r="AI240" i="38" a="1"/>
  <c r="AI240" i="38" s="1"/>
  <c r="AI242" i="38" a="1"/>
  <c r="AI242" i="38" s="1"/>
  <c r="AI244" i="38" a="1"/>
  <c r="AI244" i="38" s="1"/>
  <c r="AI246" i="38" a="1"/>
  <c r="AI246" i="38" s="1"/>
  <c r="AI248" i="38" a="1"/>
  <c r="AI248" i="38" s="1"/>
  <c r="AI250" i="38" a="1"/>
  <c r="AI250" i="38" s="1"/>
  <c r="AI252" i="38" a="1"/>
  <c r="AI252" i="38" s="1"/>
  <c r="AI254" i="38" a="1"/>
  <c r="AI254" i="38" s="1"/>
  <c r="AI256" i="38" a="1"/>
  <c r="AI256" i="38" s="1"/>
  <c r="AI258" i="38" a="1"/>
  <c r="AI258" i="38" s="1"/>
  <c r="AI260" i="38" a="1"/>
  <c r="AI260" i="38" s="1"/>
  <c r="AI262" i="38" a="1"/>
  <c r="AI262" i="38" s="1"/>
  <c r="AI264" i="38" a="1"/>
  <c r="AI264" i="38" s="1"/>
  <c r="AI266" i="38" a="1"/>
  <c r="AI266" i="38" s="1"/>
  <c r="AI268" i="38" a="1"/>
  <c r="AI268" i="38" s="1"/>
  <c r="AI270" i="38" a="1"/>
  <c r="AI270" i="38" s="1"/>
  <c r="AI272" i="38" a="1"/>
  <c r="AI272" i="38" s="1"/>
  <c r="AI274" i="38" a="1"/>
  <c r="AI274" i="38" s="1"/>
  <c r="AI276" i="38" a="1"/>
  <c r="AI276" i="38" s="1"/>
  <c r="AI278" i="38" a="1"/>
  <c r="AI278" i="38" s="1"/>
  <c r="AI280" i="38" a="1"/>
  <c r="AI280" i="38" s="1"/>
  <c r="AI153" i="38" a="1"/>
  <c r="AI153" i="38" s="1"/>
  <c r="AI161" i="38" a="1"/>
  <c r="AI161" i="38" s="1"/>
  <c r="AI169" i="38" a="1"/>
  <c r="AI169" i="38" s="1"/>
  <c r="AI177" i="38" a="1"/>
  <c r="AI177" i="38" s="1"/>
  <c r="AI185" i="38" a="1"/>
  <c r="AI185" i="38" s="1"/>
  <c r="AI193" i="38" a="1"/>
  <c r="AI193" i="38" s="1"/>
  <c r="AI201" i="38" a="1"/>
  <c r="AI201" i="38" s="1"/>
  <c r="AI209" i="38" a="1"/>
  <c r="AI209" i="38" s="1"/>
  <c r="AI217" i="38" a="1"/>
  <c r="AI217" i="38" s="1"/>
  <c r="AI225" i="38" a="1"/>
  <c r="AI225" i="38" s="1"/>
  <c r="AI233" i="38" a="1"/>
  <c r="AI233" i="38" s="1"/>
  <c r="AI237" i="38" a="1"/>
  <c r="AI237" i="38" s="1"/>
  <c r="AI241" i="38" a="1"/>
  <c r="AI241" i="38" s="1"/>
  <c r="AI245" i="38" a="1"/>
  <c r="AI245" i="38" s="1"/>
  <c r="AI249" i="38" a="1"/>
  <c r="AI249" i="38" s="1"/>
  <c r="AI253" i="38" a="1"/>
  <c r="AI253" i="38" s="1"/>
  <c r="AI257" i="38" a="1"/>
  <c r="AI257" i="38" s="1"/>
  <c r="AI261" i="38" a="1"/>
  <c r="AI261" i="38" s="1"/>
  <c r="AI265" i="38" a="1"/>
  <c r="AI265" i="38" s="1"/>
  <c r="AI269" i="38" a="1"/>
  <c r="AI269" i="38" s="1"/>
  <c r="AI273" i="38" a="1"/>
  <c r="AI273" i="38" s="1"/>
  <c r="AI277" i="38" a="1"/>
  <c r="AI277" i="38" s="1"/>
  <c r="AI155" i="38" a="1"/>
  <c r="AI155" i="38" s="1"/>
  <c r="AI163" i="38" a="1"/>
  <c r="AI163" i="38" s="1"/>
  <c r="AI171" i="38" a="1"/>
  <c r="AI171" i="38" s="1"/>
  <c r="AI179" i="38" a="1"/>
  <c r="AI179" i="38" s="1"/>
  <c r="AI187" i="38" a="1"/>
  <c r="AI187" i="38" s="1"/>
  <c r="AI195" i="38" a="1"/>
  <c r="AI195" i="38" s="1"/>
  <c r="AI203" i="38" a="1"/>
  <c r="AI203" i="38" s="1"/>
  <c r="AI211" i="38" a="1"/>
  <c r="AI211" i="38" s="1"/>
  <c r="AI219" i="38" a="1"/>
  <c r="AI219" i="38" s="1"/>
  <c r="AI227" i="38" a="1"/>
  <c r="AI227" i="38" s="1"/>
  <c r="AI157" i="38" a="1"/>
  <c r="AI157" i="38" s="1"/>
  <c r="AI165" i="38" a="1"/>
  <c r="AI165" i="38" s="1"/>
  <c r="AI173" i="38" a="1"/>
  <c r="AI173" i="38" s="1"/>
  <c r="AI181" i="38" a="1"/>
  <c r="AI181" i="38" s="1"/>
  <c r="AI189" i="38" a="1"/>
  <c r="AI189" i="38" s="1"/>
  <c r="AI197" i="38" a="1"/>
  <c r="AI197" i="38" s="1"/>
  <c r="AI205" i="38" a="1"/>
  <c r="AI205" i="38" s="1"/>
  <c r="AI213" i="38" a="1"/>
  <c r="AI213" i="38" s="1"/>
  <c r="AI221" i="38" a="1"/>
  <c r="AI221" i="38" s="1"/>
  <c r="AI229" i="38" a="1"/>
  <c r="AI229" i="38" s="1"/>
  <c r="AI235" i="38" a="1"/>
  <c r="AI235" i="38" s="1"/>
  <c r="AI239" i="38" a="1"/>
  <c r="AI239" i="38" s="1"/>
  <c r="AI243" i="38" a="1"/>
  <c r="AI243" i="38" s="1"/>
  <c r="AI247" i="38" a="1"/>
  <c r="AI247" i="38" s="1"/>
  <c r="AI251" i="38" a="1"/>
  <c r="AI251" i="38" s="1"/>
  <c r="AI255" i="38" a="1"/>
  <c r="AI255" i="38" s="1"/>
  <c r="AI259" i="38" a="1"/>
  <c r="AI259" i="38" s="1"/>
  <c r="AI263" i="38" a="1"/>
  <c r="AI263" i="38" s="1"/>
  <c r="AI267" i="38" a="1"/>
  <c r="AI267" i="38" s="1"/>
  <c r="AI271" i="38" a="1"/>
  <c r="AI271" i="38" s="1"/>
  <c r="AI275" i="38" a="1"/>
  <c r="AI275" i="38" s="1"/>
  <c r="AI279" i="38" a="1"/>
  <c r="AI279" i="38" s="1"/>
  <c r="AI159" i="38" a="1"/>
  <c r="AI159" i="38" s="1"/>
  <c r="AI191" i="38" a="1"/>
  <c r="AI191" i="38" s="1"/>
  <c r="AI223" i="38" a="1"/>
  <c r="AI223" i="38" s="1"/>
  <c r="AI167" i="38" a="1"/>
  <c r="AI167" i="38" s="1"/>
  <c r="AI199" i="38" a="1"/>
  <c r="AI199" i="38" s="1"/>
  <c r="AI231" i="38" a="1"/>
  <c r="AI231" i="38" s="1"/>
  <c r="AI175" i="38" a="1"/>
  <c r="AI175" i="38" s="1"/>
  <c r="AI207" i="38" a="1"/>
  <c r="AI207" i="38" s="1"/>
  <c r="AI183" i="38" a="1"/>
  <c r="AI183" i="38" s="1"/>
  <c r="AI215" i="38" a="1"/>
  <c r="AI215" i="38" s="1"/>
  <c r="W147" i="38"/>
  <c r="X147" i="38" s="1"/>
  <c r="W12" i="38"/>
  <c r="X12" i="38" s="1"/>
  <c r="W43" i="38"/>
  <c r="X43" i="38" s="1"/>
  <c r="W8" i="38"/>
  <c r="X8" i="38" s="1"/>
  <c r="W7" i="38"/>
  <c r="Y7" i="38" s="1"/>
  <c r="W10" i="38"/>
  <c r="X10" i="38" s="1"/>
  <c r="W24" i="38"/>
  <c r="X24" i="38" s="1"/>
  <c r="W3" i="38"/>
  <c r="X3" i="38" s="1"/>
  <c r="W6" i="38"/>
  <c r="X6" i="38" s="1"/>
  <c r="W11" i="38"/>
  <c r="X11" i="38" s="1"/>
  <c r="AD152" i="38"/>
  <c r="AI101" i="38" a="1"/>
  <c r="AI101" i="38" s="1"/>
  <c r="AI123" i="38" a="1"/>
  <c r="AI123" i="38" s="1"/>
  <c r="AI111" i="38" a="1"/>
  <c r="AI111" i="38" s="1"/>
  <c r="AI147" i="38" a="1"/>
  <c r="AI147" i="38" s="1"/>
  <c r="AI35" i="38" a="1"/>
  <c r="AI35" i="38" s="1"/>
  <c r="AI149" i="38" a="1"/>
  <c r="AI149" i="38" s="1"/>
  <c r="AI40" i="38" a="1"/>
  <c r="AI40" i="38" s="1"/>
  <c r="AI90" i="38" a="1"/>
  <c r="AI90" i="38" s="1"/>
  <c r="AI108" i="38" a="1"/>
  <c r="AI108" i="38" s="1"/>
  <c r="J11" i="38"/>
  <c r="AC11" i="38" s="1"/>
  <c r="I150" i="38"/>
  <c r="J150" i="38" s="1"/>
  <c r="G150" i="38" s="1"/>
  <c r="AI6" i="38" a="1"/>
  <c r="AI6" i="38" s="1"/>
  <c r="AI42" i="38" a="1"/>
  <c r="AI42" i="38" s="1"/>
  <c r="AI11" i="38" a="1"/>
  <c r="AI11" i="38" s="1"/>
  <c r="AI60" i="38" a="1"/>
  <c r="AI60" i="38" s="1"/>
  <c r="AI58" i="38" a="1"/>
  <c r="AI58" i="38" s="1"/>
  <c r="AI131" i="38" a="1"/>
  <c r="AI131" i="38" s="1"/>
  <c r="AI14" i="38" a="1"/>
  <c r="AI14" i="38" s="1"/>
  <c r="AI62" i="38" a="1"/>
  <c r="AI62" i="38" s="1"/>
  <c r="AI100" i="38" a="1"/>
  <c r="AI100" i="38" s="1"/>
  <c r="AI134" i="38" a="1"/>
  <c r="AI134" i="38" s="1"/>
  <c r="AI22" i="38" a="1"/>
  <c r="AI22" i="38" s="1"/>
  <c r="AI67" i="38" a="1"/>
  <c r="AI67" i="38" s="1"/>
  <c r="AI50" i="38" a="1"/>
  <c r="AI50" i="38" s="1"/>
  <c r="AI138" i="38" a="1"/>
  <c r="AI138" i="38" s="1"/>
  <c r="AI25" i="38" a="1"/>
  <c r="AI25" i="38" s="1"/>
  <c r="AI78" i="38" a="1"/>
  <c r="AI78" i="38" s="1"/>
  <c r="AI93" i="38" a="1"/>
  <c r="AI93" i="38" s="1"/>
  <c r="AI121" i="38" a="1"/>
  <c r="AI121" i="38" s="1"/>
  <c r="AI152" i="38" a="1"/>
  <c r="AI152" i="38" s="1"/>
  <c r="AI30" i="38" a="1"/>
  <c r="AI30" i="38" s="1"/>
  <c r="AI81" i="38" a="1"/>
  <c r="AI81" i="38" s="1"/>
  <c r="J152" i="38"/>
  <c r="AC152" i="38" s="1"/>
  <c r="J24" i="38"/>
  <c r="G24" i="38" s="1"/>
  <c r="J10" i="38"/>
  <c r="AC10" i="38" s="1"/>
  <c r="AD24" i="38"/>
  <c r="AD4" i="38"/>
  <c r="AD149" i="38"/>
  <c r="I3" i="38"/>
  <c r="J3" i="38" s="1"/>
  <c r="G3" i="38" s="1"/>
  <c r="AI133" i="38" a="1"/>
  <c r="AI133" i="38" s="1"/>
  <c r="AI150" i="38" a="1"/>
  <c r="AI150" i="38" s="1"/>
  <c r="AI7" i="38" a="1"/>
  <c r="AI7" i="38" s="1"/>
  <c r="AI23" i="38" a="1"/>
  <c r="AI23" i="38" s="1"/>
  <c r="AI61" i="38" a="1"/>
  <c r="AI61" i="38" s="1"/>
  <c r="AI80" i="38" a="1"/>
  <c r="AI80" i="38" s="1"/>
  <c r="AI26" i="38" a="1"/>
  <c r="AI26" i="38" s="1"/>
  <c r="AI48" i="38" a="1"/>
  <c r="AI48" i="38" s="1"/>
  <c r="AI110" i="38" a="1"/>
  <c r="AI110" i="38" s="1"/>
  <c r="AI126" i="38" a="1"/>
  <c r="AI126" i="38" s="1"/>
  <c r="AI135" i="38" a="1"/>
  <c r="AI135" i="38" s="1"/>
  <c r="AI148" i="38" a="1"/>
  <c r="AI148" i="38" s="1"/>
  <c r="AI13" i="38" a="1"/>
  <c r="AI13" i="38" s="1"/>
  <c r="AI27" i="38" a="1"/>
  <c r="AI27" i="38" s="1"/>
  <c r="AI41" i="38" a="1"/>
  <c r="AI41" i="38" s="1"/>
  <c r="AI65" i="38" a="1"/>
  <c r="AI65" i="38" s="1"/>
  <c r="AI86" i="38" a="1"/>
  <c r="AI86" i="38" s="1"/>
  <c r="AI54" i="38" a="1"/>
  <c r="AI54" i="38" s="1"/>
  <c r="AI57" i="38" a="1"/>
  <c r="AI57" i="38" s="1"/>
  <c r="AI15" i="38" a="1"/>
  <c r="AI15" i="38" s="1"/>
  <c r="AI114" i="38" a="1"/>
  <c r="AI114" i="38" s="1"/>
  <c r="AI140" i="38" a="1"/>
  <c r="AI140" i="38" s="1"/>
  <c r="AI16" i="38" a="1"/>
  <c r="AI16" i="38" s="1"/>
  <c r="AI32" i="38" a="1"/>
  <c r="AI32" i="38" s="1"/>
  <c r="AI44" i="38" a="1"/>
  <c r="AI44" i="38" s="1"/>
  <c r="AI69" i="38" a="1"/>
  <c r="AI69" i="38" s="1"/>
  <c r="AI94" i="38" a="1"/>
  <c r="AI94" i="38" s="1"/>
  <c r="AI74" i="38" a="1"/>
  <c r="AI74" i="38" s="1"/>
  <c r="AI5" i="38" a="1"/>
  <c r="AI5" i="38" s="1"/>
  <c r="AI116" i="38" a="1"/>
  <c r="AI116" i="38" s="1"/>
  <c r="AI141" i="38" a="1"/>
  <c r="AI141" i="38" s="1"/>
  <c r="AI3" i="38" a="1"/>
  <c r="AI3" i="38" s="1"/>
  <c r="AI17" i="38" a="1"/>
  <c r="AI17" i="38" s="1"/>
  <c r="AI33" i="38" a="1"/>
  <c r="AI33" i="38" s="1"/>
  <c r="AI52" i="38" a="1"/>
  <c r="AI52" i="38" s="1"/>
  <c r="AI70" i="38" a="1"/>
  <c r="AI70" i="38" s="1"/>
  <c r="AI95" i="38" a="1"/>
  <c r="AI95" i="38" s="1"/>
  <c r="AI76" i="38" a="1"/>
  <c r="AI76" i="38" s="1"/>
  <c r="AI103" i="38" a="1"/>
  <c r="AI103" i="38" s="1"/>
  <c r="AI117" i="38" a="1"/>
  <c r="AI117" i="38" s="1"/>
  <c r="AI125" i="38" a="1"/>
  <c r="AI125" i="38" s="1"/>
  <c r="AI128" i="38" a="1"/>
  <c r="AI128" i="38" s="1"/>
  <c r="AI142" i="38" a="1"/>
  <c r="AI142" i="38" s="1"/>
  <c r="AI4" i="38" a="1"/>
  <c r="AI4" i="38" s="1"/>
  <c r="AI20" i="38" a="1"/>
  <c r="AI20" i="38" s="1"/>
  <c r="AI34" i="38" a="1"/>
  <c r="AI34" i="38" s="1"/>
  <c r="AI59" i="38" a="1"/>
  <c r="AI59" i="38" s="1"/>
  <c r="AI75" i="38" a="1"/>
  <c r="AI75" i="38" s="1"/>
  <c r="AI98" i="38" a="1"/>
  <c r="AI98" i="38" s="1"/>
  <c r="AI88" i="38" a="1"/>
  <c r="AI88" i="38" s="1"/>
  <c r="AI106" i="38" a="1"/>
  <c r="AI106" i="38" s="1"/>
  <c r="AI132" i="38" a="1"/>
  <c r="AI132" i="38" s="1"/>
  <c r="AI139" i="38" a="1"/>
  <c r="AI139" i="38" s="1"/>
  <c r="AI151" i="38" a="1"/>
  <c r="AI151" i="38" s="1"/>
  <c r="AI43" i="38" a="1"/>
  <c r="AI43" i="38" s="1"/>
  <c r="AI12" i="38" a="1"/>
  <c r="AI12" i="38" s="1"/>
  <c r="AI21" i="38" a="1"/>
  <c r="AI21" i="38" s="1"/>
  <c r="AI31" i="38" a="1"/>
  <c r="AI31" i="38" s="1"/>
  <c r="AI39" i="38" a="1"/>
  <c r="AI39" i="38" s="1"/>
  <c r="AI53" i="38" a="1"/>
  <c r="AI53" i="38" s="1"/>
  <c r="AI66" i="38" a="1"/>
  <c r="AI66" i="38" s="1"/>
  <c r="AI77" i="38" a="1"/>
  <c r="AI77" i="38" s="1"/>
  <c r="AI89" i="38" a="1"/>
  <c r="AI89" i="38" s="1"/>
  <c r="AI99" i="38" a="1"/>
  <c r="AI99" i="38" s="1"/>
  <c r="AI55" i="38" a="1"/>
  <c r="AI55" i="38" s="1"/>
  <c r="AI92" i="38" a="1"/>
  <c r="AI92" i="38" s="1"/>
  <c r="AI84" i="38" a="1"/>
  <c r="AI84" i="38" s="1"/>
  <c r="AI107" i="38" a="1"/>
  <c r="AI107" i="38" s="1"/>
  <c r="AI113" i="38" a="1"/>
  <c r="AI113" i="38" s="1"/>
  <c r="AI120" i="38" a="1"/>
  <c r="AI120" i="38" s="1"/>
  <c r="AI127" i="38" a="1"/>
  <c r="AI127" i="38" s="1"/>
  <c r="AI68" i="38" a="1"/>
  <c r="AI68" i="38" s="1"/>
  <c r="AI79" i="38" a="1"/>
  <c r="AI79" i="38" s="1"/>
  <c r="AI91" i="38" a="1"/>
  <c r="AI91" i="38" s="1"/>
  <c r="AI102" i="38" a="1"/>
  <c r="AI102" i="38" s="1"/>
  <c r="AI73" i="38" a="1"/>
  <c r="AI73" i="38" s="1"/>
  <c r="AI38" i="38" a="1"/>
  <c r="AI38" i="38" s="1"/>
  <c r="AI96" i="38" a="1"/>
  <c r="AI96" i="38" s="1"/>
  <c r="AI109" i="38" a="1"/>
  <c r="AI109" i="38" s="1"/>
  <c r="AI115" i="38" a="1"/>
  <c r="AI115" i="38" s="1"/>
  <c r="AI122" i="38" a="1"/>
  <c r="AI122" i="38" s="1"/>
  <c r="AI129" i="38" a="1"/>
  <c r="AI129" i="38" s="1"/>
  <c r="AI136" i="38" a="1"/>
  <c r="AI136" i="38" s="1"/>
  <c r="AI143" i="38" a="1"/>
  <c r="AI143" i="38" s="1"/>
  <c r="AI146" i="38" a="1"/>
  <c r="AI146" i="38" s="1"/>
  <c r="AI8" i="38" a="1"/>
  <c r="AI8" i="38" s="1"/>
  <c r="AI18" i="38" a="1"/>
  <c r="AI18" i="38" s="1"/>
  <c r="AI28" i="38" a="1"/>
  <c r="AI28" i="38" s="1"/>
  <c r="AI36" i="38" a="1"/>
  <c r="AI36" i="38" s="1"/>
  <c r="AI46" i="38" a="1"/>
  <c r="AI46" i="38" s="1"/>
  <c r="AI63" i="38" a="1"/>
  <c r="AI63" i="38" s="1"/>
  <c r="AI71" i="38" a="1"/>
  <c r="AI71" i="38" s="1"/>
  <c r="AI82" i="38" a="1"/>
  <c r="AI82" i="38" s="1"/>
  <c r="AI97" i="38" a="1"/>
  <c r="AI97" i="38" s="1"/>
  <c r="AI45" i="38" a="1"/>
  <c r="AI45" i="38" s="1"/>
  <c r="AI83" i="38" a="1"/>
  <c r="AI83" i="38" s="1"/>
  <c r="AI51" i="38" a="1"/>
  <c r="AI51" i="38" s="1"/>
  <c r="AI104" i="38" a="1"/>
  <c r="AI104" i="38" s="1"/>
  <c r="AI112" i="38" a="1"/>
  <c r="AI112" i="38" s="1"/>
  <c r="AI118" i="38" a="1"/>
  <c r="AI118" i="38" s="1"/>
  <c r="AI124" i="38" a="1"/>
  <c r="AI124" i="38" s="1"/>
  <c r="AI130" i="38" a="1"/>
  <c r="AI130" i="38" s="1"/>
  <c r="AI137" i="38" a="1"/>
  <c r="AI137" i="38" s="1"/>
  <c r="AI144" i="38" a="1"/>
  <c r="AI144" i="38" s="1"/>
  <c r="AI24" i="38" a="1"/>
  <c r="AI24" i="38" s="1"/>
  <c r="AI10" i="38" a="1"/>
  <c r="AI10" i="38" s="1"/>
  <c r="AI19" i="38" a="1"/>
  <c r="AI19" i="38" s="1"/>
  <c r="AI29" i="38" a="1"/>
  <c r="AI29" i="38" s="1"/>
  <c r="AI37" i="38" a="1"/>
  <c r="AI37" i="38" s="1"/>
  <c r="AI47" i="38" a="1"/>
  <c r="AI47" i="38" s="1"/>
  <c r="AI64" i="38" a="1"/>
  <c r="AI64" i="38" s="1"/>
  <c r="AI72" i="38" a="1"/>
  <c r="AI72" i="38" s="1"/>
  <c r="AI85" i="38" a="1"/>
  <c r="AI85" i="38" s="1"/>
  <c r="AI49" i="38" a="1"/>
  <c r="AI49" i="38" s="1"/>
  <c r="AI87" i="38" a="1"/>
  <c r="AI87" i="38" s="1"/>
  <c r="AI56" i="38" a="1"/>
  <c r="AI56" i="38" s="1"/>
  <c r="AI105" i="38" a="1"/>
  <c r="AI105" i="38" s="1"/>
  <c r="AI9" i="38" a="1"/>
  <c r="AI9" i="38" s="1"/>
  <c r="AI119" i="38" a="1"/>
  <c r="AI119" i="38" s="1"/>
  <c r="J146" i="38"/>
  <c r="AC146" i="38" s="1"/>
  <c r="J6" i="38"/>
  <c r="G6" i="38" s="1"/>
  <c r="J8" i="38"/>
  <c r="AC8" i="38" s="1"/>
  <c r="J149" i="38"/>
  <c r="J151" i="38"/>
  <c r="AC151" i="38" s="1"/>
  <c r="J12" i="38"/>
  <c r="AC12" i="38" s="1"/>
  <c r="J4" i="38"/>
  <c r="J147" i="38"/>
  <c r="G147" i="38" s="1"/>
  <c r="J43" i="38"/>
  <c r="AC43" i="38" s="1"/>
  <c r="J7" i="38"/>
  <c r="G7" i="38" s="1"/>
  <c r="W4" i="38"/>
  <c r="I148" i="38"/>
  <c r="AD6" i="38"/>
  <c r="AD151" i="38"/>
  <c r="AD43" i="38"/>
  <c r="AD12" i="38"/>
  <c r="W149" i="38"/>
  <c r="E3" i="69"/>
  <c r="E4" i="69"/>
  <c r="E5" i="69"/>
  <c r="E6" i="69"/>
  <c r="F141" i="38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131" i="11"/>
  <c r="A132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Y150" i="38" l="1"/>
  <c r="Y148" i="38"/>
  <c r="Z148" i="38" s="1"/>
  <c r="Y151" i="38"/>
  <c r="Z151" i="38" s="1"/>
  <c r="X152" i="38"/>
  <c r="Z152" i="38" s="1"/>
  <c r="Y43" i="38"/>
  <c r="Z43" i="38" s="1"/>
  <c r="Y147" i="38"/>
  <c r="Z147" i="38" s="1"/>
  <c r="G152" i="38"/>
  <c r="Y8" i="38"/>
  <c r="Z8" i="38" s="1"/>
  <c r="Y11" i="38"/>
  <c r="Z11" i="38" s="1"/>
  <c r="X146" i="38"/>
  <c r="Z146" i="38" s="1"/>
  <c r="Y6" i="38"/>
  <c r="Z6" i="38" s="1"/>
  <c r="Y24" i="38"/>
  <c r="Z24" i="38" s="1"/>
  <c r="X7" i="38"/>
  <c r="Z7" i="38" s="1"/>
  <c r="Y10" i="38"/>
  <c r="Z10" i="38" s="1"/>
  <c r="Y12" i="38"/>
  <c r="Z12" i="38" s="1"/>
  <c r="G11" i="38"/>
  <c r="Y3" i="38"/>
  <c r="Z3" i="38" s="1"/>
  <c r="G10" i="38"/>
  <c r="E458" i="11"/>
  <c r="F458" i="11"/>
  <c r="E418" i="11"/>
  <c r="F418" i="11"/>
  <c r="E386" i="11"/>
  <c r="F386" i="11"/>
  <c r="E449" i="11"/>
  <c r="F449" i="11"/>
  <c r="E409" i="11"/>
  <c r="F409" i="11"/>
  <c r="F488" i="11"/>
  <c r="E488" i="11"/>
  <c r="F480" i="11"/>
  <c r="E480" i="11"/>
  <c r="F472" i="11"/>
  <c r="E472" i="11"/>
  <c r="F464" i="11"/>
  <c r="E464" i="11"/>
  <c r="F456" i="11"/>
  <c r="E456" i="11"/>
  <c r="F448" i="11"/>
  <c r="E448" i="11"/>
  <c r="F440" i="11"/>
  <c r="E440" i="11"/>
  <c r="F432" i="11"/>
  <c r="E432" i="11"/>
  <c r="F424" i="11"/>
  <c r="E424" i="11"/>
  <c r="F416" i="11"/>
  <c r="E416" i="11"/>
  <c r="F408" i="11"/>
  <c r="E408" i="11"/>
  <c r="F400" i="11"/>
  <c r="E400" i="11"/>
  <c r="F392" i="11"/>
  <c r="E392" i="11"/>
  <c r="F384" i="11"/>
  <c r="E384" i="11"/>
  <c r="F376" i="11"/>
  <c r="E376" i="11"/>
  <c r="F368" i="11"/>
  <c r="E368" i="11"/>
  <c r="E482" i="11"/>
  <c r="F482" i="11"/>
  <c r="E426" i="11"/>
  <c r="F426" i="11"/>
  <c r="E457" i="11"/>
  <c r="F457" i="11"/>
  <c r="E417" i="11"/>
  <c r="F417" i="11"/>
  <c r="E385" i="11"/>
  <c r="F385" i="11"/>
  <c r="E361" i="11"/>
  <c r="F361" i="11"/>
  <c r="E487" i="11"/>
  <c r="F487" i="11"/>
  <c r="E479" i="11"/>
  <c r="F479" i="11"/>
  <c r="E471" i="11"/>
  <c r="F471" i="11"/>
  <c r="E463" i="11"/>
  <c r="F463" i="11"/>
  <c r="E455" i="11"/>
  <c r="F455" i="11"/>
  <c r="E447" i="11"/>
  <c r="F447" i="11"/>
  <c r="E439" i="11"/>
  <c r="F439" i="11"/>
  <c r="E431" i="11"/>
  <c r="F431" i="11"/>
  <c r="E423" i="11"/>
  <c r="F423" i="11"/>
  <c r="E415" i="11"/>
  <c r="F415" i="11"/>
  <c r="E407" i="11"/>
  <c r="F407" i="11"/>
  <c r="E399" i="11"/>
  <c r="F399" i="11"/>
  <c r="E391" i="11"/>
  <c r="F391" i="11"/>
  <c r="E383" i="11"/>
  <c r="F383" i="11"/>
  <c r="E375" i="11"/>
  <c r="F375" i="11"/>
  <c r="E367" i="11"/>
  <c r="F367" i="11"/>
  <c r="E474" i="11"/>
  <c r="F474" i="11"/>
  <c r="E442" i="11"/>
  <c r="F442" i="11"/>
  <c r="E410" i="11"/>
  <c r="F410" i="11"/>
  <c r="E378" i="11"/>
  <c r="F378" i="11"/>
  <c r="E473" i="11"/>
  <c r="F473" i="11"/>
  <c r="E441" i="11"/>
  <c r="F441" i="11"/>
  <c r="E393" i="11"/>
  <c r="F393" i="11"/>
  <c r="E470" i="11"/>
  <c r="F470" i="11"/>
  <c r="E454" i="11"/>
  <c r="F454" i="11"/>
  <c r="E430" i="11"/>
  <c r="F430" i="11"/>
  <c r="E406" i="11"/>
  <c r="F406" i="11"/>
  <c r="E390" i="11"/>
  <c r="F390" i="11"/>
  <c r="E366" i="11"/>
  <c r="F366" i="11"/>
  <c r="E485" i="11"/>
  <c r="F485" i="11"/>
  <c r="E477" i="11"/>
  <c r="F477" i="11"/>
  <c r="E469" i="11"/>
  <c r="F469" i="11"/>
  <c r="E461" i="11"/>
  <c r="F461" i="11"/>
  <c r="E453" i="11"/>
  <c r="F453" i="11"/>
  <c r="E445" i="11"/>
  <c r="F445" i="11"/>
  <c r="E437" i="11"/>
  <c r="F437" i="11"/>
  <c r="E429" i="11"/>
  <c r="F429" i="11"/>
  <c r="E421" i="11"/>
  <c r="F421" i="11"/>
  <c r="E413" i="11"/>
  <c r="F413" i="11"/>
  <c r="E405" i="11"/>
  <c r="F405" i="11"/>
  <c r="E397" i="11"/>
  <c r="F397" i="11"/>
  <c r="E389" i="11"/>
  <c r="F389" i="11"/>
  <c r="E381" i="11"/>
  <c r="F381" i="11"/>
  <c r="E373" i="11"/>
  <c r="F373" i="11"/>
  <c r="E365" i="11"/>
  <c r="F365" i="11"/>
  <c r="E450" i="11"/>
  <c r="F450" i="11"/>
  <c r="E394" i="11"/>
  <c r="F394" i="11"/>
  <c r="E370" i="11"/>
  <c r="F370" i="11"/>
  <c r="E489" i="11"/>
  <c r="F489" i="11"/>
  <c r="E465" i="11"/>
  <c r="F465" i="11"/>
  <c r="E433" i="11"/>
  <c r="F433" i="11"/>
  <c r="E401" i="11"/>
  <c r="F401" i="11"/>
  <c r="E369" i="11"/>
  <c r="F369" i="11"/>
  <c r="E478" i="11"/>
  <c r="F478" i="11"/>
  <c r="E462" i="11"/>
  <c r="F462" i="11"/>
  <c r="E438" i="11"/>
  <c r="F438" i="11"/>
  <c r="E414" i="11"/>
  <c r="F414" i="11"/>
  <c r="E398" i="11"/>
  <c r="F398" i="11"/>
  <c r="E374" i="11"/>
  <c r="F374" i="11"/>
  <c r="E484" i="11"/>
  <c r="F484" i="11"/>
  <c r="E476" i="11"/>
  <c r="F476" i="11"/>
  <c r="E468" i="11"/>
  <c r="F468" i="11"/>
  <c r="E460" i="11"/>
  <c r="F460" i="11"/>
  <c r="E452" i="11"/>
  <c r="F452" i="11"/>
  <c r="E444" i="11"/>
  <c r="F444" i="11"/>
  <c r="E436" i="11"/>
  <c r="F436" i="11"/>
  <c r="E428" i="11"/>
  <c r="F428" i="11"/>
  <c r="E420" i="11"/>
  <c r="F420" i="11"/>
  <c r="E412" i="11"/>
  <c r="F412" i="11"/>
  <c r="E404" i="11"/>
  <c r="F404" i="11"/>
  <c r="E396" i="11"/>
  <c r="F396" i="11"/>
  <c r="E388" i="11"/>
  <c r="F388" i="11"/>
  <c r="E380" i="11"/>
  <c r="F380" i="11"/>
  <c r="E372" i="11"/>
  <c r="F372" i="11"/>
  <c r="E364" i="11"/>
  <c r="F364" i="11"/>
  <c r="E466" i="11"/>
  <c r="F466" i="11"/>
  <c r="E434" i="11"/>
  <c r="F434" i="11"/>
  <c r="E402" i="11"/>
  <c r="F402" i="11"/>
  <c r="E362" i="11"/>
  <c r="F362" i="11"/>
  <c r="E481" i="11"/>
  <c r="F481" i="11"/>
  <c r="E425" i="11"/>
  <c r="F425" i="11"/>
  <c r="E377" i="11"/>
  <c r="F377" i="11"/>
  <c r="E486" i="11"/>
  <c r="F486" i="11"/>
  <c r="E446" i="11"/>
  <c r="F446" i="11"/>
  <c r="E422" i="11"/>
  <c r="F422" i="11"/>
  <c r="E382" i="11"/>
  <c r="F382" i="11"/>
  <c r="E483" i="11"/>
  <c r="F483" i="11"/>
  <c r="E475" i="11"/>
  <c r="F475" i="11"/>
  <c r="E467" i="11"/>
  <c r="F467" i="11"/>
  <c r="E459" i="11"/>
  <c r="F459" i="11"/>
  <c r="E451" i="11"/>
  <c r="F451" i="11"/>
  <c r="E443" i="11"/>
  <c r="F443" i="11"/>
  <c r="E435" i="11"/>
  <c r="F435" i="11"/>
  <c r="E427" i="11"/>
  <c r="F427" i="11"/>
  <c r="E419" i="11"/>
  <c r="F419" i="11"/>
  <c r="E411" i="11"/>
  <c r="F411" i="11"/>
  <c r="E403" i="11"/>
  <c r="F403" i="11"/>
  <c r="E395" i="11"/>
  <c r="F395" i="11"/>
  <c r="E387" i="11"/>
  <c r="F387" i="11"/>
  <c r="E379" i="11"/>
  <c r="F379" i="11"/>
  <c r="E371" i="11"/>
  <c r="F371" i="11"/>
  <c r="E363" i="11"/>
  <c r="F363" i="11"/>
  <c r="E122" i="11"/>
  <c r="F122" i="11"/>
  <c r="E90" i="11"/>
  <c r="F90" i="11"/>
  <c r="E347" i="11"/>
  <c r="F347" i="11"/>
  <c r="E327" i="11"/>
  <c r="F327" i="11"/>
  <c r="E307" i="11"/>
  <c r="F307" i="11"/>
  <c r="E291" i="11"/>
  <c r="F291" i="11"/>
  <c r="E275" i="11"/>
  <c r="F275" i="11"/>
  <c r="E255" i="11"/>
  <c r="F255" i="11"/>
  <c r="E239" i="11"/>
  <c r="F239" i="11"/>
  <c r="E223" i="11"/>
  <c r="F223" i="11"/>
  <c r="E203" i="11"/>
  <c r="F203" i="11"/>
  <c r="E191" i="11"/>
  <c r="F191" i="11"/>
  <c r="E175" i="11"/>
  <c r="F175" i="11"/>
  <c r="E139" i="11"/>
  <c r="F139" i="11"/>
  <c r="E126" i="11"/>
  <c r="F126" i="11"/>
  <c r="E110" i="11"/>
  <c r="F110" i="11"/>
  <c r="E94" i="11"/>
  <c r="F94" i="11"/>
  <c r="E359" i="11"/>
  <c r="F359" i="11"/>
  <c r="E343" i="11"/>
  <c r="F343" i="11"/>
  <c r="E331" i="11"/>
  <c r="F331" i="11"/>
  <c r="E315" i="11"/>
  <c r="F315" i="11"/>
  <c r="E299" i="11"/>
  <c r="F299" i="11"/>
  <c r="E279" i="11"/>
  <c r="F279" i="11"/>
  <c r="E267" i="11"/>
  <c r="F267" i="11"/>
  <c r="E259" i="11"/>
  <c r="F259" i="11"/>
  <c r="E247" i="11"/>
  <c r="F247" i="11"/>
  <c r="E235" i="11"/>
  <c r="F235" i="11"/>
  <c r="E219" i="11"/>
  <c r="F219" i="11"/>
  <c r="E215" i="11"/>
  <c r="F215" i="11"/>
  <c r="E199" i="11"/>
  <c r="F199" i="11"/>
  <c r="E187" i="11"/>
  <c r="F187" i="11"/>
  <c r="E171" i="11"/>
  <c r="F171" i="11"/>
  <c r="E163" i="11"/>
  <c r="F163" i="11"/>
  <c r="E151" i="11"/>
  <c r="F151" i="11"/>
  <c r="E143" i="11"/>
  <c r="F143" i="11"/>
  <c r="E135" i="11"/>
  <c r="F135" i="11"/>
  <c r="E129" i="11"/>
  <c r="F129" i="11"/>
  <c r="E93" i="11"/>
  <c r="F93" i="11"/>
  <c r="E354" i="11"/>
  <c r="F354" i="11"/>
  <c r="E342" i="11"/>
  <c r="F342" i="11"/>
  <c r="E330" i="11"/>
  <c r="F330" i="11"/>
  <c r="E314" i="11"/>
  <c r="F314" i="11"/>
  <c r="E298" i="11"/>
  <c r="F298" i="11"/>
  <c r="E282" i="11"/>
  <c r="F282" i="11"/>
  <c r="E270" i="11"/>
  <c r="F270" i="11"/>
  <c r="E258" i="11"/>
  <c r="F258" i="11"/>
  <c r="E242" i="11"/>
  <c r="F242" i="11"/>
  <c r="E230" i="11"/>
  <c r="F230" i="11"/>
  <c r="E210" i="11"/>
  <c r="F210" i="11"/>
  <c r="E190" i="11"/>
  <c r="F190" i="11"/>
  <c r="E170" i="11"/>
  <c r="F170" i="11"/>
  <c r="E138" i="11"/>
  <c r="F138" i="11"/>
  <c r="E118" i="11"/>
  <c r="F118" i="11"/>
  <c r="E106" i="11"/>
  <c r="F106" i="11"/>
  <c r="E98" i="11"/>
  <c r="F98" i="11"/>
  <c r="E132" i="11"/>
  <c r="F132" i="11"/>
  <c r="E351" i="11"/>
  <c r="F351" i="11"/>
  <c r="E339" i="11"/>
  <c r="F339" i="11"/>
  <c r="E319" i="11"/>
  <c r="F319" i="11"/>
  <c r="E303" i="11"/>
  <c r="F303" i="11"/>
  <c r="E287" i="11"/>
  <c r="F287" i="11"/>
  <c r="E271" i="11"/>
  <c r="F271" i="11"/>
  <c r="E243" i="11"/>
  <c r="F243" i="11"/>
  <c r="E231" i="11"/>
  <c r="F231" i="11"/>
  <c r="E207" i="11"/>
  <c r="F207" i="11"/>
  <c r="E195" i="11"/>
  <c r="F195" i="11"/>
  <c r="E179" i="11"/>
  <c r="F179" i="11"/>
  <c r="E167" i="11"/>
  <c r="F167" i="11"/>
  <c r="E155" i="11"/>
  <c r="F155" i="11"/>
  <c r="E147" i="11"/>
  <c r="F147" i="11"/>
  <c r="E125" i="11"/>
  <c r="F125" i="11"/>
  <c r="E117" i="11"/>
  <c r="F117" i="11"/>
  <c r="E105" i="11"/>
  <c r="F105" i="11"/>
  <c r="E89" i="11"/>
  <c r="F89" i="11"/>
  <c r="E358" i="11"/>
  <c r="F358" i="11"/>
  <c r="E346" i="11"/>
  <c r="F346" i="11"/>
  <c r="E334" i="11"/>
  <c r="F334" i="11"/>
  <c r="E318" i="11"/>
  <c r="F318" i="11"/>
  <c r="E306" i="11"/>
  <c r="F306" i="11"/>
  <c r="E294" i="11"/>
  <c r="F294" i="11"/>
  <c r="E286" i="11"/>
  <c r="F286" i="11"/>
  <c r="E274" i="11"/>
  <c r="F274" i="11"/>
  <c r="E262" i="11"/>
  <c r="F262" i="11"/>
  <c r="E250" i="11"/>
  <c r="F250" i="11"/>
  <c r="E238" i="11"/>
  <c r="F238" i="11"/>
  <c r="E222" i="11"/>
  <c r="F222" i="11"/>
  <c r="E214" i="11"/>
  <c r="F214" i="11"/>
  <c r="E202" i="11"/>
  <c r="F202" i="11"/>
  <c r="E194" i="11"/>
  <c r="F194" i="11"/>
  <c r="E182" i="11"/>
  <c r="F182" i="11"/>
  <c r="E174" i="11"/>
  <c r="F174" i="11"/>
  <c r="E162" i="11"/>
  <c r="F162" i="11"/>
  <c r="E154" i="11"/>
  <c r="F154" i="11"/>
  <c r="E142" i="11"/>
  <c r="F142" i="11"/>
  <c r="E120" i="11"/>
  <c r="F120" i="11"/>
  <c r="E96" i="11"/>
  <c r="F96" i="11"/>
  <c r="E353" i="11"/>
  <c r="F353" i="11"/>
  <c r="E345" i="11"/>
  <c r="F345" i="11"/>
  <c r="E333" i="11"/>
  <c r="F333" i="11"/>
  <c r="E321" i="11"/>
  <c r="F321" i="11"/>
  <c r="E309" i="11"/>
  <c r="F309" i="11"/>
  <c r="E297" i="11"/>
  <c r="F297" i="11"/>
  <c r="E289" i="11"/>
  <c r="F289" i="11"/>
  <c r="E277" i="11"/>
  <c r="F277" i="11"/>
  <c r="E269" i="11"/>
  <c r="F269" i="11"/>
  <c r="E257" i="11"/>
  <c r="F257" i="11"/>
  <c r="E245" i="11"/>
  <c r="F245" i="11"/>
  <c r="E237" i="11"/>
  <c r="F237" i="11"/>
  <c r="E225" i="11"/>
  <c r="F225" i="11"/>
  <c r="E217" i="11"/>
  <c r="F217" i="11"/>
  <c r="E205" i="11"/>
  <c r="F205" i="11"/>
  <c r="E189" i="11"/>
  <c r="F189" i="11"/>
  <c r="E169" i="11"/>
  <c r="F169" i="11"/>
  <c r="E137" i="11"/>
  <c r="F137" i="11"/>
  <c r="E130" i="11"/>
  <c r="F130" i="11"/>
  <c r="E114" i="11"/>
  <c r="F114" i="11"/>
  <c r="E102" i="11"/>
  <c r="F102" i="11"/>
  <c r="E355" i="11"/>
  <c r="F355" i="11"/>
  <c r="E335" i="11"/>
  <c r="F335" i="11"/>
  <c r="E323" i="11"/>
  <c r="F323" i="11"/>
  <c r="E311" i="11"/>
  <c r="F311" i="11"/>
  <c r="E295" i="11"/>
  <c r="F295" i="11"/>
  <c r="E283" i="11"/>
  <c r="F283" i="11"/>
  <c r="E263" i="11"/>
  <c r="F263" i="11"/>
  <c r="E251" i="11"/>
  <c r="F251" i="11"/>
  <c r="E227" i="11"/>
  <c r="F227" i="11"/>
  <c r="E211" i="11"/>
  <c r="F211" i="11"/>
  <c r="E183" i="11"/>
  <c r="F183" i="11"/>
  <c r="E159" i="11"/>
  <c r="F159" i="11"/>
  <c r="E121" i="11"/>
  <c r="F121" i="11"/>
  <c r="E113" i="11"/>
  <c r="F113" i="11"/>
  <c r="E109" i="11"/>
  <c r="F109" i="11"/>
  <c r="E101" i="11"/>
  <c r="F101" i="11"/>
  <c r="E97" i="11"/>
  <c r="F97" i="11"/>
  <c r="E131" i="11"/>
  <c r="F131" i="11"/>
  <c r="E350" i="11"/>
  <c r="F350" i="11"/>
  <c r="E338" i="11"/>
  <c r="F338" i="11"/>
  <c r="E326" i="11"/>
  <c r="F326" i="11"/>
  <c r="E322" i="11"/>
  <c r="F322" i="11"/>
  <c r="E310" i="11"/>
  <c r="F310" i="11"/>
  <c r="E302" i="11"/>
  <c r="F302" i="11"/>
  <c r="E290" i="11"/>
  <c r="F290" i="11"/>
  <c r="E278" i="11"/>
  <c r="F278" i="11"/>
  <c r="E266" i="11"/>
  <c r="F266" i="11"/>
  <c r="E254" i="11"/>
  <c r="F254" i="11"/>
  <c r="E246" i="11"/>
  <c r="F246" i="11"/>
  <c r="E234" i="11"/>
  <c r="F234" i="11"/>
  <c r="E226" i="11"/>
  <c r="F226" i="11"/>
  <c r="E218" i="11"/>
  <c r="F218" i="11"/>
  <c r="E206" i="11"/>
  <c r="F206" i="11"/>
  <c r="E198" i="11"/>
  <c r="F198" i="11"/>
  <c r="E186" i="11"/>
  <c r="F186" i="11"/>
  <c r="E178" i="11"/>
  <c r="F178" i="11"/>
  <c r="E166" i="11"/>
  <c r="F166" i="11"/>
  <c r="E158" i="11"/>
  <c r="F158" i="11"/>
  <c r="E150" i="11"/>
  <c r="F150" i="11"/>
  <c r="E146" i="11"/>
  <c r="F146" i="11"/>
  <c r="E134" i="11"/>
  <c r="F134" i="11"/>
  <c r="E128" i="11"/>
  <c r="F128" i="11"/>
  <c r="E124" i="11"/>
  <c r="F124" i="11"/>
  <c r="E116" i="11"/>
  <c r="F116" i="11"/>
  <c r="E112" i="11"/>
  <c r="F112" i="11"/>
  <c r="E108" i="11"/>
  <c r="F108" i="11"/>
  <c r="E104" i="11"/>
  <c r="F104" i="11"/>
  <c r="E100" i="11"/>
  <c r="F100" i="11"/>
  <c r="E92" i="11"/>
  <c r="F92" i="11"/>
  <c r="E88" i="11"/>
  <c r="F88" i="11"/>
  <c r="E357" i="11"/>
  <c r="F357" i="11"/>
  <c r="E349" i="11"/>
  <c r="F349" i="11"/>
  <c r="E341" i="11"/>
  <c r="F341" i="11"/>
  <c r="E337" i="11"/>
  <c r="F337" i="11"/>
  <c r="E329" i="11"/>
  <c r="F329" i="11"/>
  <c r="E325" i="11"/>
  <c r="F325" i="11"/>
  <c r="E317" i="11"/>
  <c r="F317" i="11"/>
  <c r="E313" i="11"/>
  <c r="F313" i="11"/>
  <c r="E305" i="11"/>
  <c r="F305" i="11"/>
  <c r="E301" i="11"/>
  <c r="F301" i="11"/>
  <c r="E293" i="11"/>
  <c r="F293" i="11"/>
  <c r="E285" i="11"/>
  <c r="F285" i="11"/>
  <c r="E281" i="11"/>
  <c r="F281" i="11"/>
  <c r="E273" i="11"/>
  <c r="F273" i="11"/>
  <c r="E265" i="11"/>
  <c r="F265" i="11"/>
  <c r="E261" i="11"/>
  <c r="F261" i="11"/>
  <c r="E253" i="11"/>
  <c r="F253" i="11"/>
  <c r="E249" i="11"/>
  <c r="F249" i="11"/>
  <c r="E241" i="11"/>
  <c r="F241" i="11"/>
  <c r="E233" i="11"/>
  <c r="F233" i="11"/>
  <c r="E229" i="11"/>
  <c r="F229" i="11"/>
  <c r="E221" i="11"/>
  <c r="F221" i="11"/>
  <c r="E213" i="11"/>
  <c r="F213" i="11"/>
  <c r="E209" i="11"/>
  <c r="F209" i="11"/>
  <c r="E201" i="11"/>
  <c r="F201" i="11"/>
  <c r="E197" i="11"/>
  <c r="F197" i="11"/>
  <c r="E193" i="11"/>
  <c r="F193" i="11"/>
  <c r="E185" i="11"/>
  <c r="F185" i="11"/>
  <c r="E181" i="11"/>
  <c r="F181" i="11"/>
  <c r="E177" i="11"/>
  <c r="F177" i="11"/>
  <c r="E173" i="11"/>
  <c r="F173" i="11"/>
  <c r="E165" i="11"/>
  <c r="F165" i="11"/>
  <c r="E161" i="11"/>
  <c r="F161" i="11"/>
  <c r="E157" i="11"/>
  <c r="F157" i="11"/>
  <c r="E153" i="11"/>
  <c r="F153" i="11"/>
  <c r="E149" i="11"/>
  <c r="F149" i="11"/>
  <c r="E145" i="11"/>
  <c r="F145" i="11"/>
  <c r="E141" i="11"/>
  <c r="F141" i="11"/>
  <c r="E133" i="11"/>
  <c r="F133" i="11"/>
  <c r="E127" i="11"/>
  <c r="F127" i="11"/>
  <c r="E123" i="11"/>
  <c r="F123" i="11"/>
  <c r="E119" i="11"/>
  <c r="F119" i="11"/>
  <c r="E115" i="11"/>
  <c r="F115" i="11"/>
  <c r="E111" i="11"/>
  <c r="F111" i="11"/>
  <c r="E107" i="11"/>
  <c r="F107" i="11"/>
  <c r="E103" i="11"/>
  <c r="F103" i="11"/>
  <c r="E99" i="11"/>
  <c r="F99" i="11"/>
  <c r="E95" i="11"/>
  <c r="F95" i="11"/>
  <c r="E91" i="11"/>
  <c r="F91" i="11"/>
  <c r="E87" i="11"/>
  <c r="F87" i="11"/>
  <c r="E360" i="11"/>
  <c r="F360" i="11"/>
  <c r="E356" i="11"/>
  <c r="F356" i="11"/>
  <c r="E352" i="11"/>
  <c r="F352" i="11"/>
  <c r="E348" i="11"/>
  <c r="F348" i="11"/>
  <c r="E344" i="11"/>
  <c r="F344" i="11"/>
  <c r="E340" i="11"/>
  <c r="F340" i="11"/>
  <c r="E336" i="11"/>
  <c r="F336" i="11"/>
  <c r="E332" i="11"/>
  <c r="F332" i="11"/>
  <c r="E328" i="11"/>
  <c r="F328" i="11"/>
  <c r="E324" i="11"/>
  <c r="F324" i="11"/>
  <c r="E320" i="11"/>
  <c r="F320" i="11"/>
  <c r="E316" i="11"/>
  <c r="F316" i="11"/>
  <c r="E312" i="11"/>
  <c r="F312" i="11"/>
  <c r="E308" i="11"/>
  <c r="F308" i="11"/>
  <c r="E304" i="11"/>
  <c r="F304" i="11"/>
  <c r="E300" i="11"/>
  <c r="F300" i="11"/>
  <c r="E296" i="11"/>
  <c r="F296" i="11"/>
  <c r="E292" i="11"/>
  <c r="F292" i="11"/>
  <c r="E288" i="11"/>
  <c r="F288" i="11"/>
  <c r="E284" i="11"/>
  <c r="F284" i="11"/>
  <c r="E280" i="11"/>
  <c r="F280" i="11"/>
  <c r="E276" i="11"/>
  <c r="F276" i="11"/>
  <c r="E272" i="11"/>
  <c r="F272" i="11"/>
  <c r="E268" i="11"/>
  <c r="F268" i="11"/>
  <c r="E264" i="11"/>
  <c r="F264" i="11"/>
  <c r="E260" i="11"/>
  <c r="F260" i="11"/>
  <c r="E256" i="11"/>
  <c r="F256" i="11"/>
  <c r="E252" i="11"/>
  <c r="F252" i="11"/>
  <c r="E248" i="11"/>
  <c r="F248" i="11"/>
  <c r="E244" i="11"/>
  <c r="F244" i="11"/>
  <c r="E240" i="11"/>
  <c r="F240" i="11"/>
  <c r="E236" i="11"/>
  <c r="F236" i="11"/>
  <c r="E232" i="11"/>
  <c r="F232" i="11"/>
  <c r="E228" i="11"/>
  <c r="F228" i="11"/>
  <c r="E224" i="11"/>
  <c r="F224" i="11"/>
  <c r="E220" i="11"/>
  <c r="F220" i="11"/>
  <c r="E216" i="11"/>
  <c r="F216" i="11"/>
  <c r="E212" i="11"/>
  <c r="F212" i="11"/>
  <c r="E208" i="11"/>
  <c r="F208" i="11"/>
  <c r="E204" i="11"/>
  <c r="F204" i="11"/>
  <c r="E200" i="11"/>
  <c r="F200" i="11"/>
  <c r="E196" i="11"/>
  <c r="F196" i="11"/>
  <c r="E192" i="11"/>
  <c r="F192" i="11"/>
  <c r="E188" i="11"/>
  <c r="F188" i="11"/>
  <c r="E184" i="11"/>
  <c r="F184" i="11"/>
  <c r="E180" i="11"/>
  <c r="F180" i="11"/>
  <c r="E176" i="11"/>
  <c r="F176" i="11"/>
  <c r="E172" i="11"/>
  <c r="F172" i="11"/>
  <c r="E168" i="11"/>
  <c r="F168" i="11"/>
  <c r="E164" i="11"/>
  <c r="F164" i="11"/>
  <c r="E160" i="11"/>
  <c r="F160" i="11"/>
  <c r="E156" i="11"/>
  <c r="F156" i="11"/>
  <c r="E152" i="11"/>
  <c r="F152" i="11"/>
  <c r="E148" i="11"/>
  <c r="F148" i="11"/>
  <c r="E144" i="11"/>
  <c r="F144" i="11"/>
  <c r="E140" i="11"/>
  <c r="F140" i="11"/>
  <c r="E136" i="11"/>
  <c r="F136" i="11"/>
  <c r="Z150" i="38"/>
  <c r="G151" i="38"/>
  <c r="AC24" i="38"/>
  <c r="AC150" i="38"/>
  <c r="G8" i="38"/>
  <c r="G12" i="38"/>
  <c r="G146" i="38"/>
  <c r="J148" i="38"/>
  <c r="AC7" i="38"/>
  <c r="X4" i="38"/>
  <c r="Y4" i="38"/>
  <c r="X149" i="38"/>
  <c r="Y149" i="38"/>
  <c r="G43" i="38"/>
  <c r="AC4" i="38"/>
  <c r="G4" i="38"/>
  <c r="AC3" i="38"/>
  <c r="AC149" i="38"/>
  <c r="G149" i="38"/>
  <c r="AC147" i="38"/>
  <c r="AC6" i="38"/>
  <c r="B14" i="38"/>
  <c r="B13" i="38"/>
  <c r="F14" i="38"/>
  <c r="F13" i="38"/>
  <c r="I14" i="38"/>
  <c r="I13" i="38"/>
  <c r="V14" i="38"/>
  <c r="V13" i="38"/>
  <c r="AD14" i="38"/>
  <c r="AD13" i="38"/>
  <c r="AF14" i="38"/>
  <c r="AF13" i="38"/>
  <c r="AJ14" i="38"/>
  <c r="AJ13" i="38"/>
  <c r="B22" i="38"/>
  <c r="B21" i="38"/>
  <c r="B20" i="38"/>
  <c r="B19" i="38"/>
  <c r="B18" i="38"/>
  <c r="B17" i="38"/>
  <c r="B16" i="38"/>
  <c r="F22" i="38"/>
  <c r="F21" i="38"/>
  <c r="F20" i="38"/>
  <c r="F19" i="38"/>
  <c r="F18" i="38"/>
  <c r="F17" i="38"/>
  <c r="F16" i="38"/>
  <c r="I22" i="38"/>
  <c r="I21" i="38"/>
  <c r="I20" i="38"/>
  <c r="I19" i="38"/>
  <c r="I18" i="38"/>
  <c r="I17" i="38"/>
  <c r="I16" i="38"/>
  <c r="V22" i="38"/>
  <c r="V21" i="38"/>
  <c r="V20" i="38"/>
  <c r="V19" i="38"/>
  <c r="V18" i="38"/>
  <c r="V17" i="38"/>
  <c r="V16" i="38"/>
  <c r="AD22" i="38"/>
  <c r="AD21" i="38"/>
  <c r="AD20" i="38"/>
  <c r="AD19" i="38"/>
  <c r="AD18" i="38"/>
  <c r="AD17" i="38"/>
  <c r="AD16" i="38"/>
  <c r="AF22" i="38"/>
  <c r="AF21" i="38"/>
  <c r="AF20" i="38"/>
  <c r="AF19" i="38"/>
  <c r="AF18" i="38"/>
  <c r="AF17" i="38"/>
  <c r="AF16" i="38"/>
  <c r="AJ22" i="38"/>
  <c r="AJ21" i="38"/>
  <c r="AJ20" i="38"/>
  <c r="AJ19" i="38"/>
  <c r="AJ18" i="38"/>
  <c r="AJ17" i="38"/>
  <c r="AJ16" i="38"/>
  <c r="B178" i="31" l="1"/>
  <c r="B30" i="20"/>
  <c r="B176" i="31"/>
  <c r="B177" i="31"/>
  <c r="B41" i="20"/>
  <c r="B137" i="31"/>
  <c r="B38" i="20"/>
  <c r="B147" i="31"/>
  <c r="B241" i="20"/>
  <c r="B134" i="31"/>
  <c r="B56" i="20"/>
  <c r="B242" i="20"/>
  <c r="B148" i="31"/>
  <c r="B45" i="31"/>
  <c r="B249" i="20"/>
  <c r="B121" i="31"/>
  <c r="B220" i="20"/>
  <c r="W18" i="38"/>
  <c r="X18" i="38" s="1"/>
  <c r="W19" i="38"/>
  <c r="X19" i="38" s="1"/>
  <c r="W22" i="38"/>
  <c r="Y22" i="38" s="1"/>
  <c r="Z4" i="38"/>
  <c r="Z149" i="38"/>
  <c r="G148" i="38"/>
  <c r="AC148" i="38"/>
  <c r="W16" i="38"/>
  <c r="X16" i="38" s="1"/>
  <c r="W17" i="38"/>
  <c r="X17" i="38" s="1"/>
  <c r="W20" i="38"/>
  <c r="X20" i="38" s="1"/>
  <c r="W21" i="38"/>
  <c r="X21" i="38" s="1"/>
  <c r="W13" i="38"/>
  <c r="X13" i="38" s="1"/>
  <c r="W14" i="38"/>
  <c r="X14" i="38" s="1"/>
  <c r="A220" i="49"/>
  <c r="A221" i="49"/>
  <c r="A222" i="49"/>
  <c r="A223" i="49"/>
  <c r="A224" i="49"/>
  <c r="A225" i="49"/>
  <c r="A226" i="49"/>
  <c r="A227" i="49"/>
  <c r="A127" i="49"/>
  <c r="A128" i="49"/>
  <c r="A129" i="49"/>
  <c r="A130" i="49"/>
  <c r="A131" i="49"/>
  <c r="A132" i="49"/>
  <c r="A106" i="49"/>
  <c r="A107" i="49"/>
  <c r="A108" i="49"/>
  <c r="A109" i="49"/>
  <c r="A110" i="49"/>
  <c r="A58" i="49"/>
  <c r="A59" i="49"/>
  <c r="A23" i="49"/>
  <c r="A24" i="49"/>
  <c r="A25" i="49"/>
  <c r="G226" i="49" l="1"/>
  <c r="D226" i="49"/>
  <c r="F226" i="49"/>
  <c r="D108" i="49"/>
  <c r="F108" i="49"/>
  <c r="G108" i="49"/>
  <c r="F130" i="49"/>
  <c r="G130" i="49"/>
  <c r="D130" i="49"/>
  <c r="G227" i="49"/>
  <c r="H227" i="49"/>
  <c r="D227" i="49"/>
  <c r="F227" i="49"/>
  <c r="X22" i="38"/>
  <c r="Z22" i="38" s="1"/>
  <c r="Y19" i="38"/>
  <c r="Z19" i="38" s="1"/>
  <c r="Y18" i="38"/>
  <c r="Z18" i="38" s="1"/>
  <c r="Y20" i="38"/>
  <c r="Z20" i="38" s="1"/>
  <c r="Y21" i="38"/>
  <c r="Z21" i="38" s="1"/>
  <c r="Y16" i="38"/>
  <c r="Z16" i="38" s="1"/>
  <c r="Y13" i="38"/>
  <c r="Z13" i="38" s="1"/>
  <c r="Y17" i="38"/>
  <c r="Z17" i="38" s="1"/>
  <c r="Y14" i="38"/>
  <c r="Z14" i="38" s="1"/>
  <c r="B23" i="38"/>
  <c r="I23" i="38"/>
  <c r="V23" i="38"/>
  <c r="AD23" i="38"/>
  <c r="AF23" i="38"/>
  <c r="B27" i="38"/>
  <c r="B25" i="38"/>
  <c r="F27" i="38"/>
  <c r="F25" i="38"/>
  <c r="I27" i="38"/>
  <c r="I25" i="38"/>
  <c r="V27" i="38"/>
  <c r="V25" i="38"/>
  <c r="AD27" i="38"/>
  <c r="AD25" i="38"/>
  <c r="AF27" i="38"/>
  <c r="AF25" i="38"/>
  <c r="V1" i="38"/>
  <c r="F144" i="38"/>
  <c r="F143" i="38"/>
  <c r="F142" i="38"/>
  <c r="F140" i="38"/>
  <c r="F139" i="38"/>
  <c r="F138" i="38"/>
  <c r="F137" i="38"/>
  <c r="F136" i="38"/>
  <c r="F135" i="38"/>
  <c r="F134" i="38"/>
  <c r="F133" i="38"/>
  <c r="F132" i="38"/>
  <c r="F131" i="38"/>
  <c r="F130" i="38"/>
  <c r="F129" i="38"/>
  <c r="G131" i="49" s="1"/>
  <c r="F128" i="38"/>
  <c r="F127" i="38"/>
  <c r="F126" i="38"/>
  <c r="F124" i="38"/>
  <c r="F123" i="38"/>
  <c r="F122" i="38"/>
  <c r="G132" i="49" s="1"/>
  <c r="F121" i="38"/>
  <c r="G110" i="49" s="1"/>
  <c r="F120" i="38"/>
  <c r="F119" i="38"/>
  <c r="F118" i="38"/>
  <c r="F117" i="38"/>
  <c r="F116" i="38"/>
  <c r="F115" i="38"/>
  <c r="F114" i="38"/>
  <c r="F113" i="38"/>
  <c r="F15" i="38"/>
  <c r="F9" i="38"/>
  <c r="F112" i="38"/>
  <c r="F111" i="38"/>
  <c r="F110" i="38"/>
  <c r="G25" i="49" s="1"/>
  <c r="F109" i="38"/>
  <c r="G129" i="49" s="1"/>
  <c r="F108" i="38"/>
  <c r="F106" i="38"/>
  <c r="F105" i="38"/>
  <c r="F104" i="38"/>
  <c r="F103" i="38"/>
  <c r="F96" i="38"/>
  <c r="F93" i="38"/>
  <c r="F84" i="38"/>
  <c r="G59" i="49" s="1"/>
  <c r="F57" i="38"/>
  <c r="F56" i="38"/>
  <c r="F51" i="38"/>
  <c r="G24" i="49" s="1"/>
  <c r="F50" i="38"/>
  <c r="F48" i="38"/>
  <c r="F100" i="38"/>
  <c r="F92" i="38"/>
  <c r="F88" i="38"/>
  <c r="F87" i="38"/>
  <c r="F83" i="38"/>
  <c r="F76" i="38"/>
  <c r="F74" i="38"/>
  <c r="F73" i="38"/>
  <c r="F58" i="38"/>
  <c r="F55" i="38"/>
  <c r="F54" i="38"/>
  <c r="F49" i="38"/>
  <c r="F45" i="38"/>
  <c r="F26" i="38"/>
  <c r="F102" i="38"/>
  <c r="F101" i="38"/>
  <c r="F99" i="38"/>
  <c r="F97" i="38"/>
  <c r="F95" i="38"/>
  <c r="G220" i="49" s="1"/>
  <c r="F94" i="38"/>
  <c r="F91" i="38"/>
  <c r="F90" i="38"/>
  <c r="F89" i="38"/>
  <c r="F86" i="38"/>
  <c r="F85" i="38"/>
  <c r="F82" i="38"/>
  <c r="G58" i="49" s="1"/>
  <c r="F81" i="38"/>
  <c r="F80" i="38"/>
  <c r="F79" i="38"/>
  <c r="F78" i="38"/>
  <c r="F75" i="38"/>
  <c r="F72" i="38"/>
  <c r="F71" i="38"/>
  <c r="F70" i="38"/>
  <c r="F69" i="38"/>
  <c r="F68" i="38"/>
  <c r="F67" i="38"/>
  <c r="G224" i="49" s="1"/>
  <c r="F66" i="38"/>
  <c r="F65" i="38"/>
  <c r="F64" i="38"/>
  <c r="F63" i="38"/>
  <c r="F62" i="38"/>
  <c r="F61" i="38"/>
  <c r="F60" i="38"/>
  <c r="F59" i="38"/>
  <c r="F53" i="38"/>
  <c r="F52" i="38"/>
  <c r="G23" i="49" s="1"/>
  <c r="F47" i="38"/>
  <c r="F46" i="38"/>
  <c r="F44" i="38"/>
  <c r="F42" i="38"/>
  <c r="F41" i="38"/>
  <c r="F40" i="38"/>
  <c r="F39" i="38"/>
  <c r="G222" i="49" s="1"/>
  <c r="F37" i="38"/>
  <c r="F36" i="38"/>
  <c r="F35" i="38"/>
  <c r="F34" i="38"/>
  <c r="F33" i="38"/>
  <c r="F32" i="38"/>
  <c r="F31" i="38"/>
  <c r="F30" i="38"/>
  <c r="G106" i="49" s="1"/>
  <c r="F29" i="38"/>
  <c r="F28" i="38"/>
  <c r="AF145" i="38"/>
  <c r="B42" i="38"/>
  <c r="B41" i="38"/>
  <c r="B40" i="38"/>
  <c r="B39" i="38"/>
  <c r="D222" i="49" s="1"/>
  <c r="B37" i="38"/>
  <c r="B36" i="38"/>
  <c r="B35" i="38"/>
  <c r="B34" i="38"/>
  <c r="B33" i="38"/>
  <c r="B32" i="38"/>
  <c r="B31" i="38"/>
  <c r="B30" i="38"/>
  <c r="B29" i="38"/>
  <c r="B28" i="38"/>
  <c r="I42" i="38"/>
  <c r="I41" i="38"/>
  <c r="I40" i="38"/>
  <c r="I39" i="38"/>
  <c r="I37" i="38"/>
  <c r="I36" i="38"/>
  <c r="I35" i="38"/>
  <c r="I34" i="38"/>
  <c r="I33" i="38"/>
  <c r="I32" i="38"/>
  <c r="I31" i="38"/>
  <c r="I30" i="38"/>
  <c r="I29" i="38"/>
  <c r="I28" i="38"/>
  <c r="V42" i="38"/>
  <c r="V41" i="38"/>
  <c r="V40" i="38"/>
  <c r="V39" i="38"/>
  <c r="F222" i="49" s="1"/>
  <c r="V37" i="38"/>
  <c r="V36" i="38"/>
  <c r="V35" i="38"/>
  <c r="V34" i="38"/>
  <c r="V33" i="38"/>
  <c r="V32" i="38"/>
  <c r="V31" i="38"/>
  <c r="V30" i="38"/>
  <c r="V29" i="38"/>
  <c r="V28" i="38"/>
  <c r="AD42" i="38"/>
  <c r="AD41" i="38"/>
  <c r="AD40" i="38"/>
  <c r="AD39" i="38"/>
  <c r="AD37" i="38"/>
  <c r="AD36" i="38"/>
  <c r="AD35" i="38"/>
  <c r="AD34" i="38"/>
  <c r="AD33" i="38"/>
  <c r="AD32" i="38"/>
  <c r="AD31" i="38"/>
  <c r="AD30" i="38"/>
  <c r="AD29" i="38"/>
  <c r="AD28" i="38"/>
  <c r="AF42" i="38"/>
  <c r="AF41" i="38"/>
  <c r="AF40" i="38"/>
  <c r="AF39" i="38"/>
  <c r="AF37" i="38"/>
  <c r="AF36" i="38"/>
  <c r="AF35" i="38"/>
  <c r="AF34" i="38"/>
  <c r="AF33" i="38"/>
  <c r="AF32" i="38"/>
  <c r="AF31" i="38"/>
  <c r="AF30" i="38"/>
  <c r="AF29" i="38"/>
  <c r="AF28" i="38"/>
  <c r="G221" i="49" l="1"/>
  <c r="G225" i="49"/>
  <c r="G223" i="49"/>
  <c r="B13" i="20"/>
  <c r="B203" i="31"/>
  <c r="B94" i="20"/>
  <c r="B257" i="31"/>
  <c r="B217" i="20"/>
  <c r="B149" i="31"/>
  <c r="B156" i="31"/>
  <c r="B68" i="20"/>
  <c r="B63" i="20"/>
  <c r="B153" i="31"/>
  <c r="B192" i="20"/>
  <c r="B150" i="31"/>
  <c r="B131" i="31"/>
  <c r="B42" i="20"/>
  <c r="G128" i="49"/>
  <c r="G109" i="49"/>
  <c r="G127" i="49"/>
  <c r="B77" i="31"/>
  <c r="B183" i="20"/>
  <c r="B223" i="20"/>
  <c r="B26" i="31"/>
  <c r="G107" i="49"/>
  <c r="B256" i="20"/>
  <c r="B67" i="31"/>
  <c r="B115" i="31"/>
  <c r="B225" i="20"/>
  <c r="B209" i="20"/>
  <c r="B116" i="31"/>
  <c r="AE288" i="38"/>
  <c r="AE287" i="38"/>
  <c r="AE291" i="38"/>
  <c r="AE289" i="38"/>
  <c r="AE290" i="38"/>
  <c r="AE285" i="38"/>
  <c r="AE281" i="38"/>
  <c r="AE286" i="38"/>
  <c r="AE282" i="38"/>
  <c r="AE283" i="38"/>
  <c r="AE284" i="38"/>
  <c r="AE157" i="38"/>
  <c r="AE165" i="38"/>
  <c r="AE173" i="38"/>
  <c r="AE181" i="38"/>
  <c r="AE186" i="38"/>
  <c r="AE197" i="38"/>
  <c r="AE202" i="38"/>
  <c r="AE213" i="38"/>
  <c r="AE218" i="38"/>
  <c r="AE229" i="38"/>
  <c r="AE234" i="38"/>
  <c r="AE245" i="38"/>
  <c r="AE250" i="38"/>
  <c r="AE261" i="38"/>
  <c r="AE266" i="38"/>
  <c r="AE277" i="38"/>
  <c r="AE158" i="38"/>
  <c r="AE166" i="38"/>
  <c r="AE174" i="38"/>
  <c r="AE182" i="38"/>
  <c r="AE193" i="38"/>
  <c r="AE198" i="38"/>
  <c r="AE209" i="38"/>
  <c r="AE214" i="38"/>
  <c r="AE225" i="38"/>
  <c r="AE230" i="38"/>
  <c r="AE241" i="38"/>
  <c r="AE246" i="38"/>
  <c r="AE257" i="38"/>
  <c r="AE262" i="38"/>
  <c r="AE273" i="38"/>
  <c r="AE278" i="38"/>
  <c r="AE153" i="38"/>
  <c r="AE161" i="38"/>
  <c r="AE169" i="38"/>
  <c r="AE177" i="38"/>
  <c r="AE184" i="38"/>
  <c r="AE189" i="38"/>
  <c r="AE194" i="38"/>
  <c r="AE200" i="38"/>
  <c r="AE205" i="38"/>
  <c r="AE210" i="38"/>
  <c r="AE216" i="38"/>
  <c r="AE221" i="38"/>
  <c r="AE226" i="38"/>
  <c r="AE232" i="38"/>
  <c r="AE237" i="38"/>
  <c r="AE242" i="38"/>
  <c r="AE248" i="38"/>
  <c r="AE253" i="38"/>
  <c r="AE258" i="38"/>
  <c r="AE264" i="38"/>
  <c r="AE269" i="38"/>
  <c r="AE274" i="38"/>
  <c r="AE280" i="38"/>
  <c r="AE154" i="38"/>
  <c r="AE162" i="38"/>
  <c r="AE170" i="38"/>
  <c r="AE178" i="38"/>
  <c r="AE185" i="38"/>
  <c r="AE190" i="38"/>
  <c r="AE196" i="38"/>
  <c r="AE201" i="38"/>
  <c r="AE206" i="38"/>
  <c r="AE212" i="38"/>
  <c r="AE217" i="38"/>
  <c r="AE222" i="38"/>
  <c r="AE228" i="38"/>
  <c r="AE233" i="38"/>
  <c r="AE238" i="38"/>
  <c r="AE244" i="38"/>
  <c r="AE249" i="38"/>
  <c r="AE254" i="38"/>
  <c r="AE260" i="38"/>
  <c r="AE265" i="38"/>
  <c r="AE270" i="38"/>
  <c r="AE276" i="38"/>
  <c r="AE279" i="38"/>
  <c r="AE271" i="38"/>
  <c r="AE263" i="38"/>
  <c r="AE255" i="38"/>
  <c r="AE247" i="38"/>
  <c r="AE239" i="38"/>
  <c r="AE252" i="38"/>
  <c r="AE188" i="38"/>
  <c r="AE272" i="38"/>
  <c r="AE208" i="38"/>
  <c r="AE227" i="38"/>
  <c r="AE211" i="38"/>
  <c r="AE195" i="38"/>
  <c r="AE236" i="38"/>
  <c r="AE256" i="38"/>
  <c r="AE192" i="38"/>
  <c r="AE180" i="38"/>
  <c r="AE172" i="38"/>
  <c r="AE164" i="38"/>
  <c r="AE156" i="38"/>
  <c r="AE275" i="38"/>
  <c r="AE267" i="38"/>
  <c r="AE259" i="38"/>
  <c r="AE251" i="38"/>
  <c r="AE243" i="38"/>
  <c r="AE235" i="38"/>
  <c r="AE219" i="38"/>
  <c r="AE203" i="38"/>
  <c r="AE187" i="38"/>
  <c r="AE179" i="38"/>
  <c r="AE171" i="38"/>
  <c r="AE163" i="38"/>
  <c r="AE155" i="38"/>
  <c r="AE220" i="38"/>
  <c r="AE240" i="38"/>
  <c r="AE176" i="38"/>
  <c r="AE168" i="38"/>
  <c r="AE160" i="38"/>
  <c r="AE231" i="38"/>
  <c r="AE223" i="38"/>
  <c r="AE215" i="38"/>
  <c r="AE207" i="38"/>
  <c r="AE199" i="38"/>
  <c r="AE191" i="38"/>
  <c r="AE183" i="38"/>
  <c r="AE175" i="38"/>
  <c r="AE167" i="38"/>
  <c r="AE159" i="38"/>
  <c r="AE268" i="38"/>
  <c r="AE204" i="38"/>
  <c r="AE224" i="38"/>
  <c r="W25" i="38"/>
  <c r="X25" i="38" s="1"/>
  <c r="W33" i="38"/>
  <c r="Y33" i="38" s="1"/>
  <c r="W34" i="38"/>
  <c r="X34" i="38" s="1"/>
  <c r="W29" i="38"/>
  <c r="Y29" i="38" s="1"/>
  <c r="W37" i="38"/>
  <c r="Y37" i="38" s="1"/>
  <c r="AE152" i="38"/>
  <c r="AE11" i="38"/>
  <c r="AE151" i="38"/>
  <c r="AE43" i="38"/>
  <c r="AE8" i="38"/>
  <c r="AE12" i="38"/>
  <c r="AE7" i="38"/>
  <c r="AE6" i="38"/>
  <c r="AE150" i="38"/>
  <c r="AE24" i="38"/>
  <c r="AE4" i="38"/>
  <c r="AE3" i="38"/>
  <c r="AE146" i="38"/>
  <c r="AE149" i="38"/>
  <c r="AE10" i="38"/>
  <c r="AE147" i="38"/>
  <c r="AE148" i="38"/>
  <c r="W27" i="38"/>
  <c r="X27" i="38" s="1"/>
  <c r="AE41" i="38"/>
  <c r="AE34" i="38"/>
  <c r="AE42" i="38"/>
  <c r="AE14" i="38"/>
  <c r="AE20" i="38"/>
  <c r="AE18" i="38"/>
  <c r="AE13" i="38"/>
  <c r="AE22" i="38"/>
  <c r="AE17" i="38"/>
  <c r="AE16" i="38"/>
  <c r="AE21" i="38"/>
  <c r="AE19" i="38"/>
  <c r="AE28" i="38"/>
  <c r="AE29" i="38"/>
  <c r="AE37" i="38"/>
  <c r="AE36" i="38"/>
  <c r="AE30" i="38"/>
  <c r="AE33" i="38"/>
  <c r="AE32" i="38"/>
  <c r="AE40" i="38"/>
  <c r="AE39" i="38"/>
  <c r="W30" i="38"/>
  <c r="X30" i="38" s="1"/>
  <c r="W40" i="38"/>
  <c r="X40" i="38" s="1"/>
  <c r="W41" i="38"/>
  <c r="Y41" i="38" s="1"/>
  <c r="J16" i="38"/>
  <c r="J20" i="38"/>
  <c r="J19" i="38"/>
  <c r="J18" i="38"/>
  <c r="J17" i="38"/>
  <c r="J22" i="38"/>
  <c r="J21" i="38"/>
  <c r="J13" i="38"/>
  <c r="J14" i="38"/>
  <c r="W23" i="38"/>
  <c r="X23" i="38" s="1"/>
  <c r="W32" i="38"/>
  <c r="X32" i="38" s="1"/>
  <c r="W36" i="38"/>
  <c r="Y36" i="38" s="1"/>
  <c r="W42" i="38"/>
  <c r="X42" i="38" s="1"/>
  <c r="J23" i="38"/>
  <c r="G23" i="38" s="1"/>
  <c r="J25" i="38"/>
  <c r="AC25" i="38" s="1"/>
  <c r="J27" i="38"/>
  <c r="AC27" i="38" s="1"/>
  <c r="AE23" i="38"/>
  <c r="W31" i="38"/>
  <c r="Y31" i="38" s="1"/>
  <c r="W35" i="38"/>
  <c r="X35" i="38" s="1"/>
  <c r="W28" i="38"/>
  <c r="X28" i="38" s="1"/>
  <c r="W39" i="38"/>
  <c r="Y39" i="38" s="1"/>
  <c r="AE25" i="38"/>
  <c r="AE27" i="38"/>
  <c r="J32" i="38"/>
  <c r="G32" i="38" s="1"/>
  <c r="J34" i="38"/>
  <c r="G34" i="38" s="1"/>
  <c r="J40" i="38"/>
  <c r="G40" i="38" s="1"/>
  <c r="J31" i="38"/>
  <c r="G31" i="38" s="1"/>
  <c r="J35" i="38"/>
  <c r="G35" i="38" s="1"/>
  <c r="J39" i="38"/>
  <c r="G39" i="38" s="1"/>
  <c r="H222" i="49" s="1"/>
  <c r="J28" i="38"/>
  <c r="AC28" i="38" s="1"/>
  <c r="J36" i="38"/>
  <c r="G36" i="38" s="1"/>
  <c r="J29" i="38"/>
  <c r="AC29" i="38" s="1"/>
  <c r="J33" i="38"/>
  <c r="AC33" i="38" s="1"/>
  <c r="J37" i="38"/>
  <c r="AC37" i="38" s="1"/>
  <c r="J41" i="38"/>
  <c r="G41" i="38" s="1"/>
  <c r="J30" i="38"/>
  <c r="G30" i="38" s="1"/>
  <c r="J42" i="38"/>
  <c r="G42" i="38" s="1"/>
  <c r="AE31" i="38"/>
  <c r="AE35" i="38"/>
  <c r="X37" i="38" l="1"/>
  <c r="Z37" i="38" s="1"/>
  <c r="Y34" i="38"/>
  <c r="Z34" i="38" s="1"/>
  <c r="X29" i="38"/>
  <c r="Z29" i="38" s="1"/>
  <c r="X33" i="38"/>
  <c r="Z33" i="38" s="1"/>
  <c r="Y28" i="38"/>
  <c r="Z28" i="38" s="1"/>
  <c r="Y27" i="38"/>
  <c r="Z27" i="38" s="1"/>
  <c r="Y25" i="38"/>
  <c r="Z25" i="38" s="1"/>
  <c r="G27" i="38"/>
  <c r="X31" i="38"/>
  <c r="Z31" i="38" s="1"/>
  <c r="Y42" i="38"/>
  <c r="Z42" i="38" s="1"/>
  <c r="Y30" i="38"/>
  <c r="Z30" i="38" s="1"/>
  <c r="AC23" i="38"/>
  <c r="X41" i="38"/>
  <c r="Z41" i="38" s="1"/>
  <c r="G18" i="38"/>
  <c r="AC18" i="38"/>
  <c r="Y32" i="38"/>
  <c r="Z32" i="38" s="1"/>
  <c r="AC19" i="38"/>
  <c r="G19" i="38"/>
  <c r="AC22" i="38"/>
  <c r="G22" i="38"/>
  <c r="X36" i="38"/>
  <c r="Z36" i="38" s="1"/>
  <c r="Y40" i="38"/>
  <c r="Z40" i="38" s="1"/>
  <c r="Y23" i="38"/>
  <c r="Z23" i="38" s="1"/>
  <c r="AC13" i="38"/>
  <c r="G13" i="38"/>
  <c r="AC21" i="38"/>
  <c r="G21" i="38"/>
  <c r="AC20" i="38"/>
  <c r="G20" i="38"/>
  <c r="AC14" i="38"/>
  <c r="G14" i="38"/>
  <c r="G17" i="38"/>
  <c r="AC17" i="38"/>
  <c r="AC16" i="38"/>
  <c r="G16" i="38"/>
  <c r="G25" i="38"/>
  <c r="Y35" i="38"/>
  <c r="Z35" i="38" s="1"/>
  <c r="X39" i="38"/>
  <c r="Z39" i="38" s="1"/>
  <c r="AC35" i="38"/>
  <c r="G33" i="38"/>
  <c r="AC34" i="38"/>
  <c r="AC39" i="38"/>
  <c r="AC32" i="38"/>
  <c r="AC31" i="38"/>
  <c r="G37" i="38"/>
  <c r="G28" i="38"/>
  <c r="AC41" i="38"/>
  <c r="AC40" i="38"/>
  <c r="G29" i="38"/>
  <c r="AC30" i="38"/>
  <c r="AC36" i="38"/>
  <c r="AC42" i="38"/>
  <c r="H226" i="49" l="1"/>
  <c r="F489" i="69"/>
  <c r="F490" i="69"/>
  <c r="F491" i="69"/>
  <c r="F492" i="69"/>
  <c r="F493" i="69"/>
  <c r="F494" i="69"/>
  <c r="F495" i="69"/>
  <c r="F496" i="69"/>
  <c r="F497" i="69"/>
  <c r="F498" i="69"/>
  <c r="F499" i="69"/>
  <c r="F500" i="69"/>
  <c r="A489" i="69"/>
  <c r="E489" i="69" s="1"/>
  <c r="A490" i="69"/>
  <c r="E490" i="69" s="1"/>
  <c r="A491" i="69"/>
  <c r="E491" i="69" s="1"/>
  <c r="A492" i="69"/>
  <c r="E492" i="69" s="1"/>
  <c r="A493" i="69"/>
  <c r="E493" i="69" s="1"/>
  <c r="A494" i="69"/>
  <c r="E494" i="69" s="1"/>
  <c r="A495" i="69"/>
  <c r="E495" i="69" s="1"/>
  <c r="A496" i="69"/>
  <c r="E496" i="69" s="1"/>
  <c r="A497" i="69"/>
  <c r="E497" i="69" s="1"/>
  <c r="A498" i="69"/>
  <c r="E498" i="69" s="1"/>
  <c r="A499" i="69"/>
  <c r="E499" i="69" s="1"/>
  <c r="A500" i="69"/>
  <c r="E500" i="69" s="1"/>
  <c r="B145" i="38" l="1"/>
  <c r="I145" i="38"/>
  <c r="J145" i="38" s="1"/>
  <c r="V145" i="38"/>
  <c r="AD145" i="38"/>
  <c r="B46" i="38"/>
  <c r="I46" i="38"/>
  <c r="V46" i="38"/>
  <c r="AD46" i="38"/>
  <c r="AF46" i="38"/>
  <c r="B47" i="38"/>
  <c r="I47" i="38"/>
  <c r="V47" i="38"/>
  <c r="AD47" i="38"/>
  <c r="AF47" i="38"/>
  <c r="B121" i="20" l="1"/>
  <c r="B269" i="31"/>
  <c r="B104" i="20"/>
  <c r="B182" i="31"/>
  <c r="W145" i="38"/>
  <c r="Y145" i="38" s="1"/>
  <c r="W46" i="38"/>
  <c r="X46" i="38" s="1"/>
  <c r="AE145" i="38"/>
  <c r="AE46" i="38"/>
  <c r="AE47" i="38"/>
  <c r="W47" i="38"/>
  <c r="X47" i="38" s="1"/>
  <c r="AA2" i="66"/>
  <c r="X145" i="38" l="1"/>
  <c r="Z145" i="38" s="1"/>
  <c r="Y46" i="38"/>
  <c r="Z46" i="38" s="1"/>
  <c r="Y47" i="38"/>
  <c r="Z47" i="38" s="1"/>
  <c r="A321" i="49" l="1"/>
  <c r="A320" i="49"/>
  <c r="A319" i="49"/>
  <c r="A318" i="49"/>
  <c r="A317" i="49"/>
  <c r="A316" i="49"/>
  <c r="A315" i="49"/>
  <c r="A314" i="49"/>
  <c r="A313" i="49"/>
  <c r="A312" i="49"/>
  <c r="A311" i="49"/>
  <c r="A310" i="49"/>
  <c r="A309" i="49"/>
  <c r="A308" i="49"/>
  <c r="A307" i="49"/>
  <c r="A306" i="49"/>
  <c r="A305" i="49"/>
  <c r="A304" i="49"/>
  <c r="A303" i="49"/>
  <c r="A302" i="49"/>
  <c r="A301" i="49"/>
  <c r="A300" i="49"/>
  <c r="A299" i="49"/>
  <c r="A298" i="49"/>
  <c r="A297" i="49"/>
  <c r="A296" i="49"/>
  <c r="A295" i="49"/>
  <c r="A294" i="49"/>
  <c r="A293" i="49"/>
  <c r="A292" i="49"/>
  <c r="A291" i="49"/>
  <c r="A290" i="49"/>
  <c r="A289" i="49"/>
  <c r="A288" i="49"/>
  <c r="A287" i="49"/>
  <c r="A286" i="49"/>
  <c r="A285" i="49"/>
  <c r="A284" i="49"/>
  <c r="A283" i="49"/>
  <c r="A282" i="49"/>
  <c r="A281" i="49"/>
  <c r="A280" i="49"/>
  <c r="A279" i="49"/>
  <c r="A278" i="49"/>
  <c r="A277" i="49"/>
  <c r="A276" i="49"/>
  <c r="A275" i="49"/>
  <c r="A274" i="49"/>
  <c r="A273" i="49"/>
  <c r="A272" i="49"/>
  <c r="A271" i="49"/>
  <c r="A270" i="49"/>
  <c r="A269" i="49"/>
  <c r="A268" i="49"/>
  <c r="A267" i="49"/>
  <c r="A266" i="49"/>
  <c r="A265" i="49"/>
  <c r="A264" i="49"/>
  <c r="A263" i="49"/>
  <c r="A262" i="49"/>
  <c r="A261" i="49"/>
  <c r="A260" i="49"/>
  <c r="A259" i="49"/>
  <c r="A258" i="49"/>
  <c r="A257" i="49"/>
  <c r="A256" i="49"/>
  <c r="A255" i="49"/>
  <c r="A254" i="49"/>
  <c r="A253" i="49"/>
  <c r="A252" i="49"/>
  <c r="A251" i="49"/>
  <c r="A250" i="49"/>
  <c r="A249" i="49"/>
  <c r="A248" i="49"/>
  <c r="A247" i="49"/>
  <c r="A246" i="49"/>
  <c r="A245" i="49"/>
  <c r="A244" i="49"/>
  <c r="A243" i="49"/>
  <c r="A242" i="49"/>
  <c r="A241" i="49"/>
  <c r="A240" i="49"/>
  <c r="A239" i="49"/>
  <c r="A238" i="49"/>
  <c r="A237" i="49"/>
  <c r="A236" i="49"/>
  <c r="A235" i="49"/>
  <c r="A234" i="49"/>
  <c r="A233" i="49"/>
  <c r="A232" i="49"/>
  <c r="A231" i="49"/>
  <c r="A230" i="49"/>
  <c r="A229" i="49"/>
  <c r="A228" i="49"/>
  <c r="X223" i="49"/>
  <c r="W223" i="49"/>
  <c r="T223" i="49"/>
  <c r="S223" i="49"/>
  <c r="P223" i="49"/>
  <c r="O223" i="49"/>
  <c r="L223" i="49"/>
  <c r="K223" i="49"/>
  <c r="C223" i="49"/>
  <c r="E223" i="49" s="1"/>
  <c r="V223" i="49"/>
  <c r="X222" i="49"/>
  <c r="W222" i="49"/>
  <c r="T222" i="49"/>
  <c r="S222" i="49"/>
  <c r="P222" i="49"/>
  <c r="O222" i="49"/>
  <c r="L222" i="49"/>
  <c r="K222" i="49"/>
  <c r="C222" i="49"/>
  <c r="E222" i="49" s="1"/>
  <c r="V222" i="49"/>
  <c r="X221" i="49"/>
  <c r="W221" i="49"/>
  <c r="T221" i="49"/>
  <c r="S221" i="49"/>
  <c r="P221" i="49"/>
  <c r="O221" i="49"/>
  <c r="L221" i="49"/>
  <c r="K221" i="49"/>
  <c r="C221" i="49"/>
  <c r="E221" i="49" s="1"/>
  <c r="V221" i="49"/>
  <c r="A219" i="49"/>
  <c r="A218" i="49"/>
  <c r="A217" i="49"/>
  <c r="A216" i="49"/>
  <c r="A215" i="49"/>
  <c r="A214" i="49"/>
  <c r="A213" i="49"/>
  <c r="A212" i="49"/>
  <c r="A211" i="49"/>
  <c r="A210" i="49"/>
  <c r="A209" i="49"/>
  <c r="A208" i="49"/>
  <c r="A207" i="49"/>
  <c r="A206" i="49"/>
  <c r="A205" i="49"/>
  <c r="A204" i="49"/>
  <c r="A203" i="49"/>
  <c r="A202" i="49"/>
  <c r="A201" i="49"/>
  <c r="A200" i="49"/>
  <c r="A199" i="49"/>
  <c r="A198" i="49"/>
  <c r="A197" i="49"/>
  <c r="A196" i="49"/>
  <c r="A195" i="49"/>
  <c r="A194" i="49"/>
  <c r="A193" i="49"/>
  <c r="A192" i="49"/>
  <c r="A191" i="49"/>
  <c r="A190" i="49"/>
  <c r="A189" i="49"/>
  <c r="A188" i="49"/>
  <c r="A187" i="49"/>
  <c r="A186" i="49"/>
  <c r="A185" i="49"/>
  <c r="A184" i="49"/>
  <c r="A183" i="49"/>
  <c r="A182" i="49"/>
  <c r="A181" i="49"/>
  <c r="A180" i="49"/>
  <c r="A179" i="49"/>
  <c r="A178" i="49"/>
  <c r="A177" i="49"/>
  <c r="A176" i="49"/>
  <c r="A175" i="49"/>
  <c r="A174" i="49"/>
  <c r="A173" i="49"/>
  <c r="A172" i="49"/>
  <c r="A171" i="49"/>
  <c r="A170" i="49"/>
  <c r="A169" i="49"/>
  <c r="A168" i="49"/>
  <c r="A167" i="49"/>
  <c r="A166" i="49"/>
  <c r="A165" i="49"/>
  <c r="A164" i="49"/>
  <c r="A163" i="49"/>
  <c r="A162" i="49"/>
  <c r="A161" i="49"/>
  <c r="A160" i="49"/>
  <c r="A159" i="49"/>
  <c r="A158" i="49"/>
  <c r="A157" i="49"/>
  <c r="A156" i="49"/>
  <c r="A155" i="49"/>
  <c r="A154" i="49"/>
  <c r="A153" i="49"/>
  <c r="A152" i="49"/>
  <c r="A151" i="49"/>
  <c r="A150" i="49"/>
  <c r="A149" i="49"/>
  <c r="A148" i="49"/>
  <c r="A147" i="49"/>
  <c r="A146" i="49"/>
  <c r="A145" i="49"/>
  <c r="A144" i="49"/>
  <c r="A143" i="49"/>
  <c r="A142" i="49"/>
  <c r="A141" i="49"/>
  <c r="A140" i="49"/>
  <c r="A139" i="49"/>
  <c r="A138" i="49"/>
  <c r="A137" i="49"/>
  <c r="A136" i="49"/>
  <c r="A135" i="49"/>
  <c r="A134" i="49"/>
  <c r="A133" i="49"/>
  <c r="X128" i="49"/>
  <c r="W128" i="49"/>
  <c r="V128" i="49"/>
  <c r="T128" i="49"/>
  <c r="S128" i="49"/>
  <c r="R128" i="49"/>
  <c r="P128" i="49"/>
  <c r="O128" i="49"/>
  <c r="N128" i="49"/>
  <c r="L128" i="49"/>
  <c r="K128" i="49"/>
  <c r="J128" i="49"/>
  <c r="C128" i="49"/>
  <c r="E128" i="49" s="1"/>
  <c r="B128" i="49"/>
  <c r="Y128" i="49"/>
  <c r="X127" i="49"/>
  <c r="W127" i="49"/>
  <c r="V127" i="49"/>
  <c r="T127" i="49"/>
  <c r="S127" i="49"/>
  <c r="R127" i="49"/>
  <c r="P127" i="49"/>
  <c r="O127" i="49"/>
  <c r="N127" i="49"/>
  <c r="L127" i="49"/>
  <c r="K127" i="49"/>
  <c r="J127" i="49"/>
  <c r="C127" i="49"/>
  <c r="E127" i="49" s="1"/>
  <c r="B127" i="49"/>
  <c r="Y127" i="49"/>
  <c r="A126" i="49"/>
  <c r="A125" i="49"/>
  <c r="A124" i="49"/>
  <c r="A123" i="49"/>
  <c r="A122" i="49"/>
  <c r="A121" i="49"/>
  <c r="A120" i="49"/>
  <c r="A119" i="49"/>
  <c r="A118" i="49"/>
  <c r="A117" i="49"/>
  <c r="A116" i="49"/>
  <c r="A115" i="49"/>
  <c r="A114" i="49"/>
  <c r="A113" i="49"/>
  <c r="A112" i="49"/>
  <c r="A111" i="49"/>
  <c r="X107" i="49"/>
  <c r="W107" i="49"/>
  <c r="V107" i="49"/>
  <c r="T107" i="49"/>
  <c r="S107" i="49"/>
  <c r="R107" i="49"/>
  <c r="P107" i="49"/>
  <c r="O107" i="49"/>
  <c r="N107" i="49"/>
  <c r="L107" i="49"/>
  <c r="K107" i="49"/>
  <c r="J107" i="49"/>
  <c r="C107" i="49"/>
  <c r="E107" i="49" s="1"/>
  <c r="B107" i="49"/>
  <c r="Y107" i="49"/>
  <c r="A105" i="49"/>
  <c r="A104" i="49"/>
  <c r="A103" i="49"/>
  <c r="A102" i="49"/>
  <c r="A101" i="49"/>
  <c r="A100" i="49"/>
  <c r="A99" i="49"/>
  <c r="A98" i="49"/>
  <c r="A97" i="49"/>
  <c r="A96" i="49"/>
  <c r="A95" i="49"/>
  <c r="A94" i="49"/>
  <c r="A93" i="49"/>
  <c r="A92" i="49"/>
  <c r="A91" i="49"/>
  <c r="A90" i="49"/>
  <c r="A89" i="49"/>
  <c r="A88" i="49"/>
  <c r="A87" i="49"/>
  <c r="A86" i="49"/>
  <c r="A85" i="49"/>
  <c r="A84" i="49"/>
  <c r="A83" i="49"/>
  <c r="A82" i="49"/>
  <c r="A81" i="49"/>
  <c r="A80" i="49"/>
  <c r="A79" i="49"/>
  <c r="A78" i="49"/>
  <c r="A77" i="49"/>
  <c r="A76" i="49"/>
  <c r="A75" i="49"/>
  <c r="A74" i="49"/>
  <c r="A73" i="49"/>
  <c r="A72" i="49"/>
  <c r="A71" i="49"/>
  <c r="A70" i="49"/>
  <c r="A69" i="49"/>
  <c r="A68" i="49"/>
  <c r="A67" i="49"/>
  <c r="A66" i="49"/>
  <c r="A65" i="49"/>
  <c r="A64" i="49"/>
  <c r="A63" i="49"/>
  <c r="A62" i="49"/>
  <c r="A61" i="49"/>
  <c r="A60" i="49"/>
  <c r="X58" i="49"/>
  <c r="R58" i="49"/>
  <c r="M58" i="49"/>
  <c r="B58" i="49"/>
  <c r="A57" i="49"/>
  <c r="A56" i="49"/>
  <c r="A55" i="49"/>
  <c r="A54" i="49"/>
  <c r="A53" i="49"/>
  <c r="A52" i="49"/>
  <c r="A51" i="49"/>
  <c r="A50" i="49"/>
  <c r="A49" i="49"/>
  <c r="A48" i="49"/>
  <c r="A47" i="49"/>
  <c r="A46" i="49"/>
  <c r="A45" i="49"/>
  <c r="A44" i="49"/>
  <c r="A43" i="49"/>
  <c r="A42" i="49"/>
  <c r="A41" i="49"/>
  <c r="A40" i="49"/>
  <c r="A39" i="49"/>
  <c r="A38" i="49"/>
  <c r="A37" i="49"/>
  <c r="A36" i="49"/>
  <c r="A35" i="49"/>
  <c r="A34" i="49"/>
  <c r="A33" i="49"/>
  <c r="A32" i="49"/>
  <c r="A31" i="49"/>
  <c r="A30" i="49"/>
  <c r="A29" i="49"/>
  <c r="A28" i="49"/>
  <c r="A27" i="49"/>
  <c r="A26" i="49"/>
  <c r="Y25" i="49"/>
  <c r="X25" i="49"/>
  <c r="W25" i="49"/>
  <c r="V25" i="49"/>
  <c r="U25" i="49"/>
  <c r="T25" i="49"/>
  <c r="S25" i="49"/>
  <c r="R25" i="49"/>
  <c r="Q25" i="49"/>
  <c r="P25" i="49"/>
  <c r="O25" i="49"/>
  <c r="N25" i="49"/>
  <c r="M25" i="49"/>
  <c r="L25" i="49"/>
  <c r="K25" i="49"/>
  <c r="J25" i="49"/>
  <c r="C25" i="49"/>
  <c r="E25" i="49" s="1"/>
  <c r="B25" i="49"/>
  <c r="Y23" i="49"/>
  <c r="X23" i="49"/>
  <c r="W23" i="49"/>
  <c r="V23" i="49"/>
  <c r="U23" i="49"/>
  <c r="T23" i="49"/>
  <c r="S23" i="49"/>
  <c r="R23" i="49"/>
  <c r="Q23" i="49"/>
  <c r="P23" i="49"/>
  <c r="O23" i="49"/>
  <c r="N23" i="49"/>
  <c r="M23" i="49"/>
  <c r="L23" i="49"/>
  <c r="K23" i="49"/>
  <c r="J23" i="49"/>
  <c r="C23" i="49"/>
  <c r="E23" i="49" s="1"/>
  <c r="B23" i="49"/>
  <c r="A22" i="49"/>
  <c r="A21" i="49"/>
  <c r="A20" i="49"/>
  <c r="A19" i="49"/>
  <c r="A18" i="49"/>
  <c r="A17" i="49"/>
  <c r="A16" i="49"/>
  <c r="A15" i="49"/>
  <c r="A14" i="49"/>
  <c r="A13" i="49"/>
  <c r="A12" i="49"/>
  <c r="A11" i="49"/>
  <c r="A10" i="49"/>
  <c r="A9" i="49"/>
  <c r="A8" i="49"/>
  <c r="A7" i="49"/>
  <c r="A6" i="49"/>
  <c r="A3" i="49"/>
  <c r="A1" i="49"/>
  <c r="B3" i="34"/>
  <c r="B1" i="34"/>
  <c r="AZ53" i="52"/>
  <c r="AY53" i="52"/>
  <c r="AX53" i="52"/>
  <c r="AW53" i="52"/>
  <c r="AV53" i="52"/>
  <c r="AU53" i="52"/>
  <c r="AT53" i="52"/>
  <c r="AS53" i="52"/>
  <c r="AR53" i="52"/>
  <c r="AP53" i="52"/>
  <c r="AZ52" i="52"/>
  <c r="AY52" i="52"/>
  <c r="AX52" i="52"/>
  <c r="AW52" i="52"/>
  <c r="AV52" i="52"/>
  <c r="AU52" i="52"/>
  <c r="AT52" i="52"/>
  <c r="AS52" i="52"/>
  <c r="AR52" i="52"/>
  <c r="AP52" i="52"/>
  <c r="AZ51" i="52"/>
  <c r="AY51" i="52"/>
  <c r="AX51" i="52"/>
  <c r="AW51" i="52"/>
  <c r="AV51" i="52"/>
  <c r="AU51" i="52"/>
  <c r="AT51" i="52"/>
  <c r="AS51" i="52"/>
  <c r="AR51" i="52"/>
  <c r="AP51" i="52"/>
  <c r="AZ50" i="52"/>
  <c r="AY50" i="52"/>
  <c r="AX50" i="52"/>
  <c r="AW50" i="52"/>
  <c r="AV50" i="52"/>
  <c r="AU50" i="52"/>
  <c r="AT50" i="52"/>
  <c r="AS50" i="52"/>
  <c r="AR50" i="52"/>
  <c r="AP50" i="52"/>
  <c r="AZ49" i="52"/>
  <c r="AY49" i="52"/>
  <c r="AX49" i="52"/>
  <c r="AW49" i="52"/>
  <c r="AV49" i="52"/>
  <c r="AU49" i="52"/>
  <c r="AT49" i="52"/>
  <c r="AS49" i="52"/>
  <c r="AR49" i="52"/>
  <c r="AP49" i="52"/>
  <c r="AZ48" i="52"/>
  <c r="AY48" i="52"/>
  <c r="AX48" i="52"/>
  <c r="AW48" i="52"/>
  <c r="AV48" i="52"/>
  <c r="AU48" i="52"/>
  <c r="AT48" i="52"/>
  <c r="AS48" i="52"/>
  <c r="AR48" i="52"/>
  <c r="AP48" i="52"/>
  <c r="AZ47" i="52"/>
  <c r="AY47" i="52"/>
  <c r="AX47" i="52"/>
  <c r="AW47" i="52"/>
  <c r="AV47" i="52"/>
  <c r="AU47" i="52"/>
  <c r="AT47" i="52"/>
  <c r="AS47" i="52"/>
  <c r="AR47" i="52"/>
  <c r="AP47" i="52"/>
  <c r="AZ46" i="52"/>
  <c r="AY46" i="52"/>
  <c r="AX46" i="52"/>
  <c r="AW46" i="52"/>
  <c r="AV46" i="52"/>
  <c r="AU46" i="52"/>
  <c r="AT46" i="52"/>
  <c r="AS46" i="52"/>
  <c r="AR46" i="52"/>
  <c r="AP46" i="52"/>
  <c r="AZ45" i="52"/>
  <c r="AY45" i="52"/>
  <c r="AX45" i="52"/>
  <c r="AW45" i="52"/>
  <c r="AV45" i="52"/>
  <c r="AU45" i="52"/>
  <c r="AT45" i="52"/>
  <c r="AS45" i="52"/>
  <c r="AR45" i="52"/>
  <c r="AP45" i="52"/>
  <c r="AZ44" i="52"/>
  <c r="AY44" i="52"/>
  <c r="AX44" i="52"/>
  <c r="AW44" i="52"/>
  <c r="AV44" i="52"/>
  <c r="AU44" i="52"/>
  <c r="AT44" i="52"/>
  <c r="AS44" i="52"/>
  <c r="AR44" i="52"/>
  <c r="AP44" i="52"/>
  <c r="AZ43" i="52"/>
  <c r="AY43" i="52"/>
  <c r="AX43" i="52"/>
  <c r="AW43" i="52"/>
  <c r="AV43" i="52"/>
  <c r="AU43" i="52"/>
  <c r="AT43" i="52"/>
  <c r="AS43" i="52"/>
  <c r="AR43" i="52"/>
  <c r="AP43" i="52"/>
  <c r="AZ42" i="52"/>
  <c r="AY42" i="52"/>
  <c r="AX42" i="52"/>
  <c r="AW42" i="52"/>
  <c r="AV42" i="52"/>
  <c r="AU42" i="52"/>
  <c r="AT42" i="52"/>
  <c r="AS42" i="52"/>
  <c r="AR42" i="52"/>
  <c r="AP42" i="52"/>
  <c r="AZ41" i="52"/>
  <c r="AY41" i="52"/>
  <c r="AX41" i="52"/>
  <c r="AW41" i="52"/>
  <c r="AV41" i="52"/>
  <c r="AU41" i="52"/>
  <c r="AT41" i="52"/>
  <c r="AS41" i="52"/>
  <c r="AR41" i="52"/>
  <c r="AP41" i="52"/>
  <c r="AZ40" i="52"/>
  <c r="AY40" i="52"/>
  <c r="AX40" i="52"/>
  <c r="AW40" i="52"/>
  <c r="AV40" i="52"/>
  <c r="AU40" i="52"/>
  <c r="AT40" i="52"/>
  <c r="AS40" i="52"/>
  <c r="AR40" i="52"/>
  <c r="AP40" i="52"/>
  <c r="AZ39" i="52"/>
  <c r="AY39" i="52"/>
  <c r="AX39" i="52"/>
  <c r="AW39" i="52"/>
  <c r="AV39" i="52"/>
  <c r="AU39" i="52"/>
  <c r="AT39" i="52"/>
  <c r="AS39" i="52"/>
  <c r="AR39" i="52"/>
  <c r="AP39" i="52"/>
  <c r="AZ38" i="52"/>
  <c r="AY38" i="52"/>
  <c r="AX38" i="52"/>
  <c r="AW38" i="52"/>
  <c r="AV38" i="52"/>
  <c r="AU38" i="52"/>
  <c r="AT38" i="52"/>
  <c r="AS38" i="52"/>
  <c r="AR38" i="52"/>
  <c r="AP38" i="52"/>
  <c r="AZ37" i="52"/>
  <c r="AY37" i="52"/>
  <c r="AX37" i="52"/>
  <c r="AW37" i="52"/>
  <c r="AV37" i="52"/>
  <c r="AU37" i="52"/>
  <c r="AT37" i="52"/>
  <c r="AS37" i="52"/>
  <c r="AR37" i="52"/>
  <c r="AP37" i="52"/>
  <c r="AZ36" i="52"/>
  <c r="AY36" i="52"/>
  <c r="AX36" i="52"/>
  <c r="AW36" i="52"/>
  <c r="AV36" i="52"/>
  <c r="AU36" i="52"/>
  <c r="AT36" i="52"/>
  <c r="AS36" i="52"/>
  <c r="AR36" i="52"/>
  <c r="AP36" i="52"/>
  <c r="AZ35" i="52"/>
  <c r="AY35" i="52"/>
  <c r="AX35" i="52"/>
  <c r="AW35" i="52"/>
  <c r="AV35" i="52"/>
  <c r="AU35" i="52"/>
  <c r="AT35" i="52"/>
  <c r="AS35" i="52"/>
  <c r="AR35" i="52"/>
  <c r="AP35" i="52"/>
  <c r="AZ34" i="52"/>
  <c r="AY34" i="52"/>
  <c r="AX34" i="52"/>
  <c r="AW34" i="52"/>
  <c r="AV34" i="52"/>
  <c r="AU34" i="52"/>
  <c r="AT34" i="52"/>
  <c r="AS34" i="52"/>
  <c r="AR34" i="52"/>
  <c r="AP34" i="52"/>
  <c r="AZ33" i="52"/>
  <c r="AY33" i="52"/>
  <c r="AX33" i="52"/>
  <c r="AW33" i="52"/>
  <c r="AV33" i="52"/>
  <c r="AU33" i="52"/>
  <c r="AT33" i="52"/>
  <c r="AS33" i="52"/>
  <c r="AR33" i="52"/>
  <c r="AP33" i="52"/>
  <c r="AZ32" i="52"/>
  <c r="AY32" i="52"/>
  <c r="AX32" i="52"/>
  <c r="AW32" i="52"/>
  <c r="AV32" i="52"/>
  <c r="AU32" i="52"/>
  <c r="AT32" i="52"/>
  <c r="AS32" i="52"/>
  <c r="AR32" i="52"/>
  <c r="AP32" i="52"/>
  <c r="AZ31" i="52"/>
  <c r="AY31" i="52"/>
  <c r="AX31" i="52"/>
  <c r="AW31" i="52"/>
  <c r="AV31" i="52"/>
  <c r="AU31" i="52"/>
  <c r="AT31" i="52"/>
  <c r="AS31" i="52"/>
  <c r="AR31" i="52"/>
  <c r="AP31" i="52"/>
  <c r="AZ30" i="52"/>
  <c r="AY30" i="52"/>
  <c r="AX30" i="52"/>
  <c r="AW30" i="52"/>
  <c r="AV30" i="52"/>
  <c r="AU30" i="52"/>
  <c r="AT30" i="52"/>
  <c r="AS30" i="52"/>
  <c r="AR30" i="52"/>
  <c r="AP30" i="52"/>
  <c r="AZ29" i="52"/>
  <c r="AY29" i="52"/>
  <c r="AX29" i="52"/>
  <c r="AW29" i="52"/>
  <c r="AV29" i="52"/>
  <c r="AU29" i="52"/>
  <c r="AT29" i="52"/>
  <c r="AS29" i="52"/>
  <c r="AR29" i="52"/>
  <c r="AP29" i="52"/>
  <c r="AZ28" i="52"/>
  <c r="AY28" i="52"/>
  <c r="AX28" i="52"/>
  <c r="AW28" i="52"/>
  <c r="AV28" i="52"/>
  <c r="AU28" i="52"/>
  <c r="AT28" i="52"/>
  <c r="AS28" i="52"/>
  <c r="AR28" i="52"/>
  <c r="AP28" i="52"/>
  <c r="AZ27" i="52"/>
  <c r="AY27" i="52"/>
  <c r="AX27" i="52"/>
  <c r="AW27" i="52"/>
  <c r="AV27" i="52"/>
  <c r="AU27" i="52"/>
  <c r="AT27" i="52"/>
  <c r="AS27" i="52"/>
  <c r="AR27" i="52"/>
  <c r="AP27" i="52"/>
  <c r="AZ26" i="52"/>
  <c r="AY26" i="52"/>
  <c r="AX26" i="52"/>
  <c r="AW26" i="52"/>
  <c r="AV26" i="52"/>
  <c r="AU26" i="52"/>
  <c r="AT26" i="52"/>
  <c r="AS26" i="52"/>
  <c r="AR26" i="52"/>
  <c r="AP26" i="52"/>
  <c r="AZ25" i="52"/>
  <c r="AY25" i="52"/>
  <c r="AX25" i="52"/>
  <c r="AW25" i="52"/>
  <c r="AV25" i="52"/>
  <c r="AU25" i="52"/>
  <c r="AT25" i="52"/>
  <c r="AS25" i="52"/>
  <c r="AR25" i="52"/>
  <c r="AP25" i="52"/>
  <c r="AZ24" i="52"/>
  <c r="AY24" i="52"/>
  <c r="AX24" i="52"/>
  <c r="AW24" i="52"/>
  <c r="AV24" i="52"/>
  <c r="AU24" i="52"/>
  <c r="AT24" i="52"/>
  <c r="AS24" i="52"/>
  <c r="AR24" i="52"/>
  <c r="AP24" i="52"/>
  <c r="AZ23" i="52"/>
  <c r="AY23" i="52"/>
  <c r="AX23" i="52"/>
  <c r="AW23" i="52"/>
  <c r="AV23" i="52"/>
  <c r="AU23" i="52"/>
  <c r="AT23" i="52"/>
  <c r="AS23" i="52"/>
  <c r="AR23" i="52"/>
  <c r="AP23" i="52"/>
  <c r="AZ22" i="52"/>
  <c r="AY22" i="52"/>
  <c r="AX22" i="52"/>
  <c r="AW22" i="52"/>
  <c r="AV22" i="52"/>
  <c r="AU22" i="52"/>
  <c r="AT22" i="52"/>
  <c r="AS22" i="52"/>
  <c r="AR22" i="52"/>
  <c r="AP22" i="52"/>
  <c r="AZ21" i="52"/>
  <c r="AY21" i="52"/>
  <c r="AX21" i="52"/>
  <c r="AW21" i="52"/>
  <c r="AV21" i="52"/>
  <c r="AU21" i="52"/>
  <c r="AT21" i="52"/>
  <c r="AS21" i="52"/>
  <c r="AR21" i="52"/>
  <c r="AP21" i="52"/>
  <c r="AZ20" i="52"/>
  <c r="AY20" i="52"/>
  <c r="AX20" i="52"/>
  <c r="AW20" i="52"/>
  <c r="AV20" i="52"/>
  <c r="AU20" i="52"/>
  <c r="AT20" i="52"/>
  <c r="AS20" i="52"/>
  <c r="AR20" i="52"/>
  <c r="AP20" i="52"/>
  <c r="AZ19" i="52"/>
  <c r="AY19" i="52"/>
  <c r="AX19" i="52"/>
  <c r="AW19" i="52"/>
  <c r="AV19" i="52"/>
  <c r="AU19" i="52"/>
  <c r="AT19" i="52"/>
  <c r="AS19" i="52"/>
  <c r="AR19" i="52"/>
  <c r="AP19" i="52"/>
  <c r="AZ18" i="52"/>
  <c r="AY18" i="52"/>
  <c r="AX18" i="52"/>
  <c r="AW18" i="52"/>
  <c r="AV18" i="52"/>
  <c r="AU18" i="52"/>
  <c r="AT18" i="52"/>
  <c r="AS18" i="52"/>
  <c r="AR18" i="52"/>
  <c r="AP18" i="52"/>
  <c r="AZ17" i="52"/>
  <c r="AY17" i="52"/>
  <c r="AX17" i="52"/>
  <c r="AW17" i="52"/>
  <c r="AV17" i="52"/>
  <c r="AU17" i="52"/>
  <c r="AT17" i="52"/>
  <c r="AS17" i="52"/>
  <c r="AR17" i="52"/>
  <c r="AP17" i="52"/>
  <c r="AZ16" i="52"/>
  <c r="AY16" i="52"/>
  <c r="AX16" i="52"/>
  <c r="AW16" i="52"/>
  <c r="AV16" i="52"/>
  <c r="AU16" i="52"/>
  <c r="AT16" i="52"/>
  <c r="AS16" i="52"/>
  <c r="AR16" i="52"/>
  <c r="AP16" i="52"/>
  <c r="AZ15" i="52"/>
  <c r="AY15" i="52"/>
  <c r="AX15" i="52"/>
  <c r="AW15" i="52"/>
  <c r="AV15" i="52"/>
  <c r="AU15" i="52"/>
  <c r="AT15" i="52"/>
  <c r="AS15" i="52"/>
  <c r="AR15" i="52"/>
  <c r="AP15" i="52"/>
  <c r="AZ14" i="52"/>
  <c r="AY14" i="52"/>
  <c r="AX14" i="52"/>
  <c r="AW14" i="52"/>
  <c r="AV14" i="52"/>
  <c r="AU14" i="52"/>
  <c r="AT14" i="52"/>
  <c r="AS14" i="52"/>
  <c r="AR14" i="52"/>
  <c r="AP14" i="52"/>
  <c r="AZ13" i="52"/>
  <c r="AY13" i="52"/>
  <c r="AX13" i="52"/>
  <c r="AW13" i="52"/>
  <c r="AV13" i="52"/>
  <c r="AU13" i="52"/>
  <c r="AT13" i="52"/>
  <c r="AS13" i="52"/>
  <c r="AR13" i="52"/>
  <c r="AP13" i="52"/>
  <c r="AZ12" i="52"/>
  <c r="AY12" i="52"/>
  <c r="AX12" i="52"/>
  <c r="AW12" i="52"/>
  <c r="AV12" i="52"/>
  <c r="AU12" i="52"/>
  <c r="AT12" i="52"/>
  <c r="AS12" i="52"/>
  <c r="AR12" i="52"/>
  <c r="AP12" i="52"/>
  <c r="AZ11" i="52"/>
  <c r="AY11" i="52"/>
  <c r="AX11" i="52"/>
  <c r="AW11" i="52"/>
  <c r="AV11" i="52"/>
  <c r="AU11" i="52"/>
  <c r="AT11" i="52"/>
  <c r="AS11" i="52"/>
  <c r="AR11" i="52"/>
  <c r="AP11" i="52"/>
  <c r="AZ10" i="52"/>
  <c r="AY10" i="52"/>
  <c r="AX10" i="52"/>
  <c r="AW10" i="52"/>
  <c r="AV10" i="52"/>
  <c r="AU10" i="52"/>
  <c r="AT10" i="52"/>
  <c r="AS10" i="52"/>
  <c r="AR10" i="52"/>
  <c r="AP10" i="52"/>
  <c r="AZ9" i="52"/>
  <c r="AY9" i="52"/>
  <c r="AX9" i="52"/>
  <c r="AW9" i="52"/>
  <c r="AV9" i="52"/>
  <c r="AU9" i="52"/>
  <c r="AT9" i="52"/>
  <c r="AS9" i="52"/>
  <c r="AR9" i="52"/>
  <c r="AP9" i="52"/>
  <c r="AZ8" i="52"/>
  <c r="AY8" i="52"/>
  <c r="AX8" i="52"/>
  <c r="AW8" i="52"/>
  <c r="AV8" i="52"/>
  <c r="AU8" i="52"/>
  <c r="AT8" i="52"/>
  <c r="AS8" i="52"/>
  <c r="AR8" i="52"/>
  <c r="AP8" i="52"/>
  <c r="AZ7" i="52"/>
  <c r="AY7" i="52"/>
  <c r="AX7" i="52"/>
  <c r="AW7" i="52"/>
  <c r="AV7" i="52"/>
  <c r="AU7" i="52"/>
  <c r="AT7" i="52"/>
  <c r="AS7" i="52"/>
  <c r="AR7" i="52"/>
  <c r="AP7" i="52"/>
  <c r="AZ6" i="52"/>
  <c r="AY6" i="52"/>
  <c r="AX6" i="52"/>
  <c r="AW6" i="52"/>
  <c r="AV6" i="52"/>
  <c r="AU6" i="52"/>
  <c r="AT6" i="52"/>
  <c r="AS6" i="52"/>
  <c r="AR6" i="52"/>
  <c r="AP6" i="52"/>
  <c r="AZ5" i="52"/>
  <c r="AY5" i="52"/>
  <c r="AX5" i="52"/>
  <c r="AW5" i="52"/>
  <c r="AV5" i="52"/>
  <c r="AU5" i="52"/>
  <c r="AT5" i="52"/>
  <c r="AS5" i="52"/>
  <c r="AR5" i="52"/>
  <c r="AP5" i="52"/>
  <c r="C51" i="36"/>
  <c r="C50" i="36"/>
  <c r="C49" i="36"/>
  <c r="C48" i="36"/>
  <c r="C47" i="36"/>
  <c r="C46" i="36"/>
  <c r="C45" i="36"/>
  <c r="C44" i="36"/>
  <c r="C43" i="36"/>
  <c r="C42" i="36"/>
  <c r="C41" i="36"/>
  <c r="C40" i="36"/>
  <c r="C39" i="36"/>
  <c r="C38" i="36"/>
  <c r="C37" i="36"/>
  <c r="C36" i="36"/>
  <c r="C35" i="36"/>
  <c r="C34" i="36"/>
  <c r="C33" i="36"/>
  <c r="C32" i="36"/>
  <c r="C31" i="36"/>
  <c r="C30" i="36"/>
  <c r="C29" i="36"/>
  <c r="C28" i="36"/>
  <c r="C27" i="36"/>
  <c r="C26" i="36"/>
  <c r="C25" i="36"/>
  <c r="C24" i="36"/>
  <c r="C23" i="36"/>
  <c r="C22" i="36"/>
  <c r="C21" i="36"/>
  <c r="C20" i="36"/>
  <c r="C19" i="36"/>
  <c r="C18" i="36"/>
  <c r="C17" i="36"/>
  <c r="C16" i="36"/>
  <c r="C15" i="36"/>
  <c r="C14" i="36"/>
  <c r="C13" i="36"/>
  <c r="C12" i="36"/>
  <c r="C11" i="36"/>
  <c r="C10" i="36"/>
  <c r="C9" i="36"/>
  <c r="C8" i="36"/>
  <c r="C7" i="36"/>
  <c r="C6" i="36"/>
  <c r="C5" i="36"/>
  <c r="C4" i="36"/>
  <c r="C3" i="36"/>
  <c r="A488" i="69"/>
  <c r="E488" i="69" s="1"/>
  <c r="A487" i="69"/>
  <c r="E487" i="69" s="1"/>
  <c r="A484" i="69"/>
  <c r="E484" i="69" s="1"/>
  <c r="A481" i="69"/>
  <c r="E481" i="69" s="1"/>
  <c r="A480" i="69"/>
  <c r="E480" i="69" s="1"/>
  <c r="A477" i="69"/>
  <c r="E477" i="69" s="1"/>
  <c r="A476" i="69"/>
  <c r="E476" i="69" s="1"/>
  <c r="A473" i="69"/>
  <c r="E473" i="69" s="1"/>
  <c r="A472" i="69"/>
  <c r="E472" i="69" s="1"/>
  <c r="A468" i="69"/>
  <c r="E468" i="69" s="1"/>
  <c r="A464" i="69"/>
  <c r="E464" i="69" s="1"/>
  <c r="A457" i="69"/>
  <c r="E457" i="69" s="1"/>
  <c r="A455" i="69"/>
  <c r="E455" i="69" s="1"/>
  <c r="A454" i="69"/>
  <c r="E454" i="69" s="1"/>
  <c r="A449" i="69"/>
  <c r="E449" i="69" s="1"/>
  <c r="A445" i="69"/>
  <c r="E445" i="69" s="1"/>
  <c r="A444" i="69"/>
  <c r="E444" i="69" s="1"/>
  <c r="A442" i="69"/>
  <c r="E442" i="69" s="1"/>
  <c r="A437" i="69"/>
  <c r="E437" i="69" s="1"/>
  <c r="A431" i="69"/>
  <c r="E431" i="69" s="1"/>
  <c r="A429" i="69"/>
  <c r="E429" i="69" s="1"/>
  <c r="A425" i="69"/>
  <c r="E425" i="69" s="1"/>
  <c r="A424" i="69"/>
  <c r="E424" i="69" s="1"/>
  <c r="A418" i="69"/>
  <c r="E418" i="69" s="1"/>
  <c r="A412" i="69"/>
  <c r="E412" i="69" s="1"/>
  <c r="A397" i="69"/>
  <c r="E397" i="69" s="1"/>
  <c r="A386" i="69"/>
  <c r="E386" i="69" s="1"/>
  <c r="A379" i="69"/>
  <c r="E379" i="69" s="1"/>
  <c r="A377" i="69"/>
  <c r="E377" i="69" s="1"/>
  <c r="H377" i="11"/>
  <c r="A373" i="69"/>
  <c r="E373" i="69" s="1"/>
  <c r="A357" i="69"/>
  <c r="E357" i="69" s="1"/>
  <c r="A341" i="69"/>
  <c r="E341" i="69" s="1"/>
  <c r="A295" i="69"/>
  <c r="E295" i="69" s="1"/>
  <c r="A285" i="69"/>
  <c r="E285" i="69" s="1"/>
  <c r="A272" i="69"/>
  <c r="E272" i="69" s="1"/>
  <c r="A270" i="69"/>
  <c r="E270" i="69" s="1"/>
  <c r="A268" i="69"/>
  <c r="E268" i="69" s="1"/>
  <c r="A266" i="69"/>
  <c r="E266" i="69" s="1"/>
  <c r="A264" i="69"/>
  <c r="E264" i="69" s="1"/>
  <c r="E255" i="69"/>
  <c r="E253" i="69"/>
  <c r="E243" i="69"/>
  <c r="E241" i="69"/>
  <c r="E240" i="69"/>
  <c r="E238" i="69"/>
  <c r="E235" i="69"/>
  <c r="E231" i="69"/>
  <c r="E230" i="69"/>
  <c r="E228" i="69"/>
  <c r="E227" i="69"/>
  <c r="E224" i="69"/>
  <c r="E221" i="69"/>
  <c r="E219" i="69"/>
  <c r="E217" i="69"/>
  <c r="E214" i="69"/>
  <c r="E208" i="69"/>
  <c r="E206" i="69"/>
  <c r="E203" i="69"/>
  <c r="E202" i="69"/>
  <c r="E200" i="69"/>
  <c r="E198" i="69"/>
  <c r="E197" i="69"/>
  <c r="E194" i="69"/>
  <c r="E192" i="69"/>
  <c r="E186" i="69"/>
  <c r="E182" i="69"/>
  <c r="E181" i="69"/>
  <c r="E174" i="69"/>
  <c r="E172" i="69"/>
  <c r="E171" i="69"/>
  <c r="E170" i="69"/>
  <c r="E166" i="69"/>
  <c r="E164" i="69"/>
  <c r="E160" i="69"/>
  <c r="E155" i="69"/>
  <c r="E153" i="69"/>
  <c r="E150" i="69"/>
  <c r="E144" i="69"/>
  <c r="E142" i="69"/>
  <c r="E138" i="69"/>
  <c r="E136" i="69"/>
  <c r="E134" i="69"/>
  <c r="E133" i="69"/>
  <c r="E128" i="69"/>
  <c r="E118" i="69"/>
  <c r="E115" i="69"/>
  <c r="E114" i="69"/>
  <c r="E103" i="69"/>
  <c r="E102" i="69"/>
  <c r="E100" i="69"/>
  <c r="E98" i="69"/>
  <c r="E96" i="69"/>
  <c r="E94" i="69"/>
  <c r="E92" i="69"/>
  <c r="E91" i="69"/>
  <c r="E90" i="69"/>
  <c r="E88" i="69"/>
  <c r="E86" i="69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B1" i="11"/>
  <c r="A1" i="11"/>
  <c r="E11" i="37"/>
  <c r="D11" i="37" s="1"/>
  <c r="E7" i="37"/>
  <c r="D7" i="37" s="1"/>
  <c r="E5" i="37"/>
  <c r="D5" i="37" s="1"/>
  <c r="B1" i="20"/>
  <c r="P80" i="38"/>
  <c r="BB500" i="14"/>
  <c r="BA500" i="14"/>
  <c r="AZ500" i="14"/>
  <c r="AY500" i="14"/>
  <c r="AX500" i="14"/>
  <c r="AW500" i="14"/>
  <c r="AV500" i="14"/>
  <c r="AU500" i="14"/>
  <c r="O500" i="14" s="1"/>
  <c r="V500" i="14"/>
  <c r="AD500" i="14" s="1"/>
  <c r="U500" i="14"/>
  <c r="AC500" i="14" s="1"/>
  <c r="T500" i="14"/>
  <c r="S500" i="14"/>
  <c r="R500" i="14"/>
  <c r="Z500" i="14" s="1"/>
  <c r="Q500" i="14"/>
  <c r="Y500" i="14" s="1"/>
  <c r="P500" i="14"/>
  <c r="B500" i="14"/>
  <c r="BB499" i="14"/>
  <c r="BA499" i="14"/>
  <c r="AZ499" i="14"/>
  <c r="T499" i="14" s="1"/>
  <c r="AB499" i="14" s="1"/>
  <c r="AY499" i="14"/>
  <c r="S499" i="14" s="1"/>
  <c r="AA499" i="14" s="1"/>
  <c r="AX499" i="14"/>
  <c r="R499" i="14" s="1"/>
  <c r="Z499" i="14" s="1"/>
  <c r="AW499" i="14"/>
  <c r="Q499" i="14" s="1"/>
  <c r="Y499" i="14" s="1"/>
  <c r="AV499" i="14"/>
  <c r="AU499" i="14"/>
  <c r="O499" i="14" s="1"/>
  <c r="V499" i="14"/>
  <c r="AD499" i="14" s="1"/>
  <c r="U499" i="14"/>
  <c r="AC499" i="14" s="1"/>
  <c r="P499" i="14"/>
  <c r="X499" i="14" s="1"/>
  <c r="B499" i="14"/>
  <c r="BB498" i="14"/>
  <c r="BA498" i="14"/>
  <c r="AZ498" i="14"/>
  <c r="AY498" i="14"/>
  <c r="AX498" i="14"/>
  <c r="AW498" i="14"/>
  <c r="AV498" i="14"/>
  <c r="AU498" i="14"/>
  <c r="V498" i="14"/>
  <c r="AD498" i="14" s="1"/>
  <c r="U498" i="14"/>
  <c r="AC498" i="14" s="1"/>
  <c r="T498" i="14"/>
  <c r="S498" i="14"/>
  <c r="R498" i="14"/>
  <c r="Z498" i="14" s="1"/>
  <c r="Q498" i="14"/>
  <c r="Y498" i="14" s="1"/>
  <c r="P498" i="14"/>
  <c r="X498" i="14" s="1"/>
  <c r="O498" i="14"/>
  <c r="B498" i="14"/>
  <c r="BB497" i="14"/>
  <c r="BA497" i="14"/>
  <c r="AZ497" i="14"/>
  <c r="AY497" i="14"/>
  <c r="AX497" i="14"/>
  <c r="AW497" i="14"/>
  <c r="AV497" i="14"/>
  <c r="AU497" i="14"/>
  <c r="V497" i="14"/>
  <c r="AD497" i="14" s="1"/>
  <c r="U497" i="14"/>
  <c r="AC497" i="14" s="1"/>
  <c r="T497" i="14"/>
  <c r="AB497" i="14" s="1"/>
  <c r="S497" i="14"/>
  <c r="AA497" i="14" s="1"/>
  <c r="R497" i="14"/>
  <c r="Z497" i="14" s="1"/>
  <c r="Q497" i="14"/>
  <c r="Y497" i="14" s="1"/>
  <c r="P497" i="14"/>
  <c r="X497" i="14" s="1"/>
  <c r="O497" i="14"/>
  <c r="B497" i="14"/>
  <c r="BB496" i="14"/>
  <c r="BA496" i="14"/>
  <c r="AZ496" i="14"/>
  <c r="AY496" i="14"/>
  <c r="S496" i="14" s="1"/>
  <c r="AA496" i="14" s="1"/>
  <c r="AX496" i="14"/>
  <c r="R496" i="14" s="1"/>
  <c r="Z496" i="14" s="1"/>
  <c r="AW496" i="14"/>
  <c r="Q496" i="14" s="1"/>
  <c r="Y496" i="14" s="1"/>
  <c r="AV496" i="14"/>
  <c r="AU496" i="14"/>
  <c r="O496" i="14" s="1"/>
  <c r="V496" i="14"/>
  <c r="AD496" i="14" s="1"/>
  <c r="U496" i="14"/>
  <c r="AC496" i="14" s="1"/>
  <c r="B496" i="14"/>
  <c r="BB495" i="14"/>
  <c r="BA495" i="14"/>
  <c r="AZ495" i="14"/>
  <c r="AY495" i="14"/>
  <c r="S495" i="14" s="1"/>
  <c r="AA495" i="14" s="1"/>
  <c r="AX495" i="14"/>
  <c r="R495" i="14" s="1"/>
  <c r="Z495" i="14" s="1"/>
  <c r="AW495" i="14"/>
  <c r="Q495" i="14" s="1"/>
  <c r="Y495" i="14" s="1"/>
  <c r="AV495" i="14"/>
  <c r="AU495" i="14"/>
  <c r="O495" i="14" s="1"/>
  <c r="V495" i="14"/>
  <c r="AD495" i="14" s="1"/>
  <c r="U495" i="14"/>
  <c r="AC495" i="14" s="1"/>
  <c r="B495" i="14"/>
  <c r="BB494" i="14"/>
  <c r="BA494" i="14"/>
  <c r="U494" i="14" s="1"/>
  <c r="AC494" i="14" s="1"/>
  <c r="AZ494" i="14"/>
  <c r="T494" i="14" s="1"/>
  <c r="AB494" i="14" s="1"/>
  <c r="AY494" i="14"/>
  <c r="S494" i="14" s="1"/>
  <c r="AA494" i="14" s="1"/>
  <c r="AX494" i="14"/>
  <c r="R494" i="14" s="1"/>
  <c r="Z494" i="14" s="1"/>
  <c r="AW494" i="14"/>
  <c r="Q494" i="14" s="1"/>
  <c r="Y494" i="14" s="1"/>
  <c r="AV494" i="14"/>
  <c r="P494" i="14" s="1"/>
  <c r="X494" i="14" s="1"/>
  <c r="AU494" i="14"/>
  <c r="O494" i="14" s="1"/>
  <c r="V494" i="14"/>
  <c r="AD494" i="14" s="1"/>
  <c r="B494" i="14"/>
  <c r="BB493" i="14"/>
  <c r="V493" i="14" s="1"/>
  <c r="AD493" i="14" s="1"/>
  <c r="BA493" i="14"/>
  <c r="U493" i="14" s="1"/>
  <c r="AC493" i="14" s="1"/>
  <c r="AZ493" i="14"/>
  <c r="T493" i="14" s="1"/>
  <c r="AB493" i="14" s="1"/>
  <c r="AY493" i="14"/>
  <c r="S493" i="14" s="1"/>
  <c r="AA493" i="14" s="1"/>
  <c r="AX493" i="14"/>
  <c r="R493" i="14" s="1"/>
  <c r="Z493" i="14" s="1"/>
  <c r="AW493" i="14"/>
  <c r="Q493" i="14" s="1"/>
  <c r="Y493" i="14" s="1"/>
  <c r="AV493" i="14"/>
  <c r="P493" i="14" s="1"/>
  <c r="AU493" i="14"/>
  <c r="O493" i="14" s="1"/>
  <c r="B493" i="14"/>
  <c r="BB492" i="14"/>
  <c r="BA492" i="14"/>
  <c r="AZ492" i="14"/>
  <c r="AY492" i="14"/>
  <c r="S492" i="14" s="1"/>
  <c r="AA492" i="14" s="1"/>
  <c r="AX492" i="14"/>
  <c r="R492" i="14" s="1"/>
  <c r="Z492" i="14" s="1"/>
  <c r="AW492" i="14"/>
  <c r="Q492" i="14" s="1"/>
  <c r="Y492" i="14" s="1"/>
  <c r="AV492" i="14"/>
  <c r="AU492" i="14"/>
  <c r="O492" i="14" s="1"/>
  <c r="V492" i="14"/>
  <c r="AD492" i="14" s="1"/>
  <c r="U492" i="14"/>
  <c r="AC492" i="14" s="1"/>
  <c r="B492" i="14"/>
  <c r="BB491" i="14"/>
  <c r="BA491" i="14"/>
  <c r="AZ491" i="14"/>
  <c r="AY491" i="14"/>
  <c r="S491" i="14" s="1"/>
  <c r="AA491" i="14" s="1"/>
  <c r="AX491" i="14"/>
  <c r="R491" i="14" s="1"/>
  <c r="Z491" i="14" s="1"/>
  <c r="AW491" i="14"/>
  <c r="Q491" i="14" s="1"/>
  <c r="Y491" i="14" s="1"/>
  <c r="AV491" i="14"/>
  <c r="AU491" i="14"/>
  <c r="O491" i="14" s="1"/>
  <c r="V491" i="14"/>
  <c r="AD491" i="14" s="1"/>
  <c r="U491" i="14"/>
  <c r="AC491" i="14" s="1"/>
  <c r="B491" i="14"/>
  <c r="BB490" i="14"/>
  <c r="BA490" i="14"/>
  <c r="AZ490" i="14"/>
  <c r="AY490" i="14"/>
  <c r="AX490" i="14"/>
  <c r="AW490" i="14"/>
  <c r="AV490" i="14"/>
  <c r="AU490" i="14"/>
  <c r="V490" i="14"/>
  <c r="AD490" i="14" s="1"/>
  <c r="U490" i="14"/>
  <c r="AC490" i="14" s="1"/>
  <c r="T490" i="14"/>
  <c r="AB490" i="14" s="1"/>
  <c r="S490" i="14"/>
  <c r="AA490" i="14" s="1"/>
  <c r="R490" i="14"/>
  <c r="Z490" i="14" s="1"/>
  <c r="Q490" i="14"/>
  <c r="Y490" i="14" s="1"/>
  <c r="P490" i="14"/>
  <c r="X490" i="14" s="1"/>
  <c r="O490" i="14"/>
  <c r="B490" i="14"/>
  <c r="BB489" i="14"/>
  <c r="BA489" i="14"/>
  <c r="AZ489" i="14"/>
  <c r="AY489" i="14"/>
  <c r="S489" i="14" s="1"/>
  <c r="AA489" i="14" s="1"/>
  <c r="AX489" i="14"/>
  <c r="R489" i="14" s="1"/>
  <c r="Z489" i="14" s="1"/>
  <c r="AW489" i="14"/>
  <c r="Q489" i="14" s="1"/>
  <c r="Y489" i="14" s="1"/>
  <c r="AV489" i="14"/>
  <c r="P489" i="14" s="1"/>
  <c r="AU489" i="14"/>
  <c r="O489" i="14" s="1"/>
  <c r="V489" i="14"/>
  <c r="AD489" i="14" s="1"/>
  <c r="U489" i="14"/>
  <c r="AC489" i="14" s="1"/>
  <c r="T489" i="14"/>
  <c r="AB489" i="14" s="1"/>
  <c r="B489" i="14"/>
  <c r="BB488" i="14"/>
  <c r="BA488" i="14"/>
  <c r="AZ488" i="14"/>
  <c r="AY488" i="14"/>
  <c r="S488" i="14" s="1"/>
  <c r="AA488" i="14" s="1"/>
  <c r="AX488" i="14"/>
  <c r="R488" i="14" s="1"/>
  <c r="Z488" i="14" s="1"/>
  <c r="AW488" i="14"/>
  <c r="Q488" i="14" s="1"/>
  <c r="Y488" i="14" s="1"/>
  <c r="AV488" i="14"/>
  <c r="AU488" i="14"/>
  <c r="O488" i="14" s="1"/>
  <c r="V488" i="14"/>
  <c r="AD488" i="14" s="1"/>
  <c r="U488" i="14"/>
  <c r="AC488" i="14" s="1"/>
  <c r="B488" i="14"/>
  <c r="BB487" i="14"/>
  <c r="BA487" i="14"/>
  <c r="AZ487" i="14"/>
  <c r="AY487" i="14"/>
  <c r="S487" i="14" s="1"/>
  <c r="AA487" i="14" s="1"/>
  <c r="AX487" i="14"/>
  <c r="R487" i="14" s="1"/>
  <c r="Z487" i="14" s="1"/>
  <c r="AW487" i="14"/>
  <c r="Q487" i="14" s="1"/>
  <c r="Y487" i="14" s="1"/>
  <c r="AV487" i="14"/>
  <c r="AU487" i="14"/>
  <c r="O487" i="14" s="1"/>
  <c r="V487" i="14"/>
  <c r="AD487" i="14" s="1"/>
  <c r="U487" i="14"/>
  <c r="AC487" i="14" s="1"/>
  <c r="B487" i="14"/>
  <c r="BB486" i="14"/>
  <c r="BA486" i="14"/>
  <c r="AZ486" i="14"/>
  <c r="AY486" i="14"/>
  <c r="AX486" i="14"/>
  <c r="R486" i="14" s="1"/>
  <c r="Z486" i="14" s="1"/>
  <c r="AW486" i="14"/>
  <c r="Q486" i="14" s="1"/>
  <c r="Y486" i="14" s="1"/>
  <c r="AV486" i="14"/>
  <c r="P486" i="14" s="1"/>
  <c r="X486" i="14" s="1"/>
  <c r="AU486" i="14"/>
  <c r="O486" i="14" s="1"/>
  <c r="V486" i="14"/>
  <c r="AD486" i="14" s="1"/>
  <c r="U486" i="14"/>
  <c r="AC486" i="14" s="1"/>
  <c r="T486" i="14"/>
  <c r="AB486" i="14" s="1"/>
  <c r="S486" i="14"/>
  <c r="AA486" i="14" s="1"/>
  <c r="B486" i="14"/>
  <c r="BB485" i="14"/>
  <c r="BA485" i="14"/>
  <c r="AZ485" i="14"/>
  <c r="AY485" i="14"/>
  <c r="AX485" i="14"/>
  <c r="AW485" i="14"/>
  <c r="AV485" i="14"/>
  <c r="AU485" i="14"/>
  <c r="V485" i="14"/>
  <c r="AD485" i="14" s="1"/>
  <c r="U485" i="14"/>
  <c r="AC485" i="14" s="1"/>
  <c r="T485" i="14"/>
  <c r="AB485" i="14" s="1"/>
  <c r="S485" i="14"/>
  <c r="AA485" i="14" s="1"/>
  <c r="R485" i="14"/>
  <c r="Z485" i="14" s="1"/>
  <c r="Q485" i="14"/>
  <c r="Y485" i="14" s="1"/>
  <c r="P485" i="14"/>
  <c r="O485" i="14"/>
  <c r="B485" i="14"/>
  <c r="BB484" i="14"/>
  <c r="BA484" i="14"/>
  <c r="AZ484" i="14"/>
  <c r="AY484" i="14"/>
  <c r="S484" i="14" s="1"/>
  <c r="AA484" i="14" s="1"/>
  <c r="AX484" i="14"/>
  <c r="R484" i="14" s="1"/>
  <c r="Z484" i="14" s="1"/>
  <c r="AW484" i="14"/>
  <c r="Q484" i="14" s="1"/>
  <c r="Y484" i="14" s="1"/>
  <c r="AV484" i="14"/>
  <c r="AU484" i="14"/>
  <c r="O484" i="14" s="1"/>
  <c r="V484" i="14"/>
  <c r="AD484" i="14" s="1"/>
  <c r="U484" i="14"/>
  <c r="AC484" i="14" s="1"/>
  <c r="B484" i="14"/>
  <c r="BB483" i="14"/>
  <c r="BA483" i="14"/>
  <c r="AZ483" i="14"/>
  <c r="AY483" i="14"/>
  <c r="S483" i="14" s="1"/>
  <c r="AA483" i="14" s="1"/>
  <c r="AX483" i="14"/>
  <c r="R483" i="14" s="1"/>
  <c r="Z483" i="14" s="1"/>
  <c r="AW483" i="14"/>
  <c r="Q483" i="14" s="1"/>
  <c r="Y483" i="14" s="1"/>
  <c r="AV483" i="14"/>
  <c r="P483" i="14" s="1"/>
  <c r="X483" i="14" s="1"/>
  <c r="AU483" i="14"/>
  <c r="O483" i="14" s="1"/>
  <c r="V483" i="14"/>
  <c r="AD483" i="14" s="1"/>
  <c r="U483" i="14"/>
  <c r="AC483" i="14" s="1"/>
  <c r="B483" i="14"/>
  <c r="BB482" i="14"/>
  <c r="BA482" i="14"/>
  <c r="AZ482" i="14"/>
  <c r="AY482" i="14"/>
  <c r="AX482" i="14"/>
  <c r="AW482" i="14"/>
  <c r="AV482" i="14"/>
  <c r="AU482" i="14"/>
  <c r="V482" i="14"/>
  <c r="AD482" i="14" s="1"/>
  <c r="U482" i="14"/>
  <c r="AC482" i="14" s="1"/>
  <c r="T482" i="14"/>
  <c r="AB482" i="14" s="1"/>
  <c r="S482" i="14"/>
  <c r="AA482" i="14" s="1"/>
  <c r="R482" i="14"/>
  <c r="Z482" i="14" s="1"/>
  <c r="Q482" i="14"/>
  <c r="Y482" i="14" s="1"/>
  <c r="P482" i="14"/>
  <c r="X482" i="14" s="1"/>
  <c r="O482" i="14"/>
  <c r="B482" i="14"/>
  <c r="BB481" i="14"/>
  <c r="BA481" i="14"/>
  <c r="AZ481" i="14"/>
  <c r="AY481" i="14"/>
  <c r="AX481" i="14"/>
  <c r="AW481" i="14"/>
  <c r="AV481" i="14"/>
  <c r="AU481" i="14"/>
  <c r="O481" i="14" s="1"/>
  <c r="V481" i="14"/>
  <c r="AD481" i="14" s="1"/>
  <c r="U481" i="14"/>
  <c r="AC481" i="14" s="1"/>
  <c r="T481" i="14"/>
  <c r="AB481" i="14" s="1"/>
  <c r="S481" i="14"/>
  <c r="AA481" i="14" s="1"/>
  <c r="R481" i="14"/>
  <c r="Z481" i="14" s="1"/>
  <c r="Q481" i="14"/>
  <c r="Y481" i="14" s="1"/>
  <c r="P481" i="14"/>
  <c r="B481" i="14"/>
  <c r="BB480" i="14"/>
  <c r="BA480" i="14"/>
  <c r="AZ480" i="14"/>
  <c r="AY480" i="14"/>
  <c r="S480" i="14" s="1"/>
  <c r="AA480" i="14" s="1"/>
  <c r="AX480" i="14"/>
  <c r="R480" i="14" s="1"/>
  <c r="Z480" i="14" s="1"/>
  <c r="AW480" i="14"/>
  <c r="Q480" i="14" s="1"/>
  <c r="Y480" i="14" s="1"/>
  <c r="AV480" i="14"/>
  <c r="AU480" i="14"/>
  <c r="O480" i="14" s="1"/>
  <c r="V480" i="14"/>
  <c r="AD480" i="14" s="1"/>
  <c r="U480" i="14"/>
  <c r="AC480" i="14" s="1"/>
  <c r="B480" i="14"/>
  <c r="BB479" i="14"/>
  <c r="BA479" i="14"/>
  <c r="AZ479" i="14"/>
  <c r="AY479" i="14"/>
  <c r="S479" i="14" s="1"/>
  <c r="AA479" i="14" s="1"/>
  <c r="AX479" i="14"/>
  <c r="R479" i="14" s="1"/>
  <c r="Z479" i="14" s="1"/>
  <c r="AW479" i="14"/>
  <c r="Q479" i="14" s="1"/>
  <c r="Y479" i="14" s="1"/>
  <c r="AV479" i="14"/>
  <c r="P479" i="14" s="1"/>
  <c r="X479" i="14" s="1"/>
  <c r="AU479" i="14"/>
  <c r="O479" i="14" s="1"/>
  <c r="V479" i="14"/>
  <c r="AD479" i="14" s="1"/>
  <c r="U479" i="14"/>
  <c r="AC479" i="14" s="1"/>
  <c r="B479" i="14"/>
  <c r="BB478" i="14"/>
  <c r="V478" i="14" s="1"/>
  <c r="AD478" i="14" s="1"/>
  <c r="BA478" i="14"/>
  <c r="U478" i="14" s="1"/>
  <c r="AC478" i="14" s="1"/>
  <c r="AZ478" i="14"/>
  <c r="T478" i="14" s="1"/>
  <c r="AB478" i="14" s="1"/>
  <c r="AY478" i="14"/>
  <c r="S478" i="14" s="1"/>
  <c r="AA478" i="14" s="1"/>
  <c r="AX478" i="14"/>
  <c r="AW478" i="14"/>
  <c r="Q478" i="14" s="1"/>
  <c r="Y478" i="14" s="1"/>
  <c r="AV478" i="14"/>
  <c r="P478" i="14" s="1"/>
  <c r="X478" i="14" s="1"/>
  <c r="AU478" i="14"/>
  <c r="O478" i="14" s="1"/>
  <c r="R478" i="14"/>
  <c r="Z478" i="14" s="1"/>
  <c r="B478" i="14"/>
  <c r="BB477" i="14"/>
  <c r="BA477" i="14"/>
  <c r="AZ477" i="14"/>
  <c r="AY477" i="14"/>
  <c r="AX477" i="14"/>
  <c r="AW477" i="14"/>
  <c r="AV477" i="14"/>
  <c r="AU477" i="14"/>
  <c r="V477" i="14"/>
  <c r="AD477" i="14" s="1"/>
  <c r="U477" i="14"/>
  <c r="AC477" i="14" s="1"/>
  <c r="T477" i="14"/>
  <c r="AB477" i="14" s="1"/>
  <c r="S477" i="14"/>
  <c r="AA477" i="14" s="1"/>
  <c r="R477" i="14"/>
  <c r="Z477" i="14" s="1"/>
  <c r="Q477" i="14"/>
  <c r="Y477" i="14" s="1"/>
  <c r="P477" i="14"/>
  <c r="O477" i="14"/>
  <c r="B477" i="14"/>
  <c r="BB476" i="14"/>
  <c r="BA476" i="14"/>
  <c r="AZ476" i="14"/>
  <c r="AY476" i="14"/>
  <c r="S476" i="14" s="1"/>
  <c r="AA476" i="14" s="1"/>
  <c r="AX476" i="14"/>
  <c r="R476" i="14" s="1"/>
  <c r="Z476" i="14" s="1"/>
  <c r="AW476" i="14"/>
  <c r="Q476" i="14" s="1"/>
  <c r="Y476" i="14" s="1"/>
  <c r="AV476" i="14"/>
  <c r="AU476" i="14"/>
  <c r="O476" i="14" s="1"/>
  <c r="V476" i="14"/>
  <c r="AD476" i="14" s="1"/>
  <c r="U476" i="14"/>
  <c r="AC476" i="14" s="1"/>
  <c r="B476" i="14"/>
  <c r="BB475" i="14"/>
  <c r="BA475" i="14"/>
  <c r="AZ475" i="14"/>
  <c r="AY475" i="14"/>
  <c r="S475" i="14" s="1"/>
  <c r="AA475" i="14" s="1"/>
  <c r="AX475" i="14"/>
  <c r="R475" i="14" s="1"/>
  <c r="Z475" i="14" s="1"/>
  <c r="AW475" i="14"/>
  <c r="Q475" i="14" s="1"/>
  <c r="Y475" i="14" s="1"/>
  <c r="AV475" i="14"/>
  <c r="P475" i="14" s="1"/>
  <c r="X475" i="14" s="1"/>
  <c r="AU475" i="14"/>
  <c r="O475" i="14" s="1"/>
  <c r="V475" i="14"/>
  <c r="AD475" i="14" s="1"/>
  <c r="U475" i="14"/>
  <c r="AC475" i="14" s="1"/>
  <c r="B475" i="14"/>
  <c r="BB474" i="14"/>
  <c r="BA474" i="14"/>
  <c r="AZ474" i="14"/>
  <c r="AY474" i="14"/>
  <c r="AX474" i="14"/>
  <c r="AW474" i="14"/>
  <c r="AV474" i="14"/>
  <c r="AU474" i="14"/>
  <c r="V474" i="14"/>
  <c r="AD474" i="14" s="1"/>
  <c r="U474" i="14"/>
  <c r="AC474" i="14" s="1"/>
  <c r="T474" i="14"/>
  <c r="AB474" i="14" s="1"/>
  <c r="S474" i="14"/>
  <c r="AA474" i="14" s="1"/>
  <c r="R474" i="14"/>
  <c r="Z474" i="14" s="1"/>
  <c r="Q474" i="14"/>
  <c r="Y474" i="14" s="1"/>
  <c r="P474" i="14"/>
  <c r="X474" i="14" s="1"/>
  <c r="O474" i="14"/>
  <c r="B474" i="14"/>
  <c r="BB473" i="14"/>
  <c r="BA473" i="14"/>
  <c r="AZ473" i="14"/>
  <c r="AY473" i="14"/>
  <c r="AX473" i="14"/>
  <c r="AW473" i="14"/>
  <c r="AV473" i="14"/>
  <c r="AU473" i="14"/>
  <c r="V473" i="14"/>
  <c r="AD473" i="14" s="1"/>
  <c r="U473" i="14"/>
  <c r="AC473" i="14" s="1"/>
  <c r="T473" i="14"/>
  <c r="AB473" i="14" s="1"/>
  <c r="S473" i="14"/>
  <c r="AA473" i="14" s="1"/>
  <c r="R473" i="14"/>
  <c r="Z473" i="14" s="1"/>
  <c r="Q473" i="14"/>
  <c r="Y473" i="14" s="1"/>
  <c r="P473" i="14"/>
  <c r="O473" i="14"/>
  <c r="B473" i="14"/>
  <c r="BB472" i="14"/>
  <c r="BA472" i="14"/>
  <c r="AZ472" i="14"/>
  <c r="AY472" i="14"/>
  <c r="S472" i="14" s="1"/>
  <c r="AA472" i="14" s="1"/>
  <c r="AX472" i="14"/>
  <c r="R472" i="14" s="1"/>
  <c r="Z472" i="14" s="1"/>
  <c r="AW472" i="14"/>
  <c r="Q472" i="14" s="1"/>
  <c r="Y472" i="14" s="1"/>
  <c r="AV472" i="14"/>
  <c r="AU472" i="14"/>
  <c r="O472" i="14" s="1"/>
  <c r="V472" i="14"/>
  <c r="AD472" i="14" s="1"/>
  <c r="U472" i="14"/>
  <c r="AC472" i="14" s="1"/>
  <c r="B472" i="14"/>
  <c r="BB471" i="14"/>
  <c r="BA471" i="14"/>
  <c r="AZ471" i="14"/>
  <c r="AY471" i="14"/>
  <c r="S471" i="14" s="1"/>
  <c r="AA471" i="14" s="1"/>
  <c r="AX471" i="14"/>
  <c r="R471" i="14" s="1"/>
  <c r="Z471" i="14" s="1"/>
  <c r="AW471" i="14"/>
  <c r="Q471" i="14" s="1"/>
  <c r="Y471" i="14" s="1"/>
  <c r="AV471" i="14"/>
  <c r="P471" i="14" s="1"/>
  <c r="X471" i="14" s="1"/>
  <c r="AU471" i="14"/>
  <c r="O471" i="14" s="1"/>
  <c r="V471" i="14"/>
  <c r="AD471" i="14" s="1"/>
  <c r="U471" i="14"/>
  <c r="AC471" i="14" s="1"/>
  <c r="B471" i="14"/>
  <c r="BB470" i="14"/>
  <c r="BA470" i="14"/>
  <c r="AZ470" i="14"/>
  <c r="AY470" i="14"/>
  <c r="AX470" i="14"/>
  <c r="AW470" i="14"/>
  <c r="AV470" i="14"/>
  <c r="AU470" i="14"/>
  <c r="V470" i="14"/>
  <c r="AD470" i="14" s="1"/>
  <c r="U470" i="14"/>
  <c r="AC470" i="14" s="1"/>
  <c r="T470" i="14"/>
  <c r="AB470" i="14" s="1"/>
  <c r="S470" i="14"/>
  <c r="AA470" i="14" s="1"/>
  <c r="R470" i="14"/>
  <c r="Z470" i="14" s="1"/>
  <c r="Q470" i="14"/>
  <c r="Y470" i="14" s="1"/>
  <c r="P470" i="14"/>
  <c r="X470" i="14" s="1"/>
  <c r="O470" i="14"/>
  <c r="B470" i="14"/>
  <c r="BB469" i="14"/>
  <c r="BA469" i="14"/>
  <c r="AZ469" i="14"/>
  <c r="AY469" i="14"/>
  <c r="AX469" i="14"/>
  <c r="AW469" i="14"/>
  <c r="AV469" i="14"/>
  <c r="AU469" i="14"/>
  <c r="V469" i="14"/>
  <c r="AD469" i="14" s="1"/>
  <c r="U469" i="14"/>
  <c r="AC469" i="14" s="1"/>
  <c r="T469" i="14"/>
  <c r="AB469" i="14" s="1"/>
  <c r="S469" i="14"/>
  <c r="AA469" i="14" s="1"/>
  <c r="R469" i="14"/>
  <c r="Z469" i="14" s="1"/>
  <c r="Q469" i="14"/>
  <c r="Y469" i="14" s="1"/>
  <c r="P469" i="14"/>
  <c r="O469" i="14"/>
  <c r="B469" i="14"/>
  <c r="BB468" i="14"/>
  <c r="BA468" i="14"/>
  <c r="AZ468" i="14"/>
  <c r="AY468" i="14"/>
  <c r="S468" i="14" s="1"/>
  <c r="AA468" i="14" s="1"/>
  <c r="AX468" i="14"/>
  <c r="R468" i="14" s="1"/>
  <c r="Z468" i="14" s="1"/>
  <c r="AW468" i="14"/>
  <c r="Q468" i="14" s="1"/>
  <c r="Y468" i="14" s="1"/>
  <c r="AV468" i="14"/>
  <c r="AU468" i="14"/>
  <c r="O468" i="14" s="1"/>
  <c r="V468" i="14"/>
  <c r="AD468" i="14" s="1"/>
  <c r="U468" i="14"/>
  <c r="AC468" i="14" s="1"/>
  <c r="B468" i="14"/>
  <c r="BB467" i="14"/>
  <c r="BA467" i="14"/>
  <c r="AZ467" i="14"/>
  <c r="AY467" i="14"/>
  <c r="S467" i="14" s="1"/>
  <c r="AA467" i="14" s="1"/>
  <c r="AX467" i="14"/>
  <c r="R467" i="14" s="1"/>
  <c r="Z467" i="14" s="1"/>
  <c r="AW467" i="14"/>
  <c r="Q467" i="14" s="1"/>
  <c r="Y467" i="14" s="1"/>
  <c r="AV467" i="14"/>
  <c r="P467" i="14" s="1"/>
  <c r="AU467" i="14"/>
  <c r="O467" i="14" s="1"/>
  <c r="V467" i="14"/>
  <c r="AD467" i="14" s="1"/>
  <c r="U467" i="14"/>
  <c r="AC467" i="14" s="1"/>
  <c r="B467" i="14"/>
  <c r="BB466" i="14"/>
  <c r="BA466" i="14"/>
  <c r="AZ466" i="14"/>
  <c r="AY466" i="14"/>
  <c r="AX466" i="14"/>
  <c r="AW466" i="14"/>
  <c r="AV466" i="14"/>
  <c r="AU466" i="14"/>
  <c r="V466" i="14"/>
  <c r="AD466" i="14" s="1"/>
  <c r="U466" i="14"/>
  <c r="AC466" i="14" s="1"/>
  <c r="T466" i="14"/>
  <c r="AB466" i="14" s="1"/>
  <c r="S466" i="14"/>
  <c r="AA466" i="14" s="1"/>
  <c r="R466" i="14"/>
  <c r="Z466" i="14" s="1"/>
  <c r="Q466" i="14"/>
  <c r="Y466" i="14" s="1"/>
  <c r="P466" i="14"/>
  <c r="X466" i="14" s="1"/>
  <c r="O466" i="14"/>
  <c r="B466" i="14"/>
  <c r="BB465" i="14"/>
  <c r="BA465" i="14"/>
  <c r="AZ465" i="14"/>
  <c r="AY465" i="14"/>
  <c r="S465" i="14" s="1"/>
  <c r="AA465" i="14" s="1"/>
  <c r="AX465" i="14"/>
  <c r="R465" i="14" s="1"/>
  <c r="Z465" i="14" s="1"/>
  <c r="AW465" i="14"/>
  <c r="Q465" i="14" s="1"/>
  <c r="Y465" i="14" s="1"/>
  <c r="AV465" i="14"/>
  <c r="P465" i="14" s="1"/>
  <c r="AU465" i="14"/>
  <c r="O465" i="14" s="1"/>
  <c r="V465" i="14"/>
  <c r="AD465" i="14" s="1"/>
  <c r="U465" i="14"/>
  <c r="AC465" i="14" s="1"/>
  <c r="T465" i="14"/>
  <c r="AB465" i="14" s="1"/>
  <c r="B465" i="14"/>
  <c r="BB464" i="14"/>
  <c r="BA464" i="14"/>
  <c r="AZ464" i="14"/>
  <c r="AY464" i="14"/>
  <c r="S464" i="14" s="1"/>
  <c r="AA464" i="14" s="1"/>
  <c r="AX464" i="14"/>
  <c r="R464" i="14" s="1"/>
  <c r="Z464" i="14" s="1"/>
  <c r="AW464" i="14"/>
  <c r="Q464" i="14" s="1"/>
  <c r="Y464" i="14" s="1"/>
  <c r="AV464" i="14"/>
  <c r="AU464" i="14"/>
  <c r="O464" i="14" s="1"/>
  <c r="V464" i="14"/>
  <c r="AD464" i="14" s="1"/>
  <c r="U464" i="14"/>
  <c r="AC464" i="14" s="1"/>
  <c r="B464" i="14"/>
  <c r="BB463" i="14"/>
  <c r="BA463" i="14"/>
  <c r="AZ463" i="14"/>
  <c r="AY463" i="14"/>
  <c r="S463" i="14" s="1"/>
  <c r="AA463" i="14" s="1"/>
  <c r="AX463" i="14"/>
  <c r="R463" i="14" s="1"/>
  <c r="Z463" i="14" s="1"/>
  <c r="AW463" i="14"/>
  <c r="Q463" i="14" s="1"/>
  <c r="Y463" i="14" s="1"/>
  <c r="AV463" i="14"/>
  <c r="P463" i="14" s="1"/>
  <c r="AU463" i="14"/>
  <c r="O463" i="14" s="1"/>
  <c r="V463" i="14"/>
  <c r="AD463" i="14" s="1"/>
  <c r="U463" i="14"/>
  <c r="AC463" i="14" s="1"/>
  <c r="B463" i="14"/>
  <c r="BB462" i="14"/>
  <c r="BA462" i="14"/>
  <c r="AZ462" i="14"/>
  <c r="AY462" i="14"/>
  <c r="AX462" i="14"/>
  <c r="AW462" i="14"/>
  <c r="AV462" i="14"/>
  <c r="AU462" i="14"/>
  <c r="V462" i="14"/>
  <c r="AD462" i="14" s="1"/>
  <c r="U462" i="14"/>
  <c r="AC462" i="14" s="1"/>
  <c r="T462" i="14"/>
  <c r="AB462" i="14" s="1"/>
  <c r="S462" i="14"/>
  <c r="AA462" i="14" s="1"/>
  <c r="R462" i="14"/>
  <c r="Z462" i="14" s="1"/>
  <c r="Q462" i="14"/>
  <c r="Y462" i="14" s="1"/>
  <c r="P462" i="14"/>
  <c r="X462" i="14" s="1"/>
  <c r="O462" i="14"/>
  <c r="B462" i="14"/>
  <c r="BB461" i="14"/>
  <c r="BA461" i="14"/>
  <c r="AZ461" i="14"/>
  <c r="AY461" i="14"/>
  <c r="AX461" i="14"/>
  <c r="AW461" i="14"/>
  <c r="Q461" i="14" s="1"/>
  <c r="Y461" i="14" s="1"/>
  <c r="AV461" i="14"/>
  <c r="P461" i="14" s="1"/>
  <c r="AU461" i="14"/>
  <c r="O461" i="14" s="1"/>
  <c r="V461" i="14"/>
  <c r="AD461" i="14" s="1"/>
  <c r="U461" i="14"/>
  <c r="AC461" i="14" s="1"/>
  <c r="T461" i="14"/>
  <c r="AB461" i="14" s="1"/>
  <c r="S461" i="14"/>
  <c r="AA461" i="14" s="1"/>
  <c r="R461" i="14"/>
  <c r="Z461" i="14" s="1"/>
  <c r="B461" i="14"/>
  <c r="BB460" i="14"/>
  <c r="BA460" i="14"/>
  <c r="AZ460" i="14"/>
  <c r="AY460" i="14"/>
  <c r="S460" i="14" s="1"/>
  <c r="AA460" i="14" s="1"/>
  <c r="AX460" i="14"/>
  <c r="R460" i="14" s="1"/>
  <c r="Z460" i="14" s="1"/>
  <c r="AW460" i="14"/>
  <c r="Q460" i="14" s="1"/>
  <c r="Y460" i="14" s="1"/>
  <c r="AV460" i="14"/>
  <c r="AU460" i="14"/>
  <c r="O460" i="14" s="1"/>
  <c r="V460" i="14"/>
  <c r="AD460" i="14" s="1"/>
  <c r="U460" i="14"/>
  <c r="AC460" i="14" s="1"/>
  <c r="B460" i="14"/>
  <c r="BB459" i="14"/>
  <c r="BA459" i="14"/>
  <c r="AZ459" i="14"/>
  <c r="AY459" i="14"/>
  <c r="S459" i="14" s="1"/>
  <c r="AA459" i="14" s="1"/>
  <c r="AX459" i="14"/>
  <c r="R459" i="14" s="1"/>
  <c r="Z459" i="14" s="1"/>
  <c r="AW459" i="14"/>
  <c r="Q459" i="14" s="1"/>
  <c r="Y459" i="14" s="1"/>
  <c r="AV459" i="14"/>
  <c r="P459" i="14" s="1"/>
  <c r="AU459" i="14"/>
  <c r="O459" i="14" s="1"/>
  <c r="V459" i="14"/>
  <c r="AD459" i="14" s="1"/>
  <c r="U459" i="14"/>
  <c r="AC459" i="14" s="1"/>
  <c r="B459" i="14"/>
  <c r="BB458" i="14"/>
  <c r="BA458" i="14"/>
  <c r="AZ458" i="14"/>
  <c r="T458" i="14" s="1"/>
  <c r="AB458" i="14" s="1"/>
  <c r="AY458" i="14"/>
  <c r="S458" i="14" s="1"/>
  <c r="AA458" i="14" s="1"/>
  <c r="AX458" i="14"/>
  <c r="R458" i="14" s="1"/>
  <c r="Z458" i="14" s="1"/>
  <c r="AW458" i="14"/>
  <c r="Q458" i="14" s="1"/>
  <c r="Y458" i="14" s="1"/>
  <c r="AV458" i="14"/>
  <c r="P458" i="14" s="1"/>
  <c r="X458" i="14" s="1"/>
  <c r="AU458" i="14"/>
  <c r="O458" i="14" s="1"/>
  <c r="V458" i="14"/>
  <c r="AD458" i="14" s="1"/>
  <c r="U458" i="14"/>
  <c r="AC458" i="14" s="1"/>
  <c r="B458" i="14"/>
  <c r="BB457" i="14"/>
  <c r="V457" i="14" s="1"/>
  <c r="AD457" i="14" s="1"/>
  <c r="BA457" i="14"/>
  <c r="U457" i="14" s="1"/>
  <c r="AC457" i="14" s="1"/>
  <c r="AZ457" i="14"/>
  <c r="T457" i="14" s="1"/>
  <c r="AB457" i="14" s="1"/>
  <c r="AY457" i="14"/>
  <c r="S457" i="14" s="1"/>
  <c r="AA457" i="14" s="1"/>
  <c r="AX457" i="14"/>
  <c r="R457" i="14" s="1"/>
  <c r="Z457" i="14" s="1"/>
  <c r="AW457" i="14"/>
  <c r="Q457" i="14" s="1"/>
  <c r="Y457" i="14" s="1"/>
  <c r="AV457" i="14"/>
  <c r="P457" i="14" s="1"/>
  <c r="AU457" i="14"/>
  <c r="O457" i="14" s="1"/>
  <c r="B457" i="14"/>
  <c r="BB456" i="14"/>
  <c r="V456" i="14" s="1"/>
  <c r="AD456" i="14" s="1"/>
  <c r="BA456" i="14"/>
  <c r="U456" i="14" s="1"/>
  <c r="AC456" i="14" s="1"/>
  <c r="AZ456" i="14"/>
  <c r="AY456" i="14"/>
  <c r="S456" i="14" s="1"/>
  <c r="AA456" i="14" s="1"/>
  <c r="AX456" i="14"/>
  <c r="R456" i="14" s="1"/>
  <c r="Z456" i="14" s="1"/>
  <c r="AW456" i="14"/>
  <c r="Q456" i="14" s="1"/>
  <c r="Y456" i="14" s="1"/>
  <c r="AV456" i="14"/>
  <c r="AU456" i="14"/>
  <c r="O456" i="14" s="1"/>
  <c r="B456" i="14"/>
  <c r="BB455" i="14"/>
  <c r="BA455" i="14"/>
  <c r="AZ455" i="14"/>
  <c r="AY455" i="14"/>
  <c r="S455" i="14" s="1"/>
  <c r="AA455" i="14" s="1"/>
  <c r="AX455" i="14"/>
  <c r="R455" i="14" s="1"/>
  <c r="Z455" i="14" s="1"/>
  <c r="AW455" i="14"/>
  <c r="Q455" i="14" s="1"/>
  <c r="Y455" i="14" s="1"/>
  <c r="AV455" i="14"/>
  <c r="P455" i="14" s="1"/>
  <c r="AU455" i="14"/>
  <c r="O455" i="14" s="1"/>
  <c r="V455" i="14"/>
  <c r="AD455" i="14" s="1"/>
  <c r="U455" i="14"/>
  <c r="AC455" i="14" s="1"/>
  <c r="B455" i="14"/>
  <c r="BB454" i="14"/>
  <c r="BA454" i="14"/>
  <c r="AZ454" i="14"/>
  <c r="AY454" i="14"/>
  <c r="AX454" i="14"/>
  <c r="AW454" i="14"/>
  <c r="AV454" i="14"/>
  <c r="P454" i="14" s="1"/>
  <c r="X454" i="14" s="1"/>
  <c r="AU454" i="14"/>
  <c r="O454" i="14" s="1"/>
  <c r="V454" i="14"/>
  <c r="AD454" i="14" s="1"/>
  <c r="U454" i="14"/>
  <c r="AC454" i="14" s="1"/>
  <c r="T454" i="14"/>
  <c r="AB454" i="14" s="1"/>
  <c r="S454" i="14"/>
  <c r="AA454" i="14" s="1"/>
  <c r="R454" i="14"/>
  <c r="Z454" i="14" s="1"/>
  <c r="Q454" i="14"/>
  <c r="Y454" i="14" s="1"/>
  <c r="B454" i="14"/>
  <c r="BB453" i="14"/>
  <c r="BA453" i="14"/>
  <c r="AZ453" i="14"/>
  <c r="AY453" i="14"/>
  <c r="AX453" i="14"/>
  <c r="AW453" i="14"/>
  <c r="AV453" i="14"/>
  <c r="AU453" i="14"/>
  <c r="V453" i="14"/>
  <c r="AD453" i="14" s="1"/>
  <c r="U453" i="14"/>
  <c r="AC453" i="14" s="1"/>
  <c r="T453" i="14"/>
  <c r="AB453" i="14" s="1"/>
  <c r="S453" i="14"/>
  <c r="AA453" i="14" s="1"/>
  <c r="R453" i="14"/>
  <c r="Z453" i="14" s="1"/>
  <c r="Q453" i="14"/>
  <c r="Y453" i="14" s="1"/>
  <c r="P453" i="14"/>
  <c r="O453" i="14"/>
  <c r="B453" i="14"/>
  <c r="BB452" i="14"/>
  <c r="BA452" i="14"/>
  <c r="AZ452" i="14"/>
  <c r="AY452" i="14"/>
  <c r="S452" i="14" s="1"/>
  <c r="AA452" i="14" s="1"/>
  <c r="AX452" i="14"/>
  <c r="R452" i="14" s="1"/>
  <c r="Z452" i="14" s="1"/>
  <c r="AW452" i="14"/>
  <c r="Q452" i="14" s="1"/>
  <c r="Y452" i="14" s="1"/>
  <c r="AV452" i="14"/>
  <c r="AU452" i="14"/>
  <c r="O452" i="14" s="1"/>
  <c r="V452" i="14"/>
  <c r="AD452" i="14" s="1"/>
  <c r="U452" i="14"/>
  <c r="AC452" i="14" s="1"/>
  <c r="B452" i="14"/>
  <c r="BB451" i="14"/>
  <c r="BA451" i="14"/>
  <c r="AZ451" i="14"/>
  <c r="AY451" i="14"/>
  <c r="S451" i="14" s="1"/>
  <c r="AA451" i="14" s="1"/>
  <c r="AX451" i="14"/>
  <c r="R451" i="14" s="1"/>
  <c r="Z451" i="14" s="1"/>
  <c r="AW451" i="14"/>
  <c r="Q451" i="14" s="1"/>
  <c r="Y451" i="14" s="1"/>
  <c r="AV451" i="14"/>
  <c r="P451" i="14" s="1"/>
  <c r="AU451" i="14"/>
  <c r="O451" i="14" s="1"/>
  <c r="V451" i="14"/>
  <c r="AD451" i="14" s="1"/>
  <c r="U451" i="14"/>
  <c r="AC451" i="14" s="1"/>
  <c r="B451" i="14"/>
  <c r="BB450" i="14"/>
  <c r="BA450" i="14"/>
  <c r="AZ450" i="14"/>
  <c r="T450" i="14" s="1"/>
  <c r="AB450" i="14" s="1"/>
  <c r="AY450" i="14"/>
  <c r="S450" i="14" s="1"/>
  <c r="AA450" i="14" s="1"/>
  <c r="AX450" i="14"/>
  <c r="R450" i="14" s="1"/>
  <c r="Z450" i="14" s="1"/>
  <c r="AW450" i="14"/>
  <c r="Q450" i="14" s="1"/>
  <c r="Y450" i="14" s="1"/>
  <c r="AV450" i="14"/>
  <c r="P450" i="14" s="1"/>
  <c r="X450" i="14" s="1"/>
  <c r="AU450" i="14"/>
  <c r="O450" i="14" s="1"/>
  <c r="V450" i="14"/>
  <c r="AD450" i="14" s="1"/>
  <c r="U450" i="14"/>
  <c r="AC450" i="14" s="1"/>
  <c r="B450" i="14"/>
  <c r="BB449" i="14"/>
  <c r="BA449" i="14"/>
  <c r="U449" i="14" s="1"/>
  <c r="AC449" i="14" s="1"/>
  <c r="AZ449" i="14"/>
  <c r="T449" i="14" s="1"/>
  <c r="AB449" i="14" s="1"/>
  <c r="AY449" i="14"/>
  <c r="S449" i="14" s="1"/>
  <c r="AA449" i="14" s="1"/>
  <c r="AX449" i="14"/>
  <c r="R449" i="14" s="1"/>
  <c r="Z449" i="14" s="1"/>
  <c r="AW449" i="14"/>
  <c r="Q449" i="14" s="1"/>
  <c r="Y449" i="14" s="1"/>
  <c r="AV449" i="14"/>
  <c r="P449" i="14" s="1"/>
  <c r="AU449" i="14"/>
  <c r="O449" i="14" s="1"/>
  <c r="V449" i="14"/>
  <c r="AD449" i="14" s="1"/>
  <c r="B449" i="14"/>
  <c r="BB448" i="14"/>
  <c r="BA448" i="14"/>
  <c r="AZ448" i="14"/>
  <c r="AY448" i="14"/>
  <c r="S448" i="14" s="1"/>
  <c r="AA448" i="14" s="1"/>
  <c r="AX448" i="14"/>
  <c r="R448" i="14" s="1"/>
  <c r="Z448" i="14" s="1"/>
  <c r="AW448" i="14"/>
  <c r="Q448" i="14" s="1"/>
  <c r="Y448" i="14" s="1"/>
  <c r="AV448" i="14"/>
  <c r="AU448" i="14"/>
  <c r="O448" i="14" s="1"/>
  <c r="V448" i="14"/>
  <c r="AD448" i="14" s="1"/>
  <c r="U448" i="14"/>
  <c r="AC448" i="14" s="1"/>
  <c r="B448" i="14"/>
  <c r="BB447" i="14"/>
  <c r="BA447" i="14"/>
  <c r="AZ447" i="14"/>
  <c r="AY447" i="14"/>
  <c r="S447" i="14" s="1"/>
  <c r="AA447" i="14" s="1"/>
  <c r="AX447" i="14"/>
  <c r="R447" i="14" s="1"/>
  <c r="Z447" i="14" s="1"/>
  <c r="AW447" i="14"/>
  <c r="Q447" i="14" s="1"/>
  <c r="Y447" i="14" s="1"/>
  <c r="AV447" i="14"/>
  <c r="P447" i="14" s="1"/>
  <c r="AU447" i="14"/>
  <c r="O447" i="14" s="1"/>
  <c r="V447" i="14"/>
  <c r="AD447" i="14" s="1"/>
  <c r="U447" i="14"/>
  <c r="AC447" i="14" s="1"/>
  <c r="B447" i="14"/>
  <c r="BB446" i="14"/>
  <c r="BA446" i="14"/>
  <c r="U446" i="14" s="1"/>
  <c r="AC446" i="14" s="1"/>
  <c r="AZ446" i="14"/>
  <c r="T446" i="14" s="1"/>
  <c r="AB446" i="14" s="1"/>
  <c r="AY446" i="14"/>
  <c r="S446" i="14" s="1"/>
  <c r="AA446" i="14" s="1"/>
  <c r="AX446" i="14"/>
  <c r="R446" i="14" s="1"/>
  <c r="Z446" i="14" s="1"/>
  <c r="AW446" i="14"/>
  <c r="Q446" i="14" s="1"/>
  <c r="Y446" i="14" s="1"/>
  <c r="AV446" i="14"/>
  <c r="P446" i="14" s="1"/>
  <c r="X446" i="14" s="1"/>
  <c r="AU446" i="14"/>
  <c r="O446" i="14" s="1"/>
  <c r="V446" i="14"/>
  <c r="AD446" i="14" s="1"/>
  <c r="B446" i="14"/>
  <c r="BB445" i="14"/>
  <c r="V445" i="14" s="1"/>
  <c r="AD445" i="14" s="1"/>
  <c r="BA445" i="14"/>
  <c r="U445" i="14" s="1"/>
  <c r="AC445" i="14" s="1"/>
  <c r="AZ445" i="14"/>
  <c r="T445" i="14" s="1"/>
  <c r="AB445" i="14" s="1"/>
  <c r="AY445" i="14"/>
  <c r="S445" i="14" s="1"/>
  <c r="AA445" i="14" s="1"/>
  <c r="AX445" i="14"/>
  <c r="R445" i="14" s="1"/>
  <c r="Z445" i="14" s="1"/>
  <c r="AW445" i="14"/>
  <c r="Q445" i="14" s="1"/>
  <c r="Y445" i="14" s="1"/>
  <c r="AV445" i="14"/>
  <c r="P445" i="14" s="1"/>
  <c r="AU445" i="14"/>
  <c r="O445" i="14" s="1"/>
  <c r="B445" i="14"/>
  <c r="BB444" i="14"/>
  <c r="BA444" i="14"/>
  <c r="AZ444" i="14"/>
  <c r="AY444" i="14"/>
  <c r="S444" i="14" s="1"/>
  <c r="AA444" i="14" s="1"/>
  <c r="AX444" i="14"/>
  <c r="R444" i="14" s="1"/>
  <c r="Z444" i="14" s="1"/>
  <c r="AW444" i="14"/>
  <c r="Q444" i="14" s="1"/>
  <c r="Y444" i="14" s="1"/>
  <c r="AV444" i="14"/>
  <c r="AU444" i="14"/>
  <c r="O444" i="14" s="1"/>
  <c r="V444" i="14"/>
  <c r="AD444" i="14" s="1"/>
  <c r="U444" i="14"/>
  <c r="AC444" i="14" s="1"/>
  <c r="B444" i="14"/>
  <c r="BB443" i="14"/>
  <c r="BA443" i="14"/>
  <c r="AZ443" i="14"/>
  <c r="AY443" i="14"/>
  <c r="S443" i="14" s="1"/>
  <c r="AA443" i="14" s="1"/>
  <c r="AX443" i="14"/>
  <c r="R443" i="14" s="1"/>
  <c r="Z443" i="14" s="1"/>
  <c r="AW443" i="14"/>
  <c r="Q443" i="14" s="1"/>
  <c r="Y443" i="14" s="1"/>
  <c r="AV443" i="14"/>
  <c r="P443" i="14" s="1"/>
  <c r="AU443" i="14"/>
  <c r="O443" i="14" s="1"/>
  <c r="V443" i="14"/>
  <c r="AD443" i="14" s="1"/>
  <c r="U443" i="14"/>
  <c r="AC443" i="14" s="1"/>
  <c r="B443" i="14"/>
  <c r="BB442" i="14"/>
  <c r="BA442" i="14"/>
  <c r="AZ442" i="14"/>
  <c r="AY442" i="14"/>
  <c r="AX442" i="14"/>
  <c r="AW442" i="14"/>
  <c r="Q442" i="14" s="1"/>
  <c r="Y442" i="14" s="1"/>
  <c r="AV442" i="14"/>
  <c r="P442" i="14" s="1"/>
  <c r="X442" i="14" s="1"/>
  <c r="AU442" i="14"/>
  <c r="O442" i="14" s="1"/>
  <c r="V442" i="14"/>
  <c r="AD442" i="14" s="1"/>
  <c r="U442" i="14"/>
  <c r="AC442" i="14" s="1"/>
  <c r="T442" i="14"/>
  <c r="AB442" i="14" s="1"/>
  <c r="S442" i="14"/>
  <c r="AA442" i="14" s="1"/>
  <c r="R442" i="14"/>
  <c r="Z442" i="14" s="1"/>
  <c r="B442" i="14"/>
  <c r="BB441" i="14"/>
  <c r="BA441" i="14"/>
  <c r="AZ441" i="14"/>
  <c r="AY441" i="14"/>
  <c r="AX441" i="14"/>
  <c r="AW441" i="14"/>
  <c r="AV441" i="14"/>
  <c r="AU441" i="14"/>
  <c r="V441" i="14"/>
  <c r="AD441" i="14" s="1"/>
  <c r="U441" i="14"/>
  <c r="AC441" i="14" s="1"/>
  <c r="T441" i="14"/>
  <c r="AB441" i="14" s="1"/>
  <c r="S441" i="14"/>
  <c r="AA441" i="14" s="1"/>
  <c r="R441" i="14"/>
  <c r="Z441" i="14" s="1"/>
  <c r="Q441" i="14"/>
  <c r="Y441" i="14" s="1"/>
  <c r="P441" i="14"/>
  <c r="O441" i="14"/>
  <c r="B441" i="14"/>
  <c r="BB440" i="14"/>
  <c r="BA440" i="14"/>
  <c r="AZ440" i="14"/>
  <c r="AY440" i="14"/>
  <c r="S440" i="14" s="1"/>
  <c r="AA440" i="14" s="1"/>
  <c r="AX440" i="14"/>
  <c r="R440" i="14" s="1"/>
  <c r="Z440" i="14" s="1"/>
  <c r="AW440" i="14"/>
  <c r="Q440" i="14" s="1"/>
  <c r="Y440" i="14" s="1"/>
  <c r="AV440" i="14"/>
  <c r="AU440" i="14"/>
  <c r="O440" i="14" s="1"/>
  <c r="V440" i="14"/>
  <c r="AD440" i="14" s="1"/>
  <c r="U440" i="14"/>
  <c r="AC440" i="14" s="1"/>
  <c r="B440" i="14"/>
  <c r="BB439" i="14"/>
  <c r="BA439" i="14"/>
  <c r="AZ439" i="14"/>
  <c r="AY439" i="14"/>
  <c r="S439" i="14" s="1"/>
  <c r="AA439" i="14" s="1"/>
  <c r="AX439" i="14"/>
  <c r="R439" i="14" s="1"/>
  <c r="Z439" i="14" s="1"/>
  <c r="AW439" i="14"/>
  <c r="Q439" i="14" s="1"/>
  <c r="Y439" i="14" s="1"/>
  <c r="AV439" i="14"/>
  <c r="P439" i="14" s="1"/>
  <c r="AU439" i="14"/>
  <c r="O439" i="14" s="1"/>
  <c r="V439" i="14"/>
  <c r="AD439" i="14" s="1"/>
  <c r="U439" i="14"/>
  <c r="AC439" i="14" s="1"/>
  <c r="B439" i="14"/>
  <c r="BB438" i="14"/>
  <c r="BA438" i="14"/>
  <c r="AZ438" i="14"/>
  <c r="AY438" i="14"/>
  <c r="S438" i="14" s="1"/>
  <c r="AA438" i="14" s="1"/>
  <c r="AX438" i="14"/>
  <c r="R438" i="14" s="1"/>
  <c r="Z438" i="14" s="1"/>
  <c r="AW438" i="14"/>
  <c r="Q438" i="14" s="1"/>
  <c r="Y438" i="14" s="1"/>
  <c r="AV438" i="14"/>
  <c r="P438" i="14" s="1"/>
  <c r="X438" i="14" s="1"/>
  <c r="AU438" i="14"/>
  <c r="V438" i="14"/>
  <c r="AD438" i="14" s="1"/>
  <c r="U438" i="14"/>
  <c r="AC438" i="14" s="1"/>
  <c r="T438" i="14"/>
  <c r="AB438" i="14" s="1"/>
  <c r="O438" i="14"/>
  <c r="B438" i="14"/>
  <c r="BB437" i="14"/>
  <c r="BA437" i="14"/>
  <c r="AZ437" i="14"/>
  <c r="T437" i="14" s="1"/>
  <c r="AB437" i="14" s="1"/>
  <c r="AY437" i="14"/>
  <c r="S437" i="14" s="1"/>
  <c r="AA437" i="14" s="1"/>
  <c r="AX437" i="14"/>
  <c r="R437" i="14" s="1"/>
  <c r="Z437" i="14" s="1"/>
  <c r="AW437" i="14"/>
  <c r="Q437" i="14" s="1"/>
  <c r="Y437" i="14" s="1"/>
  <c r="AV437" i="14"/>
  <c r="P437" i="14" s="1"/>
  <c r="AU437" i="14"/>
  <c r="O437" i="14" s="1"/>
  <c r="V437" i="14"/>
  <c r="AD437" i="14" s="1"/>
  <c r="U437" i="14"/>
  <c r="AC437" i="14" s="1"/>
  <c r="B437" i="14"/>
  <c r="BB436" i="14"/>
  <c r="BA436" i="14"/>
  <c r="U436" i="14" s="1"/>
  <c r="AC436" i="14" s="1"/>
  <c r="AZ436" i="14"/>
  <c r="AY436" i="14"/>
  <c r="S436" i="14" s="1"/>
  <c r="AA436" i="14" s="1"/>
  <c r="AX436" i="14"/>
  <c r="R436" i="14" s="1"/>
  <c r="Z436" i="14" s="1"/>
  <c r="AW436" i="14"/>
  <c r="Q436" i="14" s="1"/>
  <c r="Y436" i="14" s="1"/>
  <c r="AV436" i="14"/>
  <c r="AU436" i="14"/>
  <c r="O436" i="14" s="1"/>
  <c r="V436" i="14"/>
  <c r="AD436" i="14" s="1"/>
  <c r="B436" i="14"/>
  <c r="BB435" i="14"/>
  <c r="BA435" i="14"/>
  <c r="AZ435" i="14"/>
  <c r="AY435" i="14"/>
  <c r="S435" i="14" s="1"/>
  <c r="AA435" i="14" s="1"/>
  <c r="AX435" i="14"/>
  <c r="R435" i="14" s="1"/>
  <c r="Z435" i="14" s="1"/>
  <c r="AW435" i="14"/>
  <c r="Q435" i="14" s="1"/>
  <c r="Y435" i="14" s="1"/>
  <c r="AV435" i="14"/>
  <c r="P435" i="14" s="1"/>
  <c r="AU435" i="14"/>
  <c r="O435" i="14" s="1"/>
  <c r="V435" i="14"/>
  <c r="AD435" i="14" s="1"/>
  <c r="U435" i="14"/>
  <c r="AC435" i="14" s="1"/>
  <c r="B435" i="14"/>
  <c r="BB434" i="14"/>
  <c r="V434" i="14" s="1"/>
  <c r="AD434" i="14" s="1"/>
  <c r="BA434" i="14"/>
  <c r="U434" i="14" s="1"/>
  <c r="AC434" i="14" s="1"/>
  <c r="AZ434" i="14"/>
  <c r="T434" i="14" s="1"/>
  <c r="AB434" i="14" s="1"/>
  <c r="AY434" i="14"/>
  <c r="S434" i="14" s="1"/>
  <c r="AA434" i="14" s="1"/>
  <c r="AX434" i="14"/>
  <c r="AW434" i="14"/>
  <c r="Q434" i="14" s="1"/>
  <c r="Y434" i="14" s="1"/>
  <c r="AV434" i="14"/>
  <c r="P434" i="14" s="1"/>
  <c r="X434" i="14" s="1"/>
  <c r="AU434" i="14"/>
  <c r="O434" i="14" s="1"/>
  <c r="R434" i="14"/>
  <c r="Z434" i="14" s="1"/>
  <c r="B434" i="14"/>
  <c r="BB433" i="14"/>
  <c r="BA433" i="14"/>
  <c r="AZ433" i="14"/>
  <c r="AY433" i="14"/>
  <c r="AX433" i="14"/>
  <c r="AW433" i="14"/>
  <c r="AV433" i="14"/>
  <c r="AU433" i="14"/>
  <c r="V433" i="14"/>
  <c r="AD433" i="14" s="1"/>
  <c r="U433" i="14"/>
  <c r="AC433" i="14" s="1"/>
  <c r="T433" i="14"/>
  <c r="AB433" i="14" s="1"/>
  <c r="S433" i="14"/>
  <c r="AA433" i="14" s="1"/>
  <c r="R433" i="14"/>
  <c r="Z433" i="14" s="1"/>
  <c r="Q433" i="14"/>
  <c r="Y433" i="14" s="1"/>
  <c r="P433" i="14"/>
  <c r="O433" i="14"/>
  <c r="B433" i="14"/>
  <c r="BB432" i="14"/>
  <c r="BA432" i="14"/>
  <c r="AZ432" i="14"/>
  <c r="AY432" i="14"/>
  <c r="S432" i="14" s="1"/>
  <c r="AA432" i="14" s="1"/>
  <c r="AX432" i="14"/>
  <c r="R432" i="14" s="1"/>
  <c r="Z432" i="14" s="1"/>
  <c r="AW432" i="14"/>
  <c r="Q432" i="14" s="1"/>
  <c r="Y432" i="14" s="1"/>
  <c r="AV432" i="14"/>
  <c r="AU432" i="14"/>
  <c r="O432" i="14" s="1"/>
  <c r="V432" i="14"/>
  <c r="AD432" i="14" s="1"/>
  <c r="U432" i="14"/>
  <c r="AC432" i="14" s="1"/>
  <c r="B432" i="14"/>
  <c r="BB431" i="14"/>
  <c r="BA431" i="14"/>
  <c r="AZ431" i="14"/>
  <c r="AY431" i="14"/>
  <c r="S431" i="14" s="1"/>
  <c r="AA431" i="14" s="1"/>
  <c r="AX431" i="14"/>
  <c r="R431" i="14" s="1"/>
  <c r="Z431" i="14" s="1"/>
  <c r="AW431" i="14"/>
  <c r="Q431" i="14" s="1"/>
  <c r="Y431" i="14" s="1"/>
  <c r="AV431" i="14"/>
  <c r="P431" i="14" s="1"/>
  <c r="AU431" i="14"/>
  <c r="O431" i="14" s="1"/>
  <c r="V431" i="14"/>
  <c r="AD431" i="14" s="1"/>
  <c r="U431" i="14"/>
  <c r="AC431" i="14" s="1"/>
  <c r="B431" i="14"/>
  <c r="BB430" i="14"/>
  <c r="BA430" i="14"/>
  <c r="AZ430" i="14"/>
  <c r="AY430" i="14"/>
  <c r="AX430" i="14"/>
  <c r="AW430" i="14"/>
  <c r="AV430" i="14"/>
  <c r="AU430" i="14"/>
  <c r="V430" i="14"/>
  <c r="AD430" i="14" s="1"/>
  <c r="U430" i="14"/>
  <c r="AC430" i="14" s="1"/>
  <c r="T430" i="14"/>
  <c r="AB430" i="14" s="1"/>
  <c r="S430" i="14"/>
  <c r="AA430" i="14" s="1"/>
  <c r="R430" i="14"/>
  <c r="Z430" i="14" s="1"/>
  <c r="Q430" i="14"/>
  <c r="Y430" i="14" s="1"/>
  <c r="P430" i="14"/>
  <c r="X430" i="14" s="1"/>
  <c r="O430" i="14"/>
  <c r="B430" i="14"/>
  <c r="BB429" i="14"/>
  <c r="BA429" i="14"/>
  <c r="AZ429" i="14"/>
  <c r="AY429" i="14"/>
  <c r="S429" i="14" s="1"/>
  <c r="AA429" i="14" s="1"/>
  <c r="AX429" i="14"/>
  <c r="R429" i="14" s="1"/>
  <c r="Z429" i="14" s="1"/>
  <c r="AW429" i="14"/>
  <c r="Q429" i="14" s="1"/>
  <c r="Y429" i="14" s="1"/>
  <c r="AV429" i="14"/>
  <c r="P429" i="14" s="1"/>
  <c r="AU429" i="14"/>
  <c r="O429" i="14" s="1"/>
  <c r="V429" i="14"/>
  <c r="AD429" i="14" s="1"/>
  <c r="U429" i="14"/>
  <c r="AC429" i="14" s="1"/>
  <c r="T429" i="14"/>
  <c r="AB429" i="14" s="1"/>
  <c r="B429" i="14"/>
  <c r="BB428" i="14"/>
  <c r="BA428" i="14"/>
  <c r="AZ428" i="14"/>
  <c r="AY428" i="14"/>
  <c r="S428" i="14" s="1"/>
  <c r="AA428" i="14" s="1"/>
  <c r="AX428" i="14"/>
  <c r="R428" i="14" s="1"/>
  <c r="Z428" i="14" s="1"/>
  <c r="AW428" i="14"/>
  <c r="Q428" i="14" s="1"/>
  <c r="Y428" i="14" s="1"/>
  <c r="AV428" i="14"/>
  <c r="AU428" i="14"/>
  <c r="O428" i="14" s="1"/>
  <c r="V428" i="14"/>
  <c r="AD428" i="14" s="1"/>
  <c r="U428" i="14"/>
  <c r="AC428" i="14" s="1"/>
  <c r="B428" i="14"/>
  <c r="BB427" i="14"/>
  <c r="BA427" i="14"/>
  <c r="AZ427" i="14"/>
  <c r="AY427" i="14"/>
  <c r="S427" i="14" s="1"/>
  <c r="AA427" i="14" s="1"/>
  <c r="AX427" i="14"/>
  <c r="R427" i="14" s="1"/>
  <c r="Z427" i="14" s="1"/>
  <c r="AW427" i="14"/>
  <c r="Q427" i="14" s="1"/>
  <c r="Y427" i="14" s="1"/>
  <c r="AV427" i="14"/>
  <c r="P427" i="14" s="1"/>
  <c r="AU427" i="14"/>
  <c r="O427" i="14" s="1"/>
  <c r="V427" i="14"/>
  <c r="AD427" i="14" s="1"/>
  <c r="U427" i="14"/>
  <c r="AC427" i="14" s="1"/>
  <c r="B427" i="14"/>
  <c r="BB426" i="14"/>
  <c r="BA426" i="14"/>
  <c r="AZ426" i="14"/>
  <c r="AY426" i="14"/>
  <c r="AX426" i="14"/>
  <c r="R426" i="14" s="1"/>
  <c r="Z426" i="14" s="1"/>
  <c r="AW426" i="14"/>
  <c r="Q426" i="14" s="1"/>
  <c r="Y426" i="14" s="1"/>
  <c r="AV426" i="14"/>
  <c r="P426" i="14" s="1"/>
  <c r="X426" i="14" s="1"/>
  <c r="AU426" i="14"/>
  <c r="O426" i="14" s="1"/>
  <c r="V426" i="14"/>
  <c r="AD426" i="14" s="1"/>
  <c r="U426" i="14"/>
  <c r="AC426" i="14" s="1"/>
  <c r="T426" i="14"/>
  <c r="AB426" i="14" s="1"/>
  <c r="S426" i="14"/>
  <c r="AA426" i="14" s="1"/>
  <c r="B426" i="14"/>
  <c r="BB425" i="14"/>
  <c r="BA425" i="14"/>
  <c r="AZ425" i="14"/>
  <c r="AY425" i="14"/>
  <c r="AX425" i="14"/>
  <c r="AW425" i="14"/>
  <c r="AV425" i="14"/>
  <c r="AU425" i="14"/>
  <c r="V425" i="14"/>
  <c r="AD425" i="14" s="1"/>
  <c r="U425" i="14"/>
  <c r="AC425" i="14" s="1"/>
  <c r="T425" i="14"/>
  <c r="AB425" i="14" s="1"/>
  <c r="S425" i="14"/>
  <c r="AA425" i="14" s="1"/>
  <c r="R425" i="14"/>
  <c r="Z425" i="14" s="1"/>
  <c r="Q425" i="14"/>
  <c r="Y425" i="14" s="1"/>
  <c r="P425" i="14"/>
  <c r="O425" i="14"/>
  <c r="B425" i="14"/>
  <c r="BB424" i="14"/>
  <c r="V424" i="14" s="1"/>
  <c r="AD424" i="14" s="1"/>
  <c r="BA424" i="14"/>
  <c r="U424" i="14" s="1"/>
  <c r="AC424" i="14" s="1"/>
  <c r="AZ424" i="14"/>
  <c r="AY424" i="14"/>
  <c r="S424" i="14" s="1"/>
  <c r="AA424" i="14" s="1"/>
  <c r="AX424" i="14"/>
  <c r="R424" i="14" s="1"/>
  <c r="Z424" i="14" s="1"/>
  <c r="AW424" i="14"/>
  <c r="Q424" i="14" s="1"/>
  <c r="Y424" i="14" s="1"/>
  <c r="AV424" i="14"/>
  <c r="AU424" i="14"/>
  <c r="O424" i="14" s="1"/>
  <c r="B424" i="14"/>
  <c r="BB423" i="14"/>
  <c r="BA423" i="14"/>
  <c r="AZ423" i="14"/>
  <c r="AY423" i="14"/>
  <c r="S423" i="14" s="1"/>
  <c r="AA423" i="14" s="1"/>
  <c r="AX423" i="14"/>
  <c r="R423" i="14" s="1"/>
  <c r="Z423" i="14" s="1"/>
  <c r="AW423" i="14"/>
  <c r="Q423" i="14" s="1"/>
  <c r="Y423" i="14" s="1"/>
  <c r="AV423" i="14"/>
  <c r="P423" i="14" s="1"/>
  <c r="AU423" i="14"/>
  <c r="O423" i="14" s="1"/>
  <c r="V423" i="14"/>
  <c r="AD423" i="14" s="1"/>
  <c r="U423" i="14"/>
  <c r="AC423" i="14" s="1"/>
  <c r="B423" i="14"/>
  <c r="BB422" i="14"/>
  <c r="BA422" i="14"/>
  <c r="AZ422" i="14"/>
  <c r="AY422" i="14"/>
  <c r="AX422" i="14"/>
  <c r="AW422" i="14"/>
  <c r="Q422" i="14" s="1"/>
  <c r="Y422" i="14" s="1"/>
  <c r="AV422" i="14"/>
  <c r="P422" i="14" s="1"/>
  <c r="X422" i="14" s="1"/>
  <c r="AU422" i="14"/>
  <c r="O422" i="14" s="1"/>
  <c r="V422" i="14"/>
  <c r="AD422" i="14" s="1"/>
  <c r="U422" i="14"/>
  <c r="AC422" i="14" s="1"/>
  <c r="T422" i="14"/>
  <c r="AB422" i="14" s="1"/>
  <c r="S422" i="14"/>
  <c r="AA422" i="14" s="1"/>
  <c r="R422" i="14"/>
  <c r="Z422" i="14" s="1"/>
  <c r="B422" i="14"/>
  <c r="BB421" i="14"/>
  <c r="BA421" i="14"/>
  <c r="AZ421" i="14"/>
  <c r="AY421" i="14"/>
  <c r="AX421" i="14"/>
  <c r="AW421" i="14"/>
  <c r="AV421" i="14"/>
  <c r="P421" i="14" s="1"/>
  <c r="AU421" i="14"/>
  <c r="O421" i="14" s="1"/>
  <c r="V421" i="14"/>
  <c r="AD421" i="14" s="1"/>
  <c r="U421" i="14"/>
  <c r="AC421" i="14" s="1"/>
  <c r="T421" i="14"/>
  <c r="AB421" i="14" s="1"/>
  <c r="S421" i="14"/>
  <c r="AA421" i="14" s="1"/>
  <c r="R421" i="14"/>
  <c r="Z421" i="14" s="1"/>
  <c r="Q421" i="14"/>
  <c r="Y421" i="14" s="1"/>
  <c r="B421" i="14"/>
  <c r="BB420" i="14"/>
  <c r="BA420" i="14"/>
  <c r="AZ420" i="14"/>
  <c r="AY420" i="14"/>
  <c r="S420" i="14" s="1"/>
  <c r="AA420" i="14" s="1"/>
  <c r="AX420" i="14"/>
  <c r="R420" i="14" s="1"/>
  <c r="Z420" i="14" s="1"/>
  <c r="AW420" i="14"/>
  <c r="Q420" i="14" s="1"/>
  <c r="Y420" i="14" s="1"/>
  <c r="AV420" i="14"/>
  <c r="AU420" i="14"/>
  <c r="O420" i="14" s="1"/>
  <c r="V420" i="14"/>
  <c r="AD420" i="14" s="1"/>
  <c r="U420" i="14"/>
  <c r="AC420" i="14" s="1"/>
  <c r="B420" i="14"/>
  <c r="BB419" i="14"/>
  <c r="BA419" i="14"/>
  <c r="U419" i="14" s="1"/>
  <c r="AC419" i="14" s="1"/>
  <c r="AZ419" i="14"/>
  <c r="T419" i="14" s="1"/>
  <c r="AB419" i="14" s="1"/>
  <c r="AY419" i="14"/>
  <c r="S419" i="14" s="1"/>
  <c r="AA419" i="14" s="1"/>
  <c r="AX419" i="14"/>
  <c r="R419" i="14" s="1"/>
  <c r="AW419" i="14"/>
  <c r="AV419" i="14"/>
  <c r="P419" i="14" s="1"/>
  <c r="X419" i="14" s="1"/>
  <c r="AU419" i="14"/>
  <c r="O419" i="14" s="1"/>
  <c r="V419" i="14"/>
  <c r="AD419" i="14" s="1"/>
  <c r="Q419" i="14"/>
  <c r="Y419" i="14" s="1"/>
  <c r="B419" i="14"/>
  <c r="BB418" i="14"/>
  <c r="V418" i="14" s="1"/>
  <c r="AD418" i="14" s="1"/>
  <c r="BA418" i="14"/>
  <c r="U418" i="14" s="1"/>
  <c r="AC418" i="14" s="1"/>
  <c r="AZ418" i="14"/>
  <c r="T418" i="14" s="1"/>
  <c r="AY418" i="14"/>
  <c r="S418" i="14" s="1"/>
  <c r="AA418" i="14" s="1"/>
  <c r="AX418" i="14"/>
  <c r="R418" i="14" s="1"/>
  <c r="Z418" i="14" s="1"/>
  <c r="AW418" i="14"/>
  <c r="Q418" i="14" s="1"/>
  <c r="Y418" i="14" s="1"/>
  <c r="AV418" i="14"/>
  <c r="P418" i="14" s="1"/>
  <c r="X418" i="14" s="1"/>
  <c r="AU418" i="14"/>
  <c r="O418" i="14" s="1"/>
  <c r="B418" i="14"/>
  <c r="BB417" i="14"/>
  <c r="BA417" i="14"/>
  <c r="AZ417" i="14"/>
  <c r="AY417" i="14"/>
  <c r="AX417" i="14"/>
  <c r="AW417" i="14"/>
  <c r="AV417" i="14"/>
  <c r="P417" i="14" s="1"/>
  <c r="X417" i="14" s="1"/>
  <c r="AU417" i="14"/>
  <c r="O417" i="14" s="1"/>
  <c r="V417" i="14"/>
  <c r="AD417" i="14" s="1"/>
  <c r="U417" i="14"/>
  <c r="AC417" i="14" s="1"/>
  <c r="T417" i="14"/>
  <c r="AB417" i="14" s="1"/>
  <c r="S417" i="14"/>
  <c r="AA417" i="14" s="1"/>
  <c r="R417" i="14"/>
  <c r="Q417" i="14"/>
  <c r="Y417" i="14" s="1"/>
  <c r="B417" i="14"/>
  <c r="BB416" i="14"/>
  <c r="BA416" i="14"/>
  <c r="AZ416" i="14"/>
  <c r="AY416" i="14"/>
  <c r="S416" i="14" s="1"/>
  <c r="AA416" i="14" s="1"/>
  <c r="AX416" i="14"/>
  <c r="R416" i="14" s="1"/>
  <c r="Z416" i="14" s="1"/>
  <c r="AW416" i="14"/>
  <c r="Q416" i="14" s="1"/>
  <c r="Y416" i="14" s="1"/>
  <c r="AV416" i="14"/>
  <c r="P416" i="14" s="1"/>
  <c r="X416" i="14" s="1"/>
  <c r="AU416" i="14"/>
  <c r="O416" i="14" s="1"/>
  <c r="V416" i="14"/>
  <c r="AD416" i="14" s="1"/>
  <c r="U416" i="14"/>
  <c r="AC416" i="14" s="1"/>
  <c r="T416" i="14"/>
  <c r="B416" i="14"/>
  <c r="BB415" i="14"/>
  <c r="BA415" i="14"/>
  <c r="AZ415" i="14"/>
  <c r="T415" i="14" s="1"/>
  <c r="AB415" i="14" s="1"/>
  <c r="AY415" i="14"/>
  <c r="S415" i="14" s="1"/>
  <c r="AA415" i="14" s="1"/>
  <c r="AX415" i="14"/>
  <c r="R415" i="14" s="1"/>
  <c r="AW415" i="14"/>
  <c r="Q415" i="14" s="1"/>
  <c r="Y415" i="14" s="1"/>
  <c r="AV415" i="14"/>
  <c r="AU415" i="14"/>
  <c r="O415" i="14" s="1"/>
  <c r="V415" i="14"/>
  <c r="AD415" i="14" s="1"/>
  <c r="U415" i="14"/>
  <c r="AC415" i="14" s="1"/>
  <c r="P415" i="14"/>
  <c r="X415" i="14" s="1"/>
  <c r="B415" i="14"/>
  <c r="BB414" i="14"/>
  <c r="BA414" i="14"/>
  <c r="U414" i="14" s="1"/>
  <c r="AC414" i="14" s="1"/>
  <c r="AZ414" i="14"/>
  <c r="T414" i="14" s="1"/>
  <c r="AY414" i="14"/>
  <c r="S414" i="14" s="1"/>
  <c r="AA414" i="14" s="1"/>
  <c r="AX414" i="14"/>
  <c r="R414" i="14" s="1"/>
  <c r="Z414" i="14" s="1"/>
  <c r="AW414" i="14"/>
  <c r="Q414" i="14" s="1"/>
  <c r="Y414" i="14" s="1"/>
  <c r="AV414" i="14"/>
  <c r="P414" i="14" s="1"/>
  <c r="X414" i="14" s="1"/>
  <c r="AU414" i="14"/>
  <c r="O414" i="14" s="1"/>
  <c r="V414" i="14"/>
  <c r="AD414" i="14" s="1"/>
  <c r="B414" i="14"/>
  <c r="BB413" i="14"/>
  <c r="V413" i="14" s="1"/>
  <c r="AD413" i="14" s="1"/>
  <c r="BA413" i="14"/>
  <c r="U413" i="14" s="1"/>
  <c r="AC413" i="14" s="1"/>
  <c r="AZ413" i="14"/>
  <c r="T413" i="14" s="1"/>
  <c r="AB413" i="14" s="1"/>
  <c r="AY413" i="14"/>
  <c r="S413" i="14" s="1"/>
  <c r="AA413" i="14" s="1"/>
  <c r="AX413" i="14"/>
  <c r="R413" i="14" s="1"/>
  <c r="AW413" i="14"/>
  <c r="Q413" i="14" s="1"/>
  <c r="Y413" i="14" s="1"/>
  <c r="AV413" i="14"/>
  <c r="P413" i="14" s="1"/>
  <c r="AU413" i="14"/>
  <c r="O413" i="14" s="1"/>
  <c r="B413" i="14"/>
  <c r="BB412" i="14"/>
  <c r="V412" i="14" s="1"/>
  <c r="AD412" i="14" s="1"/>
  <c r="BA412" i="14"/>
  <c r="U412" i="14" s="1"/>
  <c r="AC412" i="14" s="1"/>
  <c r="AZ412" i="14"/>
  <c r="T412" i="14" s="1"/>
  <c r="AB412" i="14" s="1"/>
  <c r="AY412" i="14"/>
  <c r="S412" i="14" s="1"/>
  <c r="AA412" i="14" s="1"/>
  <c r="AX412" i="14"/>
  <c r="R412" i="14" s="1"/>
  <c r="AW412" i="14"/>
  <c r="AV412" i="14"/>
  <c r="P412" i="14" s="1"/>
  <c r="X412" i="14" s="1"/>
  <c r="AU412" i="14"/>
  <c r="O412" i="14" s="1"/>
  <c r="B412" i="14"/>
  <c r="BB411" i="14"/>
  <c r="BA411" i="14"/>
  <c r="U411" i="14" s="1"/>
  <c r="AC411" i="14" s="1"/>
  <c r="AZ411" i="14"/>
  <c r="T411" i="14" s="1"/>
  <c r="AB411" i="14" s="1"/>
  <c r="AY411" i="14"/>
  <c r="S411" i="14" s="1"/>
  <c r="AA411" i="14" s="1"/>
  <c r="AX411" i="14"/>
  <c r="R411" i="14" s="1"/>
  <c r="AW411" i="14"/>
  <c r="Q411" i="14" s="1"/>
  <c r="AV411" i="14"/>
  <c r="AU411" i="14"/>
  <c r="V411" i="14"/>
  <c r="AD411" i="14" s="1"/>
  <c r="B411" i="14"/>
  <c r="BB410" i="14"/>
  <c r="BA410" i="14"/>
  <c r="U410" i="14" s="1"/>
  <c r="AC410" i="14" s="1"/>
  <c r="AZ410" i="14"/>
  <c r="T410" i="14" s="1"/>
  <c r="AB410" i="14" s="1"/>
  <c r="AY410" i="14"/>
  <c r="S410" i="14" s="1"/>
  <c r="AA410" i="14" s="1"/>
  <c r="AX410" i="14"/>
  <c r="R410" i="14" s="1"/>
  <c r="Z410" i="14" s="1"/>
  <c r="AW410" i="14"/>
  <c r="Q410" i="14" s="1"/>
  <c r="Y410" i="14" s="1"/>
  <c r="AV410" i="14"/>
  <c r="P410" i="14" s="1"/>
  <c r="X410" i="14" s="1"/>
  <c r="AU410" i="14"/>
  <c r="O410" i="14" s="1"/>
  <c r="V410" i="14"/>
  <c r="AD410" i="14" s="1"/>
  <c r="B410" i="14"/>
  <c r="BB409" i="14"/>
  <c r="V409" i="14" s="1"/>
  <c r="AD409" i="14" s="1"/>
  <c r="BA409" i="14"/>
  <c r="U409" i="14" s="1"/>
  <c r="AC409" i="14" s="1"/>
  <c r="AZ409" i="14"/>
  <c r="T409" i="14" s="1"/>
  <c r="AB409" i="14" s="1"/>
  <c r="AY409" i="14"/>
  <c r="S409" i="14" s="1"/>
  <c r="AA409" i="14" s="1"/>
  <c r="AX409" i="14"/>
  <c r="R409" i="14" s="1"/>
  <c r="Z409" i="14" s="1"/>
  <c r="AW409" i="14"/>
  <c r="Q409" i="14" s="1"/>
  <c r="Y409" i="14" s="1"/>
  <c r="AV409" i="14"/>
  <c r="P409" i="14" s="1"/>
  <c r="X409" i="14" s="1"/>
  <c r="AU409" i="14"/>
  <c r="O409" i="14" s="1"/>
  <c r="B409" i="14"/>
  <c r="BB408" i="14"/>
  <c r="BA408" i="14"/>
  <c r="AZ408" i="14"/>
  <c r="T408" i="14" s="1"/>
  <c r="AB408" i="14" s="1"/>
  <c r="AY408" i="14"/>
  <c r="S408" i="14" s="1"/>
  <c r="AA408" i="14" s="1"/>
  <c r="AX408" i="14"/>
  <c r="R408" i="14" s="1"/>
  <c r="Z408" i="14" s="1"/>
  <c r="AW408" i="14"/>
  <c r="Q408" i="14" s="1"/>
  <c r="Y408" i="14" s="1"/>
  <c r="AV408" i="14"/>
  <c r="P408" i="14" s="1"/>
  <c r="X408" i="14" s="1"/>
  <c r="AU408" i="14"/>
  <c r="O408" i="14" s="1"/>
  <c r="V408" i="14"/>
  <c r="AD408" i="14" s="1"/>
  <c r="U408" i="14"/>
  <c r="AC408" i="14" s="1"/>
  <c r="B408" i="14"/>
  <c r="BB407" i="14"/>
  <c r="BA407" i="14"/>
  <c r="U407" i="14" s="1"/>
  <c r="AC407" i="14" s="1"/>
  <c r="AZ407" i="14"/>
  <c r="T407" i="14" s="1"/>
  <c r="AB407" i="14" s="1"/>
  <c r="AY407" i="14"/>
  <c r="S407" i="14" s="1"/>
  <c r="AA407" i="14" s="1"/>
  <c r="AX407" i="14"/>
  <c r="R407" i="14" s="1"/>
  <c r="Z407" i="14" s="1"/>
  <c r="AW407" i="14"/>
  <c r="AV407" i="14"/>
  <c r="P407" i="14" s="1"/>
  <c r="X407" i="14" s="1"/>
  <c r="AU407" i="14"/>
  <c r="O407" i="14" s="1"/>
  <c r="V407" i="14"/>
  <c r="AD407" i="14" s="1"/>
  <c r="Q407" i="14"/>
  <c r="Y407" i="14" s="1"/>
  <c r="B407" i="14"/>
  <c r="BB406" i="14"/>
  <c r="V406" i="14" s="1"/>
  <c r="AD406" i="14" s="1"/>
  <c r="BA406" i="14"/>
  <c r="U406" i="14" s="1"/>
  <c r="AC406" i="14" s="1"/>
  <c r="AZ406" i="14"/>
  <c r="T406" i="14" s="1"/>
  <c r="AB406" i="14" s="1"/>
  <c r="AY406" i="14"/>
  <c r="S406" i="14" s="1"/>
  <c r="AA406" i="14" s="1"/>
  <c r="AX406" i="14"/>
  <c r="R406" i="14" s="1"/>
  <c r="Z406" i="14" s="1"/>
  <c r="AW406" i="14"/>
  <c r="Q406" i="14" s="1"/>
  <c r="Y406" i="14" s="1"/>
  <c r="AV406" i="14"/>
  <c r="P406" i="14" s="1"/>
  <c r="X406" i="14" s="1"/>
  <c r="AU406" i="14"/>
  <c r="O406" i="14" s="1"/>
  <c r="B406" i="14"/>
  <c r="BB405" i="14"/>
  <c r="BA405" i="14"/>
  <c r="AZ405" i="14"/>
  <c r="AY405" i="14"/>
  <c r="AX405" i="14"/>
  <c r="R405" i="14" s="1"/>
  <c r="Z405" i="14" s="1"/>
  <c r="AW405" i="14"/>
  <c r="Q405" i="14" s="1"/>
  <c r="Y405" i="14" s="1"/>
  <c r="AV405" i="14"/>
  <c r="P405" i="14" s="1"/>
  <c r="X405" i="14" s="1"/>
  <c r="AU405" i="14"/>
  <c r="O405" i="14" s="1"/>
  <c r="V405" i="14"/>
  <c r="AD405" i="14" s="1"/>
  <c r="U405" i="14"/>
  <c r="AC405" i="14" s="1"/>
  <c r="T405" i="14"/>
  <c r="AB405" i="14" s="1"/>
  <c r="S405" i="14"/>
  <c r="AA405" i="14" s="1"/>
  <c r="B405" i="14"/>
  <c r="BB404" i="14"/>
  <c r="BA404" i="14"/>
  <c r="AZ404" i="14"/>
  <c r="AY404" i="14"/>
  <c r="S404" i="14" s="1"/>
  <c r="AA404" i="14" s="1"/>
  <c r="AX404" i="14"/>
  <c r="R404" i="14" s="1"/>
  <c r="Z404" i="14" s="1"/>
  <c r="AW404" i="14"/>
  <c r="Q404" i="14" s="1"/>
  <c r="Y404" i="14" s="1"/>
  <c r="AV404" i="14"/>
  <c r="P404" i="14" s="1"/>
  <c r="X404" i="14" s="1"/>
  <c r="AU404" i="14"/>
  <c r="O404" i="14" s="1"/>
  <c r="V404" i="14"/>
  <c r="AD404" i="14" s="1"/>
  <c r="U404" i="14"/>
  <c r="AC404" i="14" s="1"/>
  <c r="T404" i="14"/>
  <c r="AB404" i="14" s="1"/>
  <c r="B404" i="14"/>
  <c r="BB403" i="14"/>
  <c r="BA403" i="14"/>
  <c r="AZ403" i="14"/>
  <c r="T403" i="14" s="1"/>
  <c r="AB403" i="14" s="1"/>
  <c r="AY403" i="14"/>
  <c r="S403" i="14" s="1"/>
  <c r="AA403" i="14" s="1"/>
  <c r="AX403" i="14"/>
  <c r="R403" i="14" s="1"/>
  <c r="Z403" i="14" s="1"/>
  <c r="AW403" i="14"/>
  <c r="Q403" i="14" s="1"/>
  <c r="Y403" i="14" s="1"/>
  <c r="AV403" i="14"/>
  <c r="P403" i="14" s="1"/>
  <c r="X403" i="14" s="1"/>
  <c r="AU403" i="14"/>
  <c r="O403" i="14" s="1"/>
  <c r="V403" i="14"/>
  <c r="AD403" i="14" s="1"/>
  <c r="U403" i="14"/>
  <c r="AC403" i="14" s="1"/>
  <c r="B403" i="14"/>
  <c r="BB402" i="14"/>
  <c r="BA402" i="14"/>
  <c r="U402" i="14" s="1"/>
  <c r="AC402" i="14" s="1"/>
  <c r="AZ402" i="14"/>
  <c r="T402" i="14" s="1"/>
  <c r="AB402" i="14" s="1"/>
  <c r="AY402" i="14"/>
  <c r="S402" i="14" s="1"/>
  <c r="AA402" i="14" s="1"/>
  <c r="AX402" i="14"/>
  <c r="R402" i="14" s="1"/>
  <c r="Z402" i="14" s="1"/>
  <c r="AW402" i="14"/>
  <c r="Q402" i="14" s="1"/>
  <c r="Y402" i="14" s="1"/>
  <c r="AV402" i="14"/>
  <c r="P402" i="14" s="1"/>
  <c r="X402" i="14" s="1"/>
  <c r="AU402" i="14"/>
  <c r="O402" i="14" s="1"/>
  <c r="V402" i="14"/>
  <c r="AD402" i="14" s="1"/>
  <c r="B402" i="14"/>
  <c r="BB401" i="14"/>
  <c r="V401" i="14" s="1"/>
  <c r="AD401" i="14" s="1"/>
  <c r="BA401" i="14"/>
  <c r="U401" i="14" s="1"/>
  <c r="AC401" i="14" s="1"/>
  <c r="AZ401" i="14"/>
  <c r="T401" i="14" s="1"/>
  <c r="AB401" i="14" s="1"/>
  <c r="AY401" i="14"/>
  <c r="S401" i="14" s="1"/>
  <c r="AA401" i="14" s="1"/>
  <c r="AX401" i="14"/>
  <c r="AW401" i="14"/>
  <c r="AV401" i="14"/>
  <c r="P401" i="14" s="1"/>
  <c r="X401" i="14" s="1"/>
  <c r="AU401" i="14"/>
  <c r="O401" i="14" s="1"/>
  <c r="R401" i="14"/>
  <c r="Z401" i="14" s="1"/>
  <c r="Q401" i="14"/>
  <c r="Y401" i="14" s="1"/>
  <c r="B401" i="14"/>
  <c r="BB400" i="14"/>
  <c r="BA400" i="14"/>
  <c r="AZ400" i="14"/>
  <c r="T400" i="14" s="1"/>
  <c r="AB400" i="14" s="1"/>
  <c r="AY400" i="14"/>
  <c r="S400" i="14" s="1"/>
  <c r="AA400" i="14" s="1"/>
  <c r="AX400" i="14"/>
  <c r="R400" i="14" s="1"/>
  <c r="Z400" i="14" s="1"/>
  <c r="AW400" i="14"/>
  <c r="Q400" i="14" s="1"/>
  <c r="Y400" i="14" s="1"/>
  <c r="AV400" i="14"/>
  <c r="P400" i="14" s="1"/>
  <c r="X400" i="14" s="1"/>
  <c r="AU400" i="14"/>
  <c r="O400" i="14" s="1"/>
  <c r="V400" i="14"/>
  <c r="AD400" i="14" s="1"/>
  <c r="U400" i="14"/>
  <c r="AC400" i="14" s="1"/>
  <c r="B400" i="14"/>
  <c r="BB399" i="14"/>
  <c r="BA399" i="14"/>
  <c r="U399" i="14" s="1"/>
  <c r="AC399" i="14" s="1"/>
  <c r="AZ399" i="14"/>
  <c r="T399" i="14" s="1"/>
  <c r="AB399" i="14" s="1"/>
  <c r="AY399" i="14"/>
  <c r="S399" i="14" s="1"/>
  <c r="AA399" i="14" s="1"/>
  <c r="AX399" i="14"/>
  <c r="R399" i="14" s="1"/>
  <c r="Z399" i="14" s="1"/>
  <c r="AW399" i="14"/>
  <c r="Q399" i="14" s="1"/>
  <c r="Y399" i="14" s="1"/>
  <c r="AV399" i="14"/>
  <c r="P399" i="14" s="1"/>
  <c r="X399" i="14" s="1"/>
  <c r="AU399" i="14"/>
  <c r="O399" i="14" s="1"/>
  <c r="V399" i="14"/>
  <c r="AD399" i="14" s="1"/>
  <c r="B399" i="14"/>
  <c r="BB398" i="14"/>
  <c r="V398" i="14" s="1"/>
  <c r="AD398" i="14" s="1"/>
  <c r="BA398" i="14"/>
  <c r="U398" i="14" s="1"/>
  <c r="AC398" i="14" s="1"/>
  <c r="AZ398" i="14"/>
  <c r="T398" i="14" s="1"/>
  <c r="AB398" i="14" s="1"/>
  <c r="AY398" i="14"/>
  <c r="S398" i="14" s="1"/>
  <c r="AA398" i="14" s="1"/>
  <c r="AX398" i="14"/>
  <c r="R398" i="14" s="1"/>
  <c r="Z398" i="14" s="1"/>
  <c r="AW398" i="14"/>
  <c r="Q398" i="14" s="1"/>
  <c r="Y398" i="14" s="1"/>
  <c r="AV398" i="14"/>
  <c r="P398" i="14" s="1"/>
  <c r="X398" i="14" s="1"/>
  <c r="AU398" i="14"/>
  <c r="O398" i="14" s="1"/>
  <c r="B398" i="14"/>
  <c r="BB397" i="14"/>
  <c r="BA397" i="14"/>
  <c r="AZ397" i="14"/>
  <c r="AY397" i="14"/>
  <c r="S397" i="14" s="1"/>
  <c r="AA397" i="14" s="1"/>
  <c r="AX397" i="14"/>
  <c r="R397" i="14" s="1"/>
  <c r="Z397" i="14" s="1"/>
  <c r="AW397" i="14"/>
  <c r="Q397" i="14" s="1"/>
  <c r="Y397" i="14" s="1"/>
  <c r="AV397" i="14"/>
  <c r="P397" i="14" s="1"/>
  <c r="X397" i="14" s="1"/>
  <c r="AU397" i="14"/>
  <c r="O397" i="14" s="1"/>
  <c r="V397" i="14"/>
  <c r="AD397" i="14" s="1"/>
  <c r="U397" i="14"/>
  <c r="AC397" i="14" s="1"/>
  <c r="T397" i="14"/>
  <c r="AB397" i="14" s="1"/>
  <c r="B397" i="14"/>
  <c r="BB396" i="14"/>
  <c r="BA396" i="14"/>
  <c r="AZ396" i="14"/>
  <c r="AY396" i="14"/>
  <c r="S396" i="14" s="1"/>
  <c r="AA396" i="14" s="1"/>
  <c r="AX396" i="14"/>
  <c r="R396" i="14" s="1"/>
  <c r="Z396" i="14" s="1"/>
  <c r="AW396" i="14"/>
  <c r="Q396" i="14" s="1"/>
  <c r="Y396" i="14" s="1"/>
  <c r="AV396" i="14"/>
  <c r="P396" i="14" s="1"/>
  <c r="X396" i="14" s="1"/>
  <c r="AU396" i="14"/>
  <c r="O396" i="14" s="1"/>
  <c r="V396" i="14"/>
  <c r="AD396" i="14" s="1"/>
  <c r="U396" i="14"/>
  <c r="AC396" i="14" s="1"/>
  <c r="T396" i="14"/>
  <c r="AB396" i="14" s="1"/>
  <c r="B396" i="14"/>
  <c r="BB395" i="14"/>
  <c r="BA395" i="14"/>
  <c r="AZ395" i="14"/>
  <c r="AY395" i="14"/>
  <c r="AX395" i="14"/>
  <c r="AW395" i="14"/>
  <c r="AV395" i="14"/>
  <c r="AU395" i="14"/>
  <c r="V395" i="14"/>
  <c r="AD395" i="14" s="1"/>
  <c r="U395" i="14"/>
  <c r="AC395" i="14" s="1"/>
  <c r="T395" i="14"/>
  <c r="AB395" i="14" s="1"/>
  <c r="S395" i="14"/>
  <c r="AA395" i="14" s="1"/>
  <c r="R395" i="14"/>
  <c r="Z395" i="14" s="1"/>
  <c r="Q395" i="14"/>
  <c r="Y395" i="14" s="1"/>
  <c r="P395" i="14"/>
  <c r="X395" i="14" s="1"/>
  <c r="O395" i="14"/>
  <c r="B395" i="14"/>
  <c r="BB394" i="14"/>
  <c r="BA394" i="14"/>
  <c r="AZ394" i="14"/>
  <c r="AY394" i="14"/>
  <c r="AX394" i="14"/>
  <c r="AW394" i="14"/>
  <c r="AV394" i="14"/>
  <c r="AU394" i="14"/>
  <c r="V394" i="14"/>
  <c r="AD394" i="14" s="1"/>
  <c r="U394" i="14"/>
  <c r="AC394" i="14" s="1"/>
  <c r="T394" i="14"/>
  <c r="AB394" i="14" s="1"/>
  <c r="S394" i="14"/>
  <c r="AA394" i="14" s="1"/>
  <c r="R394" i="14"/>
  <c r="Z394" i="14" s="1"/>
  <c r="Q394" i="14"/>
  <c r="Y394" i="14" s="1"/>
  <c r="P394" i="14"/>
  <c r="X394" i="14" s="1"/>
  <c r="O394" i="14"/>
  <c r="B394" i="14"/>
  <c r="BB393" i="14"/>
  <c r="BA393" i="14"/>
  <c r="AZ393" i="14"/>
  <c r="AY393" i="14"/>
  <c r="S393" i="14" s="1"/>
  <c r="AA393" i="14" s="1"/>
  <c r="AX393" i="14"/>
  <c r="R393" i="14" s="1"/>
  <c r="Z393" i="14" s="1"/>
  <c r="AW393" i="14"/>
  <c r="Q393" i="14" s="1"/>
  <c r="Y393" i="14" s="1"/>
  <c r="AV393" i="14"/>
  <c r="AU393" i="14"/>
  <c r="O393" i="14" s="1"/>
  <c r="V393" i="14"/>
  <c r="AD393" i="14" s="1"/>
  <c r="U393" i="14"/>
  <c r="AC393" i="14" s="1"/>
  <c r="B393" i="14"/>
  <c r="BB392" i="14"/>
  <c r="BA392" i="14"/>
  <c r="U392" i="14" s="1"/>
  <c r="AC392" i="14" s="1"/>
  <c r="AZ392" i="14"/>
  <c r="T392" i="14" s="1"/>
  <c r="AB392" i="14" s="1"/>
  <c r="AY392" i="14"/>
  <c r="S392" i="14" s="1"/>
  <c r="AA392" i="14" s="1"/>
  <c r="AX392" i="14"/>
  <c r="R392" i="14" s="1"/>
  <c r="Z392" i="14" s="1"/>
  <c r="AW392" i="14"/>
  <c r="Q392" i="14" s="1"/>
  <c r="Y392" i="14" s="1"/>
  <c r="AV392" i="14"/>
  <c r="P392" i="14" s="1"/>
  <c r="AU392" i="14"/>
  <c r="O392" i="14" s="1"/>
  <c r="V392" i="14"/>
  <c r="AD392" i="14" s="1"/>
  <c r="B392" i="14"/>
  <c r="BB391" i="14"/>
  <c r="BA391" i="14"/>
  <c r="AZ391" i="14"/>
  <c r="AY391" i="14"/>
  <c r="S391" i="14" s="1"/>
  <c r="AA391" i="14" s="1"/>
  <c r="AX391" i="14"/>
  <c r="R391" i="14" s="1"/>
  <c r="Z391" i="14" s="1"/>
  <c r="AW391" i="14"/>
  <c r="Q391" i="14" s="1"/>
  <c r="Y391" i="14" s="1"/>
  <c r="AV391" i="14"/>
  <c r="P391" i="14" s="1"/>
  <c r="X391" i="14" s="1"/>
  <c r="AU391" i="14"/>
  <c r="O391" i="14" s="1"/>
  <c r="V391" i="14"/>
  <c r="AD391" i="14" s="1"/>
  <c r="U391" i="14"/>
  <c r="AC391" i="14" s="1"/>
  <c r="B391" i="14"/>
  <c r="BB390" i="14"/>
  <c r="BA390" i="14"/>
  <c r="U390" i="14" s="1"/>
  <c r="AC390" i="14" s="1"/>
  <c r="AZ390" i="14"/>
  <c r="AY390" i="14"/>
  <c r="S390" i="14" s="1"/>
  <c r="AA390" i="14" s="1"/>
  <c r="AX390" i="14"/>
  <c r="R390" i="14" s="1"/>
  <c r="Z390" i="14" s="1"/>
  <c r="AW390" i="14"/>
  <c r="Q390" i="14" s="1"/>
  <c r="Y390" i="14" s="1"/>
  <c r="AV390" i="14"/>
  <c r="AU390" i="14"/>
  <c r="O390" i="14" s="1"/>
  <c r="V390" i="14"/>
  <c r="AD390" i="14" s="1"/>
  <c r="B390" i="14"/>
  <c r="BB389" i="14"/>
  <c r="BA389" i="14"/>
  <c r="U389" i="14" s="1"/>
  <c r="AZ389" i="14"/>
  <c r="T389" i="14" s="1"/>
  <c r="AB389" i="14" s="1"/>
  <c r="AY389" i="14"/>
  <c r="S389" i="14" s="1"/>
  <c r="AA389" i="14" s="1"/>
  <c r="AX389" i="14"/>
  <c r="R389" i="14" s="1"/>
  <c r="Z389" i="14" s="1"/>
  <c r="AW389" i="14"/>
  <c r="Q389" i="14" s="1"/>
  <c r="AV389" i="14"/>
  <c r="P389" i="14" s="1"/>
  <c r="X389" i="14" s="1"/>
  <c r="AU389" i="14"/>
  <c r="O389" i="14" s="1"/>
  <c r="V389" i="14"/>
  <c r="AD389" i="14" s="1"/>
  <c r="B389" i="14"/>
  <c r="BB388" i="14"/>
  <c r="BA388" i="14"/>
  <c r="AZ388" i="14"/>
  <c r="AY388" i="14"/>
  <c r="S388" i="14" s="1"/>
  <c r="AA388" i="14" s="1"/>
  <c r="AX388" i="14"/>
  <c r="R388" i="14" s="1"/>
  <c r="Z388" i="14" s="1"/>
  <c r="AW388" i="14"/>
  <c r="Q388" i="14" s="1"/>
  <c r="AV388" i="14"/>
  <c r="P388" i="14" s="1"/>
  <c r="X388" i="14" s="1"/>
  <c r="AU388" i="14"/>
  <c r="O388" i="14" s="1"/>
  <c r="V388" i="14"/>
  <c r="AD388" i="14" s="1"/>
  <c r="U388" i="14"/>
  <c r="AC388" i="14" s="1"/>
  <c r="T388" i="14"/>
  <c r="AB388" i="14" s="1"/>
  <c r="B388" i="14"/>
  <c r="BB387" i="14"/>
  <c r="BA387" i="14"/>
  <c r="AZ387" i="14"/>
  <c r="T387" i="14" s="1"/>
  <c r="AB387" i="14" s="1"/>
  <c r="AY387" i="14"/>
  <c r="S387" i="14" s="1"/>
  <c r="AA387" i="14" s="1"/>
  <c r="AX387" i="14"/>
  <c r="R387" i="14" s="1"/>
  <c r="Z387" i="14" s="1"/>
  <c r="AW387" i="14"/>
  <c r="Q387" i="14" s="1"/>
  <c r="AV387" i="14"/>
  <c r="P387" i="14" s="1"/>
  <c r="AU387" i="14"/>
  <c r="O387" i="14" s="1"/>
  <c r="V387" i="14"/>
  <c r="AD387" i="14" s="1"/>
  <c r="U387" i="14"/>
  <c r="B387" i="14"/>
  <c r="BB386" i="14"/>
  <c r="BA386" i="14"/>
  <c r="AZ386" i="14"/>
  <c r="AY386" i="14"/>
  <c r="S386" i="14" s="1"/>
  <c r="AA386" i="14" s="1"/>
  <c r="AX386" i="14"/>
  <c r="R386" i="14" s="1"/>
  <c r="Z386" i="14" s="1"/>
  <c r="AW386" i="14"/>
  <c r="Q386" i="14" s="1"/>
  <c r="AV386" i="14"/>
  <c r="P386" i="14" s="1"/>
  <c r="X386" i="14" s="1"/>
  <c r="AU386" i="14"/>
  <c r="O386" i="14" s="1"/>
  <c r="V386" i="14"/>
  <c r="AD386" i="14" s="1"/>
  <c r="U386" i="14"/>
  <c r="AC386" i="14" s="1"/>
  <c r="T386" i="14"/>
  <c r="AB386" i="14" s="1"/>
  <c r="B386" i="14"/>
  <c r="BB385" i="14"/>
  <c r="BA385" i="14"/>
  <c r="AZ385" i="14"/>
  <c r="T385" i="14" s="1"/>
  <c r="AB385" i="14" s="1"/>
  <c r="AY385" i="14"/>
  <c r="S385" i="14" s="1"/>
  <c r="AA385" i="14" s="1"/>
  <c r="AX385" i="14"/>
  <c r="R385" i="14" s="1"/>
  <c r="Z385" i="14" s="1"/>
  <c r="AW385" i="14"/>
  <c r="Q385" i="14" s="1"/>
  <c r="AV385" i="14"/>
  <c r="P385" i="14" s="1"/>
  <c r="AU385" i="14"/>
  <c r="O385" i="14" s="1"/>
  <c r="V385" i="14"/>
  <c r="AD385" i="14" s="1"/>
  <c r="U385" i="14"/>
  <c r="B385" i="14"/>
  <c r="BB384" i="14"/>
  <c r="BA384" i="14"/>
  <c r="U384" i="14" s="1"/>
  <c r="AC384" i="14" s="1"/>
  <c r="AZ384" i="14"/>
  <c r="T384" i="14" s="1"/>
  <c r="AB384" i="14" s="1"/>
  <c r="AY384" i="14"/>
  <c r="S384" i="14" s="1"/>
  <c r="AA384" i="14" s="1"/>
  <c r="AX384" i="14"/>
  <c r="R384" i="14" s="1"/>
  <c r="Z384" i="14" s="1"/>
  <c r="AW384" i="14"/>
  <c r="Q384" i="14" s="1"/>
  <c r="AV384" i="14"/>
  <c r="P384" i="14" s="1"/>
  <c r="X384" i="14" s="1"/>
  <c r="AU384" i="14"/>
  <c r="O384" i="14" s="1"/>
  <c r="V384" i="14"/>
  <c r="AD384" i="14" s="1"/>
  <c r="B384" i="14"/>
  <c r="BB383" i="14"/>
  <c r="V383" i="14" s="1"/>
  <c r="AD383" i="14" s="1"/>
  <c r="BA383" i="14"/>
  <c r="U383" i="14" s="1"/>
  <c r="AZ383" i="14"/>
  <c r="T383" i="14" s="1"/>
  <c r="AB383" i="14" s="1"/>
  <c r="AY383" i="14"/>
  <c r="S383" i="14" s="1"/>
  <c r="AA383" i="14" s="1"/>
  <c r="AX383" i="14"/>
  <c r="R383" i="14" s="1"/>
  <c r="Z383" i="14" s="1"/>
  <c r="AW383" i="14"/>
  <c r="Q383" i="14" s="1"/>
  <c r="AV383" i="14"/>
  <c r="P383" i="14" s="1"/>
  <c r="AU383" i="14"/>
  <c r="O383" i="14" s="1"/>
  <c r="B383" i="14"/>
  <c r="BB382" i="14"/>
  <c r="BA382" i="14"/>
  <c r="AZ382" i="14"/>
  <c r="T382" i="14" s="1"/>
  <c r="AB382" i="14" s="1"/>
  <c r="AY382" i="14"/>
  <c r="S382" i="14" s="1"/>
  <c r="AA382" i="14" s="1"/>
  <c r="AX382" i="14"/>
  <c r="R382" i="14" s="1"/>
  <c r="Z382" i="14" s="1"/>
  <c r="AW382" i="14"/>
  <c r="Q382" i="14" s="1"/>
  <c r="AV382" i="14"/>
  <c r="P382" i="14" s="1"/>
  <c r="X382" i="14" s="1"/>
  <c r="AU382" i="14"/>
  <c r="O382" i="14" s="1"/>
  <c r="V382" i="14"/>
  <c r="AD382" i="14" s="1"/>
  <c r="U382" i="14"/>
  <c r="AC382" i="14" s="1"/>
  <c r="B382" i="14"/>
  <c r="BB381" i="14"/>
  <c r="BA381" i="14"/>
  <c r="U381" i="14" s="1"/>
  <c r="AC381" i="14" s="1"/>
  <c r="AZ381" i="14"/>
  <c r="T381" i="14" s="1"/>
  <c r="AB381" i="14" s="1"/>
  <c r="AY381" i="14"/>
  <c r="S381" i="14" s="1"/>
  <c r="AA381" i="14" s="1"/>
  <c r="AX381" i="14"/>
  <c r="R381" i="14" s="1"/>
  <c r="Z381" i="14" s="1"/>
  <c r="AW381" i="14"/>
  <c r="Q381" i="14" s="1"/>
  <c r="AV381" i="14"/>
  <c r="AU381" i="14"/>
  <c r="O381" i="14" s="1"/>
  <c r="V381" i="14"/>
  <c r="AD381" i="14" s="1"/>
  <c r="B381" i="14"/>
  <c r="BB380" i="14"/>
  <c r="BA380" i="14"/>
  <c r="AZ380" i="14"/>
  <c r="T380" i="14" s="1"/>
  <c r="AB380" i="14" s="1"/>
  <c r="AY380" i="14"/>
  <c r="S380" i="14" s="1"/>
  <c r="AA380" i="14" s="1"/>
  <c r="AX380" i="14"/>
  <c r="R380" i="14" s="1"/>
  <c r="Z380" i="14" s="1"/>
  <c r="AW380" i="14"/>
  <c r="Q380" i="14" s="1"/>
  <c r="Y380" i="14" s="1"/>
  <c r="AV380" i="14"/>
  <c r="P380" i="14" s="1"/>
  <c r="AU380" i="14"/>
  <c r="O380" i="14" s="1"/>
  <c r="V380" i="14"/>
  <c r="AD380" i="14" s="1"/>
  <c r="U380" i="14"/>
  <c r="AC380" i="14" s="1"/>
  <c r="B380" i="14"/>
  <c r="BB379" i="14"/>
  <c r="V379" i="14" s="1"/>
  <c r="AD379" i="14" s="1"/>
  <c r="BA379" i="14"/>
  <c r="U379" i="14" s="1"/>
  <c r="AC379" i="14" s="1"/>
  <c r="AZ379" i="14"/>
  <c r="T379" i="14" s="1"/>
  <c r="AB379" i="14" s="1"/>
  <c r="AY379" i="14"/>
  <c r="S379" i="14" s="1"/>
  <c r="AA379" i="14" s="1"/>
  <c r="AX379" i="14"/>
  <c r="R379" i="14" s="1"/>
  <c r="Z379" i="14" s="1"/>
  <c r="AW379" i="14"/>
  <c r="Q379" i="14" s="1"/>
  <c r="Y379" i="14" s="1"/>
  <c r="AV379" i="14"/>
  <c r="P379" i="14" s="1"/>
  <c r="X379" i="14" s="1"/>
  <c r="AU379" i="14"/>
  <c r="O379" i="14" s="1"/>
  <c r="B379" i="14"/>
  <c r="BB378" i="14"/>
  <c r="BA378" i="14"/>
  <c r="AZ378" i="14"/>
  <c r="AY378" i="14"/>
  <c r="AX378" i="14"/>
  <c r="R378" i="14" s="1"/>
  <c r="Z378" i="14" s="1"/>
  <c r="AW378" i="14"/>
  <c r="Q378" i="14" s="1"/>
  <c r="Y378" i="14" s="1"/>
  <c r="AV378" i="14"/>
  <c r="P378" i="14" s="1"/>
  <c r="X378" i="14" s="1"/>
  <c r="AU378" i="14"/>
  <c r="O378" i="14" s="1"/>
  <c r="V378" i="14"/>
  <c r="AD378" i="14" s="1"/>
  <c r="U378" i="14"/>
  <c r="AC378" i="14" s="1"/>
  <c r="T378" i="14"/>
  <c r="AB378" i="14" s="1"/>
  <c r="S378" i="14"/>
  <c r="AA378" i="14" s="1"/>
  <c r="B378" i="14"/>
  <c r="BB377" i="14"/>
  <c r="BA377" i="14"/>
  <c r="AZ377" i="14"/>
  <c r="AY377" i="14"/>
  <c r="S377" i="14" s="1"/>
  <c r="AA377" i="14" s="1"/>
  <c r="AX377" i="14"/>
  <c r="R377" i="14" s="1"/>
  <c r="Z377" i="14" s="1"/>
  <c r="AW377" i="14"/>
  <c r="Q377" i="14" s="1"/>
  <c r="Y377" i="14" s="1"/>
  <c r="AV377" i="14"/>
  <c r="P377" i="14" s="1"/>
  <c r="X377" i="14" s="1"/>
  <c r="AU377" i="14"/>
  <c r="O377" i="14" s="1"/>
  <c r="V377" i="14"/>
  <c r="AD377" i="14" s="1"/>
  <c r="U377" i="14"/>
  <c r="AC377" i="14" s="1"/>
  <c r="T377" i="14"/>
  <c r="AB377" i="14" s="1"/>
  <c r="B377" i="14"/>
  <c r="BB376" i="14"/>
  <c r="V376" i="14" s="1"/>
  <c r="AD376" i="14" s="1"/>
  <c r="BA376" i="14"/>
  <c r="U376" i="14" s="1"/>
  <c r="AC376" i="14" s="1"/>
  <c r="AZ376" i="14"/>
  <c r="T376" i="14" s="1"/>
  <c r="AB376" i="14" s="1"/>
  <c r="AY376" i="14"/>
  <c r="S376" i="14" s="1"/>
  <c r="AA376" i="14" s="1"/>
  <c r="AX376" i="14"/>
  <c r="AW376" i="14"/>
  <c r="Q376" i="14" s="1"/>
  <c r="Y376" i="14" s="1"/>
  <c r="AV376" i="14"/>
  <c r="P376" i="14" s="1"/>
  <c r="X376" i="14" s="1"/>
  <c r="AU376" i="14"/>
  <c r="R376" i="14"/>
  <c r="Z376" i="14" s="1"/>
  <c r="B376" i="14"/>
  <c r="BB375" i="14"/>
  <c r="BA375" i="14"/>
  <c r="U375" i="14" s="1"/>
  <c r="AC375" i="14" s="1"/>
  <c r="AZ375" i="14"/>
  <c r="T375" i="14" s="1"/>
  <c r="AB375" i="14" s="1"/>
  <c r="AY375" i="14"/>
  <c r="S375" i="14" s="1"/>
  <c r="AA375" i="14" s="1"/>
  <c r="AX375" i="14"/>
  <c r="R375" i="14" s="1"/>
  <c r="Z375" i="14" s="1"/>
  <c r="AW375" i="14"/>
  <c r="Q375" i="14" s="1"/>
  <c r="Y375" i="14" s="1"/>
  <c r="AV375" i="14"/>
  <c r="P375" i="14" s="1"/>
  <c r="X375" i="14" s="1"/>
  <c r="AU375" i="14"/>
  <c r="O375" i="14" s="1"/>
  <c r="V375" i="14"/>
  <c r="AD375" i="14" s="1"/>
  <c r="B375" i="14"/>
  <c r="BB374" i="14"/>
  <c r="V374" i="14" s="1"/>
  <c r="AD374" i="14" s="1"/>
  <c r="BA374" i="14"/>
  <c r="U374" i="14" s="1"/>
  <c r="AC374" i="14" s="1"/>
  <c r="AZ374" i="14"/>
  <c r="T374" i="14" s="1"/>
  <c r="AB374" i="14" s="1"/>
  <c r="AY374" i="14"/>
  <c r="S374" i="14" s="1"/>
  <c r="AA374" i="14" s="1"/>
  <c r="AX374" i="14"/>
  <c r="R374" i="14" s="1"/>
  <c r="Z374" i="14" s="1"/>
  <c r="AW374" i="14"/>
  <c r="Q374" i="14" s="1"/>
  <c r="Y374" i="14" s="1"/>
  <c r="AV374" i="14"/>
  <c r="P374" i="14" s="1"/>
  <c r="X374" i="14" s="1"/>
  <c r="AU374" i="14"/>
  <c r="O374" i="14" s="1"/>
  <c r="B374" i="14"/>
  <c r="BB373" i="14"/>
  <c r="BA373" i="14"/>
  <c r="AZ373" i="14"/>
  <c r="AY373" i="14"/>
  <c r="AX373" i="14"/>
  <c r="R373" i="14" s="1"/>
  <c r="Z373" i="14" s="1"/>
  <c r="AW373" i="14"/>
  <c r="Q373" i="14" s="1"/>
  <c r="Y373" i="14" s="1"/>
  <c r="AV373" i="14"/>
  <c r="P373" i="14" s="1"/>
  <c r="X373" i="14" s="1"/>
  <c r="AU373" i="14"/>
  <c r="O373" i="14" s="1"/>
  <c r="V373" i="14"/>
  <c r="AD373" i="14" s="1"/>
  <c r="U373" i="14"/>
  <c r="AC373" i="14" s="1"/>
  <c r="T373" i="14"/>
  <c r="AB373" i="14" s="1"/>
  <c r="S373" i="14"/>
  <c r="AA373" i="14" s="1"/>
  <c r="B373" i="14"/>
  <c r="BB372" i="14"/>
  <c r="BA372" i="14"/>
  <c r="AZ372" i="14"/>
  <c r="AY372" i="14"/>
  <c r="AX372" i="14"/>
  <c r="AW372" i="14"/>
  <c r="AV372" i="14"/>
  <c r="P372" i="14" s="1"/>
  <c r="X372" i="14" s="1"/>
  <c r="AU372" i="14"/>
  <c r="O372" i="14" s="1"/>
  <c r="V372" i="14"/>
  <c r="AD372" i="14" s="1"/>
  <c r="U372" i="14"/>
  <c r="AC372" i="14" s="1"/>
  <c r="T372" i="14"/>
  <c r="AB372" i="14" s="1"/>
  <c r="S372" i="14"/>
  <c r="AA372" i="14" s="1"/>
  <c r="R372" i="14"/>
  <c r="Z372" i="14" s="1"/>
  <c r="Q372" i="14"/>
  <c r="Y372" i="14" s="1"/>
  <c r="B372" i="14"/>
  <c r="BB371" i="14"/>
  <c r="BA371" i="14"/>
  <c r="AZ371" i="14"/>
  <c r="AY371" i="14"/>
  <c r="AX371" i="14"/>
  <c r="R371" i="14" s="1"/>
  <c r="Z371" i="14" s="1"/>
  <c r="AW371" i="14"/>
  <c r="Q371" i="14" s="1"/>
  <c r="Y371" i="14" s="1"/>
  <c r="AV371" i="14"/>
  <c r="P371" i="14" s="1"/>
  <c r="X371" i="14" s="1"/>
  <c r="AU371" i="14"/>
  <c r="O371" i="14" s="1"/>
  <c r="V371" i="14"/>
  <c r="AD371" i="14" s="1"/>
  <c r="U371" i="14"/>
  <c r="AC371" i="14" s="1"/>
  <c r="T371" i="14"/>
  <c r="AB371" i="14" s="1"/>
  <c r="S371" i="14"/>
  <c r="AA371" i="14" s="1"/>
  <c r="B371" i="14"/>
  <c r="BB370" i="14"/>
  <c r="BA370" i="14"/>
  <c r="AZ370" i="14"/>
  <c r="AY370" i="14"/>
  <c r="AX370" i="14"/>
  <c r="R370" i="14" s="1"/>
  <c r="Z370" i="14" s="1"/>
  <c r="AW370" i="14"/>
  <c r="Q370" i="14" s="1"/>
  <c r="Y370" i="14" s="1"/>
  <c r="AV370" i="14"/>
  <c r="P370" i="14" s="1"/>
  <c r="X370" i="14" s="1"/>
  <c r="AU370" i="14"/>
  <c r="O370" i="14" s="1"/>
  <c r="V370" i="14"/>
  <c r="AD370" i="14" s="1"/>
  <c r="U370" i="14"/>
  <c r="AC370" i="14" s="1"/>
  <c r="T370" i="14"/>
  <c r="AB370" i="14" s="1"/>
  <c r="S370" i="14"/>
  <c r="AA370" i="14" s="1"/>
  <c r="B370" i="14"/>
  <c r="BB369" i="14"/>
  <c r="BA369" i="14"/>
  <c r="AZ369" i="14"/>
  <c r="AY369" i="14"/>
  <c r="S369" i="14" s="1"/>
  <c r="AA369" i="14" s="1"/>
  <c r="AX369" i="14"/>
  <c r="R369" i="14" s="1"/>
  <c r="Z369" i="14" s="1"/>
  <c r="AW369" i="14"/>
  <c r="Q369" i="14" s="1"/>
  <c r="Y369" i="14" s="1"/>
  <c r="AV369" i="14"/>
  <c r="P369" i="14" s="1"/>
  <c r="X369" i="14" s="1"/>
  <c r="AU369" i="14"/>
  <c r="O369" i="14" s="1"/>
  <c r="V369" i="14"/>
  <c r="AD369" i="14" s="1"/>
  <c r="U369" i="14"/>
  <c r="AC369" i="14" s="1"/>
  <c r="T369" i="14"/>
  <c r="AB369" i="14" s="1"/>
  <c r="B369" i="14"/>
  <c r="BB368" i="14"/>
  <c r="BA368" i="14"/>
  <c r="AZ368" i="14"/>
  <c r="T368" i="14" s="1"/>
  <c r="AB368" i="14" s="1"/>
  <c r="AY368" i="14"/>
  <c r="S368" i="14" s="1"/>
  <c r="AA368" i="14" s="1"/>
  <c r="AX368" i="14"/>
  <c r="R368" i="14" s="1"/>
  <c r="Z368" i="14" s="1"/>
  <c r="AW368" i="14"/>
  <c r="Q368" i="14" s="1"/>
  <c r="Y368" i="14" s="1"/>
  <c r="AV368" i="14"/>
  <c r="P368" i="14" s="1"/>
  <c r="X368" i="14" s="1"/>
  <c r="AU368" i="14"/>
  <c r="O368" i="14" s="1"/>
  <c r="V368" i="14"/>
  <c r="AD368" i="14" s="1"/>
  <c r="U368" i="14"/>
  <c r="AC368" i="14" s="1"/>
  <c r="B368" i="14"/>
  <c r="BB367" i="14"/>
  <c r="BA367" i="14"/>
  <c r="U367" i="14" s="1"/>
  <c r="AC367" i="14" s="1"/>
  <c r="AZ367" i="14"/>
  <c r="T367" i="14" s="1"/>
  <c r="AB367" i="14" s="1"/>
  <c r="AY367" i="14"/>
  <c r="S367" i="14" s="1"/>
  <c r="AA367" i="14" s="1"/>
  <c r="AX367" i="14"/>
  <c r="R367" i="14" s="1"/>
  <c r="Z367" i="14" s="1"/>
  <c r="AW367" i="14"/>
  <c r="Q367" i="14" s="1"/>
  <c r="Y367" i="14" s="1"/>
  <c r="AV367" i="14"/>
  <c r="P367" i="14" s="1"/>
  <c r="X367" i="14" s="1"/>
  <c r="AU367" i="14"/>
  <c r="O367" i="14" s="1"/>
  <c r="V367" i="14"/>
  <c r="AD367" i="14" s="1"/>
  <c r="B367" i="14"/>
  <c r="BB366" i="14"/>
  <c r="V366" i="14" s="1"/>
  <c r="AD366" i="14" s="1"/>
  <c r="BA366" i="14"/>
  <c r="U366" i="14" s="1"/>
  <c r="AC366" i="14" s="1"/>
  <c r="AZ366" i="14"/>
  <c r="T366" i="14" s="1"/>
  <c r="AB366" i="14" s="1"/>
  <c r="AY366" i="14"/>
  <c r="S366" i="14" s="1"/>
  <c r="AA366" i="14" s="1"/>
  <c r="AX366" i="14"/>
  <c r="R366" i="14" s="1"/>
  <c r="Z366" i="14" s="1"/>
  <c r="AW366" i="14"/>
  <c r="Q366" i="14" s="1"/>
  <c r="Y366" i="14" s="1"/>
  <c r="AV366" i="14"/>
  <c r="P366" i="14" s="1"/>
  <c r="X366" i="14" s="1"/>
  <c r="AU366" i="14"/>
  <c r="O366" i="14" s="1"/>
  <c r="B366" i="14"/>
  <c r="BB365" i="14"/>
  <c r="BA365" i="14"/>
  <c r="AZ365" i="14"/>
  <c r="AY365" i="14"/>
  <c r="AX365" i="14"/>
  <c r="AW365" i="14"/>
  <c r="AV365" i="14"/>
  <c r="AU365" i="14"/>
  <c r="O365" i="14" s="1"/>
  <c r="V365" i="14"/>
  <c r="AD365" i="14" s="1"/>
  <c r="U365" i="14"/>
  <c r="AC365" i="14" s="1"/>
  <c r="T365" i="14"/>
  <c r="AB365" i="14" s="1"/>
  <c r="S365" i="14"/>
  <c r="AA365" i="14" s="1"/>
  <c r="R365" i="14"/>
  <c r="Z365" i="14" s="1"/>
  <c r="Q365" i="14"/>
  <c r="Y365" i="14" s="1"/>
  <c r="P365" i="14"/>
  <c r="X365" i="14" s="1"/>
  <c r="B365" i="14"/>
  <c r="BB364" i="14"/>
  <c r="BA364" i="14"/>
  <c r="AZ364" i="14"/>
  <c r="AY364" i="14"/>
  <c r="S364" i="14" s="1"/>
  <c r="AA364" i="14" s="1"/>
  <c r="AX364" i="14"/>
  <c r="R364" i="14" s="1"/>
  <c r="Z364" i="14" s="1"/>
  <c r="AW364" i="14"/>
  <c r="Q364" i="14" s="1"/>
  <c r="Y364" i="14" s="1"/>
  <c r="AV364" i="14"/>
  <c r="P364" i="14" s="1"/>
  <c r="X364" i="14" s="1"/>
  <c r="AU364" i="14"/>
  <c r="O364" i="14" s="1"/>
  <c r="V364" i="14"/>
  <c r="AD364" i="14" s="1"/>
  <c r="U364" i="14"/>
  <c r="AC364" i="14" s="1"/>
  <c r="T364" i="14"/>
  <c r="AB364" i="14" s="1"/>
  <c r="B364" i="14"/>
  <c r="BB363" i="14"/>
  <c r="V363" i="14" s="1"/>
  <c r="AD363" i="14" s="1"/>
  <c r="BA363" i="14"/>
  <c r="U363" i="14" s="1"/>
  <c r="AC363" i="14" s="1"/>
  <c r="AZ363" i="14"/>
  <c r="T363" i="14" s="1"/>
  <c r="AB363" i="14" s="1"/>
  <c r="AY363" i="14"/>
  <c r="S363" i="14" s="1"/>
  <c r="AA363" i="14" s="1"/>
  <c r="AX363" i="14"/>
  <c r="R363" i="14" s="1"/>
  <c r="Z363" i="14" s="1"/>
  <c r="AW363" i="14"/>
  <c r="Q363" i="14" s="1"/>
  <c r="Y363" i="14" s="1"/>
  <c r="AV363" i="14"/>
  <c r="P363" i="14" s="1"/>
  <c r="X363" i="14" s="1"/>
  <c r="AU363" i="14"/>
  <c r="O363" i="14" s="1"/>
  <c r="B363" i="14"/>
  <c r="BB362" i="14"/>
  <c r="BA362" i="14"/>
  <c r="AZ362" i="14"/>
  <c r="AY362" i="14"/>
  <c r="S362" i="14" s="1"/>
  <c r="AA362" i="14" s="1"/>
  <c r="AX362" i="14"/>
  <c r="R362" i="14" s="1"/>
  <c r="Z362" i="14" s="1"/>
  <c r="AW362" i="14"/>
  <c r="Q362" i="14" s="1"/>
  <c r="Y362" i="14" s="1"/>
  <c r="AV362" i="14"/>
  <c r="P362" i="14" s="1"/>
  <c r="X362" i="14" s="1"/>
  <c r="AU362" i="14"/>
  <c r="O362" i="14" s="1"/>
  <c r="V362" i="14"/>
  <c r="AD362" i="14" s="1"/>
  <c r="U362" i="14"/>
  <c r="AC362" i="14" s="1"/>
  <c r="T362" i="14"/>
  <c r="AB362" i="14" s="1"/>
  <c r="B362" i="14"/>
  <c r="BB361" i="14"/>
  <c r="BA361" i="14"/>
  <c r="AZ361" i="14"/>
  <c r="AY361" i="14"/>
  <c r="AX361" i="14"/>
  <c r="R361" i="14" s="1"/>
  <c r="Z361" i="14" s="1"/>
  <c r="AW361" i="14"/>
  <c r="Q361" i="14" s="1"/>
  <c r="Y361" i="14" s="1"/>
  <c r="AV361" i="14"/>
  <c r="P361" i="14" s="1"/>
  <c r="X361" i="14" s="1"/>
  <c r="AU361" i="14"/>
  <c r="O361" i="14" s="1"/>
  <c r="V361" i="14"/>
  <c r="AD361" i="14" s="1"/>
  <c r="U361" i="14"/>
  <c r="AC361" i="14" s="1"/>
  <c r="T361" i="14"/>
  <c r="AB361" i="14" s="1"/>
  <c r="S361" i="14"/>
  <c r="AA361" i="14" s="1"/>
  <c r="B361" i="14"/>
  <c r="BB360" i="14"/>
  <c r="BA360" i="14"/>
  <c r="AZ360" i="14"/>
  <c r="T360" i="14" s="1"/>
  <c r="AB360" i="14" s="1"/>
  <c r="AY360" i="14"/>
  <c r="S360" i="14" s="1"/>
  <c r="AA360" i="14" s="1"/>
  <c r="AX360" i="14"/>
  <c r="R360" i="14" s="1"/>
  <c r="Z360" i="14" s="1"/>
  <c r="AW360" i="14"/>
  <c r="Q360" i="14" s="1"/>
  <c r="Y360" i="14" s="1"/>
  <c r="AV360" i="14"/>
  <c r="P360" i="14" s="1"/>
  <c r="X360" i="14" s="1"/>
  <c r="AU360" i="14"/>
  <c r="V360" i="14"/>
  <c r="AD360" i="14" s="1"/>
  <c r="U360" i="14"/>
  <c r="AC360" i="14" s="1"/>
  <c r="B360" i="14"/>
  <c r="BB359" i="14"/>
  <c r="V359" i="14" s="1"/>
  <c r="AD359" i="14" s="1"/>
  <c r="BA359" i="14"/>
  <c r="U359" i="14" s="1"/>
  <c r="AC359" i="14" s="1"/>
  <c r="AZ359" i="14"/>
  <c r="T359" i="14" s="1"/>
  <c r="AB359" i="14" s="1"/>
  <c r="AY359" i="14"/>
  <c r="S359" i="14" s="1"/>
  <c r="AA359" i="14" s="1"/>
  <c r="AX359" i="14"/>
  <c r="R359" i="14" s="1"/>
  <c r="Z359" i="14" s="1"/>
  <c r="AW359" i="14"/>
  <c r="Q359" i="14" s="1"/>
  <c r="Y359" i="14" s="1"/>
  <c r="AV359" i="14"/>
  <c r="P359" i="14" s="1"/>
  <c r="X359" i="14" s="1"/>
  <c r="AU359" i="14"/>
  <c r="O359" i="14" s="1"/>
  <c r="B359" i="14"/>
  <c r="BB358" i="14"/>
  <c r="BA358" i="14"/>
  <c r="AZ358" i="14"/>
  <c r="AY358" i="14"/>
  <c r="S358" i="14" s="1"/>
  <c r="AA358" i="14" s="1"/>
  <c r="AX358" i="14"/>
  <c r="R358" i="14" s="1"/>
  <c r="Z358" i="14" s="1"/>
  <c r="AW358" i="14"/>
  <c r="Q358" i="14" s="1"/>
  <c r="Y358" i="14" s="1"/>
  <c r="AV358" i="14"/>
  <c r="P358" i="14" s="1"/>
  <c r="X358" i="14" s="1"/>
  <c r="AU358" i="14"/>
  <c r="O358" i="14" s="1"/>
  <c r="V358" i="14"/>
  <c r="AD358" i="14" s="1"/>
  <c r="U358" i="14"/>
  <c r="AC358" i="14" s="1"/>
  <c r="T358" i="14"/>
  <c r="AB358" i="14" s="1"/>
  <c r="B358" i="14"/>
  <c r="BB357" i="14"/>
  <c r="BA357" i="14"/>
  <c r="AZ357" i="14"/>
  <c r="AY357" i="14"/>
  <c r="S357" i="14" s="1"/>
  <c r="AA357" i="14" s="1"/>
  <c r="AX357" i="14"/>
  <c r="R357" i="14" s="1"/>
  <c r="Z357" i="14" s="1"/>
  <c r="AW357" i="14"/>
  <c r="Q357" i="14" s="1"/>
  <c r="Y357" i="14" s="1"/>
  <c r="AV357" i="14"/>
  <c r="P357" i="14" s="1"/>
  <c r="X357" i="14" s="1"/>
  <c r="AU357" i="14"/>
  <c r="O357" i="14" s="1"/>
  <c r="V357" i="14"/>
  <c r="AD357" i="14" s="1"/>
  <c r="U357" i="14"/>
  <c r="AC357" i="14" s="1"/>
  <c r="T357" i="14"/>
  <c r="AB357" i="14" s="1"/>
  <c r="B357" i="14"/>
  <c r="BB356" i="14"/>
  <c r="BA356" i="14"/>
  <c r="AZ356" i="14"/>
  <c r="AY356" i="14"/>
  <c r="AX356" i="14"/>
  <c r="AW356" i="14"/>
  <c r="Q356" i="14" s="1"/>
  <c r="Y356" i="14" s="1"/>
  <c r="AV356" i="14"/>
  <c r="P356" i="14" s="1"/>
  <c r="X356" i="14" s="1"/>
  <c r="AU356" i="14"/>
  <c r="O356" i="14" s="1"/>
  <c r="V356" i="14"/>
  <c r="AD356" i="14" s="1"/>
  <c r="U356" i="14"/>
  <c r="AC356" i="14" s="1"/>
  <c r="T356" i="14"/>
  <c r="AB356" i="14" s="1"/>
  <c r="S356" i="14"/>
  <c r="AA356" i="14" s="1"/>
  <c r="R356" i="14"/>
  <c r="Z356" i="14" s="1"/>
  <c r="B356" i="14"/>
  <c r="BB355" i="14"/>
  <c r="BA355" i="14"/>
  <c r="AZ355" i="14"/>
  <c r="T355" i="14" s="1"/>
  <c r="AB355" i="14" s="1"/>
  <c r="AY355" i="14"/>
  <c r="S355" i="14" s="1"/>
  <c r="AA355" i="14" s="1"/>
  <c r="AX355" i="14"/>
  <c r="R355" i="14" s="1"/>
  <c r="Z355" i="14" s="1"/>
  <c r="AW355" i="14"/>
  <c r="Q355" i="14" s="1"/>
  <c r="Y355" i="14" s="1"/>
  <c r="AV355" i="14"/>
  <c r="P355" i="14" s="1"/>
  <c r="X355" i="14" s="1"/>
  <c r="AU355" i="14"/>
  <c r="O355" i="14" s="1"/>
  <c r="V355" i="14"/>
  <c r="AD355" i="14" s="1"/>
  <c r="U355" i="14"/>
  <c r="AC355" i="14" s="1"/>
  <c r="B355" i="14"/>
  <c r="BB354" i="14"/>
  <c r="BA354" i="14"/>
  <c r="U354" i="14" s="1"/>
  <c r="AC354" i="14" s="1"/>
  <c r="AZ354" i="14"/>
  <c r="T354" i="14" s="1"/>
  <c r="AB354" i="14" s="1"/>
  <c r="AY354" i="14"/>
  <c r="S354" i="14" s="1"/>
  <c r="AA354" i="14" s="1"/>
  <c r="AX354" i="14"/>
  <c r="R354" i="14" s="1"/>
  <c r="Z354" i="14" s="1"/>
  <c r="AW354" i="14"/>
  <c r="AV354" i="14"/>
  <c r="P354" i="14" s="1"/>
  <c r="X354" i="14" s="1"/>
  <c r="AU354" i="14"/>
  <c r="O354" i="14" s="1"/>
  <c r="V354" i="14"/>
  <c r="AD354" i="14" s="1"/>
  <c r="Q354" i="14"/>
  <c r="Y354" i="14" s="1"/>
  <c r="B354" i="14"/>
  <c r="BB353" i="14"/>
  <c r="V353" i="14" s="1"/>
  <c r="AD353" i="14" s="1"/>
  <c r="BA353" i="14"/>
  <c r="U353" i="14" s="1"/>
  <c r="AC353" i="14" s="1"/>
  <c r="AZ353" i="14"/>
  <c r="T353" i="14" s="1"/>
  <c r="AB353" i="14" s="1"/>
  <c r="AY353" i="14"/>
  <c r="S353" i="14" s="1"/>
  <c r="AA353" i="14" s="1"/>
  <c r="AX353" i="14"/>
  <c r="R353" i="14" s="1"/>
  <c r="Z353" i="14" s="1"/>
  <c r="AW353" i="14"/>
  <c r="Q353" i="14" s="1"/>
  <c r="Y353" i="14" s="1"/>
  <c r="AV353" i="14"/>
  <c r="P353" i="14" s="1"/>
  <c r="X353" i="14" s="1"/>
  <c r="AU353" i="14"/>
  <c r="O353" i="14" s="1"/>
  <c r="B353" i="14"/>
  <c r="BB352" i="14"/>
  <c r="BA352" i="14"/>
  <c r="AZ352" i="14"/>
  <c r="AY352" i="14"/>
  <c r="AX352" i="14"/>
  <c r="AW352" i="14"/>
  <c r="AV352" i="14"/>
  <c r="AU352" i="14"/>
  <c r="V352" i="14"/>
  <c r="AD352" i="14" s="1"/>
  <c r="U352" i="14"/>
  <c r="AC352" i="14" s="1"/>
  <c r="T352" i="14"/>
  <c r="AB352" i="14" s="1"/>
  <c r="S352" i="14"/>
  <c r="AA352" i="14" s="1"/>
  <c r="R352" i="14"/>
  <c r="Z352" i="14" s="1"/>
  <c r="Q352" i="14"/>
  <c r="Y352" i="14" s="1"/>
  <c r="P352" i="14"/>
  <c r="X352" i="14" s="1"/>
  <c r="O352" i="14"/>
  <c r="B352" i="14"/>
  <c r="BB351" i="14"/>
  <c r="BA351" i="14"/>
  <c r="AZ351" i="14"/>
  <c r="AY351" i="14"/>
  <c r="S351" i="14" s="1"/>
  <c r="AA351" i="14" s="1"/>
  <c r="AX351" i="14"/>
  <c r="R351" i="14" s="1"/>
  <c r="Z351" i="14" s="1"/>
  <c r="AW351" i="14"/>
  <c r="Q351" i="14" s="1"/>
  <c r="Y351" i="14" s="1"/>
  <c r="AV351" i="14"/>
  <c r="P351" i="14" s="1"/>
  <c r="X351" i="14" s="1"/>
  <c r="AU351" i="14"/>
  <c r="O351" i="14" s="1"/>
  <c r="V351" i="14"/>
  <c r="AD351" i="14" s="1"/>
  <c r="U351" i="14"/>
  <c r="AC351" i="14" s="1"/>
  <c r="T351" i="14"/>
  <c r="AB351" i="14" s="1"/>
  <c r="B351" i="14"/>
  <c r="BB350" i="14"/>
  <c r="BA350" i="14"/>
  <c r="AZ350" i="14"/>
  <c r="AY350" i="14"/>
  <c r="AX350" i="14"/>
  <c r="AW350" i="14"/>
  <c r="Q350" i="14" s="1"/>
  <c r="Y350" i="14" s="1"/>
  <c r="AV350" i="14"/>
  <c r="P350" i="14" s="1"/>
  <c r="X350" i="14" s="1"/>
  <c r="AU350" i="14"/>
  <c r="O350" i="14" s="1"/>
  <c r="V350" i="14"/>
  <c r="AD350" i="14" s="1"/>
  <c r="U350" i="14"/>
  <c r="AC350" i="14" s="1"/>
  <c r="T350" i="14"/>
  <c r="AB350" i="14" s="1"/>
  <c r="S350" i="14"/>
  <c r="AA350" i="14" s="1"/>
  <c r="R350" i="14"/>
  <c r="Z350" i="14" s="1"/>
  <c r="B350" i="14"/>
  <c r="BB349" i="14"/>
  <c r="BA349" i="14"/>
  <c r="AZ349" i="14"/>
  <c r="AY349" i="14"/>
  <c r="AX349" i="14"/>
  <c r="R349" i="14" s="1"/>
  <c r="Z349" i="14" s="1"/>
  <c r="AW349" i="14"/>
  <c r="Q349" i="14" s="1"/>
  <c r="Y349" i="14" s="1"/>
  <c r="AV349" i="14"/>
  <c r="P349" i="14" s="1"/>
  <c r="X349" i="14" s="1"/>
  <c r="AU349" i="14"/>
  <c r="O349" i="14" s="1"/>
  <c r="V349" i="14"/>
  <c r="AD349" i="14" s="1"/>
  <c r="U349" i="14"/>
  <c r="AC349" i="14" s="1"/>
  <c r="T349" i="14"/>
  <c r="AB349" i="14" s="1"/>
  <c r="S349" i="14"/>
  <c r="AA349" i="14" s="1"/>
  <c r="B349" i="14"/>
  <c r="BB348" i="14"/>
  <c r="BA348" i="14"/>
  <c r="AZ348" i="14"/>
  <c r="AY348" i="14"/>
  <c r="S348" i="14" s="1"/>
  <c r="AA348" i="14" s="1"/>
  <c r="AX348" i="14"/>
  <c r="R348" i="14" s="1"/>
  <c r="Z348" i="14" s="1"/>
  <c r="AW348" i="14"/>
  <c r="Q348" i="14" s="1"/>
  <c r="Y348" i="14" s="1"/>
  <c r="AV348" i="14"/>
  <c r="P348" i="14" s="1"/>
  <c r="X348" i="14" s="1"/>
  <c r="AU348" i="14"/>
  <c r="O348" i="14" s="1"/>
  <c r="V348" i="14"/>
  <c r="AD348" i="14" s="1"/>
  <c r="U348" i="14"/>
  <c r="AC348" i="14" s="1"/>
  <c r="T348" i="14"/>
  <c r="AB348" i="14" s="1"/>
  <c r="B348" i="14"/>
  <c r="BB347" i="14"/>
  <c r="BA347" i="14"/>
  <c r="AZ347" i="14"/>
  <c r="T347" i="14" s="1"/>
  <c r="AB347" i="14" s="1"/>
  <c r="AY347" i="14"/>
  <c r="S347" i="14" s="1"/>
  <c r="AA347" i="14" s="1"/>
  <c r="AX347" i="14"/>
  <c r="R347" i="14" s="1"/>
  <c r="Z347" i="14" s="1"/>
  <c r="AW347" i="14"/>
  <c r="Q347" i="14" s="1"/>
  <c r="Y347" i="14" s="1"/>
  <c r="AV347" i="14"/>
  <c r="P347" i="14" s="1"/>
  <c r="X347" i="14" s="1"/>
  <c r="AU347" i="14"/>
  <c r="O347" i="14" s="1"/>
  <c r="V347" i="14"/>
  <c r="AD347" i="14" s="1"/>
  <c r="U347" i="14"/>
  <c r="AC347" i="14" s="1"/>
  <c r="B347" i="14"/>
  <c r="BB346" i="14"/>
  <c r="BA346" i="14"/>
  <c r="U346" i="14" s="1"/>
  <c r="AC346" i="14" s="1"/>
  <c r="AZ346" i="14"/>
  <c r="T346" i="14" s="1"/>
  <c r="AB346" i="14" s="1"/>
  <c r="AY346" i="14"/>
  <c r="S346" i="14" s="1"/>
  <c r="AA346" i="14" s="1"/>
  <c r="AX346" i="14"/>
  <c r="R346" i="14" s="1"/>
  <c r="Z346" i="14" s="1"/>
  <c r="AW346" i="14"/>
  <c r="Q346" i="14" s="1"/>
  <c r="Y346" i="14" s="1"/>
  <c r="AV346" i="14"/>
  <c r="P346" i="14" s="1"/>
  <c r="X346" i="14" s="1"/>
  <c r="AU346" i="14"/>
  <c r="O346" i="14" s="1"/>
  <c r="V346" i="14"/>
  <c r="AD346" i="14" s="1"/>
  <c r="B346" i="14"/>
  <c r="BB345" i="14"/>
  <c r="V345" i="14" s="1"/>
  <c r="AD345" i="14" s="1"/>
  <c r="BA345" i="14"/>
  <c r="U345" i="14" s="1"/>
  <c r="AC345" i="14" s="1"/>
  <c r="AZ345" i="14"/>
  <c r="T345" i="14" s="1"/>
  <c r="AB345" i="14" s="1"/>
  <c r="AY345" i="14"/>
  <c r="S345" i="14" s="1"/>
  <c r="AA345" i="14" s="1"/>
  <c r="AX345" i="14"/>
  <c r="R345" i="14" s="1"/>
  <c r="Z345" i="14" s="1"/>
  <c r="AW345" i="14"/>
  <c r="Q345" i="14" s="1"/>
  <c r="Y345" i="14" s="1"/>
  <c r="AV345" i="14"/>
  <c r="P345" i="14" s="1"/>
  <c r="X345" i="14" s="1"/>
  <c r="AU345" i="14"/>
  <c r="O345" i="14" s="1"/>
  <c r="B345" i="14"/>
  <c r="BB344" i="14"/>
  <c r="BA344" i="14"/>
  <c r="U344" i="14" s="1"/>
  <c r="AC344" i="14" s="1"/>
  <c r="AZ344" i="14"/>
  <c r="T344" i="14" s="1"/>
  <c r="AB344" i="14" s="1"/>
  <c r="AY344" i="14"/>
  <c r="S344" i="14" s="1"/>
  <c r="AA344" i="14" s="1"/>
  <c r="AX344" i="14"/>
  <c r="R344" i="14" s="1"/>
  <c r="Z344" i="14" s="1"/>
  <c r="AW344" i="14"/>
  <c r="Q344" i="14" s="1"/>
  <c r="Y344" i="14" s="1"/>
  <c r="AV344" i="14"/>
  <c r="P344" i="14" s="1"/>
  <c r="X344" i="14" s="1"/>
  <c r="AU344" i="14"/>
  <c r="O344" i="14" s="1"/>
  <c r="V344" i="14"/>
  <c r="AD344" i="14" s="1"/>
  <c r="B344" i="14"/>
  <c r="BB343" i="14"/>
  <c r="BA343" i="14"/>
  <c r="AZ343" i="14"/>
  <c r="T343" i="14" s="1"/>
  <c r="AB343" i="14" s="1"/>
  <c r="AY343" i="14"/>
  <c r="S343" i="14" s="1"/>
  <c r="AA343" i="14" s="1"/>
  <c r="AX343" i="14"/>
  <c r="R343" i="14" s="1"/>
  <c r="Z343" i="14" s="1"/>
  <c r="AW343" i="14"/>
  <c r="Q343" i="14" s="1"/>
  <c r="Y343" i="14" s="1"/>
  <c r="AV343" i="14"/>
  <c r="P343" i="14" s="1"/>
  <c r="X343" i="14" s="1"/>
  <c r="AU343" i="14"/>
  <c r="O343" i="14" s="1"/>
  <c r="V343" i="14"/>
  <c r="AD343" i="14" s="1"/>
  <c r="U343" i="14"/>
  <c r="AC343" i="14" s="1"/>
  <c r="B343" i="14"/>
  <c r="BB342" i="14"/>
  <c r="BA342" i="14"/>
  <c r="AZ342" i="14"/>
  <c r="T342" i="14" s="1"/>
  <c r="AB342" i="14" s="1"/>
  <c r="AY342" i="14"/>
  <c r="S342" i="14" s="1"/>
  <c r="AA342" i="14" s="1"/>
  <c r="AX342" i="14"/>
  <c r="R342" i="14" s="1"/>
  <c r="Z342" i="14" s="1"/>
  <c r="AW342" i="14"/>
  <c r="Q342" i="14" s="1"/>
  <c r="Y342" i="14" s="1"/>
  <c r="AV342" i="14"/>
  <c r="P342" i="14" s="1"/>
  <c r="X342" i="14" s="1"/>
  <c r="AU342" i="14"/>
  <c r="O342" i="14" s="1"/>
  <c r="V342" i="14"/>
  <c r="AD342" i="14" s="1"/>
  <c r="U342" i="14"/>
  <c r="AC342" i="14" s="1"/>
  <c r="B342" i="14"/>
  <c r="BB341" i="14"/>
  <c r="BA341" i="14"/>
  <c r="AZ341" i="14"/>
  <c r="AY341" i="14"/>
  <c r="S341" i="14" s="1"/>
  <c r="AA341" i="14" s="1"/>
  <c r="AX341" i="14"/>
  <c r="R341" i="14" s="1"/>
  <c r="Z341" i="14" s="1"/>
  <c r="AW341" i="14"/>
  <c r="Q341" i="14" s="1"/>
  <c r="Y341" i="14" s="1"/>
  <c r="AV341" i="14"/>
  <c r="P341" i="14" s="1"/>
  <c r="X341" i="14" s="1"/>
  <c r="AU341" i="14"/>
  <c r="O341" i="14" s="1"/>
  <c r="V341" i="14"/>
  <c r="AD341" i="14" s="1"/>
  <c r="U341" i="14"/>
  <c r="AC341" i="14" s="1"/>
  <c r="T341" i="14"/>
  <c r="AB341" i="14" s="1"/>
  <c r="B341" i="14"/>
  <c r="BB340" i="14"/>
  <c r="BA340" i="14"/>
  <c r="AZ340" i="14"/>
  <c r="AY340" i="14"/>
  <c r="S340" i="14" s="1"/>
  <c r="AA340" i="14" s="1"/>
  <c r="AX340" i="14"/>
  <c r="R340" i="14" s="1"/>
  <c r="Z340" i="14" s="1"/>
  <c r="AW340" i="14"/>
  <c r="Q340" i="14" s="1"/>
  <c r="Y340" i="14" s="1"/>
  <c r="AV340" i="14"/>
  <c r="P340" i="14" s="1"/>
  <c r="X340" i="14" s="1"/>
  <c r="AU340" i="14"/>
  <c r="O340" i="14" s="1"/>
  <c r="V340" i="14"/>
  <c r="AD340" i="14" s="1"/>
  <c r="U340" i="14"/>
  <c r="AC340" i="14" s="1"/>
  <c r="T340" i="14"/>
  <c r="AB340" i="14" s="1"/>
  <c r="B340" i="14"/>
  <c r="BB339" i="14"/>
  <c r="BA339" i="14"/>
  <c r="AZ339" i="14"/>
  <c r="T339" i="14" s="1"/>
  <c r="AB339" i="14" s="1"/>
  <c r="AY339" i="14"/>
  <c r="S339" i="14" s="1"/>
  <c r="AA339" i="14" s="1"/>
  <c r="AX339" i="14"/>
  <c r="R339" i="14" s="1"/>
  <c r="Z339" i="14" s="1"/>
  <c r="AW339" i="14"/>
  <c r="Q339" i="14" s="1"/>
  <c r="Y339" i="14" s="1"/>
  <c r="AV339" i="14"/>
  <c r="P339" i="14" s="1"/>
  <c r="X339" i="14" s="1"/>
  <c r="AU339" i="14"/>
  <c r="O339" i="14" s="1"/>
  <c r="V339" i="14"/>
  <c r="AD339" i="14" s="1"/>
  <c r="U339" i="14"/>
  <c r="AC339" i="14" s="1"/>
  <c r="B339" i="14"/>
  <c r="BB338" i="14"/>
  <c r="BA338" i="14"/>
  <c r="U338" i="14" s="1"/>
  <c r="AC338" i="14" s="1"/>
  <c r="AZ338" i="14"/>
  <c r="T338" i="14" s="1"/>
  <c r="AB338" i="14" s="1"/>
  <c r="AY338" i="14"/>
  <c r="S338" i="14" s="1"/>
  <c r="AA338" i="14" s="1"/>
  <c r="AX338" i="14"/>
  <c r="R338" i="14" s="1"/>
  <c r="Z338" i="14" s="1"/>
  <c r="AW338" i="14"/>
  <c r="Q338" i="14" s="1"/>
  <c r="Y338" i="14" s="1"/>
  <c r="AV338" i="14"/>
  <c r="P338" i="14" s="1"/>
  <c r="X338" i="14" s="1"/>
  <c r="AU338" i="14"/>
  <c r="O338" i="14" s="1"/>
  <c r="V338" i="14"/>
  <c r="AD338" i="14" s="1"/>
  <c r="B338" i="14"/>
  <c r="BB337" i="14"/>
  <c r="V337" i="14" s="1"/>
  <c r="AD337" i="14" s="1"/>
  <c r="BA337" i="14"/>
  <c r="U337" i="14" s="1"/>
  <c r="AC337" i="14" s="1"/>
  <c r="AZ337" i="14"/>
  <c r="T337" i="14" s="1"/>
  <c r="AB337" i="14" s="1"/>
  <c r="AY337" i="14"/>
  <c r="S337" i="14" s="1"/>
  <c r="AA337" i="14" s="1"/>
  <c r="AX337" i="14"/>
  <c r="R337" i="14" s="1"/>
  <c r="Z337" i="14" s="1"/>
  <c r="AW337" i="14"/>
  <c r="Q337" i="14" s="1"/>
  <c r="Y337" i="14" s="1"/>
  <c r="AV337" i="14"/>
  <c r="P337" i="14" s="1"/>
  <c r="X337" i="14" s="1"/>
  <c r="AU337" i="14"/>
  <c r="O337" i="14" s="1"/>
  <c r="B337" i="14"/>
  <c r="BB336" i="14"/>
  <c r="BA336" i="14"/>
  <c r="U336" i="14" s="1"/>
  <c r="AC336" i="14" s="1"/>
  <c r="AZ336" i="14"/>
  <c r="T336" i="14" s="1"/>
  <c r="AB336" i="14" s="1"/>
  <c r="AY336" i="14"/>
  <c r="S336" i="14" s="1"/>
  <c r="AA336" i="14" s="1"/>
  <c r="AX336" i="14"/>
  <c r="R336" i="14" s="1"/>
  <c r="Z336" i="14" s="1"/>
  <c r="AW336" i="14"/>
  <c r="Q336" i="14" s="1"/>
  <c r="Y336" i="14" s="1"/>
  <c r="AV336" i="14"/>
  <c r="P336" i="14" s="1"/>
  <c r="X336" i="14" s="1"/>
  <c r="AU336" i="14"/>
  <c r="O336" i="14" s="1"/>
  <c r="V336" i="14"/>
  <c r="AD336" i="14" s="1"/>
  <c r="B336" i="14"/>
  <c r="BB335" i="14"/>
  <c r="BA335" i="14"/>
  <c r="AZ335" i="14"/>
  <c r="AY335" i="14"/>
  <c r="AX335" i="14"/>
  <c r="R335" i="14" s="1"/>
  <c r="Z335" i="14" s="1"/>
  <c r="AW335" i="14"/>
  <c r="Q335" i="14" s="1"/>
  <c r="Y335" i="14" s="1"/>
  <c r="AV335" i="14"/>
  <c r="P335" i="14" s="1"/>
  <c r="X335" i="14" s="1"/>
  <c r="AU335" i="14"/>
  <c r="O335" i="14" s="1"/>
  <c r="V335" i="14"/>
  <c r="AD335" i="14" s="1"/>
  <c r="U335" i="14"/>
  <c r="AC335" i="14" s="1"/>
  <c r="T335" i="14"/>
  <c r="AB335" i="14" s="1"/>
  <c r="S335" i="14"/>
  <c r="AA335" i="14" s="1"/>
  <c r="B335" i="14"/>
  <c r="BB334" i="14"/>
  <c r="V334" i="14" s="1"/>
  <c r="AD334" i="14" s="1"/>
  <c r="BA334" i="14"/>
  <c r="U334" i="14" s="1"/>
  <c r="AC334" i="14" s="1"/>
  <c r="AZ334" i="14"/>
  <c r="T334" i="14" s="1"/>
  <c r="AB334" i="14" s="1"/>
  <c r="AY334" i="14"/>
  <c r="S334" i="14" s="1"/>
  <c r="AA334" i="14" s="1"/>
  <c r="AX334" i="14"/>
  <c r="R334" i="14" s="1"/>
  <c r="Z334" i="14" s="1"/>
  <c r="AW334" i="14"/>
  <c r="Q334" i="14" s="1"/>
  <c r="Y334" i="14" s="1"/>
  <c r="AV334" i="14"/>
  <c r="P334" i="14" s="1"/>
  <c r="X334" i="14" s="1"/>
  <c r="AU334" i="14"/>
  <c r="O334" i="14" s="1"/>
  <c r="B334" i="14"/>
  <c r="BB333" i="14"/>
  <c r="BA333" i="14"/>
  <c r="AZ333" i="14"/>
  <c r="AY333" i="14"/>
  <c r="AX333" i="14"/>
  <c r="R333" i="14" s="1"/>
  <c r="Z333" i="14" s="1"/>
  <c r="AW333" i="14"/>
  <c r="Q333" i="14" s="1"/>
  <c r="Y333" i="14" s="1"/>
  <c r="AV333" i="14"/>
  <c r="P333" i="14" s="1"/>
  <c r="X333" i="14" s="1"/>
  <c r="AU333" i="14"/>
  <c r="O333" i="14" s="1"/>
  <c r="V333" i="14"/>
  <c r="AD333" i="14" s="1"/>
  <c r="U333" i="14"/>
  <c r="AC333" i="14" s="1"/>
  <c r="T333" i="14"/>
  <c r="AB333" i="14" s="1"/>
  <c r="S333" i="14"/>
  <c r="AA333" i="14" s="1"/>
  <c r="B333" i="14"/>
  <c r="BB332" i="14"/>
  <c r="BA332" i="14"/>
  <c r="AZ332" i="14"/>
  <c r="AY332" i="14"/>
  <c r="S332" i="14" s="1"/>
  <c r="AA332" i="14" s="1"/>
  <c r="AX332" i="14"/>
  <c r="R332" i="14" s="1"/>
  <c r="Z332" i="14" s="1"/>
  <c r="AW332" i="14"/>
  <c r="Q332" i="14" s="1"/>
  <c r="Y332" i="14" s="1"/>
  <c r="AV332" i="14"/>
  <c r="P332" i="14" s="1"/>
  <c r="X332" i="14" s="1"/>
  <c r="AU332" i="14"/>
  <c r="O332" i="14" s="1"/>
  <c r="V332" i="14"/>
  <c r="AD332" i="14" s="1"/>
  <c r="U332" i="14"/>
  <c r="AC332" i="14" s="1"/>
  <c r="T332" i="14"/>
  <c r="AB332" i="14" s="1"/>
  <c r="B332" i="14"/>
  <c r="BB331" i="14"/>
  <c r="BA331" i="14"/>
  <c r="AZ331" i="14"/>
  <c r="T331" i="14" s="1"/>
  <c r="AB331" i="14" s="1"/>
  <c r="AY331" i="14"/>
  <c r="S331" i="14" s="1"/>
  <c r="AA331" i="14" s="1"/>
  <c r="AX331" i="14"/>
  <c r="R331" i="14" s="1"/>
  <c r="Z331" i="14" s="1"/>
  <c r="AW331" i="14"/>
  <c r="Q331" i="14" s="1"/>
  <c r="Y331" i="14" s="1"/>
  <c r="AV331" i="14"/>
  <c r="P331" i="14" s="1"/>
  <c r="X331" i="14" s="1"/>
  <c r="AU331" i="14"/>
  <c r="O331" i="14" s="1"/>
  <c r="V331" i="14"/>
  <c r="AD331" i="14" s="1"/>
  <c r="U331" i="14"/>
  <c r="AC331" i="14" s="1"/>
  <c r="B331" i="14"/>
  <c r="BB330" i="14"/>
  <c r="BA330" i="14"/>
  <c r="AZ330" i="14"/>
  <c r="AY330" i="14"/>
  <c r="S330" i="14" s="1"/>
  <c r="AA330" i="14" s="1"/>
  <c r="AX330" i="14"/>
  <c r="R330" i="14" s="1"/>
  <c r="Z330" i="14" s="1"/>
  <c r="AW330" i="14"/>
  <c r="Q330" i="14" s="1"/>
  <c r="Y330" i="14" s="1"/>
  <c r="AV330" i="14"/>
  <c r="P330" i="14" s="1"/>
  <c r="X330" i="14" s="1"/>
  <c r="AU330" i="14"/>
  <c r="O330" i="14" s="1"/>
  <c r="V330" i="14"/>
  <c r="AD330" i="14" s="1"/>
  <c r="U330" i="14"/>
  <c r="AC330" i="14" s="1"/>
  <c r="T330" i="14"/>
  <c r="AB330" i="14" s="1"/>
  <c r="B330" i="14"/>
  <c r="BB329" i="14"/>
  <c r="BA329" i="14"/>
  <c r="AZ329" i="14"/>
  <c r="AY329" i="14"/>
  <c r="S329" i="14" s="1"/>
  <c r="AA329" i="14" s="1"/>
  <c r="AX329" i="14"/>
  <c r="R329" i="14" s="1"/>
  <c r="Z329" i="14" s="1"/>
  <c r="AW329" i="14"/>
  <c r="Q329" i="14" s="1"/>
  <c r="Y329" i="14" s="1"/>
  <c r="AV329" i="14"/>
  <c r="P329" i="14" s="1"/>
  <c r="X329" i="14" s="1"/>
  <c r="AU329" i="14"/>
  <c r="O329" i="14" s="1"/>
  <c r="V329" i="14"/>
  <c r="AD329" i="14" s="1"/>
  <c r="U329" i="14"/>
  <c r="AC329" i="14" s="1"/>
  <c r="T329" i="14"/>
  <c r="AB329" i="14" s="1"/>
  <c r="B329" i="14"/>
  <c r="BB328" i="14"/>
  <c r="BA328" i="14"/>
  <c r="AZ328" i="14"/>
  <c r="T328" i="14" s="1"/>
  <c r="AB328" i="14" s="1"/>
  <c r="AY328" i="14"/>
  <c r="S328" i="14" s="1"/>
  <c r="AA328" i="14" s="1"/>
  <c r="AX328" i="14"/>
  <c r="R328" i="14" s="1"/>
  <c r="Z328" i="14" s="1"/>
  <c r="AW328" i="14"/>
  <c r="Q328" i="14" s="1"/>
  <c r="Y328" i="14" s="1"/>
  <c r="AV328" i="14"/>
  <c r="P328" i="14" s="1"/>
  <c r="X328" i="14" s="1"/>
  <c r="AU328" i="14"/>
  <c r="V328" i="14"/>
  <c r="AD328" i="14" s="1"/>
  <c r="U328" i="14"/>
  <c r="AC328" i="14" s="1"/>
  <c r="B328" i="14"/>
  <c r="BB327" i="14"/>
  <c r="BA327" i="14"/>
  <c r="U327" i="14" s="1"/>
  <c r="AC327" i="14" s="1"/>
  <c r="AZ327" i="14"/>
  <c r="T327" i="14" s="1"/>
  <c r="AB327" i="14" s="1"/>
  <c r="AY327" i="14"/>
  <c r="S327" i="14" s="1"/>
  <c r="AA327" i="14" s="1"/>
  <c r="AX327" i="14"/>
  <c r="R327" i="14" s="1"/>
  <c r="Z327" i="14" s="1"/>
  <c r="AW327" i="14"/>
  <c r="Q327" i="14" s="1"/>
  <c r="Y327" i="14" s="1"/>
  <c r="AV327" i="14"/>
  <c r="P327" i="14" s="1"/>
  <c r="X327" i="14" s="1"/>
  <c r="AU327" i="14"/>
  <c r="O327" i="14" s="1"/>
  <c r="V327" i="14"/>
  <c r="AD327" i="14" s="1"/>
  <c r="B327" i="14"/>
  <c r="BB326" i="14"/>
  <c r="BA326" i="14"/>
  <c r="AZ326" i="14"/>
  <c r="AY326" i="14"/>
  <c r="AX326" i="14"/>
  <c r="AW326" i="14"/>
  <c r="Q326" i="14" s="1"/>
  <c r="Y326" i="14" s="1"/>
  <c r="AV326" i="14"/>
  <c r="P326" i="14" s="1"/>
  <c r="X326" i="14" s="1"/>
  <c r="AU326" i="14"/>
  <c r="O326" i="14" s="1"/>
  <c r="V326" i="14"/>
  <c r="AD326" i="14" s="1"/>
  <c r="U326" i="14"/>
  <c r="AC326" i="14" s="1"/>
  <c r="T326" i="14"/>
  <c r="AB326" i="14" s="1"/>
  <c r="S326" i="14"/>
  <c r="AA326" i="14" s="1"/>
  <c r="R326" i="14"/>
  <c r="Z326" i="14" s="1"/>
  <c r="B326" i="14"/>
  <c r="BB325" i="14"/>
  <c r="BA325" i="14"/>
  <c r="AZ325" i="14"/>
  <c r="AY325" i="14"/>
  <c r="S325" i="14" s="1"/>
  <c r="AA325" i="14" s="1"/>
  <c r="AX325" i="14"/>
  <c r="R325" i="14" s="1"/>
  <c r="Z325" i="14" s="1"/>
  <c r="AW325" i="14"/>
  <c r="Q325" i="14" s="1"/>
  <c r="Y325" i="14" s="1"/>
  <c r="AV325" i="14"/>
  <c r="P325" i="14" s="1"/>
  <c r="X325" i="14" s="1"/>
  <c r="AU325" i="14"/>
  <c r="O325" i="14" s="1"/>
  <c r="V325" i="14"/>
  <c r="AD325" i="14" s="1"/>
  <c r="U325" i="14"/>
  <c r="AC325" i="14" s="1"/>
  <c r="T325" i="14"/>
  <c r="AB325" i="14" s="1"/>
  <c r="B325" i="14"/>
  <c r="BB324" i="14"/>
  <c r="BA324" i="14"/>
  <c r="AZ324" i="14"/>
  <c r="T324" i="14" s="1"/>
  <c r="AB324" i="14" s="1"/>
  <c r="AY324" i="14"/>
  <c r="S324" i="14" s="1"/>
  <c r="AA324" i="14" s="1"/>
  <c r="AX324" i="14"/>
  <c r="R324" i="14" s="1"/>
  <c r="Z324" i="14" s="1"/>
  <c r="AW324" i="14"/>
  <c r="Q324" i="14" s="1"/>
  <c r="Y324" i="14" s="1"/>
  <c r="AV324" i="14"/>
  <c r="P324" i="14" s="1"/>
  <c r="X324" i="14" s="1"/>
  <c r="AU324" i="14"/>
  <c r="O324" i="14" s="1"/>
  <c r="V324" i="14"/>
  <c r="AD324" i="14" s="1"/>
  <c r="U324" i="14"/>
  <c r="AC324" i="14" s="1"/>
  <c r="B324" i="14"/>
  <c r="BB323" i="14"/>
  <c r="BA323" i="14"/>
  <c r="AZ323" i="14"/>
  <c r="AY323" i="14"/>
  <c r="AX323" i="14"/>
  <c r="R323" i="14" s="1"/>
  <c r="Z323" i="14" s="1"/>
  <c r="AW323" i="14"/>
  <c r="Q323" i="14" s="1"/>
  <c r="Y323" i="14" s="1"/>
  <c r="AV323" i="14"/>
  <c r="P323" i="14" s="1"/>
  <c r="X323" i="14" s="1"/>
  <c r="AU323" i="14"/>
  <c r="O323" i="14" s="1"/>
  <c r="V323" i="14"/>
  <c r="AD323" i="14" s="1"/>
  <c r="U323" i="14"/>
  <c r="AC323" i="14" s="1"/>
  <c r="T323" i="14"/>
  <c r="AB323" i="14" s="1"/>
  <c r="S323" i="14"/>
  <c r="AA323" i="14" s="1"/>
  <c r="B323" i="14"/>
  <c r="BB322" i="14"/>
  <c r="BA322" i="14"/>
  <c r="AZ322" i="14"/>
  <c r="T322" i="14" s="1"/>
  <c r="AB322" i="14" s="1"/>
  <c r="AY322" i="14"/>
  <c r="S322" i="14" s="1"/>
  <c r="AA322" i="14" s="1"/>
  <c r="AX322" i="14"/>
  <c r="R322" i="14" s="1"/>
  <c r="Z322" i="14" s="1"/>
  <c r="AW322" i="14"/>
  <c r="Q322" i="14" s="1"/>
  <c r="Y322" i="14" s="1"/>
  <c r="AV322" i="14"/>
  <c r="P322" i="14" s="1"/>
  <c r="X322" i="14" s="1"/>
  <c r="AU322" i="14"/>
  <c r="O322" i="14" s="1"/>
  <c r="V322" i="14"/>
  <c r="AD322" i="14" s="1"/>
  <c r="U322" i="14"/>
  <c r="AC322" i="14" s="1"/>
  <c r="B322" i="14"/>
  <c r="BB321" i="14"/>
  <c r="BA321" i="14"/>
  <c r="AZ321" i="14"/>
  <c r="AY321" i="14"/>
  <c r="AX321" i="14"/>
  <c r="AW321" i="14"/>
  <c r="AV321" i="14"/>
  <c r="AU321" i="14"/>
  <c r="V321" i="14"/>
  <c r="AD321" i="14" s="1"/>
  <c r="U321" i="14"/>
  <c r="AC321" i="14" s="1"/>
  <c r="T321" i="14"/>
  <c r="AB321" i="14" s="1"/>
  <c r="S321" i="14"/>
  <c r="AA321" i="14" s="1"/>
  <c r="R321" i="14"/>
  <c r="Z321" i="14" s="1"/>
  <c r="Q321" i="14"/>
  <c r="Y321" i="14" s="1"/>
  <c r="P321" i="14"/>
  <c r="X321" i="14" s="1"/>
  <c r="O321" i="14"/>
  <c r="B321" i="14"/>
  <c r="BB320" i="14"/>
  <c r="BA320" i="14"/>
  <c r="AZ320" i="14"/>
  <c r="AY320" i="14"/>
  <c r="S320" i="14" s="1"/>
  <c r="AA320" i="14" s="1"/>
  <c r="AX320" i="14"/>
  <c r="R320" i="14" s="1"/>
  <c r="Z320" i="14" s="1"/>
  <c r="AW320" i="14"/>
  <c r="Q320" i="14" s="1"/>
  <c r="Y320" i="14" s="1"/>
  <c r="AV320" i="14"/>
  <c r="P320" i="14" s="1"/>
  <c r="X320" i="14" s="1"/>
  <c r="AU320" i="14"/>
  <c r="V320" i="14"/>
  <c r="AD320" i="14" s="1"/>
  <c r="U320" i="14"/>
  <c r="AC320" i="14" s="1"/>
  <c r="T320" i="14"/>
  <c r="AB320" i="14" s="1"/>
  <c r="B320" i="14"/>
  <c r="BB319" i="14"/>
  <c r="BA319" i="14"/>
  <c r="AZ319" i="14"/>
  <c r="AY319" i="14"/>
  <c r="S319" i="14" s="1"/>
  <c r="AA319" i="14" s="1"/>
  <c r="AX319" i="14"/>
  <c r="R319" i="14" s="1"/>
  <c r="Z319" i="14" s="1"/>
  <c r="AW319" i="14"/>
  <c r="Q319" i="14" s="1"/>
  <c r="Y319" i="14" s="1"/>
  <c r="AV319" i="14"/>
  <c r="P319" i="14" s="1"/>
  <c r="X319" i="14" s="1"/>
  <c r="AU319" i="14"/>
  <c r="O319" i="14" s="1"/>
  <c r="V319" i="14"/>
  <c r="AD319" i="14" s="1"/>
  <c r="U319" i="14"/>
  <c r="AC319" i="14" s="1"/>
  <c r="T319" i="14"/>
  <c r="AB319" i="14" s="1"/>
  <c r="B319" i="14"/>
  <c r="BB318" i="14"/>
  <c r="BA318" i="14"/>
  <c r="AZ318" i="14"/>
  <c r="AY318" i="14"/>
  <c r="AX318" i="14"/>
  <c r="R318" i="14" s="1"/>
  <c r="Z318" i="14" s="1"/>
  <c r="AW318" i="14"/>
  <c r="Q318" i="14" s="1"/>
  <c r="Y318" i="14" s="1"/>
  <c r="AV318" i="14"/>
  <c r="P318" i="14" s="1"/>
  <c r="X318" i="14" s="1"/>
  <c r="AU318" i="14"/>
  <c r="O318" i="14" s="1"/>
  <c r="V318" i="14"/>
  <c r="AD318" i="14" s="1"/>
  <c r="U318" i="14"/>
  <c r="AC318" i="14" s="1"/>
  <c r="T318" i="14"/>
  <c r="AB318" i="14" s="1"/>
  <c r="S318" i="14"/>
  <c r="AA318" i="14" s="1"/>
  <c r="B318" i="14"/>
  <c r="BB317" i="14"/>
  <c r="BA317" i="14"/>
  <c r="AZ317" i="14"/>
  <c r="AY317" i="14"/>
  <c r="S317" i="14" s="1"/>
  <c r="AA317" i="14" s="1"/>
  <c r="AX317" i="14"/>
  <c r="R317" i="14" s="1"/>
  <c r="Z317" i="14" s="1"/>
  <c r="AW317" i="14"/>
  <c r="Q317" i="14" s="1"/>
  <c r="Y317" i="14" s="1"/>
  <c r="AV317" i="14"/>
  <c r="P317" i="14" s="1"/>
  <c r="X317" i="14" s="1"/>
  <c r="AU317" i="14"/>
  <c r="O317" i="14" s="1"/>
  <c r="V317" i="14"/>
  <c r="AD317" i="14" s="1"/>
  <c r="U317" i="14"/>
  <c r="AC317" i="14" s="1"/>
  <c r="T317" i="14"/>
  <c r="AB317" i="14" s="1"/>
  <c r="B317" i="14"/>
  <c r="BB316" i="14"/>
  <c r="BA316" i="14"/>
  <c r="AZ316" i="14"/>
  <c r="AY316" i="14"/>
  <c r="S316" i="14" s="1"/>
  <c r="AA316" i="14" s="1"/>
  <c r="AX316" i="14"/>
  <c r="R316" i="14" s="1"/>
  <c r="Z316" i="14" s="1"/>
  <c r="AW316" i="14"/>
  <c r="Q316" i="14" s="1"/>
  <c r="Y316" i="14" s="1"/>
  <c r="AV316" i="14"/>
  <c r="P316" i="14" s="1"/>
  <c r="X316" i="14" s="1"/>
  <c r="AU316" i="14"/>
  <c r="O316" i="14" s="1"/>
  <c r="V316" i="14"/>
  <c r="AD316" i="14" s="1"/>
  <c r="U316" i="14"/>
  <c r="AC316" i="14" s="1"/>
  <c r="T316" i="14"/>
  <c r="AB316" i="14" s="1"/>
  <c r="B316" i="14"/>
  <c r="BB315" i="14"/>
  <c r="BA315" i="14"/>
  <c r="AZ315" i="14"/>
  <c r="T315" i="14" s="1"/>
  <c r="AB315" i="14" s="1"/>
  <c r="AY315" i="14"/>
  <c r="S315" i="14" s="1"/>
  <c r="AA315" i="14" s="1"/>
  <c r="AX315" i="14"/>
  <c r="R315" i="14" s="1"/>
  <c r="Z315" i="14" s="1"/>
  <c r="AW315" i="14"/>
  <c r="Q315" i="14" s="1"/>
  <c r="Y315" i="14" s="1"/>
  <c r="AV315" i="14"/>
  <c r="P315" i="14" s="1"/>
  <c r="X315" i="14" s="1"/>
  <c r="AU315" i="14"/>
  <c r="O315" i="14" s="1"/>
  <c r="V315" i="14"/>
  <c r="AD315" i="14" s="1"/>
  <c r="U315" i="14"/>
  <c r="AC315" i="14" s="1"/>
  <c r="B315" i="14"/>
  <c r="BB314" i="14"/>
  <c r="BA314" i="14"/>
  <c r="U314" i="14" s="1"/>
  <c r="AC314" i="14" s="1"/>
  <c r="AZ314" i="14"/>
  <c r="T314" i="14" s="1"/>
  <c r="AB314" i="14" s="1"/>
  <c r="AY314" i="14"/>
  <c r="S314" i="14" s="1"/>
  <c r="AA314" i="14" s="1"/>
  <c r="AX314" i="14"/>
  <c r="R314" i="14" s="1"/>
  <c r="Z314" i="14" s="1"/>
  <c r="AW314" i="14"/>
  <c r="Q314" i="14" s="1"/>
  <c r="Y314" i="14" s="1"/>
  <c r="AV314" i="14"/>
  <c r="P314" i="14" s="1"/>
  <c r="X314" i="14" s="1"/>
  <c r="AU314" i="14"/>
  <c r="O314" i="14" s="1"/>
  <c r="V314" i="14"/>
  <c r="AD314" i="14" s="1"/>
  <c r="B314" i="14"/>
  <c r="BB313" i="14"/>
  <c r="V313" i="14" s="1"/>
  <c r="AD313" i="14" s="1"/>
  <c r="BA313" i="14"/>
  <c r="U313" i="14" s="1"/>
  <c r="AC313" i="14" s="1"/>
  <c r="AZ313" i="14"/>
  <c r="T313" i="14" s="1"/>
  <c r="AB313" i="14" s="1"/>
  <c r="AY313" i="14"/>
  <c r="S313" i="14" s="1"/>
  <c r="AA313" i="14" s="1"/>
  <c r="AX313" i="14"/>
  <c r="R313" i="14" s="1"/>
  <c r="Z313" i="14" s="1"/>
  <c r="AW313" i="14"/>
  <c r="Q313" i="14" s="1"/>
  <c r="Y313" i="14" s="1"/>
  <c r="AV313" i="14"/>
  <c r="P313" i="14" s="1"/>
  <c r="X313" i="14" s="1"/>
  <c r="AU313" i="14"/>
  <c r="O313" i="14" s="1"/>
  <c r="B313" i="14"/>
  <c r="BB312" i="14"/>
  <c r="V312" i="14" s="1"/>
  <c r="AD312" i="14" s="1"/>
  <c r="BA312" i="14"/>
  <c r="U312" i="14" s="1"/>
  <c r="AC312" i="14" s="1"/>
  <c r="AZ312" i="14"/>
  <c r="T312" i="14" s="1"/>
  <c r="AB312" i="14" s="1"/>
  <c r="AY312" i="14"/>
  <c r="S312" i="14" s="1"/>
  <c r="AA312" i="14" s="1"/>
  <c r="AX312" i="14"/>
  <c r="R312" i="14" s="1"/>
  <c r="Z312" i="14" s="1"/>
  <c r="AW312" i="14"/>
  <c r="Q312" i="14" s="1"/>
  <c r="Y312" i="14" s="1"/>
  <c r="AV312" i="14"/>
  <c r="P312" i="14" s="1"/>
  <c r="X312" i="14" s="1"/>
  <c r="AU312" i="14"/>
  <c r="O312" i="14" s="1"/>
  <c r="B312" i="14"/>
  <c r="BB311" i="14"/>
  <c r="BA311" i="14"/>
  <c r="AZ311" i="14"/>
  <c r="AY311" i="14"/>
  <c r="S311" i="14" s="1"/>
  <c r="AA311" i="14" s="1"/>
  <c r="AX311" i="14"/>
  <c r="R311" i="14" s="1"/>
  <c r="Z311" i="14" s="1"/>
  <c r="AW311" i="14"/>
  <c r="Q311" i="14" s="1"/>
  <c r="Y311" i="14" s="1"/>
  <c r="AV311" i="14"/>
  <c r="P311" i="14" s="1"/>
  <c r="X311" i="14" s="1"/>
  <c r="AU311" i="14"/>
  <c r="O311" i="14" s="1"/>
  <c r="V311" i="14"/>
  <c r="AD311" i="14" s="1"/>
  <c r="U311" i="14"/>
  <c r="AC311" i="14" s="1"/>
  <c r="T311" i="14"/>
  <c r="AB311" i="14" s="1"/>
  <c r="B311" i="14"/>
  <c r="BB310" i="14"/>
  <c r="V310" i="14" s="1"/>
  <c r="AD310" i="14" s="1"/>
  <c r="BA310" i="14"/>
  <c r="U310" i="14" s="1"/>
  <c r="AC310" i="14" s="1"/>
  <c r="AZ310" i="14"/>
  <c r="T310" i="14" s="1"/>
  <c r="AB310" i="14" s="1"/>
  <c r="AY310" i="14"/>
  <c r="S310" i="14" s="1"/>
  <c r="AA310" i="14" s="1"/>
  <c r="AX310" i="14"/>
  <c r="R310" i="14" s="1"/>
  <c r="Z310" i="14" s="1"/>
  <c r="AW310" i="14"/>
  <c r="Q310" i="14" s="1"/>
  <c r="Y310" i="14" s="1"/>
  <c r="AV310" i="14"/>
  <c r="P310" i="14" s="1"/>
  <c r="X310" i="14" s="1"/>
  <c r="AU310" i="14"/>
  <c r="O310" i="14" s="1"/>
  <c r="B310" i="14"/>
  <c r="BB309" i="14"/>
  <c r="BA309" i="14"/>
  <c r="U309" i="14" s="1"/>
  <c r="AC309" i="14" s="1"/>
  <c r="AZ309" i="14"/>
  <c r="T309" i="14" s="1"/>
  <c r="AB309" i="14" s="1"/>
  <c r="AY309" i="14"/>
  <c r="S309" i="14" s="1"/>
  <c r="AA309" i="14" s="1"/>
  <c r="AX309" i="14"/>
  <c r="R309" i="14" s="1"/>
  <c r="Z309" i="14" s="1"/>
  <c r="AW309" i="14"/>
  <c r="Q309" i="14" s="1"/>
  <c r="Y309" i="14" s="1"/>
  <c r="AV309" i="14"/>
  <c r="P309" i="14" s="1"/>
  <c r="X309" i="14" s="1"/>
  <c r="AU309" i="14"/>
  <c r="O309" i="14" s="1"/>
  <c r="V309" i="14"/>
  <c r="AD309" i="14" s="1"/>
  <c r="B309" i="14"/>
  <c r="BB308" i="14"/>
  <c r="BA308" i="14"/>
  <c r="AZ308" i="14"/>
  <c r="AY308" i="14"/>
  <c r="S308" i="14" s="1"/>
  <c r="AA308" i="14" s="1"/>
  <c r="AX308" i="14"/>
  <c r="R308" i="14" s="1"/>
  <c r="Z308" i="14" s="1"/>
  <c r="AW308" i="14"/>
  <c r="Q308" i="14" s="1"/>
  <c r="Y308" i="14" s="1"/>
  <c r="AV308" i="14"/>
  <c r="P308" i="14" s="1"/>
  <c r="X308" i="14" s="1"/>
  <c r="AU308" i="14"/>
  <c r="O308" i="14" s="1"/>
  <c r="V308" i="14"/>
  <c r="AD308" i="14" s="1"/>
  <c r="U308" i="14"/>
  <c r="AC308" i="14" s="1"/>
  <c r="T308" i="14"/>
  <c r="AB308" i="14" s="1"/>
  <c r="B308" i="14"/>
  <c r="BB307" i="14"/>
  <c r="V307" i="14" s="1"/>
  <c r="AD307" i="14" s="1"/>
  <c r="BA307" i="14"/>
  <c r="U307" i="14" s="1"/>
  <c r="AC307" i="14" s="1"/>
  <c r="AZ307" i="14"/>
  <c r="T307" i="14" s="1"/>
  <c r="AB307" i="14" s="1"/>
  <c r="AY307" i="14"/>
  <c r="S307" i="14" s="1"/>
  <c r="AA307" i="14" s="1"/>
  <c r="AX307" i="14"/>
  <c r="R307" i="14" s="1"/>
  <c r="Z307" i="14" s="1"/>
  <c r="AW307" i="14"/>
  <c r="Q307" i="14" s="1"/>
  <c r="Y307" i="14" s="1"/>
  <c r="AV307" i="14"/>
  <c r="P307" i="14" s="1"/>
  <c r="X307" i="14" s="1"/>
  <c r="AU307" i="14"/>
  <c r="O307" i="14" s="1"/>
  <c r="B307" i="14"/>
  <c r="BB306" i="14"/>
  <c r="V306" i="14" s="1"/>
  <c r="AD306" i="14" s="1"/>
  <c r="BA306" i="14"/>
  <c r="U306" i="14" s="1"/>
  <c r="AC306" i="14" s="1"/>
  <c r="AZ306" i="14"/>
  <c r="T306" i="14" s="1"/>
  <c r="AB306" i="14" s="1"/>
  <c r="AY306" i="14"/>
  <c r="S306" i="14" s="1"/>
  <c r="AA306" i="14" s="1"/>
  <c r="AX306" i="14"/>
  <c r="R306" i="14" s="1"/>
  <c r="Z306" i="14" s="1"/>
  <c r="AW306" i="14"/>
  <c r="Q306" i="14" s="1"/>
  <c r="Y306" i="14" s="1"/>
  <c r="AV306" i="14"/>
  <c r="P306" i="14" s="1"/>
  <c r="X306" i="14" s="1"/>
  <c r="AU306" i="14"/>
  <c r="O306" i="14" s="1"/>
  <c r="B306" i="14"/>
  <c r="BB305" i="14"/>
  <c r="BA305" i="14"/>
  <c r="AZ305" i="14"/>
  <c r="AY305" i="14"/>
  <c r="S305" i="14" s="1"/>
  <c r="AA305" i="14" s="1"/>
  <c r="AX305" i="14"/>
  <c r="R305" i="14" s="1"/>
  <c r="Z305" i="14" s="1"/>
  <c r="AW305" i="14"/>
  <c r="Q305" i="14" s="1"/>
  <c r="Y305" i="14" s="1"/>
  <c r="AV305" i="14"/>
  <c r="P305" i="14" s="1"/>
  <c r="X305" i="14" s="1"/>
  <c r="AU305" i="14"/>
  <c r="O305" i="14" s="1"/>
  <c r="V305" i="14"/>
  <c r="AD305" i="14" s="1"/>
  <c r="U305" i="14"/>
  <c r="AC305" i="14" s="1"/>
  <c r="T305" i="14"/>
  <c r="AB305" i="14" s="1"/>
  <c r="B305" i="14"/>
  <c r="BB304" i="14"/>
  <c r="BA304" i="14"/>
  <c r="AZ304" i="14"/>
  <c r="AY304" i="14"/>
  <c r="AX304" i="14"/>
  <c r="AW304" i="14"/>
  <c r="Q304" i="14" s="1"/>
  <c r="Y304" i="14" s="1"/>
  <c r="AV304" i="14"/>
  <c r="P304" i="14" s="1"/>
  <c r="X304" i="14" s="1"/>
  <c r="AU304" i="14"/>
  <c r="V304" i="14"/>
  <c r="AD304" i="14" s="1"/>
  <c r="U304" i="14"/>
  <c r="AC304" i="14" s="1"/>
  <c r="T304" i="14"/>
  <c r="AB304" i="14" s="1"/>
  <c r="S304" i="14"/>
  <c r="AA304" i="14" s="1"/>
  <c r="R304" i="14"/>
  <c r="Z304" i="14" s="1"/>
  <c r="B304" i="14"/>
  <c r="BB303" i="14"/>
  <c r="BA303" i="14"/>
  <c r="AZ303" i="14"/>
  <c r="T303" i="14" s="1"/>
  <c r="AB303" i="14" s="1"/>
  <c r="AY303" i="14"/>
  <c r="S303" i="14" s="1"/>
  <c r="AA303" i="14" s="1"/>
  <c r="AX303" i="14"/>
  <c r="R303" i="14" s="1"/>
  <c r="Z303" i="14" s="1"/>
  <c r="AW303" i="14"/>
  <c r="Q303" i="14" s="1"/>
  <c r="Y303" i="14" s="1"/>
  <c r="AV303" i="14"/>
  <c r="P303" i="14" s="1"/>
  <c r="X303" i="14" s="1"/>
  <c r="AU303" i="14"/>
  <c r="O303" i="14" s="1"/>
  <c r="V303" i="14"/>
  <c r="AD303" i="14" s="1"/>
  <c r="U303" i="14"/>
  <c r="AC303" i="14" s="1"/>
  <c r="B303" i="14"/>
  <c r="BB302" i="14"/>
  <c r="BA302" i="14"/>
  <c r="U302" i="14" s="1"/>
  <c r="AC302" i="14" s="1"/>
  <c r="AZ302" i="14"/>
  <c r="T302" i="14" s="1"/>
  <c r="AB302" i="14" s="1"/>
  <c r="AY302" i="14"/>
  <c r="S302" i="14" s="1"/>
  <c r="AA302" i="14" s="1"/>
  <c r="AX302" i="14"/>
  <c r="R302" i="14" s="1"/>
  <c r="Z302" i="14" s="1"/>
  <c r="AW302" i="14"/>
  <c r="Q302" i="14" s="1"/>
  <c r="Y302" i="14" s="1"/>
  <c r="AV302" i="14"/>
  <c r="P302" i="14" s="1"/>
  <c r="X302" i="14" s="1"/>
  <c r="AU302" i="14"/>
  <c r="O302" i="14" s="1"/>
  <c r="V302" i="14"/>
  <c r="AD302" i="14" s="1"/>
  <c r="B302" i="14"/>
  <c r="BB301" i="14"/>
  <c r="V301" i="14" s="1"/>
  <c r="AD301" i="14" s="1"/>
  <c r="BA301" i="14"/>
  <c r="U301" i="14" s="1"/>
  <c r="AC301" i="14" s="1"/>
  <c r="AZ301" i="14"/>
  <c r="T301" i="14" s="1"/>
  <c r="AB301" i="14" s="1"/>
  <c r="AY301" i="14"/>
  <c r="S301" i="14" s="1"/>
  <c r="AA301" i="14" s="1"/>
  <c r="AX301" i="14"/>
  <c r="AW301" i="14"/>
  <c r="Q301" i="14" s="1"/>
  <c r="Y301" i="14" s="1"/>
  <c r="AV301" i="14"/>
  <c r="P301" i="14" s="1"/>
  <c r="X301" i="14" s="1"/>
  <c r="AU301" i="14"/>
  <c r="O301" i="14" s="1"/>
  <c r="R301" i="14"/>
  <c r="Z301" i="14" s="1"/>
  <c r="B301" i="14"/>
  <c r="BB300" i="14"/>
  <c r="V300" i="14" s="1"/>
  <c r="AD300" i="14" s="1"/>
  <c r="BA300" i="14"/>
  <c r="U300" i="14" s="1"/>
  <c r="AC300" i="14" s="1"/>
  <c r="AZ300" i="14"/>
  <c r="T300" i="14" s="1"/>
  <c r="AB300" i="14" s="1"/>
  <c r="AY300" i="14"/>
  <c r="S300" i="14" s="1"/>
  <c r="AA300" i="14" s="1"/>
  <c r="AX300" i="14"/>
  <c r="R300" i="14" s="1"/>
  <c r="Z300" i="14" s="1"/>
  <c r="AW300" i="14"/>
  <c r="Q300" i="14" s="1"/>
  <c r="Y300" i="14" s="1"/>
  <c r="AV300" i="14"/>
  <c r="P300" i="14" s="1"/>
  <c r="X300" i="14" s="1"/>
  <c r="AU300" i="14"/>
  <c r="O300" i="14" s="1"/>
  <c r="B300" i="14"/>
  <c r="BB299" i="14"/>
  <c r="BA299" i="14"/>
  <c r="AZ299" i="14"/>
  <c r="AY299" i="14"/>
  <c r="AX299" i="14"/>
  <c r="AW299" i="14"/>
  <c r="Q299" i="14" s="1"/>
  <c r="Y299" i="14" s="1"/>
  <c r="AV299" i="14"/>
  <c r="P299" i="14" s="1"/>
  <c r="X299" i="14" s="1"/>
  <c r="AU299" i="14"/>
  <c r="O299" i="14" s="1"/>
  <c r="V299" i="14"/>
  <c r="AD299" i="14" s="1"/>
  <c r="U299" i="14"/>
  <c r="AC299" i="14" s="1"/>
  <c r="T299" i="14"/>
  <c r="AB299" i="14" s="1"/>
  <c r="S299" i="14"/>
  <c r="AA299" i="14" s="1"/>
  <c r="R299" i="14"/>
  <c r="Z299" i="14" s="1"/>
  <c r="B299" i="14"/>
  <c r="BB298" i="14"/>
  <c r="BA298" i="14"/>
  <c r="AZ298" i="14"/>
  <c r="AY298" i="14"/>
  <c r="AX298" i="14"/>
  <c r="R298" i="14" s="1"/>
  <c r="Z298" i="14" s="1"/>
  <c r="AW298" i="14"/>
  <c r="Q298" i="14" s="1"/>
  <c r="Y298" i="14" s="1"/>
  <c r="AV298" i="14"/>
  <c r="P298" i="14" s="1"/>
  <c r="X298" i="14" s="1"/>
  <c r="AU298" i="14"/>
  <c r="O298" i="14" s="1"/>
  <c r="V298" i="14"/>
  <c r="AD298" i="14" s="1"/>
  <c r="U298" i="14"/>
  <c r="AC298" i="14" s="1"/>
  <c r="T298" i="14"/>
  <c r="AB298" i="14" s="1"/>
  <c r="S298" i="14"/>
  <c r="AA298" i="14" s="1"/>
  <c r="B298" i="14"/>
  <c r="BB297" i="14"/>
  <c r="BA297" i="14"/>
  <c r="AZ297" i="14"/>
  <c r="AY297" i="14"/>
  <c r="S297" i="14" s="1"/>
  <c r="AA297" i="14" s="1"/>
  <c r="AX297" i="14"/>
  <c r="R297" i="14" s="1"/>
  <c r="Z297" i="14" s="1"/>
  <c r="AW297" i="14"/>
  <c r="Q297" i="14" s="1"/>
  <c r="Y297" i="14" s="1"/>
  <c r="AV297" i="14"/>
  <c r="P297" i="14" s="1"/>
  <c r="X297" i="14" s="1"/>
  <c r="AU297" i="14"/>
  <c r="O297" i="14" s="1"/>
  <c r="V297" i="14"/>
  <c r="AD297" i="14" s="1"/>
  <c r="U297" i="14"/>
  <c r="AC297" i="14" s="1"/>
  <c r="T297" i="14"/>
  <c r="AB297" i="14" s="1"/>
  <c r="B297" i="14"/>
  <c r="BB296" i="14"/>
  <c r="BA296" i="14"/>
  <c r="AZ296" i="14"/>
  <c r="T296" i="14" s="1"/>
  <c r="AB296" i="14" s="1"/>
  <c r="AY296" i="14"/>
  <c r="S296" i="14" s="1"/>
  <c r="AA296" i="14" s="1"/>
  <c r="AX296" i="14"/>
  <c r="R296" i="14" s="1"/>
  <c r="Z296" i="14" s="1"/>
  <c r="AW296" i="14"/>
  <c r="Q296" i="14" s="1"/>
  <c r="Y296" i="14" s="1"/>
  <c r="AV296" i="14"/>
  <c r="P296" i="14" s="1"/>
  <c r="X296" i="14" s="1"/>
  <c r="AU296" i="14"/>
  <c r="V296" i="14"/>
  <c r="AD296" i="14" s="1"/>
  <c r="U296" i="14"/>
  <c r="AC296" i="14" s="1"/>
  <c r="B296" i="14"/>
  <c r="BB295" i="14"/>
  <c r="BA295" i="14"/>
  <c r="U295" i="14" s="1"/>
  <c r="AC295" i="14" s="1"/>
  <c r="AZ295" i="14"/>
  <c r="T295" i="14" s="1"/>
  <c r="AB295" i="14" s="1"/>
  <c r="AY295" i="14"/>
  <c r="S295" i="14" s="1"/>
  <c r="AA295" i="14" s="1"/>
  <c r="AX295" i="14"/>
  <c r="R295" i="14" s="1"/>
  <c r="Z295" i="14" s="1"/>
  <c r="AW295" i="14"/>
  <c r="Q295" i="14" s="1"/>
  <c r="Y295" i="14" s="1"/>
  <c r="AV295" i="14"/>
  <c r="P295" i="14" s="1"/>
  <c r="X295" i="14" s="1"/>
  <c r="AU295" i="14"/>
  <c r="O295" i="14" s="1"/>
  <c r="V295" i="14"/>
  <c r="AD295" i="14" s="1"/>
  <c r="B295" i="14"/>
  <c r="BB294" i="14"/>
  <c r="BA294" i="14"/>
  <c r="AZ294" i="14"/>
  <c r="AY294" i="14"/>
  <c r="S294" i="14" s="1"/>
  <c r="AA294" i="14" s="1"/>
  <c r="AX294" i="14"/>
  <c r="R294" i="14" s="1"/>
  <c r="Z294" i="14" s="1"/>
  <c r="AW294" i="14"/>
  <c r="Q294" i="14" s="1"/>
  <c r="Y294" i="14" s="1"/>
  <c r="AV294" i="14"/>
  <c r="P294" i="14" s="1"/>
  <c r="X294" i="14" s="1"/>
  <c r="AU294" i="14"/>
  <c r="O294" i="14" s="1"/>
  <c r="V294" i="14"/>
  <c r="AD294" i="14" s="1"/>
  <c r="U294" i="14"/>
  <c r="AC294" i="14" s="1"/>
  <c r="T294" i="14"/>
  <c r="AB294" i="14" s="1"/>
  <c r="B294" i="14"/>
  <c r="BB293" i="14"/>
  <c r="BA293" i="14"/>
  <c r="AZ293" i="14"/>
  <c r="AY293" i="14"/>
  <c r="AX293" i="14"/>
  <c r="R293" i="14" s="1"/>
  <c r="Z293" i="14" s="1"/>
  <c r="AW293" i="14"/>
  <c r="Q293" i="14" s="1"/>
  <c r="Y293" i="14" s="1"/>
  <c r="AV293" i="14"/>
  <c r="P293" i="14" s="1"/>
  <c r="X293" i="14" s="1"/>
  <c r="AU293" i="14"/>
  <c r="O293" i="14" s="1"/>
  <c r="V293" i="14"/>
  <c r="AD293" i="14" s="1"/>
  <c r="U293" i="14"/>
  <c r="AC293" i="14" s="1"/>
  <c r="T293" i="14"/>
  <c r="AB293" i="14" s="1"/>
  <c r="S293" i="14"/>
  <c r="AA293" i="14" s="1"/>
  <c r="B293" i="14"/>
  <c r="BB292" i="14"/>
  <c r="BA292" i="14"/>
  <c r="AZ292" i="14"/>
  <c r="AY292" i="14"/>
  <c r="S292" i="14" s="1"/>
  <c r="AA292" i="14" s="1"/>
  <c r="AX292" i="14"/>
  <c r="R292" i="14" s="1"/>
  <c r="Z292" i="14" s="1"/>
  <c r="AW292" i="14"/>
  <c r="Q292" i="14" s="1"/>
  <c r="Y292" i="14" s="1"/>
  <c r="AV292" i="14"/>
  <c r="P292" i="14" s="1"/>
  <c r="X292" i="14" s="1"/>
  <c r="AU292" i="14"/>
  <c r="O292" i="14" s="1"/>
  <c r="V292" i="14"/>
  <c r="AD292" i="14" s="1"/>
  <c r="U292" i="14"/>
  <c r="AC292" i="14" s="1"/>
  <c r="T292" i="14"/>
  <c r="AB292" i="14" s="1"/>
  <c r="B292" i="14"/>
  <c r="BB291" i="14"/>
  <c r="BA291" i="14"/>
  <c r="AZ291" i="14"/>
  <c r="T291" i="14" s="1"/>
  <c r="AB291" i="14" s="1"/>
  <c r="AY291" i="14"/>
  <c r="S291" i="14" s="1"/>
  <c r="AA291" i="14" s="1"/>
  <c r="AX291" i="14"/>
  <c r="R291" i="14" s="1"/>
  <c r="Z291" i="14" s="1"/>
  <c r="AW291" i="14"/>
  <c r="Q291" i="14" s="1"/>
  <c r="Y291" i="14" s="1"/>
  <c r="AV291" i="14"/>
  <c r="P291" i="14" s="1"/>
  <c r="X291" i="14" s="1"/>
  <c r="AU291" i="14"/>
  <c r="O291" i="14" s="1"/>
  <c r="V291" i="14"/>
  <c r="AD291" i="14" s="1"/>
  <c r="U291" i="14"/>
  <c r="AC291" i="14" s="1"/>
  <c r="B291" i="14"/>
  <c r="BB290" i="14"/>
  <c r="V290" i="14" s="1"/>
  <c r="AD290" i="14" s="1"/>
  <c r="BA290" i="14"/>
  <c r="U290" i="14" s="1"/>
  <c r="AC290" i="14" s="1"/>
  <c r="AZ290" i="14"/>
  <c r="T290" i="14" s="1"/>
  <c r="AB290" i="14" s="1"/>
  <c r="AY290" i="14"/>
  <c r="S290" i="14" s="1"/>
  <c r="AA290" i="14" s="1"/>
  <c r="AX290" i="14"/>
  <c r="R290" i="14" s="1"/>
  <c r="Z290" i="14" s="1"/>
  <c r="AW290" i="14"/>
  <c r="Q290" i="14" s="1"/>
  <c r="Y290" i="14" s="1"/>
  <c r="AV290" i="14"/>
  <c r="P290" i="14" s="1"/>
  <c r="X290" i="14" s="1"/>
  <c r="AU290" i="14"/>
  <c r="O290" i="14" s="1"/>
  <c r="B290" i="14"/>
  <c r="BB289" i="14"/>
  <c r="V289" i="14" s="1"/>
  <c r="AD289" i="14" s="1"/>
  <c r="BA289" i="14"/>
  <c r="U289" i="14" s="1"/>
  <c r="AC289" i="14" s="1"/>
  <c r="AZ289" i="14"/>
  <c r="T289" i="14" s="1"/>
  <c r="AB289" i="14" s="1"/>
  <c r="AY289" i="14"/>
  <c r="S289" i="14" s="1"/>
  <c r="AA289" i="14" s="1"/>
  <c r="AX289" i="14"/>
  <c r="AW289" i="14"/>
  <c r="Q289" i="14" s="1"/>
  <c r="Y289" i="14" s="1"/>
  <c r="AV289" i="14"/>
  <c r="P289" i="14" s="1"/>
  <c r="X289" i="14" s="1"/>
  <c r="AU289" i="14"/>
  <c r="O289" i="14" s="1"/>
  <c r="R289" i="14"/>
  <c r="Z289" i="14" s="1"/>
  <c r="B289" i="14"/>
  <c r="BB288" i="14"/>
  <c r="BA288" i="14"/>
  <c r="AZ288" i="14"/>
  <c r="AY288" i="14"/>
  <c r="AX288" i="14"/>
  <c r="AW288" i="14"/>
  <c r="AV288" i="14"/>
  <c r="P288" i="14" s="1"/>
  <c r="X288" i="14" s="1"/>
  <c r="AU288" i="14"/>
  <c r="O288" i="14" s="1"/>
  <c r="V288" i="14"/>
  <c r="AD288" i="14" s="1"/>
  <c r="U288" i="14"/>
  <c r="AC288" i="14" s="1"/>
  <c r="T288" i="14"/>
  <c r="AB288" i="14" s="1"/>
  <c r="S288" i="14"/>
  <c r="AA288" i="14" s="1"/>
  <c r="R288" i="14"/>
  <c r="Z288" i="14" s="1"/>
  <c r="Q288" i="14"/>
  <c r="Y288" i="14" s="1"/>
  <c r="B288" i="14"/>
  <c r="BB287" i="14"/>
  <c r="BA287" i="14"/>
  <c r="U287" i="14" s="1"/>
  <c r="AC287" i="14" s="1"/>
  <c r="AZ287" i="14"/>
  <c r="T287" i="14" s="1"/>
  <c r="AB287" i="14" s="1"/>
  <c r="AY287" i="14"/>
  <c r="S287" i="14" s="1"/>
  <c r="AA287" i="14" s="1"/>
  <c r="AX287" i="14"/>
  <c r="R287" i="14" s="1"/>
  <c r="Z287" i="14" s="1"/>
  <c r="AW287" i="14"/>
  <c r="Q287" i="14" s="1"/>
  <c r="Y287" i="14" s="1"/>
  <c r="AV287" i="14"/>
  <c r="P287" i="14" s="1"/>
  <c r="X287" i="14" s="1"/>
  <c r="AU287" i="14"/>
  <c r="O287" i="14" s="1"/>
  <c r="V287" i="14"/>
  <c r="AD287" i="14" s="1"/>
  <c r="B287" i="14"/>
  <c r="BB286" i="14"/>
  <c r="BA286" i="14"/>
  <c r="AZ286" i="14"/>
  <c r="AY286" i="14"/>
  <c r="AX286" i="14"/>
  <c r="AW286" i="14"/>
  <c r="AV286" i="14"/>
  <c r="AU286" i="14"/>
  <c r="O286" i="14" s="1"/>
  <c r="V286" i="14"/>
  <c r="AD286" i="14" s="1"/>
  <c r="U286" i="14"/>
  <c r="AC286" i="14" s="1"/>
  <c r="T286" i="14"/>
  <c r="AB286" i="14" s="1"/>
  <c r="S286" i="14"/>
  <c r="AA286" i="14" s="1"/>
  <c r="R286" i="14"/>
  <c r="Z286" i="14" s="1"/>
  <c r="Q286" i="14"/>
  <c r="Y286" i="14" s="1"/>
  <c r="P286" i="14"/>
  <c r="X286" i="14" s="1"/>
  <c r="B286" i="14"/>
  <c r="BB285" i="14"/>
  <c r="BA285" i="14"/>
  <c r="AZ285" i="14"/>
  <c r="T285" i="14" s="1"/>
  <c r="AB285" i="14" s="1"/>
  <c r="AY285" i="14"/>
  <c r="S285" i="14" s="1"/>
  <c r="AA285" i="14" s="1"/>
  <c r="AX285" i="14"/>
  <c r="R285" i="14" s="1"/>
  <c r="Z285" i="14" s="1"/>
  <c r="AW285" i="14"/>
  <c r="Q285" i="14" s="1"/>
  <c r="Y285" i="14" s="1"/>
  <c r="AV285" i="14"/>
  <c r="AU285" i="14"/>
  <c r="O285" i="14" s="1"/>
  <c r="V285" i="14"/>
  <c r="AD285" i="14" s="1"/>
  <c r="U285" i="14"/>
  <c r="AC285" i="14" s="1"/>
  <c r="P285" i="14"/>
  <c r="X285" i="14" s="1"/>
  <c r="B285" i="14"/>
  <c r="BB284" i="14"/>
  <c r="BA284" i="14"/>
  <c r="AZ284" i="14"/>
  <c r="AY284" i="14"/>
  <c r="AX284" i="14"/>
  <c r="AW284" i="14"/>
  <c r="AV284" i="14"/>
  <c r="P284" i="14" s="1"/>
  <c r="X284" i="14" s="1"/>
  <c r="AU284" i="14"/>
  <c r="O284" i="14" s="1"/>
  <c r="V284" i="14"/>
  <c r="AD284" i="14" s="1"/>
  <c r="U284" i="14"/>
  <c r="AC284" i="14" s="1"/>
  <c r="T284" i="14"/>
  <c r="AB284" i="14" s="1"/>
  <c r="S284" i="14"/>
  <c r="AA284" i="14" s="1"/>
  <c r="R284" i="14"/>
  <c r="Z284" i="14" s="1"/>
  <c r="Q284" i="14"/>
  <c r="Y284" i="14" s="1"/>
  <c r="B284" i="14"/>
  <c r="BB283" i="14"/>
  <c r="BA283" i="14"/>
  <c r="AZ283" i="14"/>
  <c r="T283" i="14" s="1"/>
  <c r="AB283" i="14" s="1"/>
  <c r="AY283" i="14"/>
  <c r="S283" i="14" s="1"/>
  <c r="AA283" i="14" s="1"/>
  <c r="AX283" i="14"/>
  <c r="R283" i="14" s="1"/>
  <c r="Z283" i="14" s="1"/>
  <c r="AW283" i="14"/>
  <c r="Q283" i="14" s="1"/>
  <c r="Y283" i="14" s="1"/>
  <c r="AV283" i="14"/>
  <c r="P283" i="14" s="1"/>
  <c r="X283" i="14" s="1"/>
  <c r="AU283" i="14"/>
  <c r="O283" i="14" s="1"/>
  <c r="V283" i="14"/>
  <c r="AD283" i="14" s="1"/>
  <c r="U283" i="14"/>
  <c r="AC283" i="14" s="1"/>
  <c r="B283" i="14"/>
  <c r="BB282" i="14"/>
  <c r="BA282" i="14"/>
  <c r="U282" i="14" s="1"/>
  <c r="AC282" i="14" s="1"/>
  <c r="AZ282" i="14"/>
  <c r="T282" i="14" s="1"/>
  <c r="AB282" i="14" s="1"/>
  <c r="AY282" i="14"/>
  <c r="S282" i="14" s="1"/>
  <c r="AA282" i="14" s="1"/>
  <c r="AX282" i="14"/>
  <c r="R282" i="14" s="1"/>
  <c r="Z282" i="14" s="1"/>
  <c r="AW282" i="14"/>
  <c r="Q282" i="14" s="1"/>
  <c r="Y282" i="14" s="1"/>
  <c r="AV282" i="14"/>
  <c r="P282" i="14" s="1"/>
  <c r="X282" i="14" s="1"/>
  <c r="AU282" i="14"/>
  <c r="O282" i="14" s="1"/>
  <c r="V282" i="14"/>
  <c r="AD282" i="14" s="1"/>
  <c r="B282" i="14"/>
  <c r="BB281" i="14"/>
  <c r="BA281" i="14"/>
  <c r="AZ281" i="14"/>
  <c r="T281" i="14" s="1"/>
  <c r="AB281" i="14" s="1"/>
  <c r="AY281" i="14"/>
  <c r="S281" i="14" s="1"/>
  <c r="AA281" i="14" s="1"/>
  <c r="AX281" i="14"/>
  <c r="R281" i="14" s="1"/>
  <c r="Z281" i="14" s="1"/>
  <c r="AW281" i="14"/>
  <c r="Q281" i="14" s="1"/>
  <c r="Y281" i="14" s="1"/>
  <c r="AV281" i="14"/>
  <c r="P281" i="14" s="1"/>
  <c r="X281" i="14" s="1"/>
  <c r="AU281" i="14"/>
  <c r="O281" i="14" s="1"/>
  <c r="V281" i="14"/>
  <c r="AD281" i="14" s="1"/>
  <c r="U281" i="14"/>
  <c r="AC281" i="14" s="1"/>
  <c r="B281" i="14"/>
  <c r="BB280" i="14"/>
  <c r="BA280" i="14"/>
  <c r="U280" i="14" s="1"/>
  <c r="AC280" i="14" s="1"/>
  <c r="AZ280" i="14"/>
  <c r="T280" i="14" s="1"/>
  <c r="AB280" i="14" s="1"/>
  <c r="AY280" i="14"/>
  <c r="S280" i="14" s="1"/>
  <c r="AA280" i="14" s="1"/>
  <c r="AX280" i="14"/>
  <c r="R280" i="14" s="1"/>
  <c r="Z280" i="14" s="1"/>
  <c r="AW280" i="14"/>
  <c r="Q280" i="14" s="1"/>
  <c r="Y280" i="14" s="1"/>
  <c r="AV280" i="14"/>
  <c r="P280" i="14" s="1"/>
  <c r="X280" i="14" s="1"/>
  <c r="AU280" i="14"/>
  <c r="O280" i="14" s="1"/>
  <c r="V280" i="14"/>
  <c r="AD280" i="14" s="1"/>
  <c r="B280" i="14"/>
  <c r="BB279" i="14"/>
  <c r="BA279" i="14"/>
  <c r="U279" i="14" s="1"/>
  <c r="AC279" i="14" s="1"/>
  <c r="AZ279" i="14"/>
  <c r="T279" i="14" s="1"/>
  <c r="AB279" i="14" s="1"/>
  <c r="AY279" i="14"/>
  <c r="S279" i="14" s="1"/>
  <c r="AA279" i="14" s="1"/>
  <c r="AX279" i="14"/>
  <c r="R279" i="14" s="1"/>
  <c r="Z279" i="14" s="1"/>
  <c r="AW279" i="14"/>
  <c r="Q279" i="14" s="1"/>
  <c r="Y279" i="14" s="1"/>
  <c r="AV279" i="14"/>
  <c r="P279" i="14" s="1"/>
  <c r="X279" i="14" s="1"/>
  <c r="AU279" i="14"/>
  <c r="O279" i="14" s="1"/>
  <c r="V279" i="14"/>
  <c r="AD279" i="14" s="1"/>
  <c r="B279" i="14"/>
  <c r="BB278" i="14"/>
  <c r="V278" i="14" s="1"/>
  <c r="AD278" i="14" s="1"/>
  <c r="BA278" i="14"/>
  <c r="U278" i="14" s="1"/>
  <c r="AC278" i="14" s="1"/>
  <c r="AZ278" i="14"/>
  <c r="T278" i="14" s="1"/>
  <c r="AB278" i="14" s="1"/>
  <c r="AY278" i="14"/>
  <c r="S278" i="14" s="1"/>
  <c r="AA278" i="14" s="1"/>
  <c r="AX278" i="14"/>
  <c r="R278" i="14" s="1"/>
  <c r="Z278" i="14" s="1"/>
  <c r="AW278" i="14"/>
  <c r="Q278" i="14" s="1"/>
  <c r="Y278" i="14" s="1"/>
  <c r="AV278" i="14"/>
  <c r="P278" i="14" s="1"/>
  <c r="X278" i="14" s="1"/>
  <c r="AU278" i="14"/>
  <c r="O278" i="14" s="1"/>
  <c r="B278" i="14"/>
  <c r="BB277" i="14"/>
  <c r="BA277" i="14"/>
  <c r="AZ277" i="14"/>
  <c r="AY277" i="14"/>
  <c r="AX277" i="14"/>
  <c r="R277" i="14" s="1"/>
  <c r="Z277" i="14" s="1"/>
  <c r="AW277" i="14"/>
  <c r="Q277" i="14" s="1"/>
  <c r="Y277" i="14" s="1"/>
  <c r="AV277" i="14"/>
  <c r="P277" i="14" s="1"/>
  <c r="X277" i="14" s="1"/>
  <c r="AU277" i="14"/>
  <c r="O277" i="14" s="1"/>
  <c r="V277" i="14"/>
  <c r="AD277" i="14" s="1"/>
  <c r="U277" i="14"/>
  <c r="AC277" i="14" s="1"/>
  <c r="T277" i="14"/>
  <c r="AB277" i="14" s="1"/>
  <c r="S277" i="14"/>
  <c r="AA277" i="14" s="1"/>
  <c r="B277" i="14"/>
  <c r="BB276" i="14"/>
  <c r="BA276" i="14"/>
  <c r="AZ276" i="14"/>
  <c r="AY276" i="14"/>
  <c r="S276" i="14" s="1"/>
  <c r="AA276" i="14" s="1"/>
  <c r="AX276" i="14"/>
  <c r="R276" i="14" s="1"/>
  <c r="Z276" i="14" s="1"/>
  <c r="AW276" i="14"/>
  <c r="Q276" i="14" s="1"/>
  <c r="Y276" i="14" s="1"/>
  <c r="AV276" i="14"/>
  <c r="P276" i="14" s="1"/>
  <c r="X276" i="14" s="1"/>
  <c r="AU276" i="14"/>
  <c r="O276" i="14" s="1"/>
  <c r="V276" i="14"/>
  <c r="AD276" i="14" s="1"/>
  <c r="U276" i="14"/>
  <c r="AC276" i="14" s="1"/>
  <c r="T276" i="14"/>
  <c r="AB276" i="14" s="1"/>
  <c r="B276" i="14"/>
  <c r="BB275" i="14"/>
  <c r="BA275" i="14"/>
  <c r="U275" i="14" s="1"/>
  <c r="AC275" i="14" s="1"/>
  <c r="AZ275" i="14"/>
  <c r="T275" i="14" s="1"/>
  <c r="AB275" i="14" s="1"/>
  <c r="AY275" i="14"/>
  <c r="S275" i="14" s="1"/>
  <c r="AA275" i="14" s="1"/>
  <c r="AX275" i="14"/>
  <c r="R275" i="14" s="1"/>
  <c r="Z275" i="14" s="1"/>
  <c r="AW275" i="14"/>
  <c r="Q275" i="14" s="1"/>
  <c r="Y275" i="14" s="1"/>
  <c r="AV275" i="14"/>
  <c r="P275" i="14" s="1"/>
  <c r="X275" i="14" s="1"/>
  <c r="AU275" i="14"/>
  <c r="O275" i="14" s="1"/>
  <c r="V275" i="14"/>
  <c r="AD275" i="14" s="1"/>
  <c r="B275" i="14"/>
  <c r="BB274" i="14"/>
  <c r="BA274" i="14"/>
  <c r="U274" i="14" s="1"/>
  <c r="AC274" i="14" s="1"/>
  <c r="AZ274" i="14"/>
  <c r="T274" i="14" s="1"/>
  <c r="AB274" i="14" s="1"/>
  <c r="AY274" i="14"/>
  <c r="S274" i="14" s="1"/>
  <c r="AA274" i="14" s="1"/>
  <c r="AX274" i="14"/>
  <c r="R274" i="14" s="1"/>
  <c r="Z274" i="14" s="1"/>
  <c r="AW274" i="14"/>
  <c r="Q274" i="14" s="1"/>
  <c r="Y274" i="14" s="1"/>
  <c r="AV274" i="14"/>
  <c r="P274" i="14" s="1"/>
  <c r="X274" i="14" s="1"/>
  <c r="AU274" i="14"/>
  <c r="O274" i="14" s="1"/>
  <c r="V274" i="14"/>
  <c r="AD274" i="14" s="1"/>
  <c r="B274" i="14"/>
  <c r="BB273" i="14"/>
  <c r="V273" i="14" s="1"/>
  <c r="AD273" i="14" s="1"/>
  <c r="BA273" i="14"/>
  <c r="U273" i="14" s="1"/>
  <c r="AC273" i="14" s="1"/>
  <c r="AZ273" i="14"/>
  <c r="T273" i="14" s="1"/>
  <c r="AB273" i="14" s="1"/>
  <c r="AY273" i="14"/>
  <c r="S273" i="14" s="1"/>
  <c r="AA273" i="14" s="1"/>
  <c r="AX273" i="14"/>
  <c r="R273" i="14" s="1"/>
  <c r="Z273" i="14" s="1"/>
  <c r="AW273" i="14"/>
  <c r="Q273" i="14" s="1"/>
  <c r="Y273" i="14" s="1"/>
  <c r="AV273" i="14"/>
  <c r="P273" i="14" s="1"/>
  <c r="X273" i="14" s="1"/>
  <c r="AU273" i="14"/>
  <c r="O273" i="14" s="1"/>
  <c r="B273" i="14"/>
  <c r="BB272" i="14"/>
  <c r="BA272" i="14"/>
  <c r="AZ272" i="14"/>
  <c r="AY272" i="14"/>
  <c r="S272" i="14" s="1"/>
  <c r="AA272" i="14" s="1"/>
  <c r="AX272" i="14"/>
  <c r="R272" i="14" s="1"/>
  <c r="Z272" i="14" s="1"/>
  <c r="AW272" i="14"/>
  <c r="Q272" i="14" s="1"/>
  <c r="Y272" i="14" s="1"/>
  <c r="AV272" i="14"/>
  <c r="P272" i="14" s="1"/>
  <c r="X272" i="14" s="1"/>
  <c r="AU272" i="14"/>
  <c r="O272" i="14" s="1"/>
  <c r="V272" i="14"/>
  <c r="AD272" i="14" s="1"/>
  <c r="U272" i="14"/>
  <c r="AC272" i="14" s="1"/>
  <c r="T272" i="14"/>
  <c r="AB272" i="14" s="1"/>
  <c r="B272" i="14"/>
  <c r="BB271" i="14"/>
  <c r="BA271" i="14"/>
  <c r="AZ271" i="14"/>
  <c r="AY271" i="14"/>
  <c r="AX271" i="14"/>
  <c r="AW271" i="14"/>
  <c r="Q271" i="14" s="1"/>
  <c r="Y271" i="14" s="1"/>
  <c r="AV271" i="14"/>
  <c r="P271" i="14" s="1"/>
  <c r="X271" i="14" s="1"/>
  <c r="AU271" i="14"/>
  <c r="O271" i="14" s="1"/>
  <c r="V271" i="14"/>
  <c r="AD271" i="14" s="1"/>
  <c r="U271" i="14"/>
  <c r="AC271" i="14" s="1"/>
  <c r="T271" i="14"/>
  <c r="AB271" i="14" s="1"/>
  <c r="S271" i="14"/>
  <c r="AA271" i="14" s="1"/>
  <c r="R271" i="14"/>
  <c r="Z271" i="14" s="1"/>
  <c r="B271" i="14"/>
  <c r="BB270" i="14"/>
  <c r="V270" i="14" s="1"/>
  <c r="AD270" i="14" s="1"/>
  <c r="BA270" i="14"/>
  <c r="U270" i="14" s="1"/>
  <c r="AC270" i="14" s="1"/>
  <c r="AZ270" i="14"/>
  <c r="T270" i="14" s="1"/>
  <c r="AB270" i="14" s="1"/>
  <c r="AY270" i="14"/>
  <c r="S270" i="14" s="1"/>
  <c r="AA270" i="14" s="1"/>
  <c r="AX270" i="14"/>
  <c r="R270" i="14" s="1"/>
  <c r="Z270" i="14" s="1"/>
  <c r="AW270" i="14"/>
  <c r="Q270" i="14" s="1"/>
  <c r="Y270" i="14" s="1"/>
  <c r="AV270" i="14"/>
  <c r="P270" i="14" s="1"/>
  <c r="X270" i="14" s="1"/>
  <c r="AU270" i="14"/>
  <c r="O270" i="14" s="1"/>
  <c r="B270" i="14"/>
  <c r="BB269" i="14"/>
  <c r="V269" i="14" s="1"/>
  <c r="AD269" i="14" s="1"/>
  <c r="BA269" i="14"/>
  <c r="U269" i="14" s="1"/>
  <c r="AC269" i="14" s="1"/>
  <c r="AZ269" i="14"/>
  <c r="T269" i="14" s="1"/>
  <c r="AB269" i="14" s="1"/>
  <c r="AY269" i="14"/>
  <c r="S269" i="14" s="1"/>
  <c r="AX269" i="14"/>
  <c r="R269" i="14" s="1"/>
  <c r="Z269" i="14" s="1"/>
  <c r="AW269" i="14"/>
  <c r="Q269" i="14" s="1"/>
  <c r="Y269" i="14" s="1"/>
  <c r="AV269" i="14"/>
  <c r="P269" i="14" s="1"/>
  <c r="X269" i="14" s="1"/>
  <c r="AU269" i="14"/>
  <c r="O269" i="14" s="1"/>
  <c r="W269" i="14" s="1"/>
  <c r="B269" i="14"/>
  <c r="BB268" i="14"/>
  <c r="BA268" i="14"/>
  <c r="AZ268" i="14"/>
  <c r="AY268" i="14"/>
  <c r="AX268" i="14"/>
  <c r="R268" i="14" s="1"/>
  <c r="Z268" i="14" s="1"/>
  <c r="AW268" i="14"/>
  <c r="Q268" i="14" s="1"/>
  <c r="Y268" i="14" s="1"/>
  <c r="AV268" i="14"/>
  <c r="P268" i="14" s="1"/>
  <c r="X268" i="14" s="1"/>
  <c r="AU268" i="14"/>
  <c r="V268" i="14"/>
  <c r="AD268" i="14" s="1"/>
  <c r="U268" i="14"/>
  <c r="AC268" i="14" s="1"/>
  <c r="T268" i="14"/>
  <c r="AB268" i="14" s="1"/>
  <c r="B268" i="14"/>
  <c r="BB267" i="14"/>
  <c r="BA267" i="14"/>
  <c r="AZ267" i="14"/>
  <c r="T267" i="14" s="1"/>
  <c r="AB267" i="14" s="1"/>
  <c r="AY267" i="14"/>
  <c r="S267" i="14" s="1"/>
  <c r="AX267" i="14"/>
  <c r="R267" i="14" s="1"/>
  <c r="Z267" i="14" s="1"/>
  <c r="AW267" i="14"/>
  <c r="Q267" i="14" s="1"/>
  <c r="Y267" i="14" s="1"/>
  <c r="AV267" i="14"/>
  <c r="P267" i="14" s="1"/>
  <c r="X267" i="14" s="1"/>
  <c r="AU267" i="14"/>
  <c r="O267" i="14" s="1"/>
  <c r="W267" i="14" s="1"/>
  <c r="V267" i="14"/>
  <c r="AD267" i="14" s="1"/>
  <c r="U267" i="14"/>
  <c r="AC267" i="14" s="1"/>
  <c r="B267" i="14"/>
  <c r="BB266" i="14"/>
  <c r="BA266" i="14"/>
  <c r="U266" i="14" s="1"/>
  <c r="AC266" i="14" s="1"/>
  <c r="AZ266" i="14"/>
  <c r="T266" i="14" s="1"/>
  <c r="AB266" i="14" s="1"/>
  <c r="AY266" i="14"/>
  <c r="AX266" i="14"/>
  <c r="R266" i="14" s="1"/>
  <c r="Z266" i="14" s="1"/>
  <c r="AW266" i="14"/>
  <c r="Q266" i="14" s="1"/>
  <c r="Y266" i="14" s="1"/>
  <c r="AV266" i="14"/>
  <c r="P266" i="14" s="1"/>
  <c r="X266" i="14" s="1"/>
  <c r="AU266" i="14"/>
  <c r="V266" i="14"/>
  <c r="AD266" i="14" s="1"/>
  <c r="B266" i="14"/>
  <c r="BB265" i="14"/>
  <c r="BA265" i="14"/>
  <c r="AZ265" i="14"/>
  <c r="AY265" i="14"/>
  <c r="S265" i="14" s="1"/>
  <c r="AX265" i="14"/>
  <c r="R265" i="14" s="1"/>
  <c r="Z265" i="14" s="1"/>
  <c r="AW265" i="14"/>
  <c r="Q265" i="14" s="1"/>
  <c r="Y265" i="14" s="1"/>
  <c r="AV265" i="14"/>
  <c r="P265" i="14" s="1"/>
  <c r="X265" i="14" s="1"/>
  <c r="AU265" i="14"/>
  <c r="O265" i="14" s="1"/>
  <c r="W265" i="14" s="1"/>
  <c r="V265" i="14"/>
  <c r="AD265" i="14" s="1"/>
  <c r="U265" i="14"/>
  <c r="AC265" i="14" s="1"/>
  <c r="T265" i="14"/>
  <c r="AB265" i="14" s="1"/>
  <c r="B265" i="14"/>
  <c r="BB264" i="14"/>
  <c r="BA264" i="14"/>
  <c r="AZ264" i="14"/>
  <c r="AY264" i="14"/>
  <c r="AX264" i="14"/>
  <c r="R264" i="14" s="1"/>
  <c r="Z264" i="14" s="1"/>
  <c r="AW264" i="14"/>
  <c r="Q264" i="14" s="1"/>
  <c r="Y264" i="14" s="1"/>
  <c r="AV264" i="14"/>
  <c r="P264" i="14" s="1"/>
  <c r="X264" i="14" s="1"/>
  <c r="AU264" i="14"/>
  <c r="V264" i="14"/>
  <c r="AD264" i="14" s="1"/>
  <c r="U264" i="14"/>
  <c r="AC264" i="14" s="1"/>
  <c r="T264" i="14"/>
  <c r="AB264" i="14" s="1"/>
  <c r="B264" i="14"/>
  <c r="BB263" i="14"/>
  <c r="BA263" i="14"/>
  <c r="AZ263" i="14"/>
  <c r="AY263" i="14"/>
  <c r="AX263" i="14"/>
  <c r="AW263" i="14"/>
  <c r="AV263" i="14"/>
  <c r="P263" i="14" s="1"/>
  <c r="X263" i="14" s="1"/>
  <c r="AU263" i="14"/>
  <c r="O263" i="14" s="1"/>
  <c r="W263" i="14" s="1"/>
  <c r="V263" i="14"/>
  <c r="AD263" i="14" s="1"/>
  <c r="U263" i="14"/>
  <c r="AC263" i="14" s="1"/>
  <c r="T263" i="14"/>
  <c r="AB263" i="14" s="1"/>
  <c r="S263" i="14"/>
  <c r="R263" i="14"/>
  <c r="Z263" i="14" s="1"/>
  <c r="Q263" i="14"/>
  <c r="Y263" i="14" s="1"/>
  <c r="B263" i="14"/>
  <c r="BB262" i="14"/>
  <c r="BA262" i="14"/>
  <c r="AZ262" i="14"/>
  <c r="AY262" i="14"/>
  <c r="AX262" i="14"/>
  <c r="R262" i="14" s="1"/>
  <c r="Z262" i="14" s="1"/>
  <c r="AW262" i="14"/>
  <c r="Q262" i="14" s="1"/>
  <c r="Y262" i="14" s="1"/>
  <c r="AV262" i="14"/>
  <c r="P262" i="14" s="1"/>
  <c r="X262" i="14" s="1"/>
  <c r="AU262" i="14"/>
  <c r="V262" i="14"/>
  <c r="AD262" i="14" s="1"/>
  <c r="U262" i="14"/>
  <c r="AC262" i="14" s="1"/>
  <c r="T262" i="14"/>
  <c r="AB262" i="14" s="1"/>
  <c r="B262" i="14"/>
  <c r="BB261" i="14"/>
  <c r="V261" i="14" s="1"/>
  <c r="AD261" i="14" s="1"/>
  <c r="BA261" i="14"/>
  <c r="U261" i="14" s="1"/>
  <c r="AC261" i="14" s="1"/>
  <c r="AZ261" i="14"/>
  <c r="T261" i="14" s="1"/>
  <c r="AB261" i="14" s="1"/>
  <c r="AY261" i="14"/>
  <c r="S261" i="14" s="1"/>
  <c r="AX261" i="14"/>
  <c r="R261" i="14" s="1"/>
  <c r="Z261" i="14" s="1"/>
  <c r="AW261" i="14"/>
  <c r="Q261" i="14" s="1"/>
  <c r="Y261" i="14" s="1"/>
  <c r="AV261" i="14"/>
  <c r="P261" i="14" s="1"/>
  <c r="X261" i="14" s="1"/>
  <c r="AU261" i="14"/>
  <c r="O261" i="14" s="1"/>
  <c r="W261" i="14" s="1"/>
  <c r="B261" i="14"/>
  <c r="BB260" i="14"/>
  <c r="BA260" i="14"/>
  <c r="AZ260" i="14"/>
  <c r="AY260" i="14"/>
  <c r="AX260" i="14"/>
  <c r="R260" i="14" s="1"/>
  <c r="Z260" i="14" s="1"/>
  <c r="AW260" i="14"/>
  <c r="Q260" i="14" s="1"/>
  <c r="Y260" i="14" s="1"/>
  <c r="AV260" i="14"/>
  <c r="P260" i="14" s="1"/>
  <c r="X260" i="14" s="1"/>
  <c r="AU260" i="14"/>
  <c r="V260" i="14"/>
  <c r="AD260" i="14" s="1"/>
  <c r="U260" i="14"/>
  <c r="AC260" i="14" s="1"/>
  <c r="T260" i="14"/>
  <c r="AB260" i="14" s="1"/>
  <c r="B260" i="14"/>
  <c r="BB259" i="14"/>
  <c r="BA259" i="14"/>
  <c r="AZ259" i="14"/>
  <c r="T259" i="14" s="1"/>
  <c r="AB259" i="14" s="1"/>
  <c r="AY259" i="14"/>
  <c r="S259" i="14" s="1"/>
  <c r="AX259" i="14"/>
  <c r="R259" i="14" s="1"/>
  <c r="Z259" i="14" s="1"/>
  <c r="AW259" i="14"/>
  <c r="Q259" i="14" s="1"/>
  <c r="Y259" i="14" s="1"/>
  <c r="AV259" i="14"/>
  <c r="P259" i="14" s="1"/>
  <c r="X259" i="14" s="1"/>
  <c r="AU259" i="14"/>
  <c r="O259" i="14" s="1"/>
  <c r="W259" i="14" s="1"/>
  <c r="V259" i="14"/>
  <c r="AD259" i="14" s="1"/>
  <c r="U259" i="14"/>
  <c r="AC259" i="14" s="1"/>
  <c r="B259" i="14"/>
  <c r="BB258" i="14"/>
  <c r="BA258" i="14"/>
  <c r="U258" i="14" s="1"/>
  <c r="AC258" i="14" s="1"/>
  <c r="AZ258" i="14"/>
  <c r="T258" i="14" s="1"/>
  <c r="AY258" i="14"/>
  <c r="S258" i="14" s="1"/>
  <c r="AA258" i="14" s="1"/>
  <c r="AX258" i="14"/>
  <c r="R258" i="14" s="1"/>
  <c r="Z258" i="14" s="1"/>
  <c r="AW258" i="14"/>
  <c r="Q258" i="14" s="1"/>
  <c r="Y258" i="14" s="1"/>
  <c r="AV258" i="14"/>
  <c r="P258" i="14" s="1"/>
  <c r="X258" i="14" s="1"/>
  <c r="AU258" i="14"/>
  <c r="O258" i="14" s="1"/>
  <c r="V258" i="14"/>
  <c r="AD258" i="14" s="1"/>
  <c r="B258" i="14"/>
  <c r="BB257" i="14"/>
  <c r="BA257" i="14"/>
  <c r="AZ257" i="14"/>
  <c r="T257" i="14" s="1"/>
  <c r="AB257" i="14" s="1"/>
  <c r="AY257" i="14"/>
  <c r="S257" i="14" s="1"/>
  <c r="AX257" i="14"/>
  <c r="R257" i="14" s="1"/>
  <c r="Z257" i="14" s="1"/>
  <c r="AW257" i="14"/>
  <c r="Q257" i="14" s="1"/>
  <c r="Y257" i="14" s="1"/>
  <c r="AV257" i="14"/>
  <c r="P257" i="14" s="1"/>
  <c r="X257" i="14" s="1"/>
  <c r="AU257" i="14"/>
  <c r="O257" i="14" s="1"/>
  <c r="V257" i="14"/>
  <c r="AD257" i="14" s="1"/>
  <c r="U257" i="14"/>
  <c r="AC257" i="14" s="1"/>
  <c r="B257" i="14"/>
  <c r="BB256" i="14"/>
  <c r="V256" i="14" s="1"/>
  <c r="AD256" i="14" s="1"/>
  <c r="BA256" i="14"/>
  <c r="U256" i="14" s="1"/>
  <c r="AC256" i="14" s="1"/>
  <c r="AZ256" i="14"/>
  <c r="T256" i="14" s="1"/>
  <c r="AY256" i="14"/>
  <c r="S256" i="14" s="1"/>
  <c r="AA256" i="14" s="1"/>
  <c r="AX256" i="14"/>
  <c r="R256" i="14" s="1"/>
  <c r="Z256" i="14" s="1"/>
  <c r="AW256" i="14"/>
  <c r="Q256" i="14" s="1"/>
  <c r="Y256" i="14" s="1"/>
  <c r="AV256" i="14"/>
  <c r="P256" i="14" s="1"/>
  <c r="X256" i="14" s="1"/>
  <c r="AU256" i="14"/>
  <c r="O256" i="14" s="1"/>
  <c r="B256" i="14"/>
  <c r="BB255" i="14"/>
  <c r="BA255" i="14"/>
  <c r="U255" i="14" s="1"/>
  <c r="AC255" i="14" s="1"/>
  <c r="AZ255" i="14"/>
  <c r="T255" i="14" s="1"/>
  <c r="AB255" i="14" s="1"/>
  <c r="AY255" i="14"/>
  <c r="S255" i="14" s="1"/>
  <c r="AX255" i="14"/>
  <c r="R255" i="14" s="1"/>
  <c r="Z255" i="14" s="1"/>
  <c r="AW255" i="14"/>
  <c r="Q255" i="14" s="1"/>
  <c r="Y255" i="14" s="1"/>
  <c r="AV255" i="14"/>
  <c r="P255" i="14" s="1"/>
  <c r="X255" i="14" s="1"/>
  <c r="AU255" i="14"/>
  <c r="O255" i="14" s="1"/>
  <c r="V255" i="14"/>
  <c r="AD255" i="14" s="1"/>
  <c r="B255" i="14"/>
  <c r="BB254" i="14"/>
  <c r="V254" i="14" s="1"/>
  <c r="AD254" i="14" s="1"/>
  <c r="BA254" i="14"/>
  <c r="U254" i="14" s="1"/>
  <c r="AC254" i="14" s="1"/>
  <c r="AZ254" i="14"/>
  <c r="T254" i="14" s="1"/>
  <c r="AY254" i="14"/>
  <c r="S254" i="14" s="1"/>
  <c r="AA254" i="14" s="1"/>
  <c r="AX254" i="14"/>
  <c r="R254" i="14" s="1"/>
  <c r="Z254" i="14" s="1"/>
  <c r="AW254" i="14"/>
  <c r="Q254" i="14" s="1"/>
  <c r="Y254" i="14" s="1"/>
  <c r="AV254" i="14"/>
  <c r="P254" i="14" s="1"/>
  <c r="X254" i="14" s="1"/>
  <c r="AU254" i="14"/>
  <c r="O254" i="14" s="1"/>
  <c r="B254" i="14"/>
  <c r="BB253" i="14"/>
  <c r="BA253" i="14"/>
  <c r="AZ253" i="14"/>
  <c r="AY253" i="14"/>
  <c r="AX253" i="14"/>
  <c r="AW253" i="14"/>
  <c r="AV253" i="14"/>
  <c r="AU253" i="14"/>
  <c r="O253" i="14" s="1"/>
  <c r="V253" i="14"/>
  <c r="AD253" i="14" s="1"/>
  <c r="U253" i="14"/>
  <c r="AC253" i="14" s="1"/>
  <c r="T253" i="14"/>
  <c r="AB253" i="14" s="1"/>
  <c r="S253" i="14"/>
  <c r="R253" i="14"/>
  <c r="Z253" i="14" s="1"/>
  <c r="Q253" i="14"/>
  <c r="Y253" i="14" s="1"/>
  <c r="P253" i="14"/>
  <c r="X253" i="14" s="1"/>
  <c r="B253" i="14"/>
  <c r="BB252" i="14"/>
  <c r="BA252" i="14"/>
  <c r="AZ252" i="14"/>
  <c r="AY252" i="14"/>
  <c r="AX252" i="14"/>
  <c r="AW252" i="14"/>
  <c r="AV252" i="14"/>
  <c r="P252" i="14" s="1"/>
  <c r="X252" i="14" s="1"/>
  <c r="AU252" i="14"/>
  <c r="O252" i="14" s="1"/>
  <c r="V252" i="14"/>
  <c r="AD252" i="14" s="1"/>
  <c r="U252" i="14"/>
  <c r="AC252" i="14" s="1"/>
  <c r="T252" i="14"/>
  <c r="S252" i="14"/>
  <c r="AA252" i="14" s="1"/>
  <c r="R252" i="14"/>
  <c r="Z252" i="14" s="1"/>
  <c r="Q252" i="14"/>
  <c r="Y252" i="14" s="1"/>
  <c r="B252" i="14"/>
  <c r="BB251" i="14"/>
  <c r="V251" i="14" s="1"/>
  <c r="AD251" i="14" s="1"/>
  <c r="BA251" i="14"/>
  <c r="AZ251" i="14"/>
  <c r="T251" i="14" s="1"/>
  <c r="AB251" i="14" s="1"/>
  <c r="AY251" i="14"/>
  <c r="AX251" i="14"/>
  <c r="R251" i="14" s="1"/>
  <c r="Z251" i="14" s="1"/>
  <c r="AW251" i="14"/>
  <c r="AV251" i="14"/>
  <c r="P251" i="14" s="1"/>
  <c r="X251" i="14" s="1"/>
  <c r="AU251" i="14"/>
  <c r="B251" i="14"/>
  <c r="BB250" i="14"/>
  <c r="V250" i="14" s="1"/>
  <c r="AD250" i="14" s="1"/>
  <c r="BA250" i="14"/>
  <c r="AC250" i="14" s="1"/>
  <c r="AZ250" i="14"/>
  <c r="AB250" i="14" s="1"/>
  <c r="AY250" i="14"/>
  <c r="AA250" i="14" s="1"/>
  <c r="AX250" i="14"/>
  <c r="Z250" i="14" s="1"/>
  <c r="AW250" i="14"/>
  <c r="Y250" i="14" s="1"/>
  <c r="AV250" i="14"/>
  <c r="P250" i="14" s="1"/>
  <c r="X250" i="14" s="1"/>
  <c r="AU250" i="14"/>
  <c r="O250" i="14" s="1"/>
  <c r="B250" i="14"/>
  <c r="BB249" i="14"/>
  <c r="V249" i="14" s="1"/>
  <c r="AD249" i="14" s="1"/>
  <c r="BA249" i="14"/>
  <c r="U249" i="14" s="1"/>
  <c r="AC249" i="14" s="1"/>
  <c r="AZ249" i="14"/>
  <c r="T249" i="14" s="1"/>
  <c r="AB249" i="14" s="1"/>
  <c r="AY249" i="14"/>
  <c r="S249" i="14" s="1"/>
  <c r="AA249" i="14" s="1"/>
  <c r="AX249" i="14"/>
  <c r="R249" i="14" s="1"/>
  <c r="Z249" i="14" s="1"/>
  <c r="AW249" i="14"/>
  <c r="Q249" i="14" s="1"/>
  <c r="Y249" i="14" s="1"/>
  <c r="AV249" i="14"/>
  <c r="P249" i="14" s="1"/>
  <c r="X249" i="14" s="1"/>
  <c r="AU249" i="14"/>
  <c r="O249" i="14" s="1"/>
  <c r="B249" i="14"/>
  <c r="BB248" i="14"/>
  <c r="V248" i="14" s="1"/>
  <c r="AD248" i="14" s="1"/>
  <c r="BA248" i="14"/>
  <c r="U248" i="14" s="1"/>
  <c r="AC248" i="14" s="1"/>
  <c r="AZ248" i="14"/>
  <c r="T248" i="14" s="1"/>
  <c r="AB248" i="14" s="1"/>
  <c r="AY248" i="14"/>
  <c r="S248" i="14" s="1"/>
  <c r="AA248" i="14" s="1"/>
  <c r="AX248" i="14"/>
  <c r="R248" i="14" s="1"/>
  <c r="Z248" i="14" s="1"/>
  <c r="AW248" i="14"/>
  <c r="Q248" i="14" s="1"/>
  <c r="Y248" i="14" s="1"/>
  <c r="AV248" i="14"/>
  <c r="P248" i="14" s="1"/>
  <c r="X248" i="14" s="1"/>
  <c r="AU248" i="14"/>
  <c r="O248" i="14" s="1"/>
  <c r="B248" i="14"/>
  <c r="BB247" i="14"/>
  <c r="BA247" i="14"/>
  <c r="AZ247" i="14"/>
  <c r="T247" i="14" s="1"/>
  <c r="AB247" i="14" s="1"/>
  <c r="AY247" i="14"/>
  <c r="S247" i="14" s="1"/>
  <c r="AA247" i="14" s="1"/>
  <c r="AX247" i="14"/>
  <c r="R247" i="14" s="1"/>
  <c r="Z247" i="14" s="1"/>
  <c r="AW247" i="14"/>
  <c r="Q247" i="14" s="1"/>
  <c r="Y247" i="14" s="1"/>
  <c r="AV247" i="14"/>
  <c r="P247" i="14" s="1"/>
  <c r="X247" i="14" s="1"/>
  <c r="AU247" i="14"/>
  <c r="O247" i="14" s="1"/>
  <c r="V247" i="14"/>
  <c r="AD247" i="14" s="1"/>
  <c r="U247" i="14"/>
  <c r="AC247" i="14" s="1"/>
  <c r="B247" i="14"/>
  <c r="BB246" i="14"/>
  <c r="BA246" i="14"/>
  <c r="AZ246" i="14"/>
  <c r="AY246" i="14"/>
  <c r="S246" i="14" s="1"/>
  <c r="AA246" i="14" s="1"/>
  <c r="AX246" i="14"/>
  <c r="R246" i="14" s="1"/>
  <c r="Z246" i="14" s="1"/>
  <c r="AW246" i="14"/>
  <c r="Q246" i="14" s="1"/>
  <c r="Y246" i="14" s="1"/>
  <c r="AV246" i="14"/>
  <c r="P246" i="14" s="1"/>
  <c r="X246" i="14" s="1"/>
  <c r="AU246" i="14"/>
  <c r="O246" i="14" s="1"/>
  <c r="V246" i="14"/>
  <c r="AD246" i="14" s="1"/>
  <c r="U246" i="14"/>
  <c r="AC246" i="14" s="1"/>
  <c r="T246" i="14"/>
  <c r="AB246" i="14" s="1"/>
  <c r="B246" i="14"/>
  <c r="BB245" i="14"/>
  <c r="BA245" i="14"/>
  <c r="AZ245" i="14"/>
  <c r="AY245" i="14"/>
  <c r="S245" i="14" s="1"/>
  <c r="AA245" i="14" s="1"/>
  <c r="AX245" i="14"/>
  <c r="R245" i="14" s="1"/>
  <c r="Z245" i="14" s="1"/>
  <c r="AW245" i="14"/>
  <c r="Q245" i="14" s="1"/>
  <c r="Y245" i="14" s="1"/>
  <c r="AV245" i="14"/>
  <c r="P245" i="14" s="1"/>
  <c r="X245" i="14" s="1"/>
  <c r="AU245" i="14"/>
  <c r="O245" i="14" s="1"/>
  <c r="V245" i="14"/>
  <c r="AD245" i="14" s="1"/>
  <c r="U245" i="14"/>
  <c r="AC245" i="14" s="1"/>
  <c r="T245" i="14"/>
  <c r="AB245" i="14" s="1"/>
  <c r="B245" i="14"/>
  <c r="BB244" i="14"/>
  <c r="V244" i="14" s="1"/>
  <c r="AD244" i="14" s="1"/>
  <c r="BA244" i="14"/>
  <c r="U244" i="14" s="1"/>
  <c r="AC244" i="14" s="1"/>
  <c r="AZ244" i="14"/>
  <c r="T244" i="14" s="1"/>
  <c r="AB244" i="14" s="1"/>
  <c r="AY244" i="14"/>
  <c r="S244" i="14" s="1"/>
  <c r="AA244" i="14" s="1"/>
  <c r="AX244" i="14"/>
  <c r="R244" i="14" s="1"/>
  <c r="Z244" i="14" s="1"/>
  <c r="AW244" i="14"/>
  <c r="Q244" i="14" s="1"/>
  <c r="Y244" i="14" s="1"/>
  <c r="AV244" i="14"/>
  <c r="P244" i="14" s="1"/>
  <c r="X244" i="14" s="1"/>
  <c r="AU244" i="14"/>
  <c r="O244" i="14" s="1"/>
  <c r="B244" i="14"/>
  <c r="BB243" i="14"/>
  <c r="V243" i="14" s="1"/>
  <c r="AD243" i="14" s="1"/>
  <c r="BA243" i="14"/>
  <c r="U243" i="14" s="1"/>
  <c r="AC243" i="14" s="1"/>
  <c r="AZ243" i="14"/>
  <c r="T243" i="14" s="1"/>
  <c r="AB243" i="14" s="1"/>
  <c r="AY243" i="14"/>
  <c r="S243" i="14" s="1"/>
  <c r="AA243" i="14" s="1"/>
  <c r="AX243" i="14"/>
  <c r="R243" i="14" s="1"/>
  <c r="Z243" i="14" s="1"/>
  <c r="AW243" i="14"/>
  <c r="Q243" i="14" s="1"/>
  <c r="Y243" i="14" s="1"/>
  <c r="AV243" i="14"/>
  <c r="P243" i="14" s="1"/>
  <c r="X243" i="14" s="1"/>
  <c r="AU243" i="14"/>
  <c r="O243" i="14" s="1"/>
  <c r="B243" i="14"/>
  <c r="BB242" i="14"/>
  <c r="V242" i="14" s="1"/>
  <c r="AD242" i="14" s="1"/>
  <c r="BA242" i="14"/>
  <c r="U242" i="14" s="1"/>
  <c r="AC242" i="14" s="1"/>
  <c r="AZ242" i="14"/>
  <c r="T242" i="14" s="1"/>
  <c r="AB242" i="14" s="1"/>
  <c r="AY242" i="14"/>
  <c r="S242" i="14" s="1"/>
  <c r="AA242" i="14" s="1"/>
  <c r="AX242" i="14"/>
  <c r="R242" i="14" s="1"/>
  <c r="Z242" i="14" s="1"/>
  <c r="AW242" i="14"/>
  <c r="Q242" i="14" s="1"/>
  <c r="Y242" i="14" s="1"/>
  <c r="AV242" i="14"/>
  <c r="P242" i="14" s="1"/>
  <c r="X242" i="14" s="1"/>
  <c r="AU242" i="14"/>
  <c r="O242" i="14" s="1"/>
  <c r="B242" i="14"/>
  <c r="BB241" i="14"/>
  <c r="BA241" i="14"/>
  <c r="AZ241" i="14"/>
  <c r="AY241" i="14"/>
  <c r="S241" i="14" s="1"/>
  <c r="AA241" i="14" s="1"/>
  <c r="AX241" i="14"/>
  <c r="R241" i="14" s="1"/>
  <c r="Z241" i="14" s="1"/>
  <c r="AW241" i="14"/>
  <c r="Q241" i="14" s="1"/>
  <c r="Y241" i="14" s="1"/>
  <c r="AV241" i="14"/>
  <c r="P241" i="14" s="1"/>
  <c r="X241" i="14" s="1"/>
  <c r="AU241" i="14"/>
  <c r="O241" i="14" s="1"/>
  <c r="V241" i="14"/>
  <c r="AD241" i="14" s="1"/>
  <c r="U241" i="14"/>
  <c r="AC241" i="14" s="1"/>
  <c r="T241" i="14"/>
  <c r="AB241" i="14" s="1"/>
  <c r="B241" i="14"/>
  <c r="BB240" i="14"/>
  <c r="BA240" i="14"/>
  <c r="AZ240" i="14"/>
  <c r="AY240" i="14"/>
  <c r="AX240" i="14"/>
  <c r="AW240" i="14"/>
  <c r="AV240" i="14"/>
  <c r="P240" i="14" s="1"/>
  <c r="X240" i="14" s="1"/>
  <c r="AU240" i="14"/>
  <c r="O240" i="14" s="1"/>
  <c r="V240" i="14"/>
  <c r="AD240" i="14" s="1"/>
  <c r="U240" i="14"/>
  <c r="AC240" i="14" s="1"/>
  <c r="T240" i="14"/>
  <c r="AB240" i="14" s="1"/>
  <c r="S240" i="14"/>
  <c r="AA240" i="14" s="1"/>
  <c r="R240" i="14"/>
  <c r="Z240" i="14" s="1"/>
  <c r="Q240" i="14"/>
  <c r="Y240" i="14" s="1"/>
  <c r="B240" i="14"/>
  <c r="BB239" i="14"/>
  <c r="V239" i="14" s="1"/>
  <c r="AD239" i="14" s="1"/>
  <c r="BA239" i="14"/>
  <c r="U239" i="14" s="1"/>
  <c r="AC239" i="14" s="1"/>
  <c r="AZ239" i="14"/>
  <c r="T239" i="14" s="1"/>
  <c r="AB239" i="14" s="1"/>
  <c r="AY239" i="14"/>
  <c r="S239" i="14" s="1"/>
  <c r="AA239" i="14" s="1"/>
  <c r="AX239" i="14"/>
  <c r="R239" i="14" s="1"/>
  <c r="Z239" i="14" s="1"/>
  <c r="AW239" i="14"/>
  <c r="Q239" i="14" s="1"/>
  <c r="Y239" i="14" s="1"/>
  <c r="AV239" i="14"/>
  <c r="P239" i="14" s="1"/>
  <c r="X239" i="14" s="1"/>
  <c r="AU239" i="14"/>
  <c r="O239" i="14" s="1"/>
  <c r="B239" i="14"/>
  <c r="BB238" i="14"/>
  <c r="BA238" i="14"/>
  <c r="AZ238" i="14"/>
  <c r="AY238" i="14"/>
  <c r="S238" i="14" s="1"/>
  <c r="AA238" i="14" s="1"/>
  <c r="AX238" i="14"/>
  <c r="R238" i="14" s="1"/>
  <c r="Z238" i="14" s="1"/>
  <c r="AW238" i="14"/>
  <c r="Q238" i="14" s="1"/>
  <c r="Y238" i="14" s="1"/>
  <c r="AV238" i="14"/>
  <c r="P238" i="14" s="1"/>
  <c r="X238" i="14" s="1"/>
  <c r="AU238" i="14"/>
  <c r="O238" i="14" s="1"/>
  <c r="V238" i="14"/>
  <c r="AD238" i="14" s="1"/>
  <c r="U238" i="14"/>
  <c r="AC238" i="14" s="1"/>
  <c r="T238" i="14"/>
  <c r="AB238" i="14" s="1"/>
  <c r="B238" i="14"/>
  <c r="BB237" i="14"/>
  <c r="BA237" i="14"/>
  <c r="U237" i="14" s="1"/>
  <c r="AC237" i="14" s="1"/>
  <c r="AZ237" i="14"/>
  <c r="T237" i="14" s="1"/>
  <c r="AB237" i="14" s="1"/>
  <c r="AY237" i="14"/>
  <c r="S237" i="14" s="1"/>
  <c r="AA237" i="14" s="1"/>
  <c r="AX237" i="14"/>
  <c r="R237" i="14" s="1"/>
  <c r="Z237" i="14" s="1"/>
  <c r="AW237" i="14"/>
  <c r="Q237" i="14" s="1"/>
  <c r="Y237" i="14" s="1"/>
  <c r="AV237" i="14"/>
  <c r="P237" i="14" s="1"/>
  <c r="X237" i="14" s="1"/>
  <c r="AU237" i="14"/>
  <c r="O237" i="14" s="1"/>
  <c r="V237" i="14"/>
  <c r="AD237" i="14" s="1"/>
  <c r="B237" i="14"/>
  <c r="BB236" i="14"/>
  <c r="BA236" i="14"/>
  <c r="AZ236" i="14"/>
  <c r="T236" i="14" s="1"/>
  <c r="AB236" i="14" s="1"/>
  <c r="AY236" i="14"/>
  <c r="S236" i="14" s="1"/>
  <c r="AA236" i="14" s="1"/>
  <c r="AX236" i="14"/>
  <c r="R236" i="14" s="1"/>
  <c r="Z236" i="14" s="1"/>
  <c r="AW236" i="14"/>
  <c r="Q236" i="14" s="1"/>
  <c r="Y236" i="14" s="1"/>
  <c r="AV236" i="14"/>
  <c r="P236" i="14" s="1"/>
  <c r="X236" i="14" s="1"/>
  <c r="AU236" i="14"/>
  <c r="O236" i="14" s="1"/>
  <c r="V236" i="14"/>
  <c r="AD236" i="14" s="1"/>
  <c r="U236" i="14"/>
  <c r="AC236" i="14" s="1"/>
  <c r="B236" i="14"/>
  <c r="BB235" i="14"/>
  <c r="BA235" i="14"/>
  <c r="U235" i="14" s="1"/>
  <c r="AC235" i="14" s="1"/>
  <c r="AZ235" i="14"/>
  <c r="T235" i="14" s="1"/>
  <c r="AB235" i="14" s="1"/>
  <c r="AY235" i="14"/>
  <c r="S235" i="14" s="1"/>
  <c r="AA235" i="14" s="1"/>
  <c r="AX235" i="14"/>
  <c r="R235" i="14" s="1"/>
  <c r="Z235" i="14" s="1"/>
  <c r="AW235" i="14"/>
  <c r="Q235" i="14" s="1"/>
  <c r="Y235" i="14" s="1"/>
  <c r="AV235" i="14"/>
  <c r="P235" i="14" s="1"/>
  <c r="X235" i="14" s="1"/>
  <c r="AU235" i="14"/>
  <c r="O235" i="14" s="1"/>
  <c r="V235" i="14"/>
  <c r="AD235" i="14" s="1"/>
  <c r="B235" i="14"/>
  <c r="BB234" i="14"/>
  <c r="V234" i="14" s="1"/>
  <c r="AD234" i="14" s="1"/>
  <c r="BA234" i="14"/>
  <c r="U234" i="14" s="1"/>
  <c r="AC234" i="14" s="1"/>
  <c r="AZ234" i="14"/>
  <c r="T234" i="14" s="1"/>
  <c r="AB234" i="14" s="1"/>
  <c r="AY234" i="14"/>
  <c r="S234" i="14" s="1"/>
  <c r="AA234" i="14" s="1"/>
  <c r="AX234" i="14"/>
  <c r="R234" i="14" s="1"/>
  <c r="Z234" i="14" s="1"/>
  <c r="AW234" i="14"/>
  <c r="Q234" i="14" s="1"/>
  <c r="Y234" i="14" s="1"/>
  <c r="AV234" i="14"/>
  <c r="P234" i="14" s="1"/>
  <c r="X234" i="14" s="1"/>
  <c r="AU234" i="14"/>
  <c r="O234" i="14" s="1"/>
  <c r="B234" i="14"/>
  <c r="BB233" i="14"/>
  <c r="BA233" i="14"/>
  <c r="AZ233" i="14"/>
  <c r="AY233" i="14"/>
  <c r="S233" i="14" s="1"/>
  <c r="AA233" i="14" s="1"/>
  <c r="AX233" i="14"/>
  <c r="R233" i="14" s="1"/>
  <c r="Z233" i="14" s="1"/>
  <c r="AW233" i="14"/>
  <c r="Q233" i="14" s="1"/>
  <c r="Y233" i="14" s="1"/>
  <c r="AV233" i="14"/>
  <c r="P233" i="14" s="1"/>
  <c r="X233" i="14" s="1"/>
  <c r="AU233" i="14"/>
  <c r="O233" i="14" s="1"/>
  <c r="V233" i="14"/>
  <c r="AD233" i="14" s="1"/>
  <c r="U233" i="14"/>
  <c r="AC233" i="14" s="1"/>
  <c r="T233" i="14"/>
  <c r="AB233" i="14" s="1"/>
  <c r="B233" i="14"/>
  <c r="BB232" i="14"/>
  <c r="BA232" i="14"/>
  <c r="AZ232" i="14"/>
  <c r="AY232" i="14"/>
  <c r="AX232" i="14"/>
  <c r="AW232" i="14"/>
  <c r="Q232" i="14" s="1"/>
  <c r="Y232" i="14" s="1"/>
  <c r="AV232" i="14"/>
  <c r="P232" i="14" s="1"/>
  <c r="X232" i="14" s="1"/>
  <c r="AU232" i="14"/>
  <c r="O232" i="14" s="1"/>
  <c r="V232" i="14"/>
  <c r="AD232" i="14" s="1"/>
  <c r="U232" i="14"/>
  <c r="AC232" i="14" s="1"/>
  <c r="T232" i="14"/>
  <c r="AB232" i="14" s="1"/>
  <c r="S232" i="14"/>
  <c r="AA232" i="14" s="1"/>
  <c r="R232" i="14"/>
  <c r="Z232" i="14" s="1"/>
  <c r="B232" i="14"/>
  <c r="BB231" i="14"/>
  <c r="V231" i="14" s="1"/>
  <c r="AD231" i="14" s="1"/>
  <c r="BA231" i="14"/>
  <c r="U231" i="14" s="1"/>
  <c r="AC231" i="14" s="1"/>
  <c r="AZ231" i="14"/>
  <c r="T231" i="14" s="1"/>
  <c r="AB231" i="14" s="1"/>
  <c r="AY231" i="14"/>
  <c r="S231" i="14" s="1"/>
  <c r="AA231" i="14" s="1"/>
  <c r="AX231" i="14"/>
  <c r="R231" i="14" s="1"/>
  <c r="Z231" i="14" s="1"/>
  <c r="AW231" i="14"/>
  <c r="Q231" i="14" s="1"/>
  <c r="Y231" i="14" s="1"/>
  <c r="AV231" i="14"/>
  <c r="P231" i="14" s="1"/>
  <c r="X231" i="14" s="1"/>
  <c r="AU231" i="14"/>
  <c r="O231" i="14" s="1"/>
  <c r="B231" i="14"/>
  <c r="BB230" i="14"/>
  <c r="BA230" i="14"/>
  <c r="U230" i="14" s="1"/>
  <c r="AC230" i="14" s="1"/>
  <c r="AZ230" i="14"/>
  <c r="T230" i="14" s="1"/>
  <c r="AB230" i="14" s="1"/>
  <c r="AY230" i="14"/>
  <c r="S230" i="14" s="1"/>
  <c r="AA230" i="14" s="1"/>
  <c r="AX230" i="14"/>
  <c r="R230" i="14" s="1"/>
  <c r="Z230" i="14" s="1"/>
  <c r="AW230" i="14"/>
  <c r="Q230" i="14" s="1"/>
  <c r="Y230" i="14" s="1"/>
  <c r="AV230" i="14"/>
  <c r="P230" i="14" s="1"/>
  <c r="X230" i="14" s="1"/>
  <c r="AU230" i="14"/>
  <c r="O230" i="14" s="1"/>
  <c r="V230" i="14"/>
  <c r="AD230" i="14" s="1"/>
  <c r="B230" i="14"/>
  <c r="BB229" i="14"/>
  <c r="BA229" i="14"/>
  <c r="AZ229" i="14"/>
  <c r="AY229" i="14"/>
  <c r="S229" i="14" s="1"/>
  <c r="AA229" i="14" s="1"/>
  <c r="AX229" i="14"/>
  <c r="R229" i="14" s="1"/>
  <c r="Z229" i="14" s="1"/>
  <c r="AW229" i="14"/>
  <c r="Q229" i="14" s="1"/>
  <c r="Y229" i="14" s="1"/>
  <c r="AV229" i="14"/>
  <c r="P229" i="14" s="1"/>
  <c r="X229" i="14" s="1"/>
  <c r="AU229" i="14"/>
  <c r="O229" i="14" s="1"/>
  <c r="V229" i="14"/>
  <c r="AD229" i="14" s="1"/>
  <c r="U229" i="14"/>
  <c r="AC229" i="14" s="1"/>
  <c r="T229" i="14"/>
  <c r="AB229" i="14" s="1"/>
  <c r="B229" i="14"/>
  <c r="BB228" i="14"/>
  <c r="BA228" i="14"/>
  <c r="AZ228" i="14"/>
  <c r="T228" i="14" s="1"/>
  <c r="AB228" i="14" s="1"/>
  <c r="AY228" i="14"/>
  <c r="S228" i="14" s="1"/>
  <c r="AA228" i="14" s="1"/>
  <c r="AX228" i="14"/>
  <c r="R228" i="14" s="1"/>
  <c r="Z228" i="14" s="1"/>
  <c r="AW228" i="14"/>
  <c r="Q228" i="14" s="1"/>
  <c r="Y228" i="14" s="1"/>
  <c r="AV228" i="14"/>
  <c r="P228" i="14" s="1"/>
  <c r="X228" i="14" s="1"/>
  <c r="AU228" i="14"/>
  <c r="O228" i="14" s="1"/>
  <c r="V228" i="14"/>
  <c r="AD228" i="14" s="1"/>
  <c r="U228" i="14"/>
  <c r="AC228" i="14" s="1"/>
  <c r="B228" i="14"/>
  <c r="BB227" i="14"/>
  <c r="V227" i="14" s="1"/>
  <c r="AD227" i="14" s="1"/>
  <c r="BA227" i="14"/>
  <c r="U227" i="14" s="1"/>
  <c r="AC227" i="14" s="1"/>
  <c r="AZ227" i="14"/>
  <c r="T227" i="14" s="1"/>
  <c r="AB227" i="14" s="1"/>
  <c r="AY227" i="14"/>
  <c r="S227" i="14" s="1"/>
  <c r="AA227" i="14" s="1"/>
  <c r="AX227" i="14"/>
  <c r="R227" i="14" s="1"/>
  <c r="Z227" i="14" s="1"/>
  <c r="AW227" i="14"/>
  <c r="Q227" i="14" s="1"/>
  <c r="Y227" i="14" s="1"/>
  <c r="AV227" i="14"/>
  <c r="P227" i="14" s="1"/>
  <c r="X227" i="14" s="1"/>
  <c r="AU227" i="14"/>
  <c r="O227" i="14" s="1"/>
  <c r="B227" i="14"/>
  <c r="BB226" i="14"/>
  <c r="V226" i="14" s="1"/>
  <c r="AD226" i="14" s="1"/>
  <c r="BA226" i="14"/>
  <c r="U226" i="14" s="1"/>
  <c r="AC226" i="14" s="1"/>
  <c r="AZ226" i="14"/>
  <c r="T226" i="14" s="1"/>
  <c r="AB226" i="14" s="1"/>
  <c r="AY226" i="14"/>
  <c r="S226" i="14" s="1"/>
  <c r="AA226" i="14" s="1"/>
  <c r="AX226" i="14"/>
  <c r="R226" i="14" s="1"/>
  <c r="Z226" i="14" s="1"/>
  <c r="AW226" i="14"/>
  <c r="Q226" i="14" s="1"/>
  <c r="Y226" i="14" s="1"/>
  <c r="AV226" i="14"/>
  <c r="P226" i="14" s="1"/>
  <c r="X226" i="14" s="1"/>
  <c r="AU226" i="14"/>
  <c r="O226" i="14" s="1"/>
  <c r="B226" i="14"/>
  <c r="BB225" i="14"/>
  <c r="V225" i="14" s="1"/>
  <c r="AD225" i="14" s="1"/>
  <c r="BA225" i="14"/>
  <c r="U225" i="14" s="1"/>
  <c r="AC225" i="14" s="1"/>
  <c r="AZ225" i="14"/>
  <c r="T225" i="14" s="1"/>
  <c r="AB225" i="14" s="1"/>
  <c r="AY225" i="14"/>
  <c r="S225" i="14" s="1"/>
  <c r="AA225" i="14" s="1"/>
  <c r="AX225" i="14"/>
  <c r="R225" i="14" s="1"/>
  <c r="Z225" i="14" s="1"/>
  <c r="AW225" i="14"/>
  <c r="Q225" i="14" s="1"/>
  <c r="Y225" i="14" s="1"/>
  <c r="AV225" i="14"/>
  <c r="P225" i="14" s="1"/>
  <c r="X225" i="14" s="1"/>
  <c r="AU225" i="14"/>
  <c r="O225" i="14" s="1"/>
  <c r="B225" i="14"/>
  <c r="BB224" i="14"/>
  <c r="V224" i="14" s="1"/>
  <c r="AD224" i="14" s="1"/>
  <c r="BA224" i="14"/>
  <c r="U224" i="14" s="1"/>
  <c r="AC224" i="14" s="1"/>
  <c r="AZ224" i="14"/>
  <c r="T224" i="14" s="1"/>
  <c r="AB224" i="14" s="1"/>
  <c r="AY224" i="14"/>
  <c r="S224" i="14" s="1"/>
  <c r="AA224" i="14" s="1"/>
  <c r="AX224" i="14"/>
  <c r="R224" i="14" s="1"/>
  <c r="Z224" i="14" s="1"/>
  <c r="AW224" i="14"/>
  <c r="Q224" i="14" s="1"/>
  <c r="Y224" i="14" s="1"/>
  <c r="AV224" i="14"/>
  <c r="P224" i="14" s="1"/>
  <c r="X224" i="14" s="1"/>
  <c r="AU224" i="14"/>
  <c r="O224" i="14" s="1"/>
  <c r="B224" i="14"/>
  <c r="BB223" i="14"/>
  <c r="BA223" i="14"/>
  <c r="AZ223" i="14"/>
  <c r="AY223" i="14"/>
  <c r="AX223" i="14"/>
  <c r="R223" i="14" s="1"/>
  <c r="Z223" i="14" s="1"/>
  <c r="AW223" i="14"/>
  <c r="Q223" i="14" s="1"/>
  <c r="Y223" i="14" s="1"/>
  <c r="AV223" i="14"/>
  <c r="P223" i="14" s="1"/>
  <c r="X223" i="14" s="1"/>
  <c r="AU223" i="14"/>
  <c r="O223" i="14" s="1"/>
  <c r="V223" i="14"/>
  <c r="AD223" i="14" s="1"/>
  <c r="U223" i="14"/>
  <c r="AC223" i="14" s="1"/>
  <c r="T223" i="14"/>
  <c r="AB223" i="14" s="1"/>
  <c r="S223" i="14"/>
  <c r="AA223" i="14" s="1"/>
  <c r="B223" i="14"/>
  <c r="BB222" i="14"/>
  <c r="BA222" i="14"/>
  <c r="AZ222" i="14"/>
  <c r="T222" i="14" s="1"/>
  <c r="AB222" i="14" s="1"/>
  <c r="AY222" i="14"/>
  <c r="S222" i="14" s="1"/>
  <c r="AA222" i="14" s="1"/>
  <c r="AX222" i="14"/>
  <c r="R222" i="14" s="1"/>
  <c r="Z222" i="14" s="1"/>
  <c r="AW222" i="14"/>
  <c r="Q222" i="14" s="1"/>
  <c r="Y222" i="14" s="1"/>
  <c r="AV222" i="14"/>
  <c r="P222" i="14" s="1"/>
  <c r="X222" i="14" s="1"/>
  <c r="AU222" i="14"/>
  <c r="O222" i="14" s="1"/>
  <c r="V222" i="14"/>
  <c r="AD222" i="14" s="1"/>
  <c r="U222" i="14"/>
  <c r="AC222" i="14" s="1"/>
  <c r="B222" i="14"/>
  <c r="BB221" i="14"/>
  <c r="BA221" i="14"/>
  <c r="U221" i="14" s="1"/>
  <c r="AC221" i="14" s="1"/>
  <c r="AZ221" i="14"/>
  <c r="T221" i="14" s="1"/>
  <c r="AB221" i="14" s="1"/>
  <c r="AY221" i="14"/>
  <c r="S221" i="14" s="1"/>
  <c r="AA221" i="14" s="1"/>
  <c r="AX221" i="14"/>
  <c r="R221" i="14" s="1"/>
  <c r="Z221" i="14" s="1"/>
  <c r="AW221" i="14"/>
  <c r="Q221" i="14" s="1"/>
  <c r="Y221" i="14" s="1"/>
  <c r="AV221" i="14"/>
  <c r="P221" i="14" s="1"/>
  <c r="X221" i="14" s="1"/>
  <c r="AU221" i="14"/>
  <c r="O221" i="14" s="1"/>
  <c r="V221" i="14"/>
  <c r="AD221" i="14" s="1"/>
  <c r="B221" i="14"/>
  <c r="BB220" i="14"/>
  <c r="BA220" i="14"/>
  <c r="AZ220" i="14"/>
  <c r="T220" i="14" s="1"/>
  <c r="AB220" i="14" s="1"/>
  <c r="AY220" i="14"/>
  <c r="S220" i="14" s="1"/>
  <c r="AA220" i="14" s="1"/>
  <c r="AX220" i="14"/>
  <c r="R220" i="14" s="1"/>
  <c r="Z220" i="14" s="1"/>
  <c r="AW220" i="14"/>
  <c r="Q220" i="14" s="1"/>
  <c r="Y220" i="14" s="1"/>
  <c r="AV220" i="14"/>
  <c r="P220" i="14" s="1"/>
  <c r="X220" i="14" s="1"/>
  <c r="AU220" i="14"/>
  <c r="O220" i="14" s="1"/>
  <c r="V220" i="14"/>
  <c r="AD220" i="14" s="1"/>
  <c r="U220" i="14"/>
  <c r="AC220" i="14" s="1"/>
  <c r="B220" i="14"/>
  <c r="BB219" i="14"/>
  <c r="BA219" i="14"/>
  <c r="U219" i="14" s="1"/>
  <c r="AC219" i="14" s="1"/>
  <c r="AZ219" i="14"/>
  <c r="T219" i="14" s="1"/>
  <c r="AB219" i="14" s="1"/>
  <c r="AY219" i="14"/>
  <c r="S219" i="14" s="1"/>
  <c r="AA219" i="14" s="1"/>
  <c r="AX219" i="14"/>
  <c r="R219" i="14" s="1"/>
  <c r="Z219" i="14" s="1"/>
  <c r="AW219" i="14"/>
  <c r="Q219" i="14" s="1"/>
  <c r="Y219" i="14" s="1"/>
  <c r="AV219" i="14"/>
  <c r="P219" i="14" s="1"/>
  <c r="X219" i="14" s="1"/>
  <c r="AU219" i="14"/>
  <c r="O219" i="14" s="1"/>
  <c r="V219" i="14"/>
  <c r="AD219" i="14" s="1"/>
  <c r="B219" i="14"/>
  <c r="BB218" i="14"/>
  <c r="V218" i="14" s="1"/>
  <c r="AD218" i="14" s="1"/>
  <c r="BA218" i="14"/>
  <c r="U218" i="14" s="1"/>
  <c r="AC218" i="14" s="1"/>
  <c r="AZ218" i="14"/>
  <c r="T218" i="14" s="1"/>
  <c r="AB218" i="14" s="1"/>
  <c r="AY218" i="14"/>
  <c r="S218" i="14" s="1"/>
  <c r="AA218" i="14" s="1"/>
  <c r="AX218" i="14"/>
  <c r="R218" i="14" s="1"/>
  <c r="Z218" i="14" s="1"/>
  <c r="AW218" i="14"/>
  <c r="Q218" i="14" s="1"/>
  <c r="Y218" i="14" s="1"/>
  <c r="AV218" i="14"/>
  <c r="P218" i="14" s="1"/>
  <c r="X218" i="14" s="1"/>
  <c r="AU218" i="14"/>
  <c r="O218" i="14" s="1"/>
  <c r="B218" i="14"/>
  <c r="BB217" i="14"/>
  <c r="BA217" i="14"/>
  <c r="AZ217" i="14"/>
  <c r="T217" i="14" s="1"/>
  <c r="AB217" i="14" s="1"/>
  <c r="AY217" i="14"/>
  <c r="S217" i="14" s="1"/>
  <c r="AA217" i="14" s="1"/>
  <c r="AX217" i="14"/>
  <c r="R217" i="14" s="1"/>
  <c r="Z217" i="14" s="1"/>
  <c r="AW217" i="14"/>
  <c r="Q217" i="14" s="1"/>
  <c r="Y217" i="14" s="1"/>
  <c r="AV217" i="14"/>
  <c r="P217" i="14" s="1"/>
  <c r="X217" i="14" s="1"/>
  <c r="AU217" i="14"/>
  <c r="O217" i="14" s="1"/>
  <c r="V217" i="14"/>
  <c r="AD217" i="14" s="1"/>
  <c r="U217" i="14"/>
  <c r="AC217" i="14" s="1"/>
  <c r="B217" i="14"/>
  <c r="BB216" i="14"/>
  <c r="BA216" i="14"/>
  <c r="AZ216" i="14"/>
  <c r="T216" i="14" s="1"/>
  <c r="AB216" i="14" s="1"/>
  <c r="AY216" i="14"/>
  <c r="S216" i="14" s="1"/>
  <c r="AA216" i="14" s="1"/>
  <c r="AX216" i="14"/>
  <c r="R216" i="14" s="1"/>
  <c r="Z216" i="14" s="1"/>
  <c r="AW216" i="14"/>
  <c r="Q216" i="14" s="1"/>
  <c r="Y216" i="14" s="1"/>
  <c r="AV216" i="14"/>
  <c r="P216" i="14" s="1"/>
  <c r="X216" i="14" s="1"/>
  <c r="AU216" i="14"/>
  <c r="O216" i="14" s="1"/>
  <c r="V216" i="14"/>
  <c r="AD216" i="14" s="1"/>
  <c r="U216" i="14"/>
  <c r="AC216" i="14" s="1"/>
  <c r="B216" i="14"/>
  <c r="BB215" i="14"/>
  <c r="BA215" i="14"/>
  <c r="AZ215" i="14"/>
  <c r="AY215" i="14"/>
  <c r="AX215" i="14"/>
  <c r="AW215" i="14"/>
  <c r="Q215" i="14" s="1"/>
  <c r="Y215" i="14" s="1"/>
  <c r="AV215" i="14"/>
  <c r="P215" i="14" s="1"/>
  <c r="X215" i="14" s="1"/>
  <c r="AU215" i="14"/>
  <c r="O215" i="14" s="1"/>
  <c r="V215" i="14"/>
  <c r="AD215" i="14" s="1"/>
  <c r="U215" i="14"/>
  <c r="AC215" i="14" s="1"/>
  <c r="T215" i="14"/>
  <c r="AB215" i="14" s="1"/>
  <c r="S215" i="14"/>
  <c r="AA215" i="14" s="1"/>
  <c r="R215" i="14"/>
  <c r="Z215" i="14" s="1"/>
  <c r="B215" i="14"/>
  <c r="BB214" i="14"/>
  <c r="BA214" i="14"/>
  <c r="AZ214" i="14"/>
  <c r="AY214" i="14"/>
  <c r="AX214" i="14"/>
  <c r="R214" i="14" s="1"/>
  <c r="Z214" i="14" s="1"/>
  <c r="AW214" i="14"/>
  <c r="Q214" i="14" s="1"/>
  <c r="Y214" i="14" s="1"/>
  <c r="AV214" i="14"/>
  <c r="P214" i="14" s="1"/>
  <c r="X214" i="14" s="1"/>
  <c r="AU214" i="14"/>
  <c r="O214" i="14" s="1"/>
  <c r="V214" i="14"/>
  <c r="AD214" i="14" s="1"/>
  <c r="U214" i="14"/>
  <c r="AC214" i="14" s="1"/>
  <c r="T214" i="14"/>
  <c r="AB214" i="14" s="1"/>
  <c r="S214" i="14"/>
  <c r="AA214" i="14" s="1"/>
  <c r="B214" i="14"/>
  <c r="BB213" i="14"/>
  <c r="BA213" i="14"/>
  <c r="AZ213" i="14"/>
  <c r="T213" i="14" s="1"/>
  <c r="AB213" i="14" s="1"/>
  <c r="AY213" i="14"/>
  <c r="S213" i="14" s="1"/>
  <c r="AA213" i="14" s="1"/>
  <c r="AX213" i="14"/>
  <c r="R213" i="14" s="1"/>
  <c r="Z213" i="14" s="1"/>
  <c r="AW213" i="14"/>
  <c r="Q213" i="14" s="1"/>
  <c r="Y213" i="14" s="1"/>
  <c r="AV213" i="14"/>
  <c r="P213" i="14" s="1"/>
  <c r="X213" i="14" s="1"/>
  <c r="AU213" i="14"/>
  <c r="O213" i="14" s="1"/>
  <c r="V213" i="14"/>
  <c r="AD213" i="14" s="1"/>
  <c r="U213" i="14"/>
  <c r="AC213" i="14" s="1"/>
  <c r="B213" i="14"/>
  <c r="BB212" i="14"/>
  <c r="BA212" i="14"/>
  <c r="AZ212" i="14"/>
  <c r="T212" i="14" s="1"/>
  <c r="AB212" i="14" s="1"/>
  <c r="AY212" i="14"/>
  <c r="S212" i="14" s="1"/>
  <c r="AA212" i="14" s="1"/>
  <c r="AX212" i="14"/>
  <c r="R212" i="14" s="1"/>
  <c r="Z212" i="14" s="1"/>
  <c r="AW212" i="14"/>
  <c r="Q212" i="14" s="1"/>
  <c r="Y212" i="14" s="1"/>
  <c r="AV212" i="14"/>
  <c r="P212" i="14" s="1"/>
  <c r="X212" i="14" s="1"/>
  <c r="AU212" i="14"/>
  <c r="O212" i="14" s="1"/>
  <c r="V212" i="14"/>
  <c r="AD212" i="14" s="1"/>
  <c r="U212" i="14"/>
  <c r="AC212" i="14" s="1"/>
  <c r="B212" i="14"/>
  <c r="BB211" i="14"/>
  <c r="BA211" i="14"/>
  <c r="U211" i="14" s="1"/>
  <c r="AC211" i="14" s="1"/>
  <c r="AZ211" i="14"/>
  <c r="T211" i="14" s="1"/>
  <c r="AB211" i="14" s="1"/>
  <c r="AY211" i="14"/>
  <c r="S211" i="14" s="1"/>
  <c r="AA211" i="14" s="1"/>
  <c r="AX211" i="14"/>
  <c r="R211" i="14" s="1"/>
  <c r="Z211" i="14" s="1"/>
  <c r="AW211" i="14"/>
  <c r="Q211" i="14" s="1"/>
  <c r="Y211" i="14" s="1"/>
  <c r="AV211" i="14"/>
  <c r="P211" i="14" s="1"/>
  <c r="X211" i="14" s="1"/>
  <c r="AU211" i="14"/>
  <c r="O211" i="14" s="1"/>
  <c r="V211" i="14"/>
  <c r="AD211" i="14" s="1"/>
  <c r="B211" i="14"/>
  <c r="BB210" i="14"/>
  <c r="V210" i="14" s="1"/>
  <c r="AD210" i="14" s="1"/>
  <c r="BA210" i="14"/>
  <c r="U210" i="14" s="1"/>
  <c r="AC210" i="14" s="1"/>
  <c r="AZ210" i="14"/>
  <c r="T210" i="14" s="1"/>
  <c r="AB210" i="14" s="1"/>
  <c r="AY210" i="14"/>
  <c r="S210" i="14" s="1"/>
  <c r="AA210" i="14" s="1"/>
  <c r="AX210" i="14"/>
  <c r="AW210" i="14"/>
  <c r="AV210" i="14"/>
  <c r="P210" i="14" s="1"/>
  <c r="X210" i="14" s="1"/>
  <c r="AU210" i="14"/>
  <c r="O210" i="14" s="1"/>
  <c r="R210" i="14"/>
  <c r="Z210" i="14" s="1"/>
  <c r="Q210" i="14"/>
  <c r="Y210" i="14" s="1"/>
  <c r="B210" i="14"/>
  <c r="BB209" i="14"/>
  <c r="BA209" i="14"/>
  <c r="AZ209" i="14"/>
  <c r="AY209" i="14"/>
  <c r="AX209" i="14"/>
  <c r="R209" i="14" s="1"/>
  <c r="Z209" i="14" s="1"/>
  <c r="AW209" i="14"/>
  <c r="Q209" i="14" s="1"/>
  <c r="Y209" i="14" s="1"/>
  <c r="AV209" i="14"/>
  <c r="P209" i="14" s="1"/>
  <c r="X209" i="14" s="1"/>
  <c r="AU209" i="14"/>
  <c r="O209" i="14" s="1"/>
  <c r="V209" i="14"/>
  <c r="AD209" i="14" s="1"/>
  <c r="U209" i="14"/>
  <c r="AC209" i="14" s="1"/>
  <c r="T209" i="14"/>
  <c r="AB209" i="14" s="1"/>
  <c r="S209" i="14"/>
  <c r="AA209" i="14" s="1"/>
  <c r="B209" i="14"/>
  <c r="BB208" i="14"/>
  <c r="BA208" i="14"/>
  <c r="AZ208" i="14"/>
  <c r="AY208" i="14"/>
  <c r="S208" i="14" s="1"/>
  <c r="AA208" i="14" s="1"/>
  <c r="AX208" i="14"/>
  <c r="R208" i="14" s="1"/>
  <c r="Z208" i="14" s="1"/>
  <c r="AW208" i="14"/>
  <c r="Q208" i="14" s="1"/>
  <c r="Y208" i="14" s="1"/>
  <c r="AV208" i="14"/>
  <c r="P208" i="14" s="1"/>
  <c r="X208" i="14" s="1"/>
  <c r="AU208" i="14"/>
  <c r="O208" i="14" s="1"/>
  <c r="V208" i="14"/>
  <c r="AD208" i="14" s="1"/>
  <c r="U208" i="14"/>
  <c r="AC208" i="14" s="1"/>
  <c r="T208" i="14"/>
  <c r="AB208" i="14" s="1"/>
  <c r="B208" i="14"/>
  <c r="BB207" i="14"/>
  <c r="BA207" i="14"/>
  <c r="AZ207" i="14"/>
  <c r="AY207" i="14"/>
  <c r="S207" i="14" s="1"/>
  <c r="AA207" i="14" s="1"/>
  <c r="AX207" i="14"/>
  <c r="R207" i="14" s="1"/>
  <c r="Z207" i="14" s="1"/>
  <c r="AW207" i="14"/>
  <c r="Q207" i="14" s="1"/>
  <c r="Y207" i="14" s="1"/>
  <c r="AV207" i="14"/>
  <c r="P207" i="14" s="1"/>
  <c r="X207" i="14" s="1"/>
  <c r="AU207" i="14"/>
  <c r="O207" i="14" s="1"/>
  <c r="V207" i="14"/>
  <c r="AD207" i="14" s="1"/>
  <c r="U207" i="14"/>
  <c r="AC207" i="14" s="1"/>
  <c r="T207" i="14"/>
  <c r="AB207" i="14" s="1"/>
  <c r="B207" i="14"/>
  <c r="BB206" i="14"/>
  <c r="BA206" i="14"/>
  <c r="AZ206" i="14"/>
  <c r="AY206" i="14"/>
  <c r="S206" i="14" s="1"/>
  <c r="AA206" i="14" s="1"/>
  <c r="AX206" i="14"/>
  <c r="R206" i="14" s="1"/>
  <c r="Z206" i="14" s="1"/>
  <c r="AW206" i="14"/>
  <c r="Q206" i="14" s="1"/>
  <c r="Y206" i="14" s="1"/>
  <c r="AV206" i="14"/>
  <c r="P206" i="14" s="1"/>
  <c r="X206" i="14" s="1"/>
  <c r="AU206" i="14"/>
  <c r="O206" i="14" s="1"/>
  <c r="V206" i="14"/>
  <c r="AD206" i="14" s="1"/>
  <c r="U206" i="14"/>
  <c r="AC206" i="14" s="1"/>
  <c r="T206" i="14"/>
  <c r="AB206" i="14" s="1"/>
  <c r="B206" i="14"/>
  <c r="BB205" i="14"/>
  <c r="BA205" i="14"/>
  <c r="AZ205" i="14"/>
  <c r="AY205" i="14"/>
  <c r="S205" i="14" s="1"/>
  <c r="AA205" i="14" s="1"/>
  <c r="AX205" i="14"/>
  <c r="R205" i="14" s="1"/>
  <c r="Z205" i="14" s="1"/>
  <c r="AW205" i="14"/>
  <c r="Q205" i="14" s="1"/>
  <c r="Y205" i="14" s="1"/>
  <c r="AV205" i="14"/>
  <c r="P205" i="14" s="1"/>
  <c r="X205" i="14" s="1"/>
  <c r="AU205" i="14"/>
  <c r="O205" i="14" s="1"/>
  <c r="V205" i="14"/>
  <c r="AD205" i="14" s="1"/>
  <c r="U205" i="14"/>
  <c r="AC205" i="14" s="1"/>
  <c r="T205" i="14"/>
  <c r="AB205" i="14" s="1"/>
  <c r="B205" i="14"/>
  <c r="BB204" i="14"/>
  <c r="BA204" i="14"/>
  <c r="AZ204" i="14"/>
  <c r="T204" i="14" s="1"/>
  <c r="AB204" i="14" s="1"/>
  <c r="AY204" i="14"/>
  <c r="S204" i="14" s="1"/>
  <c r="AA204" i="14" s="1"/>
  <c r="AX204" i="14"/>
  <c r="R204" i="14" s="1"/>
  <c r="Z204" i="14" s="1"/>
  <c r="AW204" i="14"/>
  <c r="Q204" i="14" s="1"/>
  <c r="Y204" i="14" s="1"/>
  <c r="AV204" i="14"/>
  <c r="P204" i="14" s="1"/>
  <c r="X204" i="14" s="1"/>
  <c r="AU204" i="14"/>
  <c r="O204" i="14" s="1"/>
  <c r="V204" i="14"/>
  <c r="AD204" i="14" s="1"/>
  <c r="U204" i="14"/>
  <c r="AC204" i="14" s="1"/>
  <c r="B204" i="14"/>
  <c r="BB203" i="14"/>
  <c r="BA203" i="14"/>
  <c r="U203" i="14" s="1"/>
  <c r="AC203" i="14" s="1"/>
  <c r="AZ203" i="14"/>
  <c r="T203" i="14" s="1"/>
  <c r="AB203" i="14" s="1"/>
  <c r="AY203" i="14"/>
  <c r="S203" i="14" s="1"/>
  <c r="AA203" i="14" s="1"/>
  <c r="AX203" i="14"/>
  <c r="R203" i="14" s="1"/>
  <c r="Z203" i="14" s="1"/>
  <c r="AW203" i="14"/>
  <c r="Q203" i="14" s="1"/>
  <c r="Y203" i="14" s="1"/>
  <c r="AV203" i="14"/>
  <c r="P203" i="14" s="1"/>
  <c r="X203" i="14" s="1"/>
  <c r="AU203" i="14"/>
  <c r="O203" i="14" s="1"/>
  <c r="V203" i="14"/>
  <c r="AD203" i="14" s="1"/>
  <c r="B203" i="14"/>
  <c r="BB202" i="14"/>
  <c r="V202" i="14" s="1"/>
  <c r="AD202" i="14" s="1"/>
  <c r="BA202" i="14"/>
  <c r="U202" i="14" s="1"/>
  <c r="AC202" i="14" s="1"/>
  <c r="AZ202" i="14"/>
  <c r="T202" i="14" s="1"/>
  <c r="AB202" i="14" s="1"/>
  <c r="AY202" i="14"/>
  <c r="S202" i="14" s="1"/>
  <c r="AA202" i="14" s="1"/>
  <c r="AX202" i="14"/>
  <c r="R202" i="14" s="1"/>
  <c r="Z202" i="14" s="1"/>
  <c r="AW202" i="14"/>
  <c r="Q202" i="14" s="1"/>
  <c r="Y202" i="14" s="1"/>
  <c r="AV202" i="14"/>
  <c r="P202" i="14" s="1"/>
  <c r="X202" i="14" s="1"/>
  <c r="AU202" i="14"/>
  <c r="O202" i="14" s="1"/>
  <c r="B202" i="14"/>
  <c r="BB201" i="14"/>
  <c r="BA201" i="14"/>
  <c r="U201" i="14" s="1"/>
  <c r="AC201" i="14" s="1"/>
  <c r="AZ201" i="14"/>
  <c r="T201" i="14" s="1"/>
  <c r="AB201" i="14" s="1"/>
  <c r="AY201" i="14"/>
  <c r="S201" i="14" s="1"/>
  <c r="AA201" i="14" s="1"/>
  <c r="AX201" i="14"/>
  <c r="R201" i="14" s="1"/>
  <c r="Z201" i="14" s="1"/>
  <c r="AW201" i="14"/>
  <c r="AV201" i="14"/>
  <c r="P201" i="14" s="1"/>
  <c r="X201" i="14" s="1"/>
  <c r="AU201" i="14"/>
  <c r="O201" i="14" s="1"/>
  <c r="V201" i="14"/>
  <c r="AD201" i="14" s="1"/>
  <c r="Q201" i="14"/>
  <c r="Y201" i="14" s="1"/>
  <c r="B201" i="14"/>
  <c r="BB200" i="14"/>
  <c r="BA200" i="14"/>
  <c r="U200" i="14" s="1"/>
  <c r="AC200" i="14" s="1"/>
  <c r="AZ200" i="14"/>
  <c r="T200" i="14" s="1"/>
  <c r="AB200" i="14" s="1"/>
  <c r="AY200" i="14"/>
  <c r="S200" i="14" s="1"/>
  <c r="AA200" i="14" s="1"/>
  <c r="AX200" i="14"/>
  <c r="R200" i="14" s="1"/>
  <c r="Z200" i="14" s="1"/>
  <c r="AW200" i="14"/>
  <c r="Q200" i="14" s="1"/>
  <c r="Y200" i="14" s="1"/>
  <c r="AV200" i="14"/>
  <c r="P200" i="14" s="1"/>
  <c r="X200" i="14" s="1"/>
  <c r="AU200" i="14"/>
  <c r="O200" i="14" s="1"/>
  <c r="V200" i="14"/>
  <c r="AD200" i="14" s="1"/>
  <c r="B200" i="14"/>
  <c r="BB199" i="14"/>
  <c r="BA199" i="14"/>
  <c r="AZ199" i="14"/>
  <c r="T199" i="14" s="1"/>
  <c r="AB199" i="14" s="1"/>
  <c r="AY199" i="14"/>
  <c r="S199" i="14" s="1"/>
  <c r="AA199" i="14" s="1"/>
  <c r="AX199" i="14"/>
  <c r="R199" i="14" s="1"/>
  <c r="Z199" i="14" s="1"/>
  <c r="AW199" i="14"/>
  <c r="Q199" i="14" s="1"/>
  <c r="Y199" i="14" s="1"/>
  <c r="AV199" i="14"/>
  <c r="P199" i="14" s="1"/>
  <c r="X199" i="14" s="1"/>
  <c r="AU199" i="14"/>
  <c r="O199" i="14" s="1"/>
  <c r="V199" i="14"/>
  <c r="AD199" i="14" s="1"/>
  <c r="U199" i="14"/>
  <c r="AC199" i="14" s="1"/>
  <c r="B199" i="14"/>
  <c r="BB198" i="14"/>
  <c r="BA198" i="14"/>
  <c r="U198" i="14" s="1"/>
  <c r="AC198" i="14" s="1"/>
  <c r="AZ198" i="14"/>
  <c r="T198" i="14" s="1"/>
  <c r="AB198" i="14" s="1"/>
  <c r="AY198" i="14"/>
  <c r="S198" i="14" s="1"/>
  <c r="AA198" i="14" s="1"/>
  <c r="AX198" i="14"/>
  <c r="R198" i="14" s="1"/>
  <c r="Z198" i="14" s="1"/>
  <c r="AW198" i="14"/>
  <c r="Q198" i="14" s="1"/>
  <c r="Y198" i="14" s="1"/>
  <c r="AV198" i="14"/>
  <c r="P198" i="14" s="1"/>
  <c r="X198" i="14" s="1"/>
  <c r="AU198" i="14"/>
  <c r="O198" i="14" s="1"/>
  <c r="V198" i="14"/>
  <c r="AD198" i="14" s="1"/>
  <c r="B198" i="14"/>
  <c r="BB197" i="14"/>
  <c r="V197" i="14" s="1"/>
  <c r="AD197" i="14" s="1"/>
  <c r="BA197" i="14"/>
  <c r="U197" i="14" s="1"/>
  <c r="AC197" i="14" s="1"/>
  <c r="AZ197" i="14"/>
  <c r="T197" i="14" s="1"/>
  <c r="AB197" i="14" s="1"/>
  <c r="AY197" i="14"/>
  <c r="S197" i="14" s="1"/>
  <c r="AA197" i="14" s="1"/>
  <c r="AX197" i="14"/>
  <c r="R197" i="14" s="1"/>
  <c r="Z197" i="14" s="1"/>
  <c r="AW197" i="14"/>
  <c r="Q197" i="14" s="1"/>
  <c r="Y197" i="14" s="1"/>
  <c r="AV197" i="14"/>
  <c r="P197" i="14" s="1"/>
  <c r="X197" i="14" s="1"/>
  <c r="AU197" i="14"/>
  <c r="O197" i="14" s="1"/>
  <c r="B197" i="14"/>
  <c r="BB196" i="14"/>
  <c r="BA196" i="14"/>
  <c r="AZ196" i="14"/>
  <c r="T196" i="14" s="1"/>
  <c r="AB196" i="14" s="1"/>
  <c r="AY196" i="14"/>
  <c r="S196" i="14" s="1"/>
  <c r="AA196" i="14" s="1"/>
  <c r="AX196" i="14"/>
  <c r="R196" i="14" s="1"/>
  <c r="Z196" i="14" s="1"/>
  <c r="AW196" i="14"/>
  <c r="Q196" i="14" s="1"/>
  <c r="Y196" i="14" s="1"/>
  <c r="AV196" i="14"/>
  <c r="P196" i="14" s="1"/>
  <c r="X196" i="14" s="1"/>
  <c r="AU196" i="14"/>
  <c r="O196" i="14" s="1"/>
  <c r="V196" i="14"/>
  <c r="AD196" i="14" s="1"/>
  <c r="U196" i="14"/>
  <c r="AC196" i="14" s="1"/>
  <c r="B196" i="14"/>
  <c r="BB195" i="14"/>
  <c r="BA195" i="14"/>
  <c r="U195" i="14" s="1"/>
  <c r="AC195" i="14" s="1"/>
  <c r="AZ195" i="14"/>
  <c r="T195" i="14" s="1"/>
  <c r="AB195" i="14" s="1"/>
  <c r="AY195" i="14"/>
  <c r="S195" i="14" s="1"/>
  <c r="AA195" i="14" s="1"/>
  <c r="AX195" i="14"/>
  <c r="R195" i="14" s="1"/>
  <c r="Z195" i="14" s="1"/>
  <c r="AW195" i="14"/>
  <c r="Q195" i="14" s="1"/>
  <c r="Y195" i="14" s="1"/>
  <c r="AV195" i="14"/>
  <c r="P195" i="14" s="1"/>
  <c r="X195" i="14" s="1"/>
  <c r="AU195" i="14"/>
  <c r="O195" i="14" s="1"/>
  <c r="V195" i="14"/>
  <c r="AD195" i="14" s="1"/>
  <c r="B195" i="14"/>
  <c r="BB194" i="14"/>
  <c r="V194" i="14" s="1"/>
  <c r="AD194" i="14" s="1"/>
  <c r="BA194" i="14"/>
  <c r="U194" i="14" s="1"/>
  <c r="AC194" i="14" s="1"/>
  <c r="AZ194" i="14"/>
  <c r="T194" i="14" s="1"/>
  <c r="AB194" i="14" s="1"/>
  <c r="AY194" i="14"/>
  <c r="S194" i="14" s="1"/>
  <c r="AA194" i="14" s="1"/>
  <c r="AX194" i="14"/>
  <c r="R194" i="14" s="1"/>
  <c r="Z194" i="14" s="1"/>
  <c r="AW194" i="14"/>
  <c r="Q194" i="14" s="1"/>
  <c r="Y194" i="14" s="1"/>
  <c r="AV194" i="14"/>
  <c r="P194" i="14" s="1"/>
  <c r="X194" i="14" s="1"/>
  <c r="AU194" i="14"/>
  <c r="O194" i="14" s="1"/>
  <c r="B194" i="14"/>
  <c r="BB193" i="14"/>
  <c r="V193" i="14" s="1"/>
  <c r="AD193" i="14" s="1"/>
  <c r="BA193" i="14"/>
  <c r="U193" i="14" s="1"/>
  <c r="AC193" i="14" s="1"/>
  <c r="AZ193" i="14"/>
  <c r="T193" i="14" s="1"/>
  <c r="AB193" i="14" s="1"/>
  <c r="AY193" i="14"/>
  <c r="S193" i="14" s="1"/>
  <c r="AA193" i="14" s="1"/>
  <c r="AX193" i="14"/>
  <c r="R193" i="14" s="1"/>
  <c r="Z193" i="14" s="1"/>
  <c r="AW193" i="14"/>
  <c r="Q193" i="14" s="1"/>
  <c r="Y193" i="14" s="1"/>
  <c r="AV193" i="14"/>
  <c r="P193" i="14" s="1"/>
  <c r="X193" i="14" s="1"/>
  <c r="AU193" i="14"/>
  <c r="O193" i="14" s="1"/>
  <c r="B193" i="14"/>
  <c r="BB192" i="14"/>
  <c r="V192" i="14" s="1"/>
  <c r="AD192" i="14" s="1"/>
  <c r="BA192" i="14"/>
  <c r="U192" i="14" s="1"/>
  <c r="AC192" i="14" s="1"/>
  <c r="AZ192" i="14"/>
  <c r="T192" i="14" s="1"/>
  <c r="AB192" i="14" s="1"/>
  <c r="AY192" i="14"/>
  <c r="S192" i="14" s="1"/>
  <c r="AA192" i="14" s="1"/>
  <c r="AX192" i="14"/>
  <c r="R192" i="14" s="1"/>
  <c r="Z192" i="14" s="1"/>
  <c r="AW192" i="14"/>
  <c r="Q192" i="14" s="1"/>
  <c r="Y192" i="14" s="1"/>
  <c r="AV192" i="14"/>
  <c r="P192" i="14" s="1"/>
  <c r="X192" i="14" s="1"/>
  <c r="AU192" i="14"/>
  <c r="O192" i="14" s="1"/>
  <c r="B192" i="14"/>
  <c r="BB191" i="14"/>
  <c r="BA191" i="14"/>
  <c r="AZ191" i="14"/>
  <c r="T191" i="14" s="1"/>
  <c r="AB191" i="14" s="1"/>
  <c r="AY191" i="14"/>
  <c r="S191" i="14" s="1"/>
  <c r="AA191" i="14" s="1"/>
  <c r="AX191" i="14"/>
  <c r="R191" i="14" s="1"/>
  <c r="Z191" i="14" s="1"/>
  <c r="AW191" i="14"/>
  <c r="Q191" i="14" s="1"/>
  <c r="Y191" i="14" s="1"/>
  <c r="AV191" i="14"/>
  <c r="P191" i="14" s="1"/>
  <c r="X191" i="14" s="1"/>
  <c r="AU191" i="14"/>
  <c r="O191" i="14" s="1"/>
  <c r="V191" i="14"/>
  <c r="AD191" i="14" s="1"/>
  <c r="U191" i="14"/>
  <c r="AC191" i="14" s="1"/>
  <c r="B191" i="14"/>
  <c r="BB190" i="14"/>
  <c r="V190" i="14" s="1"/>
  <c r="AD190" i="14" s="1"/>
  <c r="BA190" i="14"/>
  <c r="U190" i="14" s="1"/>
  <c r="AC190" i="14" s="1"/>
  <c r="AZ190" i="14"/>
  <c r="T190" i="14" s="1"/>
  <c r="AB190" i="14" s="1"/>
  <c r="AY190" i="14"/>
  <c r="S190" i="14" s="1"/>
  <c r="AA190" i="14" s="1"/>
  <c r="AX190" i="14"/>
  <c r="R190" i="14" s="1"/>
  <c r="Z190" i="14" s="1"/>
  <c r="AW190" i="14"/>
  <c r="Q190" i="14" s="1"/>
  <c r="Y190" i="14" s="1"/>
  <c r="AV190" i="14"/>
  <c r="P190" i="14" s="1"/>
  <c r="X190" i="14" s="1"/>
  <c r="AU190" i="14"/>
  <c r="O190" i="14" s="1"/>
  <c r="B190" i="14"/>
  <c r="BB189" i="14"/>
  <c r="BA189" i="14"/>
  <c r="AZ189" i="14"/>
  <c r="AY189" i="14"/>
  <c r="S189" i="14" s="1"/>
  <c r="AA189" i="14" s="1"/>
  <c r="AX189" i="14"/>
  <c r="R189" i="14" s="1"/>
  <c r="Z189" i="14" s="1"/>
  <c r="AW189" i="14"/>
  <c r="Q189" i="14" s="1"/>
  <c r="Y189" i="14" s="1"/>
  <c r="AV189" i="14"/>
  <c r="P189" i="14" s="1"/>
  <c r="X189" i="14" s="1"/>
  <c r="AU189" i="14"/>
  <c r="O189" i="14" s="1"/>
  <c r="V189" i="14"/>
  <c r="AD189" i="14" s="1"/>
  <c r="U189" i="14"/>
  <c r="AC189" i="14" s="1"/>
  <c r="T189" i="14"/>
  <c r="AB189" i="14" s="1"/>
  <c r="B189" i="14"/>
  <c r="BB188" i="14"/>
  <c r="V188" i="14" s="1"/>
  <c r="AD188" i="14" s="1"/>
  <c r="BA188" i="14"/>
  <c r="U188" i="14" s="1"/>
  <c r="AC188" i="14" s="1"/>
  <c r="AZ188" i="14"/>
  <c r="T188" i="14" s="1"/>
  <c r="AB188" i="14" s="1"/>
  <c r="AY188" i="14"/>
  <c r="S188" i="14" s="1"/>
  <c r="AA188" i="14" s="1"/>
  <c r="AX188" i="14"/>
  <c r="R188" i="14" s="1"/>
  <c r="Z188" i="14" s="1"/>
  <c r="AW188" i="14"/>
  <c r="Q188" i="14" s="1"/>
  <c r="Y188" i="14" s="1"/>
  <c r="AV188" i="14"/>
  <c r="P188" i="14" s="1"/>
  <c r="X188" i="14" s="1"/>
  <c r="AU188" i="14"/>
  <c r="O188" i="14" s="1"/>
  <c r="B188" i="14"/>
  <c r="BB187" i="14"/>
  <c r="BA187" i="14"/>
  <c r="U187" i="14" s="1"/>
  <c r="AC187" i="14" s="1"/>
  <c r="AZ187" i="14"/>
  <c r="T187" i="14" s="1"/>
  <c r="AB187" i="14" s="1"/>
  <c r="AY187" i="14"/>
  <c r="S187" i="14" s="1"/>
  <c r="AA187" i="14" s="1"/>
  <c r="AX187" i="14"/>
  <c r="R187" i="14" s="1"/>
  <c r="Z187" i="14" s="1"/>
  <c r="AW187" i="14"/>
  <c r="Q187" i="14" s="1"/>
  <c r="Y187" i="14" s="1"/>
  <c r="AV187" i="14"/>
  <c r="P187" i="14" s="1"/>
  <c r="X187" i="14" s="1"/>
  <c r="AU187" i="14"/>
  <c r="O187" i="14" s="1"/>
  <c r="V187" i="14"/>
  <c r="AD187" i="14" s="1"/>
  <c r="B187" i="14"/>
  <c r="BB186" i="14"/>
  <c r="V186" i="14" s="1"/>
  <c r="AD186" i="14" s="1"/>
  <c r="BA186" i="14"/>
  <c r="U186" i="14" s="1"/>
  <c r="AC186" i="14" s="1"/>
  <c r="AZ186" i="14"/>
  <c r="T186" i="14" s="1"/>
  <c r="AB186" i="14" s="1"/>
  <c r="AY186" i="14"/>
  <c r="S186" i="14" s="1"/>
  <c r="AA186" i="14" s="1"/>
  <c r="AX186" i="14"/>
  <c r="R186" i="14" s="1"/>
  <c r="Z186" i="14" s="1"/>
  <c r="AW186" i="14"/>
  <c r="Q186" i="14" s="1"/>
  <c r="Y186" i="14" s="1"/>
  <c r="AV186" i="14"/>
  <c r="P186" i="14" s="1"/>
  <c r="X186" i="14" s="1"/>
  <c r="AU186" i="14"/>
  <c r="O186" i="14" s="1"/>
  <c r="B186" i="14"/>
  <c r="BB185" i="14"/>
  <c r="BA185" i="14"/>
  <c r="U185" i="14" s="1"/>
  <c r="AC185" i="14" s="1"/>
  <c r="AZ185" i="14"/>
  <c r="T185" i="14" s="1"/>
  <c r="AB185" i="14" s="1"/>
  <c r="AY185" i="14"/>
  <c r="S185" i="14" s="1"/>
  <c r="AA185" i="14" s="1"/>
  <c r="AX185" i="14"/>
  <c r="R185" i="14" s="1"/>
  <c r="Z185" i="14" s="1"/>
  <c r="AW185" i="14"/>
  <c r="Q185" i="14" s="1"/>
  <c r="Y185" i="14" s="1"/>
  <c r="AV185" i="14"/>
  <c r="P185" i="14" s="1"/>
  <c r="X185" i="14" s="1"/>
  <c r="AU185" i="14"/>
  <c r="O185" i="14" s="1"/>
  <c r="V185" i="14"/>
  <c r="AD185" i="14" s="1"/>
  <c r="B185" i="14"/>
  <c r="BB184" i="14"/>
  <c r="BA184" i="14"/>
  <c r="AZ184" i="14"/>
  <c r="AY184" i="14"/>
  <c r="AX184" i="14"/>
  <c r="AW184" i="14"/>
  <c r="Q184" i="14" s="1"/>
  <c r="Y184" i="14" s="1"/>
  <c r="AV184" i="14"/>
  <c r="P184" i="14" s="1"/>
  <c r="X184" i="14" s="1"/>
  <c r="AU184" i="14"/>
  <c r="O184" i="14" s="1"/>
  <c r="V184" i="14"/>
  <c r="AD184" i="14" s="1"/>
  <c r="U184" i="14"/>
  <c r="AC184" i="14" s="1"/>
  <c r="T184" i="14"/>
  <c r="AB184" i="14" s="1"/>
  <c r="S184" i="14"/>
  <c r="AA184" i="14" s="1"/>
  <c r="R184" i="14"/>
  <c r="Z184" i="14" s="1"/>
  <c r="B184" i="14"/>
  <c r="BB183" i="14"/>
  <c r="BA183" i="14"/>
  <c r="AZ183" i="14"/>
  <c r="T183" i="14" s="1"/>
  <c r="AB183" i="14" s="1"/>
  <c r="AY183" i="14"/>
  <c r="S183" i="14" s="1"/>
  <c r="AA183" i="14" s="1"/>
  <c r="AX183" i="14"/>
  <c r="R183" i="14" s="1"/>
  <c r="Z183" i="14" s="1"/>
  <c r="AW183" i="14"/>
  <c r="Q183" i="14" s="1"/>
  <c r="Y183" i="14" s="1"/>
  <c r="AV183" i="14"/>
  <c r="P183" i="14" s="1"/>
  <c r="X183" i="14" s="1"/>
  <c r="AU183" i="14"/>
  <c r="O183" i="14" s="1"/>
  <c r="V183" i="14"/>
  <c r="AD183" i="14" s="1"/>
  <c r="U183" i="14"/>
  <c r="AC183" i="14" s="1"/>
  <c r="B183" i="14"/>
  <c r="BB182" i="14"/>
  <c r="BA182" i="14"/>
  <c r="AZ182" i="14"/>
  <c r="T182" i="14" s="1"/>
  <c r="AB182" i="14" s="1"/>
  <c r="AY182" i="14"/>
  <c r="S182" i="14" s="1"/>
  <c r="AA182" i="14" s="1"/>
  <c r="AX182" i="14"/>
  <c r="R182" i="14" s="1"/>
  <c r="Z182" i="14" s="1"/>
  <c r="AW182" i="14"/>
  <c r="Q182" i="14" s="1"/>
  <c r="Y182" i="14" s="1"/>
  <c r="AV182" i="14"/>
  <c r="P182" i="14" s="1"/>
  <c r="X182" i="14" s="1"/>
  <c r="AU182" i="14"/>
  <c r="O182" i="14" s="1"/>
  <c r="V182" i="14"/>
  <c r="AD182" i="14" s="1"/>
  <c r="U182" i="14"/>
  <c r="AC182" i="14" s="1"/>
  <c r="B182" i="14"/>
  <c r="BB181" i="14"/>
  <c r="BA181" i="14"/>
  <c r="AZ181" i="14"/>
  <c r="T181" i="14" s="1"/>
  <c r="AB181" i="14" s="1"/>
  <c r="AY181" i="14"/>
  <c r="S181" i="14" s="1"/>
  <c r="AA181" i="14" s="1"/>
  <c r="AX181" i="14"/>
  <c r="R181" i="14" s="1"/>
  <c r="Z181" i="14" s="1"/>
  <c r="AW181" i="14"/>
  <c r="Q181" i="14" s="1"/>
  <c r="Y181" i="14" s="1"/>
  <c r="AV181" i="14"/>
  <c r="P181" i="14" s="1"/>
  <c r="X181" i="14" s="1"/>
  <c r="AU181" i="14"/>
  <c r="O181" i="14" s="1"/>
  <c r="V181" i="14"/>
  <c r="AD181" i="14" s="1"/>
  <c r="U181" i="14"/>
  <c r="AC181" i="14" s="1"/>
  <c r="B181" i="14"/>
  <c r="BB180" i="14"/>
  <c r="BA180" i="14"/>
  <c r="AZ180" i="14"/>
  <c r="T180" i="14" s="1"/>
  <c r="AB180" i="14" s="1"/>
  <c r="AY180" i="14"/>
  <c r="S180" i="14" s="1"/>
  <c r="AA180" i="14" s="1"/>
  <c r="AX180" i="14"/>
  <c r="R180" i="14" s="1"/>
  <c r="Z180" i="14" s="1"/>
  <c r="AW180" i="14"/>
  <c r="Q180" i="14" s="1"/>
  <c r="Y180" i="14" s="1"/>
  <c r="AV180" i="14"/>
  <c r="P180" i="14" s="1"/>
  <c r="X180" i="14" s="1"/>
  <c r="AU180" i="14"/>
  <c r="O180" i="14" s="1"/>
  <c r="V180" i="14"/>
  <c r="AD180" i="14" s="1"/>
  <c r="U180" i="14"/>
  <c r="AC180" i="14" s="1"/>
  <c r="B180" i="14"/>
  <c r="BB179" i="14"/>
  <c r="BA179" i="14"/>
  <c r="U179" i="14" s="1"/>
  <c r="AC179" i="14" s="1"/>
  <c r="AZ179" i="14"/>
  <c r="T179" i="14" s="1"/>
  <c r="AB179" i="14" s="1"/>
  <c r="AY179" i="14"/>
  <c r="S179" i="14" s="1"/>
  <c r="AA179" i="14" s="1"/>
  <c r="AX179" i="14"/>
  <c r="R179" i="14" s="1"/>
  <c r="Z179" i="14" s="1"/>
  <c r="AW179" i="14"/>
  <c r="Q179" i="14" s="1"/>
  <c r="Y179" i="14" s="1"/>
  <c r="AV179" i="14"/>
  <c r="P179" i="14" s="1"/>
  <c r="X179" i="14" s="1"/>
  <c r="AU179" i="14"/>
  <c r="O179" i="14" s="1"/>
  <c r="V179" i="14"/>
  <c r="AD179" i="14" s="1"/>
  <c r="B179" i="14"/>
  <c r="BB178" i="14"/>
  <c r="V178" i="14" s="1"/>
  <c r="AD178" i="14" s="1"/>
  <c r="BA178" i="14"/>
  <c r="U178" i="14" s="1"/>
  <c r="AC178" i="14" s="1"/>
  <c r="AZ178" i="14"/>
  <c r="T178" i="14" s="1"/>
  <c r="AB178" i="14" s="1"/>
  <c r="AY178" i="14"/>
  <c r="S178" i="14" s="1"/>
  <c r="AA178" i="14" s="1"/>
  <c r="AX178" i="14"/>
  <c r="AW178" i="14"/>
  <c r="Q178" i="14" s="1"/>
  <c r="Y178" i="14" s="1"/>
  <c r="AV178" i="14"/>
  <c r="P178" i="14" s="1"/>
  <c r="X178" i="14" s="1"/>
  <c r="AU178" i="14"/>
  <c r="O178" i="14" s="1"/>
  <c r="R178" i="14"/>
  <c r="Z178" i="14" s="1"/>
  <c r="B178" i="14"/>
  <c r="BB177" i="14"/>
  <c r="BA177" i="14"/>
  <c r="U177" i="14" s="1"/>
  <c r="AC177" i="14" s="1"/>
  <c r="AZ177" i="14"/>
  <c r="T177" i="14" s="1"/>
  <c r="AB177" i="14" s="1"/>
  <c r="AY177" i="14"/>
  <c r="S177" i="14" s="1"/>
  <c r="AA177" i="14" s="1"/>
  <c r="AX177" i="14"/>
  <c r="R177" i="14" s="1"/>
  <c r="Z177" i="14" s="1"/>
  <c r="AW177" i="14"/>
  <c r="Q177" i="14" s="1"/>
  <c r="Y177" i="14" s="1"/>
  <c r="AV177" i="14"/>
  <c r="P177" i="14" s="1"/>
  <c r="X177" i="14" s="1"/>
  <c r="AU177" i="14"/>
  <c r="O177" i="14" s="1"/>
  <c r="V177" i="14"/>
  <c r="AD177" i="14" s="1"/>
  <c r="B177" i="14"/>
  <c r="BB176" i="14"/>
  <c r="V176" i="14" s="1"/>
  <c r="AD176" i="14" s="1"/>
  <c r="BA176" i="14"/>
  <c r="U176" i="14" s="1"/>
  <c r="AC176" i="14" s="1"/>
  <c r="AZ176" i="14"/>
  <c r="T176" i="14" s="1"/>
  <c r="AB176" i="14" s="1"/>
  <c r="AY176" i="14"/>
  <c r="S176" i="14" s="1"/>
  <c r="AA176" i="14" s="1"/>
  <c r="AX176" i="14"/>
  <c r="R176" i="14" s="1"/>
  <c r="Z176" i="14" s="1"/>
  <c r="AW176" i="14"/>
  <c r="Q176" i="14" s="1"/>
  <c r="Y176" i="14" s="1"/>
  <c r="AV176" i="14"/>
  <c r="P176" i="14" s="1"/>
  <c r="X176" i="14" s="1"/>
  <c r="AU176" i="14"/>
  <c r="O176" i="14" s="1"/>
  <c r="B176" i="14"/>
  <c r="BB175" i="14"/>
  <c r="V175" i="14" s="1"/>
  <c r="AD175" i="14" s="1"/>
  <c r="BA175" i="14"/>
  <c r="U175" i="14" s="1"/>
  <c r="AC175" i="14" s="1"/>
  <c r="AZ175" i="14"/>
  <c r="T175" i="14" s="1"/>
  <c r="AB175" i="14" s="1"/>
  <c r="AY175" i="14"/>
  <c r="S175" i="14" s="1"/>
  <c r="AA175" i="14" s="1"/>
  <c r="AX175" i="14"/>
  <c r="R175" i="14" s="1"/>
  <c r="Z175" i="14" s="1"/>
  <c r="AW175" i="14"/>
  <c r="Q175" i="14" s="1"/>
  <c r="Y175" i="14" s="1"/>
  <c r="AV175" i="14"/>
  <c r="P175" i="14" s="1"/>
  <c r="X175" i="14" s="1"/>
  <c r="AU175" i="14"/>
  <c r="O175" i="14" s="1"/>
  <c r="B175" i="14"/>
  <c r="BB174" i="14"/>
  <c r="BA174" i="14"/>
  <c r="AZ174" i="14"/>
  <c r="T174" i="14" s="1"/>
  <c r="AB174" i="14" s="1"/>
  <c r="AY174" i="14"/>
  <c r="S174" i="14" s="1"/>
  <c r="AA174" i="14" s="1"/>
  <c r="AX174" i="14"/>
  <c r="R174" i="14" s="1"/>
  <c r="Z174" i="14" s="1"/>
  <c r="AW174" i="14"/>
  <c r="Q174" i="14" s="1"/>
  <c r="Y174" i="14" s="1"/>
  <c r="AV174" i="14"/>
  <c r="P174" i="14" s="1"/>
  <c r="X174" i="14" s="1"/>
  <c r="AU174" i="14"/>
  <c r="O174" i="14" s="1"/>
  <c r="V174" i="14"/>
  <c r="AD174" i="14" s="1"/>
  <c r="U174" i="14"/>
  <c r="AC174" i="14" s="1"/>
  <c r="B174" i="14"/>
  <c r="BB173" i="14"/>
  <c r="V173" i="14" s="1"/>
  <c r="AD173" i="14" s="1"/>
  <c r="BA173" i="14"/>
  <c r="U173" i="14" s="1"/>
  <c r="AC173" i="14" s="1"/>
  <c r="AZ173" i="14"/>
  <c r="T173" i="14" s="1"/>
  <c r="AB173" i="14" s="1"/>
  <c r="AY173" i="14"/>
  <c r="S173" i="14" s="1"/>
  <c r="AA173" i="14" s="1"/>
  <c r="AX173" i="14"/>
  <c r="R173" i="14" s="1"/>
  <c r="Z173" i="14" s="1"/>
  <c r="AW173" i="14"/>
  <c r="Q173" i="14" s="1"/>
  <c r="Y173" i="14" s="1"/>
  <c r="AV173" i="14"/>
  <c r="P173" i="14" s="1"/>
  <c r="X173" i="14" s="1"/>
  <c r="AU173" i="14"/>
  <c r="O173" i="14" s="1"/>
  <c r="B173" i="14"/>
  <c r="BB172" i="14"/>
  <c r="BA172" i="14"/>
  <c r="U172" i="14" s="1"/>
  <c r="AC172" i="14" s="1"/>
  <c r="AZ172" i="14"/>
  <c r="T172" i="14" s="1"/>
  <c r="AB172" i="14" s="1"/>
  <c r="AY172" i="14"/>
  <c r="S172" i="14" s="1"/>
  <c r="AA172" i="14" s="1"/>
  <c r="AX172" i="14"/>
  <c r="R172" i="14" s="1"/>
  <c r="Z172" i="14" s="1"/>
  <c r="AW172" i="14"/>
  <c r="Q172" i="14" s="1"/>
  <c r="Y172" i="14" s="1"/>
  <c r="AV172" i="14"/>
  <c r="P172" i="14" s="1"/>
  <c r="X172" i="14" s="1"/>
  <c r="AU172" i="14"/>
  <c r="O172" i="14" s="1"/>
  <c r="V172" i="14"/>
  <c r="AD172" i="14" s="1"/>
  <c r="B172" i="14"/>
  <c r="BB171" i="14"/>
  <c r="BA171" i="14"/>
  <c r="U171" i="14" s="1"/>
  <c r="AC171" i="14" s="1"/>
  <c r="AZ171" i="14"/>
  <c r="T171" i="14" s="1"/>
  <c r="AB171" i="14" s="1"/>
  <c r="AY171" i="14"/>
  <c r="S171" i="14" s="1"/>
  <c r="AA171" i="14" s="1"/>
  <c r="AX171" i="14"/>
  <c r="R171" i="14" s="1"/>
  <c r="Z171" i="14" s="1"/>
  <c r="AW171" i="14"/>
  <c r="Q171" i="14" s="1"/>
  <c r="Y171" i="14" s="1"/>
  <c r="AV171" i="14"/>
  <c r="P171" i="14" s="1"/>
  <c r="X171" i="14" s="1"/>
  <c r="AU171" i="14"/>
  <c r="O171" i="14" s="1"/>
  <c r="V171" i="14"/>
  <c r="AD171" i="14" s="1"/>
  <c r="B171" i="14"/>
  <c r="BB170" i="14"/>
  <c r="V170" i="14" s="1"/>
  <c r="AD170" i="14" s="1"/>
  <c r="BA170" i="14"/>
  <c r="U170" i="14" s="1"/>
  <c r="AC170" i="14" s="1"/>
  <c r="AZ170" i="14"/>
  <c r="T170" i="14" s="1"/>
  <c r="AB170" i="14" s="1"/>
  <c r="AY170" i="14"/>
  <c r="S170" i="14" s="1"/>
  <c r="AA170" i="14" s="1"/>
  <c r="AX170" i="14"/>
  <c r="R170" i="14" s="1"/>
  <c r="Z170" i="14" s="1"/>
  <c r="AW170" i="14"/>
  <c r="Q170" i="14" s="1"/>
  <c r="Y170" i="14" s="1"/>
  <c r="AV170" i="14"/>
  <c r="P170" i="14" s="1"/>
  <c r="X170" i="14" s="1"/>
  <c r="AU170" i="14"/>
  <c r="O170" i="14" s="1"/>
  <c r="B170" i="14"/>
  <c r="BB169" i="14"/>
  <c r="BA169" i="14"/>
  <c r="AZ169" i="14"/>
  <c r="T169" i="14" s="1"/>
  <c r="AB169" i="14" s="1"/>
  <c r="AY169" i="14"/>
  <c r="S169" i="14" s="1"/>
  <c r="AA169" i="14" s="1"/>
  <c r="AX169" i="14"/>
  <c r="R169" i="14" s="1"/>
  <c r="Z169" i="14" s="1"/>
  <c r="AW169" i="14"/>
  <c r="Q169" i="14" s="1"/>
  <c r="Y169" i="14" s="1"/>
  <c r="AV169" i="14"/>
  <c r="P169" i="14" s="1"/>
  <c r="X169" i="14" s="1"/>
  <c r="AU169" i="14"/>
  <c r="O169" i="14" s="1"/>
  <c r="V169" i="14"/>
  <c r="AD169" i="14" s="1"/>
  <c r="U169" i="14"/>
  <c r="AC169" i="14" s="1"/>
  <c r="B169" i="14"/>
  <c r="BB168" i="14"/>
  <c r="V168" i="14" s="1"/>
  <c r="AD168" i="14" s="1"/>
  <c r="BA168" i="14"/>
  <c r="U168" i="14" s="1"/>
  <c r="AC168" i="14" s="1"/>
  <c r="AZ168" i="14"/>
  <c r="T168" i="14" s="1"/>
  <c r="AB168" i="14" s="1"/>
  <c r="AY168" i="14"/>
  <c r="S168" i="14" s="1"/>
  <c r="AA168" i="14" s="1"/>
  <c r="AX168" i="14"/>
  <c r="R168" i="14" s="1"/>
  <c r="Z168" i="14" s="1"/>
  <c r="AW168" i="14"/>
  <c r="Q168" i="14" s="1"/>
  <c r="Y168" i="14" s="1"/>
  <c r="AV168" i="14"/>
  <c r="P168" i="14" s="1"/>
  <c r="X168" i="14" s="1"/>
  <c r="AU168" i="14"/>
  <c r="O168" i="14" s="1"/>
  <c r="B168" i="14"/>
  <c r="BB167" i="14"/>
  <c r="BA167" i="14"/>
  <c r="U167" i="14" s="1"/>
  <c r="AC167" i="14" s="1"/>
  <c r="AZ167" i="14"/>
  <c r="T167" i="14" s="1"/>
  <c r="AB167" i="14" s="1"/>
  <c r="AY167" i="14"/>
  <c r="S167" i="14" s="1"/>
  <c r="AA167" i="14" s="1"/>
  <c r="AX167" i="14"/>
  <c r="R167" i="14" s="1"/>
  <c r="Z167" i="14" s="1"/>
  <c r="AW167" i="14"/>
  <c r="Q167" i="14" s="1"/>
  <c r="Y167" i="14" s="1"/>
  <c r="AV167" i="14"/>
  <c r="P167" i="14" s="1"/>
  <c r="X167" i="14" s="1"/>
  <c r="AU167" i="14"/>
  <c r="O167" i="14" s="1"/>
  <c r="V167" i="14"/>
  <c r="AD167" i="14" s="1"/>
  <c r="B167" i="14"/>
  <c r="BB166" i="14"/>
  <c r="BA166" i="14"/>
  <c r="AZ166" i="14"/>
  <c r="AY166" i="14"/>
  <c r="AX166" i="14"/>
  <c r="R166" i="14" s="1"/>
  <c r="Z166" i="14" s="1"/>
  <c r="AW166" i="14"/>
  <c r="Q166" i="14" s="1"/>
  <c r="Y166" i="14" s="1"/>
  <c r="AV166" i="14"/>
  <c r="P166" i="14" s="1"/>
  <c r="X166" i="14" s="1"/>
  <c r="AU166" i="14"/>
  <c r="O166" i="14" s="1"/>
  <c r="V166" i="14"/>
  <c r="AD166" i="14" s="1"/>
  <c r="U166" i="14"/>
  <c r="AC166" i="14" s="1"/>
  <c r="T166" i="14"/>
  <c r="AB166" i="14" s="1"/>
  <c r="S166" i="14"/>
  <c r="AA166" i="14" s="1"/>
  <c r="B166" i="14"/>
  <c r="BB165" i="14"/>
  <c r="BA165" i="14"/>
  <c r="AZ165" i="14"/>
  <c r="AY165" i="14"/>
  <c r="S165" i="14" s="1"/>
  <c r="AA165" i="14" s="1"/>
  <c r="AX165" i="14"/>
  <c r="R165" i="14" s="1"/>
  <c r="Z165" i="14" s="1"/>
  <c r="AW165" i="14"/>
  <c r="Q165" i="14" s="1"/>
  <c r="Y165" i="14" s="1"/>
  <c r="AV165" i="14"/>
  <c r="P165" i="14" s="1"/>
  <c r="X165" i="14" s="1"/>
  <c r="AU165" i="14"/>
  <c r="O165" i="14" s="1"/>
  <c r="V165" i="14"/>
  <c r="AD165" i="14" s="1"/>
  <c r="U165" i="14"/>
  <c r="AC165" i="14" s="1"/>
  <c r="T165" i="14"/>
  <c r="AB165" i="14" s="1"/>
  <c r="B165" i="14"/>
  <c r="BB164" i="14"/>
  <c r="V164" i="14" s="1"/>
  <c r="AD164" i="14" s="1"/>
  <c r="BA164" i="14"/>
  <c r="U164" i="14" s="1"/>
  <c r="AC164" i="14" s="1"/>
  <c r="AZ164" i="14"/>
  <c r="T164" i="14" s="1"/>
  <c r="AB164" i="14" s="1"/>
  <c r="AY164" i="14"/>
  <c r="S164" i="14" s="1"/>
  <c r="AA164" i="14" s="1"/>
  <c r="AX164" i="14"/>
  <c r="R164" i="14" s="1"/>
  <c r="Z164" i="14" s="1"/>
  <c r="AW164" i="14"/>
  <c r="Q164" i="14" s="1"/>
  <c r="Y164" i="14" s="1"/>
  <c r="AV164" i="14"/>
  <c r="P164" i="14" s="1"/>
  <c r="X164" i="14" s="1"/>
  <c r="AU164" i="14"/>
  <c r="O164" i="14" s="1"/>
  <c r="B164" i="14"/>
  <c r="BB163" i="14"/>
  <c r="BA163" i="14"/>
  <c r="U163" i="14" s="1"/>
  <c r="AC163" i="14" s="1"/>
  <c r="AZ163" i="14"/>
  <c r="T163" i="14" s="1"/>
  <c r="AB163" i="14" s="1"/>
  <c r="AY163" i="14"/>
  <c r="S163" i="14" s="1"/>
  <c r="AA163" i="14" s="1"/>
  <c r="AX163" i="14"/>
  <c r="R163" i="14" s="1"/>
  <c r="Z163" i="14" s="1"/>
  <c r="AW163" i="14"/>
  <c r="Q163" i="14" s="1"/>
  <c r="Y163" i="14" s="1"/>
  <c r="AV163" i="14"/>
  <c r="P163" i="14" s="1"/>
  <c r="X163" i="14" s="1"/>
  <c r="AU163" i="14"/>
  <c r="O163" i="14" s="1"/>
  <c r="V163" i="14"/>
  <c r="AD163" i="14" s="1"/>
  <c r="B163" i="14"/>
  <c r="BB162" i="14"/>
  <c r="V162" i="14" s="1"/>
  <c r="AD162" i="14" s="1"/>
  <c r="BA162" i="14"/>
  <c r="U162" i="14" s="1"/>
  <c r="AC162" i="14" s="1"/>
  <c r="AZ162" i="14"/>
  <c r="T162" i="14" s="1"/>
  <c r="AB162" i="14" s="1"/>
  <c r="AY162" i="14"/>
  <c r="S162" i="14" s="1"/>
  <c r="AA162" i="14" s="1"/>
  <c r="AX162" i="14"/>
  <c r="R162" i="14" s="1"/>
  <c r="Z162" i="14" s="1"/>
  <c r="AW162" i="14"/>
  <c r="Q162" i="14" s="1"/>
  <c r="Y162" i="14" s="1"/>
  <c r="AV162" i="14"/>
  <c r="P162" i="14" s="1"/>
  <c r="X162" i="14" s="1"/>
  <c r="AU162" i="14"/>
  <c r="O162" i="14" s="1"/>
  <c r="B162" i="14"/>
  <c r="BB161" i="14"/>
  <c r="BA161" i="14"/>
  <c r="AZ161" i="14"/>
  <c r="T161" i="14" s="1"/>
  <c r="AB161" i="14" s="1"/>
  <c r="AY161" i="14"/>
  <c r="S161" i="14" s="1"/>
  <c r="AA161" i="14" s="1"/>
  <c r="AX161" i="14"/>
  <c r="R161" i="14" s="1"/>
  <c r="Z161" i="14" s="1"/>
  <c r="AW161" i="14"/>
  <c r="Q161" i="14" s="1"/>
  <c r="Y161" i="14" s="1"/>
  <c r="AV161" i="14"/>
  <c r="P161" i="14" s="1"/>
  <c r="X161" i="14" s="1"/>
  <c r="AU161" i="14"/>
  <c r="O161" i="14" s="1"/>
  <c r="V161" i="14"/>
  <c r="AD161" i="14" s="1"/>
  <c r="U161" i="14"/>
  <c r="AC161" i="14" s="1"/>
  <c r="B161" i="14"/>
  <c r="BB160" i="14"/>
  <c r="BA160" i="14"/>
  <c r="U160" i="14" s="1"/>
  <c r="AC160" i="14" s="1"/>
  <c r="AZ160" i="14"/>
  <c r="T160" i="14" s="1"/>
  <c r="AB160" i="14" s="1"/>
  <c r="AY160" i="14"/>
  <c r="S160" i="14" s="1"/>
  <c r="AA160" i="14" s="1"/>
  <c r="AX160" i="14"/>
  <c r="R160" i="14" s="1"/>
  <c r="Z160" i="14" s="1"/>
  <c r="AW160" i="14"/>
  <c r="Q160" i="14" s="1"/>
  <c r="Y160" i="14" s="1"/>
  <c r="AV160" i="14"/>
  <c r="P160" i="14" s="1"/>
  <c r="X160" i="14" s="1"/>
  <c r="AU160" i="14"/>
  <c r="O160" i="14" s="1"/>
  <c r="V160" i="14"/>
  <c r="AD160" i="14" s="1"/>
  <c r="B160" i="14"/>
  <c r="BB159" i="14"/>
  <c r="BA159" i="14"/>
  <c r="U159" i="14" s="1"/>
  <c r="AC159" i="14" s="1"/>
  <c r="AZ159" i="14"/>
  <c r="T159" i="14" s="1"/>
  <c r="AB159" i="14" s="1"/>
  <c r="AY159" i="14"/>
  <c r="S159" i="14" s="1"/>
  <c r="AA159" i="14" s="1"/>
  <c r="AX159" i="14"/>
  <c r="R159" i="14" s="1"/>
  <c r="Z159" i="14" s="1"/>
  <c r="AW159" i="14"/>
  <c r="Q159" i="14" s="1"/>
  <c r="Y159" i="14" s="1"/>
  <c r="AV159" i="14"/>
  <c r="P159" i="14" s="1"/>
  <c r="X159" i="14" s="1"/>
  <c r="AU159" i="14"/>
  <c r="O159" i="14" s="1"/>
  <c r="V159" i="14"/>
  <c r="AD159" i="14" s="1"/>
  <c r="B159" i="14"/>
  <c r="BB158" i="14"/>
  <c r="V158" i="14" s="1"/>
  <c r="AD158" i="14" s="1"/>
  <c r="BA158" i="14"/>
  <c r="U158" i="14" s="1"/>
  <c r="AC158" i="14" s="1"/>
  <c r="AZ158" i="14"/>
  <c r="T158" i="14" s="1"/>
  <c r="AB158" i="14" s="1"/>
  <c r="AY158" i="14"/>
  <c r="S158" i="14" s="1"/>
  <c r="AA158" i="14" s="1"/>
  <c r="AX158" i="14"/>
  <c r="R158" i="14" s="1"/>
  <c r="Z158" i="14" s="1"/>
  <c r="AW158" i="14"/>
  <c r="Q158" i="14" s="1"/>
  <c r="Y158" i="14" s="1"/>
  <c r="AV158" i="14"/>
  <c r="P158" i="14" s="1"/>
  <c r="X158" i="14" s="1"/>
  <c r="AU158" i="14"/>
  <c r="O158" i="14" s="1"/>
  <c r="B158" i="14"/>
  <c r="BB157" i="14"/>
  <c r="BA157" i="14"/>
  <c r="AZ157" i="14"/>
  <c r="AY157" i="14"/>
  <c r="S157" i="14" s="1"/>
  <c r="AA157" i="14" s="1"/>
  <c r="AX157" i="14"/>
  <c r="R157" i="14" s="1"/>
  <c r="Z157" i="14" s="1"/>
  <c r="AW157" i="14"/>
  <c r="Q157" i="14" s="1"/>
  <c r="Y157" i="14" s="1"/>
  <c r="AV157" i="14"/>
  <c r="P157" i="14" s="1"/>
  <c r="X157" i="14" s="1"/>
  <c r="AU157" i="14"/>
  <c r="O157" i="14" s="1"/>
  <c r="V157" i="14"/>
  <c r="AD157" i="14" s="1"/>
  <c r="U157" i="14"/>
  <c r="AC157" i="14" s="1"/>
  <c r="T157" i="14"/>
  <c r="AB157" i="14" s="1"/>
  <c r="B157" i="14"/>
  <c r="BB156" i="14"/>
  <c r="BA156" i="14"/>
  <c r="AZ156" i="14"/>
  <c r="T156" i="14" s="1"/>
  <c r="AB156" i="14" s="1"/>
  <c r="AY156" i="14"/>
  <c r="S156" i="14" s="1"/>
  <c r="AA156" i="14" s="1"/>
  <c r="AX156" i="14"/>
  <c r="R156" i="14" s="1"/>
  <c r="Z156" i="14" s="1"/>
  <c r="AW156" i="14"/>
  <c r="Q156" i="14" s="1"/>
  <c r="Y156" i="14" s="1"/>
  <c r="AV156" i="14"/>
  <c r="P156" i="14" s="1"/>
  <c r="X156" i="14" s="1"/>
  <c r="AU156" i="14"/>
  <c r="O156" i="14" s="1"/>
  <c r="V156" i="14"/>
  <c r="AD156" i="14" s="1"/>
  <c r="U156" i="14"/>
  <c r="AC156" i="14" s="1"/>
  <c r="B156" i="14"/>
  <c r="BB155" i="14"/>
  <c r="V155" i="14" s="1"/>
  <c r="AD155" i="14" s="1"/>
  <c r="BA155" i="14"/>
  <c r="U155" i="14" s="1"/>
  <c r="AC155" i="14" s="1"/>
  <c r="AZ155" i="14"/>
  <c r="T155" i="14" s="1"/>
  <c r="AB155" i="14" s="1"/>
  <c r="AY155" i="14"/>
  <c r="S155" i="14" s="1"/>
  <c r="AA155" i="14" s="1"/>
  <c r="AX155" i="14"/>
  <c r="R155" i="14" s="1"/>
  <c r="Z155" i="14" s="1"/>
  <c r="AW155" i="14"/>
  <c r="Q155" i="14" s="1"/>
  <c r="Y155" i="14" s="1"/>
  <c r="AV155" i="14"/>
  <c r="P155" i="14" s="1"/>
  <c r="X155" i="14" s="1"/>
  <c r="AU155" i="14"/>
  <c r="O155" i="14" s="1"/>
  <c r="B155" i="14"/>
  <c r="BB154" i="14"/>
  <c r="V154" i="14" s="1"/>
  <c r="AD154" i="14" s="1"/>
  <c r="BA154" i="14"/>
  <c r="U154" i="14" s="1"/>
  <c r="AC154" i="14" s="1"/>
  <c r="AZ154" i="14"/>
  <c r="T154" i="14" s="1"/>
  <c r="AB154" i="14" s="1"/>
  <c r="AY154" i="14"/>
  <c r="S154" i="14" s="1"/>
  <c r="AA154" i="14" s="1"/>
  <c r="AX154" i="14"/>
  <c r="R154" i="14" s="1"/>
  <c r="Z154" i="14" s="1"/>
  <c r="AW154" i="14"/>
  <c r="Q154" i="14" s="1"/>
  <c r="Y154" i="14" s="1"/>
  <c r="AV154" i="14"/>
  <c r="P154" i="14" s="1"/>
  <c r="X154" i="14" s="1"/>
  <c r="AU154" i="14"/>
  <c r="O154" i="14" s="1"/>
  <c r="B154" i="14"/>
  <c r="BB153" i="14"/>
  <c r="BA153" i="14"/>
  <c r="U153" i="14" s="1"/>
  <c r="AC153" i="14" s="1"/>
  <c r="AZ153" i="14"/>
  <c r="T153" i="14" s="1"/>
  <c r="AB153" i="14" s="1"/>
  <c r="AY153" i="14"/>
  <c r="S153" i="14" s="1"/>
  <c r="AA153" i="14" s="1"/>
  <c r="AX153" i="14"/>
  <c r="R153" i="14" s="1"/>
  <c r="Z153" i="14" s="1"/>
  <c r="AW153" i="14"/>
  <c r="Q153" i="14" s="1"/>
  <c r="Y153" i="14" s="1"/>
  <c r="AV153" i="14"/>
  <c r="P153" i="14" s="1"/>
  <c r="X153" i="14" s="1"/>
  <c r="AU153" i="14"/>
  <c r="O153" i="14" s="1"/>
  <c r="V153" i="14"/>
  <c r="AD153" i="14" s="1"/>
  <c r="B153" i="14"/>
  <c r="BB152" i="14"/>
  <c r="BA152" i="14"/>
  <c r="AZ152" i="14"/>
  <c r="AY152" i="14"/>
  <c r="AX152" i="14"/>
  <c r="R152" i="14" s="1"/>
  <c r="Z152" i="14" s="1"/>
  <c r="AW152" i="14"/>
  <c r="Q152" i="14" s="1"/>
  <c r="Y152" i="14" s="1"/>
  <c r="AV152" i="14"/>
  <c r="P152" i="14" s="1"/>
  <c r="X152" i="14" s="1"/>
  <c r="AU152" i="14"/>
  <c r="O152" i="14" s="1"/>
  <c r="V152" i="14"/>
  <c r="AD152" i="14" s="1"/>
  <c r="U152" i="14"/>
  <c r="AC152" i="14" s="1"/>
  <c r="T152" i="14"/>
  <c r="AB152" i="14" s="1"/>
  <c r="S152" i="14"/>
  <c r="AA152" i="14" s="1"/>
  <c r="B152" i="14"/>
  <c r="BB151" i="14"/>
  <c r="BA151" i="14"/>
  <c r="AZ151" i="14"/>
  <c r="AY151" i="14"/>
  <c r="S151" i="14" s="1"/>
  <c r="AA151" i="14" s="1"/>
  <c r="AX151" i="14"/>
  <c r="R151" i="14" s="1"/>
  <c r="Z151" i="14" s="1"/>
  <c r="AW151" i="14"/>
  <c r="Q151" i="14" s="1"/>
  <c r="Y151" i="14" s="1"/>
  <c r="AV151" i="14"/>
  <c r="P151" i="14" s="1"/>
  <c r="X151" i="14" s="1"/>
  <c r="AU151" i="14"/>
  <c r="O151" i="14" s="1"/>
  <c r="V151" i="14"/>
  <c r="AD151" i="14" s="1"/>
  <c r="U151" i="14"/>
  <c r="AC151" i="14" s="1"/>
  <c r="T151" i="14"/>
  <c r="AB151" i="14" s="1"/>
  <c r="B151" i="14"/>
  <c r="BB150" i="14"/>
  <c r="BA150" i="14"/>
  <c r="AZ150" i="14"/>
  <c r="T150" i="14" s="1"/>
  <c r="AB150" i="14" s="1"/>
  <c r="AY150" i="14"/>
  <c r="S150" i="14" s="1"/>
  <c r="AA150" i="14" s="1"/>
  <c r="AX150" i="14"/>
  <c r="R150" i="14" s="1"/>
  <c r="Z150" i="14" s="1"/>
  <c r="AW150" i="14"/>
  <c r="Q150" i="14" s="1"/>
  <c r="Y150" i="14" s="1"/>
  <c r="AV150" i="14"/>
  <c r="P150" i="14" s="1"/>
  <c r="X150" i="14" s="1"/>
  <c r="AU150" i="14"/>
  <c r="O150" i="14" s="1"/>
  <c r="V150" i="14"/>
  <c r="AD150" i="14" s="1"/>
  <c r="U150" i="14"/>
  <c r="AC150" i="14" s="1"/>
  <c r="B150" i="14"/>
  <c r="BB149" i="14"/>
  <c r="BA149" i="14"/>
  <c r="U149" i="14" s="1"/>
  <c r="AC149" i="14" s="1"/>
  <c r="AZ149" i="14"/>
  <c r="T149" i="14" s="1"/>
  <c r="AB149" i="14" s="1"/>
  <c r="AY149" i="14"/>
  <c r="S149" i="14" s="1"/>
  <c r="AA149" i="14" s="1"/>
  <c r="AX149" i="14"/>
  <c r="R149" i="14" s="1"/>
  <c r="Z149" i="14" s="1"/>
  <c r="AW149" i="14"/>
  <c r="Q149" i="14" s="1"/>
  <c r="Y149" i="14" s="1"/>
  <c r="AV149" i="14"/>
  <c r="P149" i="14" s="1"/>
  <c r="X149" i="14" s="1"/>
  <c r="AU149" i="14"/>
  <c r="O149" i="14" s="1"/>
  <c r="V149" i="14"/>
  <c r="AD149" i="14" s="1"/>
  <c r="B149" i="14"/>
  <c r="BB148" i="14"/>
  <c r="V148" i="14" s="1"/>
  <c r="AD148" i="14" s="1"/>
  <c r="BA148" i="14"/>
  <c r="U148" i="14" s="1"/>
  <c r="AC148" i="14" s="1"/>
  <c r="AZ148" i="14"/>
  <c r="T148" i="14" s="1"/>
  <c r="AB148" i="14" s="1"/>
  <c r="AY148" i="14"/>
  <c r="S148" i="14" s="1"/>
  <c r="AA148" i="14" s="1"/>
  <c r="AX148" i="14"/>
  <c r="R148" i="14" s="1"/>
  <c r="Z148" i="14" s="1"/>
  <c r="AW148" i="14"/>
  <c r="Q148" i="14" s="1"/>
  <c r="Y148" i="14" s="1"/>
  <c r="AV148" i="14"/>
  <c r="P148" i="14" s="1"/>
  <c r="X148" i="14" s="1"/>
  <c r="AU148" i="14"/>
  <c r="O148" i="14" s="1"/>
  <c r="B148" i="14"/>
  <c r="BB147" i="14"/>
  <c r="BA147" i="14"/>
  <c r="AZ147" i="14"/>
  <c r="T147" i="14" s="1"/>
  <c r="AB147" i="14" s="1"/>
  <c r="AY147" i="14"/>
  <c r="S147" i="14" s="1"/>
  <c r="AA147" i="14" s="1"/>
  <c r="AX147" i="14"/>
  <c r="R147" i="14" s="1"/>
  <c r="Z147" i="14" s="1"/>
  <c r="AW147" i="14"/>
  <c r="Q147" i="14" s="1"/>
  <c r="Y147" i="14" s="1"/>
  <c r="AV147" i="14"/>
  <c r="P147" i="14" s="1"/>
  <c r="X147" i="14" s="1"/>
  <c r="AU147" i="14"/>
  <c r="O147" i="14" s="1"/>
  <c r="V147" i="14"/>
  <c r="AD147" i="14" s="1"/>
  <c r="U147" i="14"/>
  <c r="AC147" i="14" s="1"/>
  <c r="B147" i="14"/>
  <c r="BB146" i="14"/>
  <c r="V146" i="14" s="1"/>
  <c r="AD146" i="14" s="1"/>
  <c r="BA146" i="14"/>
  <c r="U146" i="14" s="1"/>
  <c r="AC146" i="14" s="1"/>
  <c r="AZ146" i="14"/>
  <c r="T146" i="14" s="1"/>
  <c r="AB146" i="14" s="1"/>
  <c r="AY146" i="14"/>
  <c r="S146" i="14" s="1"/>
  <c r="AA146" i="14" s="1"/>
  <c r="AX146" i="14"/>
  <c r="R146" i="14" s="1"/>
  <c r="Z146" i="14" s="1"/>
  <c r="AW146" i="14"/>
  <c r="Q146" i="14" s="1"/>
  <c r="Y146" i="14" s="1"/>
  <c r="AV146" i="14"/>
  <c r="P146" i="14" s="1"/>
  <c r="X146" i="14" s="1"/>
  <c r="AU146" i="14"/>
  <c r="O146" i="14" s="1"/>
  <c r="B146" i="14"/>
  <c r="BB145" i="14"/>
  <c r="BA145" i="14"/>
  <c r="AZ145" i="14"/>
  <c r="AY145" i="14"/>
  <c r="S145" i="14" s="1"/>
  <c r="AA145" i="14" s="1"/>
  <c r="AX145" i="14"/>
  <c r="R145" i="14" s="1"/>
  <c r="Z145" i="14" s="1"/>
  <c r="AW145" i="14"/>
  <c r="Q145" i="14" s="1"/>
  <c r="Y145" i="14" s="1"/>
  <c r="AV145" i="14"/>
  <c r="P145" i="14" s="1"/>
  <c r="X145" i="14" s="1"/>
  <c r="AU145" i="14"/>
  <c r="O145" i="14" s="1"/>
  <c r="V145" i="14"/>
  <c r="AD145" i="14" s="1"/>
  <c r="U145" i="14"/>
  <c r="AC145" i="14" s="1"/>
  <c r="T145" i="14"/>
  <c r="AB145" i="14" s="1"/>
  <c r="B145" i="14"/>
  <c r="BB144" i="14"/>
  <c r="BA144" i="14"/>
  <c r="AZ144" i="14"/>
  <c r="T144" i="14" s="1"/>
  <c r="AB144" i="14" s="1"/>
  <c r="AY144" i="14"/>
  <c r="S144" i="14" s="1"/>
  <c r="AA144" i="14" s="1"/>
  <c r="AX144" i="14"/>
  <c r="R144" i="14" s="1"/>
  <c r="Z144" i="14" s="1"/>
  <c r="AW144" i="14"/>
  <c r="Q144" i="14" s="1"/>
  <c r="Y144" i="14" s="1"/>
  <c r="AV144" i="14"/>
  <c r="P144" i="14" s="1"/>
  <c r="X144" i="14" s="1"/>
  <c r="AU144" i="14"/>
  <c r="O144" i="14" s="1"/>
  <c r="V144" i="14"/>
  <c r="AD144" i="14" s="1"/>
  <c r="U144" i="14"/>
  <c r="AC144" i="14" s="1"/>
  <c r="B144" i="14"/>
  <c r="BB143" i="14"/>
  <c r="V143" i="14" s="1"/>
  <c r="AD143" i="14" s="1"/>
  <c r="BA143" i="14"/>
  <c r="U143" i="14" s="1"/>
  <c r="AC143" i="14" s="1"/>
  <c r="AZ143" i="14"/>
  <c r="T143" i="14" s="1"/>
  <c r="AB143" i="14" s="1"/>
  <c r="AY143" i="14"/>
  <c r="S143" i="14" s="1"/>
  <c r="AA143" i="14" s="1"/>
  <c r="AX143" i="14"/>
  <c r="R143" i="14" s="1"/>
  <c r="Z143" i="14" s="1"/>
  <c r="AW143" i="14"/>
  <c r="Q143" i="14" s="1"/>
  <c r="Y143" i="14" s="1"/>
  <c r="AV143" i="14"/>
  <c r="P143" i="14" s="1"/>
  <c r="X143" i="14" s="1"/>
  <c r="AU143" i="14"/>
  <c r="O143" i="14" s="1"/>
  <c r="B143" i="14"/>
  <c r="BB142" i="14"/>
  <c r="V142" i="14" s="1"/>
  <c r="AD142" i="14" s="1"/>
  <c r="BA142" i="14"/>
  <c r="U142" i="14" s="1"/>
  <c r="AC142" i="14" s="1"/>
  <c r="AZ142" i="14"/>
  <c r="T142" i="14" s="1"/>
  <c r="AB142" i="14" s="1"/>
  <c r="AY142" i="14"/>
  <c r="S142" i="14" s="1"/>
  <c r="AA142" i="14" s="1"/>
  <c r="AX142" i="14"/>
  <c r="R142" i="14" s="1"/>
  <c r="Z142" i="14" s="1"/>
  <c r="AW142" i="14"/>
  <c r="Q142" i="14" s="1"/>
  <c r="Y142" i="14" s="1"/>
  <c r="AV142" i="14"/>
  <c r="P142" i="14" s="1"/>
  <c r="X142" i="14" s="1"/>
  <c r="AU142" i="14"/>
  <c r="O142" i="14" s="1"/>
  <c r="B142" i="14"/>
  <c r="BB141" i="14"/>
  <c r="V141" i="14" s="1"/>
  <c r="AD141" i="14" s="1"/>
  <c r="BA141" i="14"/>
  <c r="U141" i="14" s="1"/>
  <c r="AC141" i="14" s="1"/>
  <c r="AZ141" i="14"/>
  <c r="T141" i="14" s="1"/>
  <c r="AB141" i="14" s="1"/>
  <c r="AY141" i="14"/>
  <c r="S141" i="14" s="1"/>
  <c r="AA141" i="14" s="1"/>
  <c r="AX141" i="14"/>
  <c r="R141" i="14" s="1"/>
  <c r="Z141" i="14" s="1"/>
  <c r="AW141" i="14"/>
  <c r="Q141" i="14" s="1"/>
  <c r="Y141" i="14" s="1"/>
  <c r="AV141" i="14"/>
  <c r="P141" i="14" s="1"/>
  <c r="X141" i="14" s="1"/>
  <c r="AU141" i="14"/>
  <c r="O141" i="14" s="1"/>
  <c r="B141" i="14"/>
  <c r="BB140" i="14"/>
  <c r="V140" i="14" s="1"/>
  <c r="AD140" i="14" s="1"/>
  <c r="BA140" i="14"/>
  <c r="U140" i="14" s="1"/>
  <c r="AC140" i="14" s="1"/>
  <c r="AZ140" i="14"/>
  <c r="T140" i="14" s="1"/>
  <c r="AB140" i="14" s="1"/>
  <c r="AY140" i="14"/>
  <c r="S140" i="14" s="1"/>
  <c r="AA140" i="14" s="1"/>
  <c r="AX140" i="14"/>
  <c r="R140" i="14" s="1"/>
  <c r="Z140" i="14" s="1"/>
  <c r="AW140" i="14"/>
  <c r="Q140" i="14" s="1"/>
  <c r="Y140" i="14" s="1"/>
  <c r="AV140" i="14"/>
  <c r="P140" i="14" s="1"/>
  <c r="X140" i="14" s="1"/>
  <c r="AU140" i="14"/>
  <c r="O140" i="14" s="1"/>
  <c r="B140" i="14"/>
  <c r="BB139" i="14"/>
  <c r="V139" i="14" s="1"/>
  <c r="AD139" i="14" s="1"/>
  <c r="BA139" i="14"/>
  <c r="U139" i="14" s="1"/>
  <c r="AC139" i="14" s="1"/>
  <c r="AZ139" i="14"/>
  <c r="T139" i="14" s="1"/>
  <c r="AB139" i="14" s="1"/>
  <c r="AY139" i="14"/>
  <c r="S139" i="14" s="1"/>
  <c r="AA139" i="14" s="1"/>
  <c r="AX139" i="14"/>
  <c r="R139" i="14" s="1"/>
  <c r="Z139" i="14" s="1"/>
  <c r="AW139" i="14"/>
  <c r="Q139" i="14" s="1"/>
  <c r="Y139" i="14" s="1"/>
  <c r="AV139" i="14"/>
  <c r="P139" i="14" s="1"/>
  <c r="X139" i="14" s="1"/>
  <c r="AU139" i="14"/>
  <c r="O139" i="14" s="1"/>
  <c r="B139" i="14"/>
  <c r="BB138" i="14"/>
  <c r="BA138" i="14"/>
  <c r="AZ138" i="14"/>
  <c r="AY138" i="14"/>
  <c r="S138" i="14" s="1"/>
  <c r="AA138" i="14" s="1"/>
  <c r="AX138" i="14"/>
  <c r="R138" i="14" s="1"/>
  <c r="Z138" i="14" s="1"/>
  <c r="AW138" i="14"/>
  <c r="Q138" i="14" s="1"/>
  <c r="Y138" i="14" s="1"/>
  <c r="AV138" i="14"/>
  <c r="P138" i="14" s="1"/>
  <c r="X138" i="14" s="1"/>
  <c r="AU138" i="14"/>
  <c r="O138" i="14" s="1"/>
  <c r="V138" i="14"/>
  <c r="AD138" i="14" s="1"/>
  <c r="U138" i="14"/>
  <c r="AC138" i="14" s="1"/>
  <c r="T138" i="14"/>
  <c r="AB138" i="14" s="1"/>
  <c r="B138" i="14"/>
  <c r="BB137" i="14"/>
  <c r="BA137" i="14"/>
  <c r="AZ137" i="14"/>
  <c r="T137" i="14" s="1"/>
  <c r="AB137" i="14" s="1"/>
  <c r="AY137" i="14"/>
  <c r="S137" i="14" s="1"/>
  <c r="AA137" i="14" s="1"/>
  <c r="AX137" i="14"/>
  <c r="R137" i="14" s="1"/>
  <c r="Z137" i="14" s="1"/>
  <c r="AW137" i="14"/>
  <c r="Q137" i="14" s="1"/>
  <c r="Y137" i="14" s="1"/>
  <c r="AV137" i="14"/>
  <c r="P137" i="14" s="1"/>
  <c r="X137" i="14" s="1"/>
  <c r="AU137" i="14"/>
  <c r="O137" i="14" s="1"/>
  <c r="V137" i="14"/>
  <c r="AD137" i="14" s="1"/>
  <c r="U137" i="14"/>
  <c r="AC137" i="14" s="1"/>
  <c r="B137" i="14"/>
  <c r="BB136" i="14"/>
  <c r="BA136" i="14"/>
  <c r="U136" i="14" s="1"/>
  <c r="AC136" i="14" s="1"/>
  <c r="AZ136" i="14"/>
  <c r="T136" i="14" s="1"/>
  <c r="AB136" i="14" s="1"/>
  <c r="AY136" i="14"/>
  <c r="S136" i="14" s="1"/>
  <c r="AA136" i="14" s="1"/>
  <c r="AX136" i="14"/>
  <c r="R136" i="14" s="1"/>
  <c r="Z136" i="14" s="1"/>
  <c r="AW136" i="14"/>
  <c r="Q136" i="14" s="1"/>
  <c r="Y136" i="14" s="1"/>
  <c r="AV136" i="14"/>
  <c r="P136" i="14" s="1"/>
  <c r="X136" i="14" s="1"/>
  <c r="AU136" i="14"/>
  <c r="O136" i="14" s="1"/>
  <c r="V136" i="14"/>
  <c r="AD136" i="14" s="1"/>
  <c r="B136" i="14"/>
  <c r="BB135" i="14"/>
  <c r="BA135" i="14"/>
  <c r="U135" i="14" s="1"/>
  <c r="AC135" i="14" s="1"/>
  <c r="AZ135" i="14"/>
  <c r="T135" i="14" s="1"/>
  <c r="AB135" i="14" s="1"/>
  <c r="AY135" i="14"/>
  <c r="S135" i="14" s="1"/>
  <c r="AA135" i="14" s="1"/>
  <c r="AX135" i="14"/>
  <c r="R135" i="14" s="1"/>
  <c r="Z135" i="14" s="1"/>
  <c r="AW135" i="14"/>
  <c r="Q135" i="14" s="1"/>
  <c r="Y135" i="14" s="1"/>
  <c r="AV135" i="14"/>
  <c r="P135" i="14" s="1"/>
  <c r="X135" i="14" s="1"/>
  <c r="AU135" i="14"/>
  <c r="O135" i="14" s="1"/>
  <c r="V135" i="14"/>
  <c r="AD135" i="14" s="1"/>
  <c r="B135" i="14"/>
  <c r="BB134" i="14"/>
  <c r="V134" i="14" s="1"/>
  <c r="AD134" i="14" s="1"/>
  <c r="BA134" i="14"/>
  <c r="U134" i="14" s="1"/>
  <c r="AC134" i="14" s="1"/>
  <c r="AZ134" i="14"/>
  <c r="T134" i="14" s="1"/>
  <c r="AB134" i="14" s="1"/>
  <c r="AY134" i="14"/>
  <c r="S134" i="14" s="1"/>
  <c r="AA134" i="14" s="1"/>
  <c r="AX134" i="14"/>
  <c r="R134" i="14" s="1"/>
  <c r="Z134" i="14" s="1"/>
  <c r="AW134" i="14"/>
  <c r="Q134" i="14" s="1"/>
  <c r="Y134" i="14" s="1"/>
  <c r="AV134" i="14"/>
  <c r="P134" i="14" s="1"/>
  <c r="X134" i="14" s="1"/>
  <c r="AU134" i="14"/>
  <c r="O134" i="14" s="1"/>
  <c r="B134" i="14"/>
  <c r="BB133" i="14"/>
  <c r="BA133" i="14"/>
  <c r="U133" i="14" s="1"/>
  <c r="AC133" i="14" s="1"/>
  <c r="AZ133" i="14"/>
  <c r="T133" i="14" s="1"/>
  <c r="AB133" i="14" s="1"/>
  <c r="AY133" i="14"/>
  <c r="S133" i="14" s="1"/>
  <c r="AA133" i="14" s="1"/>
  <c r="AX133" i="14"/>
  <c r="R133" i="14" s="1"/>
  <c r="Z133" i="14" s="1"/>
  <c r="AW133" i="14"/>
  <c r="Q133" i="14" s="1"/>
  <c r="Y133" i="14" s="1"/>
  <c r="AV133" i="14"/>
  <c r="P133" i="14" s="1"/>
  <c r="X133" i="14" s="1"/>
  <c r="AU133" i="14"/>
  <c r="O133" i="14" s="1"/>
  <c r="V133" i="14"/>
  <c r="AD133" i="14" s="1"/>
  <c r="B133" i="14"/>
  <c r="BB132" i="14"/>
  <c r="BA132" i="14"/>
  <c r="U132" i="14" s="1"/>
  <c r="AC132" i="14" s="1"/>
  <c r="AZ132" i="14"/>
  <c r="T132" i="14" s="1"/>
  <c r="AB132" i="14" s="1"/>
  <c r="AY132" i="14"/>
  <c r="S132" i="14" s="1"/>
  <c r="AA132" i="14" s="1"/>
  <c r="AX132" i="14"/>
  <c r="R132" i="14" s="1"/>
  <c r="Z132" i="14" s="1"/>
  <c r="AW132" i="14"/>
  <c r="Q132" i="14" s="1"/>
  <c r="Y132" i="14" s="1"/>
  <c r="AV132" i="14"/>
  <c r="P132" i="14" s="1"/>
  <c r="X132" i="14" s="1"/>
  <c r="AU132" i="14"/>
  <c r="O132" i="14" s="1"/>
  <c r="V132" i="14"/>
  <c r="AD132" i="14" s="1"/>
  <c r="B132" i="14"/>
  <c r="BB131" i="14"/>
  <c r="V131" i="14" s="1"/>
  <c r="AD131" i="14" s="1"/>
  <c r="BA131" i="14"/>
  <c r="U131" i="14" s="1"/>
  <c r="AC131" i="14" s="1"/>
  <c r="AZ131" i="14"/>
  <c r="T131" i="14" s="1"/>
  <c r="AB131" i="14" s="1"/>
  <c r="AY131" i="14"/>
  <c r="S131" i="14" s="1"/>
  <c r="AA131" i="14" s="1"/>
  <c r="AX131" i="14"/>
  <c r="R131" i="14" s="1"/>
  <c r="Z131" i="14" s="1"/>
  <c r="AW131" i="14"/>
  <c r="Q131" i="14" s="1"/>
  <c r="Y131" i="14" s="1"/>
  <c r="AV131" i="14"/>
  <c r="P131" i="14" s="1"/>
  <c r="X131" i="14" s="1"/>
  <c r="AU131" i="14"/>
  <c r="O131" i="14" s="1"/>
  <c r="B131" i="14"/>
  <c r="BB130" i="14"/>
  <c r="BA130" i="14"/>
  <c r="U130" i="14" s="1"/>
  <c r="AC130" i="14" s="1"/>
  <c r="AZ130" i="14"/>
  <c r="T130" i="14" s="1"/>
  <c r="AB130" i="14" s="1"/>
  <c r="AY130" i="14"/>
  <c r="S130" i="14" s="1"/>
  <c r="AA130" i="14" s="1"/>
  <c r="AX130" i="14"/>
  <c r="R130" i="14" s="1"/>
  <c r="Z130" i="14" s="1"/>
  <c r="AW130" i="14"/>
  <c r="Q130" i="14" s="1"/>
  <c r="Y130" i="14" s="1"/>
  <c r="AV130" i="14"/>
  <c r="P130" i="14" s="1"/>
  <c r="X130" i="14" s="1"/>
  <c r="AU130" i="14"/>
  <c r="O130" i="14" s="1"/>
  <c r="V130" i="14"/>
  <c r="AD130" i="14" s="1"/>
  <c r="B130" i="14"/>
  <c r="BB129" i="14"/>
  <c r="BA129" i="14"/>
  <c r="AZ129" i="14"/>
  <c r="T129" i="14" s="1"/>
  <c r="AB129" i="14" s="1"/>
  <c r="AY129" i="14"/>
  <c r="S129" i="14" s="1"/>
  <c r="AA129" i="14" s="1"/>
  <c r="AX129" i="14"/>
  <c r="R129" i="14" s="1"/>
  <c r="Z129" i="14" s="1"/>
  <c r="AW129" i="14"/>
  <c r="Q129" i="14" s="1"/>
  <c r="Y129" i="14" s="1"/>
  <c r="AV129" i="14"/>
  <c r="P129" i="14" s="1"/>
  <c r="X129" i="14" s="1"/>
  <c r="AU129" i="14"/>
  <c r="O129" i="14" s="1"/>
  <c r="V129" i="14"/>
  <c r="AD129" i="14" s="1"/>
  <c r="U129" i="14"/>
  <c r="AC129" i="14" s="1"/>
  <c r="B129" i="14"/>
  <c r="BB128" i="14"/>
  <c r="BA128" i="14"/>
  <c r="U128" i="14" s="1"/>
  <c r="AC128" i="14" s="1"/>
  <c r="AZ128" i="14"/>
  <c r="T128" i="14" s="1"/>
  <c r="AB128" i="14" s="1"/>
  <c r="AY128" i="14"/>
  <c r="S128" i="14" s="1"/>
  <c r="AA128" i="14" s="1"/>
  <c r="AX128" i="14"/>
  <c r="R128" i="14" s="1"/>
  <c r="Z128" i="14" s="1"/>
  <c r="AW128" i="14"/>
  <c r="Q128" i="14" s="1"/>
  <c r="Y128" i="14" s="1"/>
  <c r="AV128" i="14"/>
  <c r="P128" i="14" s="1"/>
  <c r="X128" i="14" s="1"/>
  <c r="AU128" i="14"/>
  <c r="O128" i="14" s="1"/>
  <c r="V128" i="14"/>
  <c r="AD128" i="14" s="1"/>
  <c r="B128" i="14"/>
  <c r="BB127" i="14"/>
  <c r="BA127" i="14"/>
  <c r="AZ127" i="14"/>
  <c r="T127" i="14" s="1"/>
  <c r="AB127" i="14" s="1"/>
  <c r="AY127" i="14"/>
  <c r="S127" i="14" s="1"/>
  <c r="AA127" i="14" s="1"/>
  <c r="AX127" i="14"/>
  <c r="R127" i="14" s="1"/>
  <c r="Z127" i="14" s="1"/>
  <c r="AW127" i="14"/>
  <c r="Q127" i="14" s="1"/>
  <c r="Y127" i="14" s="1"/>
  <c r="AV127" i="14"/>
  <c r="P127" i="14" s="1"/>
  <c r="X127" i="14" s="1"/>
  <c r="AU127" i="14"/>
  <c r="O127" i="14" s="1"/>
  <c r="V127" i="14"/>
  <c r="AD127" i="14" s="1"/>
  <c r="U127" i="14"/>
  <c r="AC127" i="14" s="1"/>
  <c r="B127" i="14"/>
  <c r="BB126" i="14"/>
  <c r="BA126" i="14"/>
  <c r="U126" i="14" s="1"/>
  <c r="AC126" i="14" s="1"/>
  <c r="AZ126" i="14"/>
  <c r="T126" i="14" s="1"/>
  <c r="AB126" i="14" s="1"/>
  <c r="AY126" i="14"/>
  <c r="S126" i="14" s="1"/>
  <c r="AA126" i="14" s="1"/>
  <c r="AX126" i="14"/>
  <c r="R126" i="14" s="1"/>
  <c r="Z126" i="14" s="1"/>
  <c r="AW126" i="14"/>
  <c r="Q126" i="14" s="1"/>
  <c r="Y126" i="14" s="1"/>
  <c r="AV126" i="14"/>
  <c r="P126" i="14" s="1"/>
  <c r="X126" i="14" s="1"/>
  <c r="AU126" i="14"/>
  <c r="O126" i="14" s="1"/>
  <c r="V126" i="14"/>
  <c r="AD126" i="14" s="1"/>
  <c r="B126" i="14"/>
  <c r="BB125" i="14"/>
  <c r="BA125" i="14"/>
  <c r="U125" i="14" s="1"/>
  <c r="AC125" i="14" s="1"/>
  <c r="AZ125" i="14"/>
  <c r="T125" i="14" s="1"/>
  <c r="AB125" i="14" s="1"/>
  <c r="AY125" i="14"/>
  <c r="S125" i="14" s="1"/>
  <c r="AA125" i="14" s="1"/>
  <c r="AX125" i="14"/>
  <c r="R125" i="14" s="1"/>
  <c r="Z125" i="14" s="1"/>
  <c r="AW125" i="14"/>
  <c r="Q125" i="14" s="1"/>
  <c r="Y125" i="14" s="1"/>
  <c r="AV125" i="14"/>
  <c r="P125" i="14" s="1"/>
  <c r="X125" i="14" s="1"/>
  <c r="AU125" i="14"/>
  <c r="O125" i="14" s="1"/>
  <c r="V125" i="14"/>
  <c r="AD125" i="14" s="1"/>
  <c r="B125" i="14"/>
  <c r="BB124" i="14"/>
  <c r="V124" i="14" s="1"/>
  <c r="AD124" i="14" s="1"/>
  <c r="BA124" i="14"/>
  <c r="U124" i="14" s="1"/>
  <c r="AC124" i="14" s="1"/>
  <c r="AZ124" i="14"/>
  <c r="T124" i="14" s="1"/>
  <c r="AB124" i="14" s="1"/>
  <c r="AY124" i="14"/>
  <c r="S124" i="14" s="1"/>
  <c r="AA124" i="14" s="1"/>
  <c r="AX124" i="14"/>
  <c r="R124" i="14" s="1"/>
  <c r="Z124" i="14" s="1"/>
  <c r="AW124" i="14"/>
  <c r="Q124" i="14" s="1"/>
  <c r="Y124" i="14" s="1"/>
  <c r="AV124" i="14"/>
  <c r="P124" i="14" s="1"/>
  <c r="X124" i="14" s="1"/>
  <c r="AU124" i="14"/>
  <c r="O124" i="14" s="1"/>
  <c r="B124" i="14"/>
  <c r="BB123" i="14"/>
  <c r="V123" i="14" s="1"/>
  <c r="AD123" i="14" s="1"/>
  <c r="BA123" i="14"/>
  <c r="U123" i="14" s="1"/>
  <c r="AC123" i="14" s="1"/>
  <c r="AZ123" i="14"/>
  <c r="T123" i="14" s="1"/>
  <c r="AB123" i="14" s="1"/>
  <c r="AY123" i="14"/>
  <c r="S123" i="14" s="1"/>
  <c r="AA123" i="14" s="1"/>
  <c r="AX123" i="14"/>
  <c r="R123" i="14" s="1"/>
  <c r="Z123" i="14" s="1"/>
  <c r="AW123" i="14"/>
  <c r="Q123" i="14" s="1"/>
  <c r="Y123" i="14" s="1"/>
  <c r="AV123" i="14"/>
  <c r="P123" i="14" s="1"/>
  <c r="X123" i="14" s="1"/>
  <c r="AU123" i="14"/>
  <c r="O123" i="14" s="1"/>
  <c r="B123" i="14"/>
  <c r="BB122" i="14"/>
  <c r="V122" i="14" s="1"/>
  <c r="AD122" i="14" s="1"/>
  <c r="BA122" i="14"/>
  <c r="U122" i="14" s="1"/>
  <c r="AC122" i="14" s="1"/>
  <c r="AZ122" i="14"/>
  <c r="T122" i="14" s="1"/>
  <c r="AB122" i="14" s="1"/>
  <c r="AY122" i="14"/>
  <c r="S122" i="14" s="1"/>
  <c r="AA122" i="14" s="1"/>
  <c r="AX122" i="14"/>
  <c r="R122" i="14" s="1"/>
  <c r="Z122" i="14" s="1"/>
  <c r="AW122" i="14"/>
  <c r="Q122" i="14" s="1"/>
  <c r="Y122" i="14" s="1"/>
  <c r="AV122" i="14"/>
  <c r="P122" i="14" s="1"/>
  <c r="X122" i="14" s="1"/>
  <c r="AU122" i="14"/>
  <c r="O122" i="14" s="1"/>
  <c r="B122" i="14"/>
  <c r="BB121" i="14"/>
  <c r="BA121" i="14"/>
  <c r="AZ121" i="14"/>
  <c r="T121" i="14" s="1"/>
  <c r="AB121" i="14" s="1"/>
  <c r="AY121" i="14"/>
  <c r="S121" i="14" s="1"/>
  <c r="AA121" i="14" s="1"/>
  <c r="AX121" i="14"/>
  <c r="R121" i="14" s="1"/>
  <c r="Z121" i="14" s="1"/>
  <c r="AW121" i="14"/>
  <c r="Q121" i="14" s="1"/>
  <c r="Y121" i="14" s="1"/>
  <c r="AV121" i="14"/>
  <c r="P121" i="14" s="1"/>
  <c r="X121" i="14" s="1"/>
  <c r="AU121" i="14"/>
  <c r="O121" i="14" s="1"/>
  <c r="V121" i="14"/>
  <c r="AD121" i="14" s="1"/>
  <c r="U121" i="14"/>
  <c r="AC121" i="14" s="1"/>
  <c r="B121" i="14"/>
  <c r="BB120" i="14"/>
  <c r="V120" i="14" s="1"/>
  <c r="AD120" i="14" s="1"/>
  <c r="BA120" i="14"/>
  <c r="U120" i="14" s="1"/>
  <c r="AC120" i="14" s="1"/>
  <c r="AZ120" i="14"/>
  <c r="T120" i="14" s="1"/>
  <c r="AB120" i="14" s="1"/>
  <c r="AY120" i="14"/>
  <c r="S120" i="14" s="1"/>
  <c r="AA120" i="14" s="1"/>
  <c r="AX120" i="14"/>
  <c r="R120" i="14" s="1"/>
  <c r="Z120" i="14" s="1"/>
  <c r="AW120" i="14"/>
  <c r="Q120" i="14" s="1"/>
  <c r="Y120" i="14" s="1"/>
  <c r="AV120" i="14"/>
  <c r="P120" i="14" s="1"/>
  <c r="X120" i="14" s="1"/>
  <c r="AU120" i="14"/>
  <c r="O120" i="14" s="1"/>
  <c r="B120" i="14"/>
  <c r="BB119" i="14"/>
  <c r="V119" i="14" s="1"/>
  <c r="AD119" i="14" s="1"/>
  <c r="BA119" i="14"/>
  <c r="U119" i="14" s="1"/>
  <c r="AC119" i="14" s="1"/>
  <c r="AZ119" i="14"/>
  <c r="T119" i="14" s="1"/>
  <c r="AB119" i="14" s="1"/>
  <c r="AY119" i="14"/>
  <c r="S119" i="14" s="1"/>
  <c r="AA119" i="14" s="1"/>
  <c r="AX119" i="14"/>
  <c r="R119" i="14" s="1"/>
  <c r="Z119" i="14" s="1"/>
  <c r="AW119" i="14"/>
  <c r="Q119" i="14" s="1"/>
  <c r="Y119" i="14" s="1"/>
  <c r="AV119" i="14"/>
  <c r="P119" i="14" s="1"/>
  <c r="X119" i="14" s="1"/>
  <c r="AU119" i="14"/>
  <c r="O119" i="14" s="1"/>
  <c r="B119" i="14"/>
  <c r="BB118" i="14"/>
  <c r="BA118" i="14"/>
  <c r="U118" i="14" s="1"/>
  <c r="AC118" i="14" s="1"/>
  <c r="AZ118" i="14"/>
  <c r="T118" i="14" s="1"/>
  <c r="AB118" i="14" s="1"/>
  <c r="AY118" i="14"/>
  <c r="S118" i="14" s="1"/>
  <c r="AA118" i="14" s="1"/>
  <c r="AX118" i="14"/>
  <c r="R118" i="14" s="1"/>
  <c r="Z118" i="14" s="1"/>
  <c r="AW118" i="14"/>
  <c r="Q118" i="14" s="1"/>
  <c r="Y118" i="14" s="1"/>
  <c r="AV118" i="14"/>
  <c r="P118" i="14" s="1"/>
  <c r="X118" i="14" s="1"/>
  <c r="AU118" i="14"/>
  <c r="O118" i="14" s="1"/>
  <c r="V118" i="14"/>
  <c r="AD118" i="14" s="1"/>
  <c r="B118" i="14"/>
  <c r="BB117" i="14"/>
  <c r="V117" i="14" s="1"/>
  <c r="AD117" i="14" s="1"/>
  <c r="BA117" i="14"/>
  <c r="U117" i="14" s="1"/>
  <c r="AC117" i="14" s="1"/>
  <c r="AZ117" i="14"/>
  <c r="T117" i="14" s="1"/>
  <c r="AB117" i="14" s="1"/>
  <c r="AY117" i="14"/>
  <c r="S117" i="14" s="1"/>
  <c r="AA117" i="14" s="1"/>
  <c r="AX117" i="14"/>
  <c r="R117" i="14" s="1"/>
  <c r="Z117" i="14" s="1"/>
  <c r="AW117" i="14"/>
  <c r="Q117" i="14" s="1"/>
  <c r="Y117" i="14" s="1"/>
  <c r="AV117" i="14"/>
  <c r="P117" i="14" s="1"/>
  <c r="X117" i="14" s="1"/>
  <c r="AU117" i="14"/>
  <c r="O117" i="14" s="1"/>
  <c r="B117" i="14"/>
  <c r="BB116" i="14"/>
  <c r="BA116" i="14"/>
  <c r="AZ116" i="14"/>
  <c r="T116" i="14" s="1"/>
  <c r="AB116" i="14" s="1"/>
  <c r="AY116" i="14"/>
  <c r="S116" i="14" s="1"/>
  <c r="AA116" i="14" s="1"/>
  <c r="AX116" i="14"/>
  <c r="R116" i="14" s="1"/>
  <c r="Z116" i="14" s="1"/>
  <c r="AW116" i="14"/>
  <c r="Q116" i="14" s="1"/>
  <c r="Y116" i="14" s="1"/>
  <c r="AV116" i="14"/>
  <c r="P116" i="14" s="1"/>
  <c r="X116" i="14" s="1"/>
  <c r="AU116" i="14"/>
  <c r="O116" i="14" s="1"/>
  <c r="V116" i="14"/>
  <c r="AD116" i="14" s="1"/>
  <c r="U116" i="14"/>
  <c r="AC116" i="14" s="1"/>
  <c r="B116" i="14"/>
  <c r="BB115" i="14"/>
  <c r="BA115" i="14"/>
  <c r="U115" i="14" s="1"/>
  <c r="AC115" i="14" s="1"/>
  <c r="AZ115" i="14"/>
  <c r="T115" i="14" s="1"/>
  <c r="AB115" i="14" s="1"/>
  <c r="AY115" i="14"/>
  <c r="S115" i="14" s="1"/>
  <c r="AA115" i="14" s="1"/>
  <c r="AX115" i="14"/>
  <c r="R115" i="14" s="1"/>
  <c r="Z115" i="14" s="1"/>
  <c r="AW115" i="14"/>
  <c r="Q115" i="14" s="1"/>
  <c r="Y115" i="14" s="1"/>
  <c r="AV115" i="14"/>
  <c r="P115" i="14" s="1"/>
  <c r="X115" i="14" s="1"/>
  <c r="AU115" i="14"/>
  <c r="O115" i="14" s="1"/>
  <c r="V115" i="14"/>
  <c r="AD115" i="14" s="1"/>
  <c r="B115" i="14"/>
  <c r="BB114" i="14"/>
  <c r="V114" i="14" s="1"/>
  <c r="AD114" i="14" s="1"/>
  <c r="BA114" i="14"/>
  <c r="U114" i="14" s="1"/>
  <c r="AC114" i="14" s="1"/>
  <c r="AZ114" i="14"/>
  <c r="T114" i="14" s="1"/>
  <c r="AB114" i="14" s="1"/>
  <c r="AY114" i="14"/>
  <c r="S114" i="14" s="1"/>
  <c r="AA114" i="14" s="1"/>
  <c r="AX114" i="14"/>
  <c r="R114" i="14" s="1"/>
  <c r="Z114" i="14" s="1"/>
  <c r="AW114" i="14"/>
  <c r="Q114" i="14" s="1"/>
  <c r="Y114" i="14" s="1"/>
  <c r="AV114" i="14"/>
  <c r="P114" i="14" s="1"/>
  <c r="X114" i="14" s="1"/>
  <c r="AU114" i="14"/>
  <c r="O114" i="14" s="1"/>
  <c r="B114" i="14"/>
  <c r="BB113" i="14"/>
  <c r="BA113" i="14"/>
  <c r="AZ113" i="14"/>
  <c r="T113" i="14" s="1"/>
  <c r="AB113" i="14" s="1"/>
  <c r="AY113" i="14"/>
  <c r="S113" i="14" s="1"/>
  <c r="AA113" i="14" s="1"/>
  <c r="AX113" i="14"/>
  <c r="R113" i="14" s="1"/>
  <c r="Z113" i="14" s="1"/>
  <c r="AW113" i="14"/>
  <c r="Q113" i="14" s="1"/>
  <c r="Y113" i="14" s="1"/>
  <c r="AV113" i="14"/>
  <c r="P113" i="14" s="1"/>
  <c r="X113" i="14" s="1"/>
  <c r="AU113" i="14"/>
  <c r="O113" i="14" s="1"/>
  <c r="V113" i="14"/>
  <c r="AD113" i="14" s="1"/>
  <c r="U113" i="14"/>
  <c r="AC113" i="14" s="1"/>
  <c r="B113" i="14"/>
  <c r="BB112" i="14"/>
  <c r="BA112" i="14"/>
  <c r="U112" i="14" s="1"/>
  <c r="AC112" i="14" s="1"/>
  <c r="AZ112" i="14"/>
  <c r="T112" i="14" s="1"/>
  <c r="AB112" i="14" s="1"/>
  <c r="AY112" i="14"/>
  <c r="S112" i="14" s="1"/>
  <c r="AA112" i="14" s="1"/>
  <c r="AX112" i="14"/>
  <c r="R112" i="14" s="1"/>
  <c r="Z112" i="14" s="1"/>
  <c r="AW112" i="14"/>
  <c r="Q112" i="14" s="1"/>
  <c r="Y112" i="14" s="1"/>
  <c r="AV112" i="14"/>
  <c r="P112" i="14" s="1"/>
  <c r="X112" i="14" s="1"/>
  <c r="AU112" i="14"/>
  <c r="O112" i="14" s="1"/>
  <c r="V112" i="14"/>
  <c r="AD112" i="14" s="1"/>
  <c r="B112" i="14"/>
  <c r="BB111" i="14"/>
  <c r="V111" i="14" s="1"/>
  <c r="AD111" i="14" s="1"/>
  <c r="BA111" i="14"/>
  <c r="U111" i="14" s="1"/>
  <c r="AC111" i="14" s="1"/>
  <c r="AZ111" i="14"/>
  <c r="T111" i="14" s="1"/>
  <c r="AB111" i="14" s="1"/>
  <c r="AY111" i="14"/>
  <c r="S111" i="14" s="1"/>
  <c r="AA111" i="14" s="1"/>
  <c r="AX111" i="14"/>
  <c r="R111" i="14" s="1"/>
  <c r="Z111" i="14" s="1"/>
  <c r="AW111" i="14"/>
  <c r="Q111" i="14" s="1"/>
  <c r="Y111" i="14" s="1"/>
  <c r="AV111" i="14"/>
  <c r="P111" i="14" s="1"/>
  <c r="X111" i="14" s="1"/>
  <c r="AU111" i="14"/>
  <c r="O111" i="14" s="1"/>
  <c r="B111" i="14"/>
  <c r="BB110" i="14"/>
  <c r="BA110" i="14"/>
  <c r="U110" i="14" s="1"/>
  <c r="AC110" i="14" s="1"/>
  <c r="AZ110" i="14"/>
  <c r="T110" i="14" s="1"/>
  <c r="AB110" i="14" s="1"/>
  <c r="AY110" i="14"/>
  <c r="S110" i="14" s="1"/>
  <c r="AA110" i="14" s="1"/>
  <c r="AX110" i="14"/>
  <c r="R110" i="14" s="1"/>
  <c r="Z110" i="14" s="1"/>
  <c r="AW110" i="14"/>
  <c r="Q110" i="14" s="1"/>
  <c r="Y110" i="14" s="1"/>
  <c r="AV110" i="14"/>
  <c r="P110" i="14" s="1"/>
  <c r="X110" i="14" s="1"/>
  <c r="AU110" i="14"/>
  <c r="O110" i="14" s="1"/>
  <c r="V110" i="14"/>
  <c r="AD110" i="14" s="1"/>
  <c r="B110" i="14"/>
  <c r="BB109" i="14"/>
  <c r="BA109" i="14"/>
  <c r="U109" i="14" s="1"/>
  <c r="AC109" i="14" s="1"/>
  <c r="AZ109" i="14"/>
  <c r="T109" i="14" s="1"/>
  <c r="AB109" i="14" s="1"/>
  <c r="AY109" i="14"/>
  <c r="S109" i="14" s="1"/>
  <c r="AA109" i="14" s="1"/>
  <c r="AX109" i="14"/>
  <c r="R109" i="14" s="1"/>
  <c r="Z109" i="14" s="1"/>
  <c r="AW109" i="14"/>
  <c r="Q109" i="14" s="1"/>
  <c r="Y109" i="14" s="1"/>
  <c r="AV109" i="14"/>
  <c r="P109" i="14" s="1"/>
  <c r="X109" i="14" s="1"/>
  <c r="AU109" i="14"/>
  <c r="O109" i="14" s="1"/>
  <c r="V109" i="14"/>
  <c r="AD109" i="14" s="1"/>
  <c r="B109" i="14"/>
  <c r="BB108" i="14"/>
  <c r="V108" i="14" s="1"/>
  <c r="AD108" i="14" s="1"/>
  <c r="BA108" i="14"/>
  <c r="U108" i="14" s="1"/>
  <c r="AC108" i="14" s="1"/>
  <c r="AZ108" i="14"/>
  <c r="AY108" i="14"/>
  <c r="S108" i="14" s="1"/>
  <c r="AA108" i="14" s="1"/>
  <c r="AX108" i="14"/>
  <c r="AW108" i="14"/>
  <c r="Q108" i="14" s="1"/>
  <c r="Y108" i="14" s="1"/>
  <c r="AV108" i="14"/>
  <c r="P108" i="14" s="1"/>
  <c r="X108" i="14" s="1"/>
  <c r="AU108" i="14"/>
  <c r="O108" i="14" s="1"/>
  <c r="B108" i="14"/>
  <c r="BB107" i="14"/>
  <c r="V107" i="14" s="1"/>
  <c r="AD107" i="14" s="1"/>
  <c r="BA107" i="14"/>
  <c r="U107" i="14" s="1"/>
  <c r="AC107" i="14" s="1"/>
  <c r="AZ107" i="14"/>
  <c r="AY107" i="14"/>
  <c r="AX107" i="14"/>
  <c r="AW107" i="14"/>
  <c r="Q107" i="14" s="1"/>
  <c r="Y107" i="14" s="1"/>
  <c r="AV107" i="14"/>
  <c r="AU107" i="14"/>
  <c r="O107" i="14" s="1"/>
  <c r="B107" i="14"/>
  <c r="BB106" i="14"/>
  <c r="BA106" i="14"/>
  <c r="AZ106" i="14"/>
  <c r="AY106" i="14"/>
  <c r="AX106" i="14"/>
  <c r="AW106" i="14"/>
  <c r="AV106" i="14"/>
  <c r="AU106" i="14"/>
  <c r="V106" i="14"/>
  <c r="AD106" i="14" s="1"/>
  <c r="B106" i="14"/>
  <c r="BB105" i="14"/>
  <c r="V105" i="14" s="1"/>
  <c r="AD105" i="14" s="1"/>
  <c r="BA105" i="14"/>
  <c r="U105" i="14" s="1"/>
  <c r="AC105" i="14" s="1"/>
  <c r="AZ105" i="14"/>
  <c r="T105" i="14" s="1"/>
  <c r="AB105" i="14" s="1"/>
  <c r="AY105" i="14"/>
  <c r="S105" i="14" s="1"/>
  <c r="AA105" i="14" s="1"/>
  <c r="AX105" i="14"/>
  <c r="R105" i="14" s="1"/>
  <c r="Z105" i="14" s="1"/>
  <c r="AW105" i="14"/>
  <c r="Q105" i="14" s="1"/>
  <c r="Y105" i="14" s="1"/>
  <c r="AV105" i="14"/>
  <c r="P105" i="14" s="1"/>
  <c r="X105" i="14" s="1"/>
  <c r="AU105" i="14"/>
  <c r="O105" i="14" s="1"/>
  <c r="B105" i="14"/>
  <c r="BB104" i="14"/>
  <c r="V104" i="14" s="1"/>
  <c r="AD104" i="14" s="1"/>
  <c r="BA104" i="14"/>
  <c r="AZ104" i="14"/>
  <c r="AY104" i="14"/>
  <c r="AX104" i="14"/>
  <c r="AW104" i="14"/>
  <c r="AV104" i="14"/>
  <c r="AU104" i="14"/>
  <c r="B104" i="14"/>
  <c r="BB103" i="14"/>
  <c r="V103" i="14" s="1"/>
  <c r="AD103" i="14" s="1"/>
  <c r="BA103" i="14"/>
  <c r="AZ103" i="14"/>
  <c r="AY103" i="14"/>
  <c r="AX103" i="14"/>
  <c r="AW103" i="14"/>
  <c r="AV103" i="14"/>
  <c r="AU103" i="14"/>
  <c r="B103" i="14"/>
  <c r="BB102" i="14"/>
  <c r="V102" i="14" s="1"/>
  <c r="AD102" i="14" s="1"/>
  <c r="BA102" i="14"/>
  <c r="AZ102" i="14"/>
  <c r="AY102" i="14"/>
  <c r="AX102" i="14"/>
  <c r="AW102" i="14"/>
  <c r="AV102" i="14"/>
  <c r="AU102" i="14"/>
  <c r="B102" i="14"/>
  <c r="BB101" i="14"/>
  <c r="V101" i="14" s="1"/>
  <c r="AD101" i="14" s="1"/>
  <c r="BA101" i="14"/>
  <c r="AZ101" i="14"/>
  <c r="AY101" i="14"/>
  <c r="S101" i="14" s="1"/>
  <c r="AA101" i="14" s="1"/>
  <c r="AX101" i="14"/>
  <c r="AW101" i="14"/>
  <c r="AV101" i="14"/>
  <c r="P101" i="14" s="1"/>
  <c r="X101" i="14" s="1"/>
  <c r="AU101" i="14"/>
  <c r="O101" i="14" s="1"/>
  <c r="B101" i="14"/>
  <c r="BB100" i="14"/>
  <c r="V100" i="14" s="1"/>
  <c r="AD100" i="14" s="1"/>
  <c r="BA100" i="14"/>
  <c r="AZ100" i="14"/>
  <c r="AY100" i="14"/>
  <c r="AX100" i="14"/>
  <c r="AW100" i="14"/>
  <c r="AV100" i="14"/>
  <c r="AU100" i="14"/>
  <c r="B100" i="14"/>
  <c r="BB99" i="14"/>
  <c r="V99" i="14" s="1"/>
  <c r="AD99" i="14" s="1"/>
  <c r="BA99" i="14"/>
  <c r="AZ99" i="14"/>
  <c r="AY99" i="14"/>
  <c r="AX99" i="14"/>
  <c r="AW99" i="14"/>
  <c r="AV99" i="14"/>
  <c r="AU99" i="14"/>
  <c r="O99" i="14" s="1"/>
  <c r="B99" i="14"/>
  <c r="BB98" i="14"/>
  <c r="V98" i="14" s="1"/>
  <c r="AD98" i="14" s="1"/>
  <c r="BA98" i="14"/>
  <c r="AZ98" i="14"/>
  <c r="AY98" i="14"/>
  <c r="AX98" i="14"/>
  <c r="AW98" i="14"/>
  <c r="AV98" i="14"/>
  <c r="AU98" i="14"/>
  <c r="B98" i="14"/>
  <c r="BB97" i="14"/>
  <c r="V97" i="14" s="1"/>
  <c r="AD97" i="14" s="1"/>
  <c r="BA97" i="14"/>
  <c r="AZ97" i="14"/>
  <c r="AY97" i="14"/>
  <c r="AX97" i="14"/>
  <c r="AW97" i="14"/>
  <c r="AV97" i="14"/>
  <c r="AU97" i="14"/>
  <c r="B97" i="14"/>
  <c r="BB96" i="14"/>
  <c r="V96" i="14" s="1"/>
  <c r="AD96" i="14" s="1"/>
  <c r="BA96" i="14"/>
  <c r="AZ96" i="14"/>
  <c r="AY96" i="14"/>
  <c r="AX96" i="14"/>
  <c r="AW96" i="14"/>
  <c r="AV96" i="14"/>
  <c r="AU96" i="14"/>
  <c r="B96" i="14"/>
  <c r="BB95" i="14"/>
  <c r="V95" i="14" s="1"/>
  <c r="AD95" i="14" s="1"/>
  <c r="BA95" i="14"/>
  <c r="AZ95" i="14"/>
  <c r="AY95" i="14"/>
  <c r="AX95" i="14"/>
  <c r="AW95" i="14"/>
  <c r="AV95" i="14"/>
  <c r="AU95" i="14"/>
  <c r="B95" i="14"/>
  <c r="BB94" i="14"/>
  <c r="V94" i="14" s="1"/>
  <c r="AD94" i="14" s="1"/>
  <c r="BA94" i="14"/>
  <c r="AZ94" i="14"/>
  <c r="AY94" i="14"/>
  <c r="AX94" i="14"/>
  <c r="AW94" i="14"/>
  <c r="AV94" i="14"/>
  <c r="AU94" i="14"/>
  <c r="B94" i="14"/>
  <c r="BB93" i="14"/>
  <c r="V93" i="14" s="1"/>
  <c r="AD93" i="14" s="1"/>
  <c r="BA93" i="14"/>
  <c r="AZ93" i="14"/>
  <c r="AY93" i="14"/>
  <c r="AX93" i="14"/>
  <c r="AW93" i="14"/>
  <c r="AV93" i="14"/>
  <c r="AU93" i="14"/>
  <c r="B93" i="14"/>
  <c r="BB92" i="14"/>
  <c r="V92" i="14" s="1"/>
  <c r="AD92" i="14" s="1"/>
  <c r="BA92" i="14"/>
  <c r="AZ92" i="14"/>
  <c r="AY92" i="14"/>
  <c r="AX92" i="14"/>
  <c r="AW92" i="14"/>
  <c r="AV92" i="14"/>
  <c r="AU92" i="14"/>
  <c r="B92" i="14"/>
  <c r="BB91" i="14"/>
  <c r="V91" i="14" s="1"/>
  <c r="AD91" i="14" s="1"/>
  <c r="BA91" i="14"/>
  <c r="AZ91" i="14"/>
  <c r="AY91" i="14"/>
  <c r="AX91" i="14"/>
  <c r="AW91" i="14"/>
  <c r="AV91" i="14"/>
  <c r="AU91" i="14"/>
  <c r="B91" i="14"/>
  <c r="BB90" i="14"/>
  <c r="V90" i="14" s="1"/>
  <c r="AD90" i="14" s="1"/>
  <c r="BA90" i="14"/>
  <c r="AZ90" i="14"/>
  <c r="AY90" i="14"/>
  <c r="AX90" i="14"/>
  <c r="AW90" i="14"/>
  <c r="AV90" i="14"/>
  <c r="AU90" i="14"/>
  <c r="B90" i="14"/>
  <c r="BB89" i="14"/>
  <c r="V89" i="14" s="1"/>
  <c r="AD89" i="14" s="1"/>
  <c r="BA89" i="14"/>
  <c r="AZ89" i="14"/>
  <c r="AY89" i="14"/>
  <c r="AX89" i="14"/>
  <c r="AW89" i="14"/>
  <c r="AV89" i="14"/>
  <c r="AU89" i="14"/>
  <c r="B89" i="14"/>
  <c r="BB88" i="14"/>
  <c r="V88" i="14" s="1"/>
  <c r="AD88" i="14" s="1"/>
  <c r="BA88" i="14"/>
  <c r="AZ88" i="14"/>
  <c r="AY88" i="14"/>
  <c r="AX88" i="14"/>
  <c r="AW88" i="14"/>
  <c r="AV88" i="14"/>
  <c r="AU88" i="14"/>
  <c r="BB87" i="14"/>
  <c r="V87" i="14" s="1"/>
  <c r="AD87" i="14" s="1"/>
  <c r="BA87" i="14"/>
  <c r="AZ87" i="14"/>
  <c r="AY87" i="14"/>
  <c r="AX87" i="14"/>
  <c r="AW87" i="14"/>
  <c r="AV87" i="14"/>
  <c r="AU87" i="14"/>
  <c r="B87" i="14"/>
  <c r="BB86" i="14"/>
  <c r="V86" i="14" s="1"/>
  <c r="AD86" i="14" s="1"/>
  <c r="BA86" i="14"/>
  <c r="AZ86" i="14"/>
  <c r="AY86" i="14"/>
  <c r="AX86" i="14"/>
  <c r="AW86" i="14"/>
  <c r="AV86" i="14"/>
  <c r="AU86" i="14"/>
  <c r="B86" i="14"/>
  <c r="BB85" i="14"/>
  <c r="V85" i="14" s="1"/>
  <c r="AD85" i="14" s="1"/>
  <c r="BA85" i="14"/>
  <c r="AZ85" i="14"/>
  <c r="AY85" i="14"/>
  <c r="AX85" i="14"/>
  <c r="AW85" i="14"/>
  <c r="AV85" i="14"/>
  <c r="AU85" i="14"/>
  <c r="B85" i="14"/>
  <c r="BB84" i="14"/>
  <c r="V84" i="14" s="1"/>
  <c r="AD84" i="14" s="1"/>
  <c r="BA84" i="14"/>
  <c r="AZ84" i="14"/>
  <c r="AY84" i="14"/>
  <c r="AX84" i="14"/>
  <c r="AW84" i="14"/>
  <c r="AV84" i="14"/>
  <c r="AU84" i="14"/>
  <c r="B84" i="14"/>
  <c r="BB83" i="14"/>
  <c r="V83" i="14" s="1"/>
  <c r="AD83" i="14" s="1"/>
  <c r="BA83" i="14"/>
  <c r="AZ83" i="14"/>
  <c r="AY83" i="14"/>
  <c r="AX83" i="14"/>
  <c r="AW83" i="14"/>
  <c r="AV83" i="14"/>
  <c r="AU83" i="14"/>
  <c r="B83" i="14"/>
  <c r="BB82" i="14"/>
  <c r="V82" i="14" s="1"/>
  <c r="AD82" i="14" s="1"/>
  <c r="BA82" i="14"/>
  <c r="AZ82" i="14"/>
  <c r="AY82" i="14"/>
  <c r="AX82" i="14"/>
  <c r="AW82" i="14"/>
  <c r="AV82" i="14"/>
  <c r="AU82" i="14"/>
  <c r="B82" i="14"/>
  <c r="BB81" i="14"/>
  <c r="V81" i="14" s="1"/>
  <c r="AD81" i="14" s="1"/>
  <c r="BA81" i="14"/>
  <c r="AZ81" i="14"/>
  <c r="AY81" i="14"/>
  <c r="AX81" i="14"/>
  <c r="AW81" i="14"/>
  <c r="AV81" i="14"/>
  <c r="AU81" i="14"/>
  <c r="B81" i="14"/>
  <c r="BB80" i="14"/>
  <c r="V80" i="14" s="1"/>
  <c r="AD80" i="14" s="1"/>
  <c r="BA80" i="14"/>
  <c r="AZ80" i="14"/>
  <c r="AY80" i="14"/>
  <c r="AX80" i="14"/>
  <c r="AW80" i="14"/>
  <c r="AV80" i="14"/>
  <c r="AU80" i="14"/>
  <c r="B80" i="14"/>
  <c r="BB79" i="14"/>
  <c r="V79" i="14" s="1"/>
  <c r="AD79" i="14" s="1"/>
  <c r="BA79" i="14"/>
  <c r="AZ79" i="14"/>
  <c r="AY79" i="14"/>
  <c r="AX79" i="14"/>
  <c r="AW79" i="14"/>
  <c r="AV79" i="14"/>
  <c r="AU79" i="14"/>
  <c r="B79" i="14"/>
  <c r="BB78" i="14"/>
  <c r="V78" i="14" s="1"/>
  <c r="AD78" i="14" s="1"/>
  <c r="BA78" i="14"/>
  <c r="AZ78" i="14"/>
  <c r="AY78" i="14"/>
  <c r="AX78" i="14"/>
  <c r="AW78" i="14"/>
  <c r="AV78" i="14"/>
  <c r="AU78" i="14"/>
  <c r="B78" i="14"/>
  <c r="BB77" i="14"/>
  <c r="V77" i="14" s="1"/>
  <c r="AD77" i="14" s="1"/>
  <c r="BA77" i="14"/>
  <c r="AZ77" i="14"/>
  <c r="AY77" i="14"/>
  <c r="AX77" i="14"/>
  <c r="AW77" i="14"/>
  <c r="AV77" i="14"/>
  <c r="AU77" i="14"/>
  <c r="B77" i="14"/>
  <c r="BB76" i="14"/>
  <c r="V76" i="14" s="1"/>
  <c r="AD76" i="14" s="1"/>
  <c r="BA76" i="14"/>
  <c r="AZ76" i="14"/>
  <c r="AY76" i="14"/>
  <c r="AX76" i="14"/>
  <c r="AW76" i="14"/>
  <c r="AV76" i="14"/>
  <c r="AU76" i="14"/>
  <c r="B76" i="14"/>
  <c r="BB75" i="14"/>
  <c r="V75" i="14" s="1"/>
  <c r="AD75" i="14" s="1"/>
  <c r="BA75" i="14"/>
  <c r="AZ75" i="14"/>
  <c r="AY75" i="14"/>
  <c r="AX75" i="14"/>
  <c r="AW75" i="14"/>
  <c r="AV75" i="14"/>
  <c r="AU75" i="14"/>
  <c r="B75" i="14"/>
  <c r="BB74" i="14"/>
  <c r="V74" i="14" s="1"/>
  <c r="AD74" i="14" s="1"/>
  <c r="BA74" i="14"/>
  <c r="AZ74" i="14"/>
  <c r="AY74" i="14"/>
  <c r="AX74" i="14"/>
  <c r="AW74" i="14"/>
  <c r="AV74" i="14"/>
  <c r="AU74" i="14"/>
  <c r="B74" i="14"/>
  <c r="BB73" i="14"/>
  <c r="V73" i="14" s="1"/>
  <c r="AD73" i="14" s="1"/>
  <c r="BA73" i="14"/>
  <c r="AZ73" i="14"/>
  <c r="AY73" i="14"/>
  <c r="AX73" i="14"/>
  <c r="AW73" i="14"/>
  <c r="AV73" i="14"/>
  <c r="AU73" i="14"/>
  <c r="B73" i="14"/>
  <c r="BB72" i="14"/>
  <c r="V72" i="14" s="1"/>
  <c r="AD72" i="14" s="1"/>
  <c r="BA72" i="14"/>
  <c r="AZ72" i="14"/>
  <c r="AY72" i="14"/>
  <c r="AX72" i="14"/>
  <c r="AW72" i="14"/>
  <c r="AV72" i="14"/>
  <c r="AU72" i="14"/>
  <c r="B72" i="14"/>
  <c r="BB71" i="14"/>
  <c r="V71" i="14" s="1"/>
  <c r="AD71" i="14" s="1"/>
  <c r="BA71" i="14"/>
  <c r="AZ71" i="14"/>
  <c r="AY71" i="14"/>
  <c r="AX71" i="14"/>
  <c r="AW71" i="14"/>
  <c r="AV71" i="14"/>
  <c r="AU71" i="14"/>
  <c r="B71" i="14"/>
  <c r="BB70" i="14"/>
  <c r="V70" i="14" s="1"/>
  <c r="AD70" i="14" s="1"/>
  <c r="BA70" i="14"/>
  <c r="AZ70" i="14"/>
  <c r="AY70" i="14"/>
  <c r="AX70" i="14"/>
  <c r="AW70" i="14"/>
  <c r="AV70" i="14"/>
  <c r="AU70" i="14"/>
  <c r="B70" i="14"/>
  <c r="BB69" i="14"/>
  <c r="V69" i="14" s="1"/>
  <c r="AD69" i="14" s="1"/>
  <c r="BA69" i="14"/>
  <c r="AZ69" i="14"/>
  <c r="AY69" i="14"/>
  <c r="AX69" i="14"/>
  <c r="AW69" i="14"/>
  <c r="AV69" i="14"/>
  <c r="AU69" i="14"/>
  <c r="B69" i="14"/>
  <c r="BB68" i="14"/>
  <c r="V68" i="14" s="1"/>
  <c r="AD68" i="14" s="1"/>
  <c r="BA68" i="14"/>
  <c r="AZ68" i="14"/>
  <c r="AY68" i="14"/>
  <c r="AX68" i="14"/>
  <c r="AW68" i="14"/>
  <c r="AV68" i="14"/>
  <c r="AU68" i="14"/>
  <c r="B68" i="14"/>
  <c r="BB67" i="14"/>
  <c r="V67" i="14" s="1"/>
  <c r="AD67" i="14" s="1"/>
  <c r="BA67" i="14"/>
  <c r="AZ67" i="14"/>
  <c r="AY67" i="14"/>
  <c r="AX67" i="14"/>
  <c r="AW67" i="14"/>
  <c r="AV67" i="14"/>
  <c r="AU67" i="14"/>
  <c r="B67" i="14"/>
  <c r="BB66" i="14"/>
  <c r="V66" i="14" s="1"/>
  <c r="AD66" i="14" s="1"/>
  <c r="BA66" i="14"/>
  <c r="AZ66" i="14"/>
  <c r="AY66" i="14"/>
  <c r="AX66" i="14"/>
  <c r="AW66" i="14"/>
  <c r="AV66" i="14"/>
  <c r="AU66" i="14"/>
  <c r="B66" i="14"/>
  <c r="BB65" i="14"/>
  <c r="V65" i="14" s="1"/>
  <c r="AD65" i="14" s="1"/>
  <c r="BA65" i="14"/>
  <c r="AZ65" i="14"/>
  <c r="AY65" i="14"/>
  <c r="AX65" i="14"/>
  <c r="AW65" i="14"/>
  <c r="AV65" i="14"/>
  <c r="AU65" i="14"/>
  <c r="B65" i="14"/>
  <c r="BB64" i="14"/>
  <c r="V64" i="14" s="1"/>
  <c r="AD64" i="14" s="1"/>
  <c r="BA64" i="14"/>
  <c r="AZ64" i="14"/>
  <c r="AY64" i="14"/>
  <c r="AX64" i="14"/>
  <c r="AW64" i="14"/>
  <c r="AV64" i="14"/>
  <c r="AU64" i="14"/>
  <c r="B64" i="14"/>
  <c r="BB63" i="14"/>
  <c r="V63" i="14" s="1"/>
  <c r="AD63" i="14" s="1"/>
  <c r="BA63" i="14"/>
  <c r="AZ63" i="14"/>
  <c r="AY63" i="14"/>
  <c r="AX63" i="14"/>
  <c r="AW63" i="14"/>
  <c r="AV63" i="14"/>
  <c r="AU63" i="14"/>
  <c r="B63" i="14"/>
  <c r="BB62" i="14"/>
  <c r="V62" i="14" s="1"/>
  <c r="AD62" i="14" s="1"/>
  <c r="BA62" i="14"/>
  <c r="AZ62" i="14"/>
  <c r="AY62" i="14"/>
  <c r="AX62" i="14"/>
  <c r="AW62" i="14"/>
  <c r="AV62" i="14"/>
  <c r="AU62" i="14"/>
  <c r="B62" i="14"/>
  <c r="BB61" i="14"/>
  <c r="V61" i="14" s="1"/>
  <c r="AD61" i="14" s="1"/>
  <c r="BA61" i="14"/>
  <c r="AZ61" i="14"/>
  <c r="AY61" i="14"/>
  <c r="AX61" i="14"/>
  <c r="AW61" i="14"/>
  <c r="AV61" i="14"/>
  <c r="AU61" i="14"/>
  <c r="B61" i="14"/>
  <c r="BB60" i="14"/>
  <c r="V60" i="14" s="1"/>
  <c r="AD60" i="14" s="1"/>
  <c r="BA60" i="14"/>
  <c r="AZ60" i="14"/>
  <c r="AY60" i="14"/>
  <c r="AX60" i="14"/>
  <c r="AW60" i="14"/>
  <c r="AV60" i="14"/>
  <c r="AU60" i="14"/>
  <c r="B60" i="14"/>
  <c r="BB59" i="14"/>
  <c r="V59" i="14" s="1"/>
  <c r="AD59" i="14" s="1"/>
  <c r="BA59" i="14"/>
  <c r="AZ59" i="14"/>
  <c r="AY59" i="14"/>
  <c r="AX59" i="14"/>
  <c r="AW59" i="14"/>
  <c r="AV59" i="14"/>
  <c r="AU59" i="14"/>
  <c r="B59" i="14"/>
  <c r="BB58" i="14"/>
  <c r="V58" i="14" s="1"/>
  <c r="AD58" i="14" s="1"/>
  <c r="BA58" i="14"/>
  <c r="AZ58" i="14"/>
  <c r="AY58" i="14"/>
  <c r="AX58" i="14"/>
  <c r="AW58" i="14"/>
  <c r="AV58" i="14"/>
  <c r="AU58" i="14"/>
  <c r="B58" i="14"/>
  <c r="BB57" i="14"/>
  <c r="V57" i="14" s="1"/>
  <c r="AD57" i="14" s="1"/>
  <c r="BA57" i="14"/>
  <c r="AZ57" i="14"/>
  <c r="AY57" i="14"/>
  <c r="AX57" i="14"/>
  <c r="AW57" i="14"/>
  <c r="AV57" i="14"/>
  <c r="AU57" i="14"/>
  <c r="B57" i="14"/>
  <c r="BB56" i="14"/>
  <c r="V56" i="14" s="1"/>
  <c r="AD56" i="14" s="1"/>
  <c r="BA56" i="14"/>
  <c r="AZ56" i="14"/>
  <c r="AY56" i="14"/>
  <c r="AX56" i="14"/>
  <c r="AW56" i="14"/>
  <c r="AV56" i="14"/>
  <c r="AU56" i="14"/>
  <c r="B56" i="14"/>
  <c r="BB55" i="14"/>
  <c r="V55" i="14" s="1"/>
  <c r="AD55" i="14" s="1"/>
  <c r="BA55" i="14"/>
  <c r="AZ55" i="14"/>
  <c r="AY55" i="14"/>
  <c r="AX55" i="14"/>
  <c r="AW55" i="14"/>
  <c r="AV55" i="14"/>
  <c r="AU55" i="14"/>
  <c r="B55" i="14"/>
  <c r="BB54" i="14"/>
  <c r="V54" i="14" s="1"/>
  <c r="AD54" i="14" s="1"/>
  <c r="BA54" i="14"/>
  <c r="AZ54" i="14"/>
  <c r="AY54" i="14"/>
  <c r="AX54" i="14"/>
  <c r="AW54" i="14"/>
  <c r="AV54" i="14"/>
  <c r="AU54" i="14"/>
  <c r="B54" i="14"/>
  <c r="BB53" i="14"/>
  <c r="V53" i="14" s="1"/>
  <c r="AD53" i="14" s="1"/>
  <c r="BA53" i="14"/>
  <c r="AZ53" i="14"/>
  <c r="AY53" i="14"/>
  <c r="AX53" i="14"/>
  <c r="AW53" i="14"/>
  <c r="AV53" i="14"/>
  <c r="AU53" i="14"/>
  <c r="B53" i="14"/>
  <c r="BB52" i="14"/>
  <c r="V52" i="14" s="1"/>
  <c r="AD52" i="14" s="1"/>
  <c r="BA52" i="14"/>
  <c r="AZ52" i="14"/>
  <c r="AY52" i="14"/>
  <c r="AX52" i="14"/>
  <c r="AW52" i="14"/>
  <c r="AV52" i="14"/>
  <c r="AU52" i="14"/>
  <c r="B52" i="14"/>
  <c r="BB51" i="14"/>
  <c r="V51" i="14" s="1"/>
  <c r="AD51" i="14" s="1"/>
  <c r="BA51" i="14"/>
  <c r="AZ51" i="14"/>
  <c r="AY51" i="14"/>
  <c r="AX51" i="14"/>
  <c r="AW51" i="14"/>
  <c r="AV51" i="14"/>
  <c r="AU51" i="14"/>
  <c r="B51" i="14"/>
  <c r="BB50" i="14"/>
  <c r="V50" i="14" s="1"/>
  <c r="AD50" i="14" s="1"/>
  <c r="BA50" i="14"/>
  <c r="AZ50" i="14"/>
  <c r="AY50" i="14"/>
  <c r="AX50" i="14"/>
  <c r="AW50" i="14"/>
  <c r="AV50" i="14"/>
  <c r="AU50" i="14"/>
  <c r="B50" i="14"/>
  <c r="BB49" i="14"/>
  <c r="V49" i="14" s="1"/>
  <c r="AD49" i="14" s="1"/>
  <c r="BA49" i="14"/>
  <c r="AZ49" i="14"/>
  <c r="AY49" i="14"/>
  <c r="AX49" i="14"/>
  <c r="AW49" i="14"/>
  <c r="AV49" i="14"/>
  <c r="AU49" i="14"/>
  <c r="B49" i="14"/>
  <c r="BB48" i="14"/>
  <c r="V48" i="14" s="1"/>
  <c r="AD48" i="14" s="1"/>
  <c r="BA48" i="14"/>
  <c r="AZ48" i="14"/>
  <c r="AY48" i="14"/>
  <c r="AX48" i="14"/>
  <c r="AW48" i="14"/>
  <c r="AV48" i="14"/>
  <c r="AU48" i="14"/>
  <c r="B48" i="14"/>
  <c r="BB47" i="14"/>
  <c r="V47" i="14" s="1"/>
  <c r="AD47" i="14" s="1"/>
  <c r="BA47" i="14"/>
  <c r="AZ47" i="14"/>
  <c r="AY47" i="14"/>
  <c r="AX47" i="14"/>
  <c r="AW47" i="14"/>
  <c r="AV47" i="14"/>
  <c r="AU47" i="14"/>
  <c r="B47" i="14"/>
  <c r="BB46" i="14"/>
  <c r="V46" i="14" s="1"/>
  <c r="AD46" i="14" s="1"/>
  <c r="BA46" i="14"/>
  <c r="AZ46" i="14"/>
  <c r="AY46" i="14"/>
  <c r="AX46" i="14"/>
  <c r="AW46" i="14"/>
  <c r="AV46" i="14"/>
  <c r="AU46" i="14"/>
  <c r="B46" i="14"/>
  <c r="BB45" i="14"/>
  <c r="V45" i="14" s="1"/>
  <c r="AD45" i="14" s="1"/>
  <c r="BA45" i="14"/>
  <c r="AZ45" i="14"/>
  <c r="AY45" i="14"/>
  <c r="AX45" i="14"/>
  <c r="AW45" i="14"/>
  <c r="AV45" i="14"/>
  <c r="AU45" i="14"/>
  <c r="B45" i="14"/>
  <c r="BB44" i="14"/>
  <c r="V44" i="14" s="1"/>
  <c r="AD44" i="14" s="1"/>
  <c r="BA44" i="14"/>
  <c r="AZ44" i="14"/>
  <c r="AY44" i="14"/>
  <c r="AX44" i="14"/>
  <c r="AW44" i="14"/>
  <c r="AV44" i="14"/>
  <c r="AU44" i="14"/>
  <c r="B44" i="14"/>
  <c r="BB43" i="14"/>
  <c r="V43" i="14" s="1"/>
  <c r="AD43" i="14" s="1"/>
  <c r="BA43" i="14"/>
  <c r="AZ43" i="14"/>
  <c r="AY43" i="14"/>
  <c r="AX43" i="14"/>
  <c r="AW43" i="14"/>
  <c r="AV43" i="14"/>
  <c r="AU43" i="14"/>
  <c r="B43" i="14"/>
  <c r="BB42" i="14"/>
  <c r="V42" i="14" s="1"/>
  <c r="AD42" i="14" s="1"/>
  <c r="BA42" i="14"/>
  <c r="AZ42" i="14"/>
  <c r="AY42" i="14"/>
  <c r="AX42" i="14"/>
  <c r="AW42" i="14"/>
  <c r="AV42" i="14"/>
  <c r="AU42" i="14"/>
  <c r="B42" i="14"/>
  <c r="BB41" i="14"/>
  <c r="V41" i="14" s="1"/>
  <c r="AD41" i="14" s="1"/>
  <c r="BA41" i="14"/>
  <c r="AZ41" i="14"/>
  <c r="AY41" i="14"/>
  <c r="AX41" i="14"/>
  <c r="AW41" i="14"/>
  <c r="AV41" i="14"/>
  <c r="AU41" i="14"/>
  <c r="B41" i="14"/>
  <c r="BB40" i="14"/>
  <c r="V40" i="14" s="1"/>
  <c r="AD40" i="14" s="1"/>
  <c r="BA40" i="14"/>
  <c r="AZ40" i="14"/>
  <c r="AY40" i="14"/>
  <c r="AX40" i="14"/>
  <c r="AW40" i="14"/>
  <c r="AV40" i="14"/>
  <c r="AU40" i="14"/>
  <c r="B40" i="14"/>
  <c r="BB39" i="14"/>
  <c r="V39" i="14" s="1"/>
  <c r="AD39" i="14" s="1"/>
  <c r="BA39" i="14"/>
  <c r="AZ39" i="14"/>
  <c r="AY39" i="14"/>
  <c r="AX39" i="14"/>
  <c r="AW39" i="14"/>
  <c r="AV39" i="14"/>
  <c r="AU39" i="14"/>
  <c r="B39" i="14"/>
  <c r="BB38" i="14"/>
  <c r="V38" i="14" s="1"/>
  <c r="AD38" i="14" s="1"/>
  <c r="BA38" i="14"/>
  <c r="AZ38" i="14"/>
  <c r="AY38" i="14"/>
  <c r="AX38" i="14"/>
  <c r="AW38" i="14"/>
  <c r="AV38" i="14"/>
  <c r="AU38" i="14"/>
  <c r="B38" i="14"/>
  <c r="BB37" i="14"/>
  <c r="V37" i="14" s="1"/>
  <c r="AD37" i="14" s="1"/>
  <c r="BA37" i="14"/>
  <c r="AZ37" i="14"/>
  <c r="AY37" i="14"/>
  <c r="AX37" i="14"/>
  <c r="AW37" i="14"/>
  <c r="AV37" i="14"/>
  <c r="AU37" i="14"/>
  <c r="BB36" i="14"/>
  <c r="V36" i="14" s="1"/>
  <c r="AD36" i="14" s="1"/>
  <c r="BA36" i="14"/>
  <c r="AZ36" i="14"/>
  <c r="AY36" i="14"/>
  <c r="AX36" i="14"/>
  <c r="AW36" i="14"/>
  <c r="AV36" i="14"/>
  <c r="AU36" i="14"/>
  <c r="B36" i="14"/>
  <c r="BB35" i="14"/>
  <c r="V35" i="14" s="1"/>
  <c r="AD35" i="14" s="1"/>
  <c r="BA35" i="14"/>
  <c r="AZ35" i="14"/>
  <c r="AY35" i="14"/>
  <c r="AX35" i="14"/>
  <c r="AW35" i="14"/>
  <c r="AV35" i="14"/>
  <c r="AU35" i="14"/>
  <c r="B35" i="14"/>
  <c r="BB34" i="14"/>
  <c r="V34" i="14" s="1"/>
  <c r="AD34" i="14" s="1"/>
  <c r="BA34" i="14"/>
  <c r="AZ34" i="14"/>
  <c r="AY34" i="14"/>
  <c r="AX34" i="14"/>
  <c r="AW34" i="14"/>
  <c r="AV34" i="14"/>
  <c r="AU34" i="14"/>
  <c r="B34" i="14"/>
  <c r="BB33" i="14"/>
  <c r="V33" i="14" s="1"/>
  <c r="AD33" i="14" s="1"/>
  <c r="BA33" i="14"/>
  <c r="AZ33" i="14"/>
  <c r="AY33" i="14"/>
  <c r="AX33" i="14"/>
  <c r="AW33" i="14"/>
  <c r="AV33" i="14"/>
  <c r="AU33" i="14"/>
  <c r="B33" i="14"/>
  <c r="BB32" i="14"/>
  <c r="V32" i="14" s="1"/>
  <c r="AD32" i="14" s="1"/>
  <c r="BA32" i="14"/>
  <c r="AZ32" i="14"/>
  <c r="AY32" i="14"/>
  <c r="AX32" i="14"/>
  <c r="AW32" i="14"/>
  <c r="AV32" i="14"/>
  <c r="AU32" i="14"/>
  <c r="B32" i="14"/>
  <c r="BB31" i="14"/>
  <c r="V31" i="14" s="1"/>
  <c r="AD31" i="14" s="1"/>
  <c r="BA31" i="14"/>
  <c r="AZ31" i="14"/>
  <c r="AY31" i="14"/>
  <c r="AX31" i="14"/>
  <c r="AW31" i="14"/>
  <c r="AV31" i="14"/>
  <c r="AU31" i="14"/>
  <c r="B31" i="14"/>
  <c r="BB30" i="14"/>
  <c r="V30" i="14" s="1"/>
  <c r="AD30" i="14" s="1"/>
  <c r="BA30" i="14"/>
  <c r="AZ30" i="14"/>
  <c r="AY30" i="14"/>
  <c r="AX30" i="14"/>
  <c r="AW30" i="14"/>
  <c r="AV30" i="14"/>
  <c r="AU30" i="14"/>
  <c r="B30" i="14"/>
  <c r="BB29" i="14"/>
  <c r="V29" i="14" s="1"/>
  <c r="AD29" i="14" s="1"/>
  <c r="BA29" i="14"/>
  <c r="AZ29" i="14"/>
  <c r="AY29" i="14"/>
  <c r="AX29" i="14"/>
  <c r="AW29" i="14"/>
  <c r="AV29" i="14"/>
  <c r="AU29" i="14"/>
  <c r="B29" i="14"/>
  <c r="BB28" i="14"/>
  <c r="V28" i="14" s="1"/>
  <c r="AD28" i="14" s="1"/>
  <c r="BA28" i="14"/>
  <c r="AZ28" i="14"/>
  <c r="AY28" i="14"/>
  <c r="AX28" i="14"/>
  <c r="AW28" i="14"/>
  <c r="AV28" i="14"/>
  <c r="AU28" i="14"/>
  <c r="B28" i="14"/>
  <c r="BB27" i="14"/>
  <c r="V27" i="14" s="1"/>
  <c r="AD27" i="14" s="1"/>
  <c r="BA27" i="14"/>
  <c r="AZ27" i="14"/>
  <c r="AY27" i="14"/>
  <c r="AX27" i="14"/>
  <c r="AW27" i="14"/>
  <c r="AV27" i="14"/>
  <c r="AU27" i="14"/>
  <c r="B27" i="14"/>
  <c r="BB26" i="14"/>
  <c r="V26" i="14" s="1"/>
  <c r="AD26" i="14" s="1"/>
  <c r="BA26" i="14"/>
  <c r="AZ26" i="14"/>
  <c r="AY26" i="14"/>
  <c r="AX26" i="14"/>
  <c r="AW26" i="14"/>
  <c r="AV26" i="14"/>
  <c r="AU26" i="14"/>
  <c r="B26" i="14"/>
  <c r="BB25" i="14"/>
  <c r="V25" i="14" s="1"/>
  <c r="AD25" i="14" s="1"/>
  <c r="BA25" i="14"/>
  <c r="AZ25" i="14"/>
  <c r="AY25" i="14"/>
  <c r="AX25" i="14"/>
  <c r="AW25" i="14"/>
  <c r="AV25" i="14"/>
  <c r="AU25" i="14"/>
  <c r="B25" i="14"/>
  <c r="BB24" i="14"/>
  <c r="V24" i="14" s="1"/>
  <c r="AD24" i="14" s="1"/>
  <c r="BA24" i="14"/>
  <c r="AZ24" i="14"/>
  <c r="AY24" i="14"/>
  <c r="AX24" i="14"/>
  <c r="AW24" i="14"/>
  <c r="AV24" i="14"/>
  <c r="AU24" i="14"/>
  <c r="B24" i="14"/>
  <c r="BB23" i="14"/>
  <c r="V23" i="14" s="1"/>
  <c r="AD23" i="14" s="1"/>
  <c r="BA23" i="14"/>
  <c r="AZ23" i="14"/>
  <c r="AY23" i="14"/>
  <c r="AX23" i="14"/>
  <c r="AW23" i="14"/>
  <c r="AV23" i="14"/>
  <c r="AU23" i="14"/>
  <c r="B23" i="14"/>
  <c r="BB22" i="14"/>
  <c r="V22" i="14" s="1"/>
  <c r="AD22" i="14" s="1"/>
  <c r="BA22" i="14"/>
  <c r="AZ22" i="14"/>
  <c r="AY22" i="14"/>
  <c r="AX22" i="14"/>
  <c r="AW22" i="14"/>
  <c r="AV22" i="14"/>
  <c r="AU22" i="14"/>
  <c r="BB21" i="14"/>
  <c r="V21" i="14" s="1"/>
  <c r="AD21" i="14" s="1"/>
  <c r="BA21" i="14"/>
  <c r="AZ21" i="14"/>
  <c r="AY21" i="14"/>
  <c r="AX21" i="14"/>
  <c r="AW21" i="14"/>
  <c r="AV21" i="14"/>
  <c r="AU21" i="14"/>
  <c r="BB20" i="14"/>
  <c r="V20" i="14" s="1"/>
  <c r="AD20" i="14" s="1"/>
  <c r="BA20" i="14"/>
  <c r="AZ20" i="14"/>
  <c r="AY20" i="14"/>
  <c r="AX20" i="14"/>
  <c r="AW20" i="14"/>
  <c r="AV20" i="14"/>
  <c r="AU20" i="14"/>
  <c r="B20" i="14"/>
  <c r="BB19" i="14"/>
  <c r="V19" i="14" s="1"/>
  <c r="AD19" i="14" s="1"/>
  <c r="BA19" i="14"/>
  <c r="AZ19" i="14"/>
  <c r="AY19" i="14"/>
  <c r="AX19" i="14"/>
  <c r="AW19" i="14"/>
  <c r="AV19" i="14"/>
  <c r="AU19" i="14"/>
  <c r="B19" i="14"/>
  <c r="BB18" i="14"/>
  <c r="V18" i="14" s="1"/>
  <c r="AD18" i="14" s="1"/>
  <c r="BA18" i="14"/>
  <c r="AZ18" i="14"/>
  <c r="AY18" i="14"/>
  <c r="AX18" i="14"/>
  <c r="AW18" i="14"/>
  <c r="AV18" i="14"/>
  <c r="AU18" i="14"/>
  <c r="B18" i="14"/>
  <c r="BB17" i="14"/>
  <c r="V17" i="14" s="1"/>
  <c r="AD17" i="14" s="1"/>
  <c r="BA17" i="14"/>
  <c r="AZ17" i="14"/>
  <c r="AY17" i="14"/>
  <c r="AX17" i="14"/>
  <c r="AW17" i="14"/>
  <c r="AV17" i="14"/>
  <c r="AU17" i="14"/>
  <c r="B17" i="14"/>
  <c r="BB16" i="14"/>
  <c r="V16" i="14" s="1"/>
  <c r="AD16" i="14" s="1"/>
  <c r="BA16" i="14"/>
  <c r="AZ16" i="14"/>
  <c r="AY16" i="14"/>
  <c r="AX16" i="14"/>
  <c r="AW16" i="14"/>
  <c r="AV16" i="14"/>
  <c r="AU16" i="14"/>
  <c r="B16" i="14"/>
  <c r="BB15" i="14"/>
  <c r="V15" i="14" s="1"/>
  <c r="AD15" i="14" s="1"/>
  <c r="BA15" i="14"/>
  <c r="AZ15" i="14"/>
  <c r="AY15" i="14"/>
  <c r="AX15" i="14"/>
  <c r="AW15" i="14"/>
  <c r="AV15" i="14"/>
  <c r="AU15" i="14"/>
  <c r="B15" i="14"/>
  <c r="BB14" i="14"/>
  <c r="V14" i="14" s="1"/>
  <c r="AD14" i="14" s="1"/>
  <c r="BA14" i="14"/>
  <c r="AZ14" i="14"/>
  <c r="AY14" i="14"/>
  <c r="AX14" i="14"/>
  <c r="AW14" i="14"/>
  <c r="AV14" i="14"/>
  <c r="AU14" i="14"/>
  <c r="B14" i="14"/>
  <c r="BB13" i="14"/>
  <c r="V13" i="14" s="1"/>
  <c r="AD13" i="14" s="1"/>
  <c r="BA13" i="14"/>
  <c r="AZ13" i="14"/>
  <c r="AY13" i="14"/>
  <c r="AX13" i="14"/>
  <c r="AW13" i="14"/>
  <c r="AV13" i="14"/>
  <c r="AU13" i="14"/>
  <c r="B13" i="14"/>
  <c r="BB12" i="14"/>
  <c r="V12" i="14" s="1"/>
  <c r="AD12" i="14" s="1"/>
  <c r="BA12" i="14"/>
  <c r="AZ12" i="14"/>
  <c r="AY12" i="14"/>
  <c r="AX12" i="14"/>
  <c r="AW12" i="14"/>
  <c r="AV12" i="14"/>
  <c r="AU12" i="14"/>
  <c r="B12" i="14"/>
  <c r="BB11" i="14"/>
  <c r="V11" i="14" s="1"/>
  <c r="AD11" i="14" s="1"/>
  <c r="BA11" i="14"/>
  <c r="AZ11" i="14"/>
  <c r="AY11" i="14"/>
  <c r="AX11" i="14"/>
  <c r="AW11" i="14"/>
  <c r="AV11" i="14"/>
  <c r="AU11" i="14"/>
  <c r="B11" i="14"/>
  <c r="BB10" i="14"/>
  <c r="V10" i="14" s="1"/>
  <c r="AD10" i="14" s="1"/>
  <c r="BA10" i="14"/>
  <c r="AZ10" i="14"/>
  <c r="AY10" i="14"/>
  <c r="AX10" i="14"/>
  <c r="AW10" i="14"/>
  <c r="AV10" i="14"/>
  <c r="AU10" i="14"/>
  <c r="B10" i="14"/>
  <c r="BB9" i="14"/>
  <c r="V9" i="14" s="1"/>
  <c r="AD9" i="14" s="1"/>
  <c r="BA9" i="14"/>
  <c r="AZ9" i="14"/>
  <c r="AY9" i="14"/>
  <c r="AX9" i="14"/>
  <c r="AW9" i="14"/>
  <c r="AV9" i="14"/>
  <c r="AU9" i="14"/>
  <c r="B9" i="14"/>
  <c r="BB8" i="14"/>
  <c r="V8" i="14" s="1"/>
  <c r="AD8" i="14" s="1"/>
  <c r="BA8" i="14"/>
  <c r="AZ8" i="14"/>
  <c r="AY8" i="14"/>
  <c r="AX8" i="14"/>
  <c r="AW8" i="14"/>
  <c r="AV8" i="14"/>
  <c r="AU8" i="14"/>
  <c r="B8" i="14"/>
  <c r="BB7" i="14"/>
  <c r="V7" i="14" s="1"/>
  <c r="AD7" i="14" s="1"/>
  <c r="BA7" i="14"/>
  <c r="AZ7" i="14"/>
  <c r="AY7" i="14"/>
  <c r="AX7" i="14"/>
  <c r="AW7" i="14"/>
  <c r="AV7" i="14"/>
  <c r="AU7" i="14"/>
  <c r="B7" i="14"/>
  <c r="BB6" i="14"/>
  <c r="V6" i="14" s="1"/>
  <c r="AD6" i="14" s="1"/>
  <c r="BA6" i="14"/>
  <c r="AZ6" i="14"/>
  <c r="AY6" i="14"/>
  <c r="AX6" i="14"/>
  <c r="AW6" i="14"/>
  <c r="AV6" i="14"/>
  <c r="AU6" i="14"/>
  <c r="B6" i="14"/>
  <c r="BB5" i="14"/>
  <c r="V5" i="14" s="1"/>
  <c r="AD5" i="14" s="1"/>
  <c r="BA5" i="14"/>
  <c r="AZ5" i="14"/>
  <c r="AY5" i="14"/>
  <c r="AX5" i="14"/>
  <c r="AW5" i="14"/>
  <c r="AV5" i="14"/>
  <c r="AU5" i="14"/>
  <c r="B5" i="14"/>
  <c r="BB4" i="14"/>
  <c r="V4" i="14" s="1"/>
  <c r="AD4" i="14" s="1"/>
  <c r="BA4" i="14"/>
  <c r="AZ4" i="14"/>
  <c r="AY4" i="14"/>
  <c r="AX4" i="14"/>
  <c r="AW4" i="14"/>
  <c r="AV4" i="14"/>
  <c r="AU4" i="14"/>
  <c r="BB3" i="14"/>
  <c r="V3" i="14" s="1"/>
  <c r="AD3" i="14" s="1"/>
  <c r="BA3" i="14"/>
  <c r="AZ3" i="14"/>
  <c r="AY3" i="14"/>
  <c r="AX3" i="14"/>
  <c r="AW3" i="14"/>
  <c r="AV3" i="14"/>
  <c r="AU3" i="14"/>
  <c r="B1" i="14"/>
  <c r="A1" i="14"/>
  <c r="K233" i="37"/>
  <c r="A233" i="37"/>
  <c r="K232" i="37"/>
  <c r="A232" i="37"/>
  <c r="K231" i="37"/>
  <c r="A231" i="37"/>
  <c r="K230" i="37"/>
  <c r="A230" i="37"/>
  <c r="K229" i="37"/>
  <c r="A229" i="37"/>
  <c r="K228" i="37"/>
  <c r="A228" i="37"/>
  <c r="K227" i="37"/>
  <c r="A227" i="37"/>
  <c r="K226" i="37"/>
  <c r="A226" i="37"/>
  <c r="K225" i="37"/>
  <c r="A225" i="37"/>
  <c r="K224" i="37"/>
  <c r="A224" i="37"/>
  <c r="K223" i="37"/>
  <c r="A223" i="37"/>
  <c r="K222" i="37"/>
  <c r="A222" i="37"/>
  <c r="K221" i="37"/>
  <c r="A221" i="37"/>
  <c r="K220" i="37"/>
  <c r="A220" i="37"/>
  <c r="K219" i="37"/>
  <c r="A219" i="37"/>
  <c r="K218" i="37"/>
  <c r="A218" i="37"/>
  <c r="K217" i="37"/>
  <c r="A217" i="37"/>
  <c r="K216" i="37"/>
  <c r="A216" i="37"/>
  <c r="K215" i="37"/>
  <c r="A215" i="37"/>
  <c r="K214" i="37"/>
  <c r="A214" i="37"/>
  <c r="K213" i="37"/>
  <c r="A213" i="37"/>
  <c r="K212" i="37"/>
  <c r="A212" i="37"/>
  <c r="K211" i="37"/>
  <c r="A211" i="37"/>
  <c r="K210" i="37"/>
  <c r="A210" i="37"/>
  <c r="K209" i="37"/>
  <c r="A209" i="37"/>
  <c r="K208" i="37"/>
  <c r="A208" i="37"/>
  <c r="K207" i="37"/>
  <c r="A207" i="37"/>
  <c r="K206" i="37"/>
  <c r="A206" i="37"/>
  <c r="K205" i="37"/>
  <c r="A205" i="37"/>
  <c r="K204" i="37"/>
  <c r="A204" i="37"/>
  <c r="K203" i="37"/>
  <c r="A203" i="37"/>
  <c r="K202" i="37"/>
  <c r="A202" i="37"/>
  <c r="K201" i="37"/>
  <c r="A201" i="37"/>
  <c r="K200" i="37"/>
  <c r="A200" i="37"/>
  <c r="K199" i="37"/>
  <c r="A199" i="37"/>
  <c r="K198" i="37"/>
  <c r="A198" i="37"/>
  <c r="K197" i="37"/>
  <c r="A197" i="37"/>
  <c r="K196" i="37"/>
  <c r="A196" i="37"/>
  <c r="K195" i="37"/>
  <c r="A195" i="37"/>
  <c r="K194" i="37"/>
  <c r="A194" i="37"/>
  <c r="K193" i="37"/>
  <c r="A193" i="37"/>
  <c r="K192" i="37"/>
  <c r="A192" i="37"/>
  <c r="K191" i="37"/>
  <c r="A191" i="37"/>
  <c r="K190" i="37"/>
  <c r="A190" i="37"/>
  <c r="K189" i="37"/>
  <c r="A189" i="37"/>
  <c r="K188" i="37"/>
  <c r="A188" i="37"/>
  <c r="K187" i="37"/>
  <c r="A187" i="37"/>
  <c r="K186" i="37"/>
  <c r="A186" i="37"/>
  <c r="K185" i="37"/>
  <c r="A185" i="37"/>
  <c r="K184" i="37"/>
  <c r="A184" i="37"/>
  <c r="K183" i="37"/>
  <c r="A183" i="37"/>
  <c r="K182" i="37"/>
  <c r="A182" i="37"/>
  <c r="K181" i="37"/>
  <c r="A181" i="37"/>
  <c r="K180" i="37"/>
  <c r="A180" i="37"/>
  <c r="K179" i="37"/>
  <c r="A179" i="37"/>
  <c r="K178" i="37"/>
  <c r="A178" i="37"/>
  <c r="K177" i="37"/>
  <c r="A177" i="37"/>
  <c r="K176" i="37"/>
  <c r="A176" i="37"/>
  <c r="K175" i="37"/>
  <c r="A175" i="37"/>
  <c r="K174" i="37"/>
  <c r="A174" i="37"/>
  <c r="K173" i="37"/>
  <c r="A173" i="37"/>
  <c r="K172" i="37"/>
  <c r="A172" i="37"/>
  <c r="K171" i="37"/>
  <c r="A171" i="37"/>
  <c r="K170" i="37"/>
  <c r="A170" i="37"/>
  <c r="K169" i="37"/>
  <c r="A169" i="37"/>
  <c r="K168" i="37"/>
  <c r="A168" i="37"/>
  <c r="K167" i="37"/>
  <c r="A167" i="37"/>
  <c r="K166" i="37"/>
  <c r="A166" i="37"/>
  <c r="K165" i="37"/>
  <c r="A165" i="37"/>
  <c r="K164" i="37"/>
  <c r="A164" i="37"/>
  <c r="K163" i="37"/>
  <c r="A163" i="37"/>
  <c r="K162" i="37"/>
  <c r="A162" i="37"/>
  <c r="K161" i="37"/>
  <c r="A161" i="37"/>
  <c r="K160" i="37"/>
  <c r="A160" i="37"/>
  <c r="K159" i="37"/>
  <c r="A159" i="37"/>
  <c r="K158" i="37"/>
  <c r="A158" i="37"/>
  <c r="K157" i="37"/>
  <c r="A157" i="37"/>
  <c r="K156" i="37"/>
  <c r="A156" i="37"/>
  <c r="K155" i="37"/>
  <c r="A155" i="37"/>
  <c r="K154" i="37"/>
  <c r="A154" i="37"/>
  <c r="K153" i="37"/>
  <c r="A153" i="37"/>
  <c r="K152" i="37"/>
  <c r="A152" i="37"/>
  <c r="K151" i="37"/>
  <c r="A151" i="37"/>
  <c r="K150" i="37"/>
  <c r="A150" i="37"/>
  <c r="K149" i="37"/>
  <c r="A149" i="37"/>
  <c r="K148" i="37"/>
  <c r="A148" i="37"/>
  <c r="K147" i="37"/>
  <c r="A147" i="37"/>
  <c r="K146" i="37"/>
  <c r="A146" i="37"/>
  <c r="K145" i="37"/>
  <c r="A145" i="37"/>
  <c r="K144" i="37"/>
  <c r="A144" i="37"/>
  <c r="K143" i="37"/>
  <c r="A143" i="37"/>
  <c r="K142" i="37"/>
  <c r="A142" i="37"/>
  <c r="K141" i="37"/>
  <c r="A141" i="37"/>
  <c r="K140" i="37"/>
  <c r="A140" i="37"/>
  <c r="K139" i="37"/>
  <c r="A139" i="37"/>
  <c r="K138" i="37"/>
  <c r="A138" i="37"/>
  <c r="K137" i="37"/>
  <c r="A137" i="37"/>
  <c r="K136" i="37"/>
  <c r="A136" i="37"/>
  <c r="K135" i="37"/>
  <c r="A135" i="37"/>
  <c r="K134" i="37"/>
  <c r="A134" i="37"/>
  <c r="K133" i="37"/>
  <c r="A133" i="37"/>
  <c r="K132" i="37"/>
  <c r="A132" i="37"/>
  <c r="K131" i="37"/>
  <c r="A131" i="37"/>
  <c r="K130" i="37"/>
  <c r="A130" i="37"/>
  <c r="K129" i="37"/>
  <c r="A129" i="37"/>
  <c r="K128" i="37"/>
  <c r="A128" i="37"/>
  <c r="K127" i="37"/>
  <c r="A127" i="37"/>
  <c r="K126" i="37"/>
  <c r="A126" i="37"/>
  <c r="K125" i="37"/>
  <c r="A125" i="37"/>
  <c r="K124" i="37"/>
  <c r="A124" i="37"/>
  <c r="K123" i="37"/>
  <c r="A123" i="37"/>
  <c r="K122" i="37"/>
  <c r="A122" i="37"/>
  <c r="K121" i="37"/>
  <c r="A121" i="37"/>
  <c r="K120" i="37"/>
  <c r="A120" i="37"/>
  <c r="K119" i="37"/>
  <c r="A119" i="37"/>
  <c r="K118" i="37"/>
  <c r="A118" i="37"/>
  <c r="K117" i="37"/>
  <c r="A117" i="37"/>
  <c r="K116" i="37"/>
  <c r="A116" i="37"/>
  <c r="K115" i="37"/>
  <c r="A115" i="37"/>
  <c r="K114" i="37"/>
  <c r="A114" i="37"/>
  <c r="K113" i="37"/>
  <c r="A113" i="37"/>
  <c r="K112" i="37"/>
  <c r="A112" i="37"/>
  <c r="K111" i="37"/>
  <c r="A111" i="37"/>
  <c r="K110" i="37"/>
  <c r="A110" i="37"/>
  <c r="K109" i="37"/>
  <c r="A109" i="37"/>
  <c r="K108" i="37"/>
  <c r="A108" i="37"/>
  <c r="K107" i="37"/>
  <c r="A107" i="37"/>
  <c r="A106" i="37"/>
  <c r="A105" i="37"/>
  <c r="A104" i="37"/>
  <c r="A103" i="37"/>
  <c r="A102" i="37"/>
  <c r="A101" i="37"/>
  <c r="A100" i="37"/>
  <c r="A99" i="37"/>
  <c r="A98" i="37"/>
  <c r="A97" i="37"/>
  <c r="A96" i="37"/>
  <c r="A95" i="37"/>
  <c r="A94" i="37"/>
  <c r="A93" i="37"/>
  <c r="A92" i="37"/>
  <c r="A91" i="37"/>
  <c r="A90" i="37"/>
  <c r="A89" i="37"/>
  <c r="A88" i="37"/>
  <c r="A87" i="37"/>
  <c r="A86" i="37"/>
  <c r="A85" i="37"/>
  <c r="A84" i="37"/>
  <c r="A83" i="37"/>
  <c r="A82" i="37"/>
  <c r="A81" i="37"/>
  <c r="C19" i="37"/>
  <c r="A19" i="37"/>
  <c r="E18" i="37"/>
  <c r="C18" i="37"/>
  <c r="A18" i="37"/>
  <c r="E12" i="37"/>
  <c r="D12" i="37" s="1"/>
  <c r="E10" i="37"/>
  <c r="D10" i="37" s="1"/>
  <c r="E9" i="37"/>
  <c r="D9" i="37" s="1"/>
  <c r="E8" i="37"/>
  <c r="D8" i="37" s="1"/>
  <c r="E6" i="37"/>
  <c r="D6" i="37" s="1"/>
  <c r="D3" i="37"/>
  <c r="D1" i="37"/>
  <c r="A1" i="37"/>
  <c r="B1" i="13"/>
  <c r="AF44" i="38"/>
  <c r="AD44" i="38"/>
  <c r="V44" i="38"/>
  <c r="I44" i="38"/>
  <c r="AE44" i="38" s="1"/>
  <c r="B44" i="38"/>
  <c r="AF52" i="38"/>
  <c r="AD52" i="38"/>
  <c r="V52" i="38"/>
  <c r="F109" i="49" s="1"/>
  <c r="I52" i="38"/>
  <c r="AE52" i="38" s="1"/>
  <c r="B52" i="38"/>
  <c r="AF53" i="38"/>
  <c r="AD53" i="38"/>
  <c r="V53" i="38"/>
  <c r="I53" i="38"/>
  <c r="AE53" i="38" s="1"/>
  <c r="B53" i="38"/>
  <c r="AF59" i="38"/>
  <c r="AD59" i="38"/>
  <c r="V59" i="38"/>
  <c r="I59" i="38"/>
  <c r="AE59" i="38" s="1"/>
  <c r="B59" i="38"/>
  <c r="AF60" i="38"/>
  <c r="AD60" i="38"/>
  <c r="V60" i="38"/>
  <c r="I60" i="38"/>
  <c r="AE60" i="38" s="1"/>
  <c r="B60" i="38"/>
  <c r="AF61" i="38"/>
  <c r="AD61" i="38"/>
  <c r="V61" i="38"/>
  <c r="I61" i="38"/>
  <c r="AE61" i="38" s="1"/>
  <c r="B61" i="38"/>
  <c r="AF62" i="38"/>
  <c r="AD62" i="38"/>
  <c r="V62" i="38"/>
  <c r="I62" i="38"/>
  <c r="AE62" i="38" s="1"/>
  <c r="B62" i="38"/>
  <c r="AF63" i="38"/>
  <c r="AD63" i="38"/>
  <c r="V63" i="38"/>
  <c r="I63" i="38"/>
  <c r="AE63" i="38" s="1"/>
  <c r="B63" i="38"/>
  <c r="AF64" i="38"/>
  <c r="AD64" i="38"/>
  <c r="V64" i="38"/>
  <c r="I64" i="38"/>
  <c r="AE64" i="38" s="1"/>
  <c r="B64" i="38"/>
  <c r="AF65" i="38"/>
  <c r="AD65" i="38"/>
  <c r="V65" i="38"/>
  <c r="I65" i="38"/>
  <c r="AE65" i="38" s="1"/>
  <c r="B65" i="38"/>
  <c r="AF66" i="38"/>
  <c r="AD66" i="38"/>
  <c r="V66" i="38"/>
  <c r="I66" i="38"/>
  <c r="AE66" i="38" s="1"/>
  <c r="B66" i="38"/>
  <c r="AF67" i="38"/>
  <c r="AD67" i="38"/>
  <c r="V67" i="38"/>
  <c r="I67" i="38"/>
  <c r="AE67" i="38" s="1"/>
  <c r="B67" i="38"/>
  <c r="AF69" i="38"/>
  <c r="AD69" i="38"/>
  <c r="V69" i="38"/>
  <c r="F106" i="49" s="1"/>
  <c r="I69" i="38"/>
  <c r="AE69" i="38" s="1"/>
  <c r="B69" i="38"/>
  <c r="D106" i="49" s="1"/>
  <c r="AF70" i="38"/>
  <c r="AD70" i="38"/>
  <c r="V70" i="38"/>
  <c r="I70" i="38"/>
  <c r="AE70" i="38" s="1"/>
  <c r="B70" i="38"/>
  <c r="AF71" i="38"/>
  <c r="AD71" i="38"/>
  <c r="V71" i="38"/>
  <c r="I71" i="38"/>
  <c r="AE71" i="38" s="1"/>
  <c r="B71" i="38"/>
  <c r="AF72" i="38"/>
  <c r="AD72" i="38"/>
  <c r="V72" i="38"/>
  <c r="I72" i="38"/>
  <c r="AE72" i="38" s="1"/>
  <c r="B72" i="38"/>
  <c r="AF75" i="38"/>
  <c r="AD75" i="38"/>
  <c r="V75" i="38"/>
  <c r="I75" i="38"/>
  <c r="AE75" i="38" s="1"/>
  <c r="B75" i="38"/>
  <c r="AF77" i="38"/>
  <c r="AD77" i="38"/>
  <c r="V77" i="38"/>
  <c r="I77" i="38"/>
  <c r="AE77" i="38" s="1"/>
  <c r="B77" i="38"/>
  <c r="AF78" i="38"/>
  <c r="AD78" i="38"/>
  <c r="V78" i="38"/>
  <c r="I78" i="38"/>
  <c r="AE78" i="38" s="1"/>
  <c r="B78" i="38"/>
  <c r="AF79" i="38"/>
  <c r="AD79" i="38"/>
  <c r="V79" i="38"/>
  <c r="I79" i="38"/>
  <c r="AE79" i="38" s="1"/>
  <c r="B79" i="38"/>
  <c r="AF80" i="38"/>
  <c r="AD80" i="38"/>
  <c r="V80" i="38"/>
  <c r="I80" i="38"/>
  <c r="AE80" i="38" s="1"/>
  <c r="B80" i="38"/>
  <c r="AF81" i="38"/>
  <c r="AD81" i="38"/>
  <c r="V81" i="38"/>
  <c r="I81" i="38"/>
  <c r="AE81" i="38" s="1"/>
  <c r="B81" i="38"/>
  <c r="AF82" i="38"/>
  <c r="AD82" i="38"/>
  <c r="V82" i="38"/>
  <c r="F58" i="49" s="1"/>
  <c r="I82" i="38"/>
  <c r="AE82" i="38" s="1"/>
  <c r="B82" i="38"/>
  <c r="AF85" i="38"/>
  <c r="AD85" i="38"/>
  <c r="V85" i="38"/>
  <c r="I85" i="38"/>
  <c r="AE85" i="38" s="1"/>
  <c r="B85" i="38"/>
  <c r="AF86" i="38"/>
  <c r="AD86" i="38"/>
  <c r="V86" i="38"/>
  <c r="I86" i="38"/>
  <c r="AE86" i="38" s="1"/>
  <c r="B86" i="38"/>
  <c r="AF89" i="38"/>
  <c r="AD89" i="38"/>
  <c r="V89" i="38"/>
  <c r="I89" i="38"/>
  <c r="AE89" i="38" s="1"/>
  <c r="B89" i="38"/>
  <c r="AF90" i="38"/>
  <c r="AD90" i="38"/>
  <c r="V90" i="38"/>
  <c r="I90" i="38"/>
  <c r="AE90" i="38" s="1"/>
  <c r="B90" i="38"/>
  <c r="AF91" i="38"/>
  <c r="AD91" i="38"/>
  <c r="V91" i="38"/>
  <c r="I91" i="38"/>
  <c r="AE91" i="38" s="1"/>
  <c r="B91" i="38"/>
  <c r="AF94" i="38"/>
  <c r="AD94" i="38"/>
  <c r="V94" i="38"/>
  <c r="I94" i="38"/>
  <c r="AE94" i="38" s="1"/>
  <c r="B94" i="38"/>
  <c r="AF95" i="38"/>
  <c r="AD95" i="38"/>
  <c r="V95" i="38"/>
  <c r="I95" i="38"/>
  <c r="AE95" i="38" s="1"/>
  <c r="B95" i="38"/>
  <c r="AF97" i="38"/>
  <c r="AD97" i="38"/>
  <c r="V97" i="38"/>
  <c r="I97" i="38"/>
  <c r="AE97" i="38" s="1"/>
  <c r="B97" i="38"/>
  <c r="AF98" i="38"/>
  <c r="AD98" i="38"/>
  <c r="V98" i="38"/>
  <c r="I98" i="38"/>
  <c r="AE98" i="38" s="1"/>
  <c r="B98" i="38"/>
  <c r="AF99" i="38"/>
  <c r="AD99" i="38"/>
  <c r="V99" i="38"/>
  <c r="I99" i="38"/>
  <c r="AE99" i="38" s="1"/>
  <c r="B99" i="38"/>
  <c r="AF101" i="38"/>
  <c r="AD101" i="38"/>
  <c r="V101" i="38"/>
  <c r="I101" i="38"/>
  <c r="AE101" i="38" s="1"/>
  <c r="B101" i="38"/>
  <c r="AF102" i="38"/>
  <c r="AD102" i="38"/>
  <c r="V102" i="38"/>
  <c r="I102" i="38"/>
  <c r="AE102" i="38" s="1"/>
  <c r="B102" i="38"/>
  <c r="AF26" i="38"/>
  <c r="AD26" i="38"/>
  <c r="V26" i="38"/>
  <c r="I26" i="38"/>
  <c r="AE26" i="38" s="1"/>
  <c r="B26" i="38"/>
  <c r="AF45" i="38"/>
  <c r="AD45" i="38"/>
  <c r="V45" i="38"/>
  <c r="I45" i="38"/>
  <c r="AE45" i="38" s="1"/>
  <c r="B45" i="38"/>
  <c r="AF49" i="38"/>
  <c r="AD49" i="38"/>
  <c r="V49" i="38"/>
  <c r="I49" i="38"/>
  <c r="AE49" i="38" s="1"/>
  <c r="B49" i="38"/>
  <c r="AF54" i="38"/>
  <c r="AD54" i="38"/>
  <c r="V54" i="38"/>
  <c r="I54" i="38"/>
  <c r="AE54" i="38" s="1"/>
  <c r="B54" i="38"/>
  <c r="AF55" i="38"/>
  <c r="AD55" i="38"/>
  <c r="V55" i="38"/>
  <c r="I55" i="38"/>
  <c r="AE55" i="38" s="1"/>
  <c r="B55" i="38"/>
  <c r="AF58" i="38"/>
  <c r="AD58" i="38"/>
  <c r="V58" i="38"/>
  <c r="I58" i="38"/>
  <c r="AE58" i="38" s="1"/>
  <c r="B58" i="38"/>
  <c r="AF73" i="38"/>
  <c r="AD73" i="38"/>
  <c r="V73" i="38"/>
  <c r="I73" i="38"/>
  <c r="AE73" i="38" s="1"/>
  <c r="B73" i="38"/>
  <c r="AF74" i="38"/>
  <c r="AD74" i="38"/>
  <c r="V74" i="38"/>
  <c r="I74" i="38"/>
  <c r="AE74" i="38" s="1"/>
  <c r="B74" i="38"/>
  <c r="AF76" i="38"/>
  <c r="AD76" i="38"/>
  <c r="V76" i="38"/>
  <c r="I76" i="38"/>
  <c r="AE76" i="38" s="1"/>
  <c r="B76" i="38"/>
  <c r="AF83" i="38"/>
  <c r="AD83" i="38"/>
  <c r="V83" i="38"/>
  <c r="I83" i="38"/>
  <c r="AE83" i="38" s="1"/>
  <c r="B83" i="38"/>
  <c r="AF87" i="38"/>
  <c r="AD87" i="38"/>
  <c r="V87" i="38"/>
  <c r="I87" i="38"/>
  <c r="AE87" i="38" s="1"/>
  <c r="B87" i="38"/>
  <c r="AF88" i="38"/>
  <c r="AD88" i="38"/>
  <c r="V88" i="38"/>
  <c r="I88" i="38"/>
  <c r="AE88" i="38" s="1"/>
  <c r="B88" i="38"/>
  <c r="AF92" i="38"/>
  <c r="AD92" i="38"/>
  <c r="V92" i="38"/>
  <c r="I92" i="38"/>
  <c r="AE92" i="38" s="1"/>
  <c r="B92" i="38"/>
  <c r="AF100" i="38"/>
  <c r="AD100" i="38"/>
  <c r="V100" i="38"/>
  <c r="I100" i="38"/>
  <c r="AE100" i="38" s="1"/>
  <c r="B100" i="38"/>
  <c r="AF38" i="38"/>
  <c r="AD38" i="38"/>
  <c r="V38" i="38"/>
  <c r="I38" i="38"/>
  <c r="AE38" i="38" s="1"/>
  <c r="B38" i="38"/>
  <c r="AF48" i="38"/>
  <c r="AD48" i="38"/>
  <c r="V48" i="38"/>
  <c r="I48" i="38"/>
  <c r="AE48" i="38" s="1"/>
  <c r="B48" i="38"/>
  <c r="AF50" i="38"/>
  <c r="AD50" i="38"/>
  <c r="V50" i="38"/>
  <c r="I50" i="38"/>
  <c r="B50" i="38"/>
  <c r="AF51" i="38"/>
  <c r="AD51" i="38"/>
  <c r="V51" i="38"/>
  <c r="I51" i="38"/>
  <c r="AE51" i="38" s="1"/>
  <c r="B51" i="38"/>
  <c r="AF56" i="38"/>
  <c r="AD56" i="38"/>
  <c r="V56" i="38"/>
  <c r="I56" i="38"/>
  <c r="AE56" i="38" s="1"/>
  <c r="B56" i="38"/>
  <c r="AF57" i="38"/>
  <c r="AD57" i="38"/>
  <c r="V57" i="38"/>
  <c r="I57" i="38"/>
  <c r="AE57" i="38" s="1"/>
  <c r="B57" i="38"/>
  <c r="AF84" i="38"/>
  <c r="AD84" i="38"/>
  <c r="V84" i="38"/>
  <c r="F59" i="49" s="1"/>
  <c r="I84" i="38"/>
  <c r="AE84" i="38" s="1"/>
  <c r="B84" i="38"/>
  <c r="AF93" i="38"/>
  <c r="AD93" i="38"/>
  <c r="V93" i="38"/>
  <c r="I93" i="38"/>
  <c r="AE93" i="38" s="1"/>
  <c r="B93" i="38"/>
  <c r="AF96" i="38"/>
  <c r="AD96" i="38"/>
  <c r="V96" i="38"/>
  <c r="I96" i="38"/>
  <c r="AE96" i="38" s="1"/>
  <c r="B96" i="38"/>
  <c r="AF5" i="38"/>
  <c r="AD5" i="38"/>
  <c r="V5" i="38"/>
  <c r="I5" i="38"/>
  <c r="AE5" i="38" s="1"/>
  <c r="B5" i="38"/>
  <c r="AF103" i="38"/>
  <c r="AD103" i="38"/>
  <c r="V103" i="38"/>
  <c r="I103" i="38"/>
  <c r="AE103" i="38" s="1"/>
  <c r="B103" i="38"/>
  <c r="AF104" i="38"/>
  <c r="AD104" i="38"/>
  <c r="V104" i="38"/>
  <c r="I104" i="38"/>
  <c r="AE104" i="38" s="1"/>
  <c r="B104" i="38"/>
  <c r="AF68" i="38"/>
  <c r="AD68" i="38"/>
  <c r="V68" i="38"/>
  <c r="I68" i="38"/>
  <c r="AE68" i="38" s="1"/>
  <c r="B68" i="38"/>
  <c r="AF105" i="38"/>
  <c r="AD105" i="38"/>
  <c r="V105" i="38"/>
  <c r="I105" i="38"/>
  <c r="AE105" i="38" s="1"/>
  <c r="B105" i="38"/>
  <c r="AF106" i="38"/>
  <c r="AD106" i="38"/>
  <c r="V106" i="38"/>
  <c r="I106" i="38"/>
  <c r="AE106" i="38" s="1"/>
  <c r="B106" i="38"/>
  <c r="AF107" i="38"/>
  <c r="AD107" i="38"/>
  <c r="V107" i="38"/>
  <c r="I107" i="38"/>
  <c r="AE107" i="38" s="1"/>
  <c r="B107" i="38"/>
  <c r="AF108" i="38"/>
  <c r="AD108" i="38"/>
  <c r="V108" i="38"/>
  <c r="I108" i="38"/>
  <c r="AE108" i="38" s="1"/>
  <c r="B108" i="38"/>
  <c r="AF109" i="38"/>
  <c r="AD109" i="38"/>
  <c r="V109" i="38"/>
  <c r="F129" i="49" s="1"/>
  <c r="I109" i="38"/>
  <c r="AE109" i="38" s="1"/>
  <c r="B109" i="38"/>
  <c r="D129" i="49" s="1"/>
  <c r="AF110" i="38"/>
  <c r="AD110" i="38"/>
  <c r="V110" i="38"/>
  <c r="I110" i="38"/>
  <c r="AE110" i="38" s="1"/>
  <c r="B110" i="38"/>
  <c r="D128" i="49" s="1"/>
  <c r="AF111" i="38"/>
  <c r="AD111" i="38"/>
  <c r="V111" i="38"/>
  <c r="I111" i="38"/>
  <c r="AE111" i="38" s="1"/>
  <c r="B111" i="38"/>
  <c r="AF112" i="38"/>
  <c r="AD112" i="38"/>
  <c r="V112" i="38"/>
  <c r="I112" i="38"/>
  <c r="AE112" i="38" s="1"/>
  <c r="B112" i="38"/>
  <c r="AF9" i="38"/>
  <c r="AD9" i="38"/>
  <c r="V9" i="38"/>
  <c r="I9" i="38"/>
  <c r="AE9" i="38" s="1"/>
  <c r="B9" i="38"/>
  <c r="AF15" i="38"/>
  <c r="AD15" i="38"/>
  <c r="V15" i="38"/>
  <c r="I15" i="38"/>
  <c r="AE15" i="38" s="1"/>
  <c r="B15" i="38"/>
  <c r="AF113" i="38"/>
  <c r="AD113" i="38"/>
  <c r="V113" i="38"/>
  <c r="I113" i="38"/>
  <c r="B113" i="38"/>
  <c r="AF114" i="38"/>
  <c r="AD114" i="38"/>
  <c r="V114" i="38"/>
  <c r="F223" i="49" s="1"/>
  <c r="I114" i="38"/>
  <c r="AE114" i="38" s="1"/>
  <c r="B114" i="38"/>
  <c r="D223" i="49" s="1"/>
  <c r="AF115" i="38"/>
  <c r="AD115" i="38"/>
  <c r="V115" i="38"/>
  <c r="I115" i="38"/>
  <c r="AE115" i="38" s="1"/>
  <c r="B115" i="38"/>
  <c r="AF116" i="38"/>
  <c r="AD116" i="38"/>
  <c r="V116" i="38"/>
  <c r="I116" i="38"/>
  <c r="AE116" i="38" s="1"/>
  <c r="B116" i="38"/>
  <c r="AF117" i="38"/>
  <c r="AD117" i="38"/>
  <c r="V117" i="38"/>
  <c r="I117" i="38"/>
  <c r="AE117" i="38" s="1"/>
  <c r="B117" i="38"/>
  <c r="AF118" i="38"/>
  <c r="AD118" i="38"/>
  <c r="V118" i="38"/>
  <c r="I118" i="38"/>
  <c r="AE118" i="38" s="1"/>
  <c r="B118" i="38"/>
  <c r="AF119" i="38"/>
  <c r="AD119" i="38"/>
  <c r="V119" i="38"/>
  <c r="I119" i="38"/>
  <c r="AE119" i="38" s="1"/>
  <c r="B119" i="38"/>
  <c r="AF120" i="38"/>
  <c r="AD120" i="38"/>
  <c r="V120" i="38"/>
  <c r="I120" i="38"/>
  <c r="AE120" i="38" s="1"/>
  <c r="B120" i="38"/>
  <c r="AF121" i="38"/>
  <c r="AD121" i="38"/>
  <c r="V121" i="38"/>
  <c r="F110" i="49" s="1"/>
  <c r="I121" i="38"/>
  <c r="B121" i="38"/>
  <c r="AF122" i="38"/>
  <c r="AD122" i="38"/>
  <c r="V122" i="38"/>
  <c r="F132" i="49" s="1"/>
  <c r="I122" i="38"/>
  <c r="AE122" i="38" s="1"/>
  <c r="B122" i="38"/>
  <c r="D132" i="49" s="1"/>
  <c r="AF123" i="38"/>
  <c r="AD123" i="38"/>
  <c r="V123" i="38"/>
  <c r="I123" i="38"/>
  <c r="AE123" i="38" s="1"/>
  <c r="B123" i="38"/>
  <c r="AF124" i="38"/>
  <c r="AD124" i="38"/>
  <c r="V124" i="38"/>
  <c r="I124" i="38"/>
  <c r="AE124" i="38" s="1"/>
  <c r="B124" i="38"/>
  <c r="AF125" i="38"/>
  <c r="AD125" i="38"/>
  <c r="V125" i="38"/>
  <c r="I125" i="38"/>
  <c r="AE125" i="38" s="1"/>
  <c r="B125" i="38"/>
  <c r="AF126" i="38"/>
  <c r="AD126" i="38"/>
  <c r="V126" i="38"/>
  <c r="I126" i="38"/>
  <c r="AE126" i="38" s="1"/>
  <c r="B126" i="38"/>
  <c r="AF127" i="38"/>
  <c r="AD127" i="38"/>
  <c r="V127" i="38"/>
  <c r="I127" i="38"/>
  <c r="AE127" i="38" s="1"/>
  <c r="B127" i="38"/>
  <c r="AF128" i="38"/>
  <c r="AD128" i="38"/>
  <c r="V128" i="38"/>
  <c r="I128" i="38"/>
  <c r="AE128" i="38" s="1"/>
  <c r="B128" i="38"/>
  <c r="AF129" i="38"/>
  <c r="AD129" i="38"/>
  <c r="V129" i="38"/>
  <c r="F131" i="49" s="1"/>
  <c r="I129" i="38"/>
  <c r="AE129" i="38" s="1"/>
  <c r="B129" i="38"/>
  <c r="D131" i="49" s="1"/>
  <c r="AF130" i="38"/>
  <c r="AD130" i="38"/>
  <c r="V130" i="38"/>
  <c r="I130" i="38"/>
  <c r="B130" i="38"/>
  <c r="AF131" i="38"/>
  <c r="AD131" i="38"/>
  <c r="V131" i="38"/>
  <c r="I131" i="38"/>
  <c r="AE131" i="38" s="1"/>
  <c r="B131" i="38"/>
  <c r="AF132" i="38"/>
  <c r="AD132" i="38"/>
  <c r="V132" i="38"/>
  <c r="I132" i="38"/>
  <c r="B132" i="38"/>
  <c r="AF133" i="38"/>
  <c r="AD133" i="38"/>
  <c r="V133" i="38"/>
  <c r="I133" i="38"/>
  <c r="AE133" i="38" s="1"/>
  <c r="B133" i="38"/>
  <c r="AF134" i="38"/>
  <c r="AD134" i="38"/>
  <c r="V134" i="38"/>
  <c r="I134" i="38"/>
  <c r="B134" i="38"/>
  <c r="AF135" i="38"/>
  <c r="AD135" i="38"/>
  <c r="V135" i="38"/>
  <c r="I135" i="38"/>
  <c r="AE135" i="38" s="1"/>
  <c r="B135" i="38"/>
  <c r="AF136" i="38"/>
  <c r="AD136" i="38"/>
  <c r="V136" i="38"/>
  <c r="I136" i="38"/>
  <c r="B136" i="38"/>
  <c r="AF137" i="38"/>
  <c r="AD137" i="38"/>
  <c r="V137" i="38"/>
  <c r="I137" i="38"/>
  <c r="AE137" i="38" s="1"/>
  <c r="B137" i="38"/>
  <c r="AF138" i="38"/>
  <c r="AD138" i="38"/>
  <c r="V138" i="38"/>
  <c r="I138" i="38"/>
  <c r="B138" i="38"/>
  <c r="AF139" i="38"/>
  <c r="AD139" i="38"/>
  <c r="V139" i="38"/>
  <c r="I139" i="38"/>
  <c r="AE139" i="38" s="1"/>
  <c r="B139" i="38"/>
  <c r="AF140" i="38"/>
  <c r="AD140" i="38"/>
  <c r="V140" i="38"/>
  <c r="I140" i="38"/>
  <c r="B140" i="38"/>
  <c r="AF141" i="38"/>
  <c r="AD141" i="38"/>
  <c r="V141" i="38"/>
  <c r="I141" i="38"/>
  <c r="AE141" i="38" s="1"/>
  <c r="B141" i="38"/>
  <c r="AF142" i="38"/>
  <c r="AD142" i="38"/>
  <c r="V142" i="38"/>
  <c r="I142" i="38"/>
  <c r="B142" i="38"/>
  <c r="AF143" i="38"/>
  <c r="AD143" i="38"/>
  <c r="V143" i="38"/>
  <c r="I143" i="38"/>
  <c r="AE143" i="38" s="1"/>
  <c r="B143" i="38"/>
  <c r="AF144" i="38"/>
  <c r="AD144" i="38"/>
  <c r="V144" i="38"/>
  <c r="I144" i="38"/>
  <c r="AE144" i="38" s="1"/>
  <c r="B144" i="38"/>
  <c r="B1" i="38"/>
  <c r="AN11" i="66"/>
  <c r="AN10" i="66"/>
  <c r="AN9" i="66"/>
  <c r="AN8" i="66"/>
  <c r="AN7" i="66"/>
  <c r="AN6" i="66"/>
  <c r="AN5" i="66"/>
  <c r="BQ4" i="66"/>
  <c r="AN4" i="66"/>
  <c r="BQ3" i="66"/>
  <c r="AT3" i="66"/>
  <c r="AN3" i="66"/>
  <c r="BQ2" i="66"/>
  <c r="AT2" i="66"/>
  <c r="AN2" i="66"/>
  <c r="Z2" i="66"/>
  <c r="E23" i="37" s="1"/>
  <c r="Y2" i="66"/>
  <c r="E22" i="37" s="1"/>
  <c r="L2" i="66"/>
  <c r="E27" i="37" s="1"/>
  <c r="K2" i="66"/>
  <c r="E26" i="37" s="1"/>
  <c r="D220" i="49" l="1"/>
  <c r="D221" i="49"/>
  <c r="F224" i="49"/>
  <c r="F225" i="49"/>
  <c r="F220" i="49"/>
  <c r="F221" i="49"/>
  <c r="D224" i="49"/>
  <c r="D225" i="49"/>
  <c r="F127" i="49"/>
  <c r="B54" i="20"/>
  <c r="B206" i="31"/>
  <c r="B188" i="31"/>
  <c r="B34" i="20"/>
  <c r="B236" i="31"/>
  <c r="B228" i="20"/>
  <c r="B194" i="20"/>
  <c r="B238" i="31"/>
  <c r="B96" i="20"/>
  <c r="B212" i="31"/>
  <c r="B171" i="31"/>
  <c r="B5" i="20"/>
  <c r="B235" i="20"/>
  <c r="B224" i="31"/>
  <c r="B196" i="31"/>
  <c r="B77" i="20"/>
  <c r="B250" i="31"/>
  <c r="B165" i="20"/>
  <c r="B97" i="20"/>
  <c r="B209" i="31"/>
  <c r="B137" i="20"/>
  <c r="B194" i="31"/>
  <c r="B207" i="31"/>
  <c r="B79" i="20"/>
  <c r="B167" i="20"/>
  <c r="B233" i="31"/>
  <c r="B18" i="20"/>
  <c r="B169" i="31"/>
  <c r="B191" i="31"/>
  <c r="B89" i="20"/>
  <c r="B214" i="31"/>
  <c r="B107" i="20"/>
  <c r="D110" i="49"/>
  <c r="B232" i="31"/>
  <c r="B239" i="20"/>
  <c r="B237" i="31"/>
  <c r="B160" i="20"/>
  <c r="B202" i="31"/>
  <c r="B76" i="20"/>
  <c r="B211" i="31"/>
  <c r="B118" i="20"/>
  <c r="D127" i="49"/>
  <c r="B193" i="31"/>
  <c r="B40" i="20"/>
  <c r="B232" i="20"/>
  <c r="B248" i="31"/>
  <c r="B234" i="31"/>
  <c r="B102" i="20"/>
  <c r="B198" i="31"/>
  <c r="B95" i="20"/>
  <c r="B112" i="20"/>
  <c r="B197" i="31"/>
  <c r="B240" i="31"/>
  <c r="B65" i="20"/>
  <c r="B213" i="31"/>
  <c r="B50" i="20"/>
  <c r="B199" i="31"/>
  <c r="B57" i="20"/>
  <c r="B226" i="31"/>
  <c r="B227" i="31"/>
  <c r="B22" i="20"/>
  <c r="B204" i="31"/>
  <c r="B114" i="20"/>
  <c r="B270" i="31"/>
  <c r="B117" i="20"/>
  <c r="B19" i="20"/>
  <c r="B187" i="31"/>
  <c r="B225" i="31"/>
  <c r="B244" i="20"/>
  <c r="B123" i="20"/>
  <c r="B220" i="31"/>
  <c r="B129" i="20"/>
  <c r="B256" i="31"/>
  <c r="B180" i="31"/>
  <c r="B27" i="20"/>
  <c r="B208" i="31"/>
  <c r="B62" i="20"/>
  <c r="B231" i="31"/>
  <c r="B236" i="20"/>
  <c r="B242" i="31"/>
  <c r="B130" i="20"/>
  <c r="B116" i="20"/>
  <c r="B244" i="31"/>
  <c r="B245" i="31"/>
  <c r="B243" i="31"/>
  <c r="B219" i="31"/>
  <c r="B99" i="20"/>
  <c r="B184" i="31"/>
  <c r="B55" i="20"/>
  <c r="D58" i="49"/>
  <c r="B231" i="20"/>
  <c r="B249" i="31"/>
  <c r="B129" i="31"/>
  <c r="B200" i="20"/>
  <c r="B45" i="20"/>
  <c r="B159" i="31"/>
  <c r="B82" i="20"/>
  <c r="B146" i="31"/>
  <c r="B109" i="20"/>
  <c r="B162" i="31"/>
  <c r="B78" i="20"/>
  <c r="B163" i="31"/>
  <c r="B39" i="20"/>
  <c r="B143" i="31"/>
  <c r="B60" i="20"/>
  <c r="B161" i="31"/>
  <c r="B144" i="20"/>
  <c r="B158" i="31"/>
  <c r="B139" i="31"/>
  <c r="B47" i="20"/>
  <c r="B151" i="31"/>
  <c r="B93" i="20"/>
  <c r="B128" i="31"/>
  <c r="B205" i="20"/>
  <c r="B124" i="31"/>
  <c r="B202" i="20"/>
  <c r="D107" i="49"/>
  <c r="D109" i="49"/>
  <c r="F25" i="49"/>
  <c r="F128" i="49"/>
  <c r="B224" i="20"/>
  <c r="B127" i="31"/>
  <c r="B125" i="31"/>
  <c r="B259" i="20"/>
  <c r="B66" i="31"/>
  <c r="B161" i="20"/>
  <c r="B214" i="20"/>
  <c r="B111" i="31"/>
  <c r="B84" i="31"/>
  <c r="B193" i="20"/>
  <c r="B157" i="20"/>
  <c r="B100" i="31"/>
  <c r="B54" i="31"/>
  <c r="B215" i="20"/>
  <c r="B207" i="20"/>
  <c r="B38" i="31"/>
  <c r="B168" i="20"/>
  <c r="B95" i="31"/>
  <c r="B176" i="20"/>
  <c r="B59" i="31"/>
  <c r="B150" i="20"/>
  <c r="B31" i="31"/>
  <c r="B15" i="20"/>
  <c r="B118" i="31"/>
  <c r="B29" i="20"/>
  <c r="B44" i="31"/>
  <c r="B106" i="31"/>
  <c r="B171" i="20"/>
  <c r="B101" i="31"/>
  <c r="B31" i="20"/>
  <c r="B117" i="31"/>
  <c r="B238" i="20"/>
  <c r="B181" i="20"/>
  <c r="B57" i="31"/>
  <c r="B185" i="20"/>
  <c r="B97" i="31"/>
  <c r="B145" i="20"/>
  <c r="B105" i="31"/>
  <c r="B78" i="31"/>
  <c r="B201" i="20"/>
  <c r="B143" i="20"/>
  <c r="B64" i="31"/>
  <c r="B122" i="31"/>
  <c r="B110" i="20"/>
  <c r="B166" i="20"/>
  <c r="B32" i="31"/>
  <c r="D59" i="49"/>
  <c r="B140" i="20"/>
  <c r="B89" i="31"/>
  <c r="B96" i="31"/>
  <c r="B133" i="20"/>
  <c r="B82" i="31"/>
  <c r="B174" i="20"/>
  <c r="F23" i="49"/>
  <c r="F107" i="49"/>
  <c r="B175" i="20"/>
  <c r="B34" i="31"/>
  <c r="B74" i="31"/>
  <c r="B262" i="20"/>
  <c r="F24" i="49"/>
  <c r="B247" i="20"/>
  <c r="B51" i="31"/>
  <c r="B159" i="20"/>
  <c r="B81" i="31"/>
  <c r="B4" i="31"/>
  <c r="B229" i="20"/>
  <c r="D23" i="49"/>
  <c r="B127" i="20"/>
  <c r="B20" i="31"/>
  <c r="B12" i="31"/>
  <c r="B260" i="20"/>
  <c r="D24" i="49"/>
  <c r="B19" i="31"/>
  <c r="B92" i="20"/>
  <c r="B16" i="31"/>
  <c r="B261" i="20"/>
  <c r="D25" i="49"/>
  <c r="B6" i="31"/>
  <c r="B5" i="31"/>
  <c r="B152" i="20"/>
  <c r="B196" i="20"/>
  <c r="B14" i="31"/>
  <c r="B8" i="31"/>
  <c r="B219" i="20"/>
  <c r="B11" i="31"/>
  <c r="B218" i="20"/>
  <c r="B61" i="20"/>
  <c r="B15" i="31"/>
  <c r="AA143" i="38"/>
  <c r="B9" i="31"/>
  <c r="B178" i="20"/>
  <c r="F9" i="49"/>
  <c r="G9" i="49"/>
  <c r="D9" i="49"/>
  <c r="F13" i="49"/>
  <c r="G13" i="49"/>
  <c r="D13" i="49"/>
  <c r="F17" i="49"/>
  <c r="D17" i="49"/>
  <c r="G17" i="49"/>
  <c r="F21" i="49"/>
  <c r="G21" i="49"/>
  <c r="D21" i="49"/>
  <c r="D28" i="49"/>
  <c r="G28" i="49"/>
  <c r="F28" i="49"/>
  <c r="F32" i="49"/>
  <c r="D32" i="49"/>
  <c r="G32" i="49"/>
  <c r="F36" i="49"/>
  <c r="D36" i="49"/>
  <c r="G36" i="49"/>
  <c r="F40" i="49"/>
  <c r="G40" i="49"/>
  <c r="D40" i="49"/>
  <c r="D44" i="49"/>
  <c r="F44" i="49"/>
  <c r="G44" i="49"/>
  <c r="F48" i="49"/>
  <c r="D48" i="49"/>
  <c r="G48" i="49"/>
  <c r="D52" i="49"/>
  <c r="G52" i="49"/>
  <c r="F52" i="49"/>
  <c r="D56" i="49"/>
  <c r="G56" i="49"/>
  <c r="F56" i="49"/>
  <c r="G62" i="49"/>
  <c r="F62" i="49"/>
  <c r="D62" i="49"/>
  <c r="F66" i="49"/>
  <c r="G66" i="49"/>
  <c r="D66" i="49"/>
  <c r="G70" i="49"/>
  <c r="D70" i="49"/>
  <c r="F70" i="49"/>
  <c r="F74" i="49"/>
  <c r="G74" i="49"/>
  <c r="D74" i="49"/>
  <c r="H74" i="49"/>
  <c r="G78" i="49"/>
  <c r="F78" i="49"/>
  <c r="D78" i="49"/>
  <c r="G82" i="49"/>
  <c r="D82" i="49"/>
  <c r="F82" i="49"/>
  <c r="F86" i="49"/>
  <c r="G86" i="49"/>
  <c r="D86" i="49"/>
  <c r="D90" i="49"/>
  <c r="F90" i="49"/>
  <c r="G90" i="49"/>
  <c r="F94" i="49"/>
  <c r="G94" i="49"/>
  <c r="D94" i="49"/>
  <c r="D98" i="49"/>
  <c r="G98" i="49"/>
  <c r="F98" i="49"/>
  <c r="G102" i="49"/>
  <c r="F102" i="49"/>
  <c r="D102" i="49"/>
  <c r="F112" i="49"/>
  <c r="D112" i="49"/>
  <c r="G112" i="49"/>
  <c r="F116" i="49"/>
  <c r="D116" i="49"/>
  <c r="G116" i="49"/>
  <c r="D120" i="49"/>
  <c r="F120" i="49"/>
  <c r="G120" i="49"/>
  <c r="F124" i="49"/>
  <c r="G124" i="49"/>
  <c r="D124" i="49"/>
  <c r="D136" i="49"/>
  <c r="G136" i="49"/>
  <c r="F136" i="49"/>
  <c r="D140" i="49"/>
  <c r="G140" i="49"/>
  <c r="F140" i="49"/>
  <c r="F144" i="49"/>
  <c r="G144" i="49"/>
  <c r="D144" i="49"/>
  <c r="G148" i="49"/>
  <c r="F148" i="49"/>
  <c r="D148" i="49"/>
  <c r="G152" i="49"/>
  <c r="F152" i="49"/>
  <c r="D152" i="49"/>
  <c r="G156" i="49"/>
  <c r="D156" i="49"/>
  <c r="F156" i="49"/>
  <c r="F160" i="49"/>
  <c r="D160" i="49"/>
  <c r="H160" i="49"/>
  <c r="G160" i="49"/>
  <c r="F164" i="49"/>
  <c r="G164" i="49"/>
  <c r="D164" i="49"/>
  <c r="D168" i="49"/>
  <c r="G168" i="49"/>
  <c r="F168" i="49"/>
  <c r="F172" i="49"/>
  <c r="D172" i="49"/>
  <c r="G172" i="49"/>
  <c r="D176" i="49"/>
  <c r="H176" i="49"/>
  <c r="G176" i="49"/>
  <c r="F176" i="49"/>
  <c r="D180" i="49"/>
  <c r="F180" i="49"/>
  <c r="G180" i="49"/>
  <c r="G184" i="49"/>
  <c r="F184" i="49"/>
  <c r="D184" i="49"/>
  <c r="D188" i="49"/>
  <c r="F188" i="49"/>
  <c r="G188" i="49"/>
  <c r="F192" i="49"/>
  <c r="G192" i="49"/>
  <c r="D192" i="49"/>
  <c r="G196" i="49"/>
  <c r="H196" i="49"/>
  <c r="F196" i="49"/>
  <c r="D196" i="49"/>
  <c r="G200" i="49"/>
  <c r="D200" i="49"/>
  <c r="F200" i="49"/>
  <c r="F204" i="49"/>
  <c r="D204" i="49"/>
  <c r="H204" i="49"/>
  <c r="G204" i="49"/>
  <c r="G208" i="49"/>
  <c r="F208" i="49"/>
  <c r="D208" i="49"/>
  <c r="F212" i="49"/>
  <c r="H212" i="49"/>
  <c r="D212" i="49"/>
  <c r="G212" i="49"/>
  <c r="G216" i="49"/>
  <c r="H216" i="49"/>
  <c r="D216" i="49"/>
  <c r="F216" i="49"/>
  <c r="H230" i="49"/>
  <c r="G230" i="49"/>
  <c r="F230" i="49"/>
  <c r="D230" i="49"/>
  <c r="G234" i="49"/>
  <c r="D234" i="49"/>
  <c r="H234" i="49"/>
  <c r="F234" i="49"/>
  <c r="G238" i="49"/>
  <c r="F238" i="49"/>
  <c r="D238" i="49"/>
  <c r="G242" i="49"/>
  <c r="H242" i="49"/>
  <c r="F242" i="49"/>
  <c r="D242" i="49"/>
  <c r="F246" i="49"/>
  <c r="G246" i="49"/>
  <c r="D246" i="49"/>
  <c r="F250" i="49"/>
  <c r="H250" i="49"/>
  <c r="G250" i="49"/>
  <c r="D250" i="49"/>
  <c r="D254" i="49"/>
  <c r="H254" i="49"/>
  <c r="G254" i="49"/>
  <c r="F254" i="49"/>
  <c r="G258" i="49"/>
  <c r="F258" i="49"/>
  <c r="H258" i="49"/>
  <c r="D258" i="49"/>
  <c r="F262" i="49"/>
  <c r="G262" i="49"/>
  <c r="D262" i="49"/>
  <c r="H262" i="49"/>
  <c r="D266" i="49"/>
  <c r="F266" i="49"/>
  <c r="H266" i="49"/>
  <c r="G266" i="49"/>
  <c r="G270" i="49"/>
  <c r="F270" i="49"/>
  <c r="D270" i="49"/>
  <c r="G274" i="49"/>
  <c r="H274" i="49"/>
  <c r="F274" i="49"/>
  <c r="D274" i="49"/>
  <c r="H278" i="49"/>
  <c r="D278" i="49"/>
  <c r="G278" i="49"/>
  <c r="F278" i="49"/>
  <c r="D282" i="49"/>
  <c r="F282" i="49"/>
  <c r="H282" i="49"/>
  <c r="G282" i="49"/>
  <c r="D286" i="49"/>
  <c r="F286" i="49"/>
  <c r="H286" i="49"/>
  <c r="G286" i="49"/>
  <c r="F290" i="49"/>
  <c r="G290" i="49"/>
  <c r="D290" i="49"/>
  <c r="H290" i="49"/>
  <c r="F294" i="49"/>
  <c r="G294" i="49"/>
  <c r="H294" i="49"/>
  <c r="D294" i="49"/>
  <c r="D298" i="49"/>
  <c r="H298" i="49"/>
  <c r="G298" i="49"/>
  <c r="F298" i="49"/>
  <c r="H302" i="49"/>
  <c r="F302" i="49"/>
  <c r="G302" i="49"/>
  <c r="D302" i="49"/>
  <c r="H306" i="49"/>
  <c r="F306" i="49"/>
  <c r="D306" i="49"/>
  <c r="G306" i="49"/>
  <c r="D310" i="49"/>
  <c r="G310" i="49"/>
  <c r="H310" i="49"/>
  <c r="F310" i="49"/>
  <c r="F314" i="49"/>
  <c r="H314" i="49"/>
  <c r="G314" i="49"/>
  <c r="D314" i="49"/>
  <c r="F318" i="49"/>
  <c r="D318" i="49"/>
  <c r="G318" i="49"/>
  <c r="H318" i="49"/>
  <c r="G6" i="49"/>
  <c r="D6" i="49"/>
  <c r="F6" i="49"/>
  <c r="D14" i="49"/>
  <c r="G14" i="49"/>
  <c r="F14" i="49"/>
  <c r="D18" i="49"/>
  <c r="F18" i="49"/>
  <c r="G18" i="49"/>
  <c r="G22" i="49"/>
  <c r="D22" i="49"/>
  <c r="F22" i="49"/>
  <c r="F29" i="49"/>
  <c r="D29" i="49"/>
  <c r="G29" i="49"/>
  <c r="G33" i="49"/>
  <c r="D33" i="49"/>
  <c r="F33" i="49"/>
  <c r="F37" i="49"/>
  <c r="D37" i="49"/>
  <c r="G37" i="49"/>
  <c r="G41" i="49"/>
  <c r="D41" i="49"/>
  <c r="F41" i="49"/>
  <c r="G45" i="49"/>
  <c r="D45" i="49"/>
  <c r="F45" i="49"/>
  <c r="F49" i="49"/>
  <c r="G49" i="49"/>
  <c r="D49" i="49"/>
  <c r="G53" i="49"/>
  <c r="D53" i="49"/>
  <c r="F53" i="49"/>
  <c r="F57" i="49"/>
  <c r="G57" i="49"/>
  <c r="D57" i="49"/>
  <c r="F63" i="49"/>
  <c r="D63" i="49"/>
  <c r="G63" i="49"/>
  <c r="D67" i="49"/>
  <c r="G67" i="49"/>
  <c r="F67" i="49"/>
  <c r="F71" i="49"/>
  <c r="G71" i="49"/>
  <c r="D71" i="49"/>
  <c r="D75" i="49"/>
  <c r="G75" i="49"/>
  <c r="F75" i="49"/>
  <c r="F79" i="49"/>
  <c r="H79" i="49"/>
  <c r="G79" i="49"/>
  <c r="D79" i="49"/>
  <c r="G83" i="49"/>
  <c r="F83" i="49"/>
  <c r="D83" i="49"/>
  <c r="G87" i="49"/>
  <c r="D87" i="49"/>
  <c r="F87" i="49"/>
  <c r="F91" i="49"/>
  <c r="D91" i="49"/>
  <c r="H91" i="49"/>
  <c r="G91" i="49"/>
  <c r="D95" i="49"/>
  <c r="G95" i="49"/>
  <c r="F95" i="49"/>
  <c r="G99" i="49"/>
  <c r="F99" i="49"/>
  <c r="D99" i="49"/>
  <c r="F103" i="49"/>
  <c r="G103" i="49"/>
  <c r="D103" i="49"/>
  <c r="G113" i="49"/>
  <c r="D113" i="49"/>
  <c r="F113" i="49"/>
  <c r="D117" i="49"/>
  <c r="G117" i="49"/>
  <c r="F117" i="49"/>
  <c r="D121" i="49"/>
  <c r="F121" i="49"/>
  <c r="G121" i="49"/>
  <c r="G125" i="49"/>
  <c r="D125" i="49"/>
  <c r="F125" i="49"/>
  <c r="F133" i="49"/>
  <c r="D133" i="49"/>
  <c r="G133" i="49"/>
  <c r="F137" i="49"/>
  <c r="G137" i="49"/>
  <c r="H137" i="49"/>
  <c r="D137" i="49"/>
  <c r="G141" i="49"/>
  <c r="D141" i="49"/>
  <c r="F141" i="49"/>
  <c r="D145" i="49"/>
  <c r="G145" i="49"/>
  <c r="F145" i="49"/>
  <c r="D149" i="49"/>
  <c r="F149" i="49"/>
  <c r="G149" i="49"/>
  <c r="F153" i="49"/>
  <c r="D153" i="49"/>
  <c r="G153" i="49"/>
  <c r="F157" i="49"/>
  <c r="D157" i="49"/>
  <c r="G157" i="49"/>
  <c r="H161" i="49"/>
  <c r="F161" i="49"/>
  <c r="G161" i="49"/>
  <c r="D161" i="49"/>
  <c r="G165" i="49"/>
  <c r="F165" i="49"/>
  <c r="D165" i="49"/>
  <c r="D169" i="49"/>
  <c r="G169" i="49"/>
  <c r="F169" i="49"/>
  <c r="F173" i="49"/>
  <c r="G173" i="49"/>
  <c r="D173" i="49"/>
  <c r="D177" i="49"/>
  <c r="G177" i="49"/>
  <c r="F177" i="49"/>
  <c r="F181" i="49"/>
  <c r="G181" i="49"/>
  <c r="D181" i="49"/>
  <c r="F185" i="49"/>
  <c r="G185" i="49"/>
  <c r="D185" i="49"/>
  <c r="H189" i="49"/>
  <c r="D189" i="49"/>
  <c r="G189" i="49"/>
  <c r="F189" i="49"/>
  <c r="D193" i="49"/>
  <c r="G193" i="49"/>
  <c r="F193" i="49"/>
  <c r="H193" i="49"/>
  <c r="G197" i="49"/>
  <c r="F197" i="49"/>
  <c r="D197" i="49"/>
  <c r="H197" i="49"/>
  <c r="F201" i="49"/>
  <c r="D201" i="49"/>
  <c r="G201" i="49"/>
  <c r="H205" i="49"/>
  <c r="F205" i="49"/>
  <c r="D205" i="49"/>
  <c r="G205" i="49"/>
  <c r="H209" i="49"/>
  <c r="G209" i="49"/>
  <c r="F209" i="49"/>
  <c r="D209" i="49"/>
  <c r="G213" i="49"/>
  <c r="D213" i="49"/>
  <c r="F213" i="49"/>
  <c r="D217" i="49"/>
  <c r="F217" i="49"/>
  <c r="H217" i="49"/>
  <c r="G217" i="49"/>
  <c r="H231" i="49"/>
  <c r="F231" i="49"/>
  <c r="G231" i="49"/>
  <c r="D231" i="49"/>
  <c r="G235" i="49"/>
  <c r="H235" i="49"/>
  <c r="D235" i="49"/>
  <c r="F235" i="49"/>
  <c r="F239" i="49"/>
  <c r="D239" i="49"/>
  <c r="G239" i="49"/>
  <c r="F243" i="49"/>
  <c r="D243" i="49"/>
  <c r="G243" i="49"/>
  <c r="F247" i="49"/>
  <c r="D247" i="49"/>
  <c r="G247" i="49"/>
  <c r="H251" i="49"/>
  <c r="F251" i="49"/>
  <c r="D251" i="49"/>
  <c r="G251" i="49"/>
  <c r="D255" i="49"/>
  <c r="G255" i="49"/>
  <c r="F255" i="49"/>
  <c r="F259" i="49"/>
  <c r="G259" i="49"/>
  <c r="H259" i="49"/>
  <c r="D259" i="49"/>
  <c r="H263" i="49"/>
  <c r="D263" i="49"/>
  <c r="G263" i="49"/>
  <c r="F263" i="49"/>
  <c r="D267" i="49"/>
  <c r="F267" i="49"/>
  <c r="G267" i="49"/>
  <c r="F271" i="49"/>
  <c r="D271" i="49"/>
  <c r="G271" i="49"/>
  <c r="D275" i="49"/>
  <c r="F275" i="49"/>
  <c r="H275" i="49"/>
  <c r="G275" i="49"/>
  <c r="F279" i="49"/>
  <c r="H279" i="49"/>
  <c r="G279" i="49"/>
  <c r="D279" i="49"/>
  <c r="H283" i="49"/>
  <c r="D283" i="49"/>
  <c r="G283" i="49"/>
  <c r="F283" i="49"/>
  <c r="F287" i="49"/>
  <c r="H287" i="49"/>
  <c r="D287" i="49"/>
  <c r="G287" i="49"/>
  <c r="F291" i="49"/>
  <c r="D291" i="49"/>
  <c r="H291" i="49"/>
  <c r="G291" i="49"/>
  <c r="F295" i="49"/>
  <c r="H295" i="49"/>
  <c r="D295" i="49"/>
  <c r="G295" i="49"/>
  <c r="F299" i="49"/>
  <c r="G299" i="49"/>
  <c r="D299" i="49"/>
  <c r="H299" i="49"/>
  <c r="G303" i="49"/>
  <c r="H303" i="49"/>
  <c r="F303" i="49"/>
  <c r="D303" i="49"/>
  <c r="G307" i="49"/>
  <c r="F307" i="49"/>
  <c r="D307" i="49"/>
  <c r="H307" i="49"/>
  <c r="H311" i="49"/>
  <c r="G311" i="49"/>
  <c r="D311" i="49"/>
  <c r="F311" i="49"/>
  <c r="G315" i="49"/>
  <c r="D315" i="49"/>
  <c r="H315" i="49"/>
  <c r="F315" i="49"/>
  <c r="H319" i="49"/>
  <c r="D319" i="49"/>
  <c r="G319" i="49"/>
  <c r="F319" i="49"/>
  <c r="H7" i="49"/>
  <c r="D7" i="49"/>
  <c r="F7" i="49"/>
  <c r="G7" i="49"/>
  <c r="F11" i="49"/>
  <c r="G11" i="49"/>
  <c r="D11" i="49"/>
  <c r="G15" i="49"/>
  <c r="F15" i="49"/>
  <c r="D15" i="49"/>
  <c r="G19" i="49"/>
  <c r="F19" i="49"/>
  <c r="D19" i="49"/>
  <c r="F26" i="49"/>
  <c r="G26" i="49"/>
  <c r="D26" i="49"/>
  <c r="F30" i="49"/>
  <c r="G30" i="49"/>
  <c r="D30" i="49"/>
  <c r="G34" i="49"/>
  <c r="F34" i="49"/>
  <c r="D34" i="49"/>
  <c r="D38" i="49"/>
  <c r="F38" i="49"/>
  <c r="H38" i="49"/>
  <c r="G38" i="49"/>
  <c r="G42" i="49"/>
  <c r="F42" i="49"/>
  <c r="D42" i="49"/>
  <c r="G46" i="49"/>
  <c r="F46" i="49"/>
  <c r="D46" i="49"/>
  <c r="F50" i="49"/>
  <c r="D50" i="49"/>
  <c r="G50" i="49"/>
  <c r="F54" i="49"/>
  <c r="G54" i="49"/>
  <c r="D54" i="49"/>
  <c r="F60" i="49"/>
  <c r="D60" i="49"/>
  <c r="G60" i="49"/>
  <c r="F64" i="49"/>
  <c r="G64" i="49"/>
  <c r="D64" i="49"/>
  <c r="G68" i="49"/>
  <c r="F68" i="49"/>
  <c r="D68" i="49"/>
  <c r="G72" i="49"/>
  <c r="D72" i="49"/>
  <c r="F72" i="49"/>
  <c r="D76" i="49"/>
  <c r="F76" i="49"/>
  <c r="G76" i="49"/>
  <c r="D80" i="49"/>
  <c r="G80" i="49"/>
  <c r="F80" i="49"/>
  <c r="D84" i="49"/>
  <c r="F84" i="49"/>
  <c r="G84" i="49"/>
  <c r="D88" i="49"/>
  <c r="F88" i="49"/>
  <c r="G88" i="49"/>
  <c r="F92" i="49"/>
  <c r="G92" i="49"/>
  <c r="D92" i="49"/>
  <c r="G96" i="49"/>
  <c r="F96" i="49"/>
  <c r="D96" i="49"/>
  <c r="F100" i="49"/>
  <c r="D100" i="49"/>
  <c r="G100" i="49"/>
  <c r="G104" i="49"/>
  <c r="F104" i="49"/>
  <c r="D104" i="49"/>
  <c r="G114" i="49"/>
  <c r="D114" i="49"/>
  <c r="F114" i="49"/>
  <c r="F118" i="49"/>
  <c r="G118" i="49"/>
  <c r="D118" i="49"/>
  <c r="G122" i="49"/>
  <c r="F122" i="49"/>
  <c r="D122" i="49"/>
  <c r="D126" i="49"/>
  <c r="F126" i="49"/>
  <c r="G126" i="49"/>
  <c r="D134" i="49"/>
  <c r="G134" i="49"/>
  <c r="F134" i="49"/>
  <c r="G138" i="49"/>
  <c r="F138" i="49"/>
  <c r="D138" i="49"/>
  <c r="G142" i="49"/>
  <c r="F142" i="49"/>
  <c r="D142" i="49"/>
  <c r="F146" i="49"/>
  <c r="G146" i="49"/>
  <c r="D146" i="49"/>
  <c r="G150" i="49"/>
  <c r="D150" i="49"/>
  <c r="F150" i="49"/>
  <c r="F154" i="49"/>
  <c r="G154" i="49"/>
  <c r="D154" i="49"/>
  <c r="H154" i="49"/>
  <c r="F158" i="49"/>
  <c r="D158" i="49"/>
  <c r="G158" i="49"/>
  <c r="G162" i="49"/>
  <c r="H162" i="49"/>
  <c r="F162" i="49"/>
  <c r="D162" i="49"/>
  <c r="D166" i="49"/>
  <c r="G166" i="49"/>
  <c r="F166" i="49"/>
  <c r="F170" i="49"/>
  <c r="G170" i="49"/>
  <c r="D170" i="49"/>
  <c r="G174" i="49"/>
  <c r="F174" i="49"/>
  <c r="D174" i="49"/>
  <c r="F178" i="49"/>
  <c r="D178" i="49"/>
  <c r="G178" i="49"/>
  <c r="G182" i="49"/>
  <c r="D182" i="49"/>
  <c r="F182" i="49"/>
  <c r="F186" i="49"/>
  <c r="G186" i="49"/>
  <c r="H186" i="49"/>
  <c r="D186" i="49"/>
  <c r="D190" i="49"/>
  <c r="H190" i="49"/>
  <c r="F190" i="49"/>
  <c r="G190" i="49"/>
  <c r="H194" i="49"/>
  <c r="F194" i="49"/>
  <c r="D194" i="49"/>
  <c r="G194" i="49"/>
  <c r="H198" i="49"/>
  <c r="G198" i="49"/>
  <c r="F198" i="49"/>
  <c r="D198" i="49"/>
  <c r="F202" i="49"/>
  <c r="G202" i="49"/>
  <c r="D202" i="49"/>
  <c r="D206" i="49"/>
  <c r="F206" i="49"/>
  <c r="G206" i="49"/>
  <c r="G210" i="49"/>
  <c r="F210" i="49"/>
  <c r="D210" i="49"/>
  <c r="H210" i="49"/>
  <c r="D214" i="49"/>
  <c r="F214" i="49"/>
  <c r="G214" i="49"/>
  <c r="H214" i="49"/>
  <c r="H218" i="49"/>
  <c r="G218" i="49"/>
  <c r="D218" i="49"/>
  <c r="F218" i="49"/>
  <c r="F228" i="49"/>
  <c r="D228" i="49"/>
  <c r="G228" i="49"/>
  <c r="G232" i="49"/>
  <c r="F232" i="49"/>
  <c r="D232" i="49"/>
  <c r="G236" i="49"/>
  <c r="F236" i="49"/>
  <c r="D236" i="49"/>
  <c r="F240" i="49"/>
  <c r="G240" i="49"/>
  <c r="D240" i="49"/>
  <c r="F244" i="49"/>
  <c r="G244" i="49"/>
  <c r="D244" i="49"/>
  <c r="G248" i="49"/>
  <c r="F248" i="49"/>
  <c r="D248" i="49"/>
  <c r="F252" i="49"/>
  <c r="D252" i="49"/>
  <c r="G252" i="49"/>
  <c r="D256" i="49"/>
  <c r="G256" i="49"/>
  <c r="F256" i="49"/>
  <c r="F260" i="49"/>
  <c r="G260" i="49"/>
  <c r="D260" i="49"/>
  <c r="H260" i="49"/>
  <c r="G264" i="49"/>
  <c r="D264" i="49"/>
  <c r="H264" i="49"/>
  <c r="F264" i="49"/>
  <c r="G268" i="49"/>
  <c r="F268" i="49"/>
  <c r="D268" i="49"/>
  <c r="G272" i="49"/>
  <c r="H272" i="49"/>
  <c r="F272" i="49"/>
  <c r="D272" i="49"/>
  <c r="F276" i="49"/>
  <c r="D276" i="49"/>
  <c r="G276" i="49"/>
  <c r="H276" i="49"/>
  <c r="G280" i="49"/>
  <c r="H280" i="49"/>
  <c r="D280" i="49"/>
  <c r="F280" i="49"/>
  <c r="F284" i="49"/>
  <c r="H284" i="49"/>
  <c r="D284" i="49"/>
  <c r="G284" i="49"/>
  <c r="F288" i="49"/>
  <c r="D288" i="49"/>
  <c r="H288" i="49"/>
  <c r="G288" i="49"/>
  <c r="G292" i="49"/>
  <c r="F292" i="49"/>
  <c r="H292" i="49"/>
  <c r="D292" i="49"/>
  <c r="F296" i="49"/>
  <c r="D296" i="49"/>
  <c r="H296" i="49"/>
  <c r="G296" i="49"/>
  <c r="F300" i="49"/>
  <c r="D300" i="49"/>
  <c r="H300" i="49"/>
  <c r="G300" i="49"/>
  <c r="F304" i="49"/>
  <c r="D304" i="49"/>
  <c r="G304" i="49"/>
  <c r="H304" i="49"/>
  <c r="D308" i="49"/>
  <c r="F308" i="49"/>
  <c r="G308" i="49"/>
  <c r="H308" i="49"/>
  <c r="H312" i="49"/>
  <c r="F312" i="49"/>
  <c r="D312" i="49"/>
  <c r="G312" i="49"/>
  <c r="H316" i="49"/>
  <c r="F316" i="49"/>
  <c r="D316" i="49"/>
  <c r="G316" i="49"/>
  <c r="F320" i="49"/>
  <c r="H320" i="49"/>
  <c r="G320" i="49"/>
  <c r="D320" i="49"/>
  <c r="G8" i="49"/>
  <c r="F8" i="49"/>
  <c r="D8" i="49"/>
  <c r="G12" i="49"/>
  <c r="F12" i="49"/>
  <c r="D12" i="49"/>
  <c r="D16" i="49"/>
  <c r="H16" i="49"/>
  <c r="G16" i="49"/>
  <c r="F16" i="49"/>
  <c r="F20" i="49"/>
  <c r="G20" i="49"/>
  <c r="D20" i="49"/>
  <c r="G27" i="49"/>
  <c r="F27" i="49"/>
  <c r="D27" i="49"/>
  <c r="D31" i="49"/>
  <c r="F31" i="49"/>
  <c r="G31" i="49"/>
  <c r="F35" i="49"/>
  <c r="D35" i="49"/>
  <c r="G35" i="49"/>
  <c r="D39" i="49"/>
  <c r="G39" i="49"/>
  <c r="F39" i="49"/>
  <c r="F43" i="49"/>
  <c r="D43" i="49"/>
  <c r="G43" i="49"/>
  <c r="D47" i="49"/>
  <c r="F47" i="49"/>
  <c r="G47" i="49"/>
  <c r="D51" i="49"/>
  <c r="G51" i="49"/>
  <c r="F51" i="49"/>
  <c r="G55" i="49"/>
  <c r="D55" i="49"/>
  <c r="F55" i="49"/>
  <c r="F61" i="49"/>
  <c r="G61" i="49"/>
  <c r="D61" i="49"/>
  <c r="D65" i="49"/>
  <c r="F65" i="49"/>
  <c r="G65" i="49"/>
  <c r="D69" i="49"/>
  <c r="G69" i="49"/>
  <c r="F69" i="49"/>
  <c r="G73" i="49"/>
  <c r="F73" i="49"/>
  <c r="D73" i="49"/>
  <c r="G77" i="49"/>
  <c r="D77" i="49"/>
  <c r="F77" i="49"/>
  <c r="G81" i="49"/>
  <c r="F81" i="49"/>
  <c r="D81" i="49"/>
  <c r="G85" i="49"/>
  <c r="F85" i="49"/>
  <c r="D85" i="49"/>
  <c r="D89" i="49"/>
  <c r="G89" i="49"/>
  <c r="F89" i="49"/>
  <c r="F93" i="49"/>
  <c r="D93" i="49"/>
  <c r="G93" i="49"/>
  <c r="F97" i="49"/>
  <c r="D97" i="49"/>
  <c r="G97" i="49"/>
  <c r="G101" i="49"/>
  <c r="D101" i="49"/>
  <c r="F101" i="49"/>
  <c r="G105" i="49"/>
  <c r="F105" i="49"/>
  <c r="D105" i="49"/>
  <c r="G111" i="49"/>
  <c r="D111" i="49"/>
  <c r="F111" i="49"/>
  <c r="F115" i="49"/>
  <c r="D115" i="49"/>
  <c r="G115" i="49"/>
  <c r="D119" i="49"/>
  <c r="G119" i="49"/>
  <c r="F119" i="49"/>
  <c r="H119" i="49"/>
  <c r="D123" i="49"/>
  <c r="F123" i="49"/>
  <c r="G123" i="49"/>
  <c r="F135" i="49"/>
  <c r="D135" i="49"/>
  <c r="G135" i="49"/>
  <c r="D139" i="49"/>
  <c r="G139" i="49"/>
  <c r="F139" i="49"/>
  <c r="G143" i="49"/>
  <c r="F143" i="49"/>
  <c r="D143" i="49"/>
  <c r="F147" i="49"/>
  <c r="D147" i="49"/>
  <c r="G147" i="49"/>
  <c r="G151" i="49"/>
  <c r="F151" i="49"/>
  <c r="D151" i="49"/>
  <c r="D155" i="49"/>
  <c r="H155" i="49"/>
  <c r="G155" i="49"/>
  <c r="F155" i="49"/>
  <c r="F159" i="49"/>
  <c r="G159" i="49"/>
  <c r="D159" i="49"/>
  <c r="F163" i="49"/>
  <c r="G163" i="49"/>
  <c r="D163" i="49"/>
  <c r="F167" i="49"/>
  <c r="D167" i="49"/>
  <c r="G167" i="49"/>
  <c r="G171" i="49"/>
  <c r="D171" i="49"/>
  <c r="F171" i="49"/>
  <c r="F175" i="49"/>
  <c r="D175" i="49"/>
  <c r="G175" i="49"/>
  <c r="H179" i="49"/>
  <c r="D179" i="49"/>
  <c r="G179" i="49"/>
  <c r="F179" i="49"/>
  <c r="D183" i="49"/>
  <c r="F183" i="49"/>
  <c r="G183" i="49"/>
  <c r="G187" i="49"/>
  <c r="D187" i="49"/>
  <c r="F187" i="49"/>
  <c r="G191" i="49"/>
  <c r="F191" i="49"/>
  <c r="D191" i="49"/>
  <c r="G195" i="49"/>
  <c r="F195" i="49"/>
  <c r="D195" i="49"/>
  <c r="H195" i="49"/>
  <c r="D199" i="49"/>
  <c r="G199" i="49"/>
  <c r="F199" i="49"/>
  <c r="F203" i="49"/>
  <c r="D203" i="49"/>
  <c r="G203" i="49"/>
  <c r="D207" i="49"/>
  <c r="F207" i="49"/>
  <c r="G207" i="49"/>
  <c r="G211" i="49"/>
  <c r="F211" i="49"/>
  <c r="D211" i="49"/>
  <c r="H215" i="49"/>
  <c r="G215" i="49"/>
  <c r="F215" i="49"/>
  <c r="D215" i="49"/>
  <c r="D219" i="49"/>
  <c r="F219" i="49"/>
  <c r="G219" i="49"/>
  <c r="F229" i="49"/>
  <c r="H229" i="49"/>
  <c r="G229" i="49"/>
  <c r="D229" i="49"/>
  <c r="F233" i="49"/>
  <c r="D233" i="49"/>
  <c r="G233" i="49"/>
  <c r="D237" i="49"/>
  <c r="G237" i="49"/>
  <c r="F237" i="49"/>
  <c r="D241" i="49"/>
  <c r="G241" i="49"/>
  <c r="F241" i="49"/>
  <c r="G245" i="49"/>
  <c r="F245" i="49"/>
  <c r="D245" i="49"/>
  <c r="F249" i="49"/>
  <c r="G249" i="49"/>
  <c r="D249" i="49"/>
  <c r="H249" i="49"/>
  <c r="G253" i="49"/>
  <c r="F253" i="49"/>
  <c r="D253" i="49"/>
  <c r="D257" i="49"/>
  <c r="H257" i="49"/>
  <c r="G257" i="49"/>
  <c r="F257" i="49"/>
  <c r="G261" i="49"/>
  <c r="H261" i="49"/>
  <c r="F261" i="49"/>
  <c r="D261" i="49"/>
  <c r="G265" i="49"/>
  <c r="F265" i="49"/>
  <c r="H265" i="49"/>
  <c r="D265" i="49"/>
  <c r="G269" i="49"/>
  <c r="F269" i="49"/>
  <c r="D269" i="49"/>
  <c r="H273" i="49"/>
  <c r="F273" i="49"/>
  <c r="D273" i="49"/>
  <c r="G273" i="49"/>
  <c r="G277" i="49"/>
  <c r="H277" i="49"/>
  <c r="D277" i="49"/>
  <c r="F277" i="49"/>
  <c r="D281" i="49"/>
  <c r="F281" i="49"/>
  <c r="H281" i="49"/>
  <c r="G281" i="49"/>
  <c r="F285" i="49"/>
  <c r="D285" i="49"/>
  <c r="G285" i="49"/>
  <c r="H285" i="49"/>
  <c r="D289" i="49"/>
  <c r="G289" i="49"/>
  <c r="H289" i="49"/>
  <c r="F289" i="49"/>
  <c r="D293" i="49"/>
  <c r="H293" i="49"/>
  <c r="F293" i="49"/>
  <c r="G293" i="49"/>
  <c r="G297" i="49"/>
  <c r="H297" i="49"/>
  <c r="D297" i="49"/>
  <c r="F297" i="49"/>
  <c r="H301" i="49"/>
  <c r="D301" i="49"/>
  <c r="F301" i="49"/>
  <c r="G301" i="49"/>
  <c r="G305" i="49"/>
  <c r="D305" i="49"/>
  <c r="H305" i="49"/>
  <c r="F305" i="49"/>
  <c r="D309" i="49"/>
  <c r="F309" i="49"/>
  <c r="H309" i="49"/>
  <c r="G309" i="49"/>
  <c r="G313" i="49"/>
  <c r="H313" i="49"/>
  <c r="D313" i="49"/>
  <c r="F313" i="49"/>
  <c r="D317" i="49"/>
  <c r="F317" i="49"/>
  <c r="H317" i="49"/>
  <c r="G317" i="49"/>
  <c r="G321" i="49"/>
  <c r="D321" i="49"/>
  <c r="F321" i="49"/>
  <c r="H321" i="49"/>
  <c r="H10" i="49"/>
  <c r="D10" i="49"/>
  <c r="G10" i="49"/>
  <c r="F10" i="49"/>
  <c r="AA127" i="38"/>
  <c r="AA115" i="38"/>
  <c r="AA138" i="38"/>
  <c r="AA122" i="38"/>
  <c r="AA96" i="38"/>
  <c r="AA73" i="38"/>
  <c r="AA81" i="38"/>
  <c r="AA77" i="38"/>
  <c r="AA70" i="38"/>
  <c r="AA65" i="38"/>
  <c r="AA61" i="38"/>
  <c r="AA52" i="38"/>
  <c r="AA135" i="38"/>
  <c r="AA123" i="38"/>
  <c r="AA105" i="38"/>
  <c r="AA142" i="38"/>
  <c r="AA130" i="38"/>
  <c r="AA118" i="38"/>
  <c r="AA112" i="38"/>
  <c r="AA68" i="38"/>
  <c r="AA38" i="38"/>
  <c r="AA49" i="38"/>
  <c r="AA95" i="38"/>
  <c r="AA141" i="38"/>
  <c r="AA137" i="38"/>
  <c r="AA133" i="38"/>
  <c r="AA129" i="38"/>
  <c r="AA125" i="38"/>
  <c r="AA121" i="38"/>
  <c r="AA117" i="38"/>
  <c r="AA113" i="38"/>
  <c r="AA111" i="38"/>
  <c r="AA107" i="38"/>
  <c r="AA104" i="38"/>
  <c r="AA93" i="38"/>
  <c r="AA51" i="38"/>
  <c r="AA100" i="38"/>
  <c r="AA83" i="38"/>
  <c r="AA58" i="38"/>
  <c r="AA45" i="38"/>
  <c r="AA99" i="38"/>
  <c r="AA94" i="38"/>
  <c r="AA86" i="38"/>
  <c r="AA80" i="38"/>
  <c r="AA75" i="38"/>
  <c r="AA69" i="38"/>
  <c r="AA64" i="38"/>
  <c r="AA60" i="38"/>
  <c r="AA44" i="38"/>
  <c r="AA139" i="38"/>
  <c r="AA119" i="38"/>
  <c r="AA109" i="38"/>
  <c r="AA5" i="38"/>
  <c r="AA152" i="38"/>
  <c r="AA146" i="38"/>
  <c r="AA43" i="38"/>
  <c r="AA147" i="38"/>
  <c r="AA287" i="38"/>
  <c r="AA289" i="38"/>
  <c r="AA284" i="38"/>
  <c r="AA229" i="38"/>
  <c r="AA165" i="38"/>
  <c r="AA192" i="38"/>
  <c r="AA236" i="38"/>
  <c r="AA231" i="38"/>
  <c r="AA167" i="38"/>
  <c r="AA226" i="38"/>
  <c r="AA162" i="38"/>
  <c r="AA241" i="38"/>
  <c r="AA177" i="38"/>
  <c r="AA204" i="38"/>
  <c r="AA260" i="38"/>
  <c r="AA243" i="38"/>
  <c r="AA179" i="38"/>
  <c r="AA238" i="38"/>
  <c r="AA174" i="38"/>
  <c r="AA221" i="38"/>
  <c r="AA157" i="38"/>
  <c r="AA184" i="38"/>
  <c r="AA271" i="38"/>
  <c r="AA207" i="38"/>
  <c r="AA266" i="38"/>
  <c r="AA202" i="38"/>
  <c r="AA277" i="38"/>
  <c r="AA233" i="38"/>
  <c r="AA169" i="38"/>
  <c r="AA196" i="38"/>
  <c r="AA244" i="38"/>
  <c r="AA235" i="38"/>
  <c r="AA171" i="38"/>
  <c r="AA262" i="38"/>
  <c r="AA198" i="38"/>
  <c r="AA11" i="38"/>
  <c r="AA150" i="38"/>
  <c r="AA4" i="38"/>
  <c r="AA149" i="38"/>
  <c r="AA24" i="38"/>
  <c r="T2" i="66" a="1"/>
  <c r="T2" i="66" s="1"/>
  <c r="AA286" i="38"/>
  <c r="AA283" i="38"/>
  <c r="AA213" i="38"/>
  <c r="AA272" i="38"/>
  <c r="AA176" i="38"/>
  <c r="AA279" i="38"/>
  <c r="AA215" i="38"/>
  <c r="AA274" i="38"/>
  <c r="AA210" i="38"/>
  <c r="AA269" i="38"/>
  <c r="AA225" i="38"/>
  <c r="AA161" i="38"/>
  <c r="AA188" i="38"/>
  <c r="AA228" i="38"/>
  <c r="AA227" i="38"/>
  <c r="AA163" i="38"/>
  <c r="AA222" i="38"/>
  <c r="AA158" i="38"/>
  <c r="AA205" i="38"/>
  <c r="AA256" i="38"/>
  <c r="AA168" i="38"/>
  <c r="AA255" i="38"/>
  <c r="AA191" i="38"/>
  <c r="AA250" i="38"/>
  <c r="AA186" i="38"/>
  <c r="AA261" i="38"/>
  <c r="AA217" i="38"/>
  <c r="AA153" i="38"/>
  <c r="AA180" i="38"/>
  <c r="AA208" i="38"/>
  <c r="AA219" i="38"/>
  <c r="AA155" i="38"/>
  <c r="AA246" i="38"/>
  <c r="AA182" i="38"/>
  <c r="AA148" i="38"/>
  <c r="AA8" i="38"/>
  <c r="AA7" i="38"/>
  <c r="AA290" i="38"/>
  <c r="AA3" i="38"/>
  <c r="AA282" i="38"/>
  <c r="AA285" i="38"/>
  <c r="AA197" i="38"/>
  <c r="AA240" i="38"/>
  <c r="AA160" i="38"/>
  <c r="AA263" i="38"/>
  <c r="AA199" i="38"/>
  <c r="AA258" i="38"/>
  <c r="AA194" i="38"/>
  <c r="AA257" i="38"/>
  <c r="AA209" i="38"/>
  <c r="AA264" i="38"/>
  <c r="AA172" i="38"/>
  <c r="AA275" i="38"/>
  <c r="AA211" i="38"/>
  <c r="AA270" i="38"/>
  <c r="AA206" i="38"/>
  <c r="AA265" i="38"/>
  <c r="AA189" i="38"/>
  <c r="AA224" i="38"/>
  <c r="AA252" i="38"/>
  <c r="AA239" i="38"/>
  <c r="AA175" i="38"/>
  <c r="AA234" i="38"/>
  <c r="AA170" i="38"/>
  <c r="AA253" i="38"/>
  <c r="AA201" i="38"/>
  <c r="AA248" i="38"/>
  <c r="AA164" i="38"/>
  <c r="AA267" i="38"/>
  <c r="AA203" i="38"/>
  <c r="AA276" i="38"/>
  <c r="AA230" i="38"/>
  <c r="AA166" i="38"/>
  <c r="AA10" i="38"/>
  <c r="AA12" i="38"/>
  <c r="AA151" i="38"/>
  <c r="AA291" i="38"/>
  <c r="AA288" i="38"/>
  <c r="AA281" i="38"/>
  <c r="AA273" i="38"/>
  <c r="AA181" i="38"/>
  <c r="AA212" i="38"/>
  <c r="AA268" i="38"/>
  <c r="AA247" i="38"/>
  <c r="AA183" i="38"/>
  <c r="AA242" i="38"/>
  <c r="AA178" i="38"/>
  <c r="AA249" i="38"/>
  <c r="AA193" i="38"/>
  <c r="AA232" i="38"/>
  <c r="AA156" i="38"/>
  <c r="AA259" i="38"/>
  <c r="AA195" i="38"/>
  <c r="AA254" i="38"/>
  <c r="AA190" i="38"/>
  <c r="AA237" i="38"/>
  <c r="AA173" i="38"/>
  <c r="AA200" i="38"/>
  <c r="AA220" i="38"/>
  <c r="AA223" i="38"/>
  <c r="AA159" i="38"/>
  <c r="AA218" i="38"/>
  <c r="AA154" i="38"/>
  <c r="AA245" i="38"/>
  <c r="AA185" i="38"/>
  <c r="AA216" i="38"/>
  <c r="AA280" i="38"/>
  <c r="AA251" i="38"/>
  <c r="AA187" i="38"/>
  <c r="AA278" i="38"/>
  <c r="AA214" i="38"/>
  <c r="AA6" i="38"/>
  <c r="AA21" i="38"/>
  <c r="AA18" i="38"/>
  <c r="AA14" i="38"/>
  <c r="AA22" i="38"/>
  <c r="AA13" i="38"/>
  <c r="AA19" i="38"/>
  <c r="AA16" i="38"/>
  <c r="AA17" i="38"/>
  <c r="AA20" i="38"/>
  <c r="AA28" i="38"/>
  <c r="AA25" i="38"/>
  <c r="AA27" i="38"/>
  <c r="AA23" i="38"/>
  <c r="AA42" i="38"/>
  <c r="AA30" i="38"/>
  <c r="AA31" i="38"/>
  <c r="AA32" i="38"/>
  <c r="AA29" i="38"/>
  <c r="AA34" i="38"/>
  <c r="AA35" i="38"/>
  <c r="AA36" i="38"/>
  <c r="AA33" i="38"/>
  <c r="AA39" i="38"/>
  <c r="AA40" i="38"/>
  <c r="AA41" i="38"/>
  <c r="AA37" i="38"/>
  <c r="AA46" i="38"/>
  <c r="AA47" i="38"/>
  <c r="AA145" i="38"/>
  <c r="AA134" i="38"/>
  <c r="AA126" i="38"/>
  <c r="AA114" i="38"/>
  <c r="AA108" i="38"/>
  <c r="AA56" i="38"/>
  <c r="AA87" i="38"/>
  <c r="AA101" i="38"/>
  <c r="AA89" i="38"/>
  <c r="AA144" i="38"/>
  <c r="AA140" i="38"/>
  <c r="AA136" i="38"/>
  <c r="AA132" i="38"/>
  <c r="AA128" i="38"/>
  <c r="AA124" i="38"/>
  <c r="AA120" i="38"/>
  <c r="AA116" i="38"/>
  <c r="AA15" i="38"/>
  <c r="AA110" i="38"/>
  <c r="AA106" i="38"/>
  <c r="AA103" i="38"/>
  <c r="AA84" i="38"/>
  <c r="AA50" i="38"/>
  <c r="AA92" i="38"/>
  <c r="AA76" i="38"/>
  <c r="AA55" i="38"/>
  <c r="AA26" i="38"/>
  <c r="AA98" i="38"/>
  <c r="AA91" i="38"/>
  <c r="AA85" i="38"/>
  <c r="AA79" i="38"/>
  <c r="AA72" i="38"/>
  <c r="AA67" i="38"/>
  <c r="AA63" i="38"/>
  <c r="AA59" i="38"/>
  <c r="AA131" i="38"/>
  <c r="AA9" i="38"/>
  <c r="AA57" i="38"/>
  <c r="AA48" i="38"/>
  <c r="AA88" i="38"/>
  <c r="AA74" i="38"/>
  <c r="AA54" i="38"/>
  <c r="AA102" i="38"/>
  <c r="AA97" i="38"/>
  <c r="AA90" i="38"/>
  <c r="AA82" i="38"/>
  <c r="AA78" i="38"/>
  <c r="AA71" i="38"/>
  <c r="AA66" i="38"/>
  <c r="AA62" i="38"/>
  <c r="AA53" i="38"/>
  <c r="B3" i="14"/>
  <c r="B4" i="14"/>
  <c r="D497" i="14"/>
  <c r="U106" i="14"/>
  <c r="AC106" i="14" s="1"/>
  <c r="T107" i="14"/>
  <c r="AB107" i="14" s="1"/>
  <c r="R108" i="14"/>
  <c r="Z108" i="14" s="1"/>
  <c r="S104" i="14"/>
  <c r="AA104" i="14" s="1"/>
  <c r="O106" i="14"/>
  <c r="W106" i="14" s="1"/>
  <c r="S106" i="14"/>
  <c r="AA106" i="14" s="1"/>
  <c r="O104" i="14"/>
  <c r="W104" i="14" s="1"/>
  <c r="S107" i="14"/>
  <c r="AA107" i="14" s="1"/>
  <c r="R107" i="14"/>
  <c r="Z107" i="14" s="1"/>
  <c r="T108" i="14"/>
  <c r="AB108" i="14" s="1"/>
  <c r="T103" i="14"/>
  <c r="AB103" i="14" s="1"/>
  <c r="T106" i="14"/>
  <c r="AB106" i="14" s="1"/>
  <c r="P106" i="14"/>
  <c r="X106" i="14" s="1"/>
  <c r="P107" i="14"/>
  <c r="X107" i="14" s="1"/>
  <c r="R102" i="14"/>
  <c r="Z102" i="14" s="1"/>
  <c r="Q106" i="14"/>
  <c r="Y106" i="14" s="1"/>
  <c r="U102" i="14"/>
  <c r="AC102" i="14" s="1"/>
  <c r="R106" i="14"/>
  <c r="Z106" i="14" s="1"/>
  <c r="P102" i="14"/>
  <c r="X102" i="14" s="1"/>
  <c r="T102" i="14"/>
  <c r="AB102" i="14" s="1"/>
  <c r="P103" i="14"/>
  <c r="X103" i="14" s="1"/>
  <c r="Q104" i="14"/>
  <c r="Y104" i="14" s="1"/>
  <c r="U104" i="14"/>
  <c r="AC104" i="14" s="1"/>
  <c r="Q102" i="14"/>
  <c r="Y102" i="14" s="1"/>
  <c r="U101" i="14"/>
  <c r="AC101" i="14" s="1"/>
  <c r="R103" i="14"/>
  <c r="Z103" i="14" s="1"/>
  <c r="R104" i="14"/>
  <c r="Z104" i="14" s="1"/>
  <c r="R101" i="14"/>
  <c r="Z101" i="14" s="1"/>
  <c r="O102" i="14"/>
  <c r="W102" i="14" s="1"/>
  <c r="P104" i="14"/>
  <c r="X104" i="14" s="1"/>
  <c r="T104" i="14"/>
  <c r="AB104" i="14" s="1"/>
  <c r="Q103" i="14"/>
  <c r="Y103" i="14" s="1"/>
  <c r="U103" i="14"/>
  <c r="AC103" i="14" s="1"/>
  <c r="O103" i="14"/>
  <c r="W103" i="14" s="1"/>
  <c r="S103" i="14"/>
  <c r="AA103" i="14" s="1"/>
  <c r="S102" i="14"/>
  <c r="AA102" i="14" s="1"/>
  <c r="U98" i="14"/>
  <c r="AC98" i="14" s="1"/>
  <c r="U96" i="14"/>
  <c r="AC96" i="14" s="1"/>
  <c r="T101" i="14"/>
  <c r="AB101" i="14" s="1"/>
  <c r="U100" i="14"/>
  <c r="AC100" i="14" s="1"/>
  <c r="Q100" i="14"/>
  <c r="Y100" i="14" s="1"/>
  <c r="U99" i="14"/>
  <c r="AC99" i="14" s="1"/>
  <c r="Q101" i="14"/>
  <c r="Y101" i="14" s="1"/>
  <c r="P97" i="14"/>
  <c r="X97" i="14" s="1"/>
  <c r="R100" i="14"/>
  <c r="Z100" i="14" s="1"/>
  <c r="U97" i="14"/>
  <c r="AC97" i="14" s="1"/>
  <c r="O98" i="14"/>
  <c r="W98" i="14" s="1"/>
  <c r="S98" i="14"/>
  <c r="AA98" i="14" s="1"/>
  <c r="R98" i="14"/>
  <c r="Z98" i="14" s="1"/>
  <c r="R97" i="14"/>
  <c r="Z97" i="14" s="1"/>
  <c r="P98" i="14"/>
  <c r="X98" i="14" s="1"/>
  <c r="U94" i="14"/>
  <c r="AC94" i="14" s="1"/>
  <c r="O95" i="14"/>
  <c r="W95" i="14" s="1"/>
  <c r="U95" i="14"/>
  <c r="AC95" i="14" s="1"/>
  <c r="R94" i="14"/>
  <c r="Z94" i="14" s="1"/>
  <c r="Q95" i="14"/>
  <c r="Y95" i="14" s="1"/>
  <c r="U93" i="14"/>
  <c r="AC93" i="14" s="1"/>
  <c r="T93" i="14"/>
  <c r="AB93" i="14" s="1"/>
  <c r="U92" i="14"/>
  <c r="AC92" i="14" s="1"/>
  <c r="N251" i="14"/>
  <c r="D382" i="14"/>
  <c r="N496" i="14"/>
  <c r="N122" i="14"/>
  <c r="N130" i="14"/>
  <c r="N138" i="14"/>
  <c r="N146" i="14"/>
  <c r="N154" i="14"/>
  <c r="D304" i="14"/>
  <c r="D352" i="14"/>
  <c r="D360" i="14"/>
  <c r="D320" i="14"/>
  <c r="D344" i="14"/>
  <c r="K4" i="11"/>
  <c r="E4" i="11"/>
  <c r="F4" i="11"/>
  <c r="P8" i="11"/>
  <c r="E8" i="11"/>
  <c r="F8" i="11"/>
  <c r="E12" i="11"/>
  <c r="F12" i="11"/>
  <c r="E16" i="11"/>
  <c r="F16" i="11"/>
  <c r="E20" i="11"/>
  <c r="F20" i="11"/>
  <c r="E24" i="11"/>
  <c r="F24" i="11"/>
  <c r="E28" i="11"/>
  <c r="F28" i="11"/>
  <c r="E32" i="11"/>
  <c r="F32" i="11"/>
  <c r="E35" i="69"/>
  <c r="E36" i="11"/>
  <c r="F36" i="11"/>
  <c r="E40" i="11"/>
  <c r="F40" i="11"/>
  <c r="E44" i="11"/>
  <c r="F44" i="11"/>
  <c r="E48" i="11"/>
  <c r="F48" i="11"/>
  <c r="E51" i="69"/>
  <c r="E52" i="11"/>
  <c r="F52" i="11"/>
  <c r="E56" i="11"/>
  <c r="F56" i="11"/>
  <c r="E60" i="11"/>
  <c r="F60" i="11"/>
  <c r="E64" i="11"/>
  <c r="F64" i="11"/>
  <c r="E68" i="11"/>
  <c r="F68" i="11"/>
  <c r="E72" i="11"/>
  <c r="F72" i="11"/>
  <c r="E76" i="11"/>
  <c r="F76" i="11"/>
  <c r="E80" i="11"/>
  <c r="F80" i="11"/>
  <c r="E84" i="11"/>
  <c r="F84" i="11"/>
  <c r="E5" i="11"/>
  <c r="F5" i="11"/>
  <c r="E8" i="69"/>
  <c r="E9" i="11"/>
  <c r="F9" i="11"/>
  <c r="E12" i="69"/>
  <c r="E13" i="11"/>
  <c r="F13" i="11"/>
  <c r="E16" i="69"/>
  <c r="E17" i="11"/>
  <c r="F17" i="11"/>
  <c r="E20" i="69"/>
  <c r="E21" i="11"/>
  <c r="F21" i="11"/>
  <c r="E24" i="69"/>
  <c r="E25" i="11"/>
  <c r="F25" i="11"/>
  <c r="E28" i="69"/>
  <c r="E29" i="11"/>
  <c r="F29" i="11"/>
  <c r="E32" i="69"/>
  <c r="E33" i="11"/>
  <c r="F33" i="11"/>
  <c r="E36" i="69"/>
  <c r="E37" i="11"/>
  <c r="F37" i="11"/>
  <c r="E40" i="69"/>
  <c r="E41" i="11"/>
  <c r="F41" i="11"/>
  <c r="E44" i="69"/>
  <c r="E45" i="11"/>
  <c r="F45" i="11"/>
  <c r="E48" i="69"/>
  <c r="E49" i="11"/>
  <c r="F49" i="11"/>
  <c r="E53" i="11"/>
  <c r="F53" i="11"/>
  <c r="E57" i="11"/>
  <c r="F57" i="11"/>
  <c r="E60" i="69"/>
  <c r="E61" i="11"/>
  <c r="F61" i="11"/>
  <c r="E64" i="69"/>
  <c r="E65" i="11"/>
  <c r="F65" i="11"/>
  <c r="E68" i="69"/>
  <c r="E69" i="11"/>
  <c r="F69" i="11"/>
  <c r="E72" i="69"/>
  <c r="E73" i="11"/>
  <c r="F73" i="11"/>
  <c r="E76" i="69"/>
  <c r="E77" i="11"/>
  <c r="F77" i="11"/>
  <c r="E80" i="69"/>
  <c r="E81" i="11"/>
  <c r="F81" i="11"/>
  <c r="E84" i="69"/>
  <c r="E85" i="11"/>
  <c r="F85" i="11"/>
  <c r="P6" i="11"/>
  <c r="F6" i="11"/>
  <c r="E6" i="11"/>
  <c r="F10" i="11"/>
  <c r="E10" i="11"/>
  <c r="E14" i="11"/>
  <c r="F14" i="11"/>
  <c r="F18" i="11"/>
  <c r="E18" i="11"/>
  <c r="F22" i="11"/>
  <c r="E22" i="11"/>
  <c r="E25" i="69"/>
  <c r="F26" i="11"/>
  <c r="E26" i="11"/>
  <c r="E30" i="11"/>
  <c r="F30" i="11"/>
  <c r="F34" i="11"/>
  <c r="E34" i="11"/>
  <c r="F38" i="11"/>
  <c r="E38" i="11"/>
  <c r="F42" i="11"/>
  <c r="E42" i="11"/>
  <c r="E46" i="11"/>
  <c r="F46" i="11"/>
  <c r="F50" i="11"/>
  <c r="E50" i="11"/>
  <c r="F54" i="11"/>
  <c r="E54" i="11"/>
  <c r="F58" i="11"/>
  <c r="E58" i="11"/>
  <c r="E62" i="11"/>
  <c r="F62" i="11"/>
  <c r="F66" i="11"/>
  <c r="E66" i="11"/>
  <c r="F70" i="11"/>
  <c r="E70" i="11"/>
  <c r="E74" i="11"/>
  <c r="F74" i="11"/>
  <c r="E78" i="11"/>
  <c r="F78" i="11"/>
  <c r="E82" i="11"/>
  <c r="F82" i="11"/>
  <c r="E86" i="11"/>
  <c r="F86" i="11"/>
  <c r="E3" i="11"/>
  <c r="F3" i="11"/>
  <c r="E7" i="11"/>
  <c r="F7" i="11"/>
  <c r="E10" i="69"/>
  <c r="E11" i="11"/>
  <c r="F11" i="11"/>
  <c r="E14" i="69"/>
  <c r="E15" i="11"/>
  <c r="F15" i="11"/>
  <c r="E18" i="69"/>
  <c r="E19" i="11"/>
  <c r="F19" i="11"/>
  <c r="E22" i="69"/>
  <c r="E23" i="11"/>
  <c r="F23" i="11"/>
  <c r="E26" i="69"/>
  <c r="E27" i="11"/>
  <c r="F27" i="11"/>
  <c r="E30" i="69"/>
  <c r="E31" i="11"/>
  <c r="F31" i="11"/>
  <c r="E34" i="69"/>
  <c r="E35" i="11"/>
  <c r="F35" i="11"/>
  <c r="E38" i="69"/>
  <c r="E39" i="11"/>
  <c r="F39" i="11"/>
  <c r="E42" i="69"/>
  <c r="E43" i="11"/>
  <c r="F43" i="11"/>
  <c r="E46" i="69"/>
  <c r="E47" i="11"/>
  <c r="F47" i="11"/>
  <c r="E50" i="69"/>
  <c r="E51" i="11"/>
  <c r="F51" i="11"/>
  <c r="E55" i="11"/>
  <c r="F55" i="11"/>
  <c r="E58" i="69"/>
  <c r="E59" i="11"/>
  <c r="F59" i="11"/>
  <c r="E62" i="69"/>
  <c r="E63" i="11"/>
  <c r="F63" i="11"/>
  <c r="E66" i="69"/>
  <c r="E67" i="11"/>
  <c r="F67" i="11"/>
  <c r="E70" i="69"/>
  <c r="E71" i="11"/>
  <c r="F71" i="11"/>
  <c r="E74" i="69"/>
  <c r="E75" i="11"/>
  <c r="F75" i="11"/>
  <c r="E78" i="69"/>
  <c r="E79" i="11"/>
  <c r="F79" i="11"/>
  <c r="E82" i="69"/>
  <c r="E83" i="11"/>
  <c r="F83" i="11"/>
  <c r="Q98" i="14"/>
  <c r="Y98" i="14" s="1"/>
  <c r="D272" i="14"/>
  <c r="D280" i="14"/>
  <c r="S100" i="14"/>
  <c r="AA100" i="14" s="1"/>
  <c r="N162" i="14"/>
  <c r="N170" i="14"/>
  <c r="N178" i="14"/>
  <c r="N186" i="14"/>
  <c r="N194" i="14"/>
  <c r="N202" i="14"/>
  <c r="N210" i="14"/>
  <c r="N218" i="14"/>
  <c r="N226" i="14"/>
  <c r="N234" i="14"/>
  <c r="N242" i="14"/>
  <c r="D288" i="14"/>
  <c r="D328" i="14"/>
  <c r="T100" i="14"/>
  <c r="AB100" i="14" s="1"/>
  <c r="N106" i="14"/>
  <c r="N114" i="14"/>
  <c r="N231" i="14"/>
  <c r="D336" i="14"/>
  <c r="D296" i="14"/>
  <c r="D368" i="14"/>
  <c r="D376" i="14"/>
  <c r="N396" i="14"/>
  <c r="N404" i="14"/>
  <c r="N492" i="14"/>
  <c r="D493" i="14"/>
  <c r="D312" i="14"/>
  <c r="D381" i="14"/>
  <c r="D384" i="14"/>
  <c r="N417" i="14"/>
  <c r="N488" i="14"/>
  <c r="D489" i="14"/>
  <c r="U25" i="14"/>
  <c r="AC25" i="14" s="1"/>
  <c r="U15" i="14"/>
  <c r="AC15" i="14" s="1"/>
  <c r="U16" i="14"/>
  <c r="AC16" i="14" s="1"/>
  <c r="U6" i="14"/>
  <c r="AC6" i="14" s="1"/>
  <c r="U5" i="14"/>
  <c r="AC5" i="14" s="1"/>
  <c r="U30" i="14"/>
  <c r="AC30" i="14" s="1"/>
  <c r="T27" i="14"/>
  <c r="AB27" i="14" s="1"/>
  <c r="U28" i="14"/>
  <c r="AC28" i="14" s="1"/>
  <c r="U21" i="14"/>
  <c r="AC21" i="14" s="1"/>
  <c r="U22" i="14"/>
  <c r="AC22" i="14" s="1"/>
  <c r="U24" i="14"/>
  <c r="AC24" i="14" s="1"/>
  <c r="U23" i="14"/>
  <c r="AC23" i="14" s="1"/>
  <c r="T22" i="14"/>
  <c r="AB22" i="14" s="1"/>
  <c r="U18" i="14"/>
  <c r="AC18" i="14" s="1"/>
  <c r="U20" i="14"/>
  <c r="AC20" i="14" s="1"/>
  <c r="U19" i="14"/>
  <c r="AC19" i="14" s="1"/>
  <c r="U14" i="14"/>
  <c r="AC14" i="14" s="1"/>
  <c r="U13" i="14"/>
  <c r="AC13" i="14" s="1"/>
  <c r="U17" i="14"/>
  <c r="AC17" i="14" s="1"/>
  <c r="U7" i="14"/>
  <c r="AC7" i="14" s="1"/>
  <c r="U4" i="14"/>
  <c r="AC4" i="14" s="1"/>
  <c r="U91" i="14"/>
  <c r="AC91" i="14" s="1"/>
  <c r="U85" i="14"/>
  <c r="AC85" i="14" s="1"/>
  <c r="U90" i="14"/>
  <c r="AC90" i="14" s="1"/>
  <c r="U89" i="14"/>
  <c r="AC89" i="14" s="1"/>
  <c r="U87" i="14"/>
  <c r="AC87" i="14" s="1"/>
  <c r="U88" i="14"/>
  <c r="AC88" i="14" s="1"/>
  <c r="T87" i="14"/>
  <c r="AB87" i="14" s="1"/>
  <c r="U81" i="14"/>
  <c r="AC81" i="14" s="1"/>
  <c r="U71" i="14"/>
  <c r="AC71" i="14" s="1"/>
  <c r="T86" i="14"/>
  <c r="AB86" i="14" s="1"/>
  <c r="U80" i="14"/>
  <c r="AC80" i="14" s="1"/>
  <c r="U86" i="14"/>
  <c r="AC86" i="14" s="1"/>
  <c r="U83" i="14"/>
  <c r="AC83" i="14" s="1"/>
  <c r="U84" i="14"/>
  <c r="AC84" i="14" s="1"/>
  <c r="T84" i="14"/>
  <c r="AB84" i="14" s="1"/>
  <c r="U82" i="14"/>
  <c r="AC82" i="14" s="1"/>
  <c r="U76" i="14"/>
  <c r="AC76" i="14" s="1"/>
  <c r="U77" i="14"/>
  <c r="AC77" i="14" s="1"/>
  <c r="U69" i="14"/>
  <c r="AC69" i="14" s="1"/>
  <c r="U75" i="14"/>
  <c r="AC75" i="14" s="1"/>
  <c r="U73" i="14"/>
  <c r="AC73" i="14" s="1"/>
  <c r="U79" i="14"/>
  <c r="AC79" i="14" s="1"/>
  <c r="U72" i="14"/>
  <c r="AC72" i="14" s="1"/>
  <c r="U74" i="14"/>
  <c r="AC74" i="14" s="1"/>
  <c r="U78" i="14"/>
  <c r="AC78" i="14" s="1"/>
  <c r="U64" i="14"/>
  <c r="AC64" i="14" s="1"/>
  <c r="U67" i="14"/>
  <c r="AC67" i="14" s="1"/>
  <c r="U70" i="14"/>
  <c r="AC70" i="14" s="1"/>
  <c r="U59" i="14"/>
  <c r="AC59" i="14" s="1"/>
  <c r="U66" i="14"/>
  <c r="AC66" i="14" s="1"/>
  <c r="U68" i="14"/>
  <c r="AC68" i="14" s="1"/>
  <c r="U61" i="14"/>
  <c r="AC61" i="14" s="1"/>
  <c r="U65" i="14"/>
  <c r="AC65" i="14" s="1"/>
  <c r="U63" i="14"/>
  <c r="AC63" i="14" s="1"/>
  <c r="U62" i="14"/>
  <c r="AC62" i="14" s="1"/>
  <c r="U60" i="14"/>
  <c r="AC60" i="14" s="1"/>
  <c r="R61" i="14"/>
  <c r="Z61" i="14" s="1"/>
  <c r="R60" i="14"/>
  <c r="Z60" i="14" s="1"/>
  <c r="O53" i="14"/>
  <c r="W53" i="14" s="1"/>
  <c r="U58" i="14"/>
  <c r="AC58" i="14" s="1"/>
  <c r="U55" i="14"/>
  <c r="AC55" i="14" s="1"/>
  <c r="U57" i="14"/>
  <c r="AC57" i="14" s="1"/>
  <c r="U56" i="14"/>
  <c r="AC56" i="14" s="1"/>
  <c r="U53" i="14"/>
  <c r="AC53" i="14" s="1"/>
  <c r="U54" i="14"/>
  <c r="AC54" i="14" s="1"/>
  <c r="U50" i="14"/>
  <c r="AC50" i="14" s="1"/>
  <c r="U52" i="14"/>
  <c r="AC52" i="14" s="1"/>
  <c r="U51" i="14"/>
  <c r="AC51" i="14" s="1"/>
  <c r="U47" i="14"/>
  <c r="AC47" i="14" s="1"/>
  <c r="U48" i="14"/>
  <c r="AC48" i="14" s="1"/>
  <c r="U49" i="14"/>
  <c r="AC49" i="14" s="1"/>
  <c r="U46" i="14"/>
  <c r="AC46" i="14" s="1"/>
  <c r="U44" i="14"/>
  <c r="AC44" i="14" s="1"/>
  <c r="U45" i="14"/>
  <c r="AC45" i="14" s="1"/>
  <c r="U43" i="14"/>
  <c r="AC43" i="14" s="1"/>
  <c r="U40" i="14"/>
  <c r="AC40" i="14" s="1"/>
  <c r="U42" i="14"/>
  <c r="AC42" i="14" s="1"/>
  <c r="U39" i="14"/>
  <c r="AC39" i="14" s="1"/>
  <c r="U41" i="14"/>
  <c r="AC41" i="14" s="1"/>
  <c r="U38" i="14"/>
  <c r="AC38" i="14" s="1"/>
  <c r="U35" i="14"/>
  <c r="AC35" i="14" s="1"/>
  <c r="U36" i="14"/>
  <c r="AC36" i="14" s="1"/>
  <c r="U37" i="14"/>
  <c r="AC37" i="14" s="1"/>
  <c r="U34" i="14"/>
  <c r="AC34" i="14" s="1"/>
  <c r="U33" i="14"/>
  <c r="AC33" i="14" s="1"/>
  <c r="U31" i="14"/>
  <c r="AC31" i="14" s="1"/>
  <c r="U32" i="14"/>
  <c r="AC32" i="14" s="1"/>
  <c r="U29" i="14"/>
  <c r="AC29" i="14" s="1"/>
  <c r="U27" i="14"/>
  <c r="AC27" i="14" s="1"/>
  <c r="U26" i="14"/>
  <c r="AC26" i="14" s="1"/>
  <c r="S24" i="14"/>
  <c r="AA24" i="14" s="1"/>
  <c r="U12" i="14"/>
  <c r="AC12" i="14" s="1"/>
  <c r="U9" i="14"/>
  <c r="AC9" i="14" s="1"/>
  <c r="U8" i="14"/>
  <c r="AC8" i="14" s="1"/>
  <c r="U11" i="14"/>
  <c r="AC11" i="14" s="1"/>
  <c r="U10" i="14"/>
  <c r="AC10" i="14" s="1"/>
  <c r="U3" i="14"/>
  <c r="AC3" i="14" s="1"/>
  <c r="P123" i="38"/>
  <c r="P48" i="38"/>
  <c r="P52" i="38"/>
  <c r="P43" i="38"/>
  <c r="P4" i="38"/>
  <c r="P147" i="38"/>
  <c r="P11" i="38"/>
  <c r="P10" i="38"/>
  <c r="P8" i="38"/>
  <c r="P7" i="38"/>
  <c r="P6" i="38"/>
  <c r="P148" i="38"/>
  <c r="P150" i="38"/>
  <c r="P12" i="38"/>
  <c r="P24" i="38"/>
  <c r="P146" i="38"/>
  <c r="P145" i="38"/>
  <c r="P152" i="38"/>
  <c r="P3" i="38"/>
  <c r="P151" i="38"/>
  <c r="P149" i="38"/>
  <c r="O304" i="14"/>
  <c r="BC304" i="14" s="1"/>
  <c r="O376" i="14"/>
  <c r="BC376" i="14" s="1"/>
  <c r="N419" i="14"/>
  <c r="N111" i="14"/>
  <c r="N119" i="14"/>
  <c r="N127" i="14"/>
  <c r="N135" i="14"/>
  <c r="N143" i="14"/>
  <c r="N151" i="14"/>
  <c r="N159" i="14"/>
  <c r="N167" i="14"/>
  <c r="N175" i="14"/>
  <c r="N183" i="14"/>
  <c r="N191" i="14"/>
  <c r="N199" i="14"/>
  <c r="N207" i="14"/>
  <c r="N215" i="14"/>
  <c r="N223" i="14"/>
  <c r="N239" i="14"/>
  <c r="N247" i="14"/>
  <c r="O296" i="14"/>
  <c r="BC296" i="14" s="1"/>
  <c r="O320" i="14"/>
  <c r="BC320" i="14" s="1"/>
  <c r="O328" i="14"/>
  <c r="BC328" i="14" s="1"/>
  <c r="O360" i="14"/>
  <c r="W360" i="14" s="1"/>
  <c r="N103" i="14"/>
  <c r="D251" i="14"/>
  <c r="O411" i="14"/>
  <c r="W411" i="14" s="1"/>
  <c r="N411" i="14"/>
  <c r="N415" i="14"/>
  <c r="D277" i="14"/>
  <c r="D285" i="14"/>
  <c r="D301" i="14"/>
  <c r="D341" i="14"/>
  <c r="D365" i="14"/>
  <c r="D373" i="14"/>
  <c r="N108" i="14"/>
  <c r="D293" i="14"/>
  <c r="D309" i="14"/>
  <c r="D317" i="14"/>
  <c r="D325" i="14"/>
  <c r="D333" i="14"/>
  <c r="D349" i="14"/>
  <c r="D357" i="14"/>
  <c r="D386" i="14"/>
  <c r="O100" i="14"/>
  <c r="W100" i="14" s="1"/>
  <c r="D388" i="14"/>
  <c r="N399" i="14"/>
  <c r="N407" i="14"/>
  <c r="N104" i="14"/>
  <c r="N112" i="14"/>
  <c r="N120" i="14"/>
  <c r="N128" i="14"/>
  <c r="N136" i="14"/>
  <c r="N144" i="14"/>
  <c r="N152" i="14"/>
  <c r="N160" i="14"/>
  <c r="N168" i="14"/>
  <c r="N176" i="14"/>
  <c r="N184" i="14"/>
  <c r="N192" i="14"/>
  <c r="N200" i="14"/>
  <c r="N208" i="14"/>
  <c r="N216" i="14"/>
  <c r="N224" i="14"/>
  <c r="N232" i="14"/>
  <c r="N240" i="14"/>
  <c r="N248" i="14"/>
  <c r="D270" i="14"/>
  <c r="D278" i="14"/>
  <c r="D286" i="14"/>
  <c r="D294" i="14"/>
  <c r="D302" i="14"/>
  <c r="D310" i="14"/>
  <c r="D318" i="14"/>
  <c r="D326" i="14"/>
  <c r="D334" i="14"/>
  <c r="D342" i="14"/>
  <c r="D350" i="14"/>
  <c r="D358" i="14"/>
  <c r="D366" i="14"/>
  <c r="D374" i="14"/>
  <c r="N397" i="14"/>
  <c r="N405" i="14"/>
  <c r="D414" i="14"/>
  <c r="D486" i="14"/>
  <c r="N487" i="14"/>
  <c r="N489" i="14"/>
  <c r="D490" i="14"/>
  <c r="N491" i="14"/>
  <c r="N493" i="14"/>
  <c r="D494" i="14"/>
  <c r="N495" i="14"/>
  <c r="N105" i="14"/>
  <c r="N113" i="14"/>
  <c r="N121" i="14"/>
  <c r="N129" i="14"/>
  <c r="N137" i="14"/>
  <c r="N145" i="14"/>
  <c r="N153" i="14"/>
  <c r="N161" i="14"/>
  <c r="N169" i="14"/>
  <c r="N177" i="14"/>
  <c r="N185" i="14"/>
  <c r="N193" i="14"/>
  <c r="N201" i="14"/>
  <c r="N209" i="14"/>
  <c r="N217" i="14"/>
  <c r="N225" i="14"/>
  <c r="N233" i="14"/>
  <c r="N241" i="14"/>
  <c r="N249" i="14"/>
  <c r="D271" i="14"/>
  <c r="D279" i="14"/>
  <c r="D287" i="14"/>
  <c r="D295" i="14"/>
  <c r="D303" i="14"/>
  <c r="D311" i="14"/>
  <c r="D319" i="14"/>
  <c r="D327" i="14"/>
  <c r="D335" i="14"/>
  <c r="D343" i="14"/>
  <c r="D351" i="14"/>
  <c r="D359" i="14"/>
  <c r="D367" i="14"/>
  <c r="D375" i="14"/>
  <c r="N398" i="14"/>
  <c r="N406" i="14"/>
  <c r="N412" i="14"/>
  <c r="N486" i="14"/>
  <c r="N490" i="14"/>
  <c r="N494" i="14"/>
  <c r="R96" i="14"/>
  <c r="Z96" i="14" s="1"/>
  <c r="N107" i="14"/>
  <c r="N115" i="14"/>
  <c r="N123" i="14"/>
  <c r="N131" i="14"/>
  <c r="N139" i="14"/>
  <c r="N147" i="14"/>
  <c r="N155" i="14"/>
  <c r="N163" i="14"/>
  <c r="N171" i="14"/>
  <c r="N179" i="14"/>
  <c r="N187" i="14"/>
  <c r="N195" i="14"/>
  <c r="N203" i="14"/>
  <c r="N211" i="14"/>
  <c r="N219" i="14"/>
  <c r="N227" i="14"/>
  <c r="N235" i="14"/>
  <c r="N243" i="14"/>
  <c r="D273" i="14"/>
  <c r="D281" i="14"/>
  <c r="D289" i="14"/>
  <c r="D297" i="14"/>
  <c r="D305" i="14"/>
  <c r="D313" i="14"/>
  <c r="D321" i="14"/>
  <c r="D329" i="14"/>
  <c r="D337" i="14"/>
  <c r="D345" i="14"/>
  <c r="D353" i="14"/>
  <c r="D361" i="14"/>
  <c r="D369" i="14"/>
  <c r="D377" i="14"/>
  <c r="N400" i="14"/>
  <c r="N408" i="14"/>
  <c r="D411" i="14"/>
  <c r="D416" i="14"/>
  <c r="N116" i="14"/>
  <c r="N124" i="14"/>
  <c r="N132" i="14"/>
  <c r="N140" i="14"/>
  <c r="N148" i="14"/>
  <c r="N156" i="14"/>
  <c r="N164" i="14"/>
  <c r="N172" i="14"/>
  <c r="N180" i="14"/>
  <c r="N188" i="14"/>
  <c r="N196" i="14"/>
  <c r="N204" i="14"/>
  <c r="N212" i="14"/>
  <c r="N220" i="14"/>
  <c r="N228" i="14"/>
  <c r="N236" i="14"/>
  <c r="N244" i="14"/>
  <c r="D274" i="14"/>
  <c r="D282" i="14"/>
  <c r="D290" i="14"/>
  <c r="D298" i="14"/>
  <c r="D306" i="14"/>
  <c r="D314" i="14"/>
  <c r="D322" i="14"/>
  <c r="D330" i="14"/>
  <c r="D338" i="14"/>
  <c r="D346" i="14"/>
  <c r="D354" i="14"/>
  <c r="D362" i="14"/>
  <c r="D370" i="14"/>
  <c r="D378" i="14"/>
  <c r="N401" i="14"/>
  <c r="N409" i="14"/>
  <c r="N109" i="14"/>
  <c r="N117" i="14"/>
  <c r="N125" i="14"/>
  <c r="N133" i="14"/>
  <c r="N141" i="14"/>
  <c r="N149" i="14"/>
  <c r="N157" i="14"/>
  <c r="N165" i="14"/>
  <c r="N173" i="14"/>
  <c r="N181" i="14"/>
  <c r="N189" i="14"/>
  <c r="N197" i="14"/>
  <c r="N205" i="14"/>
  <c r="N213" i="14"/>
  <c r="N221" i="14"/>
  <c r="N229" i="14"/>
  <c r="N237" i="14"/>
  <c r="N245" i="14"/>
  <c r="D275" i="14"/>
  <c r="D283" i="14"/>
  <c r="D291" i="14"/>
  <c r="D299" i="14"/>
  <c r="D307" i="14"/>
  <c r="D315" i="14"/>
  <c r="D323" i="14"/>
  <c r="D331" i="14"/>
  <c r="D339" i="14"/>
  <c r="D347" i="14"/>
  <c r="D355" i="14"/>
  <c r="D363" i="14"/>
  <c r="D371" i="14"/>
  <c r="D379" i="14"/>
  <c r="N380" i="14"/>
  <c r="N390" i="14"/>
  <c r="N394" i="14"/>
  <c r="N402" i="14"/>
  <c r="N410" i="14"/>
  <c r="P100" i="14"/>
  <c r="X100" i="14" s="1"/>
  <c r="N102" i="14"/>
  <c r="N110" i="14"/>
  <c r="N118" i="14"/>
  <c r="N126" i="14"/>
  <c r="N134" i="14"/>
  <c r="N142" i="14"/>
  <c r="N150" i="14"/>
  <c r="N158" i="14"/>
  <c r="N166" i="14"/>
  <c r="N174" i="14"/>
  <c r="N182" i="14"/>
  <c r="N190" i="14"/>
  <c r="N198" i="14"/>
  <c r="N206" i="14"/>
  <c r="N214" i="14"/>
  <c r="N222" i="14"/>
  <c r="N230" i="14"/>
  <c r="N238" i="14"/>
  <c r="N246" i="14"/>
  <c r="D276" i="14"/>
  <c r="D284" i="14"/>
  <c r="D292" i="14"/>
  <c r="D300" i="14"/>
  <c r="D308" i="14"/>
  <c r="D316" i="14"/>
  <c r="D324" i="14"/>
  <c r="D332" i="14"/>
  <c r="D340" i="14"/>
  <c r="D348" i="14"/>
  <c r="D356" i="14"/>
  <c r="D364" i="14"/>
  <c r="D372" i="14"/>
  <c r="N379" i="14"/>
  <c r="N395" i="14"/>
  <c r="N403" i="14"/>
  <c r="D418" i="14"/>
  <c r="T24" i="14"/>
  <c r="AB24" i="14" s="1"/>
  <c r="Q33" i="14"/>
  <c r="Y33" i="14" s="1"/>
  <c r="S33" i="14"/>
  <c r="AA33" i="14" s="1"/>
  <c r="P33" i="14"/>
  <c r="X33" i="14" s="1"/>
  <c r="O29" i="14"/>
  <c r="W29" i="14" s="1"/>
  <c r="B21" i="14"/>
  <c r="B22" i="14"/>
  <c r="S22" i="14"/>
  <c r="AA22" i="14" s="1"/>
  <c r="P11" i="14"/>
  <c r="X11" i="14" s="1"/>
  <c r="Q11" i="14"/>
  <c r="Y11" i="14" s="1"/>
  <c r="P115" i="38"/>
  <c r="P74" i="38"/>
  <c r="P69" i="38"/>
  <c r="P26" i="38"/>
  <c r="P139" i="38"/>
  <c r="P109" i="38"/>
  <c r="P131" i="38"/>
  <c r="P5" i="38"/>
  <c r="P94" i="38"/>
  <c r="P61" i="38"/>
  <c r="P13" i="38"/>
  <c r="P21" i="38"/>
  <c r="P19" i="38"/>
  <c r="P22" i="38"/>
  <c r="P18" i="38"/>
  <c r="P20" i="38"/>
  <c r="P14" i="38"/>
  <c r="P17" i="38"/>
  <c r="P16" i="38"/>
  <c r="P141" i="38"/>
  <c r="P133" i="38"/>
  <c r="P125" i="38"/>
  <c r="P117" i="38"/>
  <c r="P111" i="38"/>
  <c r="P104" i="38"/>
  <c r="P51" i="38"/>
  <c r="P83" i="38"/>
  <c r="P45" i="38"/>
  <c r="P97" i="38"/>
  <c r="P82" i="38"/>
  <c r="P71" i="38"/>
  <c r="P127" i="38"/>
  <c r="P119" i="38"/>
  <c r="P9" i="38"/>
  <c r="P105" i="38"/>
  <c r="P57" i="38"/>
  <c r="P88" i="38"/>
  <c r="P54" i="38"/>
  <c r="P98" i="38"/>
  <c r="P86" i="38"/>
  <c r="P75" i="38"/>
  <c r="P65" i="38"/>
  <c r="P143" i="38"/>
  <c r="P135" i="38"/>
  <c r="P137" i="38"/>
  <c r="P129" i="38"/>
  <c r="P121" i="38"/>
  <c r="P113" i="38"/>
  <c r="P107" i="38"/>
  <c r="P93" i="38"/>
  <c r="P100" i="38"/>
  <c r="P58" i="38"/>
  <c r="P101" i="38"/>
  <c r="P90" i="38"/>
  <c r="P78" i="38"/>
  <c r="P53" i="38"/>
  <c r="P25" i="38"/>
  <c r="P27" i="38"/>
  <c r="P23" i="38"/>
  <c r="P144" i="38"/>
  <c r="P66" i="38"/>
  <c r="P62" i="38"/>
  <c r="P42" i="38"/>
  <c r="P34" i="38"/>
  <c r="P30" i="38"/>
  <c r="P35" i="38"/>
  <c r="P41" i="38"/>
  <c r="P37" i="38"/>
  <c r="P33" i="38"/>
  <c r="P29" i="38"/>
  <c r="P39" i="38"/>
  <c r="P40" i="38"/>
  <c r="P36" i="38"/>
  <c r="P32" i="38"/>
  <c r="P28" i="38"/>
  <c r="P31" i="38"/>
  <c r="P142" i="38"/>
  <c r="P140" i="38"/>
  <c r="P138" i="38"/>
  <c r="P136" i="38"/>
  <c r="P134" i="38"/>
  <c r="P132" i="38"/>
  <c r="P130" i="38"/>
  <c r="P128" i="38"/>
  <c r="P126" i="38"/>
  <c r="P124" i="38"/>
  <c r="P122" i="38"/>
  <c r="P120" i="38"/>
  <c r="P118" i="38"/>
  <c r="P116" i="38"/>
  <c r="P114" i="38"/>
  <c r="P15" i="38"/>
  <c r="P112" i="38"/>
  <c r="P110" i="38"/>
  <c r="P108" i="38"/>
  <c r="P106" i="38"/>
  <c r="P68" i="38"/>
  <c r="P103" i="38"/>
  <c r="P96" i="38"/>
  <c r="P84" i="38"/>
  <c r="P56" i="38"/>
  <c r="P50" i="38"/>
  <c r="P38" i="38"/>
  <c r="P92" i="38"/>
  <c r="P87" i="38"/>
  <c r="P76" i="38"/>
  <c r="P73" i="38"/>
  <c r="P55" i="38"/>
  <c r="P49" i="38"/>
  <c r="P102" i="38"/>
  <c r="P99" i="38"/>
  <c r="P95" i="38"/>
  <c r="P91" i="38"/>
  <c r="P89" i="38"/>
  <c r="P85" i="38"/>
  <c r="P81" i="38"/>
  <c r="P79" i="38"/>
  <c r="P77" i="38"/>
  <c r="P72" i="38"/>
  <c r="P70" i="38"/>
  <c r="P67" i="38"/>
  <c r="P63" i="38"/>
  <c r="P59" i="38"/>
  <c r="P64" i="38"/>
  <c r="P60" i="38"/>
  <c r="P44" i="38"/>
  <c r="B88" i="14"/>
  <c r="Q99" i="14"/>
  <c r="Y99" i="14" s="1"/>
  <c r="T92" i="14"/>
  <c r="AB92" i="14" s="1"/>
  <c r="N90" i="14"/>
  <c r="Q89" i="14"/>
  <c r="Y89" i="14" s="1"/>
  <c r="N89" i="14"/>
  <c r="R99" i="14"/>
  <c r="Z99" i="14" s="1"/>
  <c r="N83" i="14"/>
  <c r="N92" i="14"/>
  <c r="N94" i="14"/>
  <c r="N98" i="14"/>
  <c r="P92" i="14"/>
  <c r="X92" i="14" s="1"/>
  <c r="B37" i="14"/>
  <c r="S97" i="14"/>
  <c r="AA97" i="14" s="1"/>
  <c r="S99" i="14"/>
  <c r="AA99" i="14" s="1"/>
  <c r="P99" i="14"/>
  <c r="X99" i="14" s="1"/>
  <c r="T99" i="14"/>
  <c r="AB99" i="14" s="1"/>
  <c r="N101" i="14"/>
  <c r="T97" i="14"/>
  <c r="AB97" i="14" s="1"/>
  <c r="P96" i="14"/>
  <c r="X96" i="14" s="1"/>
  <c r="T96" i="14"/>
  <c r="AB96" i="14" s="1"/>
  <c r="T98" i="14"/>
  <c r="AB98" i="14" s="1"/>
  <c r="R92" i="14"/>
  <c r="Z92" i="14" s="1"/>
  <c r="N100" i="14"/>
  <c r="R93" i="14"/>
  <c r="Z93" i="14" s="1"/>
  <c r="R95" i="14"/>
  <c r="Z95" i="14" s="1"/>
  <c r="Q96" i="14"/>
  <c r="Y96" i="14" s="1"/>
  <c r="N99" i="14"/>
  <c r="Q93" i="14"/>
  <c r="Y93" i="14" s="1"/>
  <c r="Q97" i="14"/>
  <c r="Y97" i="14" s="1"/>
  <c r="O94" i="14"/>
  <c r="W94" i="14" s="1"/>
  <c r="O97" i="14"/>
  <c r="W97" i="14" s="1"/>
  <c r="O96" i="14"/>
  <c r="W96" i="14" s="1"/>
  <c r="S96" i="14"/>
  <c r="AA96" i="14" s="1"/>
  <c r="P93" i="14"/>
  <c r="X93" i="14" s="1"/>
  <c r="S94" i="14"/>
  <c r="AA94" i="14" s="1"/>
  <c r="S93" i="14"/>
  <c r="AA93" i="14" s="1"/>
  <c r="S95" i="14"/>
  <c r="AA95" i="14" s="1"/>
  <c r="T82" i="14"/>
  <c r="AB82" i="14" s="1"/>
  <c r="T94" i="14"/>
  <c r="AB94" i="14" s="1"/>
  <c r="P95" i="14"/>
  <c r="X95" i="14" s="1"/>
  <c r="T95" i="14"/>
  <c r="AB95" i="14" s="1"/>
  <c r="N97" i="14"/>
  <c r="R90" i="14"/>
  <c r="Z90" i="14" s="1"/>
  <c r="P94" i="14"/>
  <c r="X94" i="14" s="1"/>
  <c r="N96" i="14"/>
  <c r="Q94" i="14"/>
  <c r="Y94" i="14" s="1"/>
  <c r="Q91" i="14"/>
  <c r="Y91" i="14" s="1"/>
  <c r="Q92" i="14"/>
  <c r="Y92" i="14" s="1"/>
  <c r="N95" i="14"/>
  <c r="R91" i="14"/>
  <c r="Z91" i="14" s="1"/>
  <c r="O93" i="14"/>
  <c r="W93" i="14" s="1"/>
  <c r="O92" i="14"/>
  <c r="W92" i="14" s="1"/>
  <c r="S92" i="14"/>
  <c r="AA92" i="14" s="1"/>
  <c r="P88" i="14"/>
  <c r="X88" i="14" s="1"/>
  <c r="T89" i="14"/>
  <c r="AB89" i="14" s="1"/>
  <c r="P84" i="14"/>
  <c r="X84" i="14" s="1"/>
  <c r="T85" i="14"/>
  <c r="AB85" i="14" s="1"/>
  <c r="O90" i="14"/>
  <c r="W90" i="14" s="1"/>
  <c r="T91" i="14"/>
  <c r="AB91" i="14" s="1"/>
  <c r="S90" i="14"/>
  <c r="AA90" i="14" s="1"/>
  <c r="P83" i="14"/>
  <c r="X83" i="14" s="1"/>
  <c r="T83" i="14"/>
  <c r="AB83" i="14" s="1"/>
  <c r="P85" i="14"/>
  <c r="X85" i="14" s="1"/>
  <c r="P86" i="14"/>
  <c r="X86" i="14" s="1"/>
  <c r="P90" i="14"/>
  <c r="X90" i="14" s="1"/>
  <c r="P91" i="14"/>
  <c r="X91" i="14" s="1"/>
  <c r="Q90" i="14"/>
  <c r="Y90" i="14" s="1"/>
  <c r="P89" i="14"/>
  <c r="X89" i="14" s="1"/>
  <c r="T88" i="14"/>
  <c r="AB88" i="14" s="1"/>
  <c r="N93" i="14"/>
  <c r="Q87" i="14"/>
  <c r="Y87" i="14" s="1"/>
  <c r="T90" i="14"/>
  <c r="AB90" i="14" s="1"/>
  <c r="O91" i="14"/>
  <c r="W91" i="14" s="1"/>
  <c r="S91" i="14"/>
  <c r="AA91" i="14" s="1"/>
  <c r="S86" i="14"/>
  <c r="AA86" i="14" s="1"/>
  <c r="O87" i="14"/>
  <c r="W87" i="14" s="1"/>
  <c r="P87" i="14"/>
  <c r="X87" i="14" s="1"/>
  <c r="S89" i="14"/>
  <c r="AA89" i="14" s="1"/>
  <c r="Q88" i="14"/>
  <c r="Y88" i="14" s="1"/>
  <c r="N91" i="14"/>
  <c r="R89" i="14"/>
  <c r="Z89" i="14" s="1"/>
  <c r="R87" i="14"/>
  <c r="Z87" i="14" s="1"/>
  <c r="O89" i="14"/>
  <c r="W89" i="14" s="1"/>
  <c r="S85" i="14"/>
  <c r="AA85" i="14" s="1"/>
  <c r="P82" i="14"/>
  <c r="X82" i="14" s="1"/>
  <c r="T81" i="14"/>
  <c r="AB81" i="14" s="1"/>
  <c r="O86" i="14"/>
  <c r="W86" i="14" s="1"/>
  <c r="R82" i="14"/>
  <c r="Z82" i="14" s="1"/>
  <c r="S87" i="14"/>
  <c r="AA87" i="14" s="1"/>
  <c r="R88" i="14"/>
  <c r="Z88" i="14" s="1"/>
  <c r="O85" i="14"/>
  <c r="W85" i="14" s="1"/>
  <c r="O88" i="14"/>
  <c r="W88" i="14" s="1"/>
  <c r="S88" i="14"/>
  <c r="AA88" i="14" s="1"/>
  <c r="S82" i="14"/>
  <c r="AA82" i="14" s="1"/>
  <c r="O84" i="14"/>
  <c r="W84" i="14" s="1"/>
  <c r="S84" i="14"/>
  <c r="AA84" i="14" s="1"/>
  <c r="N88" i="14"/>
  <c r="Q86" i="14"/>
  <c r="Y86" i="14" s="1"/>
  <c r="R81" i="14"/>
  <c r="Z81" i="14" s="1"/>
  <c r="N87" i="14"/>
  <c r="Q85" i="14"/>
  <c r="Y85" i="14" s="1"/>
  <c r="R83" i="14"/>
  <c r="Z83" i="14" s="1"/>
  <c r="Q84" i="14"/>
  <c r="Y84" i="14" s="1"/>
  <c r="R86" i="14"/>
  <c r="Z86" i="14" s="1"/>
  <c r="R84" i="14"/>
  <c r="Z84" i="14" s="1"/>
  <c r="R85" i="14"/>
  <c r="Z85" i="14" s="1"/>
  <c r="N86" i="14"/>
  <c r="O75" i="14"/>
  <c r="W75" i="14" s="1"/>
  <c r="P80" i="14"/>
  <c r="X80" i="14" s="1"/>
  <c r="S83" i="14"/>
  <c r="AA83" i="14" s="1"/>
  <c r="N85" i="14"/>
  <c r="Q80" i="14"/>
  <c r="Y80" i="14" s="1"/>
  <c r="O83" i="14"/>
  <c r="W83" i="14" s="1"/>
  <c r="Q83" i="14"/>
  <c r="Y83" i="14" s="1"/>
  <c r="T80" i="14"/>
  <c r="AB80" i="14" s="1"/>
  <c r="P79" i="14"/>
  <c r="X79" i="14" s="1"/>
  <c r="T79" i="14"/>
  <c r="AB79" i="14" s="1"/>
  <c r="P81" i="14"/>
  <c r="X81" i="14" s="1"/>
  <c r="N84" i="14"/>
  <c r="Q82" i="14"/>
  <c r="Y82" i="14" s="1"/>
  <c r="Q81" i="14"/>
  <c r="Y81" i="14" s="1"/>
  <c r="O79" i="14"/>
  <c r="W79" i="14" s="1"/>
  <c r="O80" i="14"/>
  <c r="W80" i="14" s="1"/>
  <c r="S80" i="14"/>
  <c r="AA80" i="14" s="1"/>
  <c r="S81" i="14"/>
  <c r="AA81" i="14" s="1"/>
  <c r="O77" i="14"/>
  <c r="W77" i="14" s="1"/>
  <c r="O81" i="14"/>
  <c r="W81" i="14" s="1"/>
  <c r="O82" i="14"/>
  <c r="W82" i="14" s="1"/>
  <c r="S75" i="14"/>
  <c r="AA75" i="14" s="1"/>
  <c r="R79" i="14"/>
  <c r="Z79" i="14" s="1"/>
  <c r="R78" i="14"/>
  <c r="Z78" i="14" s="1"/>
  <c r="R80" i="14"/>
  <c r="Z80" i="14" s="1"/>
  <c r="N82" i="14"/>
  <c r="S77" i="14"/>
  <c r="AA77" i="14" s="1"/>
  <c r="S79" i="14"/>
  <c r="AA79" i="14" s="1"/>
  <c r="N81" i="14"/>
  <c r="Q79" i="14"/>
  <c r="Y79" i="14" s="1"/>
  <c r="Q74" i="14"/>
  <c r="Y74" i="14" s="1"/>
  <c r="Q73" i="14"/>
  <c r="Y73" i="14" s="1"/>
  <c r="T78" i="14"/>
  <c r="AB78" i="14" s="1"/>
  <c r="P78" i="14"/>
  <c r="X78" i="14" s="1"/>
  <c r="T70" i="14"/>
  <c r="AB70" i="14" s="1"/>
  <c r="P71" i="14"/>
  <c r="X71" i="14" s="1"/>
  <c r="N80" i="14"/>
  <c r="Q78" i="14"/>
  <c r="Y78" i="14" s="1"/>
  <c r="Q71" i="14"/>
  <c r="Y71" i="14" s="1"/>
  <c r="Q77" i="14"/>
  <c r="Y77" i="14" s="1"/>
  <c r="Q72" i="14"/>
  <c r="Y72" i="14" s="1"/>
  <c r="Q75" i="14"/>
  <c r="Y75" i="14" s="1"/>
  <c r="R76" i="14"/>
  <c r="Z76" i="14" s="1"/>
  <c r="R77" i="14"/>
  <c r="Z77" i="14" s="1"/>
  <c r="O73" i="14"/>
  <c r="W73" i="14" s="1"/>
  <c r="S74" i="14"/>
  <c r="AA74" i="14" s="1"/>
  <c r="S76" i="14"/>
  <c r="AA76" i="14" s="1"/>
  <c r="P67" i="14"/>
  <c r="X67" i="14" s="1"/>
  <c r="T61" i="14"/>
  <c r="AB61" i="14" s="1"/>
  <c r="P77" i="14"/>
  <c r="X77" i="14" s="1"/>
  <c r="P62" i="14"/>
  <c r="X62" i="14" s="1"/>
  <c r="Q76" i="14"/>
  <c r="Y76" i="14" s="1"/>
  <c r="P73" i="14"/>
  <c r="X73" i="14" s="1"/>
  <c r="T72" i="14"/>
  <c r="AB72" i="14" s="1"/>
  <c r="T77" i="14"/>
  <c r="AB77" i="14" s="1"/>
  <c r="T74" i="14"/>
  <c r="AB74" i="14" s="1"/>
  <c r="T76" i="14"/>
  <c r="AB76" i="14" s="1"/>
  <c r="T67" i="14"/>
  <c r="AB67" i="14" s="1"/>
  <c r="P64" i="14"/>
  <c r="X64" i="14" s="1"/>
  <c r="T66" i="14"/>
  <c r="AB66" i="14" s="1"/>
  <c r="P68" i="14"/>
  <c r="X68" i="14" s="1"/>
  <c r="T73" i="14"/>
  <c r="AB73" i="14" s="1"/>
  <c r="P74" i="14"/>
  <c r="X74" i="14" s="1"/>
  <c r="P75" i="14"/>
  <c r="X75" i="14" s="1"/>
  <c r="T75" i="14"/>
  <c r="AB75" i="14" s="1"/>
  <c r="P76" i="14"/>
  <c r="X76" i="14" s="1"/>
  <c r="T68" i="14"/>
  <c r="AB68" i="14" s="1"/>
  <c r="P69" i="14"/>
  <c r="X69" i="14" s="1"/>
  <c r="T71" i="14"/>
  <c r="AB71" i="14" s="1"/>
  <c r="P72" i="14"/>
  <c r="X72" i="14" s="1"/>
  <c r="T69" i="14"/>
  <c r="AB69" i="14" s="1"/>
  <c r="P70" i="14"/>
  <c r="X70" i="14" s="1"/>
  <c r="R70" i="14"/>
  <c r="Z70" i="14" s="1"/>
  <c r="R74" i="14"/>
  <c r="Z74" i="14" s="1"/>
  <c r="R75" i="14"/>
  <c r="Z75" i="14" s="1"/>
  <c r="R72" i="14"/>
  <c r="Z72" i="14" s="1"/>
  <c r="Q67" i="14"/>
  <c r="Y67" i="14" s="1"/>
  <c r="Q70" i="14"/>
  <c r="Y70" i="14" s="1"/>
  <c r="Q68" i="14"/>
  <c r="Y68" i="14" s="1"/>
  <c r="R73" i="14"/>
  <c r="Z73" i="14" s="1"/>
  <c r="R68" i="14"/>
  <c r="Z68" i="14" s="1"/>
  <c r="R71" i="14"/>
  <c r="Z71" i="14" s="1"/>
  <c r="S73" i="14"/>
  <c r="AA73" i="14" s="1"/>
  <c r="R67" i="14"/>
  <c r="Z67" i="14" s="1"/>
  <c r="O69" i="14"/>
  <c r="W69" i="14" s="1"/>
  <c r="S70" i="14"/>
  <c r="AA70" i="14" s="1"/>
  <c r="Q69" i="14"/>
  <c r="Y69" i="14" s="1"/>
  <c r="O71" i="14"/>
  <c r="W71" i="14" s="1"/>
  <c r="S72" i="14"/>
  <c r="AA72" i="14" s="1"/>
  <c r="S71" i="14"/>
  <c r="AA71" i="14" s="1"/>
  <c r="Q64" i="14"/>
  <c r="Y64" i="14" s="1"/>
  <c r="R69" i="14"/>
  <c r="Z69" i="14" s="1"/>
  <c r="O67" i="14"/>
  <c r="W67" i="14" s="1"/>
  <c r="S68" i="14"/>
  <c r="AA68" i="14" s="1"/>
  <c r="R64" i="14"/>
  <c r="Z64" i="14" s="1"/>
  <c r="O61" i="14"/>
  <c r="W61" i="14" s="1"/>
  <c r="S62" i="14"/>
  <c r="AA62" i="14" s="1"/>
  <c r="O65" i="14"/>
  <c r="W65" i="14" s="1"/>
  <c r="S69" i="14"/>
  <c r="AA69" i="14" s="1"/>
  <c r="S66" i="14"/>
  <c r="AA66" i="14" s="1"/>
  <c r="Q66" i="14"/>
  <c r="Y66" i="14" s="1"/>
  <c r="Q65" i="14"/>
  <c r="Y65" i="14" s="1"/>
  <c r="S67" i="14"/>
  <c r="AA67" i="14" s="1"/>
  <c r="Q59" i="14"/>
  <c r="Y59" i="14" s="1"/>
  <c r="Q62" i="14"/>
  <c r="Y62" i="14" s="1"/>
  <c r="T63" i="14"/>
  <c r="AB63" i="14" s="1"/>
  <c r="P57" i="14"/>
  <c r="X57" i="14" s="1"/>
  <c r="T62" i="14"/>
  <c r="AB62" i="14" s="1"/>
  <c r="Q63" i="14"/>
  <c r="Y63" i="14" s="1"/>
  <c r="P66" i="14"/>
  <c r="X66" i="14" s="1"/>
  <c r="T59" i="14"/>
  <c r="AB59" i="14" s="1"/>
  <c r="Q61" i="14"/>
  <c r="Y61" i="14" s="1"/>
  <c r="R66" i="14"/>
  <c r="Z66" i="14" s="1"/>
  <c r="R62" i="14"/>
  <c r="Z62" i="14" s="1"/>
  <c r="R65" i="14"/>
  <c r="Z65" i="14" s="1"/>
  <c r="T53" i="14"/>
  <c r="AB53" i="14" s="1"/>
  <c r="P51" i="14"/>
  <c r="X51" i="14" s="1"/>
  <c r="T52" i="14"/>
  <c r="AB52" i="14" s="1"/>
  <c r="P54" i="14"/>
  <c r="X54" i="14" s="1"/>
  <c r="P60" i="14"/>
  <c r="X60" i="14" s="1"/>
  <c r="O59" i="14"/>
  <c r="W59" i="14" s="1"/>
  <c r="S60" i="14"/>
  <c r="AA60" i="14" s="1"/>
  <c r="O63" i="14"/>
  <c r="W63" i="14" s="1"/>
  <c r="S64" i="14"/>
  <c r="AA64" i="14" s="1"/>
  <c r="S65" i="14"/>
  <c r="AA65" i="14" s="1"/>
  <c r="P58" i="14"/>
  <c r="X58" i="14" s="1"/>
  <c r="T60" i="14"/>
  <c r="AB60" i="14" s="1"/>
  <c r="R63" i="14"/>
  <c r="Z63" i="14" s="1"/>
  <c r="P65" i="14"/>
  <c r="X65" i="14" s="1"/>
  <c r="T65" i="14"/>
  <c r="AB65" i="14" s="1"/>
  <c r="T54" i="14"/>
  <c r="AB54" i="14" s="1"/>
  <c r="P55" i="14"/>
  <c r="X55" i="14" s="1"/>
  <c r="P63" i="14"/>
  <c r="X63" i="14" s="1"/>
  <c r="P43" i="14"/>
  <c r="X43" i="14" s="1"/>
  <c r="T47" i="14"/>
  <c r="AB47" i="14" s="1"/>
  <c r="P61" i="14"/>
  <c r="X61" i="14" s="1"/>
  <c r="T51" i="14"/>
  <c r="AB51" i="14" s="1"/>
  <c r="P47" i="14"/>
  <c r="X47" i="14" s="1"/>
  <c r="T50" i="14"/>
  <c r="AB50" i="14" s="1"/>
  <c r="P52" i="14"/>
  <c r="X52" i="14" s="1"/>
  <c r="T58" i="14"/>
  <c r="AB58" i="14" s="1"/>
  <c r="P59" i="14"/>
  <c r="X59" i="14" s="1"/>
  <c r="T64" i="14"/>
  <c r="AB64" i="14" s="1"/>
  <c r="T49" i="14"/>
  <c r="AB49" i="14" s="1"/>
  <c r="T46" i="14"/>
  <c r="AB46" i="14" s="1"/>
  <c r="P48" i="14"/>
  <c r="X48" i="14" s="1"/>
  <c r="T55" i="14"/>
  <c r="AB55" i="14" s="1"/>
  <c r="P56" i="14"/>
  <c r="X56" i="14" s="1"/>
  <c r="T57" i="14"/>
  <c r="AB57" i="14" s="1"/>
  <c r="O57" i="14"/>
  <c r="W57" i="14" s="1"/>
  <c r="S58" i="14"/>
  <c r="AA58" i="14" s="1"/>
  <c r="R57" i="14"/>
  <c r="Z57" i="14" s="1"/>
  <c r="R58" i="14"/>
  <c r="Z58" i="14" s="1"/>
  <c r="S63" i="14"/>
  <c r="AA63" i="14" s="1"/>
  <c r="P49" i="14"/>
  <c r="X49" i="14" s="1"/>
  <c r="P53" i="14"/>
  <c r="X53" i="14" s="1"/>
  <c r="T56" i="14"/>
  <c r="AB56" i="14" s="1"/>
  <c r="Q57" i="14"/>
  <c r="Y57" i="14" s="1"/>
  <c r="Q60" i="14"/>
  <c r="Y60" i="14" s="1"/>
  <c r="S61" i="14"/>
  <c r="AA61" i="14" s="1"/>
  <c r="Q55" i="14"/>
  <c r="Y55" i="14" s="1"/>
  <c r="Q58" i="14"/>
  <c r="Y58" i="14" s="1"/>
  <c r="R59" i="14"/>
  <c r="Z59" i="14" s="1"/>
  <c r="S59" i="14"/>
  <c r="AA59" i="14" s="1"/>
  <c r="Q53" i="14"/>
  <c r="Y53" i="14" s="1"/>
  <c r="Q56" i="14"/>
  <c r="Y56" i="14" s="1"/>
  <c r="O55" i="14"/>
  <c r="W55" i="14" s="1"/>
  <c r="S56" i="14"/>
  <c r="AA56" i="14" s="1"/>
  <c r="Q54" i="14"/>
  <c r="Y54" i="14" s="1"/>
  <c r="S54" i="14"/>
  <c r="AA54" i="14" s="1"/>
  <c r="S57" i="14"/>
  <c r="AA57" i="14" s="1"/>
  <c r="O47" i="14"/>
  <c r="W47" i="14" s="1"/>
  <c r="S48" i="14"/>
  <c r="AA48" i="14" s="1"/>
  <c r="R52" i="14"/>
  <c r="Z52" i="14" s="1"/>
  <c r="R56" i="14"/>
  <c r="Z56" i="14" s="1"/>
  <c r="R50" i="14"/>
  <c r="Z50" i="14" s="1"/>
  <c r="R53" i="14"/>
  <c r="Z53" i="14" s="1"/>
  <c r="S55" i="14"/>
  <c r="AA55" i="14" s="1"/>
  <c r="S44" i="14"/>
  <c r="AA44" i="14" s="1"/>
  <c r="O49" i="14"/>
  <c r="W49" i="14" s="1"/>
  <c r="S50" i="14"/>
  <c r="AA50" i="14" s="1"/>
  <c r="O51" i="14"/>
  <c r="W51" i="14" s="1"/>
  <c r="S52" i="14"/>
  <c r="AA52" i="14" s="1"/>
  <c r="R51" i="14"/>
  <c r="Z51" i="14" s="1"/>
  <c r="R54" i="14"/>
  <c r="Z54" i="14" s="1"/>
  <c r="R55" i="14"/>
  <c r="Z55" i="14" s="1"/>
  <c r="S49" i="14"/>
  <c r="AA49" i="14" s="1"/>
  <c r="S53" i="14"/>
  <c r="AA53" i="14" s="1"/>
  <c r="P45" i="14"/>
  <c r="X45" i="14" s="1"/>
  <c r="T48" i="14"/>
  <c r="AB48" i="14" s="1"/>
  <c r="P50" i="14"/>
  <c r="X50" i="14" s="1"/>
  <c r="Q52" i="14"/>
  <c r="Y52" i="14" s="1"/>
  <c r="R46" i="14"/>
  <c r="Z46" i="14" s="1"/>
  <c r="S51" i="14"/>
  <c r="AA51" i="14" s="1"/>
  <c r="Q51" i="14"/>
  <c r="Y51" i="14" s="1"/>
  <c r="T45" i="14"/>
  <c r="AB45" i="14" s="1"/>
  <c r="P39" i="14"/>
  <c r="X39" i="14" s="1"/>
  <c r="T43" i="14"/>
  <c r="AB43" i="14" s="1"/>
  <c r="P46" i="14"/>
  <c r="X46" i="14" s="1"/>
  <c r="R49" i="14"/>
  <c r="Z49" i="14" s="1"/>
  <c r="Q50" i="14"/>
  <c r="Y50" i="14" s="1"/>
  <c r="Q47" i="14"/>
  <c r="Y47" i="14" s="1"/>
  <c r="Q49" i="14"/>
  <c r="Y49" i="14" s="1"/>
  <c r="O43" i="14"/>
  <c r="W43" i="14" s="1"/>
  <c r="O45" i="14"/>
  <c r="W45" i="14" s="1"/>
  <c r="S46" i="14"/>
  <c r="AA46" i="14" s="1"/>
  <c r="Q48" i="14"/>
  <c r="Y48" i="14" s="1"/>
  <c r="R48" i="14"/>
  <c r="Z48" i="14" s="1"/>
  <c r="R47" i="14"/>
  <c r="Z47" i="14" s="1"/>
  <c r="S47" i="14"/>
  <c r="AA47" i="14" s="1"/>
  <c r="S43" i="14"/>
  <c r="AA43" i="14" s="1"/>
  <c r="Q43" i="14"/>
  <c r="Y43" i="14" s="1"/>
  <c r="R44" i="14"/>
  <c r="Z44" i="14" s="1"/>
  <c r="Q46" i="14"/>
  <c r="Y46" i="14" s="1"/>
  <c r="R40" i="14"/>
  <c r="Z40" i="14" s="1"/>
  <c r="Q44" i="14"/>
  <c r="Y44" i="14" s="1"/>
  <c r="S45" i="14"/>
  <c r="AA45" i="14" s="1"/>
  <c r="Q45" i="14"/>
  <c r="Y45" i="14" s="1"/>
  <c r="R45" i="14"/>
  <c r="Z45" i="14" s="1"/>
  <c r="T39" i="14"/>
  <c r="AB39" i="14" s="1"/>
  <c r="P35" i="14"/>
  <c r="X35" i="14" s="1"/>
  <c r="T38" i="14"/>
  <c r="AB38" i="14" s="1"/>
  <c r="P40" i="14"/>
  <c r="X40" i="14" s="1"/>
  <c r="T41" i="14"/>
  <c r="AB41" i="14" s="1"/>
  <c r="T32" i="14"/>
  <c r="AB32" i="14" s="1"/>
  <c r="P42" i="14"/>
  <c r="X42" i="14" s="1"/>
  <c r="T44" i="14"/>
  <c r="AB44" i="14" s="1"/>
  <c r="T35" i="14"/>
  <c r="AB35" i="14" s="1"/>
  <c r="T34" i="14"/>
  <c r="AB34" i="14" s="1"/>
  <c r="P36" i="14"/>
  <c r="X36" i="14" s="1"/>
  <c r="P41" i="14"/>
  <c r="X41" i="14" s="1"/>
  <c r="T42" i="14"/>
  <c r="AB42" i="14" s="1"/>
  <c r="P44" i="14"/>
  <c r="X44" i="14" s="1"/>
  <c r="O41" i="14"/>
  <c r="W41" i="14" s="1"/>
  <c r="S42" i="14"/>
  <c r="AA42" i="14" s="1"/>
  <c r="R43" i="14"/>
  <c r="Z43" i="14" s="1"/>
  <c r="R42" i="14"/>
  <c r="Z42" i="14" s="1"/>
  <c r="R36" i="14"/>
  <c r="Z36" i="14" s="1"/>
  <c r="R41" i="14"/>
  <c r="Z41" i="14" s="1"/>
  <c r="T40" i="14"/>
  <c r="AB40" i="14" s="1"/>
  <c r="Q42" i="14"/>
  <c r="Y42" i="14" s="1"/>
  <c r="S41" i="14"/>
  <c r="AA41" i="14" s="1"/>
  <c r="Q41" i="14"/>
  <c r="Y41" i="14" s="1"/>
  <c r="Q40" i="14"/>
  <c r="Y40" i="14" s="1"/>
  <c r="Q38" i="14"/>
  <c r="Y38" i="14" s="1"/>
  <c r="O35" i="14"/>
  <c r="W35" i="14" s="1"/>
  <c r="S36" i="14"/>
  <c r="AA36" i="14" s="1"/>
  <c r="Q37" i="14"/>
  <c r="Y37" i="14" s="1"/>
  <c r="O39" i="14"/>
  <c r="W39" i="14" s="1"/>
  <c r="S40" i="14"/>
  <c r="AA40" i="14" s="1"/>
  <c r="R37" i="14"/>
  <c r="Z37" i="14" s="1"/>
  <c r="O37" i="14"/>
  <c r="W37" i="14" s="1"/>
  <c r="S38" i="14"/>
  <c r="AA38" i="14" s="1"/>
  <c r="S39" i="14"/>
  <c r="AA39" i="14" s="1"/>
  <c r="R38" i="14"/>
  <c r="Z38" i="14" s="1"/>
  <c r="R34" i="14"/>
  <c r="Z34" i="14" s="1"/>
  <c r="R39" i="14"/>
  <c r="Z39" i="14" s="1"/>
  <c r="T31" i="14"/>
  <c r="AB31" i="14" s="1"/>
  <c r="T30" i="14"/>
  <c r="AB30" i="14" s="1"/>
  <c r="P32" i="14"/>
  <c r="X32" i="14" s="1"/>
  <c r="T33" i="14"/>
  <c r="AB33" i="14" s="1"/>
  <c r="P34" i="14"/>
  <c r="X34" i="14" s="1"/>
  <c r="P38" i="14"/>
  <c r="X38" i="14" s="1"/>
  <c r="T37" i="14"/>
  <c r="AB37" i="14" s="1"/>
  <c r="Q39" i="14"/>
  <c r="Y39" i="14" s="1"/>
  <c r="Q35" i="14"/>
  <c r="Y35" i="14" s="1"/>
  <c r="Q36" i="14"/>
  <c r="Y36" i="14" s="1"/>
  <c r="S37" i="14"/>
  <c r="AA37" i="14" s="1"/>
  <c r="O33" i="14"/>
  <c r="W33" i="14" s="1"/>
  <c r="S34" i="14"/>
  <c r="AA34" i="14" s="1"/>
  <c r="T36" i="14"/>
  <c r="AB36" i="14" s="1"/>
  <c r="P37" i="14"/>
  <c r="X37" i="14" s="1"/>
  <c r="P31" i="14"/>
  <c r="X31" i="14" s="1"/>
  <c r="O27" i="14"/>
  <c r="W27" i="14" s="1"/>
  <c r="S28" i="14"/>
  <c r="AA28" i="14" s="1"/>
  <c r="Q34" i="14"/>
  <c r="Y34" i="14" s="1"/>
  <c r="R35" i="14"/>
  <c r="Z35" i="14" s="1"/>
  <c r="O25" i="14"/>
  <c r="W25" i="14" s="1"/>
  <c r="S26" i="14"/>
  <c r="AA26" i="14" s="1"/>
  <c r="O31" i="14"/>
  <c r="W31" i="14" s="1"/>
  <c r="S32" i="14"/>
  <c r="AA32" i="14" s="1"/>
  <c r="S35" i="14"/>
  <c r="AA35" i="14" s="1"/>
  <c r="S30" i="14"/>
  <c r="AA30" i="14" s="1"/>
  <c r="R32" i="14"/>
  <c r="Z32" i="14" s="1"/>
  <c r="R33" i="14"/>
  <c r="Z33" i="14" s="1"/>
  <c r="R31" i="14"/>
  <c r="Z31" i="14" s="1"/>
  <c r="R29" i="14"/>
  <c r="Z29" i="14" s="1"/>
  <c r="Q32" i="14"/>
  <c r="Y32" i="14" s="1"/>
  <c r="R28" i="14"/>
  <c r="Z28" i="14" s="1"/>
  <c r="R30" i="14"/>
  <c r="Z30" i="14" s="1"/>
  <c r="Q30" i="14"/>
  <c r="Y30" i="14" s="1"/>
  <c r="S31" i="14"/>
  <c r="AA31" i="14" s="1"/>
  <c r="S27" i="14"/>
  <c r="AA27" i="14" s="1"/>
  <c r="Q31" i="14"/>
  <c r="Y31" i="14" s="1"/>
  <c r="Q29" i="14"/>
  <c r="Y29" i="14" s="1"/>
  <c r="R27" i="14"/>
  <c r="Z27" i="14" s="1"/>
  <c r="P30" i="14"/>
  <c r="X30" i="14" s="1"/>
  <c r="T29" i="14"/>
  <c r="AB29" i="14" s="1"/>
  <c r="Q26" i="14"/>
  <c r="Y26" i="14" s="1"/>
  <c r="S29" i="14"/>
  <c r="AA29" i="14" s="1"/>
  <c r="R25" i="14"/>
  <c r="Z25" i="14" s="1"/>
  <c r="P29" i="14"/>
  <c r="X29" i="14" s="1"/>
  <c r="T28" i="14"/>
  <c r="AB28" i="14" s="1"/>
  <c r="P28" i="14"/>
  <c r="X28" i="14" s="1"/>
  <c r="T23" i="14"/>
  <c r="AB23" i="14" s="1"/>
  <c r="R26" i="14"/>
  <c r="Z26" i="14" s="1"/>
  <c r="Q28" i="14"/>
  <c r="Y28" i="14" s="1"/>
  <c r="P20" i="14"/>
  <c r="X20" i="14" s="1"/>
  <c r="T21" i="14"/>
  <c r="AB21" i="14" s="1"/>
  <c r="P24" i="14"/>
  <c r="X24" i="14" s="1"/>
  <c r="P27" i="14"/>
  <c r="X27" i="14" s="1"/>
  <c r="P21" i="14"/>
  <c r="X21" i="14" s="1"/>
  <c r="T25" i="14"/>
  <c r="AB25" i="14" s="1"/>
  <c r="Q27" i="14"/>
  <c r="Y27" i="14" s="1"/>
  <c r="P25" i="14"/>
  <c r="X25" i="14" s="1"/>
  <c r="P23" i="14"/>
  <c r="X23" i="14" s="1"/>
  <c r="P26" i="14"/>
  <c r="X26" i="14" s="1"/>
  <c r="T17" i="14"/>
  <c r="AB17" i="14" s="1"/>
  <c r="P18" i="14"/>
  <c r="X18" i="14" s="1"/>
  <c r="T26" i="14"/>
  <c r="AB26" i="14" s="1"/>
  <c r="R24" i="14"/>
  <c r="Z24" i="14" s="1"/>
  <c r="O23" i="14"/>
  <c r="W23" i="14" s="1"/>
  <c r="O21" i="14"/>
  <c r="W21" i="14" s="1"/>
  <c r="S25" i="14"/>
  <c r="AA25" i="14" s="1"/>
  <c r="Q24" i="14"/>
  <c r="Y24" i="14" s="1"/>
  <c r="Q23" i="14"/>
  <c r="Y23" i="14" s="1"/>
  <c r="Q22" i="14"/>
  <c r="Y22" i="14" s="1"/>
  <c r="Q25" i="14"/>
  <c r="Y25" i="14" s="1"/>
  <c r="Q18" i="14"/>
  <c r="Y18" i="14" s="1"/>
  <c r="R23" i="14"/>
  <c r="Z23" i="14" s="1"/>
  <c r="R20" i="14"/>
  <c r="Z20" i="14" s="1"/>
  <c r="O17" i="14"/>
  <c r="W17" i="14" s="1"/>
  <c r="S18" i="14"/>
  <c r="AA18" i="14" s="1"/>
  <c r="S23" i="14"/>
  <c r="AA23" i="14" s="1"/>
  <c r="Q17" i="14"/>
  <c r="Y17" i="14" s="1"/>
  <c r="Q20" i="14"/>
  <c r="Y20" i="14" s="1"/>
  <c r="R17" i="14"/>
  <c r="Z17" i="14" s="1"/>
  <c r="R21" i="14"/>
  <c r="Z21" i="14" s="1"/>
  <c r="Q13" i="14"/>
  <c r="Y13" i="14" s="1"/>
  <c r="T19" i="14"/>
  <c r="AB19" i="14" s="1"/>
  <c r="P13" i="14"/>
  <c r="X13" i="14" s="1"/>
  <c r="T18" i="14"/>
  <c r="AB18" i="14" s="1"/>
  <c r="Q19" i="14"/>
  <c r="Y19" i="14" s="1"/>
  <c r="P22" i="14"/>
  <c r="X22" i="14" s="1"/>
  <c r="O19" i="14"/>
  <c r="W19" i="14" s="1"/>
  <c r="S20" i="14"/>
  <c r="AA20" i="14" s="1"/>
  <c r="S21" i="14"/>
  <c r="AA21" i="14" s="1"/>
  <c r="P17" i="14"/>
  <c r="X17" i="14" s="1"/>
  <c r="T20" i="14"/>
  <c r="AB20" i="14" s="1"/>
  <c r="R19" i="14"/>
  <c r="Z19" i="14" s="1"/>
  <c r="R22" i="14"/>
  <c r="Z22" i="14" s="1"/>
  <c r="R18" i="14"/>
  <c r="Z18" i="14" s="1"/>
  <c r="Q21" i="14"/>
  <c r="Y21" i="14" s="1"/>
  <c r="P14" i="14"/>
  <c r="X14" i="14" s="1"/>
  <c r="P19" i="14"/>
  <c r="X19" i="14" s="1"/>
  <c r="T13" i="14"/>
  <c r="AB13" i="14" s="1"/>
  <c r="T12" i="14"/>
  <c r="AB12" i="14" s="1"/>
  <c r="P15" i="14"/>
  <c r="X15" i="14" s="1"/>
  <c r="P16" i="14"/>
  <c r="X16" i="14" s="1"/>
  <c r="T14" i="14"/>
  <c r="AB14" i="14" s="1"/>
  <c r="T15" i="14"/>
  <c r="AB15" i="14" s="1"/>
  <c r="T16" i="14"/>
  <c r="AB16" i="14" s="1"/>
  <c r="S19" i="14"/>
  <c r="AA19" i="14" s="1"/>
  <c r="T9" i="14"/>
  <c r="AB9" i="14" s="1"/>
  <c r="P9" i="14"/>
  <c r="X9" i="14" s="1"/>
  <c r="T7" i="14"/>
  <c r="AB7" i="14" s="1"/>
  <c r="T10" i="14"/>
  <c r="AB10" i="14" s="1"/>
  <c r="P10" i="14"/>
  <c r="X10" i="14" s="1"/>
  <c r="T11" i="14"/>
  <c r="AB11" i="14" s="1"/>
  <c r="P12" i="14"/>
  <c r="X12" i="14" s="1"/>
  <c r="R15" i="14"/>
  <c r="Z15" i="14" s="1"/>
  <c r="S17" i="14"/>
  <c r="AA17" i="14" s="1"/>
  <c r="O15" i="14"/>
  <c r="W15" i="14" s="1"/>
  <c r="O11" i="14"/>
  <c r="W11" i="14" s="1"/>
  <c r="S12" i="14"/>
  <c r="AA12" i="14" s="1"/>
  <c r="Q15" i="14"/>
  <c r="Y15" i="14" s="1"/>
  <c r="Q16" i="14"/>
  <c r="Y16" i="14" s="1"/>
  <c r="S16" i="14"/>
  <c r="AA16" i="14" s="1"/>
  <c r="R12" i="14"/>
  <c r="Z12" i="14" s="1"/>
  <c r="R16" i="14"/>
  <c r="Z16" i="14" s="1"/>
  <c r="R14" i="14"/>
  <c r="Z14" i="14" s="1"/>
  <c r="O13" i="14"/>
  <c r="W13" i="14" s="1"/>
  <c r="S14" i="14"/>
  <c r="AA14" i="14" s="1"/>
  <c r="S15" i="14"/>
  <c r="AA15" i="14" s="1"/>
  <c r="Q14" i="14"/>
  <c r="Y14" i="14" s="1"/>
  <c r="R13" i="14"/>
  <c r="Z13" i="14" s="1"/>
  <c r="S13" i="14"/>
  <c r="AA13" i="14" s="1"/>
  <c r="R10" i="14"/>
  <c r="Z10" i="14" s="1"/>
  <c r="S6" i="14"/>
  <c r="AA6" i="14" s="1"/>
  <c r="P8" i="14"/>
  <c r="X8" i="14" s="1"/>
  <c r="Q4" i="14"/>
  <c r="Y4" i="14" s="1"/>
  <c r="T6" i="14"/>
  <c r="AB6" i="14" s="1"/>
  <c r="P7" i="14"/>
  <c r="X7" i="14" s="1"/>
  <c r="T8" i="14"/>
  <c r="AB8" i="14" s="1"/>
  <c r="Q12" i="14"/>
  <c r="Y12" i="14" s="1"/>
  <c r="R11" i="14"/>
  <c r="Z11" i="14" s="1"/>
  <c r="Q9" i="14"/>
  <c r="Y9" i="14" s="1"/>
  <c r="R8" i="14"/>
  <c r="Z8" i="14" s="1"/>
  <c r="S11" i="14"/>
  <c r="AA11" i="14" s="1"/>
  <c r="Q7" i="14"/>
  <c r="Y7" i="14" s="1"/>
  <c r="O7" i="14"/>
  <c r="W7" i="14" s="1"/>
  <c r="S8" i="14"/>
  <c r="AA8" i="14" s="1"/>
  <c r="Q10" i="14"/>
  <c r="Y10" i="14" s="1"/>
  <c r="O9" i="14"/>
  <c r="W9" i="14" s="1"/>
  <c r="S10" i="14"/>
  <c r="AA10" i="14" s="1"/>
  <c r="Q8" i="14"/>
  <c r="Y8" i="14" s="1"/>
  <c r="R9" i="14"/>
  <c r="Z9" i="14" s="1"/>
  <c r="R6" i="14"/>
  <c r="Z6" i="14" s="1"/>
  <c r="Q6" i="14"/>
  <c r="Y6" i="14" s="1"/>
  <c r="S9" i="14"/>
  <c r="AA9" i="14" s="1"/>
  <c r="P5" i="14"/>
  <c r="X5" i="14" s="1"/>
  <c r="P6" i="14"/>
  <c r="X6" i="14" s="1"/>
  <c r="R7" i="14"/>
  <c r="Z7" i="14" s="1"/>
  <c r="O5" i="14"/>
  <c r="W5" i="14" s="1"/>
  <c r="S7" i="14"/>
  <c r="AA7" i="14" s="1"/>
  <c r="S5" i="14"/>
  <c r="AA5" i="14" s="1"/>
  <c r="Q5" i="14"/>
  <c r="Y5" i="14" s="1"/>
  <c r="R5" i="14"/>
  <c r="Z5" i="14" s="1"/>
  <c r="R3" i="14"/>
  <c r="Z3" i="14" s="1"/>
  <c r="S4" i="14"/>
  <c r="AA4" i="14" s="1"/>
  <c r="T3" i="14"/>
  <c r="AB3" i="14" s="1"/>
  <c r="P4" i="14"/>
  <c r="X4" i="14" s="1"/>
  <c r="R4" i="14"/>
  <c r="Z4" i="14" s="1"/>
  <c r="P3" i="14"/>
  <c r="X3" i="14" s="1"/>
  <c r="T4" i="14"/>
  <c r="AB4" i="14" s="1"/>
  <c r="T5" i="14"/>
  <c r="AB5" i="14" s="1"/>
  <c r="K6" i="11"/>
  <c r="U361" i="11"/>
  <c r="A360" i="69"/>
  <c r="E360" i="69" s="1"/>
  <c r="U365" i="11"/>
  <c r="A364" i="69"/>
  <c r="E364" i="69" s="1"/>
  <c r="A368" i="69"/>
  <c r="E368" i="69" s="1"/>
  <c r="R373" i="11"/>
  <c r="A372" i="69"/>
  <c r="E372" i="69" s="1"/>
  <c r="R377" i="11"/>
  <c r="A376" i="69"/>
  <c r="E376" i="69" s="1"/>
  <c r="O384" i="11"/>
  <c r="A383" i="69"/>
  <c r="E383" i="69" s="1"/>
  <c r="O388" i="11"/>
  <c r="A387" i="69"/>
  <c r="E387" i="69" s="1"/>
  <c r="A391" i="69"/>
  <c r="E391" i="69" s="1"/>
  <c r="P396" i="11"/>
  <c r="A395" i="69"/>
  <c r="E395" i="69" s="1"/>
  <c r="O400" i="11"/>
  <c r="A399" i="69"/>
  <c r="E399" i="69" s="1"/>
  <c r="M404" i="11"/>
  <c r="A403" i="69"/>
  <c r="E403" i="69" s="1"/>
  <c r="L408" i="11"/>
  <c r="A407" i="69"/>
  <c r="E407" i="69" s="1"/>
  <c r="P412" i="11"/>
  <c r="A411" i="69"/>
  <c r="E411" i="69" s="1"/>
  <c r="Q416" i="11"/>
  <c r="A415" i="69"/>
  <c r="E415" i="69" s="1"/>
  <c r="R420" i="11"/>
  <c r="A419" i="69"/>
  <c r="E419" i="69" s="1"/>
  <c r="L424" i="11"/>
  <c r="A423" i="69"/>
  <c r="E423" i="69" s="1"/>
  <c r="M428" i="11"/>
  <c r="A427" i="69"/>
  <c r="E427" i="69" s="1"/>
  <c r="M436" i="11"/>
  <c r="A435" i="69"/>
  <c r="E435" i="69" s="1"/>
  <c r="O440" i="11"/>
  <c r="A439" i="69"/>
  <c r="E439" i="69" s="1"/>
  <c r="P444" i="11"/>
  <c r="A443" i="69"/>
  <c r="E443" i="69" s="1"/>
  <c r="L448" i="11"/>
  <c r="A447" i="69"/>
  <c r="E447" i="69" s="1"/>
  <c r="Q452" i="11"/>
  <c r="A451" i="69"/>
  <c r="E451" i="69" s="1"/>
  <c r="U460" i="11"/>
  <c r="A459" i="69"/>
  <c r="E459" i="69" s="1"/>
  <c r="U464" i="11"/>
  <c r="A463" i="69"/>
  <c r="E463" i="69" s="1"/>
  <c r="P468" i="11"/>
  <c r="A467" i="69"/>
  <c r="E467" i="69" s="1"/>
  <c r="K472" i="11"/>
  <c r="A471" i="69"/>
  <c r="E471" i="69" s="1"/>
  <c r="A475" i="69"/>
  <c r="E475" i="69" s="1"/>
  <c r="K480" i="11"/>
  <c r="A479" i="69"/>
  <c r="E479" i="69" s="1"/>
  <c r="P484" i="11"/>
  <c r="A483" i="69"/>
  <c r="E483" i="69" s="1"/>
  <c r="J362" i="11"/>
  <c r="A361" i="69"/>
  <c r="E361" i="69" s="1"/>
  <c r="N366" i="11"/>
  <c r="A365" i="69"/>
  <c r="E365" i="69" s="1"/>
  <c r="N370" i="11"/>
  <c r="A369" i="69"/>
  <c r="E369" i="69" s="1"/>
  <c r="R381" i="11"/>
  <c r="A380" i="69"/>
  <c r="E380" i="69" s="1"/>
  <c r="R385" i="11"/>
  <c r="A384" i="69"/>
  <c r="E384" i="69" s="1"/>
  <c r="U389" i="11"/>
  <c r="A388" i="69"/>
  <c r="E388" i="69" s="1"/>
  <c r="P393" i="11"/>
  <c r="A392" i="69"/>
  <c r="E392" i="69" s="1"/>
  <c r="O397" i="11"/>
  <c r="A396" i="69"/>
  <c r="E396" i="69" s="1"/>
  <c r="K401" i="11"/>
  <c r="A400" i="69"/>
  <c r="E400" i="69" s="1"/>
  <c r="O405" i="11"/>
  <c r="A404" i="69"/>
  <c r="E404" i="69" s="1"/>
  <c r="K409" i="11"/>
  <c r="A408" i="69"/>
  <c r="E408" i="69" s="1"/>
  <c r="K417" i="11"/>
  <c r="A416" i="69"/>
  <c r="E416" i="69" s="1"/>
  <c r="K421" i="11"/>
  <c r="A420" i="69"/>
  <c r="E420" i="69" s="1"/>
  <c r="N429" i="11"/>
  <c r="A428" i="69"/>
  <c r="E428" i="69" s="1"/>
  <c r="N433" i="11"/>
  <c r="A432" i="69"/>
  <c r="E432" i="69" s="1"/>
  <c r="O437" i="11"/>
  <c r="A436" i="69"/>
  <c r="E436" i="69" s="1"/>
  <c r="N441" i="11"/>
  <c r="A440" i="69"/>
  <c r="E440" i="69" s="1"/>
  <c r="P449" i="11"/>
  <c r="A448" i="69"/>
  <c r="E448" i="69" s="1"/>
  <c r="O453" i="11"/>
  <c r="A452" i="69"/>
  <c r="E452" i="69" s="1"/>
  <c r="O457" i="11"/>
  <c r="A456" i="69"/>
  <c r="E456" i="69" s="1"/>
  <c r="O461" i="11"/>
  <c r="A460" i="69"/>
  <c r="E460" i="69" s="1"/>
  <c r="M363" i="11"/>
  <c r="A362" i="69"/>
  <c r="E362" i="69" s="1"/>
  <c r="P367" i="11"/>
  <c r="A366" i="69"/>
  <c r="E366" i="69" s="1"/>
  <c r="D371" i="11"/>
  <c r="F370" i="69" s="1"/>
  <c r="A370" i="69"/>
  <c r="E370" i="69" s="1"/>
  <c r="P375" i="11"/>
  <c r="A374" i="69"/>
  <c r="E374" i="69" s="1"/>
  <c r="N382" i="11"/>
  <c r="A381" i="69"/>
  <c r="E381" i="69" s="1"/>
  <c r="N386" i="11"/>
  <c r="A385" i="69"/>
  <c r="E385" i="69" s="1"/>
  <c r="O390" i="11"/>
  <c r="A389" i="69"/>
  <c r="E389" i="69" s="1"/>
  <c r="Q394" i="11"/>
  <c r="A393" i="69"/>
  <c r="E393" i="69" s="1"/>
  <c r="Q402" i="11"/>
  <c r="A401" i="69"/>
  <c r="E401" i="69" s="1"/>
  <c r="U406" i="11"/>
  <c r="A405" i="69"/>
  <c r="E405" i="69" s="1"/>
  <c r="O410" i="11"/>
  <c r="A409" i="69"/>
  <c r="E409" i="69" s="1"/>
  <c r="I414" i="11"/>
  <c r="A413" i="69"/>
  <c r="E413" i="69" s="1"/>
  <c r="U418" i="11"/>
  <c r="A417" i="69"/>
  <c r="E417" i="69" s="1"/>
  <c r="K422" i="11"/>
  <c r="A421" i="69"/>
  <c r="E421" i="69" s="1"/>
  <c r="U434" i="11"/>
  <c r="A433" i="69"/>
  <c r="E433" i="69" s="1"/>
  <c r="N442" i="11"/>
  <c r="A441" i="69"/>
  <c r="E441" i="69" s="1"/>
  <c r="K454" i="11"/>
  <c r="A453" i="69"/>
  <c r="E453" i="69" s="1"/>
  <c r="N462" i="11"/>
  <c r="A461" i="69"/>
  <c r="E461" i="69" s="1"/>
  <c r="K466" i="11"/>
  <c r="A465" i="69"/>
  <c r="E465" i="69" s="1"/>
  <c r="J470" i="11"/>
  <c r="A469" i="69"/>
  <c r="E469" i="69" s="1"/>
  <c r="Q486" i="11"/>
  <c r="A485" i="69"/>
  <c r="E485" i="69" s="1"/>
  <c r="O364" i="11"/>
  <c r="A363" i="69"/>
  <c r="E363" i="69" s="1"/>
  <c r="O368" i="11"/>
  <c r="A367" i="69"/>
  <c r="E367" i="69" s="1"/>
  <c r="O372" i="11"/>
  <c r="A371" i="69"/>
  <c r="E371" i="69" s="1"/>
  <c r="O376" i="11"/>
  <c r="A375" i="69"/>
  <c r="E375" i="69" s="1"/>
  <c r="P379" i="11"/>
  <c r="A378" i="69"/>
  <c r="E378" i="69" s="1"/>
  <c r="P383" i="11"/>
  <c r="A382" i="69"/>
  <c r="E382" i="69" s="1"/>
  <c r="N391" i="11"/>
  <c r="A390" i="69"/>
  <c r="E390" i="69" s="1"/>
  <c r="Q395" i="11"/>
  <c r="A394" i="69"/>
  <c r="E394" i="69" s="1"/>
  <c r="P399" i="11"/>
  <c r="A398" i="69"/>
  <c r="E398" i="69" s="1"/>
  <c r="L403" i="11"/>
  <c r="A402" i="69"/>
  <c r="E402" i="69" s="1"/>
  <c r="N407" i="11"/>
  <c r="A406" i="69"/>
  <c r="E406" i="69" s="1"/>
  <c r="U411" i="11"/>
  <c r="A410" i="69"/>
  <c r="E410" i="69" s="1"/>
  <c r="U415" i="11"/>
  <c r="A414" i="69"/>
  <c r="E414" i="69" s="1"/>
  <c r="P423" i="11"/>
  <c r="A422" i="69"/>
  <c r="E422" i="69" s="1"/>
  <c r="L427" i="11"/>
  <c r="A426" i="69"/>
  <c r="E426" i="69" s="1"/>
  <c r="L431" i="11"/>
  <c r="A430" i="69"/>
  <c r="E430" i="69" s="1"/>
  <c r="L435" i="11"/>
  <c r="A434" i="69"/>
  <c r="E434" i="69" s="1"/>
  <c r="P439" i="11"/>
  <c r="A438" i="69"/>
  <c r="E438" i="69" s="1"/>
  <c r="L447" i="11"/>
  <c r="A446" i="69"/>
  <c r="E446" i="69" s="1"/>
  <c r="P451" i="11"/>
  <c r="A450" i="69"/>
  <c r="E450" i="69" s="1"/>
  <c r="N459" i="11"/>
  <c r="A458" i="69"/>
  <c r="E458" i="69" s="1"/>
  <c r="L463" i="11"/>
  <c r="A462" i="69"/>
  <c r="E462" i="69" s="1"/>
  <c r="L467" i="11"/>
  <c r="A466" i="69"/>
  <c r="E466" i="69" s="1"/>
  <c r="D471" i="11"/>
  <c r="F470" i="69" s="1"/>
  <c r="A470" i="69"/>
  <c r="E470" i="69" s="1"/>
  <c r="D475" i="11"/>
  <c r="F474" i="69" s="1"/>
  <c r="A474" i="69"/>
  <c r="E474" i="69" s="1"/>
  <c r="P479" i="11"/>
  <c r="A478" i="69"/>
  <c r="E478" i="69" s="1"/>
  <c r="Q483" i="11"/>
  <c r="A482" i="69"/>
  <c r="E482" i="69" s="1"/>
  <c r="L487" i="11"/>
  <c r="A486" i="69"/>
  <c r="E486" i="69" s="1"/>
  <c r="W109" i="38"/>
  <c r="Y109" i="38" s="1"/>
  <c r="AI145" i="38" a="1"/>
  <c r="AI145" i="38" s="1"/>
  <c r="W136" i="38"/>
  <c r="Y136" i="38" s="1"/>
  <c r="G4" i="11"/>
  <c r="G8" i="11"/>
  <c r="E7" i="69"/>
  <c r="G12" i="11"/>
  <c r="E11" i="69"/>
  <c r="G16" i="11"/>
  <c r="E15" i="69"/>
  <c r="G20" i="11"/>
  <c r="E19" i="69"/>
  <c r="G24" i="11"/>
  <c r="E23" i="69"/>
  <c r="G28" i="11"/>
  <c r="E27" i="69"/>
  <c r="G32" i="11"/>
  <c r="E31" i="69"/>
  <c r="G40" i="11"/>
  <c r="E39" i="69"/>
  <c r="G44" i="11"/>
  <c r="E43" i="69"/>
  <c r="G48" i="11"/>
  <c r="E47" i="69"/>
  <c r="G56" i="11"/>
  <c r="G60" i="11"/>
  <c r="E59" i="69"/>
  <c r="G64" i="11"/>
  <c r="E63" i="69"/>
  <c r="G68" i="11"/>
  <c r="E67" i="69"/>
  <c r="G72" i="11"/>
  <c r="E71" i="69"/>
  <c r="G76" i="11"/>
  <c r="E75" i="69"/>
  <c r="G80" i="11"/>
  <c r="E79" i="69"/>
  <c r="G84" i="11"/>
  <c r="E83" i="69"/>
  <c r="G88" i="11"/>
  <c r="E87" i="69"/>
  <c r="G96" i="11"/>
  <c r="E95" i="69"/>
  <c r="G100" i="11"/>
  <c r="E99" i="69"/>
  <c r="G108" i="11"/>
  <c r="E107" i="69"/>
  <c r="L112" i="11"/>
  <c r="E111" i="69"/>
  <c r="O120" i="11"/>
  <c r="E119" i="69"/>
  <c r="R124" i="11"/>
  <c r="E123" i="69"/>
  <c r="E127" i="69"/>
  <c r="L132" i="11"/>
  <c r="E131" i="69"/>
  <c r="R136" i="11"/>
  <c r="E135" i="69"/>
  <c r="U140" i="11"/>
  <c r="E139" i="69"/>
  <c r="R144" i="11"/>
  <c r="E143" i="69"/>
  <c r="N148" i="11"/>
  <c r="E147" i="69"/>
  <c r="N152" i="11"/>
  <c r="E151" i="69"/>
  <c r="E159" i="69"/>
  <c r="P164" i="11"/>
  <c r="E163" i="69"/>
  <c r="P168" i="11"/>
  <c r="E167" i="69"/>
  <c r="K176" i="11"/>
  <c r="E175" i="69"/>
  <c r="N180" i="11"/>
  <c r="E179" i="69"/>
  <c r="N184" i="11"/>
  <c r="E183" i="69"/>
  <c r="L188" i="11"/>
  <c r="E187" i="69"/>
  <c r="E191" i="69"/>
  <c r="L196" i="11"/>
  <c r="E195" i="69"/>
  <c r="L200" i="11"/>
  <c r="E199" i="69"/>
  <c r="U208" i="11"/>
  <c r="E207" i="69"/>
  <c r="N212" i="11"/>
  <c r="E211" i="69"/>
  <c r="N216" i="11"/>
  <c r="E215" i="69"/>
  <c r="H224" i="11"/>
  <c r="E223" i="69"/>
  <c r="H240" i="11"/>
  <c r="E239" i="69"/>
  <c r="H248" i="11"/>
  <c r="E247" i="69"/>
  <c r="H252" i="11"/>
  <c r="E251" i="69"/>
  <c r="E259" i="69"/>
  <c r="H264" i="11"/>
  <c r="A263" i="69"/>
  <c r="E263" i="69" s="1"/>
  <c r="H268" i="11"/>
  <c r="A267" i="69"/>
  <c r="E267" i="69" s="1"/>
  <c r="H272" i="11"/>
  <c r="A271" i="69"/>
  <c r="E271" i="69" s="1"/>
  <c r="H276" i="11"/>
  <c r="A275" i="69"/>
  <c r="E275" i="69" s="1"/>
  <c r="M280" i="11"/>
  <c r="A279" i="69"/>
  <c r="E279" i="69" s="1"/>
  <c r="M284" i="11"/>
  <c r="A283" i="69"/>
  <c r="E283" i="69" s="1"/>
  <c r="M288" i="11"/>
  <c r="A287" i="69"/>
  <c r="E287" i="69" s="1"/>
  <c r="M292" i="11"/>
  <c r="A291" i="69"/>
  <c r="E291" i="69" s="1"/>
  <c r="O300" i="11"/>
  <c r="A299" i="69"/>
  <c r="E299" i="69" s="1"/>
  <c r="O304" i="11"/>
  <c r="A303" i="69"/>
  <c r="E303" i="69" s="1"/>
  <c r="O308" i="11"/>
  <c r="A307" i="69"/>
  <c r="E307" i="69" s="1"/>
  <c r="O312" i="11"/>
  <c r="A311" i="69"/>
  <c r="E311" i="69" s="1"/>
  <c r="O316" i="11"/>
  <c r="A315" i="69"/>
  <c r="E315" i="69" s="1"/>
  <c r="O320" i="11"/>
  <c r="A319" i="69"/>
  <c r="E319" i="69" s="1"/>
  <c r="O324" i="11"/>
  <c r="A323" i="69"/>
  <c r="E323" i="69" s="1"/>
  <c r="O328" i="11"/>
  <c r="A327" i="69"/>
  <c r="E327" i="69" s="1"/>
  <c r="O332" i="11"/>
  <c r="A331" i="69"/>
  <c r="E331" i="69" s="1"/>
  <c r="O336" i="11"/>
  <c r="A335" i="69"/>
  <c r="E335" i="69" s="1"/>
  <c r="O340" i="11"/>
  <c r="A339" i="69"/>
  <c r="E339" i="69" s="1"/>
  <c r="O344" i="11"/>
  <c r="A343" i="69"/>
  <c r="E343" i="69" s="1"/>
  <c r="O348" i="11"/>
  <c r="A347" i="69"/>
  <c r="E347" i="69" s="1"/>
  <c r="O352" i="11"/>
  <c r="A351" i="69"/>
  <c r="E351" i="69" s="1"/>
  <c r="O356" i="11"/>
  <c r="A355" i="69"/>
  <c r="E355" i="69" s="1"/>
  <c r="I360" i="11"/>
  <c r="A359" i="69"/>
  <c r="E359" i="69" s="1"/>
  <c r="J148" i="49"/>
  <c r="K261" i="49"/>
  <c r="I105" i="11"/>
  <c r="E104" i="69"/>
  <c r="I109" i="11"/>
  <c r="E108" i="69"/>
  <c r="U113" i="11"/>
  <c r="E112" i="69"/>
  <c r="N117" i="11"/>
  <c r="E116" i="69"/>
  <c r="D121" i="11"/>
  <c r="F120" i="69" s="1"/>
  <c r="E120" i="69"/>
  <c r="N125" i="11"/>
  <c r="E124" i="69"/>
  <c r="R133" i="11"/>
  <c r="E132" i="69"/>
  <c r="U141" i="11"/>
  <c r="E140" i="69"/>
  <c r="M149" i="11"/>
  <c r="E148" i="69"/>
  <c r="M153" i="11"/>
  <c r="E152" i="69"/>
  <c r="R157" i="11"/>
  <c r="E156" i="69"/>
  <c r="I169" i="11"/>
  <c r="E168" i="69"/>
  <c r="I177" i="11"/>
  <c r="E176" i="69"/>
  <c r="M181" i="11"/>
  <c r="E180" i="69"/>
  <c r="M185" i="11"/>
  <c r="E184" i="69"/>
  <c r="N189" i="11"/>
  <c r="E188" i="69"/>
  <c r="R197" i="11"/>
  <c r="E196" i="69"/>
  <c r="U205" i="11"/>
  <c r="E204" i="69"/>
  <c r="M213" i="11"/>
  <c r="E212" i="69"/>
  <c r="M217" i="11"/>
  <c r="E216" i="69"/>
  <c r="U221" i="11"/>
  <c r="E220" i="69"/>
  <c r="E232" i="69"/>
  <c r="M237" i="11"/>
  <c r="E236" i="69"/>
  <c r="R245" i="11"/>
  <c r="E244" i="69"/>
  <c r="R249" i="11"/>
  <c r="E248" i="69"/>
  <c r="R253" i="11"/>
  <c r="E252" i="69"/>
  <c r="R257" i="11"/>
  <c r="E256" i="69"/>
  <c r="R261" i="11"/>
  <c r="E260" i="69"/>
  <c r="R277" i="11"/>
  <c r="A276" i="69"/>
  <c r="E276" i="69" s="1"/>
  <c r="R281" i="11"/>
  <c r="A280" i="69"/>
  <c r="E280" i="69" s="1"/>
  <c r="R285" i="11"/>
  <c r="A284" i="69"/>
  <c r="E284" i="69" s="1"/>
  <c r="R289" i="11"/>
  <c r="A288" i="69"/>
  <c r="E288" i="69" s="1"/>
  <c r="R293" i="11"/>
  <c r="A292" i="69"/>
  <c r="E292" i="69" s="1"/>
  <c r="R297" i="11"/>
  <c r="A296" i="69"/>
  <c r="E296" i="69" s="1"/>
  <c r="R301" i="11"/>
  <c r="A300" i="69"/>
  <c r="E300" i="69" s="1"/>
  <c r="R305" i="11"/>
  <c r="A304" i="69"/>
  <c r="E304" i="69" s="1"/>
  <c r="R309" i="11"/>
  <c r="A308" i="69"/>
  <c r="E308" i="69" s="1"/>
  <c r="R313" i="11"/>
  <c r="A312" i="69"/>
  <c r="E312" i="69" s="1"/>
  <c r="R317" i="11"/>
  <c r="A316" i="69"/>
  <c r="E316" i="69" s="1"/>
  <c r="R321" i="11"/>
  <c r="A320" i="69"/>
  <c r="E320" i="69" s="1"/>
  <c r="R325" i="11"/>
  <c r="A324" i="69"/>
  <c r="E324" i="69" s="1"/>
  <c r="R329" i="11"/>
  <c r="A328" i="69"/>
  <c r="E328" i="69" s="1"/>
  <c r="R333" i="11"/>
  <c r="A332" i="69"/>
  <c r="E332" i="69" s="1"/>
  <c r="R337" i="11"/>
  <c r="A336" i="69"/>
  <c r="E336" i="69" s="1"/>
  <c r="R341" i="11"/>
  <c r="A340" i="69"/>
  <c r="E340" i="69" s="1"/>
  <c r="R345" i="11"/>
  <c r="A344" i="69"/>
  <c r="E344" i="69" s="1"/>
  <c r="R349" i="11"/>
  <c r="A348" i="69"/>
  <c r="E348" i="69" s="1"/>
  <c r="U353" i="11"/>
  <c r="A352" i="69"/>
  <c r="E352" i="69" s="1"/>
  <c r="Q357" i="11"/>
  <c r="A356" i="69"/>
  <c r="E356" i="69" s="1"/>
  <c r="C254" i="49"/>
  <c r="E254" i="49" s="1"/>
  <c r="N261" i="49"/>
  <c r="G6" i="11"/>
  <c r="G10" i="11"/>
  <c r="E9" i="69"/>
  <c r="G14" i="11"/>
  <c r="E13" i="69"/>
  <c r="G18" i="11"/>
  <c r="E17" i="69"/>
  <c r="G22" i="11"/>
  <c r="E21" i="69"/>
  <c r="G30" i="11"/>
  <c r="E29" i="69"/>
  <c r="G34" i="11"/>
  <c r="E33" i="69"/>
  <c r="G38" i="11"/>
  <c r="E37" i="69"/>
  <c r="G42" i="11"/>
  <c r="E41" i="69"/>
  <c r="G46" i="11"/>
  <c r="E45" i="69"/>
  <c r="G50" i="11"/>
  <c r="E49" i="69"/>
  <c r="G54" i="11"/>
  <c r="G58" i="11"/>
  <c r="G62" i="11"/>
  <c r="E61" i="69"/>
  <c r="G66" i="11"/>
  <c r="E65" i="69"/>
  <c r="G70" i="11"/>
  <c r="E69" i="69"/>
  <c r="G74" i="11"/>
  <c r="E73" i="69"/>
  <c r="G78" i="11"/>
  <c r="E77" i="69"/>
  <c r="G82" i="11"/>
  <c r="E81" i="69"/>
  <c r="G86" i="11"/>
  <c r="E85" i="69"/>
  <c r="G90" i="11"/>
  <c r="E89" i="69"/>
  <c r="G94" i="11"/>
  <c r="E93" i="69"/>
  <c r="G98" i="11"/>
  <c r="E97" i="69"/>
  <c r="G102" i="11"/>
  <c r="E101" i="69"/>
  <c r="R106" i="11"/>
  <c r="E105" i="69"/>
  <c r="J110" i="11"/>
  <c r="E109" i="69"/>
  <c r="R114" i="11"/>
  <c r="E113" i="69"/>
  <c r="G118" i="11"/>
  <c r="E117" i="69"/>
  <c r="J122" i="11"/>
  <c r="E121" i="69"/>
  <c r="L126" i="11"/>
  <c r="E125" i="69"/>
  <c r="K130" i="11"/>
  <c r="E129" i="69"/>
  <c r="R138" i="11"/>
  <c r="E137" i="69"/>
  <c r="N142" i="11"/>
  <c r="E141" i="69"/>
  <c r="G146" i="11"/>
  <c r="E145" i="69"/>
  <c r="L150" i="11"/>
  <c r="E149" i="69"/>
  <c r="P158" i="11"/>
  <c r="E157" i="69"/>
  <c r="L162" i="11"/>
  <c r="E161" i="69"/>
  <c r="L166" i="11"/>
  <c r="E165" i="69"/>
  <c r="L170" i="11"/>
  <c r="E169" i="69"/>
  <c r="N174" i="11"/>
  <c r="E173" i="69"/>
  <c r="L178" i="11"/>
  <c r="E177" i="69"/>
  <c r="L186" i="11"/>
  <c r="E185" i="69"/>
  <c r="R190" i="11"/>
  <c r="E189" i="69"/>
  <c r="U194" i="11"/>
  <c r="E193" i="69"/>
  <c r="U202" i="11"/>
  <c r="E201" i="69"/>
  <c r="N206" i="11"/>
  <c r="E205" i="69"/>
  <c r="U210" i="11"/>
  <c r="E209" i="69"/>
  <c r="U214" i="11"/>
  <c r="E213" i="69"/>
  <c r="E225" i="69"/>
  <c r="U230" i="11"/>
  <c r="E229" i="69"/>
  <c r="L234" i="11"/>
  <c r="E233" i="69"/>
  <c r="E237" i="69"/>
  <c r="E245" i="69"/>
  <c r="E249" i="69"/>
  <c r="E257" i="69"/>
  <c r="A261" i="69"/>
  <c r="E261" i="69" s="1"/>
  <c r="A265" i="69"/>
  <c r="E265" i="69" s="1"/>
  <c r="A269" i="69"/>
  <c r="E269" i="69" s="1"/>
  <c r="A273" i="69"/>
  <c r="E273" i="69" s="1"/>
  <c r="L278" i="11"/>
  <c r="A277" i="69"/>
  <c r="E277" i="69" s="1"/>
  <c r="L282" i="11"/>
  <c r="A281" i="69"/>
  <c r="E281" i="69" s="1"/>
  <c r="L290" i="11"/>
  <c r="A289" i="69"/>
  <c r="E289" i="69" s="1"/>
  <c r="L294" i="11"/>
  <c r="A293" i="69"/>
  <c r="E293" i="69" s="1"/>
  <c r="R298" i="11"/>
  <c r="A297" i="69"/>
  <c r="E297" i="69" s="1"/>
  <c r="A301" i="69"/>
  <c r="E301" i="69" s="1"/>
  <c r="O306" i="11"/>
  <c r="A305" i="69"/>
  <c r="E305" i="69" s="1"/>
  <c r="O310" i="11"/>
  <c r="A309" i="69"/>
  <c r="E309" i="69" s="1"/>
  <c r="J314" i="11"/>
  <c r="A313" i="69"/>
  <c r="E313" i="69" s="1"/>
  <c r="A317" i="69"/>
  <c r="E317" i="69" s="1"/>
  <c r="O322" i="11"/>
  <c r="A321" i="69"/>
  <c r="E321" i="69" s="1"/>
  <c r="O326" i="11"/>
  <c r="A325" i="69"/>
  <c r="E325" i="69" s="1"/>
  <c r="R330" i="11"/>
  <c r="A329" i="69"/>
  <c r="E329" i="69" s="1"/>
  <c r="N334" i="11"/>
  <c r="A333" i="69"/>
  <c r="E333" i="69" s="1"/>
  <c r="N338" i="11"/>
  <c r="A337" i="69"/>
  <c r="E337" i="69" s="1"/>
  <c r="N346" i="11"/>
  <c r="A345" i="69"/>
  <c r="E345" i="69" s="1"/>
  <c r="N350" i="11"/>
  <c r="A349" i="69"/>
  <c r="E349" i="69" s="1"/>
  <c r="N354" i="11"/>
  <c r="A353" i="69"/>
  <c r="E353" i="69" s="1"/>
  <c r="E2" i="69"/>
  <c r="Q107" i="11"/>
  <c r="E106" i="69"/>
  <c r="Q111" i="11"/>
  <c r="E110" i="69"/>
  <c r="Q123" i="11"/>
  <c r="E122" i="69"/>
  <c r="Q127" i="11"/>
  <c r="E126" i="69"/>
  <c r="Q131" i="11"/>
  <c r="E130" i="69"/>
  <c r="E146" i="69"/>
  <c r="E154" i="69"/>
  <c r="Q159" i="11"/>
  <c r="E158" i="69"/>
  <c r="E162" i="69"/>
  <c r="E178" i="69"/>
  <c r="Q191" i="11"/>
  <c r="E190" i="69"/>
  <c r="E210" i="69"/>
  <c r="E218" i="69"/>
  <c r="Q223" i="11"/>
  <c r="E222" i="69"/>
  <c r="Q227" i="11"/>
  <c r="E226" i="69"/>
  <c r="E234" i="69"/>
  <c r="E242" i="69"/>
  <c r="E246" i="69"/>
  <c r="E250" i="69"/>
  <c r="E254" i="69"/>
  <c r="E258" i="69"/>
  <c r="A262" i="69"/>
  <c r="E262" i="69" s="1"/>
  <c r="A274" i="69"/>
  <c r="E274" i="69" s="1"/>
  <c r="M279" i="11"/>
  <c r="A278" i="69"/>
  <c r="E278" i="69" s="1"/>
  <c r="M283" i="11"/>
  <c r="A282" i="69"/>
  <c r="E282" i="69" s="1"/>
  <c r="M287" i="11"/>
  <c r="A286" i="69"/>
  <c r="E286" i="69" s="1"/>
  <c r="M291" i="11"/>
  <c r="A290" i="69"/>
  <c r="E290" i="69" s="1"/>
  <c r="M295" i="11"/>
  <c r="A294" i="69"/>
  <c r="E294" i="69" s="1"/>
  <c r="Q299" i="11"/>
  <c r="A298" i="69"/>
  <c r="E298" i="69" s="1"/>
  <c r="J303" i="11"/>
  <c r="A302" i="69"/>
  <c r="E302" i="69" s="1"/>
  <c r="Q307" i="11"/>
  <c r="A306" i="69"/>
  <c r="E306" i="69" s="1"/>
  <c r="Q311" i="11"/>
  <c r="A310" i="69"/>
  <c r="E310" i="69" s="1"/>
  <c r="Q315" i="11"/>
  <c r="A314" i="69"/>
  <c r="E314" i="69" s="1"/>
  <c r="R319" i="11"/>
  <c r="A318" i="69"/>
  <c r="E318" i="69" s="1"/>
  <c r="U323" i="11"/>
  <c r="A322" i="69"/>
  <c r="E322" i="69" s="1"/>
  <c r="Q327" i="11"/>
  <c r="A326" i="69"/>
  <c r="E326" i="69" s="1"/>
  <c r="Q331" i="11"/>
  <c r="A330" i="69"/>
  <c r="E330" i="69" s="1"/>
  <c r="P335" i="11"/>
  <c r="A334" i="69"/>
  <c r="E334" i="69" s="1"/>
  <c r="P339" i="11"/>
  <c r="A338" i="69"/>
  <c r="E338" i="69" s="1"/>
  <c r="P343" i="11"/>
  <c r="A342" i="69"/>
  <c r="E342" i="69" s="1"/>
  <c r="P347" i="11"/>
  <c r="A346" i="69"/>
  <c r="E346" i="69" s="1"/>
  <c r="P351" i="11"/>
  <c r="A350" i="69"/>
  <c r="E350" i="69" s="1"/>
  <c r="P355" i="11"/>
  <c r="A354" i="69"/>
  <c r="E354" i="69" s="1"/>
  <c r="P359" i="11"/>
  <c r="A358" i="69"/>
  <c r="E358" i="69" s="1"/>
  <c r="M41" i="49"/>
  <c r="J248" i="49"/>
  <c r="BR2" i="66"/>
  <c r="J47" i="38"/>
  <c r="J46" i="38"/>
  <c r="P47" i="38"/>
  <c r="P46" i="38"/>
  <c r="W125" i="38"/>
  <c r="Y125" i="38" s="1"/>
  <c r="W55" i="38"/>
  <c r="Y55" i="38" s="1"/>
  <c r="W50" i="38"/>
  <c r="X50" i="38" s="1"/>
  <c r="J63" i="38"/>
  <c r="G63" i="38" s="1"/>
  <c r="J140" i="38"/>
  <c r="AC140" i="38" s="1"/>
  <c r="J134" i="38"/>
  <c r="AC134" i="38" s="1"/>
  <c r="J138" i="38"/>
  <c r="G138" i="38" s="1"/>
  <c r="J121" i="38"/>
  <c r="G121" i="38" s="1"/>
  <c r="H110" i="49" s="1"/>
  <c r="J117" i="38"/>
  <c r="AC117" i="38" s="1"/>
  <c r="J93" i="38"/>
  <c r="J50" i="38"/>
  <c r="AC50" i="38" s="1"/>
  <c r="J142" i="38"/>
  <c r="G142" i="38" s="1"/>
  <c r="J136" i="38"/>
  <c r="J125" i="38"/>
  <c r="AC125" i="38" s="1"/>
  <c r="J113" i="38"/>
  <c r="AC113" i="38" s="1"/>
  <c r="J111" i="38"/>
  <c r="AC111" i="38" s="1"/>
  <c r="J139" i="38"/>
  <c r="G139" i="38" s="1"/>
  <c r="H206" i="49" s="1"/>
  <c r="J132" i="38"/>
  <c r="G132" i="38" s="1"/>
  <c r="J130" i="38"/>
  <c r="AC130" i="38" s="1"/>
  <c r="Z411" i="14"/>
  <c r="P12" i="11"/>
  <c r="P16" i="11"/>
  <c r="P32" i="11"/>
  <c r="P40" i="11"/>
  <c r="P60" i="11"/>
  <c r="O20" i="11"/>
  <c r="P66" i="11"/>
  <c r="P20" i="11"/>
  <c r="O12" i="11"/>
  <c r="O24" i="11"/>
  <c r="O32" i="11"/>
  <c r="O40" i="11"/>
  <c r="P52" i="11"/>
  <c r="O86" i="11"/>
  <c r="BC215" i="14"/>
  <c r="BK215" i="14" s="1"/>
  <c r="BC219" i="14"/>
  <c r="BK219" i="14" s="1"/>
  <c r="BC223" i="14"/>
  <c r="BC227" i="14"/>
  <c r="BK227" i="14" s="1"/>
  <c r="Q3" i="11"/>
  <c r="Z417" i="14"/>
  <c r="Q361" i="11"/>
  <c r="M379" i="11"/>
  <c r="I367" i="11"/>
  <c r="L436" i="11"/>
  <c r="P86" i="11"/>
  <c r="J41" i="49"/>
  <c r="P82" i="11"/>
  <c r="X413" i="14"/>
  <c r="BC414" i="14"/>
  <c r="BC466" i="14"/>
  <c r="O3" i="14"/>
  <c r="W3" i="14" s="1"/>
  <c r="BC284" i="14"/>
  <c r="BK284" i="14" s="1"/>
  <c r="BC288" i="14"/>
  <c r="BC292" i="14"/>
  <c r="BK292" i="14" s="1"/>
  <c r="BC300" i="14"/>
  <c r="BC308" i="14"/>
  <c r="BK308" i="14" s="1"/>
  <c r="BC312" i="14"/>
  <c r="BC316" i="14"/>
  <c r="BK316" i="14" s="1"/>
  <c r="BC324" i="14"/>
  <c r="BC332" i="14"/>
  <c r="BC336" i="14"/>
  <c r="BC340" i="14"/>
  <c r="BK340" i="14" s="1"/>
  <c r="BC344" i="14"/>
  <c r="BC348" i="14"/>
  <c r="BK348" i="14" s="1"/>
  <c r="BC352" i="14"/>
  <c r="BC356" i="14"/>
  <c r="BC364" i="14"/>
  <c r="BK364" i="14" s="1"/>
  <c r="BC368" i="14"/>
  <c r="BK368" i="14" s="1"/>
  <c r="BC372" i="14"/>
  <c r="BC384" i="14"/>
  <c r="BK384" i="14" s="1"/>
  <c r="Y386" i="14"/>
  <c r="K405" i="11"/>
  <c r="D408" i="11"/>
  <c r="F407" i="69" s="1"/>
  <c r="H373" i="11"/>
  <c r="T8" i="49"/>
  <c r="O12" i="49"/>
  <c r="T16" i="49"/>
  <c r="T20" i="49"/>
  <c r="P29" i="49"/>
  <c r="U71" i="49"/>
  <c r="B79" i="49"/>
  <c r="U87" i="49"/>
  <c r="R91" i="49"/>
  <c r="S95" i="49"/>
  <c r="W99" i="49"/>
  <c r="S103" i="49"/>
  <c r="T109" i="49"/>
  <c r="W113" i="49"/>
  <c r="W117" i="49"/>
  <c r="P121" i="49"/>
  <c r="K125" i="49"/>
  <c r="P129" i="49"/>
  <c r="W133" i="49"/>
  <c r="V137" i="49"/>
  <c r="P141" i="49"/>
  <c r="B145" i="49"/>
  <c r="P151" i="49"/>
  <c r="C163" i="49"/>
  <c r="E163" i="49" s="1"/>
  <c r="X167" i="49"/>
  <c r="J171" i="49"/>
  <c r="V175" i="49"/>
  <c r="S179" i="49"/>
  <c r="N183" i="49"/>
  <c r="K189" i="49"/>
  <c r="W193" i="49"/>
  <c r="W197" i="49"/>
  <c r="T201" i="49"/>
  <c r="W205" i="49"/>
  <c r="S209" i="49"/>
  <c r="W213" i="49"/>
  <c r="T217" i="49"/>
  <c r="P230" i="49"/>
  <c r="R240" i="49"/>
  <c r="X244" i="49"/>
  <c r="T248" i="49"/>
  <c r="V251" i="49"/>
  <c r="R258" i="49"/>
  <c r="K264" i="49"/>
  <c r="O268" i="49"/>
  <c r="W272" i="49"/>
  <c r="V276" i="49"/>
  <c r="X280" i="49"/>
  <c r="P284" i="49"/>
  <c r="T288" i="49"/>
  <c r="M292" i="49"/>
  <c r="N296" i="49"/>
  <c r="J300" i="49"/>
  <c r="Y304" i="49"/>
  <c r="T308" i="49"/>
  <c r="J316" i="49"/>
  <c r="O9" i="49"/>
  <c r="O13" i="49"/>
  <c r="O17" i="49"/>
  <c r="O21" i="49"/>
  <c r="M26" i="49"/>
  <c r="X96" i="49"/>
  <c r="X104" i="49"/>
  <c r="V110" i="49"/>
  <c r="W114" i="49"/>
  <c r="X118" i="49"/>
  <c r="W122" i="49"/>
  <c r="X126" i="49"/>
  <c r="S130" i="49"/>
  <c r="T134" i="49"/>
  <c r="R138" i="49"/>
  <c r="W142" i="49"/>
  <c r="S146" i="49"/>
  <c r="R152" i="49"/>
  <c r="P156" i="49"/>
  <c r="L160" i="49"/>
  <c r="P164" i="49"/>
  <c r="R168" i="49"/>
  <c r="R172" i="49"/>
  <c r="V176" i="49"/>
  <c r="W180" i="49"/>
  <c r="R188" i="49"/>
  <c r="S190" i="49"/>
  <c r="X198" i="49"/>
  <c r="S202" i="49"/>
  <c r="P206" i="49"/>
  <c r="P210" i="49"/>
  <c r="W218" i="49"/>
  <c r="O227" i="49"/>
  <c r="O234" i="49"/>
  <c r="X237" i="49"/>
  <c r="T241" i="49"/>
  <c r="V245" i="49"/>
  <c r="V252" i="49"/>
  <c r="O255" i="49"/>
  <c r="V259" i="49"/>
  <c r="N265" i="49"/>
  <c r="N269" i="49"/>
  <c r="S273" i="49"/>
  <c r="T277" i="49"/>
  <c r="Q285" i="49"/>
  <c r="Y293" i="49"/>
  <c r="X297" i="49"/>
  <c r="Y301" i="49"/>
  <c r="R305" i="49"/>
  <c r="U309" i="49"/>
  <c r="R313" i="49"/>
  <c r="U317" i="49"/>
  <c r="Q321" i="49"/>
  <c r="G208" i="11"/>
  <c r="U377" i="11"/>
  <c r="P395" i="11"/>
  <c r="K453" i="11"/>
  <c r="B45" i="49"/>
  <c r="N61" i="49"/>
  <c r="T97" i="49"/>
  <c r="T101" i="49"/>
  <c r="T105" i="49"/>
  <c r="S111" i="49"/>
  <c r="T115" i="49"/>
  <c r="T119" i="49"/>
  <c r="T131" i="49"/>
  <c r="P139" i="49"/>
  <c r="S143" i="49"/>
  <c r="C146" i="49"/>
  <c r="E146" i="49" s="1"/>
  <c r="N153" i="49"/>
  <c r="P157" i="49"/>
  <c r="B161" i="49"/>
  <c r="W169" i="49"/>
  <c r="R173" i="49"/>
  <c r="V181" i="49"/>
  <c r="W185" i="49"/>
  <c r="K188" i="49"/>
  <c r="S191" i="49"/>
  <c r="C195" i="49"/>
  <c r="E195" i="49" s="1"/>
  <c r="S199" i="49"/>
  <c r="L203" i="49"/>
  <c r="L211" i="49"/>
  <c r="W219" i="49"/>
  <c r="S228" i="49"/>
  <c r="S231" i="49"/>
  <c r="C234" i="49"/>
  <c r="E234" i="49" s="1"/>
  <c r="X246" i="49"/>
  <c r="S249" i="49"/>
  <c r="R253" i="49"/>
  <c r="R256" i="49"/>
  <c r="O260" i="49"/>
  <c r="S262" i="49"/>
  <c r="L266" i="49"/>
  <c r="T274" i="49"/>
  <c r="T282" i="49"/>
  <c r="P286" i="49"/>
  <c r="X290" i="49"/>
  <c r="M294" i="49"/>
  <c r="R302" i="49"/>
  <c r="N306" i="49"/>
  <c r="Q318" i="49"/>
  <c r="S7" i="49"/>
  <c r="S11" i="49"/>
  <c r="S19" i="49"/>
  <c r="U32" i="49"/>
  <c r="X42" i="49"/>
  <c r="R46" i="49"/>
  <c r="N78" i="49"/>
  <c r="T82" i="49"/>
  <c r="T86" i="49"/>
  <c r="T94" i="49"/>
  <c r="X98" i="49"/>
  <c r="R102" i="49"/>
  <c r="X106" i="49"/>
  <c r="X108" i="49"/>
  <c r="S112" i="49"/>
  <c r="P116" i="49"/>
  <c r="S120" i="49"/>
  <c r="X124" i="49"/>
  <c r="O132" i="49"/>
  <c r="L136" i="49"/>
  <c r="R140" i="49"/>
  <c r="L144" i="49"/>
  <c r="O147" i="49"/>
  <c r="R154" i="49"/>
  <c r="N158" i="49"/>
  <c r="N166" i="49"/>
  <c r="X170" i="49"/>
  <c r="X174" i="49"/>
  <c r="S182" i="49"/>
  <c r="T186" i="49"/>
  <c r="P188" i="49"/>
  <c r="B192" i="49"/>
  <c r="W196" i="49"/>
  <c r="S200" i="49"/>
  <c r="C208" i="49"/>
  <c r="E208" i="49" s="1"/>
  <c r="S212" i="49"/>
  <c r="S216" i="49"/>
  <c r="S220" i="49"/>
  <c r="T225" i="49"/>
  <c r="L229" i="49"/>
  <c r="L235" i="49"/>
  <c r="R239" i="49"/>
  <c r="K243" i="49"/>
  <c r="X247" i="49"/>
  <c r="W250" i="49"/>
  <c r="R254" i="49"/>
  <c r="L257" i="49"/>
  <c r="V261" i="49"/>
  <c r="C263" i="49"/>
  <c r="E263" i="49" s="1"/>
  <c r="V267" i="49"/>
  <c r="P271" i="49"/>
  <c r="S275" i="49"/>
  <c r="Y279" i="49"/>
  <c r="L283" i="49"/>
  <c r="Y287" i="49"/>
  <c r="J303" i="49"/>
  <c r="Y307" i="49"/>
  <c r="U319" i="49"/>
  <c r="C134" i="49"/>
  <c r="E134" i="49" s="1"/>
  <c r="T182" i="49"/>
  <c r="T246" i="49"/>
  <c r="O476" i="11"/>
  <c r="N266" i="49"/>
  <c r="P269" i="49"/>
  <c r="R272" i="49"/>
  <c r="D118" i="11"/>
  <c r="F117" i="69" s="1"/>
  <c r="N362" i="11"/>
  <c r="M365" i="11"/>
  <c r="M367" i="11"/>
  <c r="J399" i="11"/>
  <c r="P440" i="11"/>
  <c r="D484" i="11"/>
  <c r="F483" i="69" s="1"/>
  <c r="X95" i="49"/>
  <c r="O146" i="49"/>
  <c r="L210" i="11"/>
  <c r="L373" i="11"/>
  <c r="L420" i="11"/>
  <c r="Q471" i="11"/>
  <c r="R235" i="11"/>
  <c r="O34" i="11"/>
  <c r="N302" i="11"/>
  <c r="X81" i="49"/>
  <c r="K229" i="49"/>
  <c r="K76" i="11"/>
  <c r="L108" i="11"/>
  <c r="R272" i="11"/>
  <c r="P64" i="49"/>
  <c r="J71" i="49"/>
  <c r="J129" i="49"/>
  <c r="L142" i="49"/>
  <c r="J172" i="49"/>
  <c r="L186" i="49"/>
  <c r="K14" i="11"/>
  <c r="O14" i="11"/>
  <c r="K18" i="11"/>
  <c r="K46" i="11"/>
  <c r="O62" i="11"/>
  <c r="O98" i="11"/>
  <c r="G164" i="11"/>
  <c r="G190" i="11"/>
  <c r="R208" i="11"/>
  <c r="O115" i="49"/>
  <c r="R142" i="49"/>
  <c r="B170" i="49"/>
  <c r="O196" i="49"/>
  <c r="X274" i="49"/>
  <c r="I113" i="11"/>
  <c r="G202" i="11"/>
  <c r="G230" i="11"/>
  <c r="R238" i="11"/>
  <c r="R252" i="11"/>
  <c r="I372" i="11"/>
  <c r="J391" i="11"/>
  <c r="M109" i="11"/>
  <c r="R250" i="11"/>
  <c r="M277" i="11"/>
  <c r="H297" i="11"/>
  <c r="N318" i="11"/>
  <c r="H321" i="11"/>
  <c r="I340" i="11"/>
  <c r="L349" i="11"/>
  <c r="Q372" i="11"/>
  <c r="I444" i="11"/>
  <c r="O454" i="11"/>
  <c r="H468" i="11"/>
  <c r="I484" i="11"/>
  <c r="U52" i="49"/>
  <c r="L55" i="49"/>
  <c r="T96" i="49"/>
  <c r="B99" i="49"/>
  <c r="B110" i="49"/>
  <c r="W115" i="49"/>
  <c r="K132" i="49"/>
  <c r="W170" i="49"/>
  <c r="K227" i="49"/>
  <c r="W229" i="49"/>
  <c r="V234" i="49"/>
  <c r="B290" i="49"/>
  <c r="N293" i="49"/>
  <c r="P296" i="49"/>
  <c r="G112" i="11"/>
  <c r="G114" i="11"/>
  <c r="R268" i="11"/>
  <c r="U281" i="11"/>
  <c r="I304" i="11"/>
  <c r="P340" i="11"/>
  <c r="M347" i="11"/>
  <c r="Q349" i="11"/>
  <c r="D367" i="11"/>
  <c r="F366" i="69" s="1"/>
  <c r="I368" i="11"/>
  <c r="I395" i="11"/>
  <c r="H396" i="11"/>
  <c r="I399" i="11"/>
  <c r="N417" i="11"/>
  <c r="D420" i="11"/>
  <c r="F419" i="69" s="1"/>
  <c r="I424" i="11"/>
  <c r="H437" i="11"/>
  <c r="I440" i="11"/>
  <c r="D442" i="11"/>
  <c r="F441" i="69" s="1"/>
  <c r="O444" i="11"/>
  <c r="J453" i="11"/>
  <c r="C20" i="49"/>
  <c r="E20" i="49" s="1"/>
  <c r="O95" i="49"/>
  <c r="T99" i="49"/>
  <c r="S102" i="49"/>
  <c r="L110" i="49"/>
  <c r="L130" i="49"/>
  <c r="C142" i="49"/>
  <c r="E142" i="49" s="1"/>
  <c r="P143" i="49"/>
  <c r="B146" i="49"/>
  <c r="X154" i="49"/>
  <c r="X189" i="49"/>
  <c r="O192" i="49"/>
  <c r="K225" i="49"/>
  <c r="R250" i="49"/>
  <c r="J262" i="49"/>
  <c r="V303" i="49"/>
  <c r="Y318" i="49"/>
  <c r="BC110" i="14"/>
  <c r="BK110" i="14" s="1"/>
  <c r="BC114" i="14"/>
  <c r="BC118" i="14"/>
  <c r="BK118" i="14" s="1"/>
  <c r="BC122" i="14"/>
  <c r="BC126" i="14"/>
  <c r="BC130" i="14"/>
  <c r="BC134" i="14"/>
  <c r="BK134" i="14" s="1"/>
  <c r="BC138" i="14"/>
  <c r="BK138" i="14" s="1"/>
  <c r="BC142" i="14"/>
  <c r="BK142" i="14" s="1"/>
  <c r="BC146" i="14"/>
  <c r="BC150" i="14"/>
  <c r="BK150" i="14" s="1"/>
  <c r="BC154" i="14"/>
  <c r="BC158" i="14"/>
  <c r="BC162" i="14"/>
  <c r="BK162" i="14" s="1"/>
  <c r="BC166" i="14"/>
  <c r="BK166" i="14" s="1"/>
  <c r="BC170" i="14"/>
  <c r="BK170" i="14" s="1"/>
  <c r="BC174" i="14"/>
  <c r="BC178" i="14"/>
  <c r="BC182" i="14"/>
  <c r="BK182" i="14" s="1"/>
  <c r="BC186" i="14"/>
  <c r="BK186" i="14" s="1"/>
  <c r="BC190" i="14"/>
  <c r="BC194" i="14"/>
  <c r="BC198" i="14"/>
  <c r="BK198" i="14" s="1"/>
  <c r="BC202" i="14"/>
  <c r="BK202" i="14" s="1"/>
  <c r="BC206" i="14"/>
  <c r="BC210" i="14"/>
  <c r="BC272" i="14"/>
  <c r="BK272" i="14" s="1"/>
  <c r="BC276" i="14"/>
  <c r="BC280" i="14"/>
  <c r="BK280" i="14" s="1"/>
  <c r="Y383" i="14"/>
  <c r="AC383" i="14"/>
  <c r="AA255" i="14"/>
  <c r="Y387" i="14"/>
  <c r="AC387" i="14"/>
  <c r="BC395" i="14"/>
  <c r="BC399" i="14"/>
  <c r="BK399" i="14" s="1"/>
  <c r="BC403" i="14"/>
  <c r="BC407" i="14"/>
  <c r="BK407" i="14" s="1"/>
  <c r="BC434" i="14"/>
  <c r="AB414" i="14"/>
  <c r="Z419" i="14"/>
  <c r="BC450" i="14"/>
  <c r="S3" i="14"/>
  <c r="Q3" i="14"/>
  <c r="Y3" i="14" s="1"/>
  <c r="BC233" i="14"/>
  <c r="BC237" i="14"/>
  <c r="BK237" i="14" s="1"/>
  <c r="BC241" i="14"/>
  <c r="BK241" i="14" s="1"/>
  <c r="BC245" i="14"/>
  <c r="BC249" i="14"/>
  <c r="BK249" i="14" s="1"/>
  <c r="AA253" i="14"/>
  <c r="AA257" i="14"/>
  <c r="Y382" i="14"/>
  <c r="D120" i="11"/>
  <c r="F119" i="69" s="1"/>
  <c r="J120" i="11"/>
  <c r="Q195" i="11"/>
  <c r="U233" i="11"/>
  <c r="R233" i="11"/>
  <c r="G234" i="11"/>
  <c r="R236" i="11"/>
  <c r="R240" i="11"/>
  <c r="R254" i="11"/>
  <c r="R266" i="11"/>
  <c r="R269" i="11"/>
  <c r="H269" i="11"/>
  <c r="M296" i="11"/>
  <c r="R296" i="11"/>
  <c r="P387" i="11"/>
  <c r="I387" i="11"/>
  <c r="L404" i="11"/>
  <c r="M432" i="11"/>
  <c r="O432" i="11"/>
  <c r="K434" i="11"/>
  <c r="O446" i="11"/>
  <c r="I446" i="11"/>
  <c r="I470" i="11"/>
  <c r="U470" i="11"/>
  <c r="O470" i="11"/>
  <c r="P475" i="11"/>
  <c r="I475" i="11"/>
  <c r="H479" i="11"/>
  <c r="K489" i="11"/>
  <c r="O489" i="11"/>
  <c r="X37" i="49"/>
  <c r="B37" i="49"/>
  <c r="X83" i="49"/>
  <c r="B83" i="49"/>
  <c r="W123" i="49"/>
  <c r="X123" i="49"/>
  <c r="B123" i="49"/>
  <c r="L138" i="49"/>
  <c r="N162" i="49"/>
  <c r="L162" i="49"/>
  <c r="T203" i="49"/>
  <c r="O203" i="49"/>
  <c r="S211" i="49"/>
  <c r="S224" i="49"/>
  <c r="C224" i="49"/>
  <c r="E224" i="49" s="1"/>
  <c r="S271" i="49"/>
  <c r="S274" i="49"/>
  <c r="J274" i="49"/>
  <c r="C274" i="49"/>
  <c r="E274" i="49" s="1"/>
  <c r="I141" i="11"/>
  <c r="U209" i="11"/>
  <c r="I209" i="11"/>
  <c r="R237" i="11"/>
  <c r="U237" i="11"/>
  <c r="R241" i="11"/>
  <c r="H241" i="11"/>
  <c r="R267" i="11"/>
  <c r="L286" i="11"/>
  <c r="I380" i="11"/>
  <c r="H380" i="11"/>
  <c r="J398" i="11"/>
  <c r="O398" i="11"/>
  <c r="D446" i="11"/>
  <c r="F445" i="69" s="1"/>
  <c r="R34" i="49"/>
  <c r="U47" i="49"/>
  <c r="J77" i="49"/>
  <c r="X150" i="49"/>
  <c r="W150" i="49"/>
  <c r="X159" i="49"/>
  <c r="S159" i="49"/>
  <c r="W194" i="49"/>
  <c r="X194" i="49"/>
  <c r="L194" i="49"/>
  <c r="G106" i="11"/>
  <c r="L114" i="11"/>
  <c r="U118" i="11"/>
  <c r="O118" i="11"/>
  <c r="R118" i="11"/>
  <c r="D124" i="11"/>
  <c r="F123" i="69" s="1"/>
  <c r="G132" i="11"/>
  <c r="R132" i="11"/>
  <c r="U204" i="11"/>
  <c r="L204" i="11"/>
  <c r="I233" i="11"/>
  <c r="R239" i="11"/>
  <c r="R255" i="11"/>
  <c r="U257" i="11"/>
  <c r="R265" i="11"/>
  <c r="U265" i="11"/>
  <c r="R270" i="11"/>
  <c r="R273" i="11"/>
  <c r="H273" i="11"/>
  <c r="M309" i="11"/>
  <c r="K357" i="11"/>
  <c r="P361" i="11"/>
  <c r="H361" i="11"/>
  <c r="D361" i="11"/>
  <c r="F360" i="69" s="1"/>
  <c r="P371" i="11"/>
  <c r="I371" i="11"/>
  <c r="L392" i="11"/>
  <c r="H392" i="11"/>
  <c r="U471" i="11"/>
  <c r="J471" i="11"/>
  <c r="I471" i="11"/>
  <c r="T12" i="49"/>
  <c r="W12" i="49"/>
  <c r="S15" i="49"/>
  <c r="B15" i="49"/>
  <c r="X45" i="49"/>
  <c r="J47" i="49"/>
  <c r="X100" i="49"/>
  <c r="T100" i="49"/>
  <c r="R148" i="49"/>
  <c r="O148" i="49"/>
  <c r="B150" i="49"/>
  <c r="J184" i="49"/>
  <c r="V184" i="49"/>
  <c r="S195" i="49"/>
  <c r="L195" i="49"/>
  <c r="K195" i="49"/>
  <c r="S246" i="49"/>
  <c r="J246" i="49"/>
  <c r="C246" i="49"/>
  <c r="E246" i="49" s="1"/>
  <c r="T270" i="49"/>
  <c r="O270" i="49"/>
  <c r="J270" i="49"/>
  <c r="B277" i="49"/>
  <c r="Q291" i="49"/>
  <c r="P291" i="49"/>
  <c r="T300" i="49"/>
  <c r="R300" i="49"/>
  <c r="M300" i="49"/>
  <c r="U198" i="11"/>
  <c r="G198" i="11"/>
  <c r="U226" i="11"/>
  <c r="O226" i="11"/>
  <c r="U229" i="11"/>
  <c r="U234" i="11"/>
  <c r="R234" i="11"/>
  <c r="H256" i="11"/>
  <c r="R256" i="11"/>
  <c r="R271" i="11"/>
  <c r="R369" i="11"/>
  <c r="U369" i="11"/>
  <c r="K413" i="11"/>
  <c r="N413" i="11"/>
  <c r="N445" i="11"/>
  <c r="K445" i="11"/>
  <c r="H445" i="11"/>
  <c r="Y90" i="49"/>
  <c r="N90" i="49"/>
  <c r="J178" i="49"/>
  <c r="R178" i="49"/>
  <c r="X226" i="49"/>
  <c r="C226" i="49"/>
  <c r="E226" i="49" s="1"/>
  <c r="X263" i="49"/>
  <c r="S263" i="49"/>
  <c r="J263" i="49"/>
  <c r="R292" i="49"/>
  <c r="T292" i="49"/>
  <c r="L297" i="11"/>
  <c r="U373" i="11"/>
  <c r="K396" i="11"/>
  <c r="U420" i="11"/>
  <c r="Q468" i="11"/>
  <c r="S110" i="49"/>
  <c r="X146" i="49"/>
  <c r="Q396" i="11"/>
  <c r="R74" i="11"/>
  <c r="L106" i="11"/>
  <c r="R108" i="11"/>
  <c r="R112" i="11"/>
  <c r="R113" i="11"/>
  <c r="L118" i="11"/>
  <c r="D130" i="11"/>
  <c r="F129" i="69" s="1"/>
  <c r="G136" i="11"/>
  <c r="L138" i="11"/>
  <c r="G140" i="11"/>
  <c r="J150" i="11"/>
  <c r="D194" i="11"/>
  <c r="F193" i="69" s="1"/>
  <c r="I229" i="11"/>
  <c r="L230" i="11"/>
  <c r="M245" i="11"/>
  <c r="R251" i="11"/>
  <c r="H253" i="11"/>
  <c r="M269" i="11"/>
  <c r="H285" i="11"/>
  <c r="U297" i="11"/>
  <c r="R303" i="11"/>
  <c r="H305" i="11"/>
  <c r="U321" i="11"/>
  <c r="H328" i="11"/>
  <c r="H353" i="11"/>
  <c r="I356" i="11"/>
  <c r="M357" i="11"/>
  <c r="Q360" i="11"/>
  <c r="K361" i="11"/>
  <c r="H369" i="11"/>
  <c r="M371" i="11"/>
  <c r="Q373" i="11"/>
  <c r="D375" i="11"/>
  <c r="F374" i="69" s="1"/>
  <c r="I376" i="11"/>
  <c r="L377" i="11"/>
  <c r="M380" i="11"/>
  <c r="I383" i="11"/>
  <c r="H385" i="11"/>
  <c r="H389" i="11"/>
  <c r="R392" i="11"/>
  <c r="U392" i="11"/>
  <c r="Q392" i="11"/>
  <c r="Q398" i="11"/>
  <c r="R404" i="11"/>
  <c r="U404" i="11"/>
  <c r="K406" i="11"/>
  <c r="O408" i="11"/>
  <c r="L411" i="11"/>
  <c r="P436" i="11"/>
  <c r="D436" i="11"/>
  <c r="F435" i="69" s="1"/>
  <c r="D452" i="11"/>
  <c r="F451" i="69" s="1"/>
  <c r="N455" i="11"/>
  <c r="I455" i="11"/>
  <c r="P124" i="11"/>
  <c r="L136" i="11"/>
  <c r="R140" i="11"/>
  <c r="G194" i="11"/>
  <c r="O214" i="11"/>
  <c r="R229" i="11"/>
  <c r="R230" i="11"/>
  <c r="U253" i="11"/>
  <c r="U269" i="11"/>
  <c r="U285" i="11"/>
  <c r="I328" i="11"/>
  <c r="P356" i="11"/>
  <c r="L369" i="11"/>
  <c r="I375" i="11"/>
  <c r="Q377" i="11"/>
  <c r="M383" i="11"/>
  <c r="M385" i="11"/>
  <c r="U399" i="11"/>
  <c r="Q399" i="11"/>
  <c r="D399" i="11"/>
  <c r="F398" i="69" s="1"/>
  <c r="K402" i="11"/>
  <c r="D404" i="11"/>
  <c r="F403" i="69" s="1"/>
  <c r="D423" i="11"/>
  <c r="F422" i="69" s="1"/>
  <c r="J450" i="11"/>
  <c r="D450" i="11"/>
  <c r="F449" i="69" s="1"/>
  <c r="M452" i="11"/>
  <c r="O464" i="11"/>
  <c r="L464" i="11"/>
  <c r="H464" i="11"/>
  <c r="I467" i="11"/>
  <c r="P467" i="11"/>
  <c r="O130" i="11"/>
  <c r="K194" i="11"/>
  <c r="Q369" i="11"/>
  <c r="M375" i="11"/>
  <c r="U385" i="11"/>
  <c r="J401" i="11"/>
  <c r="N401" i="11"/>
  <c r="Q403" i="11"/>
  <c r="J403" i="11"/>
  <c r="L415" i="11"/>
  <c r="K425" i="11"/>
  <c r="H425" i="11"/>
  <c r="N473" i="11"/>
  <c r="O473" i="11"/>
  <c r="K473" i="11"/>
  <c r="R194" i="11"/>
  <c r="K452" i="11"/>
  <c r="U452" i="11"/>
  <c r="N458" i="11"/>
  <c r="J458" i="11"/>
  <c r="D458" i="11"/>
  <c r="F457" i="69" s="1"/>
  <c r="N465" i="11"/>
  <c r="P465" i="11"/>
  <c r="Q474" i="11"/>
  <c r="N474" i="11"/>
  <c r="M420" i="11"/>
  <c r="K446" i="11"/>
  <c r="K468" i="11"/>
  <c r="P471" i="11"/>
  <c r="H483" i="11"/>
  <c r="O484" i="11"/>
  <c r="B7" i="49"/>
  <c r="C8" i="49"/>
  <c r="E8" i="49" s="1"/>
  <c r="B19" i="49"/>
  <c r="T32" i="49"/>
  <c r="N37" i="49"/>
  <c r="T41" i="49"/>
  <c r="P43" i="49"/>
  <c r="J45" i="49"/>
  <c r="T53" i="49"/>
  <c r="X71" i="49"/>
  <c r="L80" i="49"/>
  <c r="B91" i="49"/>
  <c r="B93" i="49"/>
  <c r="C103" i="49"/>
  <c r="E103" i="49" s="1"/>
  <c r="B122" i="49"/>
  <c r="V122" i="49"/>
  <c r="J123" i="49"/>
  <c r="N131" i="49"/>
  <c r="W132" i="49"/>
  <c r="S134" i="49"/>
  <c r="W148" i="49"/>
  <c r="C150" i="49"/>
  <c r="E150" i="49" s="1"/>
  <c r="L153" i="49"/>
  <c r="L166" i="49"/>
  <c r="B169" i="49"/>
  <c r="C170" i="49"/>
  <c r="E170" i="49" s="1"/>
  <c r="V183" i="49"/>
  <c r="K185" i="49"/>
  <c r="B190" i="49"/>
  <c r="R190" i="49"/>
  <c r="B193" i="49"/>
  <c r="Y194" i="49"/>
  <c r="P224" i="49"/>
  <c r="S225" i="49"/>
  <c r="K226" i="49"/>
  <c r="B245" i="49"/>
  <c r="O246" i="49"/>
  <c r="J254" i="49"/>
  <c r="J255" i="49"/>
  <c r="N257" i="49"/>
  <c r="W261" i="49"/>
  <c r="T262" i="49"/>
  <c r="W270" i="49"/>
  <c r="O274" i="49"/>
  <c r="C277" i="49"/>
  <c r="E277" i="49" s="1"/>
  <c r="Q290" i="49"/>
  <c r="B307" i="49"/>
  <c r="J309" i="49"/>
  <c r="U446" i="11"/>
  <c r="L7" i="49"/>
  <c r="O8" i="49"/>
  <c r="L19" i="49"/>
  <c r="B26" i="49"/>
  <c r="B41" i="49"/>
  <c r="X41" i="49"/>
  <c r="M45" i="49"/>
  <c r="J52" i="49"/>
  <c r="N70" i="49"/>
  <c r="T78" i="49"/>
  <c r="Q80" i="49"/>
  <c r="X91" i="49"/>
  <c r="J93" i="49"/>
  <c r="B95" i="49"/>
  <c r="O96" i="49"/>
  <c r="J100" i="49"/>
  <c r="C102" i="49"/>
  <c r="E102" i="49" s="1"/>
  <c r="J103" i="49"/>
  <c r="J104" i="49"/>
  <c r="S116" i="49"/>
  <c r="C122" i="49"/>
  <c r="E122" i="49" s="1"/>
  <c r="X122" i="49"/>
  <c r="N123" i="49"/>
  <c r="R146" i="49"/>
  <c r="B148" i="49"/>
  <c r="N150" i="49"/>
  <c r="X151" i="49"/>
  <c r="O164" i="49"/>
  <c r="N169" i="49"/>
  <c r="N170" i="49"/>
  <c r="S171" i="49"/>
  <c r="L182" i="49"/>
  <c r="X185" i="49"/>
  <c r="C190" i="49"/>
  <c r="E190" i="49" s="1"/>
  <c r="T190" i="49"/>
  <c r="L192" i="49"/>
  <c r="C193" i="49"/>
  <c r="E193" i="49" s="1"/>
  <c r="B194" i="49"/>
  <c r="S226" i="49"/>
  <c r="K245" i="49"/>
  <c r="B246" i="49"/>
  <c r="R246" i="49"/>
  <c r="C250" i="49"/>
  <c r="E250" i="49" s="1"/>
  <c r="S254" i="49"/>
  <c r="V255" i="49"/>
  <c r="B261" i="49"/>
  <c r="X261" i="49"/>
  <c r="V263" i="49"/>
  <c r="C270" i="49"/>
  <c r="E270" i="49" s="1"/>
  <c r="X270" i="49"/>
  <c r="K272" i="49"/>
  <c r="B274" i="49"/>
  <c r="R274" i="49"/>
  <c r="J292" i="49"/>
  <c r="M293" i="49"/>
  <c r="Y297" i="49"/>
  <c r="R307" i="49"/>
  <c r="L309" i="49"/>
  <c r="R7" i="49"/>
  <c r="T45" i="49"/>
  <c r="R93" i="49"/>
  <c r="R103" i="49"/>
  <c r="K122" i="49"/>
  <c r="T123" i="49"/>
  <c r="T150" i="49"/>
  <c r="T170" i="49"/>
  <c r="J190" i="49"/>
  <c r="X190" i="49"/>
  <c r="R193" i="49"/>
  <c r="W245" i="49"/>
  <c r="W254" i="49"/>
  <c r="T103" i="49"/>
  <c r="R122" i="49"/>
  <c r="O190" i="49"/>
  <c r="V193" i="49"/>
  <c r="X245" i="49"/>
  <c r="U137" i="11"/>
  <c r="U154" i="11"/>
  <c r="K154" i="11"/>
  <c r="R154" i="11"/>
  <c r="U156" i="11"/>
  <c r="L156" i="11"/>
  <c r="D156" i="11"/>
  <c r="F155" i="69" s="1"/>
  <c r="O156" i="11"/>
  <c r="U182" i="11"/>
  <c r="R182" i="11"/>
  <c r="D182" i="11"/>
  <c r="F181" i="69" s="1"/>
  <c r="K182" i="11"/>
  <c r="U222" i="11"/>
  <c r="R222" i="11"/>
  <c r="G222" i="11"/>
  <c r="P10" i="11"/>
  <c r="K34" i="11"/>
  <c r="O46" i="11"/>
  <c r="K64" i="11"/>
  <c r="O64" i="11"/>
  <c r="P74" i="11"/>
  <c r="O82" i="11"/>
  <c r="M117" i="11"/>
  <c r="U134" i="11"/>
  <c r="G134" i="11"/>
  <c r="I137" i="11"/>
  <c r="U145" i="11"/>
  <c r="D154" i="11"/>
  <c r="F153" i="69" s="1"/>
  <c r="R156" i="11"/>
  <c r="U158" i="11"/>
  <c r="R158" i="11"/>
  <c r="U176" i="11"/>
  <c r="P176" i="11"/>
  <c r="G182" i="11"/>
  <c r="H244" i="11"/>
  <c r="R244" i="11"/>
  <c r="P4" i="11"/>
  <c r="U197" i="11"/>
  <c r="H197" i="11"/>
  <c r="U228" i="11"/>
  <c r="R228" i="11"/>
  <c r="G228" i="11"/>
  <c r="O4" i="11"/>
  <c r="O18" i="11"/>
  <c r="P48" i="11"/>
  <c r="O56" i="11"/>
  <c r="O58" i="11"/>
  <c r="K118" i="11"/>
  <c r="L123" i="11"/>
  <c r="J124" i="11"/>
  <c r="G126" i="11"/>
  <c r="U133" i="11"/>
  <c r="L134" i="11"/>
  <c r="R137" i="11"/>
  <c r="Q139" i="11"/>
  <c r="R145" i="11"/>
  <c r="G154" i="11"/>
  <c r="L155" i="11"/>
  <c r="G156" i="11"/>
  <c r="U157" i="11"/>
  <c r="D157" i="11"/>
  <c r="F156" i="69" s="1"/>
  <c r="G158" i="11"/>
  <c r="U168" i="11"/>
  <c r="K168" i="11"/>
  <c r="R168" i="11"/>
  <c r="O182" i="11"/>
  <c r="U201" i="11"/>
  <c r="Q203" i="11"/>
  <c r="U220" i="11"/>
  <c r="L220" i="11"/>
  <c r="U232" i="11"/>
  <c r="R232" i="11"/>
  <c r="G232" i="11"/>
  <c r="P68" i="11"/>
  <c r="Q99" i="11"/>
  <c r="O6" i="11"/>
  <c r="K8" i="11"/>
  <c r="O8" i="11"/>
  <c r="K10" i="11"/>
  <c r="O10" i="11"/>
  <c r="P26" i="11"/>
  <c r="P36" i="11"/>
  <c r="P50" i="11"/>
  <c r="O68" i="11"/>
  <c r="L124" i="11"/>
  <c r="I125" i="11"/>
  <c r="R126" i="11"/>
  <c r="U130" i="11"/>
  <c r="R130" i="11"/>
  <c r="G130" i="11"/>
  <c r="L130" i="11"/>
  <c r="I133" i="11"/>
  <c r="R134" i="11"/>
  <c r="U138" i="11"/>
  <c r="G138" i="11"/>
  <c r="U146" i="11"/>
  <c r="R146" i="11"/>
  <c r="O154" i="11"/>
  <c r="Q155" i="11"/>
  <c r="K156" i="11"/>
  <c r="I157" i="11"/>
  <c r="K158" i="11"/>
  <c r="U164" i="11"/>
  <c r="R164" i="11"/>
  <c r="K164" i="11"/>
  <c r="G168" i="11"/>
  <c r="R201" i="11"/>
  <c r="R242" i="11"/>
  <c r="P324" i="11"/>
  <c r="W7" i="49"/>
  <c r="W8" i="49"/>
  <c r="B11" i="49"/>
  <c r="L15" i="49"/>
  <c r="C16" i="49"/>
  <c r="E16" i="49" s="1"/>
  <c r="R19" i="49"/>
  <c r="O20" i="49"/>
  <c r="P37" i="49"/>
  <c r="N40" i="49"/>
  <c r="N44" i="49"/>
  <c r="R54" i="49"/>
  <c r="P60" i="49"/>
  <c r="B62" i="49"/>
  <c r="Y70" i="49"/>
  <c r="J79" i="49"/>
  <c r="N82" i="49"/>
  <c r="M83" i="49"/>
  <c r="M85" i="49"/>
  <c r="T90" i="49"/>
  <c r="J91" i="49"/>
  <c r="C95" i="49"/>
  <c r="E95" i="49" s="1"/>
  <c r="R95" i="49"/>
  <c r="J99" i="49"/>
  <c r="X99" i="49"/>
  <c r="N103" i="49"/>
  <c r="W103" i="49"/>
  <c r="O104" i="49"/>
  <c r="B113" i="49"/>
  <c r="K117" i="49"/>
  <c r="B119" i="49"/>
  <c r="O119" i="49"/>
  <c r="K124" i="49"/>
  <c r="W129" i="49"/>
  <c r="K129" i="49"/>
  <c r="R129" i="49"/>
  <c r="P131" i="49"/>
  <c r="J131" i="49"/>
  <c r="V131" i="49"/>
  <c r="T135" i="49"/>
  <c r="X135" i="49"/>
  <c r="N135" i="49"/>
  <c r="W149" i="49"/>
  <c r="R149" i="49"/>
  <c r="R177" i="49"/>
  <c r="C177" i="49"/>
  <c r="E177" i="49" s="1"/>
  <c r="B177" i="49"/>
  <c r="V187" i="49"/>
  <c r="C187" i="49"/>
  <c r="E187" i="49" s="1"/>
  <c r="R204" i="11"/>
  <c r="R209" i="11"/>
  <c r="R210" i="11"/>
  <c r="G214" i="11"/>
  <c r="R214" i="11"/>
  <c r="G226" i="11"/>
  <c r="R226" i="11"/>
  <c r="U245" i="11"/>
  <c r="R247" i="11"/>
  <c r="H249" i="11"/>
  <c r="R259" i="11"/>
  <c r="R262" i="11"/>
  <c r="R264" i="11"/>
  <c r="R274" i="11"/>
  <c r="R276" i="11"/>
  <c r="U277" i="11"/>
  <c r="H280" i="11"/>
  <c r="L285" i="11"/>
  <c r="H301" i="11"/>
  <c r="N306" i="11"/>
  <c r="D311" i="11"/>
  <c r="F310" i="69" s="1"/>
  <c r="H317" i="11"/>
  <c r="D324" i="11"/>
  <c r="F323" i="69" s="1"/>
  <c r="Q324" i="11"/>
  <c r="N327" i="11"/>
  <c r="H332" i="11"/>
  <c r="M339" i="11"/>
  <c r="M353" i="11"/>
  <c r="L11" i="49"/>
  <c r="C12" i="49"/>
  <c r="E12" i="49" s="1"/>
  <c r="R15" i="49"/>
  <c r="O16" i="49"/>
  <c r="W19" i="49"/>
  <c r="W20" i="49"/>
  <c r="R41" i="49"/>
  <c r="R45" i="49"/>
  <c r="N48" i="49"/>
  <c r="J53" i="49"/>
  <c r="J69" i="49"/>
  <c r="Q72" i="49"/>
  <c r="J81" i="49"/>
  <c r="Y82" i="49"/>
  <c r="U83" i="49"/>
  <c r="X85" i="49"/>
  <c r="M91" i="49"/>
  <c r="J95" i="49"/>
  <c r="T95" i="49"/>
  <c r="J96" i="49"/>
  <c r="N99" i="49"/>
  <c r="B103" i="49"/>
  <c r="O103" i="49"/>
  <c r="X103" i="49"/>
  <c r="T104" i="49"/>
  <c r="O113" i="49"/>
  <c r="C115" i="49"/>
  <c r="E115" i="49" s="1"/>
  <c r="J116" i="49"/>
  <c r="R117" i="49"/>
  <c r="C119" i="49"/>
  <c r="E119" i="49" s="1"/>
  <c r="R119" i="49"/>
  <c r="P124" i="49"/>
  <c r="B129" i="49"/>
  <c r="V129" i="49"/>
  <c r="C131" i="49"/>
  <c r="E131" i="49" s="1"/>
  <c r="T136" i="49"/>
  <c r="V136" i="49"/>
  <c r="T138" i="49"/>
  <c r="J138" i="49"/>
  <c r="S138" i="49"/>
  <c r="B138" i="49"/>
  <c r="O140" i="49"/>
  <c r="B140" i="49"/>
  <c r="R165" i="49"/>
  <c r="P165" i="49"/>
  <c r="W177" i="49"/>
  <c r="K214" i="11"/>
  <c r="K226" i="11"/>
  <c r="U249" i="11"/>
  <c r="M261" i="11"/>
  <c r="R282" i="11"/>
  <c r="D285" i="11"/>
  <c r="F284" i="69" s="1"/>
  <c r="M285" i="11"/>
  <c r="U301" i="11"/>
  <c r="N311" i="11"/>
  <c r="U317" i="11"/>
  <c r="H324" i="11"/>
  <c r="P328" i="11"/>
  <c r="I332" i="11"/>
  <c r="M333" i="11"/>
  <c r="H344" i="11"/>
  <c r="D353" i="11"/>
  <c r="F352" i="69" s="1"/>
  <c r="P353" i="11"/>
  <c r="U357" i="11"/>
  <c r="H360" i="11"/>
  <c r="R11" i="49"/>
  <c r="W15" i="49"/>
  <c r="W16" i="49"/>
  <c r="U91" i="49"/>
  <c r="N95" i="49"/>
  <c r="W95" i="49"/>
  <c r="R99" i="49"/>
  <c r="V113" i="49"/>
  <c r="J119" i="49"/>
  <c r="J188" i="11"/>
  <c r="L190" i="11"/>
  <c r="O194" i="11"/>
  <c r="R198" i="11"/>
  <c r="R202" i="11"/>
  <c r="G204" i="11"/>
  <c r="I205" i="11"/>
  <c r="H209" i="11"/>
  <c r="G210" i="11"/>
  <c r="D214" i="11"/>
  <c r="F213" i="69" s="1"/>
  <c r="L214" i="11"/>
  <c r="L219" i="11"/>
  <c r="D226" i="11"/>
  <c r="F225" i="69" s="1"/>
  <c r="L226" i="11"/>
  <c r="U241" i="11"/>
  <c r="R243" i="11"/>
  <c r="R246" i="11"/>
  <c r="R248" i="11"/>
  <c r="M253" i="11"/>
  <c r="R258" i="11"/>
  <c r="R260" i="11"/>
  <c r="U261" i="11"/>
  <c r="R263" i="11"/>
  <c r="H265" i="11"/>
  <c r="U273" i="11"/>
  <c r="R275" i="11"/>
  <c r="H277" i="11"/>
  <c r="H281" i="11"/>
  <c r="P285" i="11"/>
  <c r="Q297" i="11"/>
  <c r="U305" i="11"/>
  <c r="M307" i="11"/>
  <c r="I324" i="11"/>
  <c r="D328" i="11"/>
  <c r="F327" i="69" s="1"/>
  <c r="Q328" i="11"/>
  <c r="U331" i="11"/>
  <c r="P332" i="11"/>
  <c r="D340" i="11"/>
  <c r="F339" i="69" s="1"/>
  <c r="Q344" i="11"/>
  <c r="D347" i="11"/>
  <c r="F346" i="69" s="1"/>
  <c r="H356" i="11"/>
  <c r="D357" i="11"/>
  <c r="F356" i="69" s="1"/>
  <c r="W11" i="49"/>
  <c r="S119" i="49"/>
  <c r="W119" i="49"/>
  <c r="N119" i="49"/>
  <c r="X119" i="49"/>
  <c r="V124" i="49"/>
  <c r="C124" i="49"/>
  <c r="E124" i="49" s="1"/>
  <c r="V171" i="49"/>
  <c r="S178" i="49"/>
  <c r="P185" i="49"/>
  <c r="R186" i="49"/>
  <c r="N191" i="49"/>
  <c r="C202" i="49"/>
  <c r="E202" i="49" s="1"/>
  <c r="X202" i="49"/>
  <c r="K209" i="49"/>
  <c r="C210" i="49"/>
  <c r="E210" i="49" s="1"/>
  <c r="T213" i="49"/>
  <c r="C218" i="49"/>
  <c r="E218" i="49" s="1"/>
  <c r="K220" i="49"/>
  <c r="O237" i="49"/>
  <c r="B239" i="49"/>
  <c r="W239" i="49"/>
  <c r="B241" i="49"/>
  <c r="C247" i="49"/>
  <c r="E247" i="49" s="1"/>
  <c r="S247" i="49"/>
  <c r="B253" i="49"/>
  <c r="W253" i="49"/>
  <c r="J258" i="49"/>
  <c r="P260" i="49"/>
  <c r="N262" i="49"/>
  <c r="W262" i="49"/>
  <c r="T266" i="49"/>
  <c r="X269" i="49"/>
  <c r="V271" i="49"/>
  <c r="M280" i="49"/>
  <c r="Y313" i="49"/>
  <c r="P122" i="49"/>
  <c r="R123" i="49"/>
  <c r="J146" i="49"/>
  <c r="T146" i="49"/>
  <c r="O150" i="49"/>
  <c r="J151" i="49"/>
  <c r="J154" i="49"/>
  <c r="O170" i="49"/>
  <c r="C171" i="49"/>
  <c r="E171" i="49" s="1"/>
  <c r="B173" i="49"/>
  <c r="C178" i="49"/>
  <c r="E178" i="49" s="1"/>
  <c r="K183" i="49"/>
  <c r="L184" i="49"/>
  <c r="B185" i="49"/>
  <c r="R185" i="49"/>
  <c r="B186" i="49"/>
  <c r="S186" i="49"/>
  <c r="N190" i="49"/>
  <c r="W190" i="49"/>
  <c r="V192" i="49"/>
  <c r="K193" i="49"/>
  <c r="X193" i="49"/>
  <c r="O194" i="49"/>
  <c r="X195" i="49"/>
  <c r="O197" i="49"/>
  <c r="K202" i="49"/>
  <c r="O209" i="49"/>
  <c r="W210" i="49"/>
  <c r="O212" i="49"/>
  <c r="C216" i="49"/>
  <c r="E216" i="49" s="1"/>
  <c r="O220" i="49"/>
  <c r="R235" i="49"/>
  <c r="J239" i="49"/>
  <c r="O241" i="49"/>
  <c r="N245" i="49"/>
  <c r="N246" i="49"/>
  <c r="W246" i="49"/>
  <c r="J247" i="49"/>
  <c r="V247" i="49"/>
  <c r="B249" i="49"/>
  <c r="C253" i="49"/>
  <c r="E253" i="49" s="1"/>
  <c r="X253" i="49"/>
  <c r="L254" i="49"/>
  <c r="L258" i="49"/>
  <c r="N259" i="49"/>
  <c r="B262" i="49"/>
  <c r="O262" i="49"/>
  <c r="X262" i="49"/>
  <c r="K263" i="49"/>
  <c r="B266" i="49"/>
  <c r="B269" i="49"/>
  <c r="R270" i="49"/>
  <c r="J271" i="49"/>
  <c r="N274" i="49"/>
  <c r="W274" i="49"/>
  <c r="B276" i="49"/>
  <c r="P277" i="49"/>
  <c r="L279" i="49"/>
  <c r="P280" i="49"/>
  <c r="Y283" i="49"/>
  <c r="X292" i="49"/>
  <c r="X293" i="49"/>
  <c r="M297" i="49"/>
  <c r="M304" i="49"/>
  <c r="N146" i="49"/>
  <c r="W146" i="49"/>
  <c r="K151" i="49"/>
  <c r="T183" i="49"/>
  <c r="T184" i="49"/>
  <c r="C185" i="49"/>
  <c r="E185" i="49" s="1"/>
  <c r="V185" i="49"/>
  <c r="J186" i="49"/>
  <c r="P193" i="49"/>
  <c r="O202" i="49"/>
  <c r="X220" i="49"/>
  <c r="O239" i="49"/>
  <c r="K247" i="49"/>
  <c r="N253" i="49"/>
  <c r="S258" i="49"/>
  <c r="C262" i="49"/>
  <c r="E262" i="49" s="1"/>
  <c r="R262" i="49"/>
  <c r="P263" i="49"/>
  <c r="K271" i="49"/>
  <c r="Y277" i="49"/>
  <c r="N297" i="49"/>
  <c r="Y300" i="49"/>
  <c r="R304" i="49"/>
  <c r="W202" i="49"/>
  <c r="V239" i="49"/>
  <c r="P247" i="49"/>
  <c r="W258" i="49"/>
  <c r="Q11" i="11"/>
  <c r="K20" i="11"/>
  <c r="P22" i="11"/>
  <c r="P28" i="11"/>
  <c r="K36" i="11"/>
  <c r="P42" i="11"/>
  <c r="Q43" i="11"/>
  <c r="O50" i="11"/>
  <c r="K58" i="11"/>
  <c r="K72" i="11"/>
  <c r="O72" i="11"/>
  <c r="K84" i="11"/>
  <c r="O84" i="11"/>
  <c r="O122" i="11"/>
  <c r="U144" i="11"/>
  <c r="K144" i="11"/>
  <c r="P144" i="11"/>
  <c r="U165" i="11"/>
  <c r="R165" i="11"/>
  <c r="U172" i="11"/>
  <c r="G172" i="11"/>
  <c r="R172" i="11"/>
  <c r="Q187" i="11"/>
  <c r="H189" i="11"/>
  <c r="U218" i="11"/>
  <c r="O218" i="11"/>
  <c r="G218" i="11"/>
  <c r="L218" i="11"/>
  <c r="R218" i="11"/>
  <c r="K218" i="11"/>
  <c r="D218" i="11"/>
  <c r="F217" i="69" s="1"/>
  <c r="R12" i="11"/>
  <c r="K30" i="11"/>
  <c r="K38" i="11"/>
  <c r="K44" i="11"/>
  <c r="K48" i="11"/>
  <c r="Q51" i="11"/>
  <c r="Q59" i="11"/>
  <c r="K66" i="11"/>
  <c r="K68" i="11"/>
  <c r="P84" i="11"/>
  <c r="O88" i="11"/>
  <c r="P94" i="11"/>
  <c r="U104" i="11"/>
  <c r="G104" i="11"/>
  <c r="P104" i="11"/>
  <c r="M121" i="11"/>
  <c r="G122" i="11"/>
  <c r="P122" i="11"/>
  <c r="U124" i="11"/>
  <c r="O124" i="11"/>
  <c r="G124" i="11"/>
  <c r="K124" i="11"/>
  <c r="U125" i="11"/>
  <c r="R125" i="11"/>
  <c r="D125" i="11"/>
  <c r="F124" i="69" s="1"/>
  <c r="U126" i="11"/>
  <c r="K126" i="11"/>
  <c r="P126" i="11"/>
  <c r="U132" i="11"/>
  <c r="P132" i="11"/>
  <c r="K132" i="11"/>
  <c r="G144" i="11"/>
  <c r="U150" i="11"/>
  <c r="O150" i="11"/>
  <c r="G150" i="11"/>
  <c r="R150" i="11"/>
  <c r="K150" i="11"/>
  <c r="D150" i="11"/>
  <c r="F149" i="69" s="1"/>
  <c r="P150" i="11"/>
  <c r="J162" i="11"/>
  <c r="Q163" i="11"/>
  <c r="I165" i="11"/>
  <c r="U170" i="11"/>
  <c r="R170" i="11"/>
  <c r="G170" i="11"/>
  <c r="L172" i="11"/>
  <c r="U177" i="11"/>
  <c r="R177" i="11"/>
  <c r="J186" i="11"/>
  <c r="L187" i="11"/>
  <c r="J218" i="11"/>
  <c r="K12" i="11"/>
  <c r="P14" i="11"/>
  <c r="K16" i="11"/>
  <c r="P18" i="11"/>
  <c r="Q19" i="11"/>
  <c r="K22" i="11"/>
  <c r="P24" i="11"/>
  <c r="K28" i="11"/>
  <c r="O30" i="11"/>
  <c r="K32" i="11"/>
  <c r="P34" i="11"/>
  <c r="O38" i="11"/>
  <c r="K42" i="11"/>
  <c r="P46" i="11"/>
  <c r="K56" i="11"/>
  <c r="P58" i="11"/>
  <c r="K60" i="11"/>
  <c r="P62" i="11"/>
  <c r="R66" i="11"/>
  <c r="P72" i="11"/>
  <c r="K74" i="11"/>
  <c r="O74" i="11"/>
  <c r="P76" i="11"/>
  <c r="R80" i="11"/>
  <c r="P80" i="11"/>
  <c r="P88" i="11"/>
  <c r="O90" i="11"/>
  <c r="Q91" i="11"/>
  <c r="R93" i="11"/>
  <c r="P100" i="11"/>
  <c r="U105" i="11"/>
  <c r="R105" i="11"/>
  <c r="U112" i="11"/>
  <c r="K112" i="11"/>
  <c r="P112" i="11"/>
  <c r="N121" i="11"/>
  <c r="U136" i="11"/>
  <c r="P136" i="11"/>
  <c r="K136" i="11"/>
  <c r="L144" i="11"/>
  <c r="U166" i="11"/>
  <c r="R166" i="11"/>
  <c r="G166" i="11"/>
  <c r="U173" i="11"/>
  <c r="I173" i="11"/>
  <c r="U188" i="11"/>
  <c r="O188" i="11"/>
  <c r="G188" i="11"/>
  <c r="R188" i="11"/>
  <c r="K188" i="11"/>
  <c r="D188" i="11"/>
  <c r="F187" i="69" s="1"/>
  <c r="P188" i="11"/>
  <c r="U190" i="11"/>
  <c r="K190" i="11"/>
  <c r="P190" i="11"/>
  <c r="U196" i="11"/>
  <c r="K196" i="11"/>
  <c r="R196" i="11"/>
  <c r="G196" i="11"/>
  <c r="P196" i="11"/>
  <c r="P218" i="11"/>
  <c r="R8" i="11"/>
  <c r="R9" i="11"/>
  <c r="O16" i="11"/>
  <c r="R20" i="11"/>
  <c r="O22" i="11"/>
  <c r="R36" i="11"/>
  <c r="P38" i="11"/>
  <c r="K40" i="11"/>
  <c r="O42" i="11"/>
  <c r="P44" i="11"/>
  <c r="O48" i="11"/>
  <c r="K50" i="11"/>
  <c r="K52" i="11"/>
  <c r="O60" i="11"/>
  <c r="O66" i="11"/>
  <c r="Q67" i="11"/>
  <c r="O80" i="11"/>
  <c r="U122" i="11"/>
  <c r="R122" i="11"/>
  <c r="K122" i="11"/>
  <c r="D122" i="11"/>
  <c r="F121" i="69" s="1"/>
  <c r="L122" i="11"/>
  <c r="U162" i="11"/>
  <c r="O162" i="11"/>
  <c r="G162" i="11"/>
  <c r="R162" i="11"/>
  <c r="K162" i="11"/>
  <c r="D162" i="11"/>
  <c r="F161" i="69" s="1"/>
  <c r="P162" i="11"/>
  <c r="U169" i="11"/>
  <c r="R169" i="11"/>
  <c r="H169" i="11"/>
  <c r="Q171" i="11"/>
  <c r="U178" i="11"/>
  <c r="G178" i="11"/>
  <c r="R178" i="11"/>
  <c r="U186" i="11"/>
  <c r="R186" i="11"/>
  <c r="K186" i="11"/>
  <c r="D186" i="11"/>
  <c r="F185" i="69" s="1"/>
  <c r="O186" i="11"/>
  <c r="G186" i="11"/>
  <c r="P186" i="11"/>
  <c r="U189" i="11"/>
  <c r="R189" i="11"/>
  <c r="D189" i="11"/>
  <c r="F188" i="69" s="1"/>
  <c r="I189" i="11"/>
  <c r="U200" i="11"/>
  <c r="K200" i="11"/>
  <c r="R200" i="11"/>
  <c r="G200" i="11"/>
  <c r="P200" i="11"/>
  <c r="O96" i="11"/>
  <c r="P98" i="11"/>
  <c r="P102" i="11"/>
  <c r="J118" i="11"/>
  <c r="P118" i="11"/>
  <c r="J130" i="11"/>
  <c r="P130" i="11"/>
  <c r="L140" i="11"/>
  <c r="I145" i="11"/>
  <c r="L146" i="11"/>
  <c r="L154" i="11"/>
  <c r="J156" i="11"/>
  <c r="P156" i="11"/>
  <c r="L158" i="11"/>
  <c r="L164" i="11"/>
  <c r="L168" i="11"/>
  <c r="G176" i="11"/>
  <c r="R176" i="11"/>
  <c r="L182" i="11"/>
  <c r="L194" i="11"/>
  <c r="I197" i="11"/>
  <c r="L198" i="11"/>
  <c r="I201" i="11"/>
  <c r="L202" i="11"/>
  <c r="K208" i="11"/>
  <c r="J214" i="11"/>
  <c r="P214" i="11"/>
  <c r="Q219" i="11"/>
  <c r="G220" i="11"/>
  <c r="O220" i="11"/>
  <c r="D221" i="11"/>
  <c r="F220" i="69" s="1"/>
  <c r="R221" i="11"/>
  <c r="K222" i="11"/>
  <c r="J226" i="11"/>
  <c r="P226" i="11"/>
  <c r="K228" i="11"/>
  <c r="K232" i="11"/>
  <c r="M241" i="11"/>
  <c r="M249" i="11"/>
  <c r="M257" i="11"/>
  <c r="M265" i="11"/>
  <c r="M273" i="11"/>
  <c r="R280" i="11"/>
  <c r="L281" i="11"/>
  <c r="K285" i="11"/>
  <c r="Q285" i="11"/>
  <c r="R286" i="11"/>
  <c r="R291" i="11"/>
  <c r="H293" i="11"/>
  <c r="M297" i="11"/>
  <c r="M301" i="11"/>
  <c r="Q304" i="11"/>
  <c r="L305" i="11"/>
  <c r="U309" i="11"/>
  <c r="M311" i="11"/>
  <c r="H313" i="11"/>
  <c r="M317" i="11"/>
  <c r="M321" i="11"/>
  <c r="M324" i="11"/>
  <c r="M328" i="11"/>
  <c r="Q332" i="11"/>
  <c r="H333" i="11"/>
  <c r="P333" i="11"/>
  <c r="J334" i="11"/>
  <c r="D336" i="11"/>
  <c r="F335" i="69" s="1"/>
  <c r="P336" i="11"/>
  <c r="H340" i="11"/>
  <c r="Q340" i="11"/>
  <c r="M343" i="11"/>
  <c r="I344" i="11"/>
  <c r="I347" i="11"/>
  <c r="I348" i="11"/>
  <c r="H349" i="11"/>
  <c r="U349" i="11"/>
  <c r="H352" i="11"/>
  <c r="R353" i="11"/>
  <c r="Q353" i="11"/>
  <c r="K353" i="11"/>
  <c r="L353" i="11"/>
  <c r="O360" i="11"/>
  <c r="P360" i="11"/>
  <c r="R361" i="11"/>
  <c r="M361" i="11"/>
  <c r="L361" i="11"/>
  <c r="Q368" i="11"/>
  <c r="Q376" i="11"/>
  <c r="M387" i="11"/>
  <c r="M389" i="11"/>
  <c r="Q391" i="11"/>
  <c r="K393" i="11"/>
  <c r="U395" i="11"/>
  <c r="J395" i="11"/>
  <c r="R396" i="11"/>
  <c r="U396" i="11"/>
  <c r="L396" i="11"/>
  <c r="D396" i="11"/>
  <c r="F395" i="69" s="1"/>
  <c r="M396" i="11"/>
  <c r="H397" i="11"/>
  <c r="U398" i="11"/>
  <c r="I398" i="11"/>
  <c r="J407" i="11"/>
  <c r="D410" i="11"/>
  <c r="F409" i="69" s="1"/>
  <c r="O414" i="11"/>
  <c r="U414" i="11"/>
  <c r="K414" i="11"/>
  <c r="N421" i="11"/>
  <c r="J421" i="11"/>
  <c r="P421" i="11"/>
  <c r="H421" i="11"/>
  <c r="U423" i="11"/>
  <c r="J423" i="11"/>
  <c r="Q423" i="11"/>
  <c r="I423" i="11"/>
  <c r="I428" i="11"/>
  <c r="P428" i="11"/>
  <c r="H428" i="11"/>
  <c r="O428" i="11"/>
  <c r="D428" i="11"/>
  <c r="F427" i="69" s="1"/>
  <c r="U439" i="11"/>
  <c r="J439" i="11"/>
  <c r="N439" i="11"/>
  <c r="I439" i="11"/>
  <c r="Q439" i="11"/>
  <c r="D439" i="11"/>
  <c r="F438" i="69" s="1"/>
  <c r="L208" i="11"/>
  <c r="J220" i="11"/>
  <c r="P220" i="11"/>
  <c r="H221" i="11"/>
  <c r="L222" i="11"/>
  <c r="L228" i="11"/>
  <c r="L232" i="11"/>
  <c r="M281" i="11"/>
  <c r="M293" i="11"/>
  <c r="M305" i="11"/>
  <c r="M313" i="11"/>
  <c r="K333" i="11"/>
  <c r="Q333" i="11"/>
  <c r="H336" i="11"/>
  <c r="Q336" i="11"/>
  <c r="M344" i="11"/>
  <c r="Q348" i="11"/>
  <c r="I352" i="11"/>
  <c r="J397" i="11"/>
  <c r="N410" i="11"/>
  <c r="U419" i="11"/>
  <c r="L419" i="11"/>
  <c r="U426" i="11"/>
  <c r="J426" i="11"/>
  <c r="Q426" i="11"/>
  <c r="I426" i="11"/>
  <c r="O426" i="11"/>
  <c r="D426" i="11"/>
  <c r="F425" i="69" s="1"/>
  <c r="L443" i="11"/>
  <c r="P443" i="11"/>
  <c r="I443" i="11"/>
  <c r="D443" i="11"/>
  <c r="F442" i="69" s="1"/>
  <c r="J154" i="11"/>
  <c r="P154" i="11"/>
  <c r="N157" i="11"/>
  <c r="L176" i="11"/>
  <c r="J182" i="11"/>
  <c r="P182" i="11"/>
  <c r="J194" i="11"/>
  <c r="P194" i="11"/>
  <c r="P208" i="11"/>
  <c r="D220" i="11"/>
  <c r="F219" i="69" s="1"/>
  <c r="K220" i="11"/>
  <c r="R220" i="11"/>
  <c r="I221" i="11"/>
  <c r="P222" i="11"/>
  <c r="P228" i="11"/>
  <c r="P232" i="11"/>
  <c r="Q281" i="11"/>
  <c r="R287" i="11"/>
  <c r="R292" i="11"/>
  <c r="U293" i="11"/>
  <c r="H296" i="11"/>
  <c r="Q305" i="11"/>
  <c r="H309" i="11"/>
  <c r="U313" i="11"/>
  <c r="M327" i="11"/>
  <c r="M331" i="11"/>
  <c r="D333" i="11"/>
  <c r="F332" i="69" s="1"/>
  <c r="L333" i="11"/>
  <c r="U333" i="11"/>
  <c r="M335" i="11"/>
  <c r="I336" i="11"/>
  <c r="M340" i="11"/>
  <c r="D344" i="11"/>
  <c r="F343" i="69" s="1"/>
  <c r="P344" i="11"/>
  <c r="U347" i="11"/>
  <c r="M349" i="11"/>
  <c r="P352" i="11"/>
  <c r="R357" i="11"/>
  <c r="P357" i="11"/>
  <c r="H357" i="11"/>
  <c r="L357" i="11"/>
  <c r="R365" i="11"/>
  <c r="H365" i="11"/>
  <c r="O380" i="11"/>
  <c r="P380" i="11"/>
  <c r="D380" i="11"/>
  <c r="F379" i="69" s="1"/>
  <c r="Q380" i="11"/>
  <c r="N394" i="11"/>
  <c r="J394" i="11"/>
  <c r="J402" i="11"/>
  <c r="U402" i="11"/>
  <c r="D402" i="11"/>
  <c r="F401" i="69" s="1"/>
  <c r="N405" i="11"/>
  <c r="J405" i="11"/>
  <c r="P405" i="11"/>
  <c r="H405" i="11"/>
  <c r="I408" i="11"/>
  <c r="P408" i="11"/>
  <c r="O421" i="11"/>
  <c r="N423" i="11"/>
  <c r="N426" i="11"/>
  <c r="U443" i="11"/>
  <c r="N221" i="11"/>
  <c r="M336" i="11"/>
  <c r="Q352" i="11"/>
  <c r="P363" i="11"/>
  <c r="I363" i="11"/>
  <c r="J378" i="11"/>
  <c r="N378" i="11"/>
  <c r="N393" i="11"/>
  <c r="J393" i="11"/>
  <c r="N397" i="11"/>
  <c r="K397" i="11"/>
  <c r="P397" i="11"/>
  <c r="U407" i="11"/>
  <c r="Q407" i="11"/>
  <c r="I407" i="11"/>
  <c r="P407" i="11"/>
  <c r="D407" i="11"/>
  <c r="F406" i="69" s="1"/>
  <c r="U410" i="11"/>
  <c r="J410" i="11"/>
  <c r="Q410" i="11"/>
  <c r="I410" i="11"/>
  <c r="Q418" i="11"/>
  <c r="K418" i="11"/>
  <c r="J418" i="11"/>
  <c r="U430" i="11"/>
  <c r="K430" i="11"/>
  <c r="U438" i="11"/>
  <c r="I438" i="11"/>
  <c r="Q438" i="11"/>
  <c r="K438" i="11"/>
  <c r="J438" i="11"/>
  <c r="U448" i="11"/>
  <c r="P456" i="11"/>
  <c r="O456" i="11"/>
  <c r="N469" i="11"/>
  <c r="K469" i="11"/>
  <c r="P469" i="11"/>
  <c r="K481" i="11"/>
  <c r="Q356" i="11"/>
  <c r="U367" i="11"/>
  <c r="M369" i="11"/>
  <c r="U371" i="11"/>
  <c r="M373" i="11"/>
  <c r="U375" i="11"/>
  <c r="M377" i="11"/>
  <c r="M392" i="11"/>
  <c r="N399" i="11"/>
  <c r="U403" i="11"/>
  <c r="H404" i="11"/>
  <c r="P404" i="11"/>
  <c r="H420" i="11"/>
  <c r="P420" i="11"/>
  <c r="O424" i="11"/>
  <c r="J425" i="11"/>
  <c r="H432" i="11"/>
  <c r="Q432" i="11"/>
  <c r="H436" i="11"/>
  <c r="J437" i="11"/>
  <c r="K441" i="11"/>
  <c r="J441" i="11"/>
  <c r="J442" i="11"/>
  <c r="M444" i="11"/>
  <c r="H444" i="11"/>
  <c r="K449" i="11"/>
  <c r="N449" i="11"/>
  <c r="K450" i="11"/>
  <c r="R452" i="11"/>
  <c r="P452" i="11"/>
  <c r="H452" i="11"/>
  <c r="L452" i="11"/>
  <c r="N453" i="11"/>
  <c r="P453" i="11"/>
  <c r="H453" i="11"/>
  <c r="J455" i="11"/>
  <c r="D456" i="11"/>
  <c r="F455" i="69" s="1"/>
  <c r="K460" i="11"/>
  <c r="N463" i="11"/>
  <c r="N466" i="11"/>
  <c r="R468" i="11"/>
  <c r="U468" i="11"/>
  <c r="L468" i="11"/>
  <c r="D468" i="11"/>
  <c r="F467" i="69" s="1"/>
  <c r="M468" i="11"/>
  <c r="H469" i="11"/>
  <c r="O481" i="11"/>
  <c r="M483" i="11"/>
  <c r="K404" i="11"/>
  <c r="Q404" i="11"/>
  <c r="K420" i="11"/>
  <c r="Q420" i="11"/>
  <c r="P424" i="11"/>
  <c r="N425" i="11"/>
  <c r="I432" i="11"/>
  <c r="R436" i="11"/>
  <c r="U436" i="11"/>
  <c r="K436" i="11"/>
  <c r="Q436" i="11"/>
  <c r="J447" i="11"/>
  <c r="N447" i="11"/>
  <c r="I448" i="11"/>
  <c r="Q450" i="11"/>
  <c r="I456" i="11"/>
  <c r="U458" i="11"/>
  <c r="Q458" i="11"/>
  <c r="I458" i="11"/>
  <c r="O458" i="11"/>
  <c r="J469" i="11"/>
  <c r="O475" i="11"/>
  <c r="Q475" i="11"/>
  <c r="H475" i="11"/>
  <c r="M475" i="11"/>
  <c r="P476" i="11"/>
  <c r="L476" i="11"/>
  <c r="D476" i="11"/>
  <c r="F475" i="69" s="1"/>
  <c r="N478" i="11"/>
  <c r="Q478" i="11"/>
  <c r="I480" i="11"/>
  <c r="P480" i="11"/>
  <c r="P425" i="11"/>
  <c r="N437" i="11"/>
  <c r="K437" i="11"/>
  <c r="P437" i="11"/>
  <c r="U442" i="11"/>
  <c r="Q442" i="11"/>
  <c r="I442" i="11"/>
  <c r="O442" i="11"/>
  <c r="Q448" i="11"/>
  <c r="U450" i="11"/>
  <c r="U455" i="11"/>
  <c r="P455" i="11"/>
  <c r="D455" i="11"/>
  <c r="F454" i="69" s="1"/>
  <c r="Q455" i="11"/>
  <c r="L456" i="11"/>
  <c r="O469" i="11"/>
  <c r="L479" i="11"/>
  <c r="U479" i="11"/>
  <c r="D479" i="11"/>
  <c r="F478" i="69" s="1"/>
  <c r="O483" i="11"/>
  <c r="P483" i="11"/>
  <c r="D483" i="11"/>
  <c r="F482" i="69" s="1"/>
  <c r="I483" i="11"/>
  <c r="O485" i="11"/>
  <c r="N485" i="11"/>
  <c r="L484" i="11"/>
  <c r="N7" i="49"/>
  <c r="X7" i="49"/>
  <c r="J8" i="49"/>
  <c r="R8" i="49"/>
  <c r="X8" i="49"/>
  <c r="N11" i="49"/>
  <c r="X11" i="49"/>
  <c r="J12" i="49"/>
  <c r="R12" i="49"/>
  <c r="X12" i="49"/>
  <c r="N15" i="49"/>
  <c r="X15" i="49"/>
  <c r="J16" i="49"/>
  <c r="R16" i="49"/>
  <c r="X16" i="49"/>
  <c r="N19" i="49"/>
  <c r="X19" i="49"/>
  <c r="J20" i="49"/>
  <c r="R20" i="49"/>
  <c r="X20" i="49"/>
  <c r="B29" i="49"/>
  <c r="B30" i="49"/>
  <c r="B33" i="49"/>
  <c r="X33" i="49"/>
  <c r="U40" i="49"/>
  <c r="Q43" i="49"/>
  <c r="U44" i="49"/>
  <c r="Q46" i="49"/>
  <c r="P48" i="49"/>
  <c r="M49" i="49"/>
  <c r="Y52" i="49"/>
  <c r="M53" i="49"/>
  <c r="X53" i="49"/>
  <c r="P56" i="49"/>
  <c r="B66" i="49"/>
  <c r="P68" i="49"/>
  <c r="R69" i="49"/>
  <c r="M71" i="49"/>
  <c r="M73" i="49"/>
  <c r="R77" i="49"/>
  <c r="R79" i="49"/>
  <c r="M81" i="49"/>
  <c r="R83" i="49"/>
  <c r="L84" i="49"/>
  <c r="M87" i="49"/>
  <c r="B89" i="49"/>
  <c r="U89" i="49"/>
  <c r="N94" i="49"/>
  <c r="B98" i="49"/>
  <c r="R98" i="49"/>
  <c r="L99" i="49"/>
  <c r="S99" i="49"/>
  <c r="L102" i="49"/>
  <c r="W102" i="49"/>
  <c r="B106" i="49"/>
  <c r="R106" i="49"/>
  <c r="J108" i="49"/>
  <c r="N110" i="49"/>
  <c r="B111" i="49"/>
  <c r="N111" i="49"/>
  <c r="T111" i="49"/>
  <c r="P113" i="49"/>
  <c r="B114" i="49"/>
  <c r="P114" i="49"/>
  <c r="X114" i="49"/>
  <c r="J115" i="49"/>
  <c r="R115" i="49"/>
  <c r="X115" i="49"/>
  <c r="K116" i="49"/>
  <c r="V116" i="49"/>
  <c r="B121" i="49"/>
  <c r="V121" i="49"/>
  <c r="L123" i="49"/>
  <c r="S123" i="49"/>
  <c r="O124" i="49"/>
  <c r="W125" i="49"/>
  <c r="R125" i="49"/>
  <c r="L134" i="49"/>
  <c r="S137" i="49"/>
  <c r="L137" i="49"/>
  <c r="C139" i="49"/>
  <c r="E139" i="49" s="1"/>
  <c r="V140" i="49"/>
  <c r="K140" i="49"/>
  <c r="P140" i="49"/>
  <c r="T142" i="49"/>
  <c r="N142" i="49"/>
  <c r="B142" i="49"/>
  <c r="O142" i="49"/>
  <c r="X142" i="49"/>
  <c r="L145" i="49"/>
  <c r="T154" i="49"/>
  <c r="N154" i="49"/>
  <c r="B154" i="49"/>
  <c r="W154" i="49"/>
  <c r="O154" i="49"/>
  <c r="C154" i="49"/>
  <c r="E154" i="49" s="1"/>
  <c r="S154" i="49"/>
  <c r="B156" i="49"/>
  <c r="W157" i="49"/>
  <c r="C157" i="49"/>
  <c r="E157" i="49" s="1"/>
  <c r="X157" i="49"/>
  <c r="K157" i="49"/>
  <c r="B158" i="49"/>
  <c r="T158" i="49"/>
  <c r="J167" i="49"/>
  <c r="P179" i="49"/>
  <c r="C179" i="49"/>
  <c r="E179" i="49" s="1"/>
  <c r="X179" i="49"/>
  <c r="K179" i="49"/>
  <c r="V179" i="49"/>
  <c r="J179" i="49"/>
  <c r="O179" i="49"/>
  <c r="L8" i="49"/>
  <c r="S8" i="49"/>
  <c r="L12" i="49"/>
  <c r="S12" i="49"/>
  <c r="L16" i="49"/>
  <c r="S16" i="49"/>
  <c r="L20" i="49"/>
  <c r="S20" i="49"/>
  <c r="N29" i="49"/>
  <c r="M30" i="49"/>
  <c r="J33" i="49"/>
  <c r="Y33" i="49"/>
  <c r="Y40" i="49"/>
  <c r="Y44" i="49"/>
  <c r="U48" i="49"/>
  <c r="T49" i="49"/>
  <c r="P53" i="49"/>
  <c r="Y53" i="49"/>
  <c r="M66" i="49"/>
  <c r="U69" i="49"/>
  <c r="R71" i="49"/>
  <c r="X73" i="49"/>
  <c r="U77" i="49"/>
  <c r="U79" i="49"/>
  <c r="R81" i="49"/>
  <c r="Q84" i="49"/>
  <c r="X87" i="49"/>
  <c r="J89" i="49"/>
  <c r="X89" i="49"/>
  <c r="C98" i="49"/>
  <c r="E98" i="49" s="1"/>
  <c r="S98" i="49"/>
  <c r="N102" i="49"/>
  <c r="X102" i="49"/>
  <c r="C106" i="49"/>
  <c r="E106" i="49" s="1"/>
  <c r="S106" i="49"/>
  <c r="O108" i="49"/>
  <c r="C111" i="49"/>
  <c r="E111" i="49" s="1"/>
  <c r="O111" i="49"/>
  <c r="W111" i="49"/>
  <c r="C114" i="49"/>
  <c r="E114" i="49" s="1"/>
  <c r="R114" i="49"/>
  <c r="L115" i="49"/>
  <c r="S115" i="49"/>
  <c r="O116" i="49"/>
  <c r="X116" i="49"/>
  <c r="J121" i="49"/>
  <c r="W121" i="49"/>
  <c r="P132" i="49"/>
  <c r="B132" i="49"/>
  <c r="R132" i="49"/>
  <c r="X134" i="49"/>
  <c r="R134" i="49"/>
  <c r="J134" i="49"/>
  <c r="N134" i="49"/>
  <c r="W134" i="49"/>
  <c r="N139" i="49"/>
  <c r="X143" i="49"/>
  <c r="J143" i="49"/>
  <c r="N145" i="49"/>
  <c r="X149" i="49"/>
  <c r="K149" i="49"/>
  <c r="P149" i="49"/>
  <c r="O156" i="49"/>
  <c r="L158" i="49"/>
  <c r="K159" i="49"/>
  <c r="P159" i="49"/>
  <c r="W162" i="49"/>
  <c r="O162" i="49"/>
  <c r="C162" i="49"/>
  <c r="E162" i="49" s="1"/>
  <c r="X162" i="49"/>
  <c r="R162" i="49"/>
  <c r="J162" i="49"/>
  <c r="S162" i="49"/>
  <c r="R164" i="49"/>
  <c r="J164" i="49"/>
  <c r="V164" i="49"/>
  <c r="K164" i="49"/>
  <c r="W164" i="49"/>
  <c r="W166" i="49"/>
  <c r="O166" i="49"/>
  <c r="C166" i="49"/>
  <c r="E166" i="49" s="1"/>
  <c r="X166" i="49"/>
  <c r="R166" i="49"/>
  <c r="J166" i="49"/>
  <c r="S166" i="49"/>
  <c r="S167" i="49"/>
  <c r="T174" i="49"/>
  <c r="N174" i="49"/>
  <c r="B174" i="49"/>
  <c r="S174" i="49"/>
  <c r="J174" i="49"/>
  <c r="R174" i="49"/>
  <c r="C174" i="49"/>
  <c r="E174" i="49" s="1"/>
  <c r="W174" i="49"/>
  <c r="L174" i="49"/>
  <c r="N471" i="11"/>
  <c r="C7" i="49"/>
  <c r="E7" i="49" s="1"/>
  <c r="B8" i="49"/>
  <c r="N8" i="49"/>
  <c r="C11" i="49"/>
  <c r="E11" i="49" s="1"/>
  <c r="B12" i="49"/>
  <c r="N12" i="49"/>
  <c r="C15" i="49"/>
  <c r="E15" i="49" s="1"/>
  <c r="B16" i="49"/>
  <c r="N16" i="49"/>
  <c r="C19" i="49"/>
  <c r="E19" i="49" s="1"/>
  <c r="B20" i="49"/>
  <c r="N20" i="49"/>
  <c r="X29" i="49"/>
  <c r="X30" i="49"/>
  <c r="P33" i="49"/>
  <c r="J40" i="49"/>
  <c r="P41" i="49"/>
  <c r="Y41" i="49"/>
  <c r="J43" i="49"/>
  <c r="J44" i="49"/>
  <c r="P45" i="49"/>
  <c r="Y45" i="49"/>
  <c r="J48" i="49"/>
  <c r="Y48" i="49"/>
  <c r="N52" i="49"/>
  <c r="B53" i="49"/>
  <c r="R53" i="49"/>
  <c r="Q55" i="49"/>
  <c r="M62" i="49"/>
  <c r="B69" i="49"/>
  <c r="B71" i="49"/>
  <c r="T72" i="49"/>
  <c r="B77" i="49"/>
  <c r="B81" i="49"/>
  <c r="U81" i="49"/>
  <c r="J83" i="49"/>
  <c r="Y86" i="49"/>
  <c r="M89" i="49"/>
  <c r="U93" i="49"/>
  <c r="L95" i="49"/>
  <c r="L98" i="49"/>
  <c r="W98" i="49"/>
  <c r="C99" i="49"/>
  <c r="E99" i="49" s="1"/>
  <c r="O99" i="49"/>
  <c r="O100" i="49"/>
  <c r="B102" i="49"/>
  <c r="L103" i="49"/>
  <c r="L106" i="49"/>
  <c r="W106" i="49"/>
  <c r="T108" i="49"/>
  <c r="C110" i="49"/>
  <c r="E110" i="49" s="1"/>
  <c r="J111" i="49"/>
  <c r="R111" i="49"/>
  <c r="X111" i="49"/>
  <c r="J113" i="49"/>
  <c r="K114" i="49"/>
  <c r="V114" i="49"/>
  <c r="B115" i="49"/>
  <c r="N115" i="49"/>
  <c r="C116" i="49"/>
  <c r="E116" i="49" s="1"/>
  <c r="L119" i="49"/>
  <c r="O121" i="49"/>
  <c r="N122" i="49"/>
  <c r="C123" i="49"/>
  <c r="E123" i="49" s="1"/>
  <c r="O123" i="49"/>
  <c r="J124" i="49"/>
  <c r="S124" i="49"/>
  <c r="T130" i="49"/>
  <c r="J132" i="49"/>
  <c r="V132" i="49"/>
  <c r="B134" i="49"/>
  <c r="O134" i="49"/>
  <c r="W138" i="49"/>
  <c r="O138" i="49"/>
  <c r="C138" i="49"/>
  <c r="E138" i="49" s="1"/>
  <c r="N138" i="49"/>
  <c r="X138" i="49"/>
  <c r="J140" i="49"/>
  <c r="W140" i="49"/>
  <c r="J142" i="49"/>
  <c r="S142" i="49"/>
  <c r="K143" i="49"/>
  <c r="R144" i="49"/>
  <c r="V145" i="49"/>
  <c r="V148" i="49"/>
  <c r="K148" i="49"/>
  <c r="P148" i="49"/>
  <c r="C149" i="49"/>
  <c r="E149" i="49" s="1"/>
  <c r="L154" i="49"/>
  <c r="C155" i="49"/>
  <c r="E155" i="49" s="1"/>
  <c r="V155" i="49"/>
  <c r="R157" i="49"/>
  <c r="J159" i="49"/>
  <c r="B162" i="49"/>
  <c r="T162" i="49"/>
  <c r="B164" i="49"/>
  <c r="W165" i="49"/>
  <c r="C165" i="49"/>
  <c r="E165" i="49" s="1"/>
  <c r="X165" i="49"/>
  <c r="K165" i="49"/>
  <c r="B166" i="49"/>
  <c r="T166" i="49"/>
  <c r="O174" i="49"/>
  <c r="R33" i="49"/>
  <c r="R89" i="49"/>
  <c r="N98" i="49"/>
  <c r="N106" i="49"/>
  <c r="L111" i="49"/>
  <c r="N114" i="49"/>
  <c r="V139" i="49"/>
  <c r="J139" i="49"/>
  <c r="T139" i="49"/>
  <c r="R156" i="49"/>
  <c r="J156" i="49"/>
  <c r="V156" i="49"/>
  <c r="K156" i="49"/>
  <c r="W156" i="49"/>
  <c r="W158" i="49"/>
  <c r="O158" i="49"/>
  <c r="C158" i="49"/>
  <c r="E158" i="49" s="1"/>
  <c r="X158" i="49"/>
  <c r="R158" i="49"/>
  <c r="J158" i="49"/>
  <c r="S158" i="49"/>
  <c r="N161" i="49"/>
  <c r="V161" i="49"/>
  <c r="O163" i="49"/>
  <c r="V163" i="49"/>
  <c r="K167" i="49"/>
  <c r="P167" i="49"/>
  <c r="L150" i="49"/>
  <c r="S150" i="49"/>
  <c r="S151" i="49"/>
  <c r="L170" i="49"/>
  <c r="S170" i="49"/>
  <c r="X171" i="49"/>
  <c r="O171" i="49"/>
  <c r="P171" i="49"/>
  <c r="V177" i="49"/>
  <c r="K177" i="49"/>
  <c r="P177" i="49"/>
  <c r="T178" i="49"/>
  <c r="N178" i="49"/>
  <c r="B178" i="49"/>
  <c r="O178" i="49"/>
  <c r="X178" i="49"/>
  <c r="J182" i="49"/>
  <c r="S187" i="49"/>
  <c r="J187" i="49"/>
  <c r="P187" i="49"/>
  <c r="L205" i="49"/>
  <c r="O205" i="49"/>
  <c r="O208" i="49"/>
  <c r="S208" i="49"/>
  <c r="L236" i="49"/>
  <c r="B236" i="49"/>
  <c r="V236" i="49"/>
  <c r="N236" i="49"/>
  <c r="V242" i="49"/>
  <c r="K242" i="49"/>
  <c r="S242" i="49"/>
  <c r="C242" i="49"/>
  <c r="E242" i="49" s="1"/>
  <c r="O242" i="49"/>
  <c r="X242" i="49"/>
  <c r="J242" i="49"/>
  <c r="O204" i="49"/>
  <c r="W204" i="49"/>
  <c r="W228" i="49"/>
  <c r="C228" i="49"/>
  <c r="E228" i="49" s="1"/>
  <c r="O228" i="49"/>
  <c r="X228" i="49"/>
  <c r="K228" i="49"/>
  <c r="T237" i="49"/>
  <c r="N237" i="49"/>
  <c r="B237" i="49"/>
  <c r="R237" i="49"/>
  <c r="C237" i="49"/>
  <c r="E237" i="49" s="1"/>
  <c r="W237" i="49"/>
  <c r="L237" i="49"/>
  <c r="S237" i="49"/>
  <c r="J237" i="49"/>
  <c r="P242" i="49"/>
  <c r="W182" i="49"/>
  <c r="O182" i="49"/>
  <c r="C182" i="49"/>
  <c r="E182" i="49" s="1"/>
  <c r="N182" i="49"/>
  <c r="X182" i="49"/>
  <c r="K187" i="49"/>
  <c r="X187" i="49"/>
  <c r="P198" i="49"/>
  <c r="K204" i="49"/>
  <c r="L213" i="49"/>
  <c r="O213" i="49"/>
  <c r="O219" i="49"/>
  <c r="K219" i="49"/>
  <c r="L219" i="49"/>
  <c r="O129" i="49"/>
  <c r="L146" i="49"/>
  <c r="J150" i="49"/>
  <c r="R150" i="49"/>
  <c r="J170" i="49"/>
  <c r="R170" i="49"/>
  <c r="K171" i="49"/>
  <c r="N177" i="49"/>
  <c r="X177" i="49"/>
  <c r="L178" i="49"/>
  <c r="W178" i="49"/>
  <c r="B182" i="49"/>
  <c r="R182" i="49"/>
  <c r="W186" i="49"/>
  <c r="O186" i="49"/>
  <c r="C186" i="49"/>
  <c r="E186" i="49" s="1"/>
  <c r="N186" i="49"/>
  <c r="X186" i="49"/>
  <c r="O187" i="49"/>
  <c r="W188" i="49"/>
  <c r="J188" i="49"/>
  <c r="S194" i="49"/>
  <c r="C194" i="49"/>
  <c r="E194" i="49" s="1"/>
  <c r="Q194" i="49"/>
  <c r="L197" i="49"/>
  <c r="X204" i="49"/>
  <c r="W212" i="49"/>
  <c r="C212" i="49"/>
  <c r="E212" i="49" s="1"/>
  <c r="X212" i="49"/>
  <c r="K212" i="49"/>
  <c r="K213" i="49"/>
  <c r="X218" i="49"/>
  <c r="K218" i="49"/>
  <c r="S218" i="49"/>
  <c r="T219" i="49"/>
  <c r="X240" i="49"/>
  <c r="P240" i="49"/>
  <c r="B240" i="49"/>
  <c r="V240" i="49"/>
  <c r="C240" i="49"/>
  <c r="E240" i="49" s="1"/>
  <c r="N240" i="49"/>
  <c r="W240" i="49"/>
  <c r="K240" i="49"/>
  <c r="N185" i="49"/>
  <c r="L190" i="49"/>
  <c r="N193" i="49"/>
  <c r="K203" i="49"/>
  <c r="W203" i="49"/>
  <c r="K217" i="49"/>
  <c r="C220" i="49"/>
  <c r="E220" i="49" s="1"/>
  <c r="W220" i="49"/>
  <c r="W226" i="49"/>
  <c r="T227" i="49"/>
  <c r="O229" i="49"/>
  <c r="X230" i="49"/>
  <c r="L241" i="49"/>
  <c r="R245" i="49"/>
  <c r="C245" i="49"/>
  <c r="E245" i="49" s="1"/>
  <c r="P245" i="49"/>
  <c r="L250" i="49"/>
  <c r="V253" i="49"/>
  <c r="K253" i="49"/>
  <c r="P253" i="49"/>
  <c r="T254" i="49"/>
  <c r="N254" i="49"/>
  <c r="B254" i="49"/>
  <c r="O254" i="49"/>
  <c r="X254" i="49"/>
  <c r="C258" i="49"/>
  <c r="E258" i="49" s="1"/>
  <c r="O259" i="49"/>
  <c r="C259" i="49"/>
  <c r="E259" i="49" s="1"/>
  <c r="J260" i="49"/>
  <c r="R261" i="49"/>
  <c r="C261" i="49"/>
  <c r="E261" i="49" s="1"/>
  <c r="P261" i="49"/>
  <c r="X266" i="49"/>
  <c r="R266" i="49"/>
  <c r="J266" i="49"/>
  <c r="W266" i="49"/>
  <c r="O266" i="49"/>
  <c r="C266" i="49"/>
  <c r="E266" i="49" s="1"/>
  <c r="S266" i="49"/>
  <c r="V269" i="49"/>
  <c r="K269" i="49"/>
  <c r="R269" i="49"/>
  <c r="C269" i="49"/>
  <c r="E269" i="49" s="1"/>
  <c r="W269" i="49"/>
  <c r="W227" i="49"/>
  <c r="T229" i="49"/>
  <c r="S234" i="49"/>
  <c r="J234" i="49"/>
  <c r="P234" i="49"/>
  <c r="X241" i="49"/>
  <c r="R241" i="49"/>
  <c r="J241" i="49"/>
  <c r="N241" i="49"/>
  <c r="W241" i="49"/>
  <c r="W243" i="49"/>
  <c r="R243" i="49"/>
  <c r="W248" i="49"/>
  <c r="R248" i="49"/>
  <c r="V249" i="49"/>
  <c r="K249" i="49"/>
  <c r="T250" i="49"/>
  <c r="N250" i="49"/>
  <c r="B250" i="49"/>
  <c r="O250" i="49"/>
  <c r="X250" i="49"/>
  <c r="P255" i="49"/>
  <c r="C255" i="49"/>
  <c r="E255" i="49" s="1"/>
  <c r="S255" i="49"/>
  <c r="R264" i="49"/>
  <c r="L264" i="49"/>
  <c r="R268" i="49"/>
  <c r="W268" i="49"/>
  <c r="J268" i="49"/>
  <c r="V268" i="49"/>
  <c r="B268" i="49"/>
  <c r="R276" i="49"/>
  <c r="O276" i="49"/>
  <c r="W276" i="49"/>
  <c r="J276" i="49"/>
  <c r="O267" i="49"/>
  <c r="N267" i="49"/>
  <c r="P278" i="49"/>
  <c r="T278" i="49"/>
  <c r="L227" i="49"/>
  <c r="K234" i="49"/>
  <c r="X234" i="49"/>
  <c r="C241" i="49"/>
  <c r="E241" i="49" s="1"/>
  <c r="S241" i="49"/>
  <c r="K248" i="49"/>
  <c r="R249" i="49"/>
  <c r="J250" i="49"/>
  <c r="S250" i="49"/>
  <c r="K255" i="49"/>
  <c r="X255" i="49"/>
  <c r="T258" i="49"/>
  <c r="N258" i="49"/>
  <c r="B258" i="49"/>
  <c r="O258" i="49"/>
  <c r="X258" i="49"/>
  <c r="R260" i="49"/>
  <c r="V260" i="49"/>
  <c r="B260" i="49"/>
  <c r="W260" i="49"/>
  <c r="C267" i="49"/>
  <c r="E267" i="49" s="1"/>
  <c r="P268" i="49"/>
  <c r="P276" i="49"/>
  <c r="U286" i="49"/>
  <c r="T306" i="49"/>
  <c r="X308" i="49"/>
  <c r="L270" i="49"/>
  <c r="S270" i="49"/>
  <c r="O271" i="49"/>
  <c r="X271" i="49"/>
  <c r="U280" i="49"/>
  <c r="T284" i="49"/>
  <c r="L286" i="49"/>
  <c r="X286" i="49"/>
  <c r="P292" i="49"/>
  <c r="Y292" i="49"/>
  <c r="T297" i="49"/>
  <c r="T304" i="49"/>
  <c r="J306" i="49"/>
  <c r="U306" i="49"/>
  <c r="J307" i="49"/>
  <c r="T307" i="49"/>
  <c r="L308" i="49"/>
  <c r="Q309" i="49"/>
  <c r="O317" i="49"/>
  <c r="P239" i="49"/>
  <c r="L246" i="49"/>
  <c r="O247" i="49"/>
  <c r="L262" i="49"/>
  <c r="O263" i="49"/>
  <c r="B270" i="49"/>
  <c r="N270" i="49"/>
  <c r="C271" i="49"/>
  <c r="E271" i="49" s="1"/>
  <c r="L274" i="49"/>
  <c r="L280" i="49"/>
  <c r="M286" i="49"/>
  <c r="B292" i="49"/>
  <c r="B297" i="49"/>
  <c r="J304" i="49"/>
  <c r="L306" i="49"/>
  <c r="Y306" i="49"/>
  <c r="M307" i="49"/>
  <c r="X307" i="49"/>
  <c r="M308" i="49"/>
  <c r="B309" i="49"/>
  <c r="R309" i="49"/>
  <c r="Y317" i="49"/>
  <c r="P307" i="49"/>
  <c r="BC111" i="14"/>
  <c r="BK111" i="14" s="1"/>
  <c r="BC115" i="14"/>
  <c r="BK115" i="14" s="1"/>
  <c r="BC119" i="14"/>
  <c r="BK119" i="14" s="1"/>
  <c r="BC123" i="14"/>
  <c r="BC127" i="14"/>
  <c r="BK127" i="14" s="1"/>
  <c r="BC131" i="14"/>
  <c r="BK131" i="14" s="1"/>
  <c r="BC135" i="14"/>
  <c r="BK135" i="14" s="1"/>
  <c r="BC139" i="14"/>
  <c r="BK139" i="14" s="1"/>
  <c r="BC143" i="14"/>
  <c r="BC147" i="14"/>
  <c r="BC151" i="14"/>
  <c r="BK151" i="14" s="1"/>
  <c r="BC155" i="14"/>
  <c r="BC159" i="14"/>
  <c r="BK159" i="14" s="1"/>
  <c r="BC163" i="14"/>
  <c r="BC167" i="14"/>
  <c r="BK167" i="14" s="1"/>
  <c r="BC171" i="14"/>
  <c r="BK171" i="14" s="1"/>
  <c r="BC175" i="14"/>
  <c r="BK175" i="14" s="1"/>
  <c r="BC179" i="14"/>
  <c r="BK179" i="14" s="1"/>
  <c r="BC183" i="14"/>
  <c r="BK183" i="14" s="1"/>
  <c r="BC187" i="14"/>
  <c r="BC191" i="14"/>
  <c r="BK191" i="14" s="1"/>
  <c r="BC195" i="14"/>
  <c r="BK195" i="14" s="1"/>
  <c r="BC199" i="14"/>
  <c r="BC203" i="14"/>
  <c r="BC207" i="14"/>
  <c r="BK207" i="14" s="1"/>
  <c r="BC211" i="14"/>
  <c r="X392" i="14"/>
  <c r="BC112" i="14"/>
  <c r="BK112" i="14" s="1"/>
  <c r="BC116" i="14"/>
  <c r="BC120" i="14"/>
  <c r="BK120" i="14" s="1"/>
  <c r="BC124" i="14"/>
  <c r="BC128" i="14"/>
  <c r="BC132" i="14"/>
  <c r="BK132" i="14" s="1"/>
  <c r="BC136" i="14"/>
  <c r="BC140" i="14"/>
  <c r="BC144" i="14"/>
  <c r="BK144" i="14" s="1"/>
  <c r="BC148" i="14"/>
  <c r="BC152" i="14"/>
  <c r="BC156" i="14"/>
  <c r="BC160" i="14"/>
  <c r="BK160" i="14" s="1"/>
  <c r="BC164" i="14"/>
  <c r="BK164" i="14" s="1"/>
  <c r="BC168" i="14"/>
  <c r="BC172" i="14"/>
  <c r="BC176" i="14"/>
  <c r="BC180" i="14"/>
  <c r="BK180" i="14" s="1"/>
  <c r="BC184" i="14"/>
  <c r="BC188" i="14"/>
  <c r="BC192" i="14"/>
  <c r="BK192" i="14" s="1"/>
  <c r="BC196" i="14"/>
  <c r="BC200" i="14"/>
  <c r="BC204" i="14"/>
  <c r="BC208" i="14"/>
  <c r="BC212" i="14"/>
  <c r="BC216" i="14"/>
  <c r="BC220" i="14"/>
  <c r="BC224" i="14"/>
  <c r="BC105" i="14"/>
  <c r="BC109" i="14"/>
  <c r="BK109" i="14" s="1"/>
  <c r="BC113" i="14"/>
  <c r="BC117" i="14"/>
  <c r="BK117" i="14" s="1"/>
  <c r="BC121" i="14"/>
  <c r="BK121" i="14" s="1"/>
  <c r="BC125" i="14"/>
  <c r="BC129" i="14"/>
  <c r="BC133" i="14"/>
  <c r="BC137" i="14"/>
  <c r="BC141" i="14"/>
  <c r="BC145" i="14"/>
  <c r="BC149" i="14"/>
  <c r="BC153" i="14"/>
  <c r="BC157" i="14"/>
  <c r="BK157" i="14" s="1"/>
  <c r="BC161" i="14"/>
  <c r="BC165" i="14"/>
  <c r="BC169" i="14"/>
  <c r="BK169" i="14" s="1"/>
  <c r="BC173" i="14"/>
  <c r="BC177" i="14"/>
  <c r="BC181" i="14"/>
  <c r="BC185" i="14"/>
  <c r="BK185" i="14" s="1"/>
  <c r="BC189" i="14"/>
  <c r="BC193" i="14"/>
  <c r="BC197" i="14"/>
  <c r="BK197" i="14" s="1"/>
  <c r="BC201" i="14"/>
  <c r="BC205" i="14"/>
  <c r="BK205" i="14" s="1"/>
  <c r="BC209" i="14"/>
  <c r="BC213" i="14"/>
  <c r="BC217" i="14"/>
  <c r="BC221" i="14"/>
  <c r="BC225" i="14"/>
  <c r="BK225" i="14" s="1"/>
  <c r="BC229" i="14"/>
  <c r="BC231" i="14"/>
  <c r="BC235" i="14"/>
  <c r="BK235" i="14" s="1"/>
  <c r="BC239" i="14"/>
  <c r="BC243" i="14"/>
  <c r="BK243" i="14" s="1"/>
  <c r="BC247" i="14"/>
  <c r="BC270" i="14"/>
  <c r="BK270" i="14" s="1"/>
  <c r="BC274" i="14"/>
  <c r="BC278" i="14"/>
  <c r="BK278" i="14" s="1"/>
  <c r="BC282" i="14"/>
  <c r="BK282" i="14" s="1"/>
  <c r="BC286" i="14"/>
  <c r="BK286" i="14" s="1"/>
  <c r="BC290" i="14"/>
  <c r="BK290" i="14" s="1"/>
  <c r="BC294" i="14"/>
  <c r="BC298" i="14"/>
  <c r="BC302" i="14"/>
  <c r="BC306" i="14"/>
  <c r="BC310" i="14"/>
  <c r="BC314" i="14"/>
  <c r="BC318" i="14"/>
  <c r="BC322" i="14"/>
  <c r="BC326" i="14"/>
  <c r="BC330" i="14"/>
  <c r="BC334" i="14"/>
  <c r="BC338" i="14"/>
  <c r="BC342" i="14"/>
  <c r="BC346" i="14"/>
  <c r="BC350" i="14"/>
  <c r="BC354" i="14"/>
  <c r="BC358" i="14"/>
  <c r="BC362" i="14"/>
  <c r="BC366" i="14"/>
  <c r="BK366" i="14" s="1"/>
  <c r="BC370" i="14"/>
  <c r="BC374" i="14"/>
  <c r="BC378" i="14"/>
  <c r="BK378" i="14" s="1"/>
  <c r="BC388" i="14"/>
  <c r="Y389" i="14"/>
  <c r="AC389" i="14"/>
  <c r="BC397" i="14"/>
  <c r="BC401" i="14"/>
  <c r="BC405" i="14"/>
  <c r="BC409" i="14"/>
  <c r="AB416" i="14"/>
  <c r="BC418" i="14"/>
  <c r="BC426" i="14"/>
  <c r="BC442" i="14"/>
  <c r="BK442" i="14" s="1"/>
  <c r="BC458" i="14"/>
  <c r="BC497" i="14"/>
  <c r="BC499" i="14"/>
  <c r="BK499" i="14" s="1"/>
  <c r="X500" i="14"/>
  <c r="BC228" i="14"/>
  <c r="BC232" i="14"/>
  <c r="BK232" i="14" s="1"/>
  <c r="BC236" i="14"/>
  <c r="BK236" i="14" s="1"/>
  <c r="BC240" i="14"/>
  <c r="BC244" i="14"/>
  <c r="BC248" i="14"/>
  <c r="BK248" i="14" s="1"/>
  <c r="BC252" i="14"/>
  <c r="BC254" i="14"/>
  <c r="BC256" i="14"/>
  <c r="BC258" i="14"/>
  <c r="BC271" i="14"/>
  <c r="BK271" i="14" s="1"/>
  <c r="BC275" i="14"/>
  <c r="BK275" i="14" s="1"/>
  <c r="BC279" i="14"/>
  <c r="BC283" i="14"/>
  <c r="BK283" i="14" s="1"/>
  <c r="BC287" i="14"/>
  <c r="BK287" i="14" s="1"/>
  <c r="BC291" i="14"/>
  <c r="BK291" i="14" s="1"/>
  <c r="BC295" i="14"/>
  <c r="BC299" i="14"/>
  <c r="BC303" i="14"/>
  <c r="BC307" i="14"/>
  <c r="BK307" i="14" s="1"/>
  <c r="BC311" i="14"/>
  <c r="BC315" i="14"/>
  <c r="BC319" i="14"/>
  <c r="BK319" i="14" s="1"/>
  <c r="BC323" i="14"/>
  <c r="BC327" i="14"/>
  <c r="BC331" i="14"/>
  <c r="BK331" i="14" s="1"/>
  <c r="BC335" i="14"/>
  <c r="BC339" i="14"/>
  <c r="BK339" i="14" s="1"/>
  <c r="BC343" i="14"/>
  <c r="BC347" i="14"/>
  <c r="BC351" i="14"/>
  <c r="BK351" i="14" s="1"/>
  <c r="BC355" i="14"/>
  <c r="BC359" i="14"/>
  <c r="BC363" i="14"/>
  <c r="BK363" i="14" s="1"/>
  <c r="BC367" i="14"/>
  <c r="BC371" i="14"/>
  <c r="BK371" i="14" s="1"/>
  <c r="BC375" i="14"/>
  <c r="BK375" i="14" s="1"/>
  <c r="Y385" i="14"/>
  <c r="AC385" i="14"/>
  <c r="BC386" i="14"/>
  <c r="Y388" i="14"/>
  <c r="BC394" i="14"/>
  <c r="BK394" i="14" s="1"/>
  <c r="BC398" i="14"/>
  <c r="BC402" i="14"/>
  <c r="BK402" i="14" s="1"/>
  <c r="BC406" i="14"/>
  <c r="BC410" i="14"/>
  <c r="BK410" i="14" s="1"/>
  <c r="BC416" i="14"/>
  <c r="BC430" i="14"/>
  <c r="BC446" i="14"/>
  <c r="BC462" i="14"/>
  <c r="BC214" i="14"/>
  <c r="BC218" i="14"/>
  <c r="BC222" i="14"/>
  <c r="BC226" i="14"/>
  <c r="BC230" i="14"/>
  <c r="BC234" i="14"/>
  <c r="BK234" i="14" s="1"/>
  <c r="BC238" i="14"/>
  <c r="BC242" i="14"/>
  <c r="BC246" i="14"/>
  <c r="BC250" i="14"/>
  <c r="AB252" i="14"/>
  <c r="BC253" i="14"/>
  <c r="AB254" i="14"/>
  <c r="BC255" i="14"/>
  <c r="AB256" i="14"/>
  <c r="BC257" i="14"/>
  <c r="BK257" i="14" s="1"/>
  <c r="AB258" i="14"/>
  <c r="AA259" i="14"/>
  <c r="AA261" i="14"/>
  <c r="AA263" i="14"/>
  <c r="AA265" i="14"/>
  <c r="AA267" i="14"/>
  <c r="AA269" i="14"/>
  <c r="BC273" i="14"/>
  <c r="BK273" i="14" s="1"/>
  <c r="BC277" i="14"/>
  <c r="BC281" i="14"/>
  <c r="BK281" i="14" s="1"/>
  <c r="BC285" i="14"/>
  <c r="BK285" i="14" s="1"/>
  <c r="BC289" i="14"/>
  <c r="BK289" i="14" s="1"/>
  <c r="BC293" i="14"/>
  <c r="BK293" i="14" s="1"/>
  <c r="BC297" i="14"/>
  <c r="BC301" i="14"/>
  <c r="BK301" i="14" s="1"/>
  <c r="BC305" i="14"/>
  <c r="BK305" i="14" s="1"/>
  <c r="BC309" i="14"/>
  <c r="BC313" i="14"/>
  <c r="BK313" i="14" s="1"/>
  <c r="BC317" i="14"/>
  <c r="BC321" i="14"/>
  <c r="BK321" i="14" s="1"/>
  <c r="BC325" i="14"/>
  <c r="BC329" i="14"/>
  <c r="BC333" i="14"/>
  <c r="BC337" i="14"/>
  <c r="BK337" i="14" s="1"/>
  <c r="BC341" i="14"/>
  <c r="BC345" i="14"/>
  <c r="BC349" i="14"/>
  <c r="BK349" i="14" s="1"/>
  <c r="BC353" i="14"/>
  <c r="BC357" i="14"/>
  <c r="BC361" i="14"/>
  <c r="BC365" i="14"/>
  <c r="BC369" i="14"/>
  <c r="BC373" i="14"/>
  <c r="BC377" i="14"/>
  <c r="BK377" i="14" s="1"/>
  <c r="BC382" i="14"/>
  <c r="Y384" i="14"/>
  <c r="BC396" i="14"/>
  <c r="BK396" i="14" s="1"/>
  <c r="BC400" i="14"/>
  <c r="BC404" i="14"/>
  <c r="BC408" i="14"/>
  <c r="BK408" i="14" s="1"/>
  <c r="Z415" i="14"/>
  <c r="AB418" i="14"/>
  <c r="BC422" i="14"/>
  <c r="BC438" i="14"/>
  <c r="BC454" i="14"/>
  <c r="BC470" i="14"/>
  <c r="AA498" i="14"/>
  <c r="AA500" i="14"/>
  <c r="O52" i="11"/>
  <c r="O92" i="11"/>
  <c r="R77" i="11"/>
  <c r="R81" i="11"/>
  <c r="K24" i="11"/>
  <c r="G26" i="11"/>
  <c r="G36" i="11"/>
  <c r="O36" i="11"/>
  <c r="U116" i="11"/>
  <c r="P116" i="11"/>
  <c r="K116" i="11"/>
  <c r="R116" i="11"/>
  <c r="L116" i="11"/>
  <c r="G116" i="11"/>
  <c r="N116" i="11"/>
  <c r="U129" i="11"/>
  <c r="R129" i="11"/>
  <c r="N129" i="11"/>
  <c r="D129" i="11"/>
  <c r="F128" i="69" s="1"/>
  <c r="I129" i="11"/>
  <c r="U161" i="11"/>
  <c r="R161" i="11"/>
  <c r="N161" i="11"/>
  <c r="D161" i="11"/>
  <c r="F160" i="69" s="1"/>
  <c r="I161" i="11"/>
  <c r="U193" i="11"/>
  <c r="R193" i="11"/>
  <c r="N193" i="11"/>
  <c r="D193" i="11"/>
  <c r="F192" i="69" s="1"/>
  <c r="I193" i="11"/>
  <c r="U225" i="11"/>
  <c r="R225" i="11"/>
  <c r="H225" i="11"/>
  <c r="N225" i="11"/>
  <c r="D225" i="11"/>
  <c r="F224" i="69" s="1"/>
  <c r="I225" i="11"/>
  <c r="R18" i="11"/>
  <c r="R46" i="11"/>
  <c r="R53" i="11"/>
  <c r="K54" i="11"/>
  <c r="R56" i="11"/>
  <c r="R60" i="11"/>
  <c r="R84" i="11"/>
  <c r="I93" i="11"/>
  <c r="K98" i="11"/>
  <c r="G52" i="11"/>
  <c r="G92" i="11"/>
  <c r="U106" i="11"/>
  <c r="O106" i="11"/>
  <c r="J106" i="11"/>
  <c r="D106" i="11"/>
  <c r="F105" i="69" s="1"/>
  <c r="P106" i="11"/>
  <c r="K106" i="11"/>
  <c r="N106" i="11"/>
  <c r="U108" i="11"/>
  <c r="O108" i="11"/>
  <c r="J108" i="11"/>
  <c r="D108" i="11"/>
  <c r="F107" i="69" s="1"/>
  <c r="P108" i="11"/>
  <c r="K108" i="11"/>
  <c r="N108" i="11"/>
  <c r="L111" i="11"/>
  <c r="U114" i="11"/>
  <c r="O114" i="11"/>
  <c r="J114" i="11"/>
  <c r="D114" i="11"/>
  <c r="F113" i="69" s="1"/>
  <c r="P114" i="11"/>
  <c r="K114" i="11"/>
  <c r="N114" i="11"/>
  <c r="D116" i="11"/>
  <c r="F115" i="69" s="1"/>
  <c r="O116" i="11"/>
  <c r="U120" i="11"/>
  <c r="P120" i="11"/>
  <c r="K120" i="11"/>
  <c r="R120" i="11"/>
  <c r="L120" i="11"/>
  <c r="G120" i="11"/>
  <c r="N120" i="11"/>
  <c r="U128" i="11"/>
  <c r="P128" i="11"/>
  <c r="K128" i="11"/>
  <c r="O128" i="11"/>
  <c r="J128" i="11"/>
  <c r="D128" i="11"/>
  <c r="F127" i="69" s="1"/>
  <c r="R128" i="11"/>
  <c r="L128" i="11"/>
  <c r="G128" i="11"/>
  <c r="M129" i="11"/>
  <c r="Q143" i="11"/>
  <c r="L143" i="11"/>
  <c r="U149" i="11"/>
  <c r="R149" i="11"/>
  <c r="N149" i="11"/>
  <c r="D149" i="11"/>
  <c r="F148" i="69" s="1"/>
  <c r="I149" i="11"/>
  <c r="U153" i="11"/>
  <c r="R153" i="11"/>
  <c r="H153" i="11"/>
  <c r="N153" i="11"/>
  <c r="D153" i="11"/>
  <c r="F152" i="69" s="1"/>
  <c r="I153" i="11"/>
  <c r="U160" i="11"/>
  <c r="P160" i="11"/>
  <c r="K160" i="11"/>
  <c r="O160" i="11"/>
  <c r="J160" i="11"/>
  <c r="D160" i="11"/>
  <c r="F159" i="69" s="1"/>
  <c r="R160" i="11"/>
  <c r="L160" i="11"/>
  <c r="G160" i="11"/>
  <c r="M161" i="11"/>
  <c r="Q175" i="11"/>
  <c r="L175" i="11"/>
  <c r="U181" i="11"/>
  <c r="R181" i="11"/>
  <c r="N181" i="11"/>
  <c r="D181" i="11"/>
  <c r="F180" i="69" s="1"/>
  <c r="I181" i="11"/>
  <c r="U185" i="11"/>
  <c r="R185" i="11"/>
  <c r="N185" i="11"/>
  <c r="D185" i="11"/>
  <c r="F184" i="69" s="1"/>
  <c r="I185" i="11"/>
  <c r="U192" i="11"/>
  <c r="P192" i="11"/>
  <c r="K192" i="11"/>
  <c r="O192" i="11"/>
  <c r="J192" i="11"/>
  <c r="D192" i="11"/>
  <c r="F191" i="69" s="1"/>
  <c r="R192" i="11"/>
  <c r="L192" i="11"/>
  <c r="G192" i="11"/>
  <c r="M193" i="11"/>
  <c r="Q207" i="11"/>
  <c r="L207" i="11"/>
  <c r="U213" i="11"/>
  <c r="R213" i="11"/>
  <c r="N213" i="11"/>
  <c r="D213" i="11"/>
  <c r="F212" i="69" s="1"/>
  <c r="I213" i="11"/>
  <c r="U217" i="11"/>
  <c r="R217" i="11"/>
  <c r="N217" i="11"/>
  <c r="D217" i="11"/>
  <c r="F216" i="69" s="1"/>
  <c r="I217" i="11"/>
  <c r="U224" i="11"/>
  <c r="P224" i="11"/>
  <c r="K224" i="11"/>
  <c r="O224" i="11"/>
  <c r="J224" i="11"/>
  <c r="D224" i="11"/>
  <c r="F223" i="69" s="1"/>
  <c r="R224" i="11"/>
  <c r="L224" i="11"/>
  <c r="G224" i="11"/>
  <c r="M225" i="11"/>
  <c r="R37" i="11"/>
  <c r="R5" i="11"/>
  <c r="R13" i="11"/>
  <c r="I13" i="11"/>
  <c r="R21" i="11"/>
  <c r="I21" i="11"/>
  <c r="R33" i="11"/>
  <c r="R44" i="11"/>
  <c r="R61" i="11"/>
  <c r="K62" i="11"/>
  <c r="R96" i="11"/>
  <c r="K96" i="11"/>
  <c r="U110" i="11"/>
  <c r="P110" i="11"/>
  <c r="K110" i="11"/>
  <c r="R110" i="11"/>
  <c r="L110" i="11"/>
  <c r="G110" i="11"/>
  <c r="N110" i="11"/>
  <c r="U117" i="11"/>
  <c r="R117" i="11"/>
  <c r="I117" i="11"/>
  <c r="U142" i="11"/>
  <c r="P142" i="11"/>
  <c r="K142" i="11"/>
  <c r="O142" i="11"/>
  <c r="J142" i="11"/>
  <c r="D142" i="11"/>
  <c r="F141" i="69" s="1"/>
  <c r="R142" i="11"/>
  <c r="L142" i="11"/>
  <c r="G142" i="11"/>
  <c r="U148" i="11"/>
  <c r="P148" i="11"/>
  <c r="K148" i="11"/>
  <c r="O148" i="11"/>
  <c r="J148" i="11"/>
  <c r="D148" i="11"/>
  <c r="F147" i="69" s="1"/>
  <c r="R148" i="11"/>
  <c r="L148" i="11"/>
  <c r="G148" i="11"/>
  <c r="U152" i="11"/>
  <c r="P152" i="11"/>
  <c r="K152" i="11"/>
  <c r="O152" i="11"/>
  <c r="J152" i="11"/>
  <c r="D152" i="11"/>
  <c r="F151" i="69" s="1"/>
  <c r="R152" i="11"/>
  <c r="L152" i="11"/>
  <c r="G152" i="11"/>
  <c r="U174" i="11"/>
  <c r="P174" i="11"/>
  <c r="K174" i="11"/>
  <c r="O174" i="11"/>
  <c r="J174" i="11"/>
  <c r="D174" i="11"/>
  <c r="F173" i="69" s="1"/>
  <c r="R174" i="11"/>
  <c r="L174" i="11"/>
  <c r="G174" i="11"/>
  <c r="U180" i="11"/>
  <c r="P180" i="11"/>
  <c r="K180" i="11"/>
  <c r="O180" i="11"/>
  <c r="J180" i="11"/>
  <c r="D180" i="11"/>
  <c r="F179" i="69" s="1"/>
  <c r="R180" i="11"/>
  <c r="L180" i="11"/>
  <c r="G180" i="11"/>
  <c r="U184" i="11"/>
  <c r="P184" i="11"/>
  <c r="K184" i="11"/>
  <c r="O184" i="11"/>
  <c r="J184" i="11"/>
  <c r="D184" i="11"/>
  <c r="F183" i="69" s="1"/>
  <c r="R184" i="11"/>
  <c r="L184" i="11"/>
  <c r="G184" i="11"/>
  <c r="U206" i="11"/>
  <c r="P206" i="11"/>
  <c r="K206" i="11"/>
  <c r="O206" i="11"/>
  <c r="J206" i="11"/>
  <c r="D206" i="11"/>
  <c r="F205" i="69" s="1"/>
  <c r="R206" i="11"/>
  <c r="L206" i="11"/>
  <c r="G206" i="11"/>
  <c r="U212" i="11"/>
  <c r="P212" i="11"/>
  <c r="K212" i="11"/>
  <c r="O212" i="11"/>
  <c r="J212" i="11"/>
  <c r="D212" i="11"/>
  <c r="F211" i="69" s="1"/>
  <c r="R212" i="11"/>
  <c r="L212" i="11"/>
  <c r="G212" i="11"/>
  <c r="U216" i="11"/>
  <c r="P216" i="11"/>
  <c r="K216" i="11"/>
  <c r="O216" i="11"/>
  <c r="J216" i="11"/>
  <c r="D216" i="11"/>
  <c r="F215" i="69" s="1"/>
  <c r="R216" i="11"/>
  <c r="L216" i="11"/>
  <c r="G216" i="11"/>
  <c r="I29" i="11"/>
  <c r="R38" i="11"/>
  <c r="R69" i="11"/>
  <c r="R72" i="11"/>
  <c r="K82" i="11"/>
  <c r="K88" i="11"/>
  <c r="K92" i="11"/>
  <c r="P96" i="11"/>
  <c r="R98" i="11"/>
  <c r="R104" i="11"/>
  <c r="R42" i="11"/>
  <c r="L107" i="11"/>
  <c r="U109" i="11"/>
  <c r="N109" i="11"/>
  <c r="D109" i="11"/>
  <c r="F108" i="69" s="1"/>
  <c r="R109" i="11"/>
  <c r="D110" i="11"/>
  <c r="F109" i="69" s="1"/>
  <c r="O110" i="11"/>
  <c r="Q115" i="11"/>
  <c r="J116" i="11"/>
  <c r="D117" i="11"/>
  <c r="F116" i="69" s="1"/>
  <c r="U121" i="11"/>
  <c r="R121" i="11"/>
  <c r="I121" i="11"/>
  <c r="N128" i="11"/>
  <c r="H148" i="11"/>
  <c r="N160" i="11"/>
  <c r="N192" i="11"/>
  <c r="N224" i="11"/>
  <c r="Q27" i="11"/>
  <c r="O28" i="11"/>
  <c r="P30" i="11"/>
  <c r="Q35" i="11"/>
  <c r="O44" i="11"/>
  <c r="P54" i="11"/>
  <c r="P70" i="11"/>
  <c r="Q75" i="11"/>
  <c r="O76" i="11"/>
  <c r="P78" i="11"/>
  <c r="K80" i="11"/>
  <c r="Q83" i="11"/>
  <c r="P92" i="11"/>
  <c r="O94" i="11"/>
  <c r="U29" i="11"/>
  <c r="D104" i="11"/>
  <c r="F103" i="69" s="1"/>
  <c r="D105" i="11"/>
  <c r="F104" i="69" s="1"/>
  <c r="N105" i="11"/>
  <c r="D112" i="11"/>
  <c r="F111" i="69" s="1"/>
  <c r="J112" i="11"/>
  <c r="O112" i="11"/>
  <c r="D113" i="11"/>
  <c r="F112" i="69" s="1"/>
  <c r="N113" i="11"/>
  <c r="N118" i="11"/>
  <c r="N122" i="11"/>
  <c r="N124" i="11"/>
  <c r="M125" i="11"/>
  <c r="D126" i="11"/>
  <c r="F125" i="69" s="1"/>
  <c r="J126" i="11"/>
  <c r="O126" i="11"/>
  <c r="L127" i="11"/>
  <c r="N130" i="11"/>
  <c r="D132" i="11"/>
  <c r="J132" i="11"/>
  <c r="O132" i="11"/>
  <c r="D133" i="11"/>
  <c r="F132" i="69" s="1"/>
  <c r="N133" i="11"/>
  <c r="K134" i="11"/>
  <c r="P134" i="11"/>
  <c r="D136" i="11"/>
  <c r="F135" i="69" s="1"/>
  <c r="J136" i="11"/>
  <c r="O136" i="11"/>
  <c r="D137" i="11"/>
  <c r="F136" i="69" s="1"/>
  <c r="N137" i="11"/>
  <c r="K138" i="11"/>
  <c r="P138" i="11"/>
  <c r="L139" i="11"/>
  <c r="K140" i="11"/>
  <c r="P140" i="11"/>
  <c r="R141" i="11"/>
  <c r="D144" i="11"/>
  <c r="F143" i="69" s="1"/>
  <c r="J144" i="11"/>
  <c r="O144" i="11"/>
  <c r="D145" i="11"/>
  <c r="F144" i="69" s="1"/>
  <c r="N145" i="11"/>
  <c r="K146" i="11"/>
  <c r="P146" i="11"/>
  <c r="Q147" i="11"/>
  <c r="N150" i="11"/>
  <c r="H154" i="11"/>
  <c r="N154" i="11"/>
  <c r="N156" i="11"/>
  <c r="M157" i="11"/>
  <c r="D158" i="11"/>
  <c r="F157" i="69" s="1"/>
  <c r="J158" i="11"/>
  <c r="O158" i="11"/>
  <c r="L159" i="11"/>
  <c r="N162" i="11"/>
  <c r="D164" i="11"/>
  <c r="F163" i="69" s="1"/>
  <c r="J164" i="11"/>
  <c r="O164" i="11"/>
  <c r="D165" i="11"/>
  <c r="F164" i="69" s="1"/>
  <c r="N165" i="11"/>
  <c r="K166" i="11"/>
  <c r="P166" i="11"/>
  <c r="D168" i="11"/>
  <c r="F167" i="69" s="1"/>
  <c r="J168" i="11"/>
  <c r="O168" i="11"/>
  <c r="D169" i="11"/>
  <c r="F168" i="69" s="1"/>
  <c r="N169" i="11"/>
  <c r="K170" i="11"/>
  <c r="P170" i="11"/>
  <c r="L171" i="11"/>
  <c r="K172" i="11"/>
  <c r="P172" i="11"/>
  <c r="R173" i="11"/>
  <c r="D176" i="11"/>
  <c r="F175" i="69" s="1"/>
  <c r="J176" i="11"/>
  <c r="O176" i="11"/>
  <c r="D177" i="11"/>
  <c r="F176" i="69" s="1"/>
  <c r="N177" i="11"/>
  <c r="K178" i="11"/>
  <c r="P178" i="11"/>
  <c r="Q179" i="11"/>
  <c r="H182" i="11"/>
  <c r="N182" i="11"/>
  <c r="H186" i="11"/>
  <c r="N186" i="11"/>
  <c r="H188" i="11"/>
  <c r="N188" i="11"/>
  <c r="M189" i="11"/>
  <c r="D190" i="11"/>
  <c r="F189" i="69" s="1"/>
  <c r="J190" i="11"/>
  <c r="O190" i="11"/>
  <c r="L191" i="11"/>
  <c r="N194" i="11"/>
  <c r="D196" i="11"/>
  <c r="F195" i="69" s="1"/>
  <c r="J196" i="11"/>
  <c r="O196" i="11"/>
  <c r="D197" i="11"/>
  <c r="F196" i="69" s="1"/>
  <c r="N197" i="11"/>
  <c r="K198" i="11"/>
  <c r="P198" i="11"/>
  <c r="D200" i="11"/>
  <c r="F199" i="69" s="1"/>
  <c r="J200" i="11"/>
  <c r="O200" i="11"/>
  <c r="D201" i="11"/>
  <c r="F200" i="69" s="1"/>
  <c r="N201" i="11"/>
  <c r="K202" i="11"/>
  <c r="P202" i="11"/>
  <c r="L203" i="11"/>
  <c r="K204" i="11"/>
  <c r="P204" i="11"/>
  <c r="H205" i="11"/>
  <c r="R205" i="11"/>
  <c r="D208" i="11"/>
  <c r="F207" i="69" s="1"/>
  <c r="J208" i="11"/>
  <c r="O208" i="11"/>
  <c r="D209" i="11"/>
  <c r="F208" i="69" s="1"/>
  <c r="N209" i="11"/>
  <c r="K210" i="11"/>
  <c r="P210" i="11"/>
  <c r="Q211" i="11"/>
  <c r="N214" i="11"/>
  <c r="N218" i="11"/>
  <c r="H220" i="11"/>
  <c r="N220" i="11"/>
  <c r="M221" i="11"/>
  <c r="D222" i="11"/>
  <c r="F221" i="69" s="1"/>
  <c r="J222" i="11"/>
  <c r="O222" i="11"/>
  <c r="L223" i="11"/>
  <c r="N226" i="11"/>
  <c r="D228" i="11"/>
  <c r="F227" i="69" s="1"/>
  <c r="J228" i="11"/>
  <c r="O228" i="11"/>
  <c r="D229" i="11"/>
  <c r="F228" i="69" s="1"/>
  <c r="N229" i="11"/>
  <c r="K230" i="11"/>
  <c r="P230" i="11"/>
  <c r="D232" i="11"/>
  <c r="F231" i="69" s="1"/>
  <c r="J232" i="11"/>
  <c r="O232" i="11"/>
  <c r="D233" i="11"/>
  <c r="F232" i="69" s="1"/>
  <c r="N233" i="11"/>
  <c r="K234" i="11"/>
  <c r="P234" i="11"/>
  <c r="M235" i="11"/>
  <c r="M236" i="11"/>
  <c r="L237" i="11"/>
  <c r="Q237" i="11"/>
  <c r="L238" i="11"/>
  <c r="M239" i="11"/>
  <c r="M240" i="11"/>
  <c r="L241" i="11"/>
  <c r="Q241" i="11"/>
  <c r="L242" i="11"/>
  <c r="M243" i="11"/>
  <c r="M244" i="11"/>
  <c r="L245" i="11"/>
  <c r="Q245" i="11"/>
  <c r="L246" i="11"/>
  <c r="M247" i="11"/>
  <c r="M248" i="11"/>
  <c r="L249" i="11"/>
  <c r="Q249" i="11"/>
  <c r="L250" i="11"/>
  <c r="M251" i="11"/>
  <c r="M252" i="11"/>
  <c r="L253" i="11"/>
  <c r="Q253" i="11"/>
  <c r="L254" i="11"/>
  <c r="M255" i="11"/>
  <c r="M256" i="11"/>
  <c r="L257" i="11"/>
  <c r="Q257" i="11"/>
  <c r="L258" i="11"/>
  <c r="M259" i="11"/>
  <c r="M260" i="11"/>
  <c r="L261" i="11"/>
  <c r="Q261" i="11"/>
  <c r="L262" i="11"/>
  <c r="M263" i="11"/>
  <c r="M264" i="11"/>
  <c r="L265" i="11"/>
  <c r="Q265" i="11"/>
  <c r="L266" i="11"/>
  <c r="M267" i="11"/>
  <c r="M268" i="11"/>
  <c r="L269" i="11"/>
  <c r="Q269" i="11"/>
  <c r="L270" i="11"/>
  <c r="M271" i="11"/>
  <c r="M272" i="11"/>
  <c r="L273" i="11"/>
  <c r="Q273" i="11"/>
  <c r="L274" i="11"/>
  <c r="M275" i="11"/>
  <c r="M276" i="11"/>
  <c r="L277" i="11"/>
  <c r="Q277" i="11"/>
  <c r="R278" i="11"/>
  <c r="D281" i="11"/>
  <c r="F280" i="69" s="1"/>
  <c r="K281" i="11"/>
  <c r="P281" i="11"/>
  <c r="R283" i="11"/>
  <c r="I285" i="11"/>
  <c r="O285" i="11"/>
  <c r="R288" i="11"/>
  <c r="H289" i="11"/>
  <c r="M289" i="11"/>
  <c r="U289" i="11"/>
  <c r="H292" i="11"/>
  <c r="L293" i="11"/>
  <c r="Q293" i="11"/>
  <c r="R294" i="11"/>
  <c r="D297" i="11"/>
  <c r="F296" i="69" s="1"/>
  <c r="K297" i="11"/>
  <c r="P297" i="11"/>
  <c r="J298" i="11"/>
  <c r="U299" i="11"/>
  <c r="I300" i="11"/>
  <c r="Q300" i="11"/>
  <c r="L301" i="11"/>
  <c r="Q301" i="11"/>
  <c r="K302" i="11"/>
  <c r="H304" i="11"/>
  <c r="P304" i="11"/>
  <c r="D305" i="11"/>
  <c r="F304" i="69" s="1"/>
  <c r="K305" i="11"/>
  <c r="P305" i="11"/>
  <c r="K306" i="11"/>
  <c r="I307" i="11"/>
  <c r="U307" i="11"/>
  <c r="I308" i="11"/>
  <c r="Q308" i="11"/>
  <c r="L309" i="11"/>
  <c r="Q309" i="11"/>
  <c r="U311" i="11"/>
  <c r="I312" i="11"/>
  <c r="Q312" i="11"/>
  <c r="L313" i="11"/>
  <c r="Q313" i="11"/>
  <c r="R314" i="11"/>
  <c r="U315" i="11"/>
  <c r="I316" i="11"/>
  <c r="Q316" i="11"/>
  <c r="L317" i="11"/>
  <c r="Q317" i="11"/>
  <c r="K318" i="11"/>
  <c r="J319" i="11"/>
  <c r="I320" i="11"/>
  <c r="Q320" i="11"/>
  <c r="L321" i="11"/>
  <c r="Q321" i="11"/>
  <c r="N322" i="11"/>
  <c r="M323" i="11"/>
  <c r="L324" i="11"/>
  <c r="U324" i="11"/>
  <c r="H325" i="11"/>
  <c r="M325" i="11"/>
  <c r="U325" i="11"/>
  <c r="D327" i="11"/>
  <c r="F326" i="69" s="1"/>
  <c r="L328" i="11"/>
  <c r="U328" i="11"/>
  <c r="H329" i="11"/>
  <c r="M329" i="11"/>
  <c r="U329" i="11"/>
  <c r="D331" i="11"/>
  <c r="F330" i="69" s="1"/>
  <c r="D332" i="11"/>
  <c r="F331" i="69" s="1"/>
  <c r="M332" i="11"/>
  <c r="I333" i="11"/>
  <c r="O333" i="11"/>
  <c r="I335" i="11"/>
  <c r="L336" i="11"/>
  <c r="U336" i="11"/>
  <c r="H337" i="11"/>
  <c r="M337" i="11"/>
  <c r="U337" i="11"/>
  <c r="I339" i="11"/>
  <c r="L340" i="11"/>
  <c r="U340" i="11"/>
  <c r="H341" i="11"/>
  <c r="M341" i="11"/>
  <c r="U341" i="11"/>
  <c r="I343" i="11"/>
  <c r="L344" i="11"/>
  <c r="U344" i="11"/>
  <c r="H345" i="11"/>
  <c r="M345" i="11"/>
  <c r="U345" i="11"/>
  <c r="Q347" i="11"/>
  <c r="H348" i="11"/>
  <c r="P348" i="11"/>
  <c r="D349" i="11"/>
  <c r="F348" i="69" s="1"/>
  <c r="K349" i="11"/>
  <c r="P349" i="11"/>
  <c r="J350" i="11"/>
  <c r="M351" i="11"/>
  <c r="D352" i="11"/>
  <c r="F351" i="69" s="1"/>
  <c r="M352" i="11"/>
  <c r="I353" i="11"/>
  <c r="O353" i="11"/>
  <c r="M355" i="11"/>
  <c r="D356" i="11"/>
  <c r="F355" i="69" s="1"/>
  <c r="M356" i="11"/>
  <c r="I357" i="11"/>
  <c r="O357" i="11"/>
  <c r="M359" i="11"/>
  <c r="D360" i="11"/>
  <c r="F359" i="69" s="1"/>
  <c r="M360" i="11"/>
  <c r="I361" i="11"/>
  <c r="O361" i="11"/>
  <c r="D363" i="11"/>
  <c r="F362" i="69" s="1"/>
  <c r="U363" i="11"/>
  <c r="I364" i="11"/>
  <c r="Q364" i="11"/>
  <c r="L365" i="11"/>
  <c r="Q365" i="11"/>
  <c r="Q367" i="11"/>
  <c r="H368" i="11"/>
  <c r="P368" i="11"/>
  <c r="D369" i="11"/>
  <c r="F368" i="69" s="1"/>
  <c r="K369" i="11"/>
  <c r="P369" i="11"/>
  <c r="Q371" i="11"/>
  <c r="H372" i="11"/>
  <c r="P372" i="11"/>
  <c r="D373" i="11"/>
  <c r="F372" i="69" s="1"/>
  <c r="K373" i="11"/>
  <c r="P373" i="11"/>
  <c r="Q375" i="11"/>
  <c r="H376" i="11"/>
  <c r="P376" i="11"/>
  <c r="D377" i="11"/>
  <c r="F376" i="69" s="1"/>
  <c r="K377" i="11"/>
  <c r="P377" i="11"/>
  <c r="I379" i="11"/>
  <c r="L380" i="11"/>
  <c r="U380" i="11"/>
  <c r="H381" i="11"/>
  <c r="M381" i="11"/>
  <c r="U381" i="11"/>
  <c r="D383" i="11"/>
  <c r="F382" i="69" s="1"/>
  <c r="U383" i="11"/>
  <c r="I384" i="11"/>
  <c r="Q384" i="11"/>
  <c r="L385" i="11"/>
  <c r="Q385" i="11"/>
  <c r="D387" i="11"/>
  <c r="F386" i="69" s="1"/>
  <c r="U387" i="11"/>
  <c r="I388" i="11"/>
  <c r="Q388" i="11"/>
  <c r="L389" i="11"/>
  <c r="Q389" i="11"/>
  <c r="J390" i="11"/>
  <c r="Q390" i="11"/>
  <c r="I391" i="11"/>
  <c r="P391" i="11"/>
  <c r="D392" i="11"/>
  <c r="F391" i="69" s="1"/>
  <c r="K392" i="11"/>
  <c r="P392" i="11"/>
  <c r="H393" i="11"/>
  <c r="O393" i="11"/>
  <c r="I394" i="11"/>
  <c r="O394" i="11"/>
  <c r="D395" i="11"/>
  <c r="F394" i="69" s="1"/>
  <c r="N395" i="11"/>
  <c r="I396" i="11"/>
  <c r="O396" i="11"/>
  <c r="D398" i="11"/>
  <c r="F397" i="69" s="1"/>
  <c r="N398" i="11"/>
  <c r="L399" i="11"/>
  <c r="H400" i="11"/>
  <c r="O402" i="11"/>
  <c r="I402" i="11"/>
  <c r="N402" i="11"/>
  <c r="I403" i="11"/>
  <c r="J406" i="11"/>
  <c r="R408" i="11"/>
  <c r="U408" i="11"/>
  <c r="M408" i="11"/>
  <c r="H408" i="11"/>
  <c r="K408" i="11"/>
  <c r="Q408" i="11"/>
  <c r="N409" i="11"/>
  <c r="I411" i="11"/>
  <c r="I412" i="11"/>
  <c r="D414" i="11"/>
  <c r="F413" i="69" s="1"/>
  <c r="J415" i="11"/>
  <c r="I416" i="11"/>
  <c r="D418" i="11"/>
  <c r="F417" i="69" s="1"/>
  <c r="J419" i="11"/>
  <c r="D424" i="11"/>
  <c r="F423" i="69" s="1"/>
  <c r="O425" i="11"/>
  <c r="R428" i="11"/>
  <c r="Q428" i="11"/>
  <c r="L428" i="11"/>
  <c r="K428" i="11"/>
  <c r="U428" i="11"/>
  <c r="I430" i="11"/>
  <c r="R432" i="11"/>
  <c r="P432" i="11"/>
  <c r="K432" i="11"/>
  <c r="D432" i="11"/>
  <c r="F431" i="69" s="1"/>
  <c r="L432" i="11"/>
  <c r="U432" i="11"/>
  <c r="J434" i="11"/>
  <c r="N438" i="11"/>
  <c r="D438" i="11"/>
  <c r="F437" i="69" s="1"/>
  <c r="O438" i="11"/>
  <c r="H441" i="11"/>
  <c r="P441" i="11"/>
  <c r="Q443" i="11"/>
  <c r="J443" i="11"/>
  <c r="N443" i="11"/>
  <c r="D444" i="11"/>
  <c r="F443" i="69" s="1"/>
  <c r="P445" i="11"/>
  <c r="J445" i="11"/>
  <c r="O445" i="11"/>
  <c r="R448" i="11"/>
  <c r="P448" i="11"/>
  <c r="K448" i="11"/>
  <c r="D448" i="11"/>
  <c r="F447" i="69" s="1"/>
  <c r="O448" i="11"/>
  <c r="H448" i="11"/>
  <c r="M448" i="11"/>
  <c r="H460" i="11"/>
  <c r="N470" i="11"/>
  <c r="D470" i="11"/>
  <c r="F469" i="69" s="1"/>
  <c r="K470" i="11"/>
  <c r="Q470" i="11"/>
  <c r="R480" i="11"/>
  <c r="Q480" i="11"/>
  <c r="L480" i="11"/>
  <c r="O480" i="11"/>
  <c r="H480" i="11"/>
  <c r="M480" i="11"/>
  <c r="D480" i="11"/>
  <c r="F479" i="69" s="1"/>
  <c r="U480" i="11"/>
  <c r="R482" i="11"/>
  <c r="J482" i="11"/>
  <c r="I289" i="11"/>
  <c r="O289" i="11"/>
  <c r="L300" i="11"/>
  <c r="U300" i="11"/>
  <c r="L308" i="11"/>
  <c r="U308" i="11"/>
  <c r="L312" i="11"/>
  <c r="U312" i="11"/>
  <c r="L316" i="11"/>
  <c r="U316" i="11"/>
  <c r="L320" i="11"/>
  <c r="U320" i="11"/>
  <c r="N323" i="11"/>
  <c r="I325" i="11"/>
  <c r="O325" i="11"/>
  <c r="I329" i="11"/>
  <c r="O329" i="11"/>
  <c r="I337" i="11"/>
  <c r="O337" i="11"/>
  <c r="I341" i="11"/>
  <c r="O341" i="11"/>
  <c r="I345" i="11"/>
  <c r="O345" i="11"/>
  <c r="Q351" i="11"/>
  <c r="Q355" i="11"/>
  <c r="Q359" i="11"/>
  <c r="L364" i="11"/>
  <c r="U364" i="11"/>
  <c r="I381" i="11"/>
  <c r="O381" i="11"/>
  <c r="L384" i="11"/>
  <c r="U384" i="11"/>
  <c r="L388" i="11"/>
  <c r="U388" i="11"/>
  <c r="K390" i="11"/>
  <c r="U390" i="11"/>
  <c r="R400" i="11"/>
  <c r="P400" i="11"/>
  <c r="K400" i="11"/>
  <c r="I400" i="11"/>
  <c r="Q400" i="11"/>
  <c r="O409" i="11"/>
  <c r="R412" i="11"/>
  <c r="Q412" i="11"/>
  <c r="L412" i="11"/>
  <c r="K412" i="11"/>
  <c r="U412" i="11"/>
  <c r="R416" i="11"/>
  <c r="P416" i="11"/>
  <c r="K416" i="11"/>
  <c r="D416" i="11"/>
  <c r="F415" i="69" s="1"/>
  <c r="L416" i="11"/>
  <c r="U416" i="11"/>
  <c r="N422" i="11"/>
  <c r="D422" i="11"/>
  <c r="F421" i="69" s="1"/>
  <c r="O422" i="11"/>
  <c r="Q427" i="11"/>
  <c r="J427" i="11"/>
  <c r="N427" i="11"/>
  <c r="P429" i="11"/>
  <c r="J429" i="11"/>
  <c r="O429" i="11"/>
  <c r="P431" i="11"/>
  <c r="I431" i="11"/>
  <c r="N431" i="11"/>
  <c r="O433" i="11"/>
  <c r="H433" i="11"/>
  <c r="P433" i="11"/>
  <c r="N435" i="11"/>
  <c r="D435" i="11"/>
  <c r="F434" i="69" s="1"/>
  <c r="P435" i="11"/>
  <c r="N451" i="11"/>
  <c r="D451" i="11"/>
  <c r="F450" i="69" s="1"/>
  <c r="Q451" i="11"/>
  <c r="I451" i="11"/>
  <c r="U451" i="11"/>
  <c r="K457" i="11"/>
  <c r="N457" i="11"/>
  <c r="P457" i="11"/>
  <c r="Q459" i="11"/>
  <c r="J459" i="11"/>
  <c r="U459" i="11"/>
  <c r="I459" i="11"/>
  <c r="P459" i="11"/>
  <c r="P461" i="11"/>
  <c r="J461" i="11"/>
  <c r="K461" i="11"/>
  <c r="Q462" i="11"/>
  <c r="J462" i="11"/>
  <c r="O462" i="11"/>
  <c r="D462" i="11"/>
  <c r="F461" i="69" s="1"/>
  <c r="U462" i="11"/>
  <c r="R472" i="11"/>
  <c r="U472" i="11"/>
  <c r="M472" i="11"/>
  <c r="H472" i="11"/>
  <c r="L472" i="11"/>
  <c r="D472" i="11"/>
  <c r="F471" i="69" s="1"/>
  <c r="O472" i="11"/>
  <c r="R488" i="11"/>
  <c r="Q488" i="11"/>
  <c r="L488" i="11"/>
  <c r="P488" i="11"/>
  <c r="I488" i="11"/>
  <c r="O488" i="11"/>
  <c r="H488" i="11"/>
  <c r="M488" i="11"/>
  <c r="D488" i="11"/>
  <c r="F487" i="69" s="1"/>
  <c r="N134" i="11"/>
  <c r="N138" i="11"/>
  <c r="N140" i="11"/>
  <c r="M141" i="11"/>
  <c r="N146" i="11"/>
  <c r="N166" i="11"/>
  <c r="N170" i="11"/>
  <c r="H172" i="11"/>
  <c r="N172" i="11"/>
  <c r="M173" i="11"/>
  <c r="N178" i="11"/>
  <c r="H198" i="11"/>
  <c r="N198" i="11"/>
  <c r="H202" i="11"/>
  <c r="N202" i="11"/>
  <c r="N204" i="11"/>
  <c r="M205" i="11"/>
  <c r="H210" i="11"/>
  <c r="N210" i="11"/>
  <c r="N230" i="11"/>
  <c r="N234" i="11"/>
  <c r="I237" i="11"/>
  <c r="O237" i="11"/>
  <c r="I241" i="11"/>
  <c r="O241" i="11"/>
  <c r="I245" i="11"/>
  <c r="O245" i="11"/>
  <c r="I249" i="11"/>
  <c r="O249" i="11"/>
  <c r="I253" i="11"/>
  <c r="O253" i="11"/>
  <c r="I257" i="11"/>
  <c r="O257" i="11"/>
  <c r="I261" i="11"/>
  <c r="O261" i="11"/>
  <c r="I265" i="11"/>
  <c r="O265" i="11"/>
  <c r="I269" i="11"/>
  <c r="O269" i="11"/>
  <c r="I273" i="11"/>
  <c r="O273" i="11"/>
  <c r="I277" i="11"/>
  <c r="O277" i="11"/>
  <c r="H284" i="11"/>
  <c r="D289" i="11"/>
  <c r="F288" i="69" s="1"/>
  <c r="K289" i="11"/>
  <c r="P289" i="11"/>
  <c r="I293" i="11"/>
  <c r="O293" i="11"/>
  <c r="D299" i="11"/>
  <c r="F298" i="69" s="1"/>
  <c r="D300" i="11"/>
  <c r="F299" i="69" s="1"/>
  <c r="M300" i="11"/>
  <c r="I301" i="11"/>
  <c r="O301" i="11"/>
  <c r="O302" i="11"/>
  <c r="L304" i="11"/>
  <c r="U304" i="11"/>
  <c r="N307" i="11"/>
  <c r="D308" i="11"/>
  <c r="F307" i="69" s="1"/>
  <c r="M308" i="11"/>
  <c r="I309" i="11"/>
  <c r="O309" i="11"/>
  <c r="D312" i="11"/>
  <c r="F311" i="69" s="1"/>
  <c r="M312" i="11"/>
  <c r="I313" i="11"/>
  <c r="O313" i="11"/>
  <c r="D315" i="11"/>
  <c r="F314" i="69" s="1"/>
  <c r="D316" i="11"/>
  <c r="F315" i="69" s="1"/>
  <c r="M316" i="11"/>
  <c r="I317" i="11"/>
  <c r="O317" i="11"/>
  <c r="O318" i="11"/>
  <c r="D320" i="11"/>
  <c r="F319" i="69" s="1"/>
  <c r="M320" i="11"/>
  <c r="I321" i="11"/>
  <c r="O321" i="11"/>
  <c r="D323" i="11"/>
  <c r="F322" i="69" s="1"/>
  <c r="Q323" i="11"/>
  <c r="D325" i="11"/>
  <c r="F324" i="69" s="1"/>
  <c r="K325" i="11"/>
  <c r="P325" i="11"/>
  <c r="K326" i="11"/>
  <c r="D329" i="11"/>
  <c r="F328" i="69" s="1"/>
  <c r="K329" i="11"/>
  <c r="P329" i="11"/>
  <c r="J330" i="11"/>
  <c r="Q335" i="11"/>
  <c r="D337" i="11"/>
  <c r="F336" i="69" s="1"/>
  <c r="K337" i="11"/>
  <c r="P337" i="11"/>
  <c r="Q339" i="11"/>
  <c r="D341" i="11"/>
  <c r="F340" i="69" s="1"/>
  <c r="K341" i="11"/>
  <c r="P341" i="11"/>
  <c r="Q343" i="11"/>
  <c r="D345" i="11"/>
  <c r="F344" i="69" s="1"/>
  <c r="K345" i="11"/>
  <c r="P345" i="11"/>
  <c r="J346" i="11"/>
  <c r="L348" i="11"/>
  <c r="U348" i="11"/>
  <c r="D351" i="11"/>
  <c r="F350" i="69" s="1"/>
  <c r="U351" i="11"/>
  <c r="D355" i="11"/>
  <c r="F354" i="69" s="1"/>
  <c r="U355" i="11"/>
  <c r="D359" i="11"/>
  <c r="F358" i="69" s="1"/>
  <c r="U359" i="11"/>
  <c r="D364" i="11"/>
  <c r="F363" i="69" s="1"/>
  <c r="M364" i="11"/>
  <c r="I365" i="11"/>
  <c r="O365" i="11"/>
  <c r="L368" i="11"/>
  <c r="U368" i="11"/>
  <c r="L372" i="11"/>
  <c r="U372" i="11"/>
  <c r="L376" i="11"/>
  <c r="U376" i="11"/>
  <c r="Q379" i="11"/>
  <c r="D381" i="11"/>
  <c r="F380" i="69" s="1"/>
  <c r="K381" i="11"/>
  <c r="P381" i="11"/>
  <c r="J382" i="11"/>
  <c r="D384" i="11"/>
  <c r="F383" i="69" s="1"/>
  <c r="M384" i="11"/>
  <c r="I385" i="11"/>
  <c r="O385" i="11"/>
  <c r="D388" i="11"/>
  <c r="F387" i="69" s="1"/>
  <c r="M388" i="11"/>
  <c r="I389" i="11"/>
  <c r="O389" i="11"/>
  <c r="D390" i="11"/>
  <c r="F389" i="69" s="1"/>
  <c r="N390" i="11"/>
  <c r="L391" i="11"/>
  <c r="U391" i="11"/>
  <c r="K394" i="11"/>
  <c r="U394" i="11"/>
  <c r="D400" i="11"/>
  <c r="F399" i="69" s="1"/>
  <c r="L400" i="11"/>
  <c r="U400" i="11"/>
  <c r="N406" i="11"/>
  <c r="D406" i="11"/>
  <c r="F405" i="69" s="1"/>
  <c r="O406" i="11"/>
  <c r="H409" i="11"/>
  <c r="P409" i="11"/>
  <c r="Q411" i="11"/>
  <c r="J411" i="11"/>
  <c r="N411" i="11"/>
  <c r="D412" i="11"/>
  <c r="F411" i="69" s="1"/>
  <c r="M412" i="11"/>
  <c r="P413" i="11"/>
  <c r="J413" i="11"/>
  <c r="O413" i="11"/>
  <c r="P415" i="11"/>
  <c r="I415" i="11"/>
  <c r="N415" i="11"/>
  <c r="M416" i="11"/>
  <c r="O417" i="11"/>
  <c r="H417" i="11"/>
  <c r="P417" i="11"/>
  <c r="N419" i="11"/>
  <c r="D419" i="11"/>
  <c r="F418" i="69" s="1"/>
  <c r="P419" i="11"/>
  <c r="I422" i="11"/>
  <c r="Q422" i="11"/>
  <c r="D427" i="11"/>
  <c r="F426" i="69" s="1"/>
  <c r="P427" i="11"/>
  <c r="H429" i="11"/>
  <c r="Q430" i="11"/>
  <c r="J430" i="11"/>
  <c r="N430" i="11"/>
  <c r="D431" i="11"/>
  <c r="F430" i="69" s="1"/>
  <c r="Q431" i="11"/>
  <c r="J433" i="11"/>
  <c r="O434" i="11"/>
  <c r="I434" i="11"/>
  <c r="N434" i="11"/>
  <c r="I435" i="11"/>
  <c r="Q435" i="11"/>
  <c r="R440" i="11"/>
  <c r="U440" i="11"/>
  <c r="M440" i="11"/>
  <c r="H440" i="11"/>
  <c r="K440" i="11"/>
  <c r="Q440" i="11"/>
  <c r="J451" i="11"/>
  <c r="N454" i="11"/>
  <c r="D454" i="11"/>
  <c r="F453" i="69" s="1"/>
  <c r="U454" i="11"/>
  <c r="J454" i="11"/>
  <c r="Q454" i="11"/>
  <c r="H457" i="11"/>
  <c r="D459" i="11"/>
  <c r="F458" i="69" s="1"/>
  <c r="R460" i="11"/>
  <c r="Q460" i="11"/>
  <c r="L460" i="11"/>
  <c r="P460" i="11"/>
  <c r="I460" i="11"/>
  <c r="M460" i="11"/>
  <c r="H461" i="11"/>
  <c r="I462" i="11"/>
  <c r="P463" i="11"/>
  <c r="I463" i="11"/>
  <c r="U463" i="11"/>
  <c r="J463" i="11"/>
  <c r="Q463" i="11"/>
  <c r="O465" i="11"/>
  <c r="H465" i="11"/>
  <c r="K465" i="11"/>
  <c r="O466" i="11"/>
  <c r="I466" i="11"/>
  <c r="Q466" i="11"/>
  <c r="D466" i="11"/>
  <c r="F465" i="69" s="1"/>
  <c r="U466" i="11"/>
  <c r="P472" i="11"/>
  <c r="K488" i="11"/>
  <c r="I53" i="11"/>
  <c r="O54" i="11"/>
  <c r="P56" i="11"/>
  <c r="I58" i="11"/>
  <c r="I61" i="11"/>
  <c r="P64" i="11"/>
  <c r="I69" i="11"/>
  <c r="O70" i="11"/>
  <c r="I77" i="11"/>
  <c r="O78" i="11"/>
  <c r="I81" i="11"/>
  <c r="P90" i="11"/>
  <c r="K94" i="11"/>
  <c r="M105" i="11"/>
  <c r="N112" i="11"/>
  <c r="M113" i="11"/>
  <c r="N126" i="11"/>
  <c r="N132" i="11"/>
  <c r="M133" i="11"/>
  <c r="D134" i="11"/>
  <c r="F133" i="69" s="1"/>
  <c r="J134" i="11"/>
  <c r="O134" i="11"/>
  <c r="N136" i="11"/>
  <c r="M137" i="11"/>
  <c r="D138" i="11"/>
  <c r="F137" i="69" s="1"/>
  <c r="J138" i="11"/>
  <c r="O138" i="11"/>
  <c r="D140" i="11"/>
  <c r="F139" i="69" s="1"/>
  <c r="J140" i="11"/>
  <c r="O140" i="11"/>
  <c r="D141" i="11"/>
  <c r="F140" i="69" s="1"/>
  <c r="N141" i="11"/>
  <c r="N144" i="11"/>
  <c r="M145" i="11"/>
  <c r="D146" i="11"/>
  <c r="F145" i="69" s="1"/>
  <c r="J146" i="11"/>
  <c r="O146" i="11"/>
  <c r="N158" i="11"/>
  <c r="N164" i="11"/>
  <c r="M165" i="11"/>
  <c r="D166" i="11"/>
  <c r="F165" i="69" s="1"/>
  <c r="J166" i="11"/>
  <c r="O166" i="11"/>
  <c r="N168" i="11"/>
  <c r="M169" i="11"/>
  <c r="D170" i="11"/>
  <c r="F169" i="69" s="1"/>
  <c r="J170" i="11"/>
  <c r="O170" i="11"/>
  <c r="D172" i="11"/>
  <c r="F171" i="69" s="1"/>
  <c r="J172" i="11"/>
  <c r="O172" i="11"/>
  <c r="D173" i="11"/>
  <c r="F172" i="69" s="1"/>
  <c r="N173" i="11"/>
  <c r="N176" i="11"/>
  <c r="M177" i="11"/>
  <c r="D178" i="11"/>
  <c r="F177" i="69" s="1"/>
  <c r="J178" i="11"/>
  <c r="O178" i="11"/>
  <c r="H190" i="11"/>
  <c r="N190" i="11"/>
  <c r="N196" i="11"/>
  <c r="M197" i="11"/>
  <c r="D198" i="11"/>
  <c r="F197" i="69" s="1"/>
  <c r="J198" i="11"/>
  <c r="O198" i="11"/>
  <c r="N200" i="11"/>
  <c r="M201" i="11"/>
  <c r="D202" i="11"/>
  <c r="F201" i="69" s="1"/>
  <c r="J202" i="11"/>
  <c r="O202" i="11"/>
  <c r="D204" i="11"/>
  <c r="F203" i="69" s="1"/>
  <c r="J204" i="11"/>
  <c r="O204" i="11"/>
  <c r="D205" i="11"/>
  <c r="F204" i="69" s="1"/>
  <c r="N205" i="11"/>
  <c r="H208" i="11"/>
  <c r="N208" i="11"/>
  <c r="M209" i="11"/>
  <c r="D210" i="11"/>
  <c r="F209" i="69" s="1"/>
  <c r="J210" i="11"/>
  <c r="O210" i="11"/>
  <c r="N222" i="11"/>
  <c r="N228" i="11"/>
  <c r="M229" i="11"/>
  <c r="D230" i="11"/>
  <c r="F229" i="69" s="1"/>
  <c r="J230" i="11"/>
  <c r="O230" i="11"/>
  <c r="H232" i="11"/>
  <c r="N232" i="11"/>
  <c r="M233" i="11"/>
  <c r="D234" i="11"/>
  <c r="F233" i="69" s="1"/>
  <c r="J234" i="11"/>
  <c r="O234" i="11"/>
  <c r="D237" i="11"/>
  <c r="F236" i="69" s="1"/>
  <c r="K237" i="11"/>
  <c r="P237" i="11"/>
  <c r="D241" i="11"/>
  <c r="F240" i="69" s="1"/>
  <c r="K241" i="11"/>
  <c r="P241" i="11"/>
  <c r="D245" i="11"/>
  <c r="F244" i="69" s="1"/>
  <c r="K245" i="11"/>
  <c r="P245" i="11"/>
  <c r="D249" i="11"/>
  <c r="F248" i="69" s="1"/>
  <c r="K249" i="11"/>
  <c r="P249" i="11"/>
  <c r="D253" i="11"/>
  <c r="F252" i="69" s="1"/>
  <c r="K253" i="11"/>
  <c r="P253" i="11"/>
  <c r="D257" i="11"/>
  <c r="F256" i="69" s="1"/>
  <c r="K257" i="11"/>
  <c r="P257" i="11"/>
  <c r="D261" i="11"/>
  <c r="F260" i="69" s="1"/>
  <c r="K261" i="11"/>
  <c r="P261" i="11"/>
  <c r="D265" i="11"/>
  <c r="F264" i="69" s="1"/>
  <c r="K265" i="11"/>
  <c r="P265" i="11"/>
  <c r="D269" i="11"/>
  <c r="F268" i="69" s="1"/>
  <c r="K269" i="11"/>
  <c r="P269" i="11"/>
  <c r="D273" i="11"/>
  <c r="F272" i="69" s="1"/>
  <c r="K273" i="11"/>
  <c r="P273" i="11"/>
  <c r="D277" i="11"/>
  <c r="F276" i="69" s="1"/>
  <c r="K277" i="11"/>
  <c r="P277" i="11"/>
  <c r="R279" i="11"/>
  <c r="I281" i="11"/>
  <c r="O281" i="11"/>
  <c r="R284" i="11"/>
  <c r="H288" i="11"/>
  <c r="L289" i="11"/>
  <c r="Q289" i="11"/>
  <c r="R290" i="11"/>
  <c r="D293" i="11"/>
  <c r="F292" i="69" s="1"/>
  <c r="K293" i="11"/>
  <c r="P293" i="11"/>
  <c r="R295" i="11"/>
  <c r="I297" i="11"/>
  <c r="O297" i="11"/>
  <c r="M299" i="11"/>
  <c r="H300" i="11"/>
  <c r="P300" i="11"/>
  <c r="D301" i="11"/>
  <c r="F300" i="69" s="1"/>
  <c r="K301" i="11"/>
  <c r="P301" i="11"/>
  <c r="D304" i="11"/>
  <c r="F303" i="69" s="1"/>
  <c r="M304" i="11"/>
  <c r="I305" i="11"/>
  <c r="O305" i="11"/>
  <c r="D307" i="11"/>
  <c r="F306" i="69" s="1"/>
  <c r="H308" i="11"/>
  <c r="P308" i="11"/>
  <c r="D309" i="11"/>
  <c r="F308" i="69" s="1"/>
  <c r="K309" i="11"/>
  <c r="P309" i="11"/>
  <c r="K310" i="11"/>
  <c r="H312" i="11"/>
  <c r="P312" i="11"/>
  <c r="D313" i="11"/>
  <c r="F312" i="69" s="1"/>
  <c r="K313" i="11"/>
  <c r="P313" i="11"/>
  <c r="M315" i="11"/>
  <c r="H316" i="11"/>
  <c r="P316" i="11"/>
  <c r="D317" i="11"/>
  <c r="F316" i="69" s="1"/>
  <c r="K317" i="11"/>
  <c r="P317" i="11"/>
  <c r="H320" i="11"/>
  <c r="P320" i="11"/>
  <c r="D321" i="11"/>
  <c r="F320" i="69" s="1"/>
  <c r="K321" i="11"/>
  <c r="P321" i="11"/>
  <c r="K322" i="11"/>
  <c r="I323" i="11"/>
  <c r="L325" i="11"/>
  <c r="Q325" i="11"/>
  <c r="U327" i="11"/>
  <c r="L329" i="11"/>
  <c r="Q329" i="11"/>
  <c r="L332" i="11"/>
  <c r="U332" i="11"/>
  <c r="D335" i="11"/>
  <c r="F334" i="69" s="1"/>
  <c r="U335" i="11"/>
  <c r="L337" i="11"/>
  <c r="Q337" i="11"/>
  <c r="D339" i="11"/>
  <c r="F338" i="69" s="1"/>
  <c r="U339" i="11"/>
  <c r="L341" i="11"/>
  <c r="Q341" i="11"/>
  <c r="D343" i="11"/>
  <c r="F342" i="69" s="1"/>
  <c r="U343" i="11"/>
  <c r="L345" i="11"/>
  <c r="Q345" i="11"/>
  <c r="D348" i="11"/>
  <c r="F347" i="69" s="1"/>
  <c r="M348" i="11"/>
  <c r="I349" i="11"/>
  <c r="O349" i="11"/>
  <c r="I351" i="11"/>
  <c r="L352" i="11"/>
  <c r="U352" i="11"/>
  <c r="I355" i="11"/>
  <c r="L356" i="11"/>
  <c r="U356" i="11"/>
  <c r="I359" i="11"/>
  <c r="L360" i="11"/>
  <c r="U360" i="11"/>
  <c r="Q363" i="11"/>
  <c r="H364" i="11"/>
  <c r="P364" i="11"/>
  <c r="D365" i="11"/>
  <c r="F364" i="69" s="1"/>
  <c r="K365" i="11"/>
  <c r="P365" i="11"/>
  <c r="J366" i="11"/>
  <c r="D368" i="11"/>
  <c r="F367" i="69" s="1"/>
  <c r="M368" i="11"/>
  <c r="I369" i="11"/>
  <c r="O369" i="11"/>
  <c r="D372" i="11"/>
  <c r="F371" i="69" s="1"/>
  <c r="M372" i="11"/>
  <c r="I373" i="11"/>
  <c r="O373" i="11"/>
  <c r="D376" i="11"/>
  <c r="F375" i="69" s="1"/>
  <c r="M376" i="11"/>
  <c r="I377" i="11"/>
  <c r="O377" i="11"/>
  <c r="D379" i="11"/>
  <c r="F378" i="69" s="1"/>
  <c r="U379" i="11"/>
  <c r="L381" i="11"/>
  <c r="Q381" i="11"/>
  <c r="Q383" i="11"/>
  <c r="H384" i="11"/>
  <c r="P384" i="11"/>
  <c r="D385" i="11"/>
  <c r="F384" i="69" s="1"/>
  <c r="K385" i="11"/>
  <c r="P385" i="11"/>
  <c r="Q387" i="11"/>
  <c r="H388" i="11"/>
  <c r="P388" i="11"/>
  <c r="D389" i="11"/>
  <c r="F388" i="69" s="1"/>
  <c r="K389" i="11"/>
  <c r="P389" i="11"/>
  <c r="I390" i="11"/>
  <c r="D391" i="11"/>
  <c r="F390" i="69" s="1"/>
  <c r="I392" i="11"/>
  <c r="O392" i="11"/>
  <c r="D394" i="11"/>
  <c r="F393" i="69" s="1"/>
  <c r="L395" i="11"/>
  <c r="K398" i="11"/>
  <c r="M400" i="11"/>
  <c r="O401" i="11"/>
  <c r="H401" i="11"/>
  <c r="P401" i="11"/>
  <c r="N403" i="11"/>
  <c r="D403" i="11"/>
  <c r="F402" i="69" s="1"/>
  <c r="P403" i="11"/>
  <c r="I406" i="11"/>
  <c r="Q406" i="11"/>
  <c r="J409" i="11"/>
  <c r="D411" i="11"/>
  <c r="F410" i="69" s="1"/>
  <c r="P411" i="11"/>
  <c r="H412" i="11"/>
  <c r="O412" i="11"/>
  <c r="H413" i="11"/>
  <c r="Q414" i="11"/>
  <c r="J414" i="11"/>
  <c r="N414" i="11"/>
  <c r="D415" i="11"/>
  <c r="F414" i="69" s="1"/>
  <c r="Q415" i="11"/>
  <c r="H416" i="11"/>
  <c r="O416" i="11"/>
  <c r="J417" i="11"/>
  <c r="O418" i="11"/>
  <c r="I418" i="11"/>
  <c r="N418" i="11"/>
  <c r="I419" i="11"/>
  <c r="Q419" i="11"/>
  <c r="J422" i="11"/>
  <c r="U422" i="11"/>
  <c r="R424" i="11"/>
  <c r="U424" i="11"/>
  <c r="M424" i="11"/>
  <c r="H424" i="11"/>
  <c r="K424" i="11"/>
  <c r="Q424" i="11"/>
  <c r="I427" i="11"/>
  <c r="U427" i="11"/>
  <c r="K429" i="11"/>
  <c r="D430" i="11"/>
  <c r="F429" i="69" s="1"/>
  <c r="O430" i="11"/>
  <c r="J431" i="11"/>
  <c r="U431" i="11"/>
  <c r="K433" i="11"/>
  <c r="D434" i="11"/>
  <c r="F433" i="69" s="1"/>
  <c r="Q434" i="11"/>
  <c r="J435" i="11"/>
  <c r="U435" i="11"/>
  <c r="D440" i="11"/>
  <c r="F439" i="69" s="1"/>
  <c r="L440" i="11"/>
  <c r="O441" i="11"/>
  <c r="R444" i="11"/>
  <c r="Q444" i="11"/>
  <c r="L444" i="11"/>
  <c r="K444" i="11"/>
  <c r="U444" i="11"/>
  <c r="P447" i="11"/>
  <c r="I447" i="11"/>
  <c r="Q447" i="11"/>
  <c r="D447" i="11"/>
  <c r="F446" i="69" s="1"/>
  <c r="U447" i="11"/>
  <c r="O449" i="11"/>
  <c r="H449" i="11"/>
  <c r="J449" i="11"/>
  <c r="L451" i="11"/>
  <c r="I454" i="11"/>
  <c r="J457" i="11"/>
  <c r="L459" i="11"/>
  <c r="D460" i="11"/>
  <c r="F459" i="69" s="1"/>
  <c r="O460" i="11"/>
  <c r="N461" i="11"/>
  <c r="K462" i="11"/>
  <c r="D463" i="11"/>
  <c r="F462" i="69" s="1"/>
  <c r="R464" i="11"/>
  <c r="P464" i="11"/>
  <c r="K464" i="11"/>
  <c r="D464" i="11"/>
  <c r="F463" i="69" s="1"/>
  <c r="Q464" i="11"/>
  <c r="I464" i="11"/>
  <c r="M464" i="11"/>
  <c r="J465" i="11"/>
  <c r="J466" i="11"/>
  <c r="N467" i="11"/>
  <c r="D467" i="11"/>
  <c r="F466" i="69" s="1"/>
  <c r="U467" i="11"/>
  <c r="J467" i="11"/>
  <c r="Q467" i="11"/>
  <c r="I472" i="11"/>
  <c r="Q472" i="11"/>
  <c r="U478" i="11"/>
  <c r="I478" i="11"/>
  <c r="M478" i="11"/>
  <c r="D478" i="11"/>
  <c r="F477" i="69" s="1"/>
  <c r="U488" i="11"/>
  <c r="Y6" i="49"/>
  <c r="X6" i="49"/>
  <c r="S6" i="49"/>
  <c r="N6" i="49"/>
  <c r="C6" i="49"/>
  <c r="E6" i="49" s="1"/>
  <c r="T6" i="49"/>
  <c r="O6" i="49"/>
  <c r="J6" i="49"/>
  <c r="P6" i="49"/>
  <c r="Y10" i="49"/>
  <c r="X10" i="49"/>
  <c r="S10" i="49"/>
  <c r="N10" i="49"/>
  <c r="C10" i="49"/>
  <c r="E10" i="49" s="1"/>
  <c r="T10" i="49"/>
  <c r="O10" i="49"/>
  <c r="J10" i="49"/>
  <c r="P10" i="49"/>
  <c r="Y14" i="49"/>
  <c r="X14" i="49"/>
  <c r="S14" i="49"/>
  <c r="N14" i="49"/>
  <c r="C14" i="49"/>
  <c r="E14" i="49" s="1"/>
  <c r="T14" i="49"/>
  <c r="O14" i="49"/>
  <c r="J14" i="49"/>
  <c r="P14" i="49"/>
  <c r="Y18" i="49"/>
  <c r="X18" i="49"/>
  <c r="S18" i="49"/>
  <c r="N18" i="49"/>
  <c r="C18" i="49"/>
  <c r="E18" i="49" s="1"/>
  <c r="T18" i="49"/>
  <c r="O18" i="49"/>
  <c r="J18" i="49"/>
  <c r="P18" i="49"/>
  <c r="Y22" i="49"/>
  <c r="X22" i="49"/>
  <c r="S22" i="49"/>
  <c r="N22" i="49"/>
  <c r="C22" i="49"/>
  <c r="E22" i="49" s="1"/>
  <c r="T22" i="49"/>
  <c r="O22" i="49"/>
  <c r="J22" i="49"/>
  <c r="P22" i="49"/>
  <c r="U28" i="49"/>
  <c r="J28" i="49"/>
  <c r="Y28" i="49"/>
  <c r="N28" i="49"/>
  <c r="U36" i="49"/>
  <c r="J36" i="49"/>
  <c r="Y36" i="49"/>
  <c r="N36" i="49"/>
  <c r="Y61" i="49"/>
  <c r="R61" i="49"/>
  <c r="J61" i="49"/>
  <c r="X61" i="49"/>
  <c r="P61" i="49"/>
  <c r="B61" i="49"/>
  <c r="T61" i="49"/>
  <c r="M61" i="49"/>
  <c r="Y75" i="49"/>
  <c r="U75" i="49"/>
  <c r="J75" i="49"/>
  <c r="R75" i="49"/>
  <c r="B75" i="49"/>
  <c r="X75" i="49"/>
  <c r="M75" i="49"/>
  <c r="U486" i="11"/>
  <c r="D486" i="11"/>
  <c r="F485" i="69" s="1"/>
  <c r="O487" i="11"/>
  <c r="Q487" i="11"/>
  <c r="I487" i="11"/>
  <c r="M487" i="11"/>
  <c r="B6" i="49"/>
  <c r="R6" i="49"/>
  <c r="Y9" i="49"/>
  <c r="W9" i="49"/>
  <c r="R9" i="49"/>
  <c r="L9" i="49"/>
  <c r="B9" i="49"/>
  <c r="X9" i="49"/>
  <c r="S9" i="49"/>
  <c r="N9" i="49"/>
  <c r="C9" i="49"/>
  <c r="E9" i="49" s="1"/>
  <c r="P9" i="49"/>
  <c r="B10" i="49"/>
  <c r="R10" i="49"/>
  <c r="Y13" i="49"/>
  <c r="W13" i="49"/>
  <c r="R13" i="49"/>
  <c r="L13" i="49"/>
  <c r="B13" i="49"/>
  <c r="X13" i="49"/>
  <c r="S13" i="49"/>
  <c r="N13" i="49"/>
  <c r="C13" i="49"/>
  <c r="E13" i="49" s="1"/>
  <c r="P13" i="49"/>
  <c r="B14" i="49"/>
  <c r="R14" i="49"/>
  <c r="Y17" i="49"/>
  <c r="W17" i="49"/>
  <c r="R17" i="49"/>
  <c r="L17" i="49"/>
  <c r="B17" i="49"/>
  <c r="X17" i="49"/>
  <c r="S17" i="49"/>
  <c r="N17" i="49"/>
  <c r="C17" i="49"/>
  <c r="E17" i="49" s="1"/>
  <c r="P17" i="49"/>
  <c r="B18" i="49"/>
  <c r="R18" i="49"/>
  <c r="Y21" i="49"/>
  <c r="W21" i="49"/>
  <c r="R21" i="49"/>
  <c r="L21" i="49"/>
  <c r="B21" i="49"/>
  <c r="X21" i="49"/>
  <c r="S21" i="49"/>
  <c r="N21" i="49"/>
  <c r="C21" i="49"/>
  <c r="E21" i="49" s="1"/>
  <c r="P21" i="49"/>
  <c r="B22" i="49"/>
  <c r="R22" i="49"/>
  <c r="P27" i="49"/>
  <c r="Q27" i="49"/>
  <c r="P28" i="49"/>
  <c r="J31" i="49"/>
  <c r="U31" i="49"/>
  <c r="P36" i="49"/>
  <c r="Y57" i="49"/>
  <c r="R57" i="49"/>
  <c r="J57" i="49"/>
  <c r="X57" i="49"/>
  <c r="P57" i="49"/>
  <c r="B57" i="49"/>
  <c r="T57" i="49"/>
  <c r="M57" i="49"/>
  <c r="U59" i="49"/>
  <c r="Y65" i="49"/>
  <c r="R65" i="49"/>
  <c r="J65" i="49"/>
  <c r="X65" i="49"/>
  <c r="P65" i="49"/>
  <c r="B65" i="49"/>
  <c r="T65" i="49"/>
  <c r="M65" i="49"/>
  <c r="P75" i="49"/>
  <c r="I404" i="11"/>
  <c r="O404" i="11"/>
  <c r="L407" i="11"/>
  <c r="K410" i="11"/>
  <c r="I420" i="11"/>
  <c r="O420" i="11"/>
  <c r="L423" i="11"/>
  <c r="K426" i="11"/>
  <c r="I436" i="11"/>
  <c r="O436" i="11"/>
  <c r="L439" i="11"/>
  <c r="K442" i="11"/>
  <c r="Q446" i="11"/>
  <c r="J446" i="11"/>
  <c r="N446" i="11"/>
  <c r="O450" i="11"/>
  <c r="I450" i="11"/>
  <c r="N450" i="11"/>
  <c r="R456" i="11"/>
  <c r="U456" i="11"/>
  <c r="M456" i="11"/>
  <c r="H456" i="11"/>
  <c r="K456" i="11"/>
  <c r="Q456" i="11"/>
  <c r="I476" i="11"/>
  <c r="O479" i="11"/>
  <c r="Q479" i="11"/>
  <c r="I479" i="11"/>
  <c r="M479" i="11"/>
  <c r="R484" i="11"/>
  <c r="U484" i="11"/>
  <c r="M484" i="11"/>
  <c r="H484" i="11"/>
  <c r="K484" i="11"/>
  <c r="Q484" i="11"/>
  <c r="I486" i="11"/>
  <c r="D487" i="11"/>
  <c r="F486" i="69" s="1"/>
  <c r="P487" i="11"/>
  <c r="K6" i="49"/>
  <c r="V6" i="49"/>
  <c r="J9" i="49"/>
  <c r="T9" i="49"/>
  <c r="K10" i="49"/>
  <c r="V10" i="49"/>
  <c r="J13" i="49"/>
  <c r="T13" i="49"/>
  <c r="K14" i="49"/>
  <c r="V14" i="49"/>
  <c r="J17" i="49"/>
  <c r="T17" i="49"/>
  <c r="K18" i="49"/>
  <c r="V18" i="49"/>
  <c r="J21" i="49"/>
  <c r="T21" i="49"/>
  <c r="K22" i="49"/>
  <c r="V22" i="49"/>
  <c r="K24" i="49"/>
  <c r="U24" i="49"/>
  <c r="J27" i="49"/>
  <c r="T28" i="49"/>
  <c r="Y32" i="49"/>
  <c r="N32" i="49"/>
  <c r="P32" i="49"/>
  <c r="T36" i="49"/>
  <c r="U39" i="49"/>
  <c r="Q39" i="49"/>
  <c r="R42" i="49"/>
  <c r="B42" i="49"/>
  <c r="M42" i="49"/>
  <c r="R50" i="49"/>
  <c r="N57" i="49"/>
  <c r="U61" i="49"/>
  <c r="U63" i="49"/>
  <c r="N65" i="49"/>
  <c r="T76" i="49"/>
  <c r="Q76" i="49"/>
  <c r="R476" i="11"/>
  <c r="U476" i="11"/>
  <c r="M476" i="11"/>
  <c r="H476" i="11"/>
  <c r="K476" i="11"/>
  <c r="Q476" i="11"/>
  <c r="M486" i="11"/>
  <c r="H487" i="11"/>
  <c r="U487" i="11"/>
  <c r="N489" i="11"/>
  <c r="L6" i="49"/>
  <c r="W6" i="49"/>
  <c r="K9" i="49"/>
  <c r="V9" i="49"/>
  <c r="L10" i="49"/>
  <c r="W10" i="49"/>
  <c r="K13" i="49"/>
  <c r="V13" i="49"/>
  <c r="L14" i="49"/>
  <c r="W14" i="49"/>
  <c r="K17" i="49"/>
  <c r="V17" i="49"/>
  <c r="L18" i="49"/>
  <c r="W18" i="49"/>
  <c r="K21" i="49"/>
  <c r="V21" i="49"/>
  <c r="L22" i="49"/>
  <c r="W22" i="49"/>
  <c r="U27" i="49"/>
  <c r="Y29" i="49"/>
  <c r="R29" i="49"/>
  <c r="J29" i="49"/>
  <c r="T29" i="49"/>
  <c r="M29" i="49"/>
  <c r="U29" i="49"/>
  <c r="J32" i="49"/>
  <c r="Y37" i="49"/>
  <c r="R37" i="49"/>
  <c r="J37" i="49"/>
  <c r="T37" i="49"/>
  <c r="M37" i="49"/>
  <c r="U37" i="49"/>
  <c r="P39" i="49"/>
  <c r="Q42" i="49"/>
  <c r="X46" i="49"/>
  <c r="B46" i="49"/>
  <c r="M46" i="49"/>
  <c r="U57" i="49"/>
  <c r="U65" i="49"/>
  <c r="U67" i="49"/>
  <c r="Y7" i="49"/>
  <c r="K7" i="49"/>
  <c r="P7" i="49"/>
  <c r="V7" i="49"/>
  <c r="Y11" i="49"/>
  <c r="K11" i="49"/>
  <c r="P11" i="49"/>
  <c r="V11" i="49"/>
  <c r="Y15" i="49"/>
  <c r="K15" i="49"/>
  <c r="P15" i="49"/>
  <c r="V15" i="49"/>
  <c r="Y19" i="49"/>
  <c r="K19" i="49"/>
  <c r="P19" i="49"/>
  <c r="V19" i="49"/>
  <c r="R26" i="49"/>
  <c r="X26" i="49"/>
  <c r="R30" i="49"/>
  <c r="N33" i="49"/>
  <c r="U33" i="49"/>
  <c r="T40" i="49"/>
  <c r="T44" i="49"/>
  <c r="J49" i="49"/>
  <c r="R49" i="49"/>
  <c r="Y49" i="49"/>
  <c r="T52" i="49"/>
  <c r="M54" i="49"/>
  <c r="N56" i="49"/>
  <c r="Y56" i="49"/>
  <c r="N60" i="49"/>
  <c r="Y60" i="49"/>
  <c r="X62" i="49"/>
  <c r="N64" i="49"/>
  <c r="Y64" i="49"/>
  <c r="X66" i="49"/>
  <c r="N68" i="49"/>
  <c r="P69" i="49"/>
  <c r="J73" i="49"/>
  <c r="U73" i="49"/>
  <c r="Y74" i="49"/>
  <c r="P77" i="49"/>
  <c r="U78" i="49"/>
  <c r="Y79" i="49"/>
  <c r="P79" i="49"/>
  <c r="J85" i="49"/>
  <c r="U85" i="49"/>
  <c r="J87" i="49"/>
  <c r="P93" i="49"/>
  <c r="U94" i="49"/>
  <c r="C96" i="49"/>
  <c r="E96" i="49" s="1"/>
  <c r="N96" i="49"/>
  <c r="S96" i="49"/>
  <c r="J97" i="49"/>
  <c r="O97" i="49"/>
  <c r="Y98" i="49"/>
  <c r="K98" i="49"/>
  <c r="P98" i="49"/>
  <c r="V98" i="49"/>
  <c r="C100" i="49"/>
  <c r="E100" i="49" s="1"/>
  <c r="N100" i="49"/>
  <c r="S100" i="49"/>
  <c r="J101" i="49"/>
  <c r="O101" i="49"/>
  <c r="Y102" i="49"/>
  <c r="K102" i="49"/>
  <c r="P102" i="49"/>
  <c r="V102" i="49"/>
  <c r="C104" i="49"/>
  <c r="E104" i="49" s="1"/>
  <c r="N104" i="49"/>
  <c r="S104" i="49"/>
  <c r="J105" i="49"/>
  <c r="O105" i="49"/>
  <c r="Y106" i="49"/>
  <c r="K106" i="49"/>
  <c r="P106" i="49"/>
  <c r="V106" i="49"/>
  <c r="C108" i="49"/>
  <c r="E108" i="49" s="1"/>
  <c r="N108" i="49"/>
  <c r="S108" i="49"/>
  <c r="J109" i="49"/>
  <c r="O109" i="49"/>
  <c r="Y110" i="49"/>
  <c r="T110" i="49"/>
  <c r="O110" i="49"/>
  <c r="K110" i="49"/>
  <c r="R110" i="49"/>
  <c r="X110" i="49"/>
  <c r="K112" i="49"/>
  <c r="Y113" i="49"/>
  <c r="X113" i="49"/>
  <c r="S113" i="49"/>
  <c r="N113" i="49"/>
  <c r="C113" i="49"/>
  <c r="E113" i="49" s="1"/>
  <c r="L113" i="49"/>
  <c r="T113" i="49"/>
  <c r="J117" i="49"/>
  <c r="P117" i="49"/>
  <c r="K118" i="49"/>
  <c r="R118" i="49"/>
  <c r="K120" i="49"/>
  <c r="Y121" i="49"/>
  <c r="X121" i="49"/>
  <c r="S121" i="49"/>
  <c r="N121" i="49"/>
  <c r="C121" i="49"/>
  <c r="E121" i="49" s="1"/>
  <c r="L121" i="49"/>
  <c r="T121" i="49"/>
  <c r="J125" i="49"/>
  <c r="P125" i="49"/>
  <c r="K126" i="49"/>
  <c r="R126" i="49"/>
  <c r="C130" i="49"/>
  <c r="E130" i="49" s="1"/>
  <c r="L133" i="49"/>
  <c r="K135" i="49"/>
  <c r="K136" i="49"/>
  <c r="C137" i="49"/>
  <c r="E137" i="49" s="1"/>
  <c r="Y155" i="49"/>
  <c r="W155" i="49"/>
  <c r="R155" i="49"/>
  <c r="L155" i="49"/>
  <c r="B155" i="49"/>
  <c r="S155" i="49"/>
  <c r="K155" i="49"/>
  <c r="X155" i="49"/>
  <c r="P155" i="49"/>
  <c r="J155" i="49"/>
  <c r="T155" i="49"/>
  <c r="Y160" i="49"/>
  <c r="X160" i="49"/>
  <c r="S160" i="49"/>
  <c r="N160" i="49"/>
  <c r="C160" i="49"/>
  <c r="E160" i="49" s="1"/>
  <c r="W160" i="49"/>
  <c r="P160" i="49"/>
  <c r="J160" i="49"/>
  <c r="V160" i="49"/>
  <c r="O160" i="49"/>
  <c r="B160" i="49"/>
  <c r="R160" i="49"/>
  <c r="K160" i="49"/>
  <c r="Y97" i="49"/>
  <c r="K97" i="49"/>
  <c r="P97" i="49"/>
  <c r="V97" i="49"/>
  <c r="Y101" i="49"/>
  <c r="K101" i="49"/>
  <c r="P101" i="49"/>
  <c r="V101" i="49"/>
  <c r="Y105" i="49"/>
  <c r="K105" i="49"/>
  <c r="P105" i="49"/>
  <c r="V105" i="49"/>
  <c r="Y109" i="49"/>
  <c r="K109" i="49"/>
  <c r="P109" i="49"/>
  <c r="V109" i="49"/>
  <c r="Y112" i="49"/>
  <c r="W112" i="49"/>
  <c r="R112" i="49"/>
  <c r="L112" i="49"/>
  <c r="B112" i="49"/>
  <c r="N112" i="49"/>
  <c r="T112" i="49"/>
  <c r="Y118" i="49"/>
  <c r="T118" i="49"/>
  <c r="O118" i="49"/>
  <c r="J118" i="49"/>
  <c r="L118" i="49"/>
  <c r="S118" i="49"/>
  <c r="Y120" i="49"/>
  <c r="W120" i="49"/>
  <c r="R120" i="49"/>
  <c r="L120" i="49"/>
  <c r="B120" i="49"/>
  <c r="N120" i="49"/>
  <c r="T120" i="49"/>
  <c r="Y126" i="49"/>
  <c r="T126" i="49"/>
  <c r="O126" i="49"/>
  <c r="J126" i="49"/>
  <c r="L126" i="49"/>
  <c r="S126" i="49"/>
  <c r="Y133" i="49"/>
  <c r="T133" i="49"/>
  <c r="O133" i="49"/>
  <c r="J133" i="49"/>
  <c r="V133" i="49"/>
  <c r="N133" i="49"/>
  <c r="B133" i="49"/>
  <c r="P133" i="49"/>
  <c r="X133" i="49"/>
  <c r="Y141" i="49"/>
  <c r="T141" i="49"/>
  <c r="O141" i="49"/>
  <c r="J141" i="49"/>
  <c r="V141" i="49"/>
  <c r="N141" i="49"/>
  <c r="B141" i="49"/>
  <c r="S141" i="49"/>
  <c r="L141" i="49"/>
  <c r="R141" i="49"/>
  <c r="Y147" i="49"/>
  <c r="W147" i="49"/>
  <c r="R147" i="49"/>
  <c r="L147" i="49"/>
  <c r="B147" i="49"/>
  <c r="S147" i="49"/>
  <c r="K147" i="49"/>
  <c r="X147" i="49"/>
  <c r="P147" i="49"/>
  <c r="J147" i="49"/>
  <c r="T147" i="49"/>
  <c r="Y152" i="49"/>
  <c r="X152" i="49"/>
  <c r="S152" i="49"/>
  <c r="N152" i="49"/>
  <c r="C152" i="49"/>
  <c r="E152" i="49" s="1"/>
  <c r="W152" i="49"/>
  <c r="P152" i="49"/>
  <c r="J152" i="49"/>
  <c r="V152" i="49"/>
  <c r="O152" i="49"/>
  <c r="B152" i="49"/>
  <c r="T152" i="49"/>
  <c r="N49" i="49"/>
  <c r="U49" i="49"/>
  <c r="X54" i="49"/>
  <c r="T56" i="49"/>
  <c r="T60" i="49"/>
  <c r="T64" i="49"/>
  <c r="T68" i="49"/>
  <c r="P73" i="49"/>
  <c r="P85" i="49"/>
  <c r="U86" i="49"/>
  <c r="Y87" i="49"/>
  <c r="P87" i="49"/>
  <c r="Q88" i="49"/>
  <c r="Y96" i="49"/>
  <c r="K96" i="49"/>
  <c r="P96" i="49"/>
  <c r="V96" i="49"/>
  <c r="B97" i="49"/>
  <c r="L97" i="49"/>
  <c r="R97" i="49"/>
  <c r="W97" i="49"/>
  <c r="Y100" i="49"/>
  <c r="K100" i="49"/>
  <c r="P100" i="49"/>
  <c r="V100" i="49"/>
  <c r="B101" i="49"/>
  <c r="L101" i="49"/>
  <c r="R101" i="49"/>
  <c r="W101" i="49"/>
  <c r="Y104" i="49"/>
  <c r="K104" i="49"/>
  <c r="P104" i="49"/>
  <c r="V104" i="49"/>
  <c r="B105" i="49"/>
  <c r="L105" i="49"/>
  <c r="R105" i="49"/>
  <c r="W105" i="49"/>
  <c r="Y108" i="49"/>
  <c r="K108" i="49"/>
  <c r="P108" i="49"/>
  <c r="V108" i="49"/>
  <c r="B109" i="49"/>
  <c r="L109" i="49"/>
  <c r="R109" i="49"/>
  <c r="W109" i="49"/>
  <c r="C112" i="49"/>
  <c r="E112" i="49" s="1"/>
  <c r="O112" i="49"/>
  <c r="V112" i="49"/>
  <c r="Y117" i="49"/>
  <c r="X117" i="49"/>
  <c r="S117" i="49"/>
  <c r="N117" i="49"/>
  <c r="C117" i="49"/>
  <c r="E117" i="49" s="1"/>
  <c r="L117" i="49"/>
  <c r="T117" i="49"/>
  <c r="B118" i="49"/>
  <c r="N118" i="49"/>
  <c r="V118" i="49"/>
  <c r="C120" i="49"/>
  <c r="E120" i="49" s="1"/>
  <c r="O120" i="49"/>
  <c r="V120" i="49"/>
  <c r="Y125" i="49"/>
  <c r="X125" i="49"/>
  <c r="S125" i="49"/>
  <c r="N125" i="49"/>
  <c r="C125" i="49"/>
  <c r="E125" i="49" s="1"/>
  <c r="L125" i="49"/>
  <c r="T125" i="49"/>
  <c r="B126" i="49"/>
  <c r="N126" i="49"/>
  <c r="V126" i="49"/>
  <c r="Y130" i="49"/>
  <c r="V130" i="49"/>
  <c r="P130" i="49"/>
  <c r="K130" i="49"/>
  <c r="X130" i="49"/>
  <c r="R130" i="49"/>
  <c r="J130" i="49"/>
  <c r="N130" i="49"/>
  <c r="W130" i="49"/>
  <c r="C133" i="49"/>
  <c r="E133" i="49" s="1"/>
  <c r="R133" i="49"/>
  <c r="Y135" i="49"/>
  <c r="W135" i="49"/>
  <c r="R135" i="49"/>
  <c r="L135" i="49"/>
  <c r="B135" i="49"/>
  <c r="V135" i="49"/>
  <c r="O135" i="49"/>
  <c r="C135" i="49"/>
  <c r="E135" i="49" s="1"/>
  <c r="P135" i="49"/>
  <c r="Y136" i="49"/>
  <c r="X136" i="49"/>
  <c r="S136" i="49"/>
  <c r="N136" i="49"/>
  <c r="C136" i="49"/>
  <c r="E136" i="49" s="1"/>
  <c r="W136" i="49"/>
  <c r="P136" i="49"/>
  <c r="J136" i="49"/>
  <c r="O136" i="49"/>
  <c r="Y137" i="49"/>
  <c r="T137" i="49"/>
  <c r="O137" i="49"/>
  <c r="J137" i="49"/>
  <c r="X137" i="49"/>
  <c r="R137" i="49"/>
  <c r="K137" i="49"/>
  <c r="N137" i="49"/>
  <c r="W137" i="49"/>
  <c r="C141" i="49"/>
  <c r="E141" i="49" s="1"/>
  <c r="W141" i="49"/>
  <c r="Y144" i="49"/>
  <c r="X144" i="49"/>
  <c r="S144" i="49"/>
  <c r="N144" i="49"/>
  <c r="C144" i="49"/>
  <c r="E144" i="49" s="1"/>
  <c r="W144" i="49"/>
  <c r="P144" i="49"/>
  <c r="J144" i="49"/>
  <c r="V144" i="49"/>
  <c r="O144" i="49"/>
  <c r="B144" i="49"/>
  <c r="T144" i="49"/>
  <c r="C147" i="49"/>
  <c r="E147" i="49" s="1"/>
  <c r="V147" i="49"/>
  <c r="K152" i="49"/>
  <c r="Y153" i="49"/>
  <c r="T153" i="49"/>
  <c r="O153" i="49"/>
  <c r="J153" i="49"/>
  <c r="X153" i="49"/>
  <c r="R153" i="49"/>
  <c r="K153" i="49"/>
  <c r="W153" i="49"/>
  <c r="P153" i="49"/>
  <c r="C153" i="49"/>
  <c r="E153" i="49" s="1"/>
  <c r="S153" i="49"/>
  <c r="N155" i="49"/>
  <c r="T160" i="49"/>
  <c r="I452" i="11"/>
  <c r="O452" i="11"/>
  <c r="L455" i="11"/>
  <c r="K458" i="11"/>
  <c r="I468" i="11"/>
  <c r="O468" i="11"/>
  <c r="L471" i="11"/>
  <c r="L475" i="11"/>
  <c r="U475" i="11"/>
  <c r="L483" i="11"/>
  <c r="U483" i="11"/>
  <c r="J7" i="49"/>
  <c r="O7" i="49"/>
  <c r="T7" i="49"/>
  <c r="Y8" i="49"/>
  <c r="K8" i="49"/>
  <c r="P8" i="49"/>
  <c r="V8" i="49"/>
  <c r="J11" i="49"/>
  <c r="O11" i="49"/>
  <c r="T11" i="49"/>
  <c r="Y12" i="49"/>
  <c r="K12" i="49"/>
  <c r="P12" i="49"/>
  <c r="V12" i="49"/>
  <c r="J15" i="49"/>
  <c r="O15" i="49"/>
  <c r="T15" i="49"/>
  <c r="Y16" i="49"/>
  <c r="K16" i="49"/>
  <c r="P16" i="49"/>
  <c r="V16" i="49"/>
  <c r="J19" i="49"/>
  <c r="Z19" i="49" s="1"/>
  <c r="O19" i="49"/>
  <c r="T19" i="49"/>
  <c r="Y20" i="49"/>
  <c r="K20" i="49"/>
  <c r="P20" i="49"/>
  <c r="V20" i="49"/>
  <c r="Q26" i="49"/>
  <c r="Q30" i="49"/>
  <c r="M33" i="49"/>
  <c r="T33" i="49"/>
  <c r="P40" i="49"/>
  <c r="N41" i="49"/>
  <c r="U41" i="49"/>
  <c r="U43" i="49"/>
  <c r="P44" i="49"/>
  <c r="N45" i="49"/>
  <c r="U45" i="49"/>
  <c r="T48" i="49"/>
  <c r="B49" i="49"/>
  <c r="P49" i="49"/>
  <c r="X49" i="49"/>
  <c r="P52" i="49"/>
  <c r="N53" i="49"/>
  <c r="U53" i="49"/>
  <c r="B54" i="49"/>
  <c r="J56" i="49"/>
  <c r="U56" i="49"/>
  <c r="J60" i="49"/>
  <c r="U60" i="49"/>
  <c r="R62" i="49"/>
  <c r="J64" i="49"/>
  <c r="U64" i="49"/>
  <c r="R66" i="49"/>
  <c r="J68" i="49"/>
  <c r="U68" i="49"/>
  <c r="M69" i="49"/>
  <c r="X69" i="49"/>
  <c r="Y71" i="49"/>
  <c r="P71" i="49"/>
  <c r="B73" i="49"/>
  <c r="R73" i="49"/>
  <c r="N74" i="49"/>
  <c r="M77" i="49"/>
  <c r="X77" i="49"/>
  <c r="Y78" i="49"/>
  <c r="M79" i="49"/>
  <c r="X79" i="49"/>
  <c r="P81" i="49"/>
  <c r="U82" i="49"/>
  <c r="Y83" i="49"/>
  <c r="P83" i="49"/>
  <c r="B85" i="49"/>
  <c r="R85" i="49"/>
  <c r="N86" i="49"/>
  <c r="B87" i="49"/>
  <c r="R87" i="49"/>
  <c r="P89" i="49"/>
  <c r="U90" i="49"/>
  <c r="Y91" i="49"/>
  <c r="P91" i="49"/>
  <c r="M93" i="49"/>
  <c r="X93" i="49"/>
  <c r="Y95" i="49"/>
  <c r="K95" i="49"/>
  <c r="P95" i="49"/>
  <c r="V95" i="49"/>
  <c r="B96" i="49"/>
  <c r="L96" i="49"/>
  <c r="R96" i="49"/>
  <c r="W96" i="49"/>
  <c r="C97" i="49"/>
  <c r="E97" i="49" s="1"/>
  <c r="N97" i="49"/>
  <c r="S97" i="49"/>
  <c r="X97" i="49"/>
  <c r="J98" i="49"/>
  <c r="Z98" i="49" s="1"/>
  <c r="O98" i="49"/>
  <c r="T98" i="49"/>
  <c r="Y99" i="49"/>
  <c r="K99" i="49"/>
  <c r="P99" i="49"/>
  <c r="V99" i="49"/>
  <c r="B100" i="49"/>
  <c r="L100" i="49"/>
  <c r="R100" i="49"/>
  <c r="W100" i="49"/>
  <c r="C101" i="49"/>
  <c r="E101" i="49" s="1"/>
  <c r="N101" i="49"/>
  <c r="S101" i="49"/>
  <c r="X101" i="49"/>
  <c r="J102" i="49"/>
  <c r="O102" i="49"/>
  <c r="T102" i="49"/>
  <c r="Y103" i="49"/>
  <c r="K103" i="49"/>
  <c r="P103" i="49"/>
  <c r="V103" i="49"/>
  <c r="B104" i="49"/>
  <c r="L104" i="49"/>
  <c r="R104" i="49"/>
  <c r="W104" i="49"/>
  <c r="C105" i="49"/>
  <c r="E105" i="49" s="1"/>
  <c r="N105" i="49"/>
  <c r="S105" i="49"/>
  <c r="X105" i="49"/>
  <c r="J106" i="49"/>
  <c r="O106" i="49"/>
  <c r="T106" i="49"/>
  <c r="B108" i="49"/>
  <c r="L108" i="49"/>
  <c r="R108" i="49"/>
  <c r="W108" i="49"/>
  <c r="C109" i="49"/>
  <c r="E109" i="49" s="1"/>
  <c r="N109" i="49"/>
  <c r="S109" i="49"/>
  <c r="X109" i="49"/>
  <c r="J110" i="49"/>
  <c r="P110" i="49"/>
  <c r="W110" i="49"/>
  <c r="J112" i="49"/>
  <c r="P112" i="49"/>
  <c r="X112" i="49"/>
  <c r="K113" i="49"/>
  <c r="R113" i="49"/>
  <c r="Y114" i="49"/>
  <c r="T114" i="49"/>
  <c r="O114" i="49"/>
  <c r="J114" i="49"/>
  <c r="L114" i="49"/>
  <c r="S114" i="49"/>
  <c r="Y116" i="49"/>
  <c r="W116" i="49"/>
  <c r="R116" i="49"/>
  <c r="L116" i="49"/>
  <c r="B116" i="49"/>
  <c r="N116" i="49"/>
  <c r="T116" i="49"/>
  <c r="B117" i="49"/>
  <c r="O117" i="49"/>
  <c r="V117" i="49"/>
  <c r="C118" i="49"/>
  <c r="E118" i="49" s="1"/>
  <c r="P118" i="49"/>
  <c r="W118" i="49"/>
  <c r="J120" i="49"/>
  <c r="P120" i="49"/>
  <c r="X120" i="49"/>
  <c r="K121" i="49"/>
  <c r="R121" i="49"/>
  <c r="Y122" i="49"/>
  <c r="T122" i="49"/>
  <c r="O122" i="49"/>
  <c r="J122" i="49"/>
  <c r="L122" i="49"/>
  <c r="S122" i="49"/>
  <c r="Y124" i="49"/>
  <c r="W124" i="49"/>
  <c r="R124" i="49"/>
  <c r="L124" i="49"/>
  <c r="B124" i="49"/>
  <c r="N124" i="49"/>
  <c r="T124" i="49"/>
  <c r="B125" i="49"/>
  <c r="O125" i="49"/>
  <c r="V125" i="49"/>
  <c r="C126" i="49"/>
  <c r="E126" i="49" s="1"/>
  <c r="P126" i="49"/>
  <c r="W126" i="49"/>
  <c r="Y129" i="49"/>
  <c r="X129" i="49"/>
  <c r="S129" i="49"/>
  <c r="N129" i="49"/>
  <c r="C129" i="49"/>
  <c r="E129" i="49" s="1"/>
  <c r="L129" i="49"/>
  <c r="T129" i="49"/>
  <c r="B130" i="49"/>
  <c r="O130" i="49"/>
  <c r="Y131" i="49"/>
  <c r="W131" i="49"/>
  <c r="R131" i="49"/>
  <c r="L131" i="49"/>
  <c r="B131" i="49"/>
  <c r="S131" i="49"/>
  <c r="K131" i="49"/>
  <c r="O131" i="49"/>
  <c r="X131" i="49"/>
  <c r="K133" i="49"/>
  <c r="S133" i="49"/>
  <c r="J135" i="49"/>
  <c r="S135" i="49"/>
  <c r="B136" i="49"/>
  <c r="R136" i="49"/>
  <c r="B137" i="49"/>
  <c r="P137" i="49"/>
  <c r="Y139" i="49"/>
  <c r="W139" i="49"/>
  <c r="R139" i="49"/>
  <c r="L139" i="49"/>
  <c r="B139" i="49"/>
  <c r="S139" i="49"/>
  <c r="K139" i="49"/>
  <c r="O139" i="49"/>
  <c r="X139" i="49"/>
  <c r="K141" i="49"/>
  <c r="X141" i="49"/>
  <c r="K144" i="49"/>
  <c r="Y145" i="49"/>
  <c r="T145" i="49"/>
  <c r="O145" i="49"/>
  <c r="J145" i="49"/>
  <c r="X145" i="49"/>
  <c r="R145" i="49"/>
  <c r="K145" i="49"/>
  <c r="W145" i="49"/>
  <c r="P145" i="49"/>
  <c r="C145" i="49"/>
  <c r="E145" i="49" s="1"/>
  <c r="S145" i="49"/>
  <c r="N147" i="49"/>
  <c r="L152" i="49"/>
  <c r="B153" i="49"/>
  <c r="V153" i="49"/>
  <c r="O155" i="49"/>
  <c r="Y161" i="49"/>
  <c r="T161" i="49"/>
  <c r="O161" i="49"/>
  <c r="J161" i="49"/>
  <c r="L161" i="49"/>
  <c r="S161" i="49"/>
  <c r="Y163" i="49"/>
  <c r="W163" i="49"/>
  <c r="R163" i="49"/>
  <c r="L163" i="49"/>
  <c r="B163" i="49"/>
  <c r="N163" i="49"/>
  <c r="T163" i="49"/>
  <c r="K168" i="49"/>
  <c r="Y169" i="49"/>
  <c r="T169" i="49"/>
  <c r="O169" i="49"/>
  <c r="J169" i="49"/>
  <c r="S169" i="49"/>
  <c r="L169" i="49"/>
  <c r="V169" i="49"/>
  <c r="Y172" i="49"/>
  <c r="X172" i="49"/>
  <c r="S172" i="49"/>
  <c r="N172" i="49"/>
  <c r="C172" i="49"/>
  <c r="E172" i="49" s="1"/>
  <c r="V172" i="49"/>
  <c r="O172" i="49"/>
  <c r="B172" i="49"/>
  <c r="P172" i="49"/>
  <c r="Y173" i="49"/>
  <c r="T173" i="49"/>
  <c r="O173" i="49"/>
  <c r="J173" i="49"/>
  <c r="W173" i="49"/>
  <c r="P173" i="49"/>
  <c r="C173" i="49"/>
  <c r="E173" i="49" s="1"/>
  <c r="N173" i="49"/>
  <c r="X173" i="49"/>
  <c r="N175" i="49"/>
  <c r="L176" i="49"/>
  <c r="L180" i="49"/>
  <c r="L181" i="49"/>
  <c r="Y189" i="49"/>
  <c r="T189" i="49"/>
  <c r="O189" i="49"/>
  <c r="J189" i="49"/>
  <c r="W189" i="49"/>
  <c r="P189" i="49"/>
  <c r="C189" i="49"/>
  <c r="E189" i="49" s="1"/>
  <c r="V189" i="49"/>
  <c r="N189" i="49"/>
  <c r="B189" i="49"/>
  <c r="S189" i="49"/>
  <c r="Y168" i="49"/>
  <c r="X168" i="49"/>
  <c r="S168" i="49"/>
  <c r="N168" i="49"/>
  <c r="C168" i="49"/>
  <c r="E168" i="49" s="1"/>
  <c r="L168" i="49"/>
  <c r="T168" i="49"/>
  <c r="Y175" i="49"/>
  <c r="W175" i="49"/>
  <c r="R175" i="49"/>
  <c r="L175" i="49"/>
  <c r="B175" i="49"/>
  <c r="X175" i="49"/>
  <c r="P175" i="49"/>
  <c r="J175" i="49"/>
  <c r="O175" i="49"/>
  <c r="Y176" i="49"/>
  <c r="X176" i="49"/>
  <c r="S176" i="49"/>
  <c r="N176" i="49"/>
  <c r="C176" i="49"/>
  <c r="E176" i="49" s="1"/>
  <c r="R176" i="49"/>
  <c r="K176" i="49"/>
  <c r="O176" i="49"/>
  <c r="W176" i="49"/>
  <c r="Y180" i="49"/>
  <c r="X180" i="49"/>
  <c r="S180" i="49"/>
  <c r="N180" i="49"/>
  <c r="C180" i="49"/>
  <c r="E180" i="49" s="1"/>
  <c r="V180" i="49"/>
  <c r="O180" i="49"/>
  <c r="B180" i="49"/>
  <c r="P180" i="49"/>
  <c r="Y181" i="49"/>
  <c r="T181" i="49"/>
  <c r="O181" i="49"/>
  <c r="J181" i="49"/>
  <c r="W181" i="49"/>
  <c r="P181" i="49"/>
  <c r="C181" i="49"/>
  <c r="E181" i="49" s="1"/>
  <c r="N181" i="49"/>
  <c r="X181" i="49"/>
  <c r="V200" i="49"/>
  <c r="T200" i="49"/>
  <c r="L200" i="49"/>
  <c r="X200" i="49"/>
  <c r="O200" i="49"/>
  <c r="W200" i="49"/>
  <c r="K200" i="49"/>
  <c r="V201" i="49"/>
  <c r="X201" i="49"/>
  <c r="P201" i="49"/>
  <c r="C201" i="49"/>
  <c r="E201" i="49" s="1"/>
  <c r="O201" i="49"/>
  <c r="W201" i="49"/>
  <c r="L201" i="49"/>
  <c r="V207" i="49"/>
  <c r="X207" i="49"/>
  <c r="P207" i="49"/>
  <c r="C207" i="49"/>
  <c r="E207" i="49" s="1"/>
  <c r="O207" i="49"/>
  <c r="W207" i="49"/>
  <c r="L207" i="49"/>
  <c r="T207" i="49"/>
  <c r="K207" i="49"/>
  <c r="V214" i="49"/>
  <c r="T214" i="49"/>
  <c r="L214" i="49"/>
  <c r="W214" i="49"/>
  <c r="K214" i="49"/>
  <c r="S214" i="49"/>
  <c r="C214" i="49"/>
  <c r="E214" i="49" s="1"/>
  <c r="X214" i="49"/>
  <c r="P214" i="49"/>
  <c r="O214" i="49"/>
  <c r="Y143" i="49"/>
  <c r="W143" i="49"/>
  <c r="R143" i="49"/>
  <c r="L143" i="49"/>
  <c r="B143" i="49"/>
  <c r="N143" i="49"/>
  <c r="T143" i="49"/>
  <c r="Y149" i="49"/>
  <c r="T149" i="49"/>
  <c r="O149" i="49"/>
  <c r="J149" i="49"/>
  <c r="L149" i="49"/>
  <c r="S149" i="49"/>
  <c r="Y151" i="49"/>
  <c r="W151" i="49"/>
  <c r="R151" i="49"/>
  <c r="L151" i="49"/>
  <c r="B151" i="49"/>
  <c r="N151" i="49"/>
  <c r="T151" i="49"/>
  <c r="Y157" i="49"/>
  <c r="T157" i="49"/>
  <c r="O157" i="49"/>
  <c r="J157" i="49"/>
  <c r="L157" i="49"/>
  <c r="S157" i="49"/>
  <c r="Y159" i="49"/>
  <c r="W159" i="49"/>
  <c r="R159" i="49"/>
  <c r="L159" i="49"/>
  <c r="B159" i="49"/>
  <c r="N159" i="49"/>
  <c r="T159" i="49"/>
  <c r="C161" i="49"/>
  <c r="E161" i="49" s="1"/>
  <c r="P161" i="49"/>
  <c r="W161" i="49"/>
  <c r="J163" i="49"/>
  <c r="P163" i="49"/>
  <c r="X163" i="49"/>
  <c r="Y165" i="49"/>
  <c r="T165" i="49"/>
  <c r="O165" i="49"/>
  <c r="J165" i="49"/>
  <c r="L165" i="49"/>
  <c r="S165" i="49"/>
  <c r="Y167" i="49"/>
  <c r="W167" i="49"/>
  <c r="R167" i="49"/>
  <c r="L167" i="49"/>
  <c r="B167" i="49"/>
  <c r="N167" i="49"/>
  <c r="T167" i="49"/>
  <c r="B168" i="49"/>
  <c r="O168" i="49"/>
  <c r="V168" i="49"/>
  <c r="C169" i="49"/>
  <c r="E169" i="49" s="1"/>
  <c r="P169" i="49"/>
  <c r="X169" i="49"/>
  <c r="K172" i="49"/>
  <c r="T172" i="49"/>
  <c r="K173" i="49"/>
  <c r="S173" i="49"/>
  <c r="C175" i="49"/>
  <c r="E175" i="49" s="1"/>
  <c r="S175" i="49"/>
  <c r="B176" i="49"/>
  <c r="P176" i="49"/>
  <c r="J180" i="49"/>
  <c r="R180" i="49"/>
  <c r="B181" i="49"/>
  <c r="R181" i="49"/>
  <c r="Y183" i="49"/>
  <c r="W183" i="49"/>
  <c r="R183" i="49"/>
  <c r="L183" i="49"/>
  <c r="B183" i="49"/>
  <c r="X183" i="49"/>
  <c r="P183" i="49"/>
  <c r="J183" i="49"/>
  <c r="O183" i="49"/>
  <c r="Y184" i="49"/>
  <c r="X184" i="49"/>
  <c r="S184" i="49"/>
  <c r="N184" i="49"/>
  <c r="C184" i="49"/>
  <c r="E184" i="49" s="1"/>
  <c r="R184" i="49"/>
  <c r="K184" i="49"/>
  <c r="O184" i="49"/>
  <c r="W184" i="49"/>
  <c r="L189" i="49"/>
  <c r="Y191" i="49"/>
  <c r="W191" i="49"/>
  <c r="R191" i="49"/>
  <c r="L191" i="49"/>
  <c r="B191" i="49"/>
  <c r="X191" i="49"/>
  <c r="P191" i="49"/>
  <c r="J191" i="49"/>
  <c r="V191" i="49"/>
  <c r="O191" i="49"/>
  <c r="C191" i="49"/>
  <c r="E191" i="49" s="1"/>
  <c r="T191" i="49"/>
  <c r="V198" i="49"/>
  <c r="T198" i="49"/>
  <c r="L198" i="49"/>
  <c r="W198" i="49"/>
  <c r="K198" i="49"/>
  <c r="S198" i="49"/>
  <c r="C198" i="49"/>
  <c r="E198" i="49" s="1"/>
  <c r="V199" i="49"/>
  <c r="X199" i="49"/>
  <c r="P199" i="49"/>
  <c r="C199" i="49"/>
  <c r="E199" i="49" s="1"/>
  <c r="W199" i="49"/>
  <c r="L199" i="49"/>
  <c r="T199" i="49"/>
  <c r="K199" i="49"/>
  <c r="C200" i="49"/>
  <c r="E200" i="49" s="1"/>
  <c r="K201" i="49"/>
  <c r="S207" i="49"/>
  <c r="V215" i="49"/>
  <c r="X215" i="49"/>
  <c r="P215" i="49"/>
  <c r="C215" i="49"/>
  <c r="E215" i="49" s="1"/>
  <c r="W215" i="49"/>
  <c r="L215" i="49"/>
  <c r="T215" i="49"/>
  <c r="K215" i="49"/>
  <c r="S215" i="49"/>
  <c r="O215" i="49"/>
  <c r="Y111" i="49"/>
  <c r="K111" i="49"/>
  <c r="P111" i="49"/>
  <c r="V111" i="49"/>
  <c r="Y115" i="49"/>
  <c r="K115" i="49"/>
  <c r="P115" i="49"/>
  <c r="V115" i="49"/>
  <c r="Y119" i="49"/>
  <c r="K119" i="49"/>
  <c r="P119" i="49"/>
  <c r="V119" i="49"/>
  <c r="Y123" i="49"/>
  <c r="K123" i="49"/>
  <c r="P123" i="49"/>
  <c r="V123" i="49"/>
  <c r="Y132" i="49"/>
  <c r="X132" i="49"/>
  <c r="S132" i="49"/>
  <c r="N132" i="49"/>
  <c r="C132" i="49"/>
  <c r="E132" i="49" s="1"/>
  <c r="L132" i="49"/>
  <c r="T132" i="49"/>
  <c r="Y140" i="49"/>
  <c r="X140" i="49"/>
  <c r="S140" i="49"/>
  <c r="N140" i="49"/>
  <c r="C140" i="49"/>
  <c r="E140" i="49" s="1"/>
  <c r="L140" i="49"/>
  <c r="T140" i="49"/>
  <c r="C143" i="49"/>
  <c r="E143" i="49" s="1"/>
  <c r="O143" i="49"/>
  <c r="V143" i="49"/>
  <c r="Y148" i="49"/>
  <c r="X148" i="49"/>
  <c r="S148" i="49"/>
  <c r="N148" i="49"/>
  <c r="C148" i="49"/>
  <c r="E148" i="49" s="1"/>
  <c r="L148" i="49"/>
  <c r="T148" i="49"/>
  <c r="B149" i="49"/>
  <c r="N149" i="49"/>
  <c r="V149" i="49"/>
  <c r="C151" i="49"/>
  <c r="E151" i="49" s="1"/>
  <c r="O151" i="49"/>
  <c r="V151" i="49"/>
  <c r="Y156" i="49"/>
  <c r="X156" i="49"/>
  <c r="S156" i="49"/>
  <c r="N156" i="49"/>
  <c r="C156" i="49"/>
  <c r="E156" i="49" s="1"/>
  <c r="L156" i="49"/>
  <c r="T156" i="49"/>
  <c r="B157" i="49"/>
  <c r="N157" i="49"/>
  <c r="V157" i="49"/>
  <c r="C159" i="49"/>
  <c r="E159" i="49" s="1"/>
  <c r="O159" i="49"/>
  <c r="V159" i="49"/>
  <c r="K161" i="49"/>
  <c r="R161" i="49"/>
  <c r="X161" i="49"/>
  <c r="K163" i="49"/>
  <c r="S163" i="49"/>
  <c r="Y164" i="49"/>
  <c r="X164" i="49"/>
  <c r="S164" i="49"/>
  <c r="N164" i="49"/>
  <c r="C164" i="49"/>
  <c r="E164" i="49" s="1"/>
  <c r="L164" i="49"/>
  <c r="T164" i="49"/>
  <c r="B165" i="49"/>
  <c r="N165" i="49"/>
  <c r="V165" i="49"/>
  <c r="C167" i="49"/>
  <c r="E167" i="49" s="1"/>
  <c r="O167" i="49"/>
  <c r="V167" i="49"/>
  <c r="J168" i="49"/>
  <c r="P168" i="49"/>
  <c r="W168" i="49"/>
  <c r="K169" i="49"/>
  <c r="R169" i="49"/>
  <c r="L172" i="49"/>
  <c r="W172" i="49"/>
  <c r="L173" i="49"/>
  <c r="V173" i="49"/>
  <c r="K175" i="49"/>
  <c r="T175" i="49"/>
  <c r="J176" i="49"/>
  <c r="T176" i="49"/>
  <c r="K180" i="49"/>
  <c r="T180" i="49"/>
  <c r="K181" i="49"/>
  <c r="S181" i="49"/>
  <c r="C183" i="49"/>
  <c r="E183" i="49" s="1"/>
  <c r="S183" i="49"/>
  <c r="B184" i="49"/>
  <c r="P184" i="49"/>
  <c r="R189" i="49"/>
  <c r="K191" i="49"/>
  <c r="Y192" i="49"/>
  <c r="X192" i="49"/>
  <c r="S192" i="49"/>
  <c r="N192" i="49"/>
  <c r="C192" i="49"/>
  <c r="E192" i="49" s="1"/>
  <c r="R192" i="49"/>
  <c r="K192" i="49"/>
  <c r="W192" i="49"/>
  <c r="P192" i="49"/>
  <c r="J192" i="49"/>
  <c r="T192" i="49"/>
  <c r="O198" i="49"/>
  <c r="O199" i="49"/>
  <c r="P200" i="49"/>
  <c r="S201" i="49"/>
  <c r="V206" i="49"/>
  <c r="T206" i="49"/>
  <c r="L206" i="49"/>
  <c r="X206" i="49"/>
  <c r="O206" i="49"/>
  <c r="W206" i="49"/>
  <c r="K206" i="49"/>
  <c r="S206" i="49"/>
  <c r="C206" i="49"/>
  <c r="E206" i="49" s="1"/>
  <c r="V232" i="49"/>
  <c r="T232" i="49"/>
  <c r="L232" i="49"/>
  <c r="X232" i="49"/>
  <c r="O232" i="49"/>
  <c r="W232" i="49"/>
  <c r="K232" i="49"/>
  <c r="P233" i="49"/>
  <c r="C233" i="49"/>
  <c r="E233" i="49" s="1"/>
  <c r="O233" i="49"/>
  <c r="L233" i="49"/>
  <c r="Y238" i="49"/>
  <c r="W238" i="49"/>
  <c r="R238" i="49"/>
  <c r="L238" i="49"/>
  <c r="B238" i="49"/>
  <c r="S238" i="49"/>
  <c r="K238" i="49"/>
  <c r="X238" i="49"/>
  <c r="P238" i="49"/>
  <c r="J238" i="49"/>
  <c r="T238" i="49"/>
  <c r="Y188" i="49"/>
  <c r="X188" i="49"/>
  <c r="S188" i="49"/>
  <c r="N188" i="49"/>
  <c r="C188" i="49"/>
  <c r="E188" i="49" s="1"/>
  <c r="L188" i="49"/>
  <c r="T188" i="49"/>
  <c r="V197" i="49"/>
  <c r="X197" i="49"/>
  <c r="P197" i="49"/>
  <c r="C197" i="49"/>
  <c r="E197" i="49" s="1"/>
  <c r="S197" i="49"/>
  <c r="V204" i="49"/>
  <c r="T204" i="49"/>
  <c r="L204" i="49"/>
  <c r="P204" i="49"/>
  <c r="V205" i="49"/>
  <c r="X205" i="49"/>
  <c r="P205" i="49"/>
  <c r="C205" i="49"/>
  <c r="E205" i="49" s="1"/>
  <c r="S205" i="49"/>
  <c r="K208" i="49"/>
  <c r="X208" i="49"/>
  <c r="K210" i="49"/>
  <c r="V211" i="49"/>
  <c r="X211" i="49"/>
  <c r="P211" i="49"/>
  <c r="C211" i="49"/>
  <c r="E211" i="49" s="1"/>
  <c r="O211" i="49"/>
  <c r="T211" i="49"/>
  <c r="P216" i="49"/>
  <c r="S217" i="49"/>
  <c r="V230" i="49"/>
  <c r="T230" i="49"/>
  <c r="L230" i="49"/>
  <c r="W230" i="49"/>
  <c r="K230" i="49"/>
  <c r="S230" i="49"/>
  <c r="C230" i="49"/>
  <c r="E230" i="49" s="1"/>
  <c r="V231" i="49"/>
  <c r="X231" i="49"/>
  <c r="P231" i="49"/>
  <c r="C231" i="49"/>
  <c r="E231" i="49" s="1"/>
  <c r="W231" i="49"/>
  <c r="L231" i="49"/>
  <c r="T231" i="49"/>
  <c r="K231" i="49"/>
  <c r="C232" i="49"/>
  <c r="E232" i="49" s="1"/>
  <c r="K233" i="49"/>
  <c r="Y235" i="49"/>
  <c r="X235" i="49"/>
  <c r="S235" i="49"/>
  <c r="N235" i="49"/>
  <c r="C235" i="49"/>
  <c r="E235" i="49" s="1"/>
  <c r="W235" i="49"/>
  <c r="P235" i="49"/>
  <c r="J235" i="49"/>
  <c r="V235" i="49"/>
  <c r="O235" i="49"/>
  <c r="B235" i="49"/>
  <c r="T235" i="49"/>
  <c r="C238" i="49"/>
  <c r="E238" i="49" s="1"/>
  <c r="V238" i="49"/>
  <c r="Y171" i="49"/>
  <c r="W171" i="49"/>
  <c r="R171" i="49"/>
  <c r="L171" i="49"/>
  <c r="B171" i="49"/>
  <c r="N171" i="49"/>
  <c r="T171" i="49"/>
  <c r="Y177" i="49"/>
  <c r="T177" i="49"/>
  <c r="O177" i="49"/>
  <c r="J177" i="49"/>
  <c r="L177" i="49"/>
  <c r="S177" i="49"/>
  <c r="Y179" i="49"/>
  <c r="W179" i="49"/>
  <c r="R179" i="49"/>
  <c r="L179" i="49"/>
  <c r="B179" i="49"/>
  <c r="N179" i="49"/>
  <c r="T179" i="49"/>
  <c r="Y185" i="49"/>
  <c r="T185" i="49"/>
  <c r="O185" i="49"/>
  <c r="J185" i="49"/>
  <c r="L185" i="49"/>
  <c r="S185" i="49"/>
  <c r="Y187" i="49"/>
  <c r="W187" i="49"/>
  <c r="R187" i="49"/>
  <c r="L187" i="49"/>
  <c r="B187" i="49"/>
  <c r="N187" i="49"/>
  <c r="T187" i="49"/>
  <c r="B188" i="49"/>
  <c r="O188" i="49"/>
  <c r="V188" i="49"/>
  <c r="Y193" i="49"/>
  <c r="T193" i="49"/>
  <c r="O193" i="49"/>
  <c r="J193" i="49"/>
  <c r="L193" i="49"/>
  <c r="S193" i="49"/>
  <c r="S196" i="49"/>
  <c r="L196" i="49"/>
  <c r="K197" i="49"/>
  <c r="T197" i="49"/>
  <c r="V202" i="49"/>
  <c r="T202" i="49"/>
  <c r="L202" i="49"/>
  <c r="P202" i="49"/>
  <c r="V203" i="49"/>
  <c r="X203" i="49"/>
  <c r="P203" i="49"/>
  <c r="C203" i="49"/>
  <c r="E203" i="49" s="1"/>
  <c r="S203" i="49"/>
  <c r="C204" i="49"/>
  <c r="E204" i="49" s="1"/>
  <c r="S204" i="49"/>
  <c r="K205" i="49"/>
  <c r="T205" i="49"/>
  <c r="V209" i="49"/>
  <c r="X209" i="49"/>
  <c r="P209" i="49"/>
  <c r="C209" i="49"/>
  <c r="E209" i="49" s="1"/>
  <c r="W209" i="49"/>
  <c r="L209" i="49"/>
  <c r="T209" i="49"/>
  <c r="K211" i="49"/>
  <c r="W211" i="49"/>
  <c r="V224" i="49"/>
  <c r="T224" i="49"/>
  <c r="L224" i="49"/>
  <c r="X224" i="49"/>
  <c r="O224" i="49"/>
  <c r="W224" i="49"/>
  <c r="K224" i="49"/>
  <c r="V225" i="49"/>
  <c r="X225" i="49"/>
  <c r="P225" i="49"/>
  <c r="C225" i="49"/>
  <c r="E225" i="49" s="1"/>
  <c r="O225" i="49"/>
  <c r="W225" i="49"/>
  <c r="L225" i="49"/>
  <c r="O230" i="49"/>
  <c r="O231" i="49"/>
  <c r="P232" i="49"/>
  <c r="T233" i="49"/>
  <c r="K235" i="49"/>
  <c r="Y236" i="49"/>
  <c r="T236" i="49"/>
  <c r="O236" i="49"/>
  <c r="J236" i="49"/>
  <c r="X236" i="49"/>
  <c r="R236" i="49"/>
  <c r="K236" i="49"/>
  <c r="W236" i="49"/>
  <c r="P236" i="49"/>
  <c r="C236" i="49"/>
  <c r="E236" i="49" s="1"/>
  <c r="S236" i="49"/>
  <c r="N238" i="49"/>
  <c r="V208" i="49"/>
  <c r="T208" i="49"/>
  <c r="W208" i="49"/>
  <c r="L208" i="49"/>
  <c r="P208" i="49"/>
  <c r="V210" i="49"/>
  <c r="T210" i="49"/>
  <c r="L210" i="49"/>
  <c r="X210" i="49"/>
  <c r="O210" i="49"/>
  <c r="S210" i="49"/>
  <c r="V216" i="49"/>
  <c r="T216" i="49"/>
  <c r="L216" i="49"/>
  <c r="X216" i="49"/>
  <c r="O216" i="49"/>
  <c r="W216" i="49"/>
  <c r="K216" i="49"/>
  <c r="V217" i="49"/>
  <c r="X217" i="49"/>
  <c r="P217" i="49"/>
  <c r="C217" i="49"/>
  <c r="E217" i="49" s="1"/>
  <c r="O217" i="49"/>
  <c r="W217" i="49"/>
  <c r="L217" i="49"/>
  <c r="S232" i="49"/>
  <c r="V233" i="49"/>
  <c r="O238" i="49"/>
  <c r="Y134" i="49"/>
  <c r="K134" i="49"/>
  <c r="P134" i="49"/>
  <c r="V134" i="49"/>
  <c r="Y138" i="49"/>
  <c r="K138" i="49"/>
  <c r="P138" i="49"/>
  <c r="V138" i="49"/>
  <c r="Y142" i="49"/>
  <c r="K142" i="49"/>
  <c r="P142" i="49"/>
  <c r="V142" i="49"/>
  <c r="Y146" i="49"/>
  <c r="K146" i="49"/>
  <c r="P146" i="49"/>
  <c r="V146" i="49"/>
  <c r="Y150" i="49"/>
  <c r="K150" i="49"/>
  <c r="P150" i="49"/>
  <c r="V150" i="49"/>
  <c r="Y154" i="49"/>
  <c r="K154" i="49"/>
  <c r="P154" i="49"/>
  <c r="V154" i="49"/>
  <c r="Y158" i="49"/>
  <c r="K158" i="49"/>
  <c r="P158" i="49"/>
  <c r="V158" i="49"/>
  <c r="Y162" i="49"/>
  <c r="K162" i="49"/>
  <c r="P162" i="49"/>
  <c r="V162" i="49"/>
  <c r="Y166" i="49"/>
  <c r="K166" i="49"/>
  <c r="P166" i="49"/>
  <c r="V166" i="49"/>
  <c r="Y170" i="49"/>
  <c r="K170" i="49"/>
  <c r="P170" i="49"/>
  <c r="V170" i="49"/>
  <c r="Y174" i="49"/>
  <c r="K174" i="49"/>
  <c r="P174" i="49"/>
  <c r="V174" i="49"/>
  <c r="Y178" i="49"/>
  <c r="K178" i="49"/>
  <c r="P178" i="49"/>
  <c r="V178" i="49"/>
  <c r="Y182" i="49"/>
  <c r="K182" i="49"/>
  <c r="P182" i="49"/>
  <c r="V182" i="49"/>
  <c r="Y186" i="49"/>
  <c r="K186" i="49"/>
  <c r="P186" i="49"/>
  <c r="V186" i="49"/>
  <c r="Y190" i="49"/>
  <c r="K190" i="49"/>
  <c r="P190" i="49"/>
  <c r="V190" i="49"/>
  <c r="M194" i="49"/>
  <c r="T194" i="49"/>
  <c r="U195" i="49"/>
  <c r="Q195" i="49"/>
  <c r="V212" i="49"/>
  <c r="T212" i="49"/>
  <c r="L212" i="49"/>
  <c r="P212" i="49"/>
  <c r="V213" i="49"/>
  <c r="X213" i="49"/>
  <c r="P213" i="49"/>
  <c r="C213" i="49"/>
  <c r="E213" i="49" s="1"/>
  <c r="S213" i="49"/>
  <c r="O218" i="49"/>
  <c r="V220" i="49"/>
  <c r="T220" i="49"/>
  <c r="L220" i="49"/>
  <c r="P220" i="49"/>
  <c r="O226" i="49"/>
  <c r="V228" i="49"/>
  <c r="T228" i="49"/>
  <c r="L228" i="49"/>
  <c r="P228" i="49"/>
  <c r="V229" i="49"/>
  <c r="X229" i="49"/>
  <c r="P229" i="49"/>
  <c r="C229" i="49"/>
  <c r="E229" i="49" s="1"/>
  <c r="S229" i="49"/>
  <c r="Y234" i="49"/>
  <c r="W234" i="49"/>
  <c r="R234" i="49"/>
  <c r="L234" i="49"/>
  <c r="B234" i="49"/>
  <c r="N234" i="49"/>
  <c r="T234" i="49"/>
  <c r="K239" i="49"/>
  <c r="Y240" i="49"/>
  <c r="T240" i="49"/>
  <c r="O240" i="49"/>
  <c r="J240" i="49"/>
  <c r="L240" i="49"/>
  <c r="S240" i="49"/>
  <c r="Y242" i="49"/>
  <c r="W242" i="49"/>
  <c r="R242" i="49"/>
  <c r="L242" i="49"/>
  <c r="B242" i="49"/>
  <c r="N242" i="49"/>
  <c r="T242" i="49"/>
  <c r="B243" i="49"/>
  <c r="O243" i="49"/>
  <c r="V243" i="49"/>
  <c r="C244" i="49"/>
  <c r="E244" i="49" s="1"/>
  <c r="P244" i="49"/>
  <c r="W244" i="49"/>
  <c r="L248" i="49"/>
  <c r="L249" i="49"/>
  <c r="K251" i="49"/>
  <c r="T251" i="49"/>
  <c r="J252" i="49"/>
  <c r="T252" i="49"/>
  <c r="L256" i="49"/>
  <c r="B257" i="49"/>
  <c r="V257" i="49"/>
  <c r="L265" i="49"/>
  <c r="Y267" i="49"/>
  <c r="W267" i="49"/>
  <c r="R267" i="49"/>
  <c r="L267" i="49"/>
  <c r="B267" i="49"/>
  <c r="S267" i="49"/>
  <c r="K267" i="49"/>
  <c r="X267" i="49"/>
  <c r="P267" i="49"/>
  <c r="J267" i="49"/>
  <c r="T267" i="49"/>
  <c r="L273" i="49"/>
  <c r="V218" i="49"/>
  <c r="T218" i="49"/>
  <c r="L218" i="49"/>
  <c r="P218" i="49"/>
  <c r="V219" i="49"/>
  <c r="X219" i="49"/>
  <c r="P219" i="49"/>
  <c r="C219" i="49"/>
  <c r="E219" i="49" s="1"/>
  <c r="S219" i="49"/>
  <c r="V226" i="49"/>
  <c r="T226" i="49"/>
  <c r="L226" i="49"/>
  <c r="P226" i="49"/>
  <c r="V227" i="49"/>
  <c r="X227" i="49"/>
  <c r="P227" i="49"/>
  <c r="C227" i="49"/>
  <c r="E227" i="49" s="1"/>
  <c r="S227" i="49"/>
  <c r="Y239" i="49"/>
  <c r="X239" i="49"/>
  <c r="S239" i="49"/>
  <c r="N239" i="49"/>
  <c r="C239" i="49"/>
  <c r="E239" i="49" s="1"/>
  <c r="L239" i="49"/>
  <c r="T239" i="49"/>
  <c r="J243" i="49"/>
  <c r="P243" i="49"/>
  <c r="K244" i="49"/>
  <c r="R244" i="49"/>
  <c r="Y248" i="49"/>
  <c r="X248" i="49"/>
  <c r="S248" i="49"/>
  <c r="N248" i="49"/>
  <c r="C248" i="49"/>
  <c r="E248" i="49" s="1"/>
  <c r="V248" i="49"/>
  <c r="O248" i="49"/>
  <c r="B248" i="49"/>
  <c r="P248" i="49"/>
  <c r="Y249" i="49"/>
  <c r="T249" i="49"/>
  <c r="O249" i="49"/>
  <c r="J249" i="49"/>
  <c r="W249" i="49"/>
  <c r="P249" i="49"/>
  <c r="C249" i="49"/>
  <c r="E249" i="49" s="1"/>
  <c r="N249" i="49"/>
  <c r="X249" i="49"/>
  <c r="N251" i="49"/>
  <c r="L252" i="49"/>
  <c r="Y259" i="49"/>
  <c r="W259" i="49"/>
  <c r="R259" i="49"/>
  <c r="L259" i="49"/>
  <c r="B259" i="49"/>
  <c r="S259" i="49"/>
  <c r="K259" i="49"/>
  <c r="X259" i="49"/>
  <c r="P259" i="49"/>
  <c r="J259" i="49"/>
  <c r="T259" i="49"/>
  <c r="Y264" i="49"/>
  <c r="X264" i="49"/>
  <c r="S264" i="49"/>
  <c r="N264" i="49"/>
  <c r="C264" i="49"/>
  <c r="E264" i="49" s="1"/>
  <c r="W264" i="49"/>
  <c r="P264" i="49"/>
  <c r="J264" i="49"/>
  <c r="V264" i="49"/>
  <c r="O264" i="49"/>
  <c r="B264" i="49"/>
  <c r="T264" i="49"/>
  <c r="Y244" i="49"/>
  <c r="T244" i="49"/>
  <c r="O244" i="49"/>
  <c r="J244" i="49"/>
  <c r="L244" i="49"/>
  <c r="S244" i="49"/>
  <c r="Y251" i="49"/>
  <c r="W251" i="49"/>
  <c r="R251" i="49"/>
  <c r="L251" i="49"/>
  <c r="B251" i="49"/>
  <c r="X251" i="49"/>
  <c r="P251" i="49"/>
  <c r="J251" i="49"/>
  <c r="O251" i="49"/>
  <c r="Y252" i="49"/>
  <c r="X252" i="49"/>
  <c r="S252" i="49"/>
  <c r="N252" i="49"/>
  <c r="C252" i="49"/>
  <c r="E252" i="49" s="1"/>
  <c r="R252" i="49"/>
  <c r="K252" i="49"/>
  <c r="O252" i="49"/>
  <c r="W252" i="49"/>
  <c r="Y256" i="49"/>
  <c r="X256" i="49"/>
  <c r="S256" i="49"/>
  <c r="N256" i="49"/>
  <c r="C256" i="49"/>
  <c r="E256" i="49" s="1"/>
  <c r="W256" i="49"/>
  <c r="P256" i="49"/>
  <c r="J256" i="49"/>
  <c r="V256" i="49"/>
  <c r="O256" i="49"/>
  <c r="B256" i="49"/>
  <c r="T256" i="49"/>
  <c r="Y265" i="49"/>
  <c r="T265" i="49"/>
  <c r="O265" i="49"/>
  <c r="J265" i="49"/>
  <c r="X265" i="49"/>
  <c r="R265" i="49"/>
  <c r="K265" i="49"/>
  <c r="W265" i="49"/>
  <c r="P265" i="49"/>
  <c r="C265" i="49"/>
  <c r="E265" i="49" s="1"/>
  <c r="S265" i="49"/>
  <c r="Y243" i="49"/>
  <c r="X243" i="49"/>
  <c r="S243" i="49"/>
  <c r="N243" i="49"/>
  <c r="C243" i="49"/>
  <c r="E243" i="49" s="1"/>
  <c r="L243" i="49"/>
  <c r="T243" i="49"/>
  <c r="B244" i="49"/>
  <c r="N244" i="49"/>
  <c r="V244" i="49"/>
  <c r="C251" i="49"/>
  <c r="E251" i="49" s="1"/>
  <c r="S251" i="49"/>
  <c r="B252" i="49"/>
  <c r="P252" i="49"/>
  <c r="K256" i="49"/>
  <c r="Y257" i="49"/>
  <c r="T257" i="49"/>
  <c r="O257" i="49"/>
  <c r="J257" i="49"/>
  <c r="X257" i="49"/>
  <c r="R257" i="49"/>
  <c r="K257" i="49"/>
  <c r="W257" i="49"/>
  <c r="P257" i="49"/>
  <c r="C257" i="49"/>
  <c r="E257" i="49" s="1"/>
  <c r="S257" i="49"/>
  <c r="B265" i="49"/>
  <c r="V265" i="49"/>
  <c r="Y273" i="49"/>
  <c r="T273" i="49"/>
  <c r="O273" i="49"/>
  <c r="J273" i="49"/>
  <c r="V273" i="49"/>
  <c r="N273" i="49"/>
  <c r="B273" i="49"/>
  <c r="X273" i="49"/>
  <c r="R273" i="49"/>
  <c r="K273" i="49"/>
  <c r="W273" i="49"/>
  <c r="P273" i="49"/>
  <c r="C273" i="49"/>
  <c r="E273" i="49" s="1"/>
  <c r="Y237" i="49"/>
  <c r="K237" i="49"/>
  <c r="P237" i="49"/>
  <c r="V237" i="49"/>
  <c r="Y241" i="49"/>
  <c r="K241" i="49"/>
  <c r="P241" i="49"/>
  <c r="V241" i="49"/>
  <c r="Y245" i="49"/>
  <c r="T245" i="49"/>
  <c r="O245" i="49"/>
  <c r="J245" i="49"/>
  <c r="L245" i="49"/>
  <c r="S245" i="49"/>
  <c r="Y247" i="49"/>
  <c r="W247" i="49"/>
  <c r="R247" i="49"/>
  <c r="L247" i="49"/>
  <c r="B247" i="49"/>
  <c r="N247" i="49"/>
  <c r="T247" i="49"/>
  <c r="Y253" i="49"/>
  <c r="T253" i="49"/>
  <c r="O253" i="49"/>
  <c r="J253" i="49"/>
  <c r="L253" i="49"/>
  <c r="S253" i="49"/>
  <c r="Y255" i="49"/>
  <c r="W255" i="49"/>
  <c r="R255" i="49"/>
  <c r="L255" i="49"/>
  <c r="B255" i="49"/>
  <c r="N255" i="49"/>
  <c r="T255" i="49"/>
  <c r="K260" i="49"/>
  <c r="Y261" i="49"/>
  <c r="T261" i="49"/>
  <c r="O261" i="49"/>
  <c r="J261" i="49"/>
  <c r="L261" i="49"/>
  <c r="S261" i="49"/>
  <c r="Y263" i="49"/>
  <c r="W263" i="49"/>
  <c r="R263" i="49"/>
  <c r="L263" i="49"/>
  <c r="B263" i="49"/>
  <c r="N263" i="49"/>
  <c r="T263" i="49"/>
  <c r="K268" i="49"/>
  <c r="Y269" i="49"/>
  <c r="T269" i="49"/>
  <c r="O269" i="49"/>
  <c r="J269" i="49"/>
  <c r="L269" i="49"/>
  <c r="S269" i="49"/>
  <c r="Y271" i="49"/>
  <c r="W271" i="49"/>
  <c r="R271" i="49"/>
  <c r="L271" i="49"/>
  <c r="B271" i="49"/>
  <c r="N271" i="49"/>
  <c r="T271" i="49"/>
  <c r="B272" i="49"/>
  <c r="O272" i="49"/>
  <c r="V272" i="49"/>
  <c r="J275" i="49"/>
  <c r="P275" i="49"/>
  <c r="X275" i="49"/>
  <c r="K276" i="49"/>
  <c r="X277" i="49"/>
  <c r="L277" i="49"/>
  <c r="Q277" i="49"/>
  <c r="L278" i="49"/>
  <c r="M282" i="49"/>
  <c r="M284" i="49"/>
  <c r="L287" i="49"/>
  <c r="P288" i="49"/>
  <c r="R290" i="49"/>
  <c r="M290" i="49"/>
  <c r="T296" i="49"/>
  <c r="M296" i="49"/>
  <c r="Y296" i="49"/>
  <c r="R296" i="49"/>
  <c r="J296" i="49"/>
  <c r="U296" i="49"/>
  <c r="R301" i="49"/>
  <c r="Q310" i="49"/>
  <c r="J313" i="49"/>
  <c r="Y260" i="49"/>
  <c r="X260" i="49"/>
  <c r="S260" i="49"/>
  <c r="N260" i="49"/>
  <c r="C260" i="49"/>
  <c r="E260" i="49" s="1"/>
  <c r="L260" i="49"/>
  <c r="T260" i="49"/>
  <c r="Y268" i="49"/>
  <c r="X268" i="49"/>
  <c r="S268" i="49"/>
  <c r="N268" i="49"/>
  <c r="C268" i="49"/>
  <c r="E268" i="49" s="1"/>
  <c r="L268" i="49"/>
  <c r="T268" i="49"/>
  <c r="J272" i="49"/>
  <c r="P272" i="49"/>
  <c r="K275" i="49"/>
  <c r="Y276" i="49"/>
  <c r="X276" i="49"/>
  <c r="S276" i="49"/>
  <c r="N276" i="49"/>
  <c r="C276" i="49"/>
  <c r="E276" i="49" s="1"/>
  <c r="L276" i="49"/>
  <c r="T276" i="49"/>
  <c r="Q281" i="49"/>
  <c r="B296" i="49"/>
  <c r="X296" i="49"/>
  <c r="Y275" i="49"/>
  <c r="W275" i="49"/>
  <c r="R275" i="49"/>
  <c r="L275" i="49"/>
  <c r="B275" i="49"/>
  <c r="N275" i="49"/>
  <c r="T275" i="49"/>
  <c r="P282" i="49"/>
  <c r="U282" i="49"/>
  <c r="X288" i="49"/>
  <c r="M288" i="49"/>
  <c r="U288" i="49"/>
  <c r="U301" i="49"/>
  <c r="X301" i="49"/>
  <c r="M301" i="49"/>
  <c r="T301" i="49"/>
  <c r="B301" i="49"/>
  <c r="M302" i="49"/>
  <c r="X302" i="49"/>
  <c r="B302" i="49"/>
  <c r="V305" i="49"/>
  <c r="M305" i="49"/>
  <c r="U305" i="49"/>
  <c r="B305" i="49"/>
  <c r="M320" i="49"/>
  <c r="Y320" i="49"/>
  <c r="N320" i="49"/>
  <c r="Y272" i="49"/>
  <c r="X272" i="49"/>
  <c r="S272" i="49"/>
  <c r="N272" i="49"/>
  <c r="C272" i="49"/>
  <c r="E272" i="49" s="1"/>
  <c r="L272" i="49"/>
  <c r="T272" i="49"/>
  <c r="C275" i="49"/>
  <c r="E275" i="49" s="1"/>
  <c r="O275" i="49"/>
  <c r="V275" i="49"/>
  <c r="X278" i="49"/>
  <c r="M278" i="49"/>
  <c r="U278" i="49"/>
  <c r="L282" i="49"/>
  <c r="X282" i="49"/>
  <c r="U284" i="49"/>
  <c r="L284" i="49"/>
  <c r="X284" i="49"/>
  <c r="L288" i="49"/>
  <c r="U295" i="49"/>
  <c r="Q295" i="49"/>
  <c r="P295" i="49"/>
  <c r="P299" i="49"/>
  <c r="N301" i="49"/>
  <c r="Q302" i="49"/>
  <c r="N305" i="49"/>
  <c r="S313" i="49"/>
  <c r="M313" i="49"/>
  <c r="B313" i="49"/>
  <c r="W313" i="49"/>
  <c r="O313" i="49"/>
  <c r="U313" i="49"/>
  <c r="N313" i="49"/>
  <c r="C313" i="49"/>
  <c r="E313" i="49" s="1"/>
  <c r="U291" i="49"/>
  <c r="U293" i="49"/>
  <c r="R293" i="49"/>
  <c r="N300" i="49"/>
  <c r="U300" i="49"/>
  <c r="N304" i="49"/>
  <c r="U304" i="49"/>
  <c r="Q308" i="49"/>
  <c r="Y308" i="49"/>
  <c r="Q312" i="49"/>
  <c r="B317" i="49"/>
  <c r="M317" i="49"/>
  <c r="S317" i="49"/>
  <c r="N318" i="49"/>
  <c r="R319" i="49"/>
  <c r="M321" i="49"/>
  <c r="Y246" i="49"/>
  <c r="K246" i="49"/>
  <c r="P246" i="49"/>
  <c r="V246" i="49"/>
  <c r="Y250" i="49"/>
  <c r="K250" i="49"/>
  <c r="P250" i="49"/>
  <c r="V250" i="49"/>
  <c r="Y254" i="49"/>
  <c r="K254" i="49"/>
  <c r="P254" i="49"/>
  <c r="V254" i="49"/>
  <c r="Y258" i="49"/>
  <c r="K258" i="49"/>
  <c r="P258" i="49"/>
  <c r="V258" i="49"/>
  <c r="Y262" i="49"/>
  <c r="K262" i="49"/>
  <c r="P262" i="49"/>
  <c r="V262" i="49"/>
  <c r="Y266" i="49"/>
  <c r="K266" i="49"/>
  <c r="P266" i="49"/>
  <c r="V266" i="49"/>
  <c r="Y270" i="49"/>
  <c r="K270" i="49"/>
  <c r="P270" i="49"/>
  <c r="V270" i="49"/>
  <c r="Y274" i="49"/>
  <c r="K274" i="49"/>
  <c r="P274" i="49"/>
  <c r="V274" i="49"/>
  <c r="T280" i="49"/>
  <c r="T286" i="49"/>
  <c r="J291" i="49"/>
  <c r="N292" i="49"/>
  <c r="U292" i="49"/>
  <c r="B293" i="49"/>
  <c r="T293" i="49"/>
  <c r="L294" i="49"/>
  <c r="U297" i="49"/>
  <c r="R297" i="49"/>
  <c r="B300" i="49"/>
  <c r="P300" i="49"/>
  <c r="X300" i="49"/>
  <c r="B304" i="49"/>
  <c r="P304" i="49"/>
  <c r="X304" i="49"/>
  <c r="Q306" i="49"/>
  <c r="N307" i="49"/>
  <c r="U307" i="49"/>
  <c r="B308" i="49"/>
  <c r="R308" i="49"/>
  <c r="M309" i="49"/>
  <c r="X309" i="49"/>
  <c r="J312" i="49"/>
  <c r="C317" i="49"/>
  <c r="E317" i="49" s="1"/>
  <c r="N317" i="49"/>
  <c r="R321" i="49"/>
  <c r="J317" i="49"/>
  <c r="R317" i="49"/>
  <c r="U318" i="49"/>
  <c r="B321" i="49"/>
  <c r="Y321" i="49"/>
  <c r="W144" i="38"/>
  <c r="Y144" i="38" s="1"/>
  <c r="W142" i="38"/>
  <c r="Y142" i="38" s="1"/>
  <c r="W140" i="38"/>
  <c r="Y140" i="38" s="1"/>
  <c r="W134" i="38"/>
  <c r="Y134" i="38" s="1"/>
  <c r="W130" i="38"/>
  <c r="Y130" i="38" s="1"/>
  <c r="W121" i="38"/>
  <c r="Y121" i="38" s="1"/>
  <c r="AE113" i="38"/>
  <c r="W9" i="38"/>
  <c r="W107" i="38"/>
  <c r="W105" i="38"/>
  <c r="Y105" i="38" s="1"/>
  <c r="W92" i="38"/>
  <c r="W102" i="38"/>
  <c r="Y102" i="38" s="1"/>
  <c r="W82" i="38"/>
  <c r="W80" i="38"/>
  <c r="Y80" i="38" s="1"/>
  <c r="W69" i="38"/>
  <c r="W65" i="38"/>
  <c r="W52" i="38"/>
  <c r="W56" i="38"/>
  <c r="W38" i="38"/>
  <c r="W87" i="38"/>
  <c r="Y87" i="38" s="1"/>
  <c r="W99" i="38"/>
  <c r="W98" i="38"/>
  <c r="Y98" i="38" s="1"/>
  <c r="W78" i="38"/>
  <c r="W71" i="38"/>
  <c r="W61" i="38"/>
  <c r="W138" i="38"/>
  <c r="Y138" i="38" s="1"/>
  <c r="J133" i="38"/>
  <c r="W132" i="38"/>
  <c r="Y132" i="38" s="1"/>
  <c r="J129" i="38"/>
  <c r="W127" i="38"/>
  <c r="Y127" i="38" s="1"/>
  <c r="AE121" i="38"/>
  <c r="W119" i="38"/>
  <c r="Y119" i="38" s="1"/>
  <c r="W113" i="38"/>
  <c r="Y113" i="38" s="1"/>
  <c r="W111" i="38"/>
  <c r="W76" i="38"/>
  <c r="W73" i="38"/>
  <c r="Y73" i="38" s="1"/>
  <c r="W97" i="38"/>
  <c r="W94" i="38"/>
  <c r="Y94" i="38" s="1"/>
  <c r="W115" i="38"/>
  <c r="Y115" i="38" s="1"/>
  <c r="J141" i="38"/>
  <c r="J143" i="38"/>
  <c r="G143" i="38" s="1"/>
  <c r="J137" i="38"/>
  <c r="G137" i="38" s="1"/>
  <c r="J135" i="38"/>
  <c r="G135" i="38" s="1"/>
  <c r="J131" i="38"/>
  <c r="G131" i="38" s="1"/>
  <c r="W123" i="38"/>
  <c r="Y123" i="38" s="1"/>
  <c r="W117" i="38"/>
  <c r="Y117" i="38" s="1"/>
  <c r="W104" i="38"/>
  <c r="W5" i="38"/>
  <c r="W93" i="38"/>
  <c r="Y93" i="38" s="1"/>
  <c r="W84" i="38"/>
  <c r="Y84" i="38" s="1"/>
  <c r="AE50" i="38"/>
  <c r="W49" i="38"/>
  <c r="Y49" i="38" s="1"/>
  <c r="W90" i="38"/>
  <c r="W86" i="38"/>
  <c r="Y86" i="38" s="1"/>
  <c r="W75" i="38"/>
  <c r="Z128" i="49"/>
  <c r="Z25" i="49"/>
  <c r="Z127" i="49"/>
  <c r="AB2" i="66"/>
  <c r="E24" i="37" s="1"/>
  <c r="Z23" i="49"/>
  <c r="Z107" i="49"/>
  <c r="I23" i="49"/>
  <c r="I25" i="49"/>
  <c r="J144" i="38"/>
  <c r="AE142" i="38"/>
  <c r="D13" i="11"/>
  <c r="F12" i="69" s="1"/>
  <c r="AE140" i="38"/>
  <c r="D25" i="11"/>
  <c r="F24" i="69" s="1"/>
  <c r="D74" i="11"/>
  <c r="F73" i="69" s="1"/>
  <c r="D44" i="11"/>
  <c r="F43" i="69" s="1"/>
  <c r="J127" i="38"/>
  <c r="J123" i="38"/>
  <c r="D76" i="11"/>
  <c r="F75" i="69" s="1"/>
  <c r="W122" i="38"/>
  <c r="J119" i="38"/>
  <c r="D78" i="11"/>
  <c r="F77" i="69" s="1"/>
  <c r="W114" i="38"/>
  <c r="J9" i="38"/>
  <c r="D65" i="11"/>
  <c r="F64" i="69" s="1"/>
  <c r="W112" i="38"/>
  <c r="W51" i="38"/>
  <c r="J38" i="38"/>
  <c r="D53" i="11"/>
  <c r="W100" i="38"/>
  <c r="J83" i="38"/>
  <c r="J58" i="38"/>
  <c r="J45" i="38"/>
  <c r="J101" i="38"/>
  <c r="J91" i="38"/>
  <c r="J85" i="38"/>
  <c r="J79" i="38"/>
  <c r="J78" i="38"/>
  <c r="J67" i="38"/>
  <c r="D97" i="11"/>
  <c r="F96" i="69" s="1"/>
  <c r="D68" i="11"/>
  <c r="F67" i="69" s="1"/>
  <c r="N4" i="14"/>
  <c r="D4" i="14"/>
  <c r="N6" i="14"/>
  <c r="D6" i="14"/>
  <c r="N8" i="14"/>
  <c r="D8" i="14"/>
  <c r="N10" i="14"/>
  <c r="D10" i="14"/>
  <c r="N12" i="14"/>
  <c r="D12" i="14"/>
  <c r="N14" i="14"/>
  <c r="D14" i="14"/>
  <c r="N16" i="14"/>
  <c r="D16" i="14"/>
  <c r="N18" i="14"/>
  <c r="D18" i="14"/>
  <c r="N20" i="14"/>
  <c r="D20" i="14"/>
  <c r="N22" i="14"/>
  <c r="D22" i="14"/>
  <c r="N24" i="14"/>
  <c r="D24" i="14"/>
  <c r="N26" i="14"/>
  <c r="D26" i="14"/>
  <c r="N28" i="14"/>
  <c r="D28" i="14"/>
  <c r="N30" i="14"/>
  <c r="D30" i="14"/>
  <c r="N32" i="14"/>
  <c r="D32" i="14"/>
  <c r="N34" i="14"/>
  <c r="D34" i="14"/>
  <c r="N36" i="14"/>
  <c r="D36" i="14"/>
  <c r="N38" i="14"/>
  <c r="D38" i="14"/>
  <c r="N40" i="14"/>
  <c r="D40" i="14"/>
  <c r="N42" i="14"/>
  <c r="D42" i="14"/>
  <c r="N44" i="14"/>
  <c r="D44" i="14"/>
  <c r="N46" i="14"/>
  <c r="D46" i="14"/>
  <c r="N48" i="14"/>
  <c r="D48" i="14"/>
  <c r="N50" i="14"/>
  <c r="D50" i="14"/>
  <c r="N52" i="14"/>
  <c r="D52" i="14"/>
  <c r="N54" i="14"/>
  <c r="D54" i="14"/>
  <c r="N56" i="14"/>
  <c r="D56" i="14"/>
  <c r="N58" i="14"/>
  <c r="D58" i="14"/>
  <c r="N60" i="14"/>
  <c r="D60" i="14"/>
  <c r="N62" i="14"/>
  <c r="D62" i="14"/>
  <c r="N64" i="14"/>
  <c r="D64" i="14"/>
  <c r="N66" i="14"/>
  <c r="D66" i="14"/>
  <c r="N68" i="14"/>
  <c r="D68" i="14"/>
  <c r="N70" i="14"/>
  <c r="D70" i="14"/>
  <c r="N72" i="14"/>
  <c r="D72" i="14"/>
  <c r="N74" i="14"/>
  <c r="D74" i="14"/>
  <c r="N76" i="14"/>
  <c r="D76" i="14"/>
  <c r="N78" i="14"/>
  <c r="D78" i="14"/>
  <c r="AC2" i="66"/>
  <c r="E25" i="37" s="1"/>
  <c r="AE138" i="38"/>
  <c r="AE136" i="38"/>
  <c r="D8" i="11"/>
  <c r="F7" i="69" s="1"/>
  <c r="AE134" i="38"/>
  <c r="AE132" i="38"/>
  <c r="AE130" i="38"/>
  <c r="D42" i="11"/>
  <c r="F41" i="69" s="1"/>
  <c r="W126" i="38"/>
  <c r="D48" i="11"/>
  <c r="F47" i="69" s="1"/>
  <c r="W118" i="38"/>
  <c r="J115" i="38"/>
  <c r="J109" i="38"/>
  <c r="J108" i="38"/>
  <c r="J68" i="38"/>
  <c r="W96" i="38"/>
  <c r="J56" i="38"/>
  <c r="J128" i="38"/>
  <c r="J124" i="38"/>
  <c r="J120" i="38"/>
  <c r="J116" i="38"/>
  <c r="J15" i="38"/>
  <c r="J110" i="38"/>
  <c r="W108" i="38"/>
  <c r="J105" i="38"/>
  <c r="D88" i="11"/>
  <c r="F87" i="69" s="1"/>
  <c r="W68" i="38"/>
  <c r="J84" i="38"/>
  <c r="J57" i="38"/>
  <c r="J48" i="38"/>
  <c r="J87" i="38"/>
  <c r="D49" i="11"/>
  <c r="F48" i="69" s="1"/>
  <c r="W83" i="38"/>
  <c r="J73" i="38"/>
  <c r="D85" i="11"/>
  <c r="F84" i="69" s="1"/>
  <c r="W58" i="38"/>
  <c r="J49" i="38"/>
  <c r="D57" i="11"/>
  <c r="W45" i="38"/>
  <c r="J102" i="38"/>
  <c r="D32" i="11"/>
  <c r="F31" i="69" s="1"/>
  <c r="W101" i="38"/>
  <c r="J98" i="38"/>
  <c r="D66" i="11"/>
  <c r="F65" i="69" s="1"/>
  <c r="J94" i="38"/>
  <c r="D96" i="11"/>
  <c r="F95" i="69" s="1"/>
  <c r="W91" i="38"/>
  <c r="J86" i="38"/>
  <c r="D28" i="11"/>
  <c r="F27" i="69" s="1"/>
  <c r="W85" i="38"/>
  <c r="J80" i="38"/>
  <c r="D82" i="11"/>
  <c r="F81" i="69" s="1"/>
  <c r="W79" i="38"/>
  <c r="J77" i="38"/>
  <c r="J75" i="38"/>
  <c r="D22" i="11"/>
  <c r="F21" i="69" s="1"/>
  <c r="W62" i="38"/>
  <c r="W60" i="38"/>
  <c r="W53" i="38"/>
  <c r="D21" i="11"/>
  <c r="F20" i="69" s="1"/>
  <c r="D14" i="11"/>
  <c r="F13" i="69" s="1"/>
  <c r="W143" i="38"/>
  <c r="W141" i="38"/>
  <c r="D18" i="11"/>
  <c r="F17" i="69" s="1"/>
  <c r="W139" i="38"/>
  <c r="D94" i="11"/>
  <c r="F93" i="69" s="1"/>
  <c r="W137" i="38"/>
  <c r="D12" i="11"/>
  <c r="F11" i="69" s="1"/>
  <c r="W135" i="38"/>
  <c r="D34" i="11"/>
  <c r="F33" i="69" s="1"/>
  <c r="W133" i="38"/>
  <c r="D5" i="11"/>
  <c r="F4" i="69" s="1"/>
  <c r="W131" i="38"/>
  <c r="D102" i="11"/>
  <c r="W129" i="38"/>
  <c r="D80" i="11"/>
  <c r="F79" i="69" s="1"/>
  <c r="D20" i="11"/>
  <c r="F19" i="69" s="1"/>
  <c r="W128" i="38"/>
  <c r="W124" i="38"/>
  <c r="W120" i="38"/>
  <c r="D100" i="11"/>
  <c r="F99" i="69" s="1"/>
  <c r="W116" i="38"/>
  <c r="W15" i="38"/>
  <c r="D38" i="11"/>
  <c r="F37" i="69" s="1"/>
  <c r="W110" i="38"/>
  <c r="J106" i="38"/>
  <c r="J103" i="38"/>
  <c r="W57" i="38"/>
  <c r="D84" i="11"/>
  <c r="F83" i="69" s="1"/>
  <c r="W48" i="38"/>
  <c r="J92" i="38"/>
  <c r="J88" i="38"/>
  <c r="J74" i="38"/>
  <c r="J54" i="38"/>
  <c r="J26" i="38"/>
  <c r="J95" i="38"/>
  <c r="J89" i="38"/>
  <c r="J81" i="38"/>
  <c r="J72" i="38"/>
  <c r="J71" i="38"/>
  <c r="W66" i="38"/>
  <c r="D86" i="11"/>
  <c r="F85" i="69" s="1"/>
  <c r="W64" i="38"/>
  <c r="J62" i="38"/>
  <c r="J61" i="38"/>
  <c r="J60" i="38"/>
  <c r="J59" i="38"/>
  <c r="J53" i="38"/>
  <c r="J52" i="38"/>
  <c r="J44" i="38"/>
  <c r="N3" i="14"/>
  <c r="D3" i="14"/>
  <c r="O4" i="14"/>
  <c r="W4" i="14" s="1"/>
  <c r="N5" i="14"/>
  <c r="D5" i="14"/>
  <c r="O6" i="14"/>
  <c r="N7" i="14"/>
  <c r="D7" i="14"/>
  <c r="O8" i="14"/>
  <c r="N9" i="14"/>
  <c r="D9" i="14"/>
  <c r="O10" i="14"/>
  <c r="N11" i="14"/>
  <c r="D11" i="14"/>
  <c r="O12" i="14"/>
  <c r="N13" i="14"/>
  <c r="D13" i="14"/>
  <c r="O14" i="14"/>
  <c r="N15" i="14"/>
  <c r="D15" i="14"/>
  <c r="O16" i="14"/>
  <c r="N17" i="14"/>
  <c r="D17" i="14"/>
  <c r="O18" i="14"/>
  <c r="N19" i="14"/>
  <c r="D19" i="14"/>
  <c r="O20" i="14"/>
  <c r="N21" i="14"/>
  <c r="D21" i="14"/>
  <c r="O22" i="14"/>
  <c r="N23" i="14"/>
  <c r="D23" i="14"/>
  <c r="O24" i="14"/>
  <c r="N25" i="14"/>
  <c r="D25" i="14"/>
  <c r="O26" i="14"/>
  <c r="N27" i="14"/>
  <c r="D27" i="14"/>
  <c r="O28" i="14"/>
  <c r="N29" i="14"/>
  <c r="D29" i="14"/>
  <c r="O30" i="14"/>
  <c r="N31" i="14"/>
  <c r="D31" i="14"/>
  <c r="O32" i="14"/>
  <c r="N33" i="14"/>
  <c r="D33" i="14"/>
  <c r="O34" i="14"/>
  <c r="N35" i="14"/>
  <c r="D35" i="14"/>
  <c r="O36" i="14"/>
  <c r="N37" i="14"/>
  <c r="D37" i="14"/>
  <c r="O38" i="14"/>
  <c r="N39" i="14"/>
  <c r="D39" i="14"/>
  <c r="O40" i="14"/>
  <c r="N41" i="14"/>
  <c r="D41" i="14"/>
  <c r="O42" i="14"/>
  <c r="N43" i="14"/>
  <c r="D43" i="14"/>
  <c r="O44" i="14"/>
  <c r="N45" i="14"/>
  <c r="D45" i="14"/>
  <c r="O46" i="14"/>
  <c r="N47" i="14"/>
  <c r="D47" i="14"/>
  <c r="O48" i="14"/>
  <c r="N49" i="14"/>
  <c r="D49" i="14"/>
  <c r="O50" i="14"/>
  <c r="N51" i="14"/>
  <c r="D51" i="14"/>
  <c r="O52" i="14"/>
  <c r="N53" i="14"/>
  <c r="D53" i="14"/>
  <c r="O54" i="14"/>
  <c r="N55" i="14"/>
  <c r="D55" i="14"/>
  <c r="O56" i="14"/>
  <c r="N57" i="14"/>
  <c r="D57" i="14"/>
  <c r="O58" i="14"/>
  <c r="N59" i="14"/>
  <c r="D59" i="14"/>
  <c r="O60" i="14"/>
  <c r="N61" i="14"/>
  <c r="D61" i="14"/>
  <c r="O62" i="14"/>
  <c r="N63" i="14"/>
  <c r="D63" i="14"/>
  <c r="O64" i="14"/>
  <c r="N65" i="14"/>
  <c r="D65" i="14"/>
  <c r="O66" i="14"/>
  <c r="N67" i="14"/>
  <c r="D67" i="14"/>
  <c r="O68" i="14"/>
  <c r="N69" i="14"/>
  <c r="D69" i="14"/>
  <c r="O70" i="14"/>
  <c r="N71" i="14"/>
  <c r="D71" i="14"/>
  <c r="O72" i="14"/>
  <c r="N73" i="14"/>
  <c r="D73" i="14"/>
  <c r="O74" i="14"/>
  <c r="N75" i="14"/>
  <c r="D75" i="14"/>
  <c r="O76" i="14"/>
  <c r="N77" i="14"/>
  <c r="D77" i="14"/>
  <c r="O78" i="14"/>
  <c r="W78" i="14" s="1"/>
  <c r="S78" i="14"/>
  <c r="AA78" i="14" s="1"/>
  <c r="N79" i="14"/>
  <c r="D79" i="14"/>
  <c r="J126" i="38"/>
  <c r="J122" i="38"/>
  <c r="J118" i="38"/>
  <c r="J114" i="38"/>
  <c r="J112" i="38"/>
  <c r="J107" i="38"/>
  <c r="D30" i="11"/>
  <c r="F29" i="69" s="1"/>
  <c r="W106" i="38"/>
  <c r="J104" i="38"/>
  <c r="D9" i="11"/>
  <c r="F8" i="69" s="1"/>
  <c r="W103" i="38"/>
  <c r="J5" i="38"/>
  <c r="J96" i="38"/>
  <c r="J51" i="38"/>
  <c r="J100" i="38"/>
  <c r="D73" i="11"/>
  <c r="F72" i="69" s="1"/>
  <c r="W88" i="38"/>
  <c r="J76" i="38"/>
  <c r="W74" i="38"/>
  <c r="J55" i="38"/>
  <c r="W54" i="38"/>
  <c r="W26" i="38"/>
  <c r="J99" i="38"/>
  <c r="J97" i="38"/>
  <c r="D29" i="11"/>
  <c r="F28" i="69" s="1"/>
  <c r="W95" i="38"/>
  <c r="J90" i="38"/>
  <c r="D92" i="11"/>
  <c r="F91" i="69" s="1"/>
  <c r="W89" i="38"/>
  <c r="J82" i="38"/>
  <c r="W81" i="38"/>
  <c r="J70" i="38"/>
  <c r="J69" i="38"/>
  <c r="J66" i="38"/>
  <c r="J65" i="38"/>
  <c r="J64" i="38"/>
  <c r="D26" i="11"/>
  <c r="F25" i="69" s="1"/>
  <c r="D61" i="11"/>
  <c r="F60" i="69" s="1"/>
  <c r="D4" i="11"/>
  <c r="F3" i="69" s="1"/>
  <c r="D45" i="11"/>
  <c r="F44" i="69" s="1"/>
  <c r="W250" i="14"/>
  <c r="O251" i="14"/>
  <c r="S251" i="14"/>
  <c r="AA251" i="14" s="1"/>
  <c r="W253" i="14"/>
  <c r="D253" i="14"/>
  <c r="N253" i="14"/>
  <c r="W255" i="14"/>
  <c r="D255" i="14"/>
  <c r="N255" i="14"/>
  <c r="W257" i="14"/>
  <c r="D257" i="14"/>
  <c r="N257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9" i="14"/>
  <c r="N259" i="14"/>
  <c r="BC259" i="14"/>
  <c r="O260" i="14"/>
  <c r="S260" i="14"/>
  <c r="AA260" i="14" s="1"/>
  <c r="D261" i="14"/>
  <c r="N261" i="14"/>
  <c r="BC261" i="14"/>
  <c r="O262" i="14"/>
  <c r="S262" i="14"/>
  <c r="AA262" i="14" s="1"/>
  <c r="D263" i="14"/>
  <c r="N263" i="14"/>
  <c r="BC263" i="14"/>
  <c r="O264" i="14"/>
  <c r="W264" i="14" s="1"/>
  <c r="S264" i="14"/>
  <c r="AA264" i="14" s="1"/>
  <c r="D265" i="14"/>
  <c r="N265" i="14"/>
  <c r="BC265" i="14"/>
  <c r="O266" i="14"/>
  <c r="S266" i="14"/>
  <c r="AA266" i="14" s="1"/>
  <c r="D267" i="14"/>
  <c r="N267" i="14"/>
  <c r="BC267" i="14"/>
  <c r="O268" i="14"/>
  <c r="S268" i="14"/>
  <c r="AA268" i="14" s="1"/>
  <c r="D269" i="14"/>
  <c r="N269" i="14"/>
  <c r="BC269" i="14"/>
  <c r="D52" i="11"/>
  <c r="F51" i="69" s="1"/>
  <c r="D40" i="11"/>
  <c r="F39" i="69" s="1"/>
  <c r="D81" i="11"/>
  <c r="F80" i="69" s="1"/>
  <c r="D93" i="11"/>
  <c r="F92" i="69" s="1"/>
  <c r="D70" i="11"/>
  <c r="F69" i="69" s="1"/>
  <c r="D24" i="11"/>
  <c r="F23" i="69" s="1"/>
  <c r="D33" i="11"/>
  <c r="F32" i="69" s="1"/>
  <c r="D56" i="11"/>
  <c r="D37" i="11"/>
  <c r="F36" i="69" s="1"/>
  <c r="D90" i="11"/>
  <c r="F89" i="69" s="1"/>
  <c r="D17" i="11"/>
  <c r="F16" i="69" s="1"/>
  <c r="D16" i="11"/>
  <c r="F15" i="69" s="1"/>
  <c r="D46" i="11"/>
  <c r="F45" i="69" s="1"/>
  <c r="D98" i="11"/>
  <c r="F97" i="69" s="1"/>
  <c r="D89" i="11"/>
  <c r="F88" i="69" s="1"/>
  <c r="D60" i="11"/>
  <c r="F59" i="69" s="1"/>
  <c r="D41" i="11"/>
  <c r="F40" i="69" s="1"/>
  <c r="D64" i="11"/>
  <c r="F63" i="69" s="1"/>
  <c r="D50" i="11"/>
  <c r="F49" i="69" s="1"/>
  <c r="D10" i="11"/>
  <c r="F9" i="69" s="1"/>
  <c r="D6" i="11"/>
  <c r="F5" i="69" s="1"/>
  <c r="D77" i="11"/>
  <c r="F76" i="69" s="1"/>
  <c r="D36" i="11"/>
  <c r="F35" i="69" s="1"/>
  <c r="D72" i="11"/>
  <c r="F71" i="69" s="1"/>
  <c r="W77" i="38"/>
  <c r="D62" i="11"/>
  <c r="F61" i="69" s="1"/>
  <c r="W72" i="38"/>
  <c r="D54" i="11"/>
  <c r="W70" i="38"/>
  <c r="D101" i="11"/>
  <c r="W67" i="38"/>
  <c r="W63" i="38"/>
  <c r="D69" i="11"/>
  <c r="F68" i="69" s="1"/>
  <c r="W59" i="38"/>
  <c r="D58" i="11"/>
  <c r="W44" i="38"/>
  <c r="D2" i="37"/>
  <c r="Q251" i="14"/>
  <c r="Y251" i="14" s="1"/>
  <c r="U251" i="14"/>
  <c r="AC251" i="14" s="1"/>
  <c r="W252" i="14"/>
  <c r="D252" i="14"/>
  <c r="N252" i="14"/>
  <c r="W254" i="14"/>
  <c r="D254" i="14"/>
  <c r="N254" i="14"/>
  <c r="W256" i="14"/>
  <c r="D256" i="14"/>
  <c r="N256" i="14"/>
  <c r="W258" i="14"/>
  <c r="D258" i="14"/>
  <c r="N258" i="14"/>
  <c r="W99" i="14"/>
  <c r="W101" i="14"/>
  <c r="W105" i="14"/>
  <c r="W107" i="14"/>
  <c r="W108" i="14"/>
  <c r="W109" i="14"/>
  <c r="W110" i="14"/>
  <c r="W111" i="14"/>
  <c r="W112" i="14"/>
  <c r="W113" i="14"/>
  <c r="W114" i="14"/>
  <c r="W115" i="14"/>
  <c r="W116" i="14"/>
  <c r="W117" i="14"/>
  <c r="W118" i="14"/>
  <c r="W119" i="14"/>
  <c r="W120" i="14"/>
  <c r="W121" i="14"/>
  <c r="W122" i="14"/>
  <c r="W123" i="14"/>
  <c r="W124" i="14"/>
  <c r="W125" i="14"/>
  <c r="W126" i="14"/>
  <c r="W127" i="14"/>
  <c r="W128" i="14"/>
  <c r="W129" i="14"/>
  <c r="W130" i="14"/>
  <c r="W131" i="14"/>
  <c r="W132" i="14"/>
  <c r="W133" i="14"/>
  <c r="W134" i="14"/>
  <c r="W135" i="14"/>
  <c r="W136" i="14"/>
  <c r="W137" i="14"/>
  <c r="W138" i="14"/>
  <c r="W139" i="14"/>
  <c r="W140" i="14"/>
  <c r="W141" i="14"/>
  <c r="W142" i="14"/>
  <c r="W143" i="14"/>
  <c r="W144" i="14"/>
  <c r="W145" i="14"/>
  <c r="W146" i="14"/>
  <c r="W147" i="14"/>
  <c r="W148" i="14"/>
  <c r="W149" i="14"/>
  <c r="W150" i="14"/>
  <c r="W151" i="14"/>
  <c r="W152" i="14"/>
  <c r="W153" i="14"/>
  <c r="W154" i="14"/>
  <c r="W155" i="14"/>
  <c r="W156" i="14"/>
  <c r="W157" i="14"/>
  <c r="W158" i="14"/>
  <c r="W159" i="14"/>
  <c r="W160" i="14"/>
  <c r="W161" i="14"/>
  <c r="W162" i="14"/>
  <c r="W163" i="14"/>
  <c r="W164" i="14"/>
  <c r="W165" i="14"/>
  <c r="W166" i="14"/>
  <c r="W167" i="14"/>
  <c r="W168" i="14"/>
  <c r="W169" i="14"/>
  <c r="W170" i="14"/>
  <c r="W171" i="14"/>
  <c r="W172" i="14"/>
  <c r="W173" i="14"/>
  <c r="W174" i="14"/>
  <c r="W175" i="14"/>
  <c r="W176" i="14"/>
  <c r="W177" i="14"/>
  <c r="W178" i="14"/>
  <c r="W179" i="14"/>
  <c r="W180" i="14"/>
  <c r="W181" i="14"/>
  <c r="W182" i="14"/>
  <c r="W183" i="14"/>
  <c r="W184" i="14"/>
  <c r="W185" i="14"/>
  <c r="W186" i="14"/>
  <c r="W187" i="14"/>
  <c r="W188" i="14"/>
  <c r="W189" i="14"/>
  <c r="W190" i="14"/>
  <c r="W191" i="14"/>
  <c r="W192" i="14"/>
  <c r="W193" i="14"/>
  <c r="W194" i="14"/>
  <c r="W195" i="14"/>
  <c r="W196" i="14"/>
  <c r="W197" i="14"/>
  <c r="W198" i="14"/>
  <c r="W199" i="14"/>
  <c r="W200" i="14"/>
  <c r="W201" i="14"/>
  <c r="W202" i="14"/>
  <c r="W203" i="14"/>
  <c r="W204" i="14"/>
  <c r="W205" i="14"/>
  <c r="W206" i="14"/>
  <c r="W207" i="14"/>
  <c r="W208" i="14"/>
  <c r="W209" i="14"/>
  <c r="W210" i="14"/>
  <c r="W211" i="14"/>
  <c r="W212" i="14"/>
  <c r="W213" i="14"/>
  <c r="W214" i="14"/>
  <c r="W215" i="14"/>
  <c r="W216" i="14"/>
  <c r="W217" i="14"/>
  <c r="W218" i="14"/>
  <c r="W219" i="14"/>
  <c r="W220" i="14"/>
  <c r="W221" i="14"/>
  <c r="W222" i="14"/>
  <c r="W223" i="14"/>
  <c r="W224" i="14"/>
  <c r="W225" i="14"/>
  <c r="W226" i="14"/>
  <c r="W227" i="14"/>
  <c r="W228" i="14"/>
  <c r="W229" i="14"/>
  <c r="W230" i="14"/>
  <c r="W231" i="14"/>
  <c r="W232" i="14"/>
  <c r="W233" i="14"/>
  <c r="W234" i="14"/>
  <c r="W235" i="14"/>
  <c r="W236" i="14"/>
  <c r="W237" i="14"/>
  <c r="W238" i="14"/>
  <c r="W239" i="14"/>
  <c r="W240" i="14"/>
  <c r="W241" i="14"/>
  <c r="W242" i="14"/>
  <c r="W243" i="14"/>
  <c r="W244" i="14"/>
  <c r="W245" i="14"/>
  <c r="W246" i="14"/>
  <c r="W247" i="14"/>
  <c r="W248" i="14"/>
  <c r="W249" i="14"/>
  <c r="D260" i="14"/>
  <c r="N260" i="14"/>
  <c r="D262" i="14"/>
  <c r="N262" i="14"/>
  <c r="D264" i="14"/>
  <c r="N264" i="14"/>
  <c r="D266" i="14"/>
  <c r="N266" i="14"/>
  <c r="D268" i="14"/>
  <c r="N268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D380" i="14"/>
  <c r="N381" i="14"/>
  <c r="N383" i="14"/>
  <c r="N385" i="14"/>
  <c r="N387" i="14"/>
  <c r="N389" i="14"/>
  <c r="D390" i="14"/>
  <c r="T391" i="14"/>
  <c r="AB391" i="14" s="1"/>
  <c r="BC392" i="14"/>
  <c r="N393" i="14"/>
  <c r="D393" i="14"/>
  <c r="W270" i="14"/>
  <c r="W271" i="14"/>
  <c r="W272" i="14"/>
  <c r="W273" i="14"/>
  <c r="W274" i="14"/>
  <c r="W275" i="14"/>
  <c r="W276" i="14"/>
  <c r="W277" i="14"/>
  <c r="W278" i="14"/>
  <c r="W279" i="14"/>
  <c r="W280" i="14"/>
  <c r="W281" i="14"/>
  <c r="W282" i="14"/>
  <c r="W283" i="14"/>
  <c r="W284" i="14"/>
  <c r="W285" i="14"/>
  <c r="W286" i="14"/>
  <c r="W287" i="14"/>
  <c r="W288" i="14"/>
  <c r="W289" i="14"/>
  <c r="W290" i="14"/>
  <c r="W291" i="14"/>
  <c r="W292" i="14"/>
  <c r="W293" i="14"/>
  <c r="W294" i="14"/>
  <c r="W295" i="14"/>
  <c r="W297" i="14"/>
  <c r="W298" i="14"/>
  <c r="W299" i="14"/>
  <c r="W300" i="14"/>
  <c r="W301" i="14"/>
  <c r="W302" i="14"/>
  <c r="W303" i="14"/>
  <c r="W305" i="14"/>
  <c r="W306" i="14"/>
  <c r="W307" i="14"/>
  <c r="W308" i="14"/>
  <c r="W309" i="14"/>
  <c r="W310" i="14"/>
  <c r="W311" i="14"/>
  <c r="W312" i="14"/>
  <c r="W313" i="14"/>
  <c r="W314" i="14"/>
  <c r="W315" i="14"/>
  <c r="W316" i="14"/>
  <c r="W317" i="14"/>
  <c r="W318" i="14"/>
  <c r="W319" i="14"/>
  <c r="W321" i="14"/>
  <c r="W322" i="14"/>
  <c r="W323" i="14"/>
  <c r="W324" i="14"/>
  <c r="W325" i="14"/>
  <c r="W326" i="14"/>
  <c r="W327" i="14"/>
  <c r="W329" i="14"/>
  <c r="W330" i="14"/>
  <c r="W331" i="14"/>
  <c r="W332" i="14"/>
  <c r="W333" i="14"/>
  <c r="W334" i="14"/>
  <c r="W335" i="14"/>
  <c r="W336" i="14"/>
  <c r="W337" i="14"/>
  <c r="W338" i="14"/>
  <c r="W339" i="14"/>
  <c r="W340" i="14"/>
  <c r="W341" i="14"/>
  <c r="W342" i="14"/>
  <c r="W343" i="14"/>
  <c r="W344" i="14"/>
  <c r="W345" i="14"/>
  <c r="W346" i="14"/>
  <c r="W347" i="14"/>
  <c r="W348" i="14"/>
  <c r="W349" i="14"/>
  <c r="W350" i="14"/>
  <c r="W351" i="14"/>
  <c r="W352" i="14"/>
  <c r="W353" i="14"/>
  <c r="W354" i="14"/>
  <c r="W355" i="14"/>
  <c r="W356" i="14"/>
  <c r="W357" i="14"/>
  <c r="W358" i="14"/>
  <c r="W359" i="14"/>
  <c r="W361" i="14"/>
  <c r="W362" i="14"/>
  <c r="W363" i="14"/>
  <c r="W364" i="14"/>
  <c r="W365" i="14"/>
  <c r="W366" i="14"/>
  <c r="W367" i="14"/>
  <c r="W368" i="14"/>
  <c r="W369" i="14"/>
  <c r="W370" i="14"/>
  <c r="W371" i="14"/>
  <c r="W372" i="14"/>
  <c r="W373" i="14"/>
  <c r="W374" i="14"/>
  <c r="W375" i="14"/>
  <c r="W377" i="14"/>
  <c r="W378" i="14"/>
  <c r="BC380" i="14"/>
  <c r="X380" i="14"/>
  <c r="P381" i="14"/>
  <c r="X381" i="14" s="1"/>
  <c r="Y381" i="14"/>
  <c r="N382" i="14"/>
  <c r="D383" i="14"/>
  <c r="N384" i="14"/>
  <c r="D385" i="14"/>
  <c r="N386" i="14"/>
  <c r="D387" i="14"/>
  <c r="N388" i="14"/>
  <c r="D389" i="14"/>
  <c r="P390" i="14"/>
  <c r="X390" i="14" s="1"/>
  <c r="T390" i="14"/>
  <c r="AB390" i="14" s="1"/>
  <c r="N391" i="14"/>
  <c r="D391" i="14"/>
  <c r="P393" i="14"/>
  <c r="X393" i="14" s="1"/>
  <c r="T393" i="14"/>
  <c r="AB393" i="14" s="1"/>
  <c r="BC379" i="14"/>
  <c r="BC383" i="14"/>
  <c r="X383" i="14"/>
  <c r="BC385" i="14"/>
  <c r="X385" i="14"/>
  <c r="BC387" i="14"/>
  <c r="X387" i="14"/>
  <c r="BC389" i="14"/>
  <c r="N392" i="14"/>
  <c r="D392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3" i="14"/>
  <c r="Z413" i="14"/>
  <c r="N420" i="14"/>
  <c r="D420" i="14"/>
  <c r="X423" i="14"/>
  <c r="N424" i="14"/>
  <c r="D424" i="14"/>
  <c r="X427" i="14"/>
  <c r="N428" i="14"/>
  <c r="D428" i="14"/>
  <c r="X431" i="14"/>
  <c r="N432" i="14"/>
  <c r="D432" i="14"/>
  <c r="X435" i="14"/>
  <c r="N436" i="14"/>
  <c r="D436" i="14"/>
  <c r="X439" i="14"/>
  <c r="N440" i="14"/>
  <c r="D440" i="14"/>
  <c r="X443" i="14"/>
  <c r="N444" i="14"/>
  <c r="D444" i="14"/>
  <c r="X447" i="14"/>
  <c r="N448" i="14"/>
  <c r="D448" i="14"/>
  <c r="X451" i="14"/>
  <c r="N452" i="14"/>
  <c r="D452" i="14"/>
  <c r="X455" i="14"/>
  <c r="N456" i="14"/>
  <c r="D456" i="14"/>
  <c r="X459" i="14"/>
  <c r="N460" i="14"/>
  <c r="D460" i="14"/>
  <c r="X463" i="14"/>
  <c r="N464" i="14"/>
  <c r="D464" i="14"/>
  <c r="X467" i="14"/>
  <c r="N468" i="14"/>
  <c r="D468" i="14"/>
  <c r="N472" i="14"/>
  <c r="D472" i="14"/>
  <c r="N476" i="14"/>
  <c r="D476" i="14"/>
  <c r="N480" i="14"/>
  <c r="D480" i="14"/>
  <c r="N484" i="14"/>
  <c r="D484" i="14"/>
  <c r="AB500" i="14"/>
  <c r="M78" i="11"/>
  <c r="U13" i="11"/>
  <c r="Q31" i="11"/>
  <c r="O39" i="11"/>
  <c r="K39" i="11"/>
  <c r="G39" i="11"/>
  <c r="U39" i="11"/>
  <c r="P39" i="11"/>
  <c r="I39" i="11"/>
  <c r="D39" i="11"/>
  <c r="F38" i="69" s="1"/>
  <c r="R39" i="11"/>
  <c r="Q39" i="11"/>
  <c r="P411" i="14"/>
  <c r="X411" i="14" s="1"/>
  <c r="Y411" i="14"/>
  <c r="D412" i="14"/>
  <c r="Q412" i="14"/>
  <c r="Y412" i="14" s="1"/>
  <c r="Z412" i="14"/>
  <c r="N413" i="14"/>
  <c r="BC415" i="14"/>
  <c r="BC417" i="14"/>
  <c r="BC419" i="14"/>
  <c r="N421" i="14"/>
  <c r="D421" i="14"/>
  <c r="T423" i="14"/>
  <c r="BC423" i="14" s="1"/>
  <c r="N425" i="14"/>
  <c r="D425" i="14"/>
  <c r="T427" i="14"/>
  <c r="AB427" i="14" s="1"/>
  <c r="N429" i="14"/>
  <c r="D429" i="14"/>
  <c r="T431" i="14"/>
  <c r="BC431" i="14" s="1"/>
  <c r="N433" i="14"/>
  <c r="D433" i="14"/>
  <c r="T435" i="14"/>
  <c r="AB435" i="14" s="1"/>
  <c r="N437" i="14"/>
  <c r="D437" i="14"/>
  <c r="T439" i="14"/>
  <c r="BC439" i="14" s="1"/>
  <c r="N441" i="14"/>
  <c r="D441" i="14"/>
  <c r="T443" i="14"/>
  <c r="BC443" i="14" s="1"/>
  <c r="N445" i="14"/>
  <c r="D445" i="14"/>
  <c r="T447" i="14"/>
  <c r="BC447" i="14" s="1"/>
  <c r="N449" i="14"/>
  <c r="D449" i="14"/>
  <c r="T451" i="14"/>
  <c r="BC451" i="14" s="1"/>
  <c r="N453" i="14"/>
  <c r="D453" i="14"/>
  <c r="T455" i="14"/>
  <c r="BC455" i="14" s="1"/>
  <c r="N457" i="14"/>
  <c r="D457" i="14"/>
  <c r="T459" i="14"/>
  <c r="BC459" i="14" s="1"/>
  <c r="N461" i="14"/>
  <c r="D461" i="14"/>
  <c r="T463" i="14"/>
  <c r="BC463" i="14" s="1"/>
  <c r="N465" i="14"/>
  <c r="D465" i="14"/>
  <c r="T467" i="14"/>
  <c r="BC467" i="14" s="1"/>
  <c r="N469" i="14"/>
  <c r="D469" i="14"/>
  <c r="T471" i="14"/>
  <c r="AB471" i="14" s="1"/>
  <c r="N473" i="14"/>
  <c r="D473" i="14"/>
  <c r="T475" i="14"/>
  <c r="AB475" i="14" s="1"/>
  <c r="N477" i="14"/>
  <c r="D477" i="14"/>
  <c r="T479" i="14"/>
  <c r="BC479" i="14" s="1"/>
  <c r="N481" i="14"/>
  <c r="D481" i="14"/>
  <c r="T483" i="14"/>
  <c r="BC483" i="14" s="1"/>
  <c r="N485" i="14"/>
  <c r="D485" i="14"/>
  <c r="P487" i="14"/>
  <c r="X487" i="14" s="1"/>
  <c r="T487" i="14"/>
  <c r="AB487" i="14" s="1"/>
  <c r="P491" i="14"/>
  <c r="X491" i="14" s="1"/>
  <c r="T491" i="14"/>
  <c r="AB491" i="14" s="1"/>
  <c r="P495" i="14"/>
  <c r="X495" i="14" s="1"/>
  <c r="T495" i="14"/>
  <c r="AB495" i="14" s="1"/>
  <c r="AB498" i="14"/>
  <c r="Q15" i="11"/>
  <c r="O23" i="11"/>
  <c r="K23" i="11"/>
  <c r="G23" i="11"/>
  <c r="U23" i="11"/>
  <c r="P23" i="11"/>
  <c r="I23" i="11"/>
  <c r="D23" i="11"/>
  <c r="F22" i="69" s="1"/>
  <c r="R23" i="11"/>
  <c r="Q23" i="11"/>
  <c r="U61" i="11"/>
  <c r="W379" i="14"/>
  <c r="W380" i="14"/>
  <c r="W381" i="14"/>
  <c r="W382" i="14"/>
  <c r="W383" i="14"/>
  <c r="W384" i="14"/>
  <c r="W385" i="14"/>
  <c r="W386" i="14"/>
  <c r="W387" i="14"/>
  <c r="W388" i="14"/>
  <c r="W389" i="14"/>
  <c r="W390" i="14"/>
  <c r="W391" i="14"/>
  <c r="W392" i="14"/>
  <c r="W393" i="14"/>
  <c r="W394" i="14"/>
  <c r="W395" i="14"/>
  <c r="W396" i="14"/>
  <c r="W397" i="14"/>
  <c r="W398" i="14"/>
  <c r="W399" i="14"/>
  <c r="W400" i="14"/>
  <c r="W401" i="14"/>
  <c r="W402" i="14"/>
  <c r="W403" i="14"/>
  <c r="W404" i="14"/>
  <c r="W405" i="14"/>
  <c r="W406" i="14"/>
  <c r="W407" i="14"/>
  <c r="W408" i="14"/>
  <c r="W409" i="14"/>
  <c r="W410" i="14"/>
  <c r="BC413" i="14"/>
  <c r="N414" i="14"/>
  <c r="D415" i="14"/>
  <c r="N416" i="14"/>
  <c r="D417" i="14"/>
  <c r="N418" i="14"/>
  <c r="D419" i="14"/>
  <c r="P420" i="14"/>
  <c r="T420" i="14"/>
  <c r="AB420" i="14" s="1"/>
  <c r="BC421" i="14"/>
  <c r="X421" i="14"/>
  <c r="N422" i="14"/>
  <c r="D422" i="14"/>
  <c r="P424" i="14"/>
  <c r="X424" i="14" s="1"/>
  <c r="T424" i="14"/>
  <c r="BC425" i="14"/>
  <c r="X425" i="14"/>
  <c r="N426" i="14"/>
  <c r="D426" i="14"/>
  <c r="P428" i="14"/>
  <c r="T428" i="14"/>
  <c r="AB428" i="14" s="1"/>
  <c r="BC429" i="14"/>
  <c r="X429" i="14"/>
  <c r="N430" i="14"/>
  <c r="D430" i="14"/>
  <c r="P432" i="14"/>
  <c r="X432" i="14" s="1"/>
  <c r="T432" i="14"/>
  <c r="AB432" i="14" s="1"/>
  <c r="BC433" i="14"/>
  <c r="X433" i="14"/>
  <c r="N434" i="14"/>
  <c r="D434" i="14"/>
  <c r="P436" i="14"/>
  <c r="T436" i="14"/>
  <c r="AB436" i="14" s="1"/>
  <c r="BC437" i="14"/>
  <c r="X437" i="14"/>
  <c r="N438" i="14"/>
  <c r="D438" i="14"/>
  <c r="P440" i="14"/>
  <c r="X440" i="14" s="1"/>
  <c r="T440" i="14"/>
  <c r="AB440" i="14" s="1"/>
  <c r="BC441" i="14"/>
  <c r="X441" i="14"/>
  <c r="N442" i="14"/>
  <c r="D442" i="14"/>
  <c r="P444" i="14"/>
  <c r="T444" i="14"/>
  <c r="AB444" i="14" s="1"/>
  <c r="BC445" i="14"/>
  <c r="X445" i="14"/>
  <c r="N446" i="14"/>
  <c r="D446" i="14"/>
  <c r="P448" i="14"/>
  <c r="X448" i="14" s="1"/>
  <c r="T448" i="14"/>
  <c r="AB448" i="14" s="1"/>
  <c r="BC449" i="14"/>
  <c r="X449" i="14"/>
  <c r="N450" i="14"/>
  <c r="D450" i="14"/>
  <c r="P452" i="14"/>
  <c r="T452" i="14"/>
  <c r="AB452" i="14" s="1"/>
  <c r="BC453" i="14"/>
  <c r="X453" i="14"/>
  <c r="N454" i="14"/>
  <c r="D454" i="14"/>
  <c r="P456" i="14"/>
  <c r="X456" i="14" s="1"/>
  <c r="T456" i="14"/>
  <c r="AB456" i="14" s="1"/>
  <c r="BC457" i="14"/>
  <c r="X457" i="14"/>
  <c r="N458" i="14"/>
  <c r="D458" i="14"/>
  <c r="P460" i="14"/>
  <c r="T460" i="14"/>
  <c r="AB460" i="14" s="1"/>
  <c r="BC461" i="14"/>
  <c r="X461" i="14"/>
  <c r="N462" i="14"/>
  <c r="D462" i="14"/>
  <c r="P464" i="14"/>
  <c r="X464" i="14" s="1"/>
  <c r="T464" i="14"/>
  <c r="AB464" i="14" s="1"/>
  <c r="BC465" i="14"/>
  <c r="X465" i="14"/>
  <c r="N466" i="14"/>
  <c r="D466" i="14"/>
  <c r="P468" i="14"/>
  <c r="T468" i="14"/>
  <c r="AB468" i="14" s="1"/>
  <c r="BC469" i="14"/>
  <c r="X469" i="14"/>
  <c r="N470" i="14"/>
  <c r="D470" i="14"/>
  <c r="P472" i="14"/>
  <c r="X472" i="14" s="1"/>
  <c r="T472" i="14"/>
  <c r="AB472" i="14" s="1"/>
  <c r="BC473" i="14"/>
  <c r="X473" i="14"/>
  <c r="N474" i="14"/>
  <c r="D474" i="14"/>
  <c r="P476" i="14"/>
  <c r="X476" i="14" s="1"/>
  <c r="T476" i="14"/>
  <c r="AB476" i="14" s="1"/>
  <c r="BC477" i="14"/>
  <c r="X477" i="14"/>
  <c r="N478" i="14"/>
  <c r="D478" i="14"/>
  <c r="P480" i="14"/>
  <c r="T480" i="14"/>
  <c r="AB480" i="14" s="1"/>
  <c r="BC481" i="14"/>
  <c r="X481" i="14"/>
  <c r="N482" i="14"/>
  <c r="D482" i="14"/>
  <c r="P484" i="14"/>
  <c r="T484" i="14"/>
  <c r="AB484" i="14" s="1"/>
  <c r="BC485" i="14"/>
  <c r="X485" i="14"/>
  <c r="D487" i="14"/>
  <c r="P488" i="14"/>
  <c r="X488" i="14" s="1"/>
  <c r="T488" i="14"/>
  <c r="AB488" i="14" s="1"/>
  <c r="BC489" i="14"/>
  <c r="X489" i="14"/>
  <c r="D491" i="14"/>
  <c r="P492" i="14"/>
  <c r="X492" i="14" s="1"/>
  <c r="T492" i="14"/>
  <c r="AB492" i="14" s="1"/>
  <c r="BC493" i="14"/>
  <c r="X493" i="14"/>
  <c r="D495" i="14"/>
  <c r="P496" i="14"/>
  <c r="X496" i="14" s="1"/>
  <c r="T496" i="14"/>
  <c r="AB496" i="14" s="1"/>
  <c r="BC500" i="14"/>
  <c r="O7" i="11"/>
  <c r="K7" i="11"/>
  <c r="G7" i="11"/>
  <c r="U7" i="11"/>
  <c r="P7" i="11"/>
  <c r="I7" i="11"/>
  <c r="D7" i="11"/>
  <c r="F6" i="69" s="1"/>
  <c r="R7" i="11"/>
  <c r="Q7" i="11"/>
  <c r="U45" i="11"/>
  <c r="Q63" i="11"/>
  <c r="N423" i="14"/>
  <c r="D423" i="14"/>
  <c r="N427" i="14"/>
  <c r="D427" i="14"/>
  <c r="N431" i="14"/>
  <c r="D431" i="14"/>
  <c r="N435" i="14"/>
  <c r="D435" i="14"/>
  <c r="N439" i="14"/>
  <c r="D439" i="14"/>
  <c r="N443" i="14"/>
  <c r="D443" i="14"/>
  <c r="N447" i="14"/>
  <c r="D447" i="14"/>
  <c r="N451" i="14"/>
  <c r="D451" i="14"/>
  <c r="N455" i="14"/>
  <c r="D455" i="14"/>
  <c r="N459" i="14"/>
  <c r="D459" i="14"/>
  <c r="N463" i="14"/>
  <c r="D463" i="14"/>
  <c r="N467" i="14"/>
  <c r="D467" i="14"/>
  <c r="N471" i="14"/>
  <c r="D471" i="14"/>
  <c r="BC474" i="14"/>
  <c r="N475" i="14"/>
  <c r="D475" i="14"/>
  <c r="BC478" i="14"/>
  <c r="N479" i="14"/>
  <c r="D479" i="14"/>
  <c r="BC482" i="14"/>
  <c r="N483" i="14"/>
  <c r="D483" i="14"/>
  <c r="BC486" i="14"/>
  <c r="D488" i="14"/>
  <c r="BC490" i="14"/>
  <c r="D492" i="14"/>
  <c r="BC494" i="14"/>
  <c r="D496" i="14"/>
  <c r="BC498" i="14"/>
  <c r="M29" i="11"/>
  <c r="M28" i="11"/>
  <c r="M25" i="11"/>
  <c r="M23" i="11"/>
  <c r="M19" i="11"/>
  <c r="M15" i="11"/>
  <c r="M4" i="11"/>
  <c r="M11" i="11"/>
  <c r="M9" i="11"/>
  <c r="M5" i="11"/>
  <c r="Q47" i="11"/>
  <c r="O55" i="11"/>
  <c r="K55" i="11"/>
  <c r="G55" i="11"/>
  <c r="U55" i="11"/>
  <c r="P55" i="11"/>
  <c r="I55" i="11"/>
  <c r="D55" i="11"/>
  <c r="R55" i="11"/>
  <c r="Q55" i="11"/>
  <c r="Q79" i="11"/>
  <c r="Q95" i="11"/>
  <c r="O71" i="11"/>
  <c r="K71" i="11"/>
  <c r="G71" i="11"/>
  <c r="U71" i="11"/>
  <c r="P71" i="11"/>
  <c r="I71" i="11"/>
  <c r="D71" i="11"/>
  <c r="F70" i="69" s="1"/>
  <c r="R71" i="11"/>
  <c r="U77" i="11"/>
  <c r="O87" i="11"/>
  <c r="K87" i="11"/>
  <c r="G87" i="11"/>
  <c r="U87" i="11"/>
  <c r="P87" i="11"/>
  <c r="I87" i="11"/>
  <c r="D87" i="11"/>
  <c r="F86" i="69" s="1"/>
  <c r="R87" i="11"/>
  <c r="U93" i="11"/>
  <c r="G103" i="11"/>
  <c r="U103" i="11"/>
  <c r="P103" i="11"/>
  <c r="D103" i="11"/>
  <c r="F102" i="69" s="1"/>
  <c r="R103" i="11"/>
  <c r="M103" i="11"/>
  <c r="O119" i="11"/>
  <c r="K119" i="11"/>
  <c r="G119" i="11"/>
  <c r="U119" i="11"/>
  <c r="P119" i="11"/>
  <c r="J119" i="11"/>
  <c r="N119" i="11"/>
  <c r="I119" i="11"/>
  <c r="D119" i="11"/>
  <c r="F118" i="69" s="1"/>
  <c r="R119" i="11"/>
  <c r="M119" i="11"/>
  <c r="O135" i="11"/>
  <c r="K135" i="11"/>
  <c r="G135" i="11"/>
  <c r="U135" i="11"/>
  <c r="P135" i="11"/>
  <c r="J135" i="11"/>
  <c r="N135" i="11"/>
  <c r="I135" i="11"/>
  <c r="D135" i="11"/>
  <c r="F134" i="69" s="1"/>
  <c r="R135" i="11"/>
  <c r="M135" i="11"/>
  <c r="O151" i="11"/>
  <c r="K151" i="11"/>
  <c r="G151" i="11"/>
  <c r="U151" i="11"/>
  <c r="P151" i="11"/>
  <c r="J151" i="11"/>
  <c r="N151" i="11"/>
  <c r="I151" i="11"/>
  <c r="D151" i="11"/>
  <c r="F150" i="69" s="1"/>
  <c r="R151" i="11"/>
  <c r="M151" i="11"/>
  <c r="O167" i="11"/>
  <c r="K167" i="11"/>
  <c r="G167" i="11"/>
  <c r="U167" i="11"/>
  <c r="P167" i="11"/>
  <c r="J167" i="11"/>
  <c r="N167" i="11"/>
  <c r="I167" i="11"/>
  <c r="D167" i="11"/>
  <c r="F166" i="69" s="1"/>
  <c r="R167" i="11"/>
  <c r="M167" i="11"/>
  <c r="O183" i="11"/>
  <c r="K183" i="11"/>
  <c r="G183" i="11"/>
  <c r="U183" i="11"/>
  <c r="P183" i="11"/>
  <c r="J183" i="11"/>
  <c r="N183" i="11"/>
  <c r="I183" i="11"/>
  <c r="D183" i="11"/>
  <c r="F182" i="69" s="1"/>
  <c r="R183" i="11"/>
  <c r="M183" i="11"/>
  <c r="H183" i="11"/>
  <c r="O199" i="11"/>
  <c r="K199" i="11"/>
  <c r="G199" i="11"/>
  <c r="U199" i="11"/>
  <c r="P199" i="11"/>
  <c r="J199" i="11"/>
  <c r="N199" i="11"/>
  <c r="I199" i="11"/>
  <c r="D199" i="11"/>
  <c r="F198" i="69" s="1"/>
  <c r="R199" i="11"/>
  <c r="M199" i="11"/>
  <c r="H199" i="11"/>
  <c r="O215" i="11"/>
  <c r="K215" i="11"/>
  <c r="G215" i="11"/>
  <c r="U215" i="11"/>
  <c r="P215" i="11"/>
  <c r="J215" i="11"/>
  <c r="N215" i="11"/>
  <c r="I215" i="11"/>
  <c r="D215" i="11"/>
  <c r="F214" i="69" s="1"/>
  <c r="R215" i="11"/>
  <c r="M215" i="11"/>
  <c r="H215" i="11"/>
  <c r="O231" i="11"/>
  <c r="K231" i="11"/>
  <c r="G231" i="11"/>
  <c r="U231" i="11"/>
  <c r="P231" i="11"/>
  <c r="J231" i="11"/>
  <c r="N231" i="11"/>
  <c r="I231" i="11"/>
  <c r="D231" i="11"/>
  <c r="F230" i="69" s="1"/>
  <c r="R231" i="11"/>
  <c r="M231" i="11"/>
  <c r="W497" i="14"/>
  <c r="N497" i="14"/>
  <c r="W499" i="14"/>
  <c r="N499" i="14"/>
  <c r="D499" i="14"/>
  <c r="K102" i="11"/>
  <c r="O102" i="11"/>
  <c r="O11" i="11"/>
  <c r="K11" i="11"/>
  <c r="G11" i="11"/>
  <c r="U11" i="11"/>
  <c r="P11" i="11"/>
  <c r="I11" i="11"/>
  <c r="D11" i="11"/>
  <c r="F10" i="69" s="1"/>
  <c r="R11" i="11"/>
  <c r="U17" i="11"/>
  <c r="O27" i="11"/>
  <c r="K27" i="11"/>
  <c r="G27" i="11"/>
  <c r="U27" i="11"/>
  <c r="P27" i="11"/>
  <c r="D27" i="11"/>
  <c r="F26" i="69" s="1"/>
  <c r="R27" i="11"/>
  <c r="U33" i="11"/>
  <c r="O43" i="11"/>
  <c r="K43" i="11"/>
  <c r="G43" i="11"/>
  <c r="U43" i="11"/>
  <c r="P43" i="11"/>
  <c r="I43" i="11"/>
  <c r="D43" i="11"/>
  <c r="F42" i="69" s="1"/>
  <c r="R43" i="11"/>
  <c r="U49" i="11"/>
  <c r="O59" i="11"/>
  <c r="K59" i="11"/>
  <c r="G59" i="11"/>
  <c r="U59" i="11"/>
  <c r="P59" i="11"/>
  <c r="I59" i="11"/>
  <c r="D59" i="11"/>
  <c r="F58" i="69" s="1"/>
  <c r="R59" i="11"/>
  <c r="U65" i="11"/>
  <c r="O75" i="11"/>
  <c r="K75" i="11"/>
  <c r="G75" i="11"/>
  <c r="U75" i="11"/>
  <c r="P75" i="11"/>
  <c r="I75" i="11"/>
  <c r="D75" i="11"/>
  <c r="F74" i="69" s="1"/>
  <c r="R75" i="11"/>
  <c r="U81" i="11"/>
  <c r="O91" i="11"/>
  <c r="K91" i="11"/>
  <c r="G91" i="11"/>
  <c r="U91" i="11"/>
  <c r="P91" i="11"/>
  <c r="I91" i="11"/>
  <c r="D91" i="11"/>
  <c r="F90" i="69" s="1"/>
  <c r="R91" i="11"/>
  <c r="U97" i="11"/>
  <c r="O115" i="11"/>
  <c r="K115" i="11"/>
  <c r="G115" i="11"/>
  <c r="U115" i="11"/>
  <c r="P115" i="11"/>
  <c r="J115" i="11"/>
  <c r="N115" i="11"/>
  <c r="I115" i="11"/>
  <c r="D115" i="11"/>
  <c r="F114" i="69" s="1"/>
  <c r="R115" i="11"/>
  <c r="M115" i="11"/>
  <c r="O131" i="11"/>
  <c r="K131" i="11"/>
  <c r="G131" i="11"/>
  <c r="U131" i="11"/>
  <c r="P131" i="11"/>
  <c r="J131" i="11"/>
  <c r="N131" i="11"/>
  <c r="I131" i="11"/>
  <c r="D131" i="11"/>
  <c r="F130" i="69" s="1"/>
  <c r="R131" i="11"/>
  <c r="M131" i="11"/>
  <c r="O147" i="11"/>
  <c r="K147" i="11"/>
  <c r="G147" i="11"/>
  <c r="U147" i="11"/>
  <c r="P147" i="11"/>
  <c r="J147" i="11"/>
  <c r="N147" i="11"/>
  <c r="I147" i="11"/>
  <c r="D147" i="11"/>
  <c r="F146" i="69" s="1"/>
  <c r="R147" i="11"/>
  <c r="M147" i="11"/>
  <c r="O163" i="11"/>
  <c r="K163" i="11"/>
  <c r="G163" i="11"/>
  <c r="U163" i="11"/>
  <c r="P163" i="11"/>
  <c r="J163" i="11"/>
  <c r="N163" i="11"/>
  <c r="I163" i="11"/>
  <c r="D163" i="11"/>
  <c r="F162" i="69" s="1"/>
  <c r="R163" i="11"/>
  <c r="M163" i="11"/>
  <c r="O179" i="11"/>
  <c r="K179" i="11"/>
  <c r="G179" i="11"/>
  <c r="U179" i="11"/>
  <c r="P179" i="11"/>
  <c r="J179" i="11"/>
  <c r="N179" i="11"/>
  <c r="I179" i="11"/>
  <c r="D179" i="11"/>
  <c r="F178" i="69" s="1"/>
  <c r="R179" i="11"/>
  <c r="M179" i="11"/>
  <c r="H179" i="11"/>
  <c r="O195" i="11"/>
  <c r="K195" i="11"/>
  <c r="G195" i="11"/>
  <c r="U195" i="11"/>
  <c r="P195" i="11"/>
  <c r="J195" i="11"/>
  <c r="N195" i="11"/>
  <c r="I195" i="11"/>
  <c r="D195" i="11"/>
  <c r="F194" i="69" s="1"/>
  <c r="R195" i="11"/>
  <c r="M195" i="11"/>
  <c r="O211" i="11"/>
  <c r="K211" i="11"/>
  <c r="G211" i="11"/>
  <c r="U211" i="11"/>
  <c r="P211" i="11"/>
  <c r="J211" i="11"/>
  <c r="N211" i="11"/>
  <c r="I211" i="11"/>
  <c r="D211" i="11"/>
  <c r="F210" i="69" s="1"/>
  <c r="R211" i="11"/>
  <c r="M211" i="11"/>
  <c r="H211" i="11"/>
  <c r="O227" i="11"/>
  <c r="K227" i="11"/>
  <c r="G227" i="11"/>
  <c r="U227" i="11"/>
  <c r="P227" i="11"/>
  <c r="J227" i="11"/>
  <c r="N227" i="11"/>
  <c r="I227" i="11"/>
  <c r="D227" i="11"/>
  <c r="F226" i="69" s="1"/>
  <c r="R227" i="11"/>
  <c r="M227" i="11"/>
  <c r="P303" i="11"/>
  <c r="L303" i="11"/>
  <c r="H303" i="11"/>
  <c r="O303" i="11"/>
  <c r="K303" i="11"/>
  <c r="Q303" i="11"/>
  <c r="I303" i="11"/>
  <c r="N303" i="11"/>
  <c r="U303" i="11"/>
  <c r="M303" i="11"/>
  <c r="D303" i="11"/>
  <c r="F302" i="69" s="1"/>
  <c r="U314" i="11"/>
  <c r="Q314" i="11"/>
  <c r="M314" i="11"/>
  <c r="I314" i="11"/>
  <c r="D314" i="11"/>
  <c r="F313" i="69" s="1"/>
  <c r="P314" i="11"/>
  <c r="L314" i="11"/>
  <c r="H314" i="11"/>
  <c r="O314" i="11"/>
  <c r="N314" i="11"/>
  <c r="K314" i="11"/>
  <c r="U477" i="11"/>
  <c r="Q477" i="11"/>
  <c r="M477" i="11"/>
  <c r="I477" i="11"/>
  <c r="D477" i="11"/>
  <c r="F476" i="69" s="1"/>
  <c r="P477" i="11"/>
  <c r="L477" i="11"/>
  <c r="H477" i="11"/>
  <c r="O477" i="11"/>
  <c r="N477" i="11"/>
  <c r="K477" i="11"/>
  <c r="R477" i="11"/>
  <c r="J477" i="11"/>
  <c r="M38" i="11"/>
  <c r="M35" i="11"/>
  <c r="M39" i="11"/>
  <c r="M41" i="11"/>
  <c r="M43" i="11"/>
  <c r="M48" i="11"/>
  <c r="M49" i="11"/>
  <c r="M56" i="11"/>
  <c r="M57" i="11"/>
  <c r="M63" i="11"/>
  <c r="M67" i="11"/>
  <c r="M69" i="11"/>
  <c r="M73" i="11"/>
  <c r="M75" i="11"/>
  <c r="M77" i="11"/>
  <c r="M79" i="11"/>
  <c r="M81" i="11"/>
  <c r="M88" i="11"/>
  <c r="M96" i="11"/>
  <c r="M98" i="11"/>
  <c r="U5" i="11"/>
  <c r="O15" i="11"/>
  <c r="G15" i="11"/>
  <c r="U15" i="11"/>
  <c r="P15" i="11"/>
  <c r="D15" i="11"/>
  <c r="F14" i="69" s="1"/>
  <c r="R15" i="11"/>
  <c r="U21" i="11"/>
  <c r="O31" i="11"/>
  <c r="K31" i="11"/>
  <c r="G31" i="11"/>
  <c r="U31" i="11"/>
  <c r="P31" i="11"/>
  <c r="I31" i="11"/>
  <c r="D31" i="11"/>
  <c r="F30" i="69" s="1"/>
  <c r="R31" i="11"/>
  <c r="U37" i="11"/>
  <c r="O47" i="11"/>
  <c r="K47" i="11"/>
  <c r="G47" i="11"/>
  <c r="U47" i="11"/>
  <c r="P47" i="11"/>
  <c r="I47" i="11"/>
  <c r="D47" i="11"/>
  <c r="F46" i="69" s="1"/>
  <c r="R47" i="11"/>
  <c r="U53" i="11"/>
  <c r="O63" i="11"/>
  <c r="K63" i="11"/>
  <c r="G63" i="11"/>
  <c r="U63" i="11"/>
  <c r="P63" i="11"/>
  <c r="I63" i="11"/>
  <c r="D63" i="11"/>
  <c r="F62" i="69" s="1"/>
  <c r="R63" i="11"/>
  <c r="U69" i="11"/>
  <c r="O79" i="11"/>
  <c r="K79" i="11"/>
  <c r="G79" i="11"/>
  <c r="U79" i="11"/>
  <c r="P79" i="11"/>
  <c r="I79" i="11"/>
  <c r="D79" i="11"/>
  <c r="F78" i="69" s="1"/>
  <c r="R79" i="11"/>
  <c r="U85" i="11"/>
  <c r="O95" i="11"/>
  <c r="K95" i="11"/>
  <c r="G95" i="11"/>
  <c r="U95" i="11"/>
  <c r="P95" i="11"/>
  <c r="I95" i="11"/>
  <c r="D95" i="11"/>
  <c r="F94" i="69" s="1"/>
  <c r="R95" i="11"/>
  <c r="U101" i="11"/>
  <c r="O111" i="11"/>
  <c r="K111" i="11"/>
  <c r="G111" i="11"/>
  <c r="U111" i="11"/>
  <c r="P111" i="11"/>
  <c r="J111" i="11"/>
  <c r="N111" i="11"/>
  <c r="I111" i="11"/>
  <c r="D111" i="11"/>
  <c r="F110" i="69" s="1"/>
  <c r="R111" i="11"/>
  <c r="M111" i="11"/>
  <c r="L119" i="11"/>
  <c r="O127" i="11"/>
  <c r="K127" i="11"/>
  <c r="G127" i="11"/>
  <c r="U127" i="11"/>
  <c r="P127" i="11"/>
  <c r="J127" i="11"/>
  <c r="N127" i="11"/>
  <c r="I127" i="11"/>
  <c r="D127" i="11"/>
  <c r="F126" i="69" s="1"/>
  <c r="R127" i="11"/>
  <c r="M127" i="11"/>
  <c r="L135" i="11"/>
  <c r="O143" i="11"/>
  <c r="K143" i="11"/>
  <c r="G143" i="11"/>
  <c r="U143" i="11"/>
  <c r="P143" i="11"/>
  <c r="J143" i="11"/>
  <c r="N143" i="11"/>
  <c r="I143" i="11"/>
  <c r="D143" i="11"/>
  <c r="F142" i="69" s="1"/>
  <c r="R143" i="11"/>
  <c r="M143" i="11"/>
  <c r="L151" i="11"/>
  <c r="O159" i="11"/>
  <c r="K159" i="11"/>
  <c r="G159" i="11"/>
  <c r="U159" i="11"/>
  <c r="P159" i="11"/>
  <c r="J159" i="11"/>
  <c r="N159" i="11"/>
  <c r="I159" i="11"/>
  <c r="D159" i="11"/>
  <c r="F158" i="69" s="1"/>
  <c r="R159" i="11"/>
  <c r="M159" i="11"/>
  <c r="L167" i="11"/>
  <c r="O175" i="11"/>
  <c r="K175" i="11"/>
  <c r="G175" i="11"/>
  <c r="U175" i="11"/>
  <c r="P175" i="11"/>
  <c r="J175" i="11"/>
  <c r="N175" i="11"/>
  <c r="I175" i="11"/>
  <c r="D175" i="11"/>
  <c r="F174" i="69" s="1"/>
  <c r="R175" i="11"/>
  <c r="M175" i="11"/>
  <c r="L183" i="11"/>
  <c r="O191" i="11"/>
  <c r="K191" i="11"/>
  <c r="G191" i="11"/>
  <c r="U191" i="11"/>
  <c r="P191" i="11"/>
  <c r="J191" i="11"/>
  <c r="N191" i="11"/>
  <c r="I191" i="11"/>
  <c r="D191" i="11"/>
  <c r="F190" i="69" s="1"/>
  <c r="R191" i="11"/>
  <c r="M191" i="11"/>
  <c r="H191" i="11"/>
  <c r="L199" i="11"/>
  <c r="O207" i="11"/>
  <c r="K207" i="11"/>
  <c r="G207" i="11"/>
  <c r="U207" i="11"/>
  <c r="P207" i="11"/>
  <c r="J207" i="11"/>
  <c r="N207" i="11"/>
  <c r="I207" i="11"/>
  <c r="D207" i="11"/>
  <c r="F206" i="69" s="1"/>
  <c r="R207" i="11"/>
  <c r="M207" i="11"/>
  <c r="H207" i="11"/>
  <c r="L215" i="11"/>
  <c r="O223" i="11"/>
  <c r="K223" i="11"/>
  <c r="G223" i="11"/>
  <c r="U223" i="11"/>
  <c r="P223" i="11"/>
  <c r="J223" i="11"/>
  <c r="N223" i="11"/>
  <c r="I223" i="11"/>
  <c r="D223" i="11"/>
  <c r="F222" i="69" s="1"/>
  <c r="R223" i="11"/>
  <c r="M223" i="11"/>
  <c r="L231" i="11"/>
  <c r="U342" i="11"/>
  <c r="Q342" i="11"/>
  <c r="M342" i="11"/>
  <c r="I342" i="11"/>
  <c r="D342" i="11"/>
  <c r="F341" i="69" s="1"/>
  <c r="P342" i="11"/>
  <c r="L342" i="11"/>
  <c r="H342" i="11"/>
  <c r="O342" i="11"/>
  <c r="K342" i="11"/>
  <c r="N342" i="11"/>
  <c r="J342" i="11"/>
  <c r="U358" i="11"/>
  <c r="Q358" i="11"/>
  <c r="M358" i="11"/>
  <c r="I358" i="11"/>
  <c r="D358" i="11"/>
  <c r="F357" i="69" s="1"/>
  <c r="P358" i="11"/>
  <c r="L358" i="11"/>
  <c r="H358" i="11"/>
  <c r="O358" i="11"/>
  <c r="K358" i="11"/>
  <c r="N358" i="11"/>
  <c r="J358" i="11"/>
  <c r="U374" i="11"/>
  <c r="Q374" i="11"/>
  <c r="M374" i="11"/>
  <c r="I374" i="11"/>
  <c r="D374" i="11"/>
  <c r="F373" i="69" s="1"/>
  <c r="P374" i="11"/>
  <c r="L374" i="11"/>
  <c r="H374" i="11"/>
  <c r="O374" i="11"/>
  <c r="K374" i="11"/>
  <c r="N374" i="11"/>
  <c r="J374" i="11"/>
  <c r="W412" i="14"/>
  <c r="W413" i="14"/>
  <c r="W414" i="14"/>
  <c r="W415" i="14"/>
  <c r="W416" i="14"/>
  <c r="W417" i="14"/>
  <c r="W418" i="14"/>
  <c r="W419" i="14"/>
  <c r="W420" i="14"/>
  <c r="W421" i="14"/>
  <c r="W422" i="14"/>
  <c r="W423" i="14"/>
  <c r="W424" i="14"/>
  <c r="W425" i="14"/>
  <c r="W426" i="14"/>
  <c r="W427" i="14"/>
  <c r="W428" i="14"/>
  <c r="W429" i="14"/>
  <c r="W430" i="14"/>
  <c r="W431" i="14"/>
  <c r="W432" i="14"/>
  <c r="W433" i="14"/>
  <c r="W434" i="14"/>
  <c r="W435" i="14"/>
  <c r="W436" i="14"/>
  <c r="W437" i="14"/>
  <c r="W438" i="14"/>
  <c r="W439" i="14"/>
  <c r="W440" i="14"/>
  <c r="W441" i="14"/>
  <c r="W442" i="14"/>
  <c r="W443" i="14"/>
  <c r="W444" i="14"/>
  <c r="W445" i="14"/>
  <c r="W446" i="14"/>
  <c r="W447" i="14"/>
  <c r="W448" i="14"/>
  <c r="W449" i="14"/>
  <c r="W450" i="14"/>
  <c r="W451" i="14"/>
  <c r="W452" i="14"/>
  <c r="W453" i="14"/>
  <c r="W454" i="14"/>
  <c r="W455" i="14"/>
  <c r="W456" i="14"/>
  <c r="W457" i="14"/>
  <c r="W458" i="14"/>
  <c r="W459" i="14"/>
  <c r="W460" i="14"/>
  <c r="W461" i="14"/>
  <c r="W462" i="14"/>
  <c r="W463" i="14"/>
  <c r="W464" i="14"/>
  <c r="W465" i="14"/>
  <c r="W466" i="14"/>
  <c r="W467" i="14"/>
  <c r="W468" i="14"/>
  <c r="W469" i="14"/>
  <c r="W470" i="14"/>
  <c r="W471" i="14"/>
  <c r="W472" i="14"/>
  <c r="W473" i="14"/>
  <c r="W474" i="14"/>
  <c r="W475" i="14"/>
  <c r="W476" i="14"/>
  <c r="W477" i="14"/>
  <c r="W478" i="14"/>
  <c r="W479" i="14"/>
  <c r="W480" i="14"/>
  <c r="W481" i="14"/>
  <c r="W482" i="14"/>
  <c r="W483" i="14"/>
  <c r="W484" i="14"/>
  <c r="W485" i="14"/>
  <c r="W486" i="14"/>
  <c r="W487" i="14"/>
  <c r="W488" i="14"/>
  <c r="W489" i="14"/>
  <c r="W490" i="14"/>
  <c r="W491" i="14"/>
  <c r="W492" i="14"/>
  <c r="W493" i="14"/>
  <c r="W494" i="14"/>
  <c r="W495" i="14"/>
  <c r="W496" i="14"/>
  <c r="W498" i="14"/>
  <c r="N498" i="14"/>
  <c r="D498" i="14"/>
  <c r="W500" i="14"/>
  <c r="N500" i="14"/>
  <c r="D500" i="14"/>
  <c r="K99" i="11"/>
  <c r="K3" i="11"/>
  <c r="G3" i="11"/>
  <c r="U3" i="11"/>
  <c r="I3" i="11"/>
  <c r="T3" i="11" s="1"/>
  <c r="D3" i="11"/>
  <c r="R3" i="11"/>
  <c r="S3" i="11" s="1"/>
  <c r="U9" i="11"/>
  <c r="O19" i="11"/>
  <c r="K19" i="11"/>
  <c r="G19" i="11"/>
  <c r="U19" i="11"/>
  <c r="P19" i="11"/>
  <c r="I19" i="11"/>
  <c r="D19" i="11"/>
  <c r="F18" i="69" s="1"/>
  <c r="R19" i="11"/>
  <c r="U25" i="11"/>
  <c r="O35" i="11"/>
  <c r="K35" i="11"/>
  <c r="G35" i="11"/>
  <c r="U35" i="11"/>
  <c r="P35" i="11"/>
  <c r="I35" i="11"/>
  <c r="D35" i="11"/>
  <c r="F34" i="69" s="1"/>
  <c r="R35" i="11"/>
  <c r="U41" i="11"/>
  <c r="O51" i="11"/>
  <c r="K51" i="11"/>
  <c r="G51" i="11"/>
  <c r="U51" i="11"/>
  <c r="P51" i="11"/>
  <c r="I51" i="11"/>
  <c r="D51" i="11"/>
  <c r="F50" i="69" s="1"/>
  <c r="R51" i="11"/>
  <c r="U57" i="11"/>
  <c r="O67" i="11"/>
  <c r="K67" i="11"/>
  <c r="G67" i="11"/>
  <c r="U67" i="11"/>
  <c r="P67" i="11"/>
  <c r="I67" i="11"/>
  <c r="D67" i="11"/>
  <c r="F66" i="69" s="1"/>
  <c r="R67" i="11"/>
  <c r="Q71" i="11"/>
  <c r="U73" i="11"/>
  <c r="O83" i="11"/>
  <c r="K83" i="11"/>
  <c r="G83" i="11"/>
  <c r="U83" i="11"/>
  <c r="P83" i="11"/>
  <c r="I83" i="11"/>
  <c r="D83" i="11"/>
  <c r="F82" i="69" s="1"/>
  <c r="R83" i="11"/>
  <c r="Q87" i="11"/>
  <c r="U89" i="11"/>
  <c r="G99" i="11"/>
  <c r="U99" i="11"/>
  <c r="P99" i="11"/>
  <c r="D99" i="11"/>
  <c r="F98" i="69" s="1"/>
  <c r="Q103" i="11"/>
  <c r="O107" i="11"/>
  <c r="K107" i="11"/>
  <c r="G107" i="11"/>
  <c r="U107" i="11"/>
  <c r="P107" i="11"/>
  <c r="J107" i="11"/>
  <c r="N107" i="11"/>
  <c r="I107" i="11"/>
  <c r="D107" i="11"/>
  <c r="F106" i="69" s="1"/>
  <c r="R107" i="11"/>
  <c r="M107" i="11"/>
  <c r="L115" i="11"/>
  <c r="Q119" i="11"/>
  <c r="O123" i="11"/>
  <c r="K123" i="11"/>
  <c r="G123" i="11"/>
  <c r="U123" i="11"/>
  <c r="P123" i="11"/>
  <c r="J123" i="11"/>
  <c r="N123" i="11"/>
  <c r="I123" i="11"/>
  <c r="D123" i="11"/>
  <c r="F122" i="69" s="1"/>
  <c r="R123" i="11"/>
  <c r="M123" i="11"/>
  <c r="L131" i="11"/>
  <c r="Q135" i="11"/>
  <c r="O139" i="11"/>
  <c r="K139" i="11"/>
  <c r="G139" i="11"/>
  <c r="U139" i="11"/>
  <c r="P139" i="11"/>
  <c r="J139" i="11"/>
  <c r="N139" i="11"/>
  <c r="I139" i="11"/>
  <c r="D139" i="11"/>
  <c r="F138" i="69" s="1"/>
  <c r="R139" i="11"/>
  <c r="M139" i="11"/>
  <c r="L147" i="11"/>
  <c r="Q151" i="11"/>
  <c r="O155" i="11"/>
  <c r="K155" i="11"/>
  <c r="G155" i="11"/>
  <c r="U155" i="11"/>
  <c r="P155" i="11"/>
  <c r="J155" i="11"/>
  <c r="N155" i="11"/>
  <c r="I155" i="11"/>
  <c r="D155" i="11"/>
  <c r="F154" i="69" s="1"/>
  <c r="R155" i="11"/>
  <c r="M155" i="11"/>
  <c r="H155" i="11"/>
  <c r="L163" i="11"/>
  <c r="Q167" i="11"/>
  <c r="O171" i="11"/>
  <c r="K171" i="11"/>
  <c r="G171" i="11"/>
  <c r="U171" i="11"/>
  <c r="P171" i="11"/>
  <c r="J171" i="11"/>
  <c r="N171" i="11"/>
  <c r="I171" i="11"/>
  <c r="D171" i="11"/>
  <c r="F170" i="69" s="1"/>
  <c r="R171" i="11"/>
  <c r="M171" i="11"/>
  <c r="L179" i="11"/>
  <c r="Q183" i="11"/>
  <c r="O187" i="11"/>
  <c r="K187" i="11"/>
  <c r="G187" i="11"/>
  <c r="U187" i="11"/>
  <c r="P187" i="11"/>
  <c r="J187" i="11"/>
  <c r="N187" i="11"/>
  <c r="I187" i="11"/>
  <c r="D187" i="11"/>
  <c r="F186" i="69" s="1"/>
  <c r="R187" i="11"/>
  <c r="M187" i="11"/>
  <c r="H187" i="11"/>
  <c r="L195" i="11"/>
  <c r="Q199" i="11"/>
  <c r="O203" i="11"/>
  <c r="K203" i="11"/>
  <c r="G203" i="11"/>
  <c r="U203" i="11"/>
  <c r="P203" i="11"/>
  <c r="J203" i="11"/>
  <c r="N203" i="11"/>
  <c r="I203" i="11"/>
  <c r="D203" i="11"/>
  <c r="F202" i="69" s="1"/>
  <c r="R203" i="11"/>
  <c r="M203" i="11"/>
  <c r="H203" i="11"/>
  <c r="L211" i="11"/>
  <c r="Q215" i="11"/>
  <c r="O219" i="11"/>
  <c r="K219" i="11"/>
  <c r="G219" i="11"/>
  <c r="U219" i="11"/>
  <c r="P219" i="11"/>
  <c r="J219" i="11"/>
  <c r="N219" i="11"/>
  <c r="I219" i="11"/>
  <c r="D219" i="11"/>
  <c r="F218" i="69" s="1"/>
  <c r="R219" i="11"/>
  <c r="M219" i="11"/>
  <c r="H219" i="11"/>
  <c r="L227" i="11"/>
  <c r="Q231" i="11"/>
  <c r="P235" i="11"/>
  <c r="L235" i="11"/>
  <c r="Q235" i="11"/>
  <c r="K235" i="11"/>
  <c r="U235" i="11"/>
  <c r="O235" i="11"/>
  <c r="J235" i="11"/>
  <c r="D235" i="11"/>
  <c r="F234" i="69" s="1"/>
  <c r="N235" i="11"/>
  <c r="I235" i="11"/>
  <c r="O236" i="11"/>
  <c r="K236" i="11"/>
  <c r="Q236" i="11"/>
  <c r="L236" i="11"/>
  <c r="U236" i="11"/>
  <c r="P236" i="11"/>
  <c r="J236" i="11"/>
  <c r="D236" i="11"/>
  <c r="F235" i="69" s="1"/>
  <c r="N236" i="11"/>
  <c r="I236" i="11"/>
  <c r="U238" i="11"/>
  <c r="Q238" i="11"/>
  <c r="M238" i="11"/>
  <c r="I238" i="11"/>
  <c r="D238" i="11"/>
  <c r="F237" i="69" s="1"/>
  <c r="P238" i="11"/>
  <c r="K238" i="11"/>
  <c r="O238" i="11"/>
  <c r="J238" i="11"/>
  <c r="N238" i="11"/>
  <c r="P239" i="11"/>
  <c r="L239" i="11"/>
  <c r="H239" i="11"/>
  <c r="Q239" i="11"/>
  <c r="K239" i="11"/>
  <c r="U239" i="11"/>
  <c r="O239" i="11"/>
  <c r="J239" i="11"/>
  <c r="D239" i="11"/>
  <c r="F238" i="69" s="1"/>
  <c r="N239" i="11"/>
  <c r="I239" i="11"/>
  <c r="O240" i="11"/>
  <c r="K240" i="11"/>
  <c r="Q240" i="11"/>
  <c r="L240" i="11"/>
  <c r="U240" i="11"/>
  <c r="P240" i="11"/>
  <c r="J240" i="11"/>
  <c r="D240" i="11"/>
  <c r="F239" i="69" s="1"/>
  <c r="N240" i="11"/>
  <c r="I240" i="11"/>
  <c r="U242" i="11"/>
  <c r="Q242" i="11"/>
  <c r="M242" i="11"/>
  <c r="I242" i="11"/>
  <c r="D242" i="11"/>
  <c r="F241" i="69" s="1"/>
  <c r="P242" i="11"/>
  <c r="K242" i="11"/>
  <c r="O242" i="11"/>
  <c r="J242" i="11"/>
  <c r="N242" i="11"/>
  <c r="P243" i="11"/>
  <c r="L243" i="11"/>
  <c r="Q243" i="11"/>
  <c r="K243" i="11"/>
  <c r="U243" i="11"/>
  <c r="O243" i="11"/>
  <c r="J243" i="11"/>
  <c r="D243" i="11"/>
  <c r="F242" i="69" s="1"/>
  <c r="N243" i="11"/>
  <c r="I243" i="11"/>
  <c r="O244" i="11"/>
  <c r="K244" i="11"/>
  <c r="Q244" i="11"/>
  <c r="L244" i="11"/>
  <c r="U244" i="11"/>
  <c r="P244" i="11"/>
  <c r="J244" i="11"/>
  <c r="D244" i="11"/>
  <c r="F243" i="69" s="1"/>
  <c r="N244" i="11"/>
  <c r="I244" i="11"/>
  <c r="U246" i="11"/>
  <c r="Q246" i="11"/>
  <c r="M246" i="11"/>
  <c r="I246" i="11"/>
  <c r="D246" i="11"/>
  <c r="F245" i="69" s="1"/>
  <c r="P246" i="11"/>
  <c r="K246" i="11"/>
  <c r="O246" i="11"/>
  <c r="J246" i="11"/>
  <c r="N246" i="11"/>
  <c r="P247" i="11"/>
  <c r="L247" i="11"/>
  <c r="H247" i="11"/>
  <c r="Q247" i="11"/>
  <c r="K247" i="11"/>
  <c r="U247" i="11"/>
  <c r="O247" i="11"/>
  <c r="J247" i="11"/>
  <c r="D247" i="11"/>
  <c r="F246" i="69" s="1"/>
  <c r="N247" i="11"/>
  <c r="I247" i="11"/>
  <c r="O248" i="11"/>
  <c r="K248" i="11"/>
  <c r="Q248" i="11"/>
  <c r="L248" i="11"/>
  <c r="U248" i="11"/>
  <c r="P248" i="11"/>
  <c r="J248" i="11"/>
  <c r="D248" i="11"/>
  <c r="F247" i="69" s="1"/>
  <c r="N248" i="11"/>
  <c r="I248" i="11"/>
  <c r="U250" i="11"/>
  <c r="Q250" i="11"/>
  <c r="M250" i="11"/>
  <c r="I250" i="11"/>
  <c r="D250" i="11"/>
  <c r="F249" i="69" s="1"/>
  <c r="P250" i="11"/>
  <c r="K250" i="11"/>
  <c r="O250" i="11"/>
  <c r="J250" i="11"/>
  <c r="N250" i="11"/>
  <c r="H250" i="11"/>
  <c r="P251" i="11"/>
  <c r="L251" i="11"/>
  <c r="H251" i="11"/>
  <c r="Q251" i="11"/>
  <c r="K251" i="11"/>
  <c r="U251" i="11"/>
  <c r="O251" i="11"/>
  <c r="J251" i="11"/>
  <c r="D251" i="11"/>
  <c r="F250" i="69" s="1"/>
  <c r="N251" i="11"/>
  <c r="I251" i="11"/>
  <c r="O252" i="11"/>
  <c r="K252" i="11"/>
  <c r="Q252" i="11"/>
  <c r="L252" i="11"/>
  <c r="U252" i="11"/>
  <c r="P252" i="11"/>
  <c r="J252" i="11"/>
  <c r="D252" i="11"/>
  <c r="F251" i="69" s="1"/>
  <c r="N252" i="11"/>
  <c r="I252" i="11"/>
  <c r="U254" i="11"/>
  <c r="Q254" i="11"/>
  <c r="M254" i="11"/>
  <c r="I254" i="11"/>
  <c r="D254" i="11"/>
  <c r="F253" i="69" s="1"/>
  <c r="P254" i="11"/>
  <c r="K254" i="11"/>
  <c r="O254" i="11"/>
  <c r="J254" i="11"/>
  <c r="N254" i="11"/>
  <c r="H254" i="11"/>
  <c r="P255" i="11"/>
  <c r="L255" i="11"/>
  <c r="H255" i="11"/>
  <c r="Q255" i="11"/>
  <c r="K255" i="11"/>
  <c r="U255" i="11"/>
  <c r="O255" i="11"/>
  <c r="J255" i="11"/>
  <c r="D255" i="11"/>
  <c r="F254" i="69" s="1"/>
  <c r="N255" i="11"/>
  <c r="I255" i="11"/>
  <c r="O256" i="11"/>
  <c r="K256" i="11"/>
  <c r="Q256" i="11"/>
  <c r="L256" i="11"/>
  <c r="U256" i="11"/>
  <c r="P256" i="11"/>
  <c r="J256" i="11"/>
  <c r="D256" i="11"/>
  <c r="F255" i="69" s="1"/>
  <c r="N256" i="11"/>
  <c r="I256" i="11"/>
  <c r="U258" i="11"/>
  <c r="Q258" i="11"/>
  <c r="M258" i="11"/>
  <c r="I258" i="11"/>
  <c r="D258" i="11"/>
  <c r="F257" i="69" s="1"/>
  <c r="P258" i="11"/>
  <c r="K258" i="11"/>
  <c r="O258" i="11"/>
  <c r="J258" i="11"/>
  <c r="N258" i="11"/>
  <c r="P259" i="11"/>
  <c r="L259" i="11"/>
  <c r="Q259" i="11"/>
  <c r="K259" i="11"/>
  <c r="U259" i="11"/>
  <c r="O259" i="11"/>
  <c r="J259" i="11"/>
  <c r="D259" i="11"/>
  <c r="F258" i="69" s="1"/>
  <c r="N259" i="11"/>
  <c r="I259" i="11"/>
  <c r="O260" i="11"/>
  <c r="K260" i="11"/>
  <c r="Q260" i="11"/>
  <c r="L260" i="11"/>
  <c r="U260" i="11"/>
  <c r="P260" i="11"/>
  <c r="J260" i="11"/>
  <c r="D260" i="11"/>
  <c r="F259" i="69" s="1"/>
  <c r="N260" i="11"/>
  <c r="I260" i="11"/>
  <c r="U262" i="11"/>
  <c r="Q262" i="11"/>
  <c r="M262" i="11"/>
  <c r="I262" i="11"/>
  <c r="D262" i="11"/>
  <c r="F261" i="69" s="1"/>
  <c r="P262" i="11"/>
  <c r="K262" i="11"/>
  <c r="O262" i="11"/>
  <c r="J262" i="11"/>
  <c r="N262" i="11"/>
  <c r="H262" i="11"/>
  <c r="P263" i="11"/>
  <c r="L263" i="11"/>
  <c r="H263" i="11"/>
  <c r="Q263" i="11"/>
  <c r="K263" i="11"/>
  <c r="U263" i="11"/>
  <c r="O263" i="11"/>
  <c r="J263" i="11"/>
  <c r="D263" i="11"/>
  <c r="F262" i="69" s="1"/>
  <c r="N263" i="11"/>
  <c r="I263" i="11"/>
  <c r="O264" i="11"/>
  <c r="K264" i="11"/>
  <c r="Q264" i="11"/>
  <c r="L264" i="11"/>
  <c r="U264" i="11"/>
  <c r="P264" i="11"/>
  <c r="J264" i="11"/>
  <c r="D264" i="11"/>
  <c r="F263" i="69" s="1"/>
  <c r="N264" i="11"/>
  <c r="I264" i="11"/>
  <c r="U266" i="11"/>
  <c r="Q266" i="11"/>
  <c r="M266" i="11"/>
  <c r="I266" i="11"/>
  <c r="D266" i="11"/>
  <c r="F265" i="69" s="1"/>
  <c r="P266" i="11"/>
  <c r="K266" i="11"/>
  <c r="O266" i="11"/>
  <c r="J266" i="11"/>
  <c r="N266" i="11"/>
  <c r="H266" i="11"/>
  <c r="P267" i="11"/>
  <c r="L267" i="11"/>
  <c r="H267" i="11"/>
  <c r="Q267" i="11"/>
  <c r="K267" i="11"/>
  <c r="U267" i="11"/>
  <c r="O267" i="11"/>
  <c r="J267" i="11"/>
  <c r="D267" i="11"/>
  <c r="F266" i="69" s="1"/>
  <c r="N267" i="11"/>
  <c r="I267" i="11"/>
  <c r="O268" i="11"/>
  <c r="K268" i="11"/>
  <c r="Q268" i="11"/>
  <c r="L268" i="11"/>
  <c r="U268" i="11"/>
  <c r="P268" i="11"/>
  <c r="J268" i="11"/>
  <c r="D268" i="11"/>
  <c r="F267" i="69" s="1"/>
  <c r="N268" i="11"/>
  <c r="I268" i="11"/>
  <c r="U270" i="11"/>
  <c r="Q270" i="11"/>
  <c r="M270" i="11"/>
  <c r="I270" i="11"/>
  <c r="D270" i="11"/>
  <c r="F269" i="69" s="1"/>
  <c r="P270" i="11"/>
  <c r="K270" i="11"/>
  <c r="O270" i="11"/>
  <c r="J270" i="11"/>
  <c r="N270" i="11"/>
  <c r="H270" i="11"/>
  <c r="P271" i="11"/>
  <c r="L271" i="11"/>
  <c r="H271" i="11"/>
  <c r="Q271" i="11"/>
  <c r="K271" i="11"/>
  <c r="U271" i="11"/>
  <c r="O271" i="11"/>
  <c r="J271" i="11"/>
  <c r="D271" i="11"/>
  <c r="F270" i="69" s="1"/>
  <c r="N271" i="11"/>
  <c r="I271" i="11"/>
  <c r="O272" i="11"/>
  <c r="K272" i="11"/>
  <c r="Q272" i="11"/>
  <c r="L272" i="11"/>
  <c r="U272" i="11"/>
  <c r="P272" i="11"/>
  <c r="J272" i="11"/>
  <c r="D272" i="11"/>
  <c r="F271" i="69" s="1"/>
  <c r="N272" i="11"/>
  <c r="I272" i="11"/>
  <c r="U274" i="11"/>
  <c r="Q274" i="11"/>
  <c r="M274" i="11"/>
  <c r="I274" i="11"/>
  <c r="D274" i="11"/>
  <c r="F273" i="69" s="1"/>
  <c r="P274" i="11"/>
  <c r="K274" i="11"/>
  <c r="O274" i="11"/>
  <c r="J274" i="11"/>
  <c r="N274" i="11"/>
  <c r="H274" i="11"/>
  <c r="P275" i="11"/>
  <c r="L275" i="11"/>
  <c r="H275" i="11"/>
  <c r="Q275" i="11"/>
  <c r="K275" i="11"/>
  <c r="U275" i="11"/>
  <c r="O275" i="11"/>
  <c r="J275" i="11"/>
  <c r="D275" i="11"/>
  <c r="F274" i="69" s="1"/>
  <c r="N275" i="11"/>
  <c r="I275" i="11"/>
  <c r="O276" i="11"/>
  <c r="K276" i="11"/>
  <c r="Q276" i="11"/>
  <c r="L276" i="11"/>
  <c r="U276" i="11"/>
  <c r="P276" i="11"/>
  <c r="J276" i="11"/>
  <c r="D276" i="11"/>
  <c r="F275" i="69" s="1"/>
  <c r="N276" i="11"/>
  <c r="I276" i="11"/>
  <c r="U278" i="11"/>
  <c r="Q278" i="11"/>
  <c r="M278" i="11"/>
  <c r="I278" i="11"/>
  <c r="D278" i="11"/>
  <c r="F277" i="69" s="1"/>
  <c r="P278" i="11"/>
  <c r="K278" i="11"/>
  <c r="O278" i="11"/>
  <c r="J278" i="11"/>
  <c r="N278" i="11"/>
  <c r="H278" i="11"/>
  <c r="P279" i="11"/>
  <c r="L279" i="11"/>
  <c r="H279" i="11"/>
  <c r="Q279" i="11"/>
  <c r="K279" i="11"/>
  <c r="U279" i="11"/>
  <c r="O279" i="11"/>
  <c r="J279" i="11"/>
  <c r="D279" i="11"/>
  <c r="F278" i="69" s="1"/>
  <c r="N279" i="11"/>
  <c r="I279" i="11"/>
  <c r="O280" i="11"/>
  <c r="K280" i="11"/>
  <c r="Q280" i="11"/>
  <c r="L280" i="11"/>
  <c r="U280" i="11"/>
  <c r="P280" i="11"/>
  <c r="J280" i="11"/>
  <c r="D280" i="11"/>
  <c r="F279" i="69" s="1"/>
  <c r="N280" i="11"/>
  <c r="I280" i="11"/>
  <c r="U282" i="11"/>
  <c r="Q282" i="11"/>
  <c r="M282" i="11"/>
  <c r="I282" i="11"/>
  <c r="D282" i="11"/>
  <c r="F281" i="69" s="1"/>
  <c r="P282" i="11"/>
  <c r="K282" i="11"/>
  <c r="O282" i="11"/>
  <c r="J282" i="11"/>
  <c r="N282" i="11"/>
  <c r="H282" i="11"/>
  <c r="P283" i="11"/>
  <c r="L283" i="11"/>
  <c r="H283" i="11"/>
  <c r="Q283" i="11"/>
  <c r="K283" i="11"/>
  <c r="U283" i="11"/>
  <c r="O283" i="11"/>
  <c r="J283" i="11"/>
  <c r="D283" i="11"/>
  <c r="F282" i="69" s="1"/>
  <c r="N283" i="11"/>
  <c r="I283" i="11"/>
  <c r="O284" i="11"/>
  <c r="K284" i="11"/>
  <c r="Q284" i="11"/>
  <c r="L284" i="11"/>
  <c r="U284" i="11"/>
  <c r="P284" i="11"/>
  <c r="J284" i="11"/>
  <c r="D284" i="11"/>
  <c r="F283" i="69" s="1"/>
  <c r="N284" i="11"/>
  <c r="I284" i="11"/>
  <c r="U286" i="11"/>
  <c r="Q286" i="11"/>
  <c r="M286" i="11"/>
  <c r="I286" i="11"/>
  <c r="D286" i="11"/>
  <c r="F285" i="69" s="1"/>
  <c r="P286" i="11"/>
  <c r="K286" i="11"/>
  <c r="O286" i="11"/>
  <c r="J286" i="11"/>
  <c r="N286" i="11"/>
  <c r="H286" i="11"/>
  <c r="P287" i="11"/>
  <c r="L287" i="11"/>
  <c r="H287" i="11"/>
  <c r="Q287" i="11"/>
  <c r="K287" i="11"/>
  <c r="U287" i="11"/>
  <c r="O287" i="11"/>
  <c r="J287" i="11"/>
  <c r="D287" i="11"/>
  <c r="F286" i="69" s="1"/>
  <c r="N287" i="11"/>
  <c r="I287" i="11"/>
  <c r="O288" i="11"/>
  <c r="K288" i="11"/>
  <c r="Q288" i="11"/>
  <c r="L288" i="11"/>
  <c r="U288" i="11"/>
  <c r="P288" i="11"/>
  <c r="J288" i="11"/>
  <c r="D288" i="11"/>
  <c r="F287" i="69" s="1"/>
  <c r="N288" i="11"/>
  <c r="I288" i="11"/>
  <c r="U290" i="11"/>
  <c r="Q290" i="11"/>
  <c r="M290" i="11"/>
  <c r="I290" i="11"/>
  <c r="D290" i="11"/>
  <c r="F289" i="69" s="1"/>
  <c r="P290" i="11"/>
  <c r="K290" i="11"/>
  <c r="O290" i="11"/>
  <c r="J290" i="11"/>
  <c r="N290" i="11"/>
  <c r="H290" i="11"/>
  <c r="P291" i="11"/>
  <c r="L291" i="11"/>
  <c r="H291" i="11"/>
  <c r="Q291" i="11"/>
  <c r="K291" i="11"/>
  <c r="U291" i="11"/>
  <c r="O291" i="11"/>
  <c r="J291" i="11"/>
  <c r="D291" i="11"/>
  <c r="F290" i="69" s="1"/>
  <c r="N291" i="11"/>
  <c r="I291" i="11"/>
  <c r="O292" i="11"/>
  <c r="K292" i="11"/>
  <c r="Q292" i="11"/>
  <c r="L292" i="11"/>
  <c r="U292" i="11"/>
  <c r="P292" i="11"/>
  <c r="J292" i="11"/>
  <c r="D292" i="11"/>
  <c r="F291" i="69" s="1"/>
  <c r="N292" i="11"/>
  <c r="I292" i="11"/>
  <c r="U294" i="11"/>
  <c r="Q294" i="11"/>
  <c r="M294" i="11"/>
  <c r="I294" i="11"/>
  <c r="D294" i="11"/>
  <c r="F293" i="69" s="1"/>
  <c r="P294" i="11"/>
  <c r="K294" i="11"/>
  <c r="O294" i="11"/>
  <c r="J294" i="11"/>
  <c r="N294" i="11"/>
  <c r="H294" i="11"/>
  <c r="P295" i="11"/>
  <c r="L295" i="11"/>
  <c r="H295" i="11"/>
  <c r="Q295" i="11"/>
  <c r="K295" i="11"/>
  <c r="U295" i="11"/>
  <c r="O295" i="11"/>
  <c r="J295" i="11"/>
  <c r="D295" i="11"/>
  <c r="F294" i="69" s="1"/>
  <c r="N295" i="11"/>
  <c r="I295" i="11"/>
  <c r="O296" i="11"/>
  <c r="K296" i="11"/>
  <c r="Q296" i="11"/>
  <c r="L296" i="11"/>
  <c r="U296" i="11"/>
  <c r="P296" i="11"/>
  <c r="J296" i="11"/>
  <c r="D296" i="11"/>
  <c r="F295" i="69" s="1"/>
  <c r="N296" i="11"/>
  <c r="I296" i="11"/>
  <c r="U298" i="11"/>
  <c r="Q298" i="11"/>
  <c r="M298" i="11"/>
  <c r="I298" i="11"/>
  <c r="D298" i="11"/>
  <c r="F297" i="69" s="1"/>
  <c r="P298" i="11"/>
  <c r="L298" i="11"/>
  <c r="H298" i="11"/>
  <c r="O298" i="11"/>
  <c r="N298" i="11"/>
  <c r="K298" i="11"/>
  <c r="P319" i="11"/>
  <c r="L319" i="11"/>
  <c r="H319" i="11"/>
  <c r="O319" i="11"/>
  <c r="K319" i="11"/>
  <c r="Q319" i="11"/>
  <c r="I319" i="11"/>
  <c r="N319" i="11"/>
  <c r="U319" i="11"/>
  <c r="M319" i="11"/>
  <c r="D319" i="11"/>
  <c r="F318" i="69" s="1"/>
  <c r="U330" i="11"/>
  <c r="Q330" i="11"/>
  <c r="M330" i="11"/>
  <c r="I330" i="11"/>
  <c r="D330" i="11"/>
  <c r="F329" i="69" s="1"/>
  <c r="P330" i="11"/>
  <c r="L330" i="11"/>
  <c r="H330" i="11"/>
  <c r="O330" i="11"/>
  <c r="N330" i="11"/>
  <c r="K330" i="11"/>
  <c r="R342" i="11"/>
  <c r="R358" i="11"/>
  <c r="R374" i="11"/>
  <c r="N10" i="11"/>
  <c r="R99" i="11"/>
  <c r="N99" i="11"/>
  <c r="I27" i="11"/>
  <c r="U4" i="11"/>
  <c r="P5" i="11"/>
  <c r="U8" i="11"/>
  <c r="P9" i="11"/>
  <c r="U12" i="11"/>
  <c r="P13" i="11"/>
  <c r="U16" i="11"/>
  <c r="P17" i="11"/>
  <c r="U20" i="11"/>
  <c r="P21" i="11"/>
  <c r="U24" i="11"/>
  <c r="P25" i="11"/>
  <c r="U28" i="11"/>
  <c r="P29" i="11"/>
  <c r="U32" i="11"/>
  <c r="P33" i="11"/>
  <c r="U36" i="11"/>
  <c r="U40" i="11"/>
  <c r="P41" i="11"/>
  <c r="U44" i="11"/>
  <c r="P45" i="11"/>
  <c r="U48" i="11"/>
  <c r="P49" i="11"/>
  <c r="U52" i="11"/>
  <c r="P53" i="11"/>
  <c r="U56" i="11"/>
  <c r="P57" i="11"/>
  <c r="U60" i="11"/>
  <c r="P61" i="11"/>
  <c r="U64" i="11"/>
  <c r="P65" i="11"/>
  <c r="U68" i="11"/>
  <c r="P69" i="11"/>
  <c r="U72" i="11"/>
  <c r="P73" i="11"/>
  <c r="U76" i="11"/>
  <c r="P77" i="11"/>
  <c r="U80" i="11"/>
  <c r="P81" i="11"/>
  <c r="U84" i="11"/>
  <c r="P85" i="11"/>
  <c r="U88" i="11"/>
  <c r="P89" i="11"/>
  <c r="U92" i="11"/>
  <c r="P93" i="11"/>
  <c r="U96" i="11"/>
  <c r="P97" i="11"/>
  <c r="U100" i="11"/>
  <c r="P101" i="11"/>
  <c r="J105" i="11"/>
  <c r="P105" i="11"/>
  <c r="J109" i="11"/>
  <c r="P109" i="11"/>
  <c r="J113" i="11"/>
  <c r="P113" i="11"/>
  <c r="J117" i="11"/>
  <c r="P117" i="11"/>
  <c r="J121" i="11"/>
  <c r="P121" i="11"/>
  <c r="J125" i="11"/>
  <c r="P125" i="11"/>
  <c r="J129" i="11"/>
  <c r="P129" i="11"/>
  <c r="J133" i="11"/>
  <c r="P133" i="11"/>
  <c r="J137" i="11"/>
  <c r="P137" i="11"/>
  <c r="J141" i="11"/>
  <c r="P141" i="11"/>
  <c r="J145" i="11"/>
  <c r="P145" i="11"/>
  <c r="J149" i="11"/>
  <c r="P149" i="11"/>
  <c r="J153" i="11"/>
  <c r="P153" i="11"/>
  <c r="J157" i="11"/>
  <c r="P157" i="11"/>
  <c r="J161" i="11"/>
  <c r="P161" i="11"/>
  <c r="J165" i="11"/>
  <c r="P165" i="11"/>
  <c r="J169" i="11"/>
  <c r="P169" i="11"/>
  <c r="J173" i="11"/>
  <c r="P173" i="11"/>
  <c r="J177" i="11"/>
  <c r="P177" i="11"/>
  <c r="J181" i="11"/>
  <c r="P181" i="11"/>
  <c r="J185" i="11"/>
  <c r="P185" i="11"/>
  <c r="J189" i="11"/>
  <c r="P189" i="11"/>
  <c r="J193" i="11"/>
  <c r="P193" i="11"/>
  <c r="J197" i="11"/>
  <c r="P197" i="11"/>
  <c r="J201" i="11"/>
  <c r="P201" i="11"/>
  <c r="J205" i="11"/>
  <c r="P205" i="11"/>
  <c r="J209" i="11"/>
  <c r="P209" i="11"/>
  <c r="J213" i="11"/>
  <c r="P213" i="11"/>
  <c r="J217" i="11"/>
  <c r="P217" i="11"/>
  <c r="J221" i="11"/>
  <c r="P221" i="11"/>
  <c r="J225" i="11"/>
  <c r="P225" i="11"/>
  <c r="J229" i="11"/>
  <c r="P229" i="11"/>
  <c r="J233" i="11"/>
  <c r="P233" i="11"/>
  <c r="N299" i="11"/>
  <c r="U302" i="11"/>
  <c r="Q302" i="11"/>
  <c r="M302" i="11"/>
  <c r="I302" i="11"/>
  <c r="D302" i="11"/>
  <c r="F301" i="69" s="1"/>
  <c r="P302" i="11"/>
  <c r="L302" i="11"/>
  <c r="H302" i="11"/>
  <c r="J302" i="11"/>
  <c r="R302" i="11"/>
  <c r="P307" i="11"/>
  <c r="L307" i="11"/>
  <c r="H307" i="11"/>
  <c r="O307" i="11"/>
  <c r="K307" i="11"/>
  <c r="J307" i="11"/>
  <c r="R307" i="11"/>
  <c r="N310" i="11"/>
  <c r="I311" i="11"/>
  <c r="N315" i="11"/>
  <c r="U318" i="11"/>
  <c r="Q318" i="11"/>
  <c r="M318" i="11"/>
  <c r="I318" i="11"/>
  <c r="D318" i="11"/>
  <c r="F317" i="69" s="1"/>
  <c r="P318" i="11"/>
  <c r="L318" i="11"/>
  <c r="H318" i="11"/>
  <c r="J318" i="11"/>
  <c r="R318" i="11"/>
  <c r="P323" i="11"/>
  <c r="L323" i="11"/>
  <c r="H323" i="11"/>
  <c r="O323" i="11"/>
  <c r="K323" i="11"/>
  <c r="J323" i="11"/>
  <c r="R323" i="11"/>
  <c r="N326" i="11"/>
  <c r="I327" i="11"/>
  <c r="N331" i="11"/>
  <c r="J338" i="11"/>
  <c r="U346" i="11"/>
  <c r="Q346" i="11"/>
  <c r="M346" i="11"/>
  <c r="I346" i="11"/>
  <c r="D346" i="11"/>
  <c r="F345" i="69" s="1"/>
  <c r="P346" i="11"/>
  <c r="L346" i="11"/>
  <c r="H346" i="11"/>
  <c r="O346" i="11"/>
  <c r="K346" i="11"/>
  <c r="R346" i="11"/>
  <c r="J354" i="11"/>
  <c r="U362" i="11"/>
  <c r="Q362" i="11"/>
  <c r="M362" i="11"/>
  <c r="I362" i="11"/>
  <c r="D362" i="11"/>
  <c r="F361" i="69" s="1"/>
  <c r="P362" i="11"/>
  <c r="L362" i="11"/>
  <c r="H362" i="11"/>
  <c r="O362" i="11"/>
  <c r="K362" i="11"/>
  <c r="R362" i="11"/>
  <c r="J370" i="11"/>
  <c r="U378" i="11"/>
  <c r="Q378" i="11"/>
  <c r="M378" i="11"/>
  <c r="I378" i="11"/>
  <c r="D378" i="11"/>
  <c r="F377" i="69" s="1"/>
  <c r="P378" i="11"/>
  <c r="L378" i="11"/>
  <c r="H378" i="11"/>
  <c r="O378" i="11"/>
  <c r="K378" i="11"/>
  <c r="R378" i="11"/>
  <c r="J386" i="11"/>
  <c r="O3" i="11"/>
  <c r="O5" i="11"/>
  <c r="K5" i="11"/>
  <c r="G5" i="11"/>
  <c r="Q5" i="11"/>
  <c r="O9" i="11"/>
  <c r="K9" i="11"/>
  <c r="G9" i="11"/>
  <c r="Q9" i="11"/>
  <c r="O13" i="11"/>
  <c r="K13" i="11"/>
  <c r="G13" i="11"/>
  <c r="Q13" i="11"/>
  <c r="O17" i="11"/>
  <c r="K17" i="11"/>
  <c r="G17" i="11"/>
  <c r="Q17" i="11"/>
  <c r="O21" i="11"/>
  <c r="K21" i="11"/>
  <c r="G21" i="11"/>
  <c r="Q21" i="11"/>
  <c r="O25" i="11"/>
  <c r="K25" i="11"/>
  <c r="G25" i="11"/>
  <c r="Q25" i="11"/>
  <c r="O29" i="11"/>
  <c r="K29" i="11"/>
  <c r="G29" i="11"/>
  <c r="Q29" i="11"/>
  <c r="O33" i="11"/>
  <c r="K33" i="11"/>
  <c r="G33" i="11"/>
  <c r="Q33" i="11"/>
  <c r="K37" i="11"/>
  <c r="G37" i="11"/>
  <c r="Q37" i="11"/>
  <c r="O41" i="11"/>
  <c r="K41" i="11"/>
  <c r="G41" i="11"/>
  <c r="Q41" i="11"/>
  <c r="O45" i="11"/>
  <c r="K45" i="11"/>
  <c r="G45" i="11"/>
  <c r="Q45" i="11"/>
  <c r="O49" i="11"/>
  <c r="K49" i="11"/>
  <c r="G49" i="11"/>
  <c r="Q49" i="11"/>
  <c r="O53" i="11"/>
  <c r="K53" i="11"/>
  <c r="G53" i="11"/>
  <c r="Q53" i="11"/>
  <c r="O57" i="11"/>
  <c r="K57" i="11"/>
  <c r="G57" i="11"/>
  <c r="Q57" i="11"/>
  <c r="O61" i="11"/>
  <c r="K61" i="11"/>
  <c r="G61" i="11"/>
  <c r="Q61" i="11"/>
  <c r="O65" i="11"/>
  <c r="K65" i="11"/>
  <c r="G65" i="11"/>
  <c r="Q65" i="11"/>
  <c r="O69" i="11"/>
  <c r="K69" i="11"/>
  <c r="G69" i="11"/>
  <c r="Q69" i="11"/>
  <c r="O73" i="11"/>
  <c r="K73" i="11"/>
  <c r="G73" i="11"/>
  <c r="Q73" i="11"/>
  <c r="O77" i="11"/>
  <c r="K77" i="11"/>
  <c r="G77" i="11"/>
  <c r="Q77" i="11"/>
  <c r="O81" i="11"/>
  <c r="K81" i="11"/>
  <c r="G81" i="11"/>
  <c r="Q81" i="11"/>
  <c r="O85" i="11"/>
  <c r="K85" i="11"/>
  <c r="G85" i="11"/>
  <c r="Q85" i="11"/>
  <c r="O89" i="11"/>
  <c r="K89" i="11"/>
  <c r="G89" i="11"/>
  <c r="Q89" i="11"/>
  <c r="O93" i="11"/>
  <c r="K93" i="11"/>
  <c r="G93" i="11"/>
  <c r="Q93" i="11"/>
  <c r="O97" i="11"/>
  <c r="K97" i="11"/>
  <c r="G97" i="11"/>
  <c r="Q97" i="11"/>
  <c r="O101" i="11"/>
  <c r="K101" i="11"/>
  <c r="G101" i="11"/>
  <c r="Q101" i="11"/>
  <c r="O105" i="11"/>
  <c r="K105" i="11"/>
  <c r="G105" i="11"/>
  <c r="L105" i="11"/>
  <c r="Q105" i="11"/>
  <c r="O109" i="11"/>
  <c r="K109" i="11"/>
  <c r="G109" i="11"/>
  <c r="L109" i="11"/>
  <c r="Q109" i="11"/>
  <c r="O113" i="11"/>
  <c r="K113" i="11"/>
  <c r="G113" i="11"/>
  <c r="L113" i="11"/>
  <c r="Q113" i="11"/>
  <c r="O117" i="11"/>
  <c r="K117" i="11"/>
  <c r="G117" i="11"/>
  <c r="L117" i="11"/>
  <c r="Q117" i="11"/>
  <c r="O121" i="11"/>
  <c r="K121" i="11"/>
  <c r="G121" i="11"/>
  <c r="L121" i="11"/>
  <c r="Q121" i="11"/>
  <c r="O125" i="11"/>
  <c r="K125" i="11"/>
  <c r="G125" i="11"/>
  <c r="L125" i="11"/>
  <c r="Q125" i="11"/>
  <c r="O129" i="11"/>
  <c r="K129" i="11"/>
  <c r="G129" i="11"/>
  <c r="L129" i="11"/>
  <c r="Q129" i="11"/>
  <c r="O133" i="11"/>
  <c r="K133" i="11"/>
  <c r="G133" i="11"/>
  <c r="L133" i="11"/>
  <c r="Q133" i="11"/>
  <c r="O137" i="11"/>
  <c r="K137" i="11"/>
  <c r="G137" i="11"/>
  <c r="L137" i="11"/>
  <c r="Q137" i="11"/>
  <c r="O141" i="11"/>
  <c r="K141" i="11"/>
  <c r="G141" i="11"/>
  <c r="L141" i="11"/>
  <c r="Q141" i="11"/>
  <c r="O145" i="11"/>
  <c r="K145" i="11"/>
  <c r="G145" i="11"/>
  <c r="L145" i="11"/>
  <c r="Q145" i="11"/>
  <c r="O149" i="11"/>
  <c r="K149" i="11"/>
  <c r="G149" i="11"/>
  <c r="L149" i="11"/>
  <c r="Q149" i="11"/>
  <c r="O153" i="11"/>
  <c r="K153" i="11"/>
  <c r="G153" i="11"/>
  <c r="L153" i="11"/>
  <c r="Q153" i="11"/>
  <c r="O157" i="11"/>
  <c r="K157" i="11"/>
  <c r="G157" i="11"/>
  <c r="L157" i="11"/>
  <c r="Q157" i="11"/>
  <c r="O161" i="11"/>
  <c r="K161" i="11"/>
  <c r="G161" i="11"/>
  <c r="L161" i="11"/>
  <c r="Q161" i="11"/>
  <c r="O165" i="11"/>
  <c r="K165" i="11"/>
  <c r="G165" i="11"/>
  <c r="L165" i="11"/>
  <c r="Q165" i="11"/>
  <c r="O169" i="11"/>
  <c r="K169" i="11"/>
  <c r="G169" i="11"/>
  <c r="L169" i="11"/>
  <c r="Q169" i="11"/>
  <c r="O173" i="11"/>
  <c r="K173" i="11"/>
  <c r="G173" i="11"/>
  <c r="L173" i="11"/>
  <c r="Q173" i="11"/>
  <c r="O177" i="11"/>
  <c r="K177" i="11"/>
  <c r="G177" i="11"/>
  <c r="L177" i="11"/>
  <c r="Q177" i="11"/>
  <c r="O181" i="11"/>
  <c r="K181" i="11"/>
  <c r="G181" i="11"/>
  <c r="L181" i="11"/>
  <c r="Q181" i="11"/>
  <c r="O185" i="11"/>
  <c r="K185" i="11"/>
  <c r="G185" i="11"/>
  <c r="L185" i="11"/>
  <c r="Q185" i="11"/>
  <c r="O189" i="11"/>
  <c r="K189" i="11"/>
  <c r="G189" i="11"/>
  <c r="L189" i="11"/>
  <c r="Q189" i="11"/>
  <c r="O193" i="11"/>
  <c r="K193" i="11"/>
  <c r="G193" i="11"/>
  <c r="L193" i="11"/>
  <c r="Q193" i="11"/>
  <c r="O197" i="11"/>
  <c r="K197" i="11"/>
  <c r="G197" i="11"/>
  <c r="L197" i="11"/>
  <c r="Q197" i="11"/>
  <c r="O201" i="11"/>
  <c r="K201" i="11"/>
  <c r="G201" i="11"/>
  <c r="L201" i="11"/>
  <c r="Q201" i="11"/>
  <c r="O205" i="11"/>
  <c r="K205" i="11"/>
  <c r="G205" i="11"/>
  <c r="L205" i="11"/>
  <c r="Q205" i="11"/>
  <c r="O209" i="11"/>
  <c r="K209" i="11"/>
  <c r="G209" i="11"/>
  <c r="L209" i="11"/>
  <c r="Q209" i="11"/>
  <c r="O213" i="11"/>
  <c r="K213" i="11"/>
  <c r="G213" i="11"/>
  <c r="L213" i="11"/>
  <c r="Q213" i="11"/>
  <c r="O217" i="11"/>
  <c r="K217" i="11"/>
  <c r="G217" i="11"/>
  <c r="L217" i="11"/>
  <c r="Q217" i="11"/>
  <c r="O221" i="11"/>
  <c r="K221" i="11"/>
  <c r="G221" i="11"/>
  <c r="L221" i="11"/>
  <c r="Q221" i="11"/>
  <c r="O225" i="11"/>
  <c r="K225" i="11"/>
  <c r="G225" i="11"/>
  <c r="L225" i="11"/>
  <c r="Q225" i="11"/>
  <c r="O229" i="11"/>
  <c r="K229" i="11"/>
  <c r="G229" i="11"/>
  <c r="L229" i="11"/>
  <c r="Q229" i="11"/>
  <c r="O233" i="11"/>
  <c r="K233" i="11"/>
  <c r="G233" i="11"/>
  <c r="L233" i="11"/>
  <c r="Q233" i="11"/>
  <c r="I299" i="11"/>
  <c r="U306" i="11"/>
  <c r="Q306" i="11"/>
  <c r="M306" i="11"/>
  <c r="I306" i="11"/>
  <c r="D306" i="11"/>
  <c r="F305" i="69" s="1"/>
  <c r="P306" i="11"/>
  <c r="L306" i="11"/>
  <c r="H306" i="11"/>
  <c r="J306" i="11"/>
  <c r="R306" i="11"/>
  <c r="P311" i="11"/>
  <c r="L311" i="11"/>
  <c r="H311" i="11"/>
  <c r="O311" i="11"/>
  <c r="K311" i="11"/>
  <c r="J311" i="11"/>
  <c r="R311" i="11"/>
  <c r="I315" i="11"/>
  <c r="U322" i="11"/>
  <c r="Q322" i="11"/>
  <c r="M322" i="11"/>
  <c r="I322" i="11"/>
  <c r="D322" i="11"/>
  <c r="F321" i="69" s="1"/>
  <c r="P322" i="11"/>
  <c r="L322" i="11"/>
  <c r="H322" i="11"/>
  <c r="J322" i="11"/>
  <c r="R322" i="11"/>
  <c r="P327" i="11"/>
  <c r="L327" i="11"/>
  <c r="H327" i="11"/>
  <c r="O327" i="11"/>
  <c r="K327" i="11"/>
  <c r="J327" i="11"/>
  <c r="R327" i="11"/>
  <c r="I331" i="11"/>
  <c r="U334" i="11"/>
  <c r="Q334" i="11"/>
  <c r="M334" i="11"/>
  <c r="I334" i="11"/>
  <c r="D334" i="11"/>
  <c r="F333" i="69" s="1"/>
  <c r="P334" i="11"/>
  <c r="L334" i="11"/>
  <c r="H334" i="11"/>
  <c r="O334" i="11"/>
  <c r="K334" i="11"/>
  <c r="R334" i="11"/>
  <c r="U350" i="11"/>
  <c r="Q350" i="11"/>
  <c r="M350" i="11"/>
  <c r="I350" i="11"/>
  <c r="D350" i="11"/>
  <c r="F349" i="69" s="1"/>
  <c r="P350" i="11"/>
  <c r="L350" i="11"/>
  <c r="H350" i="11"/>
  <c r="O350" i="11"/>
  <c r="K350" i="11"/>
  <c r="R350" i="11"/>
  <c r="U366" i="11"/>
  <c r="Q366" i="11"/>
  <c r="M366" i="11"/>
  <c r="I366" i="11"/>
  <c r="D366" i="11"/>
  <c r="F365" i="69" s="1"/>
  <c r="P366" i="11"/>
  <c r="L366" i="11"/>
  <c r="H366" i="11"/>
  <c r="O366" i="11"/>
  <c r="K366" i="11"/>
  <c r="R366" i="11"/>
  <c r="U382" i="11"/>
  <c r="Q382" i="11"/>
  <c r="M382" i="11"/>
  <c r="I382" i="11"/>
  <c r="D382" i="11"/>
  <c r="F381" i="69" s="1"/>
  <c r="P382" i="11"/>
  <c r="L382" i="11"/>
  <c r="H382" i="11"/>
  <c r="O382" i="11"/>
  <c r="K382" i="11"/>
  <c r="R382" i="11"/>
  <c r="P3" i="11"/>
  <c r="L104" i="11"/>
  <c r="L48" i="11"/>
  <c r="L102" i="11"/>
  <c r="I99" i="11"/>
  <c r="I15" i="11"/>
  <c r="U6" i="11"/>
  <c r="U10" i="11"/>
  <c r="U14" i="11"/>
  <c r="U18" i="11"/>
  <c r="U22" i="11"/>
  <c r="U26" i="11"/>
  <c r="U30" i="11"/>
  <c r="U34" i="11"/>
  <c r="U38" i="11"/>
  <c r="U42" i="11"/>
  <c r="U46" i="11"/>
  <c r="U50" i="11"/>
  <c r="U54" i="11"/>
  <c r="U58" i="11"/>
  <c r="U62" i="11"/>
  <c r="U66" i="11"/>
  <c r="U70" i="11"/>
  <c r="U74" i="11"/>
  <c r="U78" i="11"/>
  <c r="U82" i="11"/>
  <c r="U86" i="11"/>
  <c r="U90" i="11"/>
  <c r="U94" i="11"/>
  <c r="U98" i="11"/>
  <c r="U102" i="11"/>
  <c r="P299" i="11"/>
  <c r="L299" i="11"/>
  <c r="H299" i="11"/>
  <c r="O299" i="11"/>
  <c r="K299" i="11"/>
  <c r="J299" i="11"/>
  <c r="R299" i="11"/>
  <c r="U310" i="11"/>
  <c r="Q310" i="11"/>
  <c r="M310" i="11"/>
  <c r="I310" i="11"/>
  <c r="D310" i="11"/>
  <c r="F309" i="69" s="1"/>
  <c r="P310" i="11"/>
  <c r="L310" i="11"/>
  <c r="H310" i="11"/>
  <c r="J310" i="11"/>
  <c r="R310" i="11"/>
  <c r="P315" i="11"/>
  <c r="L315" i="11"/>
  <c r="H315" i="11"/>
  <c r="O315" i="11"/>
  <c r="K315" i="11"/>
  <c r="J315" i="11"/>
  <c r="R315" i="11"/>
  <c r="U326" i="11"/>
  <c r="Q326" i="11"/>
  <c r="M326" i="11"/>
  <c r="I326" i="11"/>
  <c r="D326" i="11"/>
  <c r="F325" i="69" s="1"/>
  <c r="P326" i="11"/>
  <c r="L326" i="11"/>
  <c r="H326" i="11"/>
  <c r="J326" i="11"/>
  <c r="R326" i="11"/>
  <c r="P331" i="11"/>
  <c r="L331" i="11"/>
  <c r="H331" i="11"/>
  <c r="O331" i="11"/>
  <c r="K331" i="11"/>
  <c r="J331" i="11"/>
  <c r="R331" i="11"/>
  <c r="U338" i="11"/>
  <c r="Q338" i="11"/>
  <c r="M338" i="11"/>
  <c r="I338" i="11"/>
  <c r="D338" i="11"/>
  <c r="F337" i="69" s="1"/>
  <c r="P338" i="11"/>
  <c r="L338" i="11"/>
  <c r="H338" i="11"/>
  <c r="O338" i="11"/>
  <c r="K338" i="11"/>
  <c r="R338" i="11"/>
  <c r="U354" i="11"/>
  <c r="Q354" i="11"/>
  <c r="M354" i="11"/>
  <c r="I354" i="11"/>
  <c r="D354" i="11"/>
  <c r="F353" i="69" s="1"/>
  <c r="P354" i="11"/>
  <c r="L354" i="11"/>
  <c r="H354" i="11"/>
  <c r="O354" i="11"/>
  <c r="K354" i="11"/>
  <c r="R354" i="11"/>
  <c r="U370" i="11"/>
  <c r="Q370" i="11"/>
  <c r="M370" i="11"/>
  <c r="I370" i="11"/>
  <c r="D370" i="11"/>
  <c r="F369" i="69" s="1"/>
  <c r="P370" i="11"/>
  <c r="L370" i="11"/>
  <c r="H370" i="11"/>
  <c r="O370" i="11"/>
  <c r="K370" i="11"/>
  <c r="R370" i="11"/>
  <c r="U386" i="11"/>
  <c r="Q386" i="11"/>
  <c r="M386" i="11"/>
  <c r="I386" i="11"/>
  <c r="D386" i="11"/>
  <c r="F385" i="69" s="1"/>
  <c r="P386" i="11"/>
  <c r="L386" i="11"/>
  <c r="H386" i="11"/>
  <c r="O386" i="11"/>
  <c r="K386" i="11"/>
  <c r="R386" i="11"/>
  <c r="P482" i="11"/>
  <c r="L482" i="11"/>
  <c r="H482" i="11"/>
  <c r="O482" i="11"/>
  <c r="K482" i="11"/>
  <c r="Q482" i="11"/>
  <c r="I482" i="11"/>
  <c r="N482" i="11"/>
  <c r="U482" i="11"/>
  <c r="M482" i="11"/>
  <c r="D482" i="11"/>
  <c r="F481" i="69" s="1"/>
  <c r="J335" i="11"/>
  <c r="N335" i="11"/>
  <c r="R335" i="11"/>
  <c r="J339" i="11"/>
  <c r="N339" i="11"/>
  <c r="R339" i="11"/>
  <c r="J343" i="11"/>
  <c r="N343" i="11"/>
  <c r="R343" i="11"/>
  <c r="J347" i="11"/>
  <c r="N347" i="11"/>
  <c r="R347" i="11"/>
  <c r="J351" i="11"/>
  <c r="N351" i="11"/>
  <c r="R351" i="11"/>
  <c r="J355" i="11"/>
  <c r="N355" i="11"/>
  <c r="R355" i="11"/>
  <c r="J359" i="11"/>
  <c r="N359" i="11"/>
  <c r="R359" i="11"/>
  <c r="J363" i="11"/>
  <c r="N363" i="11"/>
  <c r="R363" i="11"/>
  <c r="J367" i="11"/>
  <c r="N367" i="11"/>
  <c r="R367" i="11"/>
  <c r="J371" i="11"/>
  <c r="N371" i="11"/>
  <c r="R371" i="11"/>
  <c r="J375" i="11"/>
  <c r="N375" i="11"/>
  <c r="R375" i="11"/>
  <c r="J379" i="11"/>
  <c r="N379" i="11"/>
  <c r="R379" i="11"/>
  <c r="J383" i="11"/>
  <c r="N383" i="11"/>
  <c r="R383" i="11"/>
  <c r="J387" i="11"/>
  <c r="N387" i="11"/>
  <c r="R387" i="11"/>
  <c r="I474" i="11"/>
  <c r="U481" i="11"/>
  <c r="Q481" i="11"/>
  <c r="M481" i="11"/>
  <c r="I481" i="11"/>
  <c r="D481" i="11"/>
  <c r="F480" i="69" s="1"/>
  <c r="P481" i="11"/>
  <c r="L481" i="11"/>
  <c r="H481" i="11"/>
  <c r="J481" i="11"/>
  <c r="R481" i="11"/>
  <c r="P486" i="11"/>
  <c r="L486" i="11"/>
  <c r="H486" i="11"/>
  <c r="O486" i="11"/>
  <c r="K486" i="11"/>
  <c r="J486" i="11"/>
  <c r="R486" i="11"/>
  <c r="J300" i="11"/>
  <c r="N300" i="11"/>
  <c r="R300" i="11"/>
  <c r="J304" i="11"/>
  <c r="N304" i="11"/>
  <c r="R304" i="11"/>
  <c r="J308" i="11"/>
  <c r="N308" i="11"/>
  <c r="R308" i="11"/>
  <c r="J312" i="11"/>
  <c r="N312" i="11"/>
  <c r="R312" i="11"/>
  <c r="J316" i="11"/>
  <c r="N316" i="11"/>
  <c r="R316" i="11"/>
  <c r="J320" i="11"/>
  <c r="N320" i="11"/>
  <c r="R320" i="11"/>
  <c r="J324" i="11"/>
  <c r="N324" i="11"/>
  <c r="R324" i="11"/>
  <c r="J328" i="11"/>
  <c r="N328" i="11"/>
  <c r="R328" i="11"/>
  <c r="J332" i="11"/>
  <c r="N332" i="11"/>
  <c r="R332" i="11"/>
  <c r="K335" i="11"/>
  <c r="O335" i="11"/>
  <c r="J336" i="11"/>
  <c r="N336" i="11"/>
  <c r="R336" i="11"/>
  <c r="K339" i="11"/>
  <c r="O339" i="11"/>
  <c r="J340" i="11"/>
  <c r="N340" i="11"/>
  <c r="R340" i="11"/>
  <c r="K343" i="11"/>
  <c r="O343" i="11"/>
  <c r="J344" i="11"/>
  <c r="N344" i="11"/>
  <c r="R344" i="11"/>
  <c r="K347" i="11"/>
  <c r="O347" i="11"/>
  <c r="J348" i="11"/>
  <c r="N348" i="11"/>
  <c r="R348" i="11"/>
  <c r="K351" i="11"/>
  <c r="O351" i="11"/>
  <c r="J352" i="11"/>
  <c r="N352" i="11"/>
  <c r="R352" i="11"/>
  <c r="K355" i="11"/>
  <c r="O355" i="11"/>
  <c r="J356" i="11"/>
  <c r="N356" i="11"/>
  <c r="R356" i="11"/>
  <c r="K359" i="11"/>
  <c r="O359" i="11"/>
  <c r="J360" i="11"/>
  <c r="N360" i="11"/>
  <c r="R360" i="11"/>
  <c r="K363" i="11"/>
  <c r="O363" i="11"/>
  <c r="J364" i="11"/>
  <c r="N364" i="11"/>
  <c r="R364" i="11"/>
  <c r="K367" i="11"/>
  <c r="O367" i="11"/>
  <c r="J368" i="11"/>
  <c r="N368" i="11"/>
  <c r="R368" i="11"/>
  <c r="K371" i="11"/>
  <c r="O371" i="11"/>
  <c r="J372" i="11"/>
  <c r="N372" i="11"/>
  <c r="R372" i="11"/>
  <c r="K375" i="11"/>
  <c r="O375" i="11"/>
  <c r="J376" i="11"/>
  <c r="N376" i="11"/>
  <c r="R376" i="11"/>
  <c r="K379" i="11"/>
  <c r="O379" i="11"/>
  <c r="J380" i="11"/>
  <c r="N380" i="11"/>
  <c r="R380" i="11"/>
  <c r="K383" i="11"/>
  <c r="O383" i="11"/>
  <c r="J384" i="11"/>
  <c r="N384" i="11"/>
  <c r="R384" i="11"/>
  <c r="K387" i="11"/>
  <c r="O387" i="11"/>
  <c r="J388" i="11"/>
  <c r="N388" i="11"/>
  <c r="R388" i="11"/>
  <c r="P474" i="11"/>
  <c r="L474" i="11"/>
  <c r="H474" i="11"/>
  <c r="O474" i="11"/>
  <c r="K474" i="11"/>
  <c r="J474" i="11"/>
  <c r="R474" i="11"/>
  <c r="U485" i="11"/>
  <c r="Q485" i="11"/>
  <c r="M485" i="11"/>
  <c r="I485" i="11"/>
  <c r="D485" i="11"/>
  <c r="F484" i="69" s="1"/>
  <c r="P485" i="11"/>
  <c r="L485" i="11"/>
  <c r="H485" i="11"/>
  <c r="J485" i="11"/>
  <c r="R485" i="11"/>
  <c r="I4" i="11"/>
  <c r="Q4" i="11"/>
  <c r="I6" i="11"/>
  <c r="M6" i="11"/>
  <c r="Q6" i="11"/>
  <c r="I8" i="11"/>
  <c r="M8" i="11"/>
  <c r="Q8" i="11"/>
  <c r="I10" i="11"/>
  <c r="M10" i="11"/>
  <c r="Q10" i="11"/>
  <c r="I12" i="11"/>
  <c r="Q12" i="11"/>
  <c r="I14" i="11"/>
  <c r="M14" i="11"/>
  <c r="Q14" i="11"/>
  <c r="I16" i="11"/>
  <c r="Q16" i="11"/>
  <c r="I18" i="11"/>
  <c r="M18" i="11"/>
  <c r="Q18" i="11"/>
  <c r="I20" i="11"/>
  <c r="Q20" i="11"/>
  <c r="I22" i="11"/>
  <c r="M22" i="11"/>
  <c r="Q22" i="11"/>
  <c r="I24" i="11"/>
  <c r="Q24" i="11"/>
  <c r="M26" i="11"/>
  <c r="Q26" i="11"/>
  <c r="I28" i="11"/>
  <c r="Q28" i="11"/>
  <c r="I30" i="11"/>
  <c r="M30" i="11"/>
  <c r="Q30" i="11"/>
  <c r="I32" i="11"/>
  <c r="Q32" i="11"/>
  <c r="I34" i="11"/>
  <c r="Q34" i="11"/>
  <c r="I36" i="11"/>
  <c r="Q36" i="11"/>
  <c r="I38" i="11"/>
  <c r="Q38" i="11"/>
  <c r="I40" i="11"/>
  <c r="M40" i="11"/>
  <c r="Q40" i="11"/>
  <c r="I42" i="11"/>
  <c r="Q42" i="11"/>
  <c r="I44" i="11"/>
  <c r="Q44" i="11"/>
  <c r="I46" i="11"/>
  <c r="M46" i="11"/>
  <c r="Q46" i="11"/>
  <c r="I48" i="11"/>
  <c r="Q48" i="11"/>
  <c r="I50" i="11"/>
  <c r="Q50" i="11"/>
  <c r="I52" i="11"/>
  <c r="Q52" i="11"/>
  <c r="I54" i="11"/>
  <c r="M54" i="11"/>
  <c r="Q54" i="11"/>
  <c r="I56" i="11"/>
  <c r="Q56" i="11"/>
  <c r="Q58" i="11"/>
  <c r="I60" i="11"/>
  <c r="Q60" i="11"/>
  <c r="I62" i="11"/>
  <c r="M62" i="11"/>
  <c r="Q62" i="11"/>
  <c r="I64" i="11"/>
  <c r="Q64" i="11"/>
  <c r="I66" i="11"/>
  <c r="Q66" i="11"/>
  <c r="I68" i="11"/>
  <c r="Q68" i="11"/>
  <c r="I70" i="11"/>
  <c r="Q70" i="11"/>
  <c r="I72" i="11"/>
  <c r="Q72" i="11"/>
  <c r="I74" i="11"/>
  <c r="M74" i="11"/>
  <c r="Q74" i="11"/>
  <c r="I76" i="11"/>
  <c r="Q76" i="11"/>
  <c r="I78" i="11"/>
  <c r="Q78" i="11"/>
  <c r="I80" i="11"/>
  <c r="Q80" i="11"/>
  <c r="I82" i="11"/>
  <c r="Q82" i="11"/>
  <c r="I84" i="11"/>
  <c r="Q84" i="11"/>
  <c r="I86" i="11"/>
  <c r="Q86" i="11"/>
  <c r="I88" i="11"/>
  <c r="Q88" i="11"/>
  <c r="I90" i="11"/>
  <c r="Q90" i="11"/>
  <c r="I92" i="11"/>
  <c r="Q92" i="11"/>
  <c r="I94" i="11"/>
  <c r="Q94" i="11"/>
  <c r="I96" i="11"/>
  <c r="Q96" i="11"/>
  <c r="I98" i="11"/>
  <c r="Q98" i="11"/>
  <c r="Q100" i="11"/>
  <c r="M102" i="11"/>
  <c r="Q102" i="11"/>
  <c r="I104" i="11"/>
  <c r="M104" i="11"/>
  <c r="Q104" i="11"/>
  <c r="I106" i="11"/>
  <c r="M106" i="11"/>
  <c r="Q106" i="11"/>
  <c r="I108" i="11"/>
  <c r="M108" i="11"/>
  <c r="Q108" i="11"/>
  <c r="I110" i="11"/>
  <c r="M110" i="11"/>
  <c r="Q110" i="11"/>
  <c r="I112" i="11"/>
  <c r="M112" i="11"/>
  <c r="Q112" i="11"/>
  <c r="I114" i="11"/>
  <c r="M114" i="11"/>
  <c r="Q114" i="11"/>
  <c r="I116" i="11"/>
  <c r="M116" i="11"/>
  <c r="Q116" i="11"/>
  <c r="I118" i="11"/>
  <c r="M118" i="11"/>
  <c r="Q118" i="11"/>
  <c r="I120" i="11"/>
  <c r="M120" i="11"/>
  <c r="Q120" i="11"/>
  <c r="I122" i="11"/>
  <c r="M122" i="11"/>
  <c r="Q122" i="11"/>
  <c r="I124" i="11"/>
  <c r="M124" i="11"/>
  <c r="Q124" i="11"/>
  <c r="I126" i="11"/>
  <c r="M126" i="11"/>
  <c r="Q126" i="11"/>
  <c r="I128" i="11"/>
  <c r="M128" i="11"/>
  <c r="Q128" i="11"/>
  <c r="I130" i="11"/>
  <c r="M130" i="11"/>
  <c r="Q130" i="11"/>
  <c r="I132" i="11"/>
  <c r="M132" i="11"/>
  <c r="Q132" i="11"/>
  <c r="I134" i="11"/>
  <c r="M134" i="11"/>
  <c r="Q134" i="11"/>
  <c r="I136" i="11"/>
  <c r="M136" i="11"/>
  <c r="Q136" i="11"/>
  <c r="I138" i="11"/>
  <c r="M138" i="11"/>
  <c r="Q138" i="11"/>
  <c r="I140" i="11"/>
  <c r="M140" i="11"/>
  <c r="Q140" i="11"/>
  <c r="I142" i="11"/>
  <c r="M142" i="11"/>
  <c r="Q142" i="11"/>
  <c r="I144" i="11"/>
  <c r="M144" i="11"/>
  <c r="Q144" i="11"/>
  <c r="I146" i="11"/>
  <c r="M146" i="11"/>
  <c r="Q146" i="11"/>
  <c r="I148" i="11"/>
  <c r="M148" i="11"/>
  <c r="Q148" i="11"/>
  <c r="I150" i="11"/>
  <c r="M150" i="11"/>
  <c r="Q150" i="11"/>
  <c r="I152" i="11"/>
  <c r="M152" i="11"/>
  <c r="Q152" i="11"/>
  <c r="I154" i="11"/>
  <c r="M154" i="11"/>
  <c r="Q154" i="11"/>
  <c r="I156" i="11"/>
  <c r="M156" i="11"/>
  <c r="Q156" i="11"/>
  <c r="I158" i="11"/>
  <c r="M158" i="11"/>
  <c r="Q158" i="11"/>
  <c r="I160" i="11"/>
  <c r="M160" i="11"/>
  <c r="Q160" i="11"/>
  <c r="I162" i="11"/>
  <c r="M162" i="11"/>
  <c r="Q162" i="11"/>
  <c r="I164" i="11"/>
  <c r="M164" i="11"/>
  <c r="Q164" i="11"/>
  <c r="I166" i="11"/>
  <c r="M166" i="11"/>
  <c r="Q166" i="11"/>
  <c r="I168" i="11"/>
  <c r="M168" i="11"/>
  <c r="Q168" i="11"/>
  <c r="I170" i="11"/>
  <c r="M170" i="11"/>
  <c r="Q170" i="11"/>
  <c r="I172" i="11"/>
  <c r="M172" i="11"/>
  <c r="Q172" i="11"/>
  <c r="I174" i="11"/>
  <c r="M174" i="11"/>
  <c r="Q174" i="11"/>
  <c r="I176" i="11"/>
  <c r="M176" i="11"/>
  <c r="Q176" i="11"/>
  <c r="I178" i="11"/>
  <c r="M178" i="11"/>
  <c r="Q178" i="11"/>
  <c r="I180" i="11"/>
  <c r="M180" i="11"/>
  <c r="Q180" i="11"/>
  <c r="I182" i="11"/>
  <c r="M182" i="11"/>
  <c r="Q182" i="11"/>
  <c r="I184" i="11"/>
  <c r="M184" i="11"/>
  <c r="Q184" i="11"/>
  <c r="I186" i="11"/>
  <c r="M186" i="11"/>
  <c r="Q186" i="11"/>
  <c r="I188" i="11"/>
  <c r="M188" i="11"/>
  <c r="Q188" i="11"/>
  <c r="I190" i="11"/>
  <c r="M190" i="11"/>
  <c r="Q190" i="11"/>
  <c r="I192" i="11"/>
  <c r="M192" i="11"/>
  <c r="Q192" i="11"/>
  <c r="I194" i="11"/>
  <c r="M194" i="11"/>
  <c r="Q194" i="11"/>
  <c r="I196" i="11"/>
  <c r="M196" i="11"/>
  <c r="Q196" i="11"/>
  <c r="I198" i="11"/>
  <c r="M198" i="11"/>
  <c r="Q198" i="11"/>
  <c r="I200" i="11"/>
  <c r="M200" i="11"/>
  <c r="Q200" i="11"/>
  <c r="I202" i="11"/>
  <c r="M202" i="11"/>
  <c r="Q202" i="11"/>
  <c r="I204" i="11"/>
  <c r="M204" i="11"/>
  <c r="Q204" i="11"/>
  <c r="I206" i="11"/>
  <c r="M206" i="11"/>
  <c r="Q206" i="11"/>
  <c r="I208" i="11"/>
  <c r="M208" i="11"/>
  <c r="Q208" i="11"/>
  <c r="I210" i="11"/>
  <c r="M210" i="11"/>
  <c r="Q210" i="11"/>
  <c r="I212" i="11"/>
  <c r="M212" i="11"/>
  <c r="Q212" i="11"/>
  <c r="I214" i="11"/>
  <c r="M214" i="11"/>
  <c r="Q214" i="11"/>
  <c r="I216" i="11"/>
  <c r="M216" i="11"/>
  <c r="Q216" i="11"/>
  <c r="I218" i="11"/>
  <c r="M218" i="11"/>
  <c r="Q218" i="11"/>
  <c r="I220" i="11"/>
  <c r="M220" i="11"/>
  <c r="Q220" i="11"/>
  <c r="I222" i="11"/>
  <c r="M222" i="11"/>
  <c r="Q222" i="11"/>
  <c r="I224" i="11"/>
  <c r="M224" i="11"/>
  <c r="Q224" i="11"/>
  <c r="I226" i="11"/>
  <c r="M226" i="11"/>
  <c r="Q226" i="11"/>
  <c r="I228" i="11"/>
  <c r="M228" i="11"/>
  <c r="Q228" i="11"/>
  <c r="I230" i="11"/>
  <c r="M230" i="11"/>
  <c r="Q230" i="11"/>
  <c r="I232" i="11"/>
  <c r="M232" i="11"/>
  <c r="Q232" i="11"/>
  <c r="I234" i="11"/>
  <c r="M234" i="11"/>
  <c r="Q234" i="11"/>
  <c r="J237" i="11"/>
  <c r="N237" i="11"/>
  <c r="J241" i="11"/>
  <c r="N241" i="11"/>
  <c r="J245" i="11"/>
  <c r="N245" i="11"/>
  <c r="J249" i="11"/>
  <c r="N249" i="11"/>
  <c r="J253" i="11"/>
  <c r="N253" i="11"/>
  <c r="J257" i="11"/>
  <c r="N257" i="11"/>
  <c r="J261" i="11"/>
  <c r="N261" i="11"/>
  <c r="J265" i="11"/>
  <c r="N265" i="11"/>
  <c r="J269" i="11"/>
  <c r="N269" i="11"/>
  <c r="J273" i="11"/>
  <c r="N273" i="11"/>
  <c r="J277" i="11"/>
  <c r="N277" i="11"/>
  <c r="J281" i="11"/>
  <c r="N281" i="11"/>
  <c r="J285" i="11"/>
  <c r="N285" i="11"/>
  <c r="J289" i="11"/>
  <c r="N289" i="11"/>
  <c r="J293" i="11"/>
  <c r="N293" i="11"/>
  <c r="J297" i="11"/>
  <c r="N297" i="11"/>
  <c r="K300" i="11"/>
  <c r="J301" i="11"/>
  <c r="N301" i="11"/>
  <c r="K304" i="11"/>
  <c r="J305" i="11"/>
  <c r="N305" i="11"/>
  <c r="K308" i="11"/>
  <c r="J309" i="11"/>
  <c r="N309" i="11"/>
  <c r="K312" i="11"/>
  <c r="J313" i="11"/>
  <c r="N313" i="11"/>
  <c r="K316" i="11"/>
  <c r="J317" i="11"/>
  <c r="N317" i="11"/>
  <c r="K320" i="11"/>
  <c r="J321" i="11"/>
  <c r="N321" i="11"/>
  <c r="K324" i="11"/>
  <c r="J325" i="11"/>
  <c r="N325" i="11"/>
  <c r="K328" i="11"/>
  <c r="J329" i="11"/>
  <c r="N329" i="11"/>
  <c r="K332" i="11"/>
  <c r="J333" i="11"/>
  <c r="N333" i="11"/>
  <c r="H335" i="11"/>
  <c r="L335" i="11"/>
  <c r="K336" i="11"/>
  <c r="J337" i="11"/>
  <c r="N337" i="11"/>
  <c r="H339" i="11"/>
  <c r="L339" i="11"/>
  <c r="K340" i="11"/>
  <c r="J341" i="11"/>
  <c r="N341" i="11"/>
  <c r="H343" i="11"/>
  <c r="L343" i="11"/>
  <c r="K344" i="11"/>
  <c r="J345" i="11"/>
  <c r="N345" i="11"/>
  <c r="H347" i="11"/>
  <c r="L347" i="11"/>
  <c r="K348" i="11"/>
  <c r="J349" i="11"/>
  <c r="N349" i="11"/>
  <c r="H351" i="11"/>
  <c r="L351" i="11"/>
  <c r="K352" i="11"/>
  <c r="J353" i="11"/>
  <c r="N353" i="11"/>
  <c r="H355" i="11"/>
  <c r="L355" i="11"/>
  <c r="K356" i="11"/>
  <c r="J357" i="11"/>
  <c r="N357" i="11"/>
  <c r="H359" i="11"/>
  <c r="L359" i="11"/>
  <c r="K360" i="11"/>
  <c r="J361" i="11"/>
  <c r="N361" i="11"/>
  <c r="H363" i="11"/>
  <c r="L363" i="11"/>
  <c r="K364" i="11"/>
  <c r="J365" i="11"/>
  <c r="N365" i="11"/>
  <c r="H367" i="11"/>
  <c r="L367" i="11"/>
  <c r="K368" i="11"/>
  <c r="J369" i="11"/>
  <c r="N369" i="11"/>
  <c r="H371" i="11"/>
  <c r="L371" i="11"/>
  <c r="K372" i="11"/>
  <c r="J373" i="11"/>
  <c r="N373" i="11"/>
  <c r="H375" i="11"/>
  <c r="L375" i="11"/>
  <c r="K376" i="11"/>
  <c r="J377" i="11"/>
  <c r="N377" i="11"/>
  <c r="H379" i="11"/>
  <c r="L379" i="11"/>
  <c r="K380" i="11"/>
  <c r="J381" i="11"/>
  <c r="N381" i="11"/>
  <c r="H383" i="11"/>
  <c r="L383" i="11"/>
  <c r="K384" i="11"/>
  <c r="J385" i="11"/>
  <c r="N385" i="11"/>
  <c r="H387" i="11"/>
  <c r="L387" i="11"/>
  <c r="K388" i="11"/>
  <c r="J389" i="11"/>
  <c r="N389" i="11"/>
  <c r="R389" i="11"/>
  <c r="P390" i="11"/>
  <c r="L390" i="11"/>
  <c r="H390" i="11"/>
  <c r="M390" i="11"/>
  <c r="R390" i="11"/>
  <c r="O391" i="11"/>
  <c r="K391" i="11"/>
  <c r="H391" i="11"/>
  <c r="M391" i="11"/>
  <c r="R391" i="11"/>
  <c r="U393" i="11"/>
  <c r="Q393" i="11"/>
  <c r="M393" i="11"/>
  <c r="I393" i="11"/>
  <c r="D393" i="11"/>
  <c r="F392" i="69" s="1"/>
  <c r="L393" i="11"/>
  <c r="R393" i="11"/>
  <c r="P394" i="11"/>
  <c r="L394" i="11"/>
  <c r="H394" i="11"/>
  <c r="M394" i="11"/>
  <c r="R394" i="11"/>
  <c r="O395" i="11"/>
  <c r="K395" i="11"/>
  <c r="H395" i="11"/>
  <c r="M395" i="11"/>
  <c r="R395" i="11"/>
  <c r="U397" i="11"/>
  <c r="Q397" i="11"/>
  <c r="M397" i="11"/>
  <c r="I397" i="11"/>
  <c r="D397" i="11"/>
  <c r="F396" i="69" s="1"/>
  <c r="L397" i="11"/>
  <c r="R397" i="11"/>
  <c r="P398" i="11"/>
  <c r="L398" i="11"/>
  <c r="H398" i="11"/>
  <c r="M398" i="11"/>
  <c r="R398" i="11"/>
  <c r="O399" i="11"/>
  <c r="K399" i="11"/>
  <c r="H399" i="11"/>
  <c r="M399" i="11"/>
  <c r="R399" i="11"/>
  <c r="U401" i="11"/>
  <c r="Q401" i="11"/>
  <c r="M401" i="11"/>
  <c r="I401" i="11"/>
  <c r="D401" i="11"/>
  <c r="F400" i="69" s="1"/>
  <c r="L401" i="11"/>
  <c r="R401" i="11"/>
  <c r="P402" i="11"/>
  <c r="L402" i="11"/>
  <c r="H402" i="11"/>
  <c r="M402" i="11"/>
  <c r="R402" i="11"/>
  <c r="O403" i="11"/>
  <c r="K403" i="11"/>
  <c r="H403" i="11"/>
  <c r="M403" i="11"/>
  <c r="R403" i="11"/>
  <c r="U405" i="11"/>
  <c r="Q405" i="11"/>
  <c r="M405" i="11"/>
  <c r="I405" i="11"/>
  <c r="D405" i="11"/>
  <c r="F404" i="69" s="1"/>
  <c r="L405" i="11"/>
  <c r="R405" i="11"/>
  <c r="P406" i="11"/>
  <c r="L406" i="11"/>
  <c r="H406" i="11"/>
  <c r="M406" i="11"/>
  <c r="R406" i="11"/>
  <c r="O407" i="11"/>
  <c r="K407" i="11"/>
  <c r="H407" i="11"/>
  <c r="M407" i="11"/>
  <c r="R407" i="11"/>
  <c r="U409" i="11"/>
  <c r="Q409" i="11"/>
  <c r="M409" i="11"/>
  <c r="I409" i="11"/>
  <c r="D409" i="11"/>
  <c r="F408" i="69" s="1"/>
  <c r="L409" i="11"/>
  <c r="R409" i="11"/>
  <c r="P410" i="11"/>
  <c r="L410" i="11"/>
  <c r="H410" i="11"/>
  <c r="M410" i="11"/>
  <c r="R410" i="11"/>
  <c r="O411" i="11"/>
  <c r="K411" i="11"/>
  <c r="H411" i="11"/>
  <c r="M411" i="11"/>
  <c r="R411" i="11"/>
  <c r="U413" i="11"/>
  <c r="Q413" i="11"/>
  <c r="M413" i="11"/>
  <c r="I413" i="11"/>
  <c r="D413" i="11"/>
  <c r="F412" i="69" s="1"/>
  <c r="L413" i="11"/>
  <c r="R413" i="11"/>
  <c r="P414" i="11"/>
  <c r="L414" i="11"/>
  <c r="H414" i="11"/>
  <c r="M414" i="11"/>
  <c r="R414" i="11"/>
  <c r="O415" i="11"/>
  <c r="K415" i="11"/>
  <c r="H415" i="11"/>
  <c r="M415" i="11"/>
  <c r="R415" i="11"/>
  <c r="U417" i="11"/>
  <c r="Q417" i="11"/>
  <c r="M417" i="11"/>
  <c r="I417" i="11"/>
  <c r="D417" i="11"/>
  <c r="F416" i="69" s="1"/>
  <c r="L417" i="11"/>
  <c r="R417" i="11"/>
  <c r="P418" i="11"/>
  <c r="L418" i="11"/>
  <c r="H418" i="11"/>
  <c r="M418" i="11"/>
  <c r="R418" i="11"/>
  <c r="O419" i="11"/>
  <c r="K419" i="11"/>
  <c r="H419" i="11"/>
  <c r="M419" i="11"/>
  <c r="R419" i="11"/>
  <c r="U421" i="11"/>
  <c r="Q421" i="11"/>
  <c r="M421" i="11"/>
  <c r="I421" i="11"/>
  <c r="D421" i="11"/>
  <c r="F420" i="69" s="1"/>
  <c r="L421" i="11"/>
  <c r="R421" i="11"/>
  <c r="P422" i="11"/>
  <c r="L422" i="11"/>
  <c r="H422" i="11"/>
  <c r="M422" i="11"/>
  <c r="R422" i="11"/>
  <c r="O423" i="11"/>
  <c r="K423" i="11"/>
  <c r="H423" i="11"/>
  <c r="M423" i="11"/>
  <c r="R423" i="11"/>
  <c r="U425" i="11"/>
  <c r="Q425" i="11"/>
  <c r="M425" i="11"/>
  <c r="I425" i="11"/>
  <c r="D425" i="11"/>
  <c r="F424" i="69" s="1"/>
  <c r="L425" i="11"/>
  <c r="R425" i="11"/>
  <c r="P426" i="11"/>
  <c r="L426" i="11"/>
  <c r="H426" i="11"/>
  <c r="M426" i="11"/>
  <c r="R426" i="11"/>
  <c r="O427" i="11"/>
  <c r="K427" i="11"/>
  <c r="H427" i="11"/>
  <c r="M427" i="11"/>
  <c r="R427" i="11"/>
  <c r="U429" i="11"/>
  <c r="Q429" i="11"/>
  <c r="M429" i="11"/>
  <c r="I429" i="11"/>
  <c r="D429" i="11"/>
  <c r="F428" i="69" s="1"/>
  <c r="L429" i="11"/>
  <c r="R429" i="11"/>
  <c r="P430" i="11"/>
  <c r="L430" i="11"/>
  <c r="H430" i="11"/>
  <c r="M430" i="11"/>
  <c r="R430" i="11"/>
  <c r="O431" i="11"/>
  <c r="K431" i="11"/>
  <c r="H431" i="11"/>
  <c r="M431" i="11"/>
  <c r="R431" i="11"/>
  <c r="U433" i="11"/>
  <c r="Q433" i="11"/>
  <c r="M433" i="11"/>
  <c r="I433" i="11"/>
  <c r="D433" i="11"/>
  <c r="F432" i="69" s="1"/>
  <c r="L433" i="11"/>
  <c r="R433" i="11"/>
  <c r="P434" i="11"/>
  <c r="L434" i="11"/>
  <c r="H434" i="11"/>
  <c r="M434" i="11"/>
  <c r="R434" i="11"/>
  <c r="O435" i="11"/>
  <c r="K435" i="11"/>
  <c r="H435" i="11"/>
  <c r="M435" i="11"/>
  <c r="R435" i="11"/>
  <c r="U437" i="11"/>
  <c r="Q437" i="11"/>
  <c r="M437" i="11"/>
  <c r="I437" i="11"/>
  <c r="D437" i="11"/>
  <c r="F436" i="69" s="1"/>
  <c r="L437" i="11"/>
  <c r="R437" i="11"/>
  <c r="P438" i="11"/>
  <c r="L438" i="11"/>
  <c r="H438" i="11"/>
  <c r="M438" i="11"/>
  <c r="R438" i="11"/>
  <c r="O439" i="11"/>
  <c r="K439" i="11"/>
  <c r="H439" i="11"/>
  <c r="M439" i="11"/>
  <c r="R439" i="11"/>
  <c r="U441" i="11"/>
  <c r="Q441" i="11"/>
  <c r="M441" i="11"/>
  <c r="I441" i="11"/>
  <c r="D441" i="11"/>
  <c r="F440" i="69" s="1"/>
  <c r="L441" i="11"/>
  <c r="R441" i="11"/>
  <c r="P442" i="11"/>
  <c r="L442" i="11"/>
  <c r="H442" i="11"/>
  <c r="M442" i="11"/>
  <c r="R442" i="11"/>
  <c r="O443" i="11"/>
  <c r="K443" i="11"/>
  <c r="H443" i="11"/>
  <c r="M443" i="11"/>
  <c r="R443" i="11"/>
  <c r="U445" i="11"/>
  <c r="Q445" i="11"/>
  <c r="M445" i="11"/>
  <c r="I445" i="11"/>
  <c r="D445" i="11"/>
  <c r="F444" i="69" s="1"/>
  <c r="L445" i="11"/>
  <c r="R445" i="11"/>
  <c r="P446" i="11"/>
  <c r="L446" i="11"/>
  <c r="H446" i="11"/>
  <c r="M446" i="11"/>
  <c r="R446" i="11"/>
  <c r="O447" i="11"/>
  <c r="K447" i="11"/>
  <c r="H447" i="11"/>
  <c r="M447" i="11"/>
  <c r="R447" i="11"/>
  <c r="U449" i="11"/>
  <c r="Q449" i="11"/>
  <c r="M449" i="11"/>
  <c r="I449" i="11"/>
  <c r="D449" i="11"/>
  <c r="F448" i="69" s="1"/>
  <c r="L449" i="11"/>
  <c r="R449" i="11"/>
  <c r="P450" i="11"/>
  <c r="L450" i="11"/>
  <c r="H450" i="11"/>
  <c r="M450" i="11"/>
  <c r="R450" i="11"/>
  <c r="O451" i="11"/>
  <c r="K451" i="11"/>
  <c r="H451" i="11"/>
  <c r="M451" i="11"/>
  <c r="R451" i="11"/>
  <c r="U453" i="11"/>
  <c r="Q453" i="11"/>
  <c r="M453" i="11"/>
  <c r="I453" i="11"/>
  <c r="D453" i="11"/>
  <c r="F452" i="69" s="1"/>
  <c r="L453" i="11"/>
  <c r="R453" i="11"/>
  <c r="P454" i="11"/>
  <c r="L454" i="11"/>
  <c r="H454" i="11"/>
  <c r="M454" i="11"/>
  <c r="R454" i="11"/>
  <c r="O455" i="11"/>
  <c r="K455" i="11"/>
  <c r="H455" i="11"/>
  <c r="M455" i="11"/>
  <c r="R455" i="11"/>
  <c r="U457" i="11"/>
  <c r="Q457" i="11"/>
  <c r="M457" i="11"/>
  <c r="I457" i="11"/>
  <c r="D457" i="11"/>
  <c r="F456" i="69" s="1"/>
  <c r="L457" i="11"/>
  <c r="R457" i="11"/>
  <c r="P458" i="11"/>
  <c r="L458" i="11"/>
  <c r="H458" i="11"/>
  <c r="M458" i="11"/>
  <c r="R458" i="11"/>
  <c r="O459" i="11"/>
  <c r="K459" i="11"/>
  <c r="H459" i="11"/>
  <c r="M459" i="11"/>
  <c r="R459" i="11"/>
  <c r="U461" i="11"/>
  <c r="Q461" i="11"/>
  <c r="M461" i="11"/>
  <c r="I461" i="11"/>
  <c r="D461" i="11"/>
  <c r="F460" i="69" s="1"/>
  <c r="L461" i="11"/>
  <c r="R461" i="11"/>
  <c r="P462" i="11"/>
  <c r="L462" i="11"/>
  <c r="H462" i="11"/>
  <c r="M462" i="11"/>
  <c r="R462" i="11"/>
  <c r="O463" i="11"/>
  <c r="K463" i="11"/>
  <c r="H463" i="11"/>
  <c r="M463" i="11"/>
  <c r="R463" i="11"/>
  <c r="U465" i="11"/>
  <c r="Q465" i="11"/>
  <c r="M465" i="11"/>
  <c r="I465" i="11"/>
  <c r="D465" i="11"/>
  <c r="F464" i="69" s="1"/>
  <c r="L465" i="11"/>
  <c r="R465" i="11"/>
  <c r="P466" i="11"/>
  <c r="L466" i="11"/>
  <c r="H466" i="11"/>
  <c r="M466" i="11"/>
  <c r="R466" i="11"/>
  <c r="O467" i="11"/>
  <c r="K467" i="11"/>
  <c r="H467" i="11"/>
  <c r="M467" i="11"/>
  <c r="R467" i="11"/>
  <c r="U469" i="11"/>
  <c r="Q469" i="11"/>
  <c r="M469" i="11"/>
  <c r="I469" i="11"/>
  <c r="D469" i="11"/>
  <c r="F468" i="69" s="1"/>
  <c r="L469" i="11"/>
  <c r="R469" i="11"/>
  <c r="P470" i="11"/>
  <c r="L470" i="11"/>
  <c r="H470" i="11"/>
  <c r="M470" i="11"/>
  <c r="R470" i="11"/>
  <c r="O471" i="11"/>
  <c r="K471" i="11"/>
  <c r="H471" i="11"/>
  <c r="M471" i="11"/>
  <c r="R471" i="11"/>
  <c r="U473" i="11"/>
  <c r="Q473" i="11"/>
  <c r="M473" i="11"/>
  <c r="I473" i="11"/>
  <c r="D473" i="11"/>
  <c r="F472" i="69" s="1"/>
  <c r="P473" i="11"/>
  <c r="L473" i="11"/>
  <c r="H473" i="11"/>
  <c r="J473" i="11"/>
  <c r="R473" i="11"/>
  <c r="D474" i="11"/>
  <c r="F473" i="69" s="1"/>
  <c r="M474" i="11"/>
  <c r="U474" i="11"/>
  <c r="P478" i="11"/>
  <c r="L478" i="11"/>
  <c r="H478" i="11"/>
  <c r="O478" i="11"/>
  <c r="K478" i="11"/>
  <c r="J478" i="11"/>
  <c r="R478" i="11"/>
  <c r="N481" i="11"/>
  <c r="K485" i="11"/>
  <c r="N486" i="11"/>
  <c r="U489" i="11"/>
  <c r="Q489" i="11"/>
  <c r="M489" i="11"/>
  <c r="I489" i="11"/>
  <c r="T490" i="11" s="1"/>
  <c r="D489" i="11"/>
  <c r="F488" i="69" s="1"/>
  <c r="P489" i="11"/>
  <c r="L489" i="11"/>
  <c r="H489" i="11"/>
  <c r="J489" i="11"/>
  <c r="R489" i="11"/>
  <c r="S490" i="11" s="1"/>
  <c r="J475" i="11"/>
  <c r="N475" i="11"/>
  <c r="R475" i="11"/>
  <c r="J479" i="11"/>
  <c r="N479" i="11"/>
  <c r="R479" i="11"/>
  <c r="J483" i="11"/>
  <c r="N483" i="11"/>
  <c r="R483" i="11"/>
  <c r="J487" i="11"/>
  <c r="N487" i="11"/>
  <c r="R487" i="11"/>
  <c r="J392" i="11"/>
  <c r="N392" i="11"/>
  <c r="J396" i="11"/>
  <c r="N396" i="11"/>
  <c r="J400" i="11"/>
  <c r="N400" i="11"/>
  <c r="J404" i="11"/>
  <c r="N404" i="11"/>
  <c r="J408" i="11"/>
  <c r="N408" i="11"/>
  <c r="J412" i="11"/>
  <c r="N412" i="11"/>
  <c r="J416" i="11"/>
  <c r="N416" i="11"/>
  <c r="J420" i="11"/>
  <c r="N420" i="11"/>
  <c r="J424" i="11"/>
  <c r="N424" i="11"/>
  <c r="J428" i="11"/>
  <c r="N428" i="11"/>
  <c r="J432" i="11"/>
  <c r="N432" i="11"/>
  <c r="J436" i="11"/>
  <c r="N436" i="11"/>
  <c r="J440" i="11"/>
  <c r="N440" i="11"/>
  <c r="J444" i="11"/>
  <c r="N444" i="11"/>
  <c r="J448" i="11"/>
  <c r="N448" i="11"/>
  <c r="J452" i="11"/>
  <c r="N452" i="11"/>
  <c r="J456" i="11"/>
  <c r="N456" i="11"/>
  <c r="J460" i="11"/>
  <c r="N460" i="11"/>
  <c r="J464" i="11"/>
  <c r="N464" i="11"/>
  <c r="J468" i="11"/>
  <c r="N468" i="11"/>
  <c r="J472" i="11"/>
  <c r="N472" i="11"/>
  <c r="K475" i="11"/>
  <c r="J476" i="11"/>
  <c r="N476" i="11"/>
  <c r="K479" i="11"/>
  <c r="J480" i="11"/>
  <c r="N480" i="11"/>
  <c r="K483" i="11"/>
  <c r="J484" i="11"/>
  <c r="N484" i="11"/>
  <c r="K487" i="11"/>
  <c r="J488" i="11"/>
  <c r="N488" i="11"/>
  <c r="W38" i="49"/>
  <c r="S38" i="49"/>
  <c r="O38" i="49"/>
  <c r="K38" i="49"/>
  <c r="C38" i="49"/>
  <c r="E38" i="49" s="1"/>
  <c r="U38" i="49"/>
  <c r="P38" i="49"/>
  <c r="J38" i="49"/>
  <c r="Y38" i="49"/>
  <c r="T38" i="49"/>
  <c r="N38" i="49"/>
  <c r="R38" i="49"/>
  <c r="Q38" i="49"/>
  <c r="X38" i="49"/>
  <c r="M38" i="49"/>
  <c r="B38" i="49"/>
  <c r="V38" i="49"/>
  <c r="L38" i="49"/>
  <c r="W35" i="49"/>
  <c r="S35" i="49"/>
  <c r="O35" i="49"/>
  <c r="K35" i="49"/>
  <c r="C35" i="49"/>
  <c r="E35" i="49" s="1"/>
  <c r="Y35" i="49"/>
  <c r="T35" i="49"/>
  <c r="N35" i="49"/>
  <c r="X35" i="49"/>
  <c r="R35" i="49"/>
  <c r="M35" i="49"/>
  <c r="B35" i="49"/>
  <c r="U35" i="49"/>
  <c r="J35" i="49"/>
  <c r="Q35" i="49"/>
  <c r="P35" i="49"/>
  <c r="W51" i="49"/>
  <c r="S51" i="49"/>
  <c r="O51" i="49"/>
  <c r="K51" i="49"/>
  <c r="C51" i="49"/>
  <c r="E51" i="49" s="1"/>
  <c r="Y51" i="49"/>
  <c r="T51" i="49"/>
  <c r="N51" i="49"/>
  <c r="X51" i="49"/>
  <c r="R51" i="49"/>
  <c r="M51" i="49"/>
  <c r="B51" i="49"/>
  <c r="U51" i="49"/>
  <c r="J51" i="49"/>
  <c r="Q51" i="49"/>
  <c r="P51" i="49"/>
  <c r="L35" i="49"/>
  <c r="L51" i="49"/>
  <c r="V35" i="49"/>
  <c r="V51" i="49"/>
  <c r="V24" i="49"/>
  <c r="R24" i="49"/>
  <c r="N24" i="49"/>
  <c r="J24" i="49"/>
  <c r="B24" i="49"/>
  <c r="Y24" i="49"/>
  <c r="T24" i="49"/>
  <c r="O24" i="49"/>
  <c r="X24" i="49"/>
  <c r="S24" i="49"/>
  <c r="M24" i="49"/>
  <c r="C24" i="49"/>
  <c r="E24" i="49" s="1"/>
  <c r="L24" i="49"/>
  <c r="W24" i="49"/>
  <c r="W31" i="49"/>
  <c r="S31" i="49"/>
  <c r="O31" i="49"/>
  <c r="K31" i="49"/>
  <c r="C31" i="49"/>
  <c r="E31" i="49" s="1"/>
  <c r="Y31" i="49"/>
  <c r="T31" i="49"/>
  <c r="N31" i="49"/>
  <c r="X31" i="49"/>
  <c r="R31" i="49"/>
  <c r="M31" i="49"/>
  <c r="B31" i="49"/>
  <c r="L31" i="49"/>
  <c r="V31" i="49"/>
  <c r="W34" i="49"/>
  <c r="S34" i="49"/>
  <c r="O34" i="49"/>
  <c r="K34" i="49"/>
  <c r="C34" i="49"/>
  <c r="E34" i="49" s="1"/>
  <c r="U34" i="49"/>
  <c r="P34" i="49"/>
  <c r="J34" i="49"/>
  <c r="Y34" i="49"/>
  <c r="T34" i="49"/>
  <c r="N34" i="49"/>
  <c r="L34" i="49"/>
  <c r="V34" i="49"/>
  <c r="W47" i="49"/>
  <c r="S47" i="49"/>
  <c r="O47" i="49"/>
  <c r="K47" i="49"/>
  <c r="C47" i="49"/>
  <c r="E47" i="49" s="1"/>
  <c r="Y47" i="49"/>
  <c r="T47" i="49"/>
  <c r="N47" i="49"/>
  <c r="X47" i="49"/>
  <c r="R47" i="49"/>
  <c r="M47" i="49"/>
  <c r="B47" i="49"/>
  <c r="L47" i="49"/>
  <c r="V47" i="49"/>
  <c r="W50" i="49"/>
  <c r="S50" i="49"/>
  <c r="O50" i="49"/>
  <c r="K50" i="49"/>
  <c r="C50" i="49"/>
  <c r="E50" i="49" s="1"/>
  <c r="U50" i="49"/>
  <c r="P50" i="49"/>
  <c r="J50" i="49"/>
  <c r="Y50" i="49"/>
  <c r="T50" i="49"/>
  <c r="N50" i="49"/>
  <c r="L50" i="49"/>
  <c r="V50" i="49"/>
  <c r="P24" i="49"/>
  <c r="W27" i="49"/>
  <c r="S27" i="49"/>
  <c r="O27" i="49"/>
  <c r="K27" i="49"/>
  <c r="C27" i="49"/>
  <c r="E27" i="49" s="1"/>
  <c r="Y27" i="49"/>
  <c r="T27" i="49"/>
  <c r="N27" i="49"/>
  <c r="X27" i="49"/>
  <c r="R27" i="49"/>
  <c r="M27" i="49"/>
  <c r="B27" i="49"/>
  <c r="L27" i="49"/>
  <c r="V27" i="49"/>
  <c r="W30" i="49"/>
  <c r="S30" i="49"/>
  <c r="O30" i="49"/>
  <c r="K30" i="49"/>
  <c r="C30" i="49"/>
  <c r="E30" i="49" s="1"/>
  <c r="U30" i="49"/>
  <c r="P30" i="49"/>
  <c r="J30" i="49"/>
  <c r="Y30" i="49"/>
  <c r="T30" i="49"/>
  <c r="N30" i="49"/>
  <c r="L30" i="49"/>
  <c r="V30" i="49"/>
  <c r="P31" i="49"/>
  <c r="B34" i="49"/>
  <c r="M34" i="49"/>
  <c r="X34" i="49"/>
  <c r="J39" i="49"/>
  <c r="W43" i="49"/>
  <c r="S43" i="49"/>
  <c r="O43" i="49"/>
  <c r="K43" i="49"/>
  <c r="C43" i="49"/>
  <c r="E43" i="49" s="1"/>
  <c r="Y43" i="49"/>
  <c r="T43" i="49"/>
  <c r="N43" i="49"/>
  <c r="X43" i="49"/>
  <c r="R43" i="49"/>
  <c r="M43" i="49"/>
  <c r="B43" i="49"/>
  <c r="L43" i="49"/>
  <c r="V43" i="49"/>
  <c r="W46" i="49"/>
  <c r="S46" i="49"/>
  <c r="O46" i="49"/>
  <c r="K46" i="49"/>
  <c r="C46" i="49"/>
  <c r="E46" i="49" s="1"/>
  <c r="U46" i="49"/>
  <c r="P46" i="49"/>
  <c r="J46" i="49"/>
  <c r="Y46" i="49"/>
  <c r="T46" i="49"/>
  <c r="N46" i="49"/>
  <c r="L46" i="49"/>
  <c r="V46" i="49"/>
  <c r="P47" i="49"/>
  <c r="B50" i="49"/>
  <c r="M50" i="49"/>
  <c r="X50" i="49"/>
  <c r="W55" i="49"/>
  <c r="S55" i="49"/>
  <c r="O55" i="49"/>
  <c r="K55" i="49"/>
  <c r="C55" i="49"/>
  <c r="E55" i="49" s="1"/>
  <c r="Y55" i="49"/>
  <c r="T55" i="49"/>
  <c r="N55" i="49"/>
  <c r="X55" i="49"/>
  <c r="R55" i="49"/>
  <c r="M55" i="49"/>
  <c r="B55" i="49"/>
  <c r="U55" i="49"/>
  <c r="P55" i="49"/>
  <c r="J55" i="49"/>
  <c r="V55" i="49"/>
  <c r="Q24" i="49"/>
  <c r="W26" i="49"/>
  <c r="S26" i="49"/>
  <c r="O26" i="49"/>
  <c r="K26" i="49"/>
  <c r="C26" i="49"/>
  <c r="E26" i="49" s="1"/>
  <c r="U26" i="49"/>
  <c r="P26" i="49"/>
  <c r="J26" i="49"/>
  <c r="Y26" i="49"/>
  <c r="T26" i="49"/>
  <c r="N26" i="49"/>
  <c r="L26" i="49"/>
  <c r="V26" i="49"/>
  <c r="Q31" i="49"/>
  <c r="Q34" i="49"/>
  <c r="W39" i="49"/>
  <c r="S39" i="49"/>
  <c r="O39" i="49"/>
  <c r="K39" i="49"/>
  <c r="C39" i="49"/>
  <c r="E39" i="49" s="1"/>
  <c r="Y39" i="49"/>
  <c r="T39" i="49"/>
  <c r="N39" i="49"/>
  <c r="X39" i="49"/>
  <c r="R39" i="49"/>
  <c r="M39" i="49"/>
  <c r="B39" i="49"/>
  <c r="L39" i="49"/>
  <c r="V39" i="49"/>
  <c r="W42" i="49"/>
  <c r="S42" i="49"/>
  <c r="O42" i="49"/>
  <c r="K42" i="49"/>
  <c r="C42" i="49"/>
  <c r="E42" i="49" s="1"/>
  <c r="U42" i="49"/>
  <c r="P42" i="49"/>
  <c r="J42" i="49"/>
  <c r="Y42" i="49"/>
  <c r="T42" i="49"/>
  <c r="N42" i="49"/>
  <c r="L42" i="49"/>
  <c r="V42" i="49"/>
  <c r="Q47" i="49"/>
  <c r="Q50" i="49"/>
  <c r="W54" i="49"/>
  <c r="S54" i="49"/>
  <c r="O54" i="49"/>
  <c r="K54" i="49"/>
  <c r="C54" i="49"/>
  <c r="E54" i="49" s="1"/>
  <c r="L54" i="49"/>
  <c r="Q54" i="49"/>
  <c r="V54" i="49"/>
  <c r="W58" i="49"/>
  <c r="S58" i="49"/>
  <c r="O58" i="49"/>
  <c r="K58" i="49"/>
  <c r="C58" i="49"/>
  <c r="E58" i="49" s="1"/>
  <c r="L58" i="49"/>
  <c r="Q58" i="49"/>
  <c r="V58" i="49"/>
  <c r="J59" i="49"/>
  <c r="P59" i="49"/>
  <c r="W62" i="49"/>
  <c r="S62" i="49"/>
  <c r="O62" i="49"/>
  <c r="K62" i="49"/>
  <c r="C62" i="49"/>
  <c r="E62" i="49" s="1"/>
  <c r="L62" i="49"/>
  <c r="Q62" i="49"/>
  <c r="V62" i="49"/>
  <c r="J63" i="49"/>
  <c r="P63" i="49"/>
  <c r="W66" i="49"/>
  <c r="S66" i="49"/>
  <c r="O66" i="49"/>
  <c r="K66" i="49"/>
  <c r="C66" i="49"/>
  <c r="E66" i="49" s="1"/>
  <c r="L66" i="49"/>
  <c r="Q66" i="49"/>
  <c r="V66" i="49"/>
  <c r="J67" i="49"/>
  <c r="P67" i="49"/>
  <c r="W70" i="49"/>
  <c r="S70" i="49"/>
  <c r="O70" i="49"/>
  <c r="K70" i="49"/>
  <c r="C70" i="49"/>
  <c r="E70" i="49" s="1"/>
  <c r="X70" i="49"/>
  <c r="R70" i="49"/>
  <c r="M70" i="49"/>
  <c r="B70" i="49"/>
  <c r="U70" i="49"/>
  <c r="P70" i="49"/>
  <c r="J70" i="49"/>
  <c r="L70" i="49"/>
  <c r="V70" i="49"/>
  <c r="W74" i="49"/>
  <c r="S74" i="49"/>
  <c r="O74" i="49"/>
  <c r="K74" i="49"/>
  <c r="C74" i="49"/>
  <c r="E74" i="49" s="1"/>
  <c r="X74" i="49"/>
  <c r="R74" i="49"/>
  <c r="M74" i="49"/>
  <c r="B74" i="49"/>
  <c r="U74" i="49"/>
  <c r="P74" i="49"/>
  <c r="J74" i="49"/>
  <c r="L74" i="49"/>
  <c r="V74" i="49"/>
  <c r="W92" i="49"/>
  <c r="S92" i="49"/>
  <c r="O92" i="49"/>
  <c r="K92" i="49"/>
  <c r="C92" i="49"/>
  <c r="E92" i="49" s="1"/>
  <c r="U92" i="49"/>
  <c r="P92" i="49"/>
  <c r="J92" i="49"/>
  <c r="Y92" i="49"/>
  <c r="T92" i="49"/>
  <c r="N92" i="49"/>
  <c r="X92" i="49"/>
  <c r="R92" i="49"/>
  <c r="M92" i="49"/>
  <c r="B92" i="49"/>
  <c r="V92" i="49"/>
  <c r="W59" i="49"/>
  <c r="S59" i="49"/>
  <c r="O59" i="49"/>
  <c r="K59" i="49"/>
  <c r="C59" i="49"/>
  <c r="E59" i="49" s="1"/>
  <c r="L59" i="49"/>
  <c r="Q59" i="49"/>
  <c r="V59" i="49"/>
  <c r="W63" i="49"/>
  <c r="S63" i="49"/>
  <c r="O63" i="49"/>
  <c r="K63" i="49"/>
  <c r="C63" i="49"/>
  <c r="E63" i="49" s="1"/>
  <c r="L63" i="49"/>
  <c r="Q63" i="49"/>
  <c r="V63" i="49"/>
  <c r="W67" i="49"/>
  <c r="S67" i="49"/>
  <c r="O67" i="49"/>
  <c r="K67" i="49"/>
  <c r="C67" i="49"/>
  <c r="E67" i="49" s="1"/>
  <c r="L67" i="49"/>
  <c r="Q67" i="49"/>
  <c r="V67" i="49"/>
  <c r="W88" i="49"/>
  <c r="S88" i="49"/>
  <c r="O88" i="49"/>
  <c r="K88" i="49"/>
  <c r="C88" i="49"/>
  <c r="E88" i="49" s="1"/>
  <c r="U88" i="49"/>
  <c r="P88" i="49"/>
  <c r="J88" i="49"/>
  <c r="Y88" i="49"/>
  <c r="T88" i="49"/>
  <c r="N88" i="49"/>
  <c r="X88" i="49"/>
  <c r="R88" i="49"/>
  <c r="M88" i="49"/>
  <c r="B88" i="49"/>
  <c r="V88" i="49"/>
  <c r="W28" i="49"/>
  <c r="S28" i="49"/>
  <c r="O28" i="49"/>
  <c r="K28" i="49"/>
  <c r="C28" i="49"/>
  <c r="E28" i="49" s="1"/>
  <c r="L28" i="49"/>
  <c r="Q28" i="49"/>
  <c r="V28" i="49"/>
  <c r="W32" i="49"/>
  <c r="S32" i="49"/>
  <c r="O32" i="49"/>
  <c r="K32" i="49"/>
  <c r="C32" i="49"/>
  <c r="E32" i="49" s="1"/>
  <c r="L32" i="49"/>
  <c r="Q32" i="49"/>
  <c r="V32" i="49"/>
  <c r="W36" i="49"/>
  <c r="S36" i="49"/>
  <c r="O36" i="49"/>
  <c r="K36" i="49"/>
  <c r="C36" i="49"/>
  <c r="E36" i="49" s="1"/>
  <c r="L36" i="49"/>
  <c r="Q36" i="49"/>
  <c r="V36" i="49"/>
  <c r="W40" i="49"/>
  <c r="S40" i="49"/>
  <c r="O40" i="49"/>
  <c r="K40" i="49"/>
  <c r="C40" i="49"/>
  <c r="E40" i="49" s="1"/>
  <c r="L40" i="49"/>
  <c r="Q40" i="49"/>
  <c r="V40" i="49"/>
  <c r="W44" i="49"/>
  <c r="S44" i="49"/>
  <c r="O44" i="49"/>
  <c r="K44" i="49"/>
  <c r="C44" i="49"/>
  <c r="E44" i="49" s="1"/>
  <c r="L44" i="49"/>
  <c r="Q44" i="49"/>
  <c r="V44" i="49"/>
  <c r="W48" i="49"/>
  <c r="S48" i="49"/>
  <c r="O48" i="49"/>
  <c r="K48" i="49"/>
  <c r="C48" i="49"/>
  <c r="E48" i="49" s="1"/>
  <c r="L48" i="49"/>
  <c r="Q48" i="49"/>
  <c r="V48" i="49"/>
  <c r="W52" i="49"/>
  <c r="S52" i="49"/>
  <c r="O52" i="49"/>
  <c r="K52" i="49"/>
  <c r="C52" i="49"/>
  <c r="E52" i="49" s="1"/>
  <c r="L52" i="49"/>
  <c r="Q52" i="49"/>
  <c r="V52" i="49"/>
  <c r="N54" i="49"/>
  <c r="T54" i="49"/>
  <c r="Y54" i="49"/>
  <c r="W56" i="49"/>
  <c r="S56" i="49"/>
  <c r="O56" i="49"/>
  <c r="K56" i="49"/>
  <c r="C56" i="49"/>
  <c r="E56" i="49" s="1"/>
  <c r="L56" i="49"/>
  <c r="Q56" i="49"/>
  <c r="V56" i="49"/>
  <c r="N58" i="49"/>
  <c r="T58" i="49"/>
  <c r="Y58" i="49"/>
  <c r="B59" i="49"/>
  <c r="M59" i="49"/>
  <c r="R59" i="49"/>
  <c r="X59" i="49"/>
  <c r="W60" i="49"/>
  <c r="S60" i="49"/>
  <c r="O60" i="49"/>
  <c r="K60" i="49"/>
  <c r="C60" i="49"/>
  <c r="E60" i="49" s="1"/>
  <c r="L60" i="49"/>
  <c r="Q60" i="49"/>
  <c r="V60" i="49"/>
  <c r="N62" i="49"/>
  <c r="T62" i="49"/>
  <c r="Y62" i="49"/>
  <c r="B63" i="49"/>
  <c r="M63" i="49"/>
  <c r="R63" i="49"/>
  <c r="X63" i="49"/>
  <c r="W64" i="49"/>
  <c r="S64" i="49"/>
  <c r="O64" i="49"/>
  <c r="K64" i="49"/>
  <c r="C64" i="49"/>
  <c r="E64" i="49" s="1"/>
  <c r="L64" i="49"/>
  <c r="Q64" i="49"/>
  <c r="V64" i="49"/>
  <c r="N66" i="49"/>
  <c r="T66" i="49"/>
  <c r="Y66" i="49"/>
  <c r="B67" i="49"/>
  <c r="M67" i="49"/>
  <c r="R67" i="49"/>
  <c r="X67" i="49"/>
  <c r="W68" i="49"/>
  <c r="S68" i="49"/>
  <c r="O68" i="49"/>
  <c r="K68" i="49"/>
  <c r="C68" i="49"/>
  <c r="E68" i="49" s="1"/>
  <c r="X68" i="49"/>
  <c r="L68" i="49"/>
  <c r="Q68" i="49"/>
  <c r="V68" i="49"/>
  <c r="Q70" i="49"/>
  <c r="W72" i="49"/>
  <c r="S72" i="49"/>
  <c r="O72" i="49"/>
  <c r="K72" i="49"/>
  <c r="C72" i="49"/>
  <c r="E72" i="49" s="1"/>
  <c r="U72" i="49"/>
  <c r="P72" i="49"/>
  <c r="J72" i="49"/>
  <c r="X72" i="49"/>
  <c r="R72" i="49"/>
  <c r="M72" i="49"/>
  <c r="B72" i="49"/>
  <c r="L72" i="49"/>
  <c r="V72" i="49"/>
  <c r="Q74" i="49"/>
  <c r="W76" i="49"/>
  <c r="S76" i="49"/>
  <c r="O76" i="49"/>
  <c r="K76" i="49"/>
  <c r="C76" i="49"/>
  <c r="E76" i="49" s="1"/>
  <c r="U76" i="49"/>
  <c r="P76" i="49"/>
  <c r="J76" i="49"/>
  <c r="X76" i="49"/>
  <c r="R76" i="49"/>
  <c r="M76" i="49"/>
  <c r="B76" i="49"/>
  <c r="L76" i="49"/>
  <c r="V76" i="49"/>
  <c r="W84" i="49"/>
  <c r="S84" i="49"/>
  <c r="O84" i="49"/>
  <c r="K84" i="49"/>
  <c r="C84" i="49"/>
  <c r="E84" i="49" s="1"/>
  <c r="U84" i="49"/>
  <c r="P84" i="49"/>
  <c r="J84" i="49"/>
  <c r="Y84" i="49"/>
  <c r="T84" i="49"/>
  <c r="N84" i="49"/>
  <c r="X84" i="49"/>
  <c r="R84" i="49"/>
  <c r="M84" i="49"/>
  <c r="B84" i="49"/>
  <c r="V84" i="49"/>
  <c r="L92" i="49"/>
  <c r="B28" i="49"/>
  <c r="M28" i="49"/>
  <c r="R28" i="49"/>
  <c r="X28" i="49"/>
  <c r="W29" i="49"/>
  <c r="S29" i="49"/>
  <c r="O29" i="49"/>
  <c r="K29" i="49"/>
  <c r="C29" i="49"/>
  <c r="E29" i="49" s="1"/>
  <c r="L29" i="49"/>
  <c r="Q29" i="49"/>
  <c r="V29" i="49"/>
  <c r="B32" i="49"/>
  <c r="M32" i="49"/>
  <c r="R32" i="49"/>
  <c r="X32" i="49"/>
  <c r="W33" i="49"/>
  <c r="S33" i="49"/>
  <c r="O33" i="49"/>
  <c r="K33" i="49"/>
  <c r="C33" i="49"/>
  <c r="E33" i="49" s="1"/>
  <c r="L33" i="49"/>
  <c r="Q33" i="49"/>
  <c r="V33" i="49"/>
  <c r="B36" i="49"/>
  <c r="M36" i="49"/>
  <c r="R36" i="49"/>
  <c r="X36" i="49"/>
  <c r="W37" i="49"/>
  <c r="S37" i="49"/>
  <c r="O37" i="49"/>
  <c r="K37" i="49"/>
  <c r="C37" i="49"/>
  <c r="E37" i="49" s="1"/>
  <c r="L37" i="49"/>
  <c r="Q37" i="49"/>
  <c r="V37" i="49"/>
  <c r="B40" i="49"/>
  <c r="M40" i="49"/>
  <c r="R40" i="49"/>
  <c r="X40" i="49"/>
  <c r="W41" i="49"/>
  <c r="S41" i="49"/>
  <c r="O41" i="49"/>
  <c r="K41" i="49"/>
  <c r="C41" i="49"/>
  <c r="E41" i="49" s="1"/>
  <c r="L41" i="49"/>
  <c r="Q41" i="49"/>
  <c r="V41" i="49"/>
  <c r="B44" i="49"/>
  <c r="M44" i="49"/>
  <c r="R44" i="49"/>
  <c r="X44" i="49"/>
  <c r="W45" i="49"/>
  <c r="S45" i="49"/>
  <c r="O45" i="49"/>
  <c r="K45" i="49"/>
  <c r="C45" i="49"/>
  <c r="E45" i="49" s="1"/>
  <c r="L45" i="49"/>
  <c r="Q45" i="49"/>
  <c r="V45" i="49"/>
  <c r="B48" i="49"/>
  <c r="M48" i="49"/>
  <c r="R48" i="49"/>
  <c r="X48" i="49"/>
  <c r="W49" i="49"/>
  <c r="S49" i="49"/>
  <c r="O49" i="49"/>
  <c r="K49" i="49"/>
  <c r="C49" i="49"/>
  <c r="E49" i="49" s="1"/>
  <c r="L49" i="49"/>
  <c r="Q49" i="49"/>
  <c r="V49" i="49"/>
  <c r="B52" i="49"/>
  <c r="M52" i="49"/>
  <c r="R52" i="49"/>
  <c r="X52" i="49"/>
  <c r="W53" i="49"/>
  <c r="S53" i="49"/>
  <c r="O53" i="49"/>
  <c r="K53" i="49"/>
  <c r="C53" i="49"/>
  <c r="E53" i="49" s="1"/>
  <c r="L53" i="49"/>
  <c r="Q53" i="49"/>
  <c r="V53" i="49"/>
  <c r="J54" i="49"/>
  <c r="P54" i="49"/>
  <c r="U54" i="49"/>
  <c r="B56" i="49"/>
  <c r="M56" i="49"/>
  <c r="R56" i="49"/>
  <c r="X56" i="49"/>
  <c r="W57" i="49"/>
  <c r="S57" i="49"/>
  <c r="O57" i="49"/>
  <c r="K57" i="49"/>
  <c r="C57" i="49"/>
  <c r="E57" i="49" s="1"/>
  <c r="L57" i="49"/>
  <c r="Q57" i="49"/>
  <c r="V57" i="49"/>
  <c r="J58" i="49"/>
  <c r="P58" i="49"/>
  <c r="U58" i="49"/>
  <c r="N59" i="49"/>
  <c r="T59" i="49"/>
  <c r="Y59" i="49"/>
  <c r="B60" i="49"/>
  <c r="M60" i="49"/>
  <c r="R60" i="49"/>
  <c r="X60" i="49"/>
  <c r="W61" i="49"/>
  <c r="S61" i="49"/>
  <c r="O61" i="49"/>
  <c r="K61" i="49"/>
  <c r="C61" i="49"/>
  <c r="E61" i="49" s="1"/>
  <c r="L61" i="49"/>
  <c r="Q61" i="49"/>
  <c r="V61" i="49"/>
  <c r="J62" i="49"/>
  <c r="P62" i="49"/>
  <c r="U62" i="49"/>
  <c r="N63" i="49"/>
  <c r="T63" i="49"/>
  <c r="Y63" i="49"/>
  <c r="B64" i="49"/>
  <c r="M64" i="49"/>
  <c r="R64" i="49"/>
  <c r="X64" i="49"/>
  <c r="W65" i="49"/>
  <c r="S65" i="49"/>
  <c r="O65" i="49"/>
  <c r="K65" i="49"/>
  <c r="C65" i="49"/>
  <c r="E65" i="49" s="1"/>
  <c r="L65" i="49"/>
  <c r="Q65" i="49"/>
  <c r="V65" i="49"/>
  <c r="J66" i="49"/>
  <c r="P66" i="49"/>
  <c r="U66" i="49"/>
  <c r="N67" i="49"/>
  <c r="T67" i="49"/>
  <c r="Y67" i="49"/>
  <c r="B68" i="49"/>
  <c r="M68" i="49"/>
  <c r="R68" i="49"/>
  <c r="Y68" i="49"/>
  <c r="T70" i="49"/>
  <c r="N72" i="49"/>
  <c r="Y72" i="49"/>
  <c r="T74" i="49"/>
  <c r="N76" i="49"/>
  <c r="Y76" i="49"/>
  <c r="W80" i="49"/>
  <c r="S80" i="49"/>
  <c r="O80" i="49"/>
  <c r="K80" i="49"/>
  <c r="C80" i="49"/>
  <c r="E80" i="49" s="1"/>
  <c r="U80" i="49"/>
  <c r="P80" i="49"/>
  <c r="J80" i="49"/>
  <c r="Y80" i="49"/>
  <c r="T80" i="49"/>
  <c r="N80" i="49"/>
  <c r="X80" i="49"/>
  <c r="R80" i="49"/>
  <c r="M80" i="49"/>
  <c r="B80" i="49"/>
  <c r="V80" i="49"/>
  <c r="L88" i="49"/>
  <c r="Q92" i="49"/>
  <c r="W69" i="49"/>
  <c r="S69" i="49"/>
  <c r="O69" i="49"/>
  <c r="K69" i="49"/>
  <c r="C69" i="49"/>
  <c r="E69" i="49" s="1"/>
  <c r="L69" i="49"/>
  <c r="Q69" i="49"/>
  <c r="V69" i="49"/>
  <c r="N71" i="49"/>
  <c r="T71" i="49"/>
  <c r="W73" i="49"/>
  <c r="S73" i="49"/>
  <c r="O73" i="49"/>
  <c r="K73" i="49"/>
  <c r="C73" i="49"/>
  <c r="E73" i="49" s="1"/>
  <c r="L73" i="49"/>
  <c r="Q73" i="49"/>
  <c r="V73" i="49"/>
  <c r="N75" i="49"/>
  <c r="T75" i="49"/>
  <c r="W77" i="49"/>
  <c r="S77" i="49"/>
  <c r="O77" i="49"/>
  <c r="K77" i="49"/>
  <c r="C77" i="49"/>
  <c r="E77" i="49" s="1"/>
  <c r="L77" i="49"/>
  <c r="Q77" i="49"/>
  <c r="V77" i="49"/>
  <c r="J78" i="49"/>
  <c r="P78" i="49"/>
  <c r="N79" i="49"/>
  <c r="T79" i="49"/>
  <c r="W81" i="49"/>
  <c r="S81" i="49"/>
  <c r="O81" i="49"/>
  <c r="K81" i="49"/>
  <c r="C81" i="49"/>
  <c r="E81" i="49" s="1"/>
  <c r="L81" i="49"/>
  <c r="Q81" i="49"/>
  <c r="V81" i="49"/>
  <c r="J82" i="49"/>
  <c r="P82" i="49"/>
  <c r="N83" i="49"/>
  <c r="T83" i="49"/>
  <c r="W85" i="49"/>
  <c r="S85" i="49"/>
  <c r="O85" i="49"/>
  <c r="K85" i="49"/>
  <c r="C85" i="49"/>
  <c r="E85" i="49" s="1"/>
  <c r="L85" i="49"/>
  <c r="Q85" i="49"/>
  <c r="V85" i="49"/>
  <c r="J86" i="49"/>
  <c r="P86" i="49"/>
  <c r="N87" i="49"/>
  <c r="T87" i="49"/>
  <c r="W89" i="49"/>
  <c r="S89" i="49"/>
  <c r="O89" i="49"/>
  <c r="K89" i="49"/>
  <c r="C89" i="49"/>
  <c r="E89" i="49" s="1"/>
  <c r="L89" i="49"/>
  <c r="Q89" i="49"/>
  <c r="V89" i="49"/>
  <c r="J90" i="49"/>
  <c r="P90" i="49"/>
  <c r="N91" i="49"/>
  <c r="T91" i="49"/>
  <c r="W93" i="49"/>
  <c r="S93" i="49"/>
  <c r="O93" i="49"/>
  <c r="K93" i="49"/>
  <c r="C93" i="49"/>
  <c r="E93" i="49" s="1"/>
  <c r="L93" i="49"/>
  <c r="Q93" i="49"/>
  <c r="V93" i="49"/>
  <c r="J94" i="49"/>
  <c r="P94" i="49"/>
  <c r="W78" i="49"/>
  <c r="S78" i="49"/>
  <c r="O78" i="49"/>
  <c r="K78" i="49"/>
  <c r="C78" i="49"/>
  <c r="E78" i="49" s="1"/>
  <c r="L78" i="49"/>
  <c r="Q78" i="49"/>
  <c r="V78" i="49"/>
  <c r="W82" i="49"/>
  <c r="S82" i="49"/>
  <c r="O82" i="49"/>
  <c r="K82" i="49"/>
  <c r="C82" i="49"/>
  <c r="E82" i="49" s="1"/>
  <c r="L82" i="49"/>
  <c r="Q82" i="49"/>
  <c r="V82" i="49"/>
  <c r="W86" i="49"/>
  <c r="S86" i="49"/>
  <c r="O86" i="49"/>
  <c r="K86" i="49"/>
  <c r="C86" i="49"/>
  <c r="E86" i="49" s="1"/>
  <c r="L86" i="49"/>
  <c r="Q86" i="49"/>
  <c r="V86" i="49"/>
  <c r="W90" i="49"/>
  <c r="S90" i="49"/>
  <c r="O90" i="49"/>
  <c r="K90" i="49"/>
  <c r="C90" i="49"/>
  <c r="E90" i="49" s="1"/>
  <c r="L90" i="49"/>
  <c r="Q90" i="49"/>
  <c r="V90" i="49"/>
  <c r="Y94" i="49"/>
  <c r="W94" i="49"/>
  <c r="S94" i="49"/>
  <c r="O94" i="49"/>
  <c r="K94" i="49"/>
  <c r="C94" i="49"/>
  <c r="E94" i="49" s="1"/>
  <c r="L94" i="49"/>
  <c r="Q94" i="49"/>
  <c r="V94" i="49"/>
  <c r="N69" i="49"/>
  <c r="T69" i="49"/>
  <c r="Y69" i="49"/>
  <c r="W71" i="49"/>
  <c r="S71" i="49"/>
  <c r="O71" i="49"/>
  <c r="K71" i="49"/>
  <c r="C71" i="49"/>
  <c r="E71" i="49" s="1"/>
  <c r="L71" i="49"/>
  <c r="Q71" i="49"/>
  <c r="V71" i="49"/>
  <c r="N73" i="49"/>
  <c r="T73" i="49"/>
  <c r="Y73" i="49"/>
  <c r="W75" i="49"/>
  <c r="S75" i="49"/>
  <c r="O75" i="49"/>
  <c r="K75" i="49"/>
  <c r="C75" i="49"/>
  <c r="E75" i="49" s="1"/>
  <c r="L75" i="49"/>
  <c r="Q75" i="49"/>
  <c r="V75" i="49"/>
  <c r="N77" i="49"/>
  <c r="T77" i="49"/>
  <c r="Y77" i="49"/>
  <c r="B78" i="49"/>
  <c r="M78" i="49"/>
  <c r="R78" i="49"/>
  <c r="X78" i="49"/>
  <c r="W79" i="49"/>
  <c r="S79" i="49"/>
  <c r="O79" i="49"/>
  <c r="K79" i="49"/>
  <c r="C79" i="49"/>
  <c r="E79" i="49" s="1"/>
  <c r="L79" i="49"/>
  <c r="Q79" i="49"/>
  <c r="V79" i="49"/>
  <c r="N81" i="49"/>
  <c r="T81" i="49"/>
  <c r="Y81" i="49"/>
  <c r="B82" i="49"/>
  <c r="M82" i="49"/>
  <c r="R82" i="49"/>
  <c r="X82" i="49"/>
  <c r="W83" i="49"/>
  <c r="S83" i="49"/>
  <c r="O83" i="49"/>
  <c r="K83" i="49"/>
  <c r="C83" i="49"/>
  <c r="E83" i="49" s="1"/>
  <c r="L83" i="49"/>
  <c r="Q83" i="49"/>
  <c r="V83" i="49"/>
  <c r="N85" i="49"/>
  <c r="T85" i="49"/>
  <c r="Y85" i="49"/>
  <c r="B86" i="49"/>
  <c r="M86" i="49"/>
  <c r="R86" i="49"/>
  <c r="X86" i="49"/>
  <c r="W87" i="49"/>
  <c r="S87" i="49"/>
  <c r="O87" i="49"/>
  <c r="K87" i="49"/>
  <c r="C87" i="49"/>
  <c r="E87" i="49" s="1"/>
  <c r="L87" i="49"/>
  <c r="Q87" i="49"/>
  <c r="V87" i="49"/>
  <c r="N89" i="49"/>
  <c r="T89" i="49"/>
  <c r="Y89" i="49"/>
  <c r="B90" i="49"/>
  <c r="M90" i="49"/>
  <c r="R90" i="49"/>
  <c r="X90" i="49"/>
  <c r="W91" i="49"/>
  <c r="S91" i="49"/>
  <c r="O91" i="49"/>
  <c r="K91" i="49"/>
  <c r="C91" i="49"/>
  <c r="E91" i="49" s="1"/>
  <c r="L91" i="49"/>
  <c r="Q91" i="49"/>
  <c r="V91" i="49"/>
  <c r="N93" i="49"/>
  <c r="T93" i="49"/>
  <c r="Y93" i="49"/>
  <c r="B94" i="49"/>
  <c r="M94" i="49"/>
  <c r="R94" i="49"/>
  <c r="X94" i="49"/>
  <c r="M6" i="49"/>
  <c r="Q6" i="49"/>
  <c r="U6" i="49"/>
  <c r="M7" i="49"/>
  <c r="Q7" i="49"/>
  <c r="U7" i="49"/>
  <c r="M8" i="49"/>
  <c r="Q8" i="49"/>
  <c r="U8" i="49"/>
  <c r="M9" i="49"/>
  <c r="Q9" i="49"/>
  <c r="U9" i="49"/>
  <c r="M10" i="49"/>
  <c r="Q10" i="49"/>
  <c r="U10" i="49"/>
  <c r="M11" i="49"/>
  <c r="Q11" i="49"/>
  <c r="U11" i="49"/>
  <c r="M12" i="49"/>
  <c r="Q12" i="49"/>
  <c r="U12" i="49"/>
  <c r="M13" i="49"/>
  <c r="Q13" i="49"/>
  <c r="U13" i="49"/>
  <c r="M14" i="49"/>
  <c r="Q14" i="49"/>
  <c r="U14" i="49"/>
  <c r="M15" i="49"/>
  <c r="Q15" i="49"/>
  <c r="U15" i="49"/>
  <c r="M16" i="49"/>
  <c r="Q16" i="49"/>
  <c r="U16" i="49"/>
  <c r="M17" i="49"/>
  <c r="Q17" i="49"/>
  <c r="U17" i="49"/>
  <c r="M18" i="49"/>
  <c r="Q18" i="49"/>
  <c r="U18" i="49"/>
  <c r="M19" i="49"/>
  <c r="Q19" i="49"/>
  <c r="U19" i="49"/>
  <c r="M20" i="49"/>
  <c r="Q20" i="49"/>
  <c r="U20" i="49"/>
  <c r="M21" i="49"/>
  <c r="Q21" i="49"/>
  <c r="U21" i="49"/>
  <c r="M22" i="49"/>
  <c r="Q22" i="49"/>
  <c r="U22" i="49"/>
  <c r="W289" i="49"/>
  <c r="S289" i="49"/>
  <c r="O289" i="49"/>
  <c r="K289" i="49"/>
  <c r="V289" i="49"/>
  <c r="Q289" i="49"/>
  <c r="L289" i="49"/>
  <c r="C289" i="49"/>
  <c r="E289" i="49" s="1"/>
  <c r="U289" i="49"/>
  <c r="P289" i="49"/>
  <c r="J289" i="49"/>
  <c r="B289" i="49"/>
  <c r="R289" i="49"/>
  <c r="Y289" i="49"/>
  <c r="N289" i="49"/>
  <c r="M289" i="49"/>
  <c r="X289" i="49"/>
  <c r="W298" i="49"/>
  <c r="S298" i="49"/>
  <c r="O298" i="49"/>
  <c r="K298" i="49"/>
  <c r="C298" i="49"/>
  <c r="E298" i="49" s="1"/>
  <c r="U298" i="49"/>
  <c r="P298" i="49"/>
  <c r="J298" i="49"/>
  <c r="Y298" i="49"/>
  <c r="T298" i="49"/>
  <c r="N298" i="49"/>
  <c r="Q298" i="49"/>
  <c r="X298" i="49"/>
  <c r="M298" i="49"/>
  <c r="B298" i="49"/>
  <c r="R298" i="49"/>
  <c r="L298" i="49"/>
  <c r="M195" i="49"/>
  <c r="W285" i="49"/>
  <c r="S285" i="49"/>
  <c r="O285" i="49"/>
  <c r="K285" i="49"/>
  <c r="C285" i="49"/>
  <c r="E285" i="49" s="1"/>
  <c r="V285" i="49"/>
  <c r="R285" i="49"/>
  <c r="N285" i="49"/>
  <c r="J285" i="49"/>
  <c r="B285" i="49"/>
  <c r="X285" i="49"/>
  <c r="P285" i="49"/>
  <c r="U285" i="49"/>
  <c r="M285" i="49"/>
  <c r="L285" i="49"/>
  <c r="Y285" i="49"/>
  <c r="T285" i="49"/>
  <c r="V298" i="49"/>
  <c r="X311" i="49"/>
  <c r="T311" i="49"/>
  <c r="P311" i="49"/>
  <c r="L311" i="49"/>
  <c r="Y311" i="49"/>
  <c r="S311" i="49"/>
  <c r="N311" i="49"/>
  <c r="C311" i="49"/>
  <c r="E311" i="49" s="1"/>
  <c r="R311" i="49"/>
  <c r="K311" i="49"/>
  <c r="W311" i="49"/>
  <c r="O311" i="49"/>
  <c r="V311" i="49"/>
  <c r="M311" i="49"/>
  <c r="B311" i="49"/>
  <c r="J311" i="49"/>
  <c r="U311" i="49"/>
  <c r="Q311" i="49"/>
  <c r="X315" i="49"/>
  <c r="T315" i="49"/>
  <c r="P315" i="49"/>
  <c r="L315" i="49"/>
  <c r="Y315" i="49"/>
  <c r="S315" i="49"/>
  <c r="N315" i="49"/>
  <c r="C315" i="49"/>
  <c r="E315" i="49" s="1"/>
  <c r="U315" i="49"/>
  <c r="M315" i="49"/>
  <c r="R315" i="49"/>
  <c r="K315" i="49"/>
  <c r="V315" i="49"/>
  <c r="Q315" i="49"/>
  <c r="B315" i="49"/>
  <c r="W315" i="49"/>
  <c r="O315" i="49"/>
  <c r="J315" i="49"/>
  <c r="V195" i="49"/>
  <c r="R195" i="49"/>
  <c r="N195" i="49"/>
  <c r="J195" i="49"/>
  <c r="B195" i="49"/>
  <c r="Y195" i="49"/>
  <c r="T195" i="49"/>
  <c r="O195" i="49"/>
  <c r="P195" i="49"/>
  <c r="W195" i="49"/>
  <c r="V196" i="49"/>
  <c r="R196" i="49"/>
  <c r="N196" i="49"/>
  <c r="J196" i="49"/>
  <c r="B196" i="49"/>
  <c r="Y196" i="49"/>
  <c r="U196" i="49"/>
  <c r="Q196" i="49"/>
  <c r="M196" i="49"/>
  <c r="X196" i="49"/>
  <c r="P196" i="49"/>
  <c r="C196" i="49"/>
  <c r="E196" i="49" s="1"/>
  <c r="K196" i="49"/>
  <c r="T196" i="49"/>
  <c r="W281" i="49"/>
  <c r="S281" i="49"/>
  <c r="O281" i="49"/>
  <c r="K281" i="49"/>
  <c r="C281" i="49"/>
  <c r="E281" i="49" s="1"/>
  <c r="V281" i="49"/>
  <c r="R281" i="49"/>
  <c r="N281" i="49"/>
  <c r="J281" i="49"/>
  <c r="B281" i="49"/>
  <c r="X281" i="49"/>
  <c r="P281" i="49"/>
  <c r="U281" i="49"/>
  <c r="M281" i="49"/>
  <c r="L281" i="49"/>
  <c r="Y281" i="49"/>
  <c r="T281" i="49"/>
  <c r="T289" i="49"/>
  <c r="W299" i="49"/>
  <c r="S299" i="49"/>
  <c r="O299" i="49"/>
  <c r="K299" i="49"/>
  <c r="C299" i="49"/>
  <c r="E299" i="49" s="1"/>
  <c r="Y299" i="49"/>
  <c r="T299" i="49"/>
  <c r="N299" i="49"/>
  <c r="X299" i="49"/>
  <c r="R299" i="49"/>
  <c r="M299" i="49"/>
  <c r="B299" i="49"/>
  <c r="U299" i="49"/>
  <c r="J299" i="49"/>
  <c r="Q299" i="49"/>
  <c r="L299" i="49"/>
  <c r="V299" i="49"/>
  <c r="M95" i="49"/>
  <c r="Q95" i="49"/>
  <c r="U95" i="49"/>
  <c r="M96" i="49"/>
  <c r="Q96" i="49"/>
  <c r="U96" i="49"/>
  <c r="M97" i="49"/>
  <c r="Q97" i="49"/>
  <c r="U97" i="49"/>
  <c r="M98" i="49"/>
  <c r="Q98" i="49"/>
  <c r="U98" i="49"/>
  <c r="M99" i="49"/>
  <c r="Q99" i="49"/>
  <c r="U99" i="49"/>
  <c r="M100" i="49"/>
  <c r="Q100" i="49"/>
  <c r="U100" i="49"/>
  <c r="M101" i="49"/>
  <c r="Q101" i="49"/>
  <c r="U101" i="49"/>
  <c r="M102" i="49"/>
  <c r="Q102" i="49"/>
  <c r="U102" i="49"/>
  <c r="M103" i="49"/>
  <c r="Q103" i="49"/>
  <c r="U103" i="49"/>
  <c r="M104" i="49"/>
  <c r="Q104" i="49"/>
  <c r="U104" i="49"/>
  <c r="M105" i="49"/>
  <c r="Q105" i="49"/>
  <c r="U105" i="49"/>
  <c r="M106" i="49"/>
  <c r="Q106" i="49"/>
  <c r="U106" i="49"/>
  <c r="M107" i="49"/>
  <c r="Q107" i="49"/>
  <c r="U107" i="49"/>
  <c r="M108" i="49"/>
  <c r="Q108" i="49"/>
  <c r="U108" i="49"/>
  <c r="M109" i="49"/>
  <c r="Q109" i="49"/>
  <c r="U109" i="49"/>
  <c r="M110" i="49"/>
  <c r="Q110" i="49"/>
  <c r="U110" i="49"/>
  <c r="M111" i="49"/>
  <c r="Q111" i="49"/>
  <c r="U111" i="49"/>
  <c r="M112" i="49"/>
  <c r="Q112" i="49"/>
  <c r="U112" i="49"/>
  <c r="M113" i="49"/>
  <c r="Q113" i="49"/>
  <c r="U113" i="49"/>
  <c r="M114" i="49"/>
  <c r="Q114" i="49"/>
  <c r="U114" i="49"/>
  <c r="M115" i="49"/>
  <c r="Q115" i="49"/>
  <c r="U115" i="49"/>
  <c r="M116" i="49"/>
  <c r="Q116" i="49"/>
  <c r="U116" i="49"/>
  <c r="M117" i="49"/>
  <c r="Q117" i="49"/>
  <c r="U117" i="49"/>
  <c r="M118" i="49"/>
  <c r="Q118" i="49"/>
  <c r="U118" i="49"/>
  <c r="M119" i="49"/>
  <c r="Q119" i="49"/>
  <c r="U119" i="49"/>
  <c r="M120" i="49"/>
  <c r="Q120" i="49"/>
  <c r="U120" i="49"/>
  <c r="M121" i="49"/>
  <c r="Q121" i="49"/>
  <c r="U121" i="49"/>
  <c r="M122" i="49"/>
  <c r="Q122" i="49"/>
  <c r="U122" i="49"/>
  <c r="M123" i="49"/>
  <c r="Q123" i="49"/>
  <c r="U123" i="49"/>
  <c r="M124" i="49"/>
  <c r="Q124" i="49"/>
  <c r="U124" i="49"/>
  <c r="M125" i="49"/>
  <c r="Q125" i="49"/>
  <c r="U125" i="49"/>
  <c r="M126" i="49"/>
  <c r="Q126" i="49"/>
  <c r="U126" i="49"/>
  <c r="M127" i="49"/>
  <c r="Q127" i="49"/>
  <c r="U127" i="49"/>
  <c r="M128" i="49"/>
  <c r="Q128" i="49"/>
  <c r="U128" i="49"/>
  <c r="M129" i="49"/>
  <c r="Q129" i="49"/>
  <c r="U129" i="49"/>
  <c r="M130" i="49"/>
  <c r="Q130" i="49"/>
  <c r="U130" i="49"/>
  <c r="M131" i="49"/>
  <c r="Q131" i="49"/>
  <c r="U131" i="49"/>
  <c r="M132" i="49"/>
  <c r="Q132" i="49"/>
  <c r="U132" i="49"/>
  <c r="M133" i="49"/>
  <c r="Q133" i="49"/>
  <c r="U133" i="49"/>
  <c r="M134" i="49"/>
  <c r="Q134" i="49"/>
  <c r="U134" i="49"/>
  <c r="M135" i="49"/>
  <c r="Q135" i="49"/>
  <c r="U135" i="49"/>
  <c r="M136" i="49"/>
  <c r="Q136" i="49"/>
  <c r="U136" i="49"/>
  <c r="M137" i="49"/>
  <c r="Q137" i="49"/>
  <c r="U137" i="49"/>
  <c r="M138" i="49"/>
  <c r="Q138" i="49"/>
  <c r="U138" i="49"/>
  <c r="M139" i="49"/>
  <c r="Q139" i="49"/>
  <c r="U139" i="49"/>
  <c r="M140" i="49"/>
  <c r="Q140" i="49"/>
  <c r="U140" i="49"/>
  <c r="M141" i="49"/>
  <c r="Q141" i="49"/>
  <c r="U141" i="49"/>
  <c r="M142" i="49"/>
  <c r="Q142" i="49"/>
  <c r="U142" i="49"/>
  <c r="M143" i="49"/>
  <c r="Q143" i="49"/>
  <c r="U143" i="49"/>
  <c r="M144" i="49"/>
  <c r="Q144" i="49"/>
  <c r="U144" i="49"/>
  <c r="M145" i="49"/>
  <c r="Q145" i="49"/>
  <c r="U145" i="49"/>
  <c r="M146" i="49"/>
  <c r="Q146" i="49"/>
  <c r="U146" i="49"/>
  <c r="M147" i="49"/>
  <c r="Q147" i="49"/>
  <c r="U147" i="49"/>
  <c r="M148" i="49"/>
  <c r="Q148" i="49"/>
  <c r="U148" i="49"/>
  <c r="M149" i="49"/>
  <c r="Q149" i="49"/>
  <c r="U149" i="49"/>
  <c r="M150" i="49"/>
  <c r="Q150" i="49"/>
  <c r="U150" i="49"/>
  <c r="M151" i="49"/>
  <c r="Q151" i="49"/>
  <c r="U151" i="49"/>
  <c r="M152" i="49"/>
  <c r="Q152" i="49"/>
  <c r="U152" i="49"/>
  <c r="M153" i="49"/>
  <c r="Q153" i="49"/>
  <c r="U153" i="49"/>
  <c r="M154" i="49"/>
  <c r="Q154" i="49"/>
  <c r="U154" i="49"/>
  <c r="M155" i="49"/>
  <c r="Q155" i="49"/>
  <c r="U155" i="49"/>
  <c r="M156" i="49"/>
  <c r="Q156" i="49"/>
  <c r="U156" i="49"/>
  <c r="M157" i="49"/>
  <c r="Q157" i="49"/>
  <c r="U157" i="49"/>
  <c r="M158" i="49"/>
  <c r="Q158" i="49"/>
  <c r="U158" i="49"/>
  <c r="M159" i="49"/>
  <c r="Q159" i="49"/>
  <c r="U159" i="49"/>
  <c r="M160" i="49"/>
  <c r="Q160" i="49"/>
  <c r="U160" i="49"/>
  <c r="M161" i="49"/>
  <c r="Q161" i="49"/>
  <c r="U161" i="49"/>
  <c r="M162" i="49"/>
  <c r="Q162" i="49"/>
  <c r="U162" i="49"/>
  <c r="M163" i="49"/>
  <c r="Q163" i="49"/>
  <c r="U163" i="49"/>
  <c r="M164" i="49"/>
  <c r="Q164" i="49"/>
  <c r="U164" i="49"/>
  <c r="M165" i="49"/>
  <c r="Q165" i="49"/>
  <c r="U165" i="49"/>
  <c r="M166" i="49"/>
  <c r="Q166" i="49"/>
  <c r="U166" i="49"/>
  <c r="M167" i="49"/>
  <c r="Q167" i="49"/>
  <c r="U167" i="49"/>
  <c r="M168" i="49"/>
  <c r="Q168" i="49"/>
  <c r="U168" i="49"/>
  <c r="M169" i="49"/>
  <c r="Q169" i="49"/>
  <c r="U169" i="49"/>
  <c r="M170" i="49"/>
  <c r="Q170" i="49"/>
  <c r="U170" i="49"/>
  <c r="M171" i="49"/>
  <c r="Q171" i="49"/>
  <c r="U171" i="49"/>
  <c r="M172" i="49"/>
  <c r="Q172" i="49"/>
  <c r="U172" i="49"/>
  <c r="M173" i="49"/>
  <c r="Q173" i="49"/>
  <c r="U173" i="49"/>
  <c r="M174" i="49"/>
  <c r="Q174" i="49"/>
  <c r="U174" i="49"/>
  <c r="M175" i="49"/>
  <c r="Q175" i="49"/>
  <c r="U175" i="49"/>
  <c r="M176" i="49"/>
  <c r="Q176" i="49"/>
  <c r="U176" i="49"/>
  <c r="M177" i="49"/>
  <c r="Q177" i="49"/>
  <c r="U177" i="49"/>
  <c r="M178" i="49"/>
  <c r="Q178" i="49"/>
  <c r="U178" i="49"/>
  <c r="M179" i="49"/>
  <c r="Q179" i="49"/>
  <c r="U179" i="49"/>
  <c r="M180" i="49"/>
  <c r="Q180" i="49"/>
  <c r="U180" i="49"/>
  <c r="M181" i="49"/>
  <c r="Q181" i="49"/>
  <c r="U181" i="49"/>
  <c r="M182" i="49"/>
  <c r="Q182" i="49"/>
  <c r="U182" i="49"/>
  <c r="M183" i="49"/>
  <c r="Q183" i="49"/>
  <c r="U183" i="49"/>
  <c r="M184" i="49"/>
  <c r="Q184" i="49"/>
  <c r="U184" i="49"/>
  <c r="M185" i="49"/>
  <c r="Q185" i="49"/>
  <c r="U185" i="49"/>
  <c r="M186" i="49"/>
  <c r="Q186" i="49"/>
  <c r="U186" i="49"/>
  <c r="M187" i="49"/>
  <c r="Q187" i="49"/>
  <c r="U187" i="49"/>
  <c r="M188" i="49"/>
  <c r="Q188" i="49"/>
  <c r="U188" i="49"/>
  <c r="M189" i="49"/>
  <c r="Q189" i="49"/>
  <c r="U189" i="49"/>
  <c r="M190" i="49"/>
  <c r="Q190" i="49"/>
  <c r="U190" i="49"/>
  <c r="M191" i="49"/>
  <c r="Q191" i="49"/>
  <c r="U191" i="49"/>
  <c r="M192" i="49"/>
  <c r="Q192" i="49"/>
  <c r="U192" i="49"/>
  <c r="M193" i="49"/>
  <c r="Q193" i="49"/>
  <c r="U193" i="49"/>
  <c r="V194" i="49"/>
  <c r="R194" i="49"/>
  <c r="N194" i="49"/>
  <c r="J194" i="49"/>
  <c r="K194" i="49"/>
  <c r="P194" i="49"/>
  <c r="U194" i="49"/>
  <c r="W303" i="49"/>
  <c r="S303" i="49"/>
  <c r="O303" i="49"/>
  <c r="K303" i="49"/>
  <c r="C303" i="49"/>
  <c r="E303" i="49" s="1"/>
  <c r="Y303" i="49"/>
  <c r="T303" i="49"/>
  <c r="N303" i="49"/>
  <c r="X303" i="49"/>
  <c r="R303" i="49"/>
  <c r="M303" i="49"/>
  <c r="B303" i="49"/>
  <c r="Q303" i="49"/>
  <c r="P303" i="49"/>
  <c r="U303" i="49"/>
  <c r="L303" i="49"/>
  <c r="M197" i="49"/>
  <c r="Q197" i="49"/>
  <c r="U197" i="49"/>
  <c r="Y197" i="49"/>
  <c r="M198" i="49"/>
  <c r="Q198" i="49"/>
  <c r="U198" i="49"/>
  <c r="Y198" i="49"/>
  <c r="M199" i="49"/>
  <c r="Q199" i="49"/>
  <c r="U199" i="49"/>
  <c r="Y199" i="49"/>
  <c r="M200" i="49"/>
  <c r="Q200" i="49"/>
  <c r="U200" i="49"/>
  <c r="Y200" i="49"/>
  <c r="M201" i="49"/>
  <c r="Q201" i="49"/>
  <c r="U201" i="49"/>
  <c r="Y201" i="49"/>
  <c r="M202" i="49"/>
  <c r="Q202" i="49"/>
  <c r="U202" i="49"/>
  <c r="Y202" i="49"/>
  <c r="M203" i="49"/>
  <c r="Q203" i="49"/>
  <c r="U203" i="49"/>
  <c r="Y203" i="49"/>
  <c r="M204" i="49"/>
  <c r="Q204" i="49"/>
  <c r="U204" i="49"/>
  <c r="Y204" i="49"/>
  <c r="M205" i="49"/>
  <c r="Q205" i="49"/>
  <c r="U205" i="49"/>
  <c r="Y205" i="49"/>
  <c r="M206" i="49"/>
  <c r="Q206" i="49"/>
  <c r="U206" i="49"/>
  <c r="Y206" i="49"/>
  <c r="M207" i="49"/>
  <c r="Q207" i="49"/>
  <c r="U207" i="49"/>
  <c r="Y207" i="49"/>
  <c r="M208" i="49"/>
  <c r="Q208" i="49"/>
  <c r="U208" i="49"/>
  <c r="Y208" i="49"/>
  <c r="M209" i="49"/>
  <c r="Q209" i="49"/>
  <c r="U209" i="49"/>
  <c r="Y209" i="49"/>
  <c r="M210" i="49"/>
  <c r="Q210" i="49"/>
  <c r="U210" i="49"/>
  <c r="Y210" i="49"/>
  <c r="M211" i="49"/>
  <c r="Q211" i="49"/>
  <c r="U211" i="49"/>
  <c r="Y211" i="49"/>
  <c r="M212" i="49"/>
  <c r="Q212" i="49"/>
  <c r="U212" i="49"/>
  <c r="Y212" i="49"/>
  <c r="M213" i="49"/>
  <c r="Q213" i="49"/>
  <c r="U213" i="49"/>
  <c r="Y213" i="49"/>
  <c r="M214" i="49"/>
  <c r="Q214" i="49"/>
  <c r="U214" i="49"/>
  <c r="Y214" i="49"/>
  <c r="M215" i="49"/>
  <c r="Q215" i="49"/>
  <c r="U215" i="49"/>
  <c r="Y215" i="49"/>
  <c r="M216" i="49"/>
  <c r="Q216" i="49"/>
  <c r="U216" i="49"/>
  <c r="Y216" i="49"/>
  <c r="M217" i="49"/>
  <c r="Q217" i="49"/>
  <c r="U217" i="49"/>
  <c r="Y217" i="49"/>
  <c r="M218" i="49"/>
  <c r="Q218" i="49"/>
  <c r="U218" i="49"/>
  <c r="Y218" i="49"/>
  <c r="M219" i="49"/>
  <c r="Q219" i="49"/>
  <c r="U219" i="49"/>
  <c r="Y219" i="49"/>
  <c r="M220" i="49"/>
  <c r="Q220" i="49"/>
  <c r="U220" i="49"/>
  <c r="Y220" i="49"/>
  <c r="M221" i="49"/>
  <c r="Q221" i="49"/>
  <c r="U221" i="49"/>
  <c r="Y221" i="49"/>
  <c r="M222" i="49"/>
  <c r="Q222" i="49"/>
  <c r="U222" i="49"/>
  <c r="Y222" i="49"/>
  <c r="M223" i="49"/>
  <c r="Q223" i="49"/>
  <c r="U223" i="49"/>
  <c r="Y223" i="49"/>
  <c r="M224" i="49"/>
  <c r="Q224" i="49"/>
  <c r="U224" i="49"/>
  <c r="Y224" i="49"/>
  <c r="M225" i="49"/>
  <c r="Q225" i="49"/>
  <c r="U225" i="49"/>
  <c r="Y225" i="49"/>
  <c r="M226" i="49"/>
  <c r="Q226" i="49"/>
  <c r="U226" i="49"/>
  <c r="Y226" i="49"/>
  <c r="M227" i="49"/>
  <c r="Q227" i="49"/>
  <c r="U227" i="49"/>
  <c r="Y227" i="49"/>
  <c r="M228" i="49"/>
  <c r="Q228" i="49"/>
  <c r="U228" i="49"/>
  <c r="Y228" i="49"/>
  <c r="M229" i="49"/>
  <c r="Q229" i="49"/>
  <c r="U229" i="49"/>
  <c r="Y229" i="49"/>
  <c r="M230" i="49"/>
  <c r="Q230" i="49"/>
  <c r="U230" i="49"/>
  <c r="Y230" i="49"/>
  <c r="M231" i="49"/>
  <c r="Q231" i="49"/>
  <c r="U231" i="49"/>
  <c r="Y231" i="49"/>
  <c r="M232" i="49"/>
  <c r="Q232" i="49"/>
  <c r="U232" i="49"/>
  <c r="Y232" i="49"/>
  <c r="Y233" i="49"/>
  <c r="U233" i="49"/>
  <c r="Q233" i="49"/>
  <c r="M233" i="49"/>
  <c r="R233" i="49"/>
  <c r="W233" i="49"/>
  <c r="W279" i="49"/>
  <c r="S279" i="49"/>
  <c r="O279" i="49"/>
  <c r="K279" i="49"/>
  <c r="C279" i="49"/>
  <c r="E279" i="49" s="1"/>
  <c r="V279" i="49"/>
  <c r="R279" i="49"/>
  <c r="N279" i="49"/>
  <c r="J279" i="49"/>
  <c r="B279" i="49"/>
  <c r="X279" i="49"/>
  <c r="P279" i="49"/>
  <c r="U279" i="49"/>
  <c r="M279" i="49"/>
  <c r="Q279" i="49"/>
  <c r="W283" i="49"/>
  <c r="S283" i="49"/>
  <c r="O283" i="49"/>
  <c r="K283" i="49"/>
  <c r="C283" i="49"/>
  <c r="E283" i="49" s="1"/>
  <c r="V283" i="49"/>
  <c r="R283" i="49"/>
  <c r="N283" i="49"/>
  <c r="J283" i="49"/>
  <c r="B283" i="49"/>
  <c r="X283" i="49"/>
  <c r="P283" i="49"/>
  <c r="U283" i="49"/>
  <c r="M283" i="49"/>
  <c r="Q283" i="49"/>
  <c r="W287" i="49"/>
  <c r="S287" i="49"/>
  <c r="O287" i="49"/>
  <c r="K287" i="49"/>
  <c r="C287" i="49"/>
  <c r="E287" i="49" s="1"/>
  <c r="V287" i="49"/>
  <c r="R287" i="49"/>
  <c r="N287" i="49"/>
  <c r="J287" i="49"/>
  <c r="B287" i="49"/>
  <c r="X287" i="49"/>
  <c r="P287" i="49"/>
  <c r="U287" i="49"/>
  <c r="M287" i="49"/>
  <c r="Q287" i="49"/>
  <c r="W294" i="49"/>
  <c r="S294" i="49"/>
  <c r="O294" i="49"/>
  <c r="K294" i="49"/>
  <c r="C294" i="49"/>
  <c r="E294" i="49" s="1"/>
  <c r="U294" i="49"/>
  <c r="P294" i="49"/>
  <c r="J294" i="49"/>
  <c r="Y294" i="49"/>
  <c r="T294" i="49"/>
  <c r="N294" i="49"/>
  <c r="R294" i="49"/>
  <c r="Q294" i="49"/>
  <c r="V294" i="49"/>
  <c r="B197" i="49"/>
  <c r="J197" i="49"/>
  <c r="N197" i="49"/>
  <c r="R197" i="49"/>
  <c r="B198" i="49"/>
  <c r="J198" i="49"/>
  <c r="N198" i="49"/>
  <c r="R198" i="49"/>
  <c r="B199" i="49"/>
  <c r="J199" i="49"/>
  <c r="N199" i="49"/>
  <c r="R199" i="49"/>
  <c r="B200" i="49"/>
  <c r="J200" i="49"/>
  <c r="N200" i="49"/>
  <c r="R200" i="49"/>
  <c r="B201" i="49"/>
  <c r="J201" i="49"/>
  <c r="N201" i="49"/>
  <c r="R201" i="49"/>
  <c r="B202" i="49"/>
  <c r="J202" i="49"/>
  <c r="N202" i="49"/>
  <c r="R202" i="49"/>
  <c r="B203" i="49"/>
  <c r="J203" i="49"/>
  <c r="N203" i="49"/>
  <c r="R203" i="49"/>
  <c r="B204" i="49"/>
  <c r="J204" i="49"/>
  <c r="N204" i="49"/>
  <c r="R204" i="49"/>
  <c r="B205" i="49"/>
  <c r="J205" i="49"/>
  <c r="N205" i="49"/>
  <c r="R205" i="49"/>
  <c r="B206" i="49"/>
  <c r="J206" i="49"/>
  <c r="N206" i="49"/>
  <c r="R206" i="49"/>
  <c r="B207" i="49"/>
  <c r="J207" i="49"/>
  <c r="N207" i="49"/>
  <c r="R207" i="49"/>
  <c r="B208" i="49"/>
  <c r="J208" i="49"/>
  <c r="N208" i="49"/>
  <c r="R208" i="49"/>
  <c r="B209" i="49"/>
  <c r="J209" i="49"/>
  <c r="N209" i="49"/>
  <c r="R209" i="49"/>
  <c r="B210" i="49"/>
  <c r="J210" i="49"/>
  <c r="N210" i="49"/>
  <c r="R210" i="49"/>
  <c r="B211" i="49"/>
  <c r="J211" i="49"/>
  <c r="N211" i="49"/>
  <c r="R211" i="49"/>
  <c r="B212" i="49"/>
  <c r="J212" i="49"/>
  <c r="N212" i="49"/>
  <c r="R212" i="49"/>
  <c r="B213" i="49"/>
  <c r="J213" i="49"/>
  <c r="N213" i="49"/>
  <c r="R213" i="49"/>
  <c r="B214" i="49"/>
  <c r="J214" i="49"/>
  <c r="N214" i="49"/>
  <c r="R214" i="49"/>
  <c r="B215" i="49"/>
  <c r="J215" i="49"/>
  <c r="N215" i="49"/>
  <c r="R215" i="49"/>
  <c r="B216" i="49"/>
  <c r="J216" i="49"/>
  <c r="N216" i="49"/>
  <c r="R216" i="49"/>
  <c r="B217" i="49"/>
  <c r="J217" i="49"/>
  <c r="N217" i="49"/>
  <c r="R217" i="49"/>
  <c r="B218" i="49"/>
  <c r="J218" i="49"/>
  <c r="N218" i="49"/>
  <c r="R218" i="49"/>
  <c r="B219" i="49"/>
  <c r="J219" i="49"/>
  <c r="N219" i="49"/>
  <c r="R219" i="49"/>
  <c r="B220" i="49"/>
  <c r="J220" i="49"/>
  <c r="N220" i="49"/>
  <c r="R220" i="49"/>
  <c r="B221" i="49"/>
  <c r="J221" i="49"/>
  <c r="N221" i="49"/>
  <c r="R221" i="49"/>
  <c r="B222" i="49"/>
  <c r="J222" i="49"/>
  <c r="N222" i="49"/>
  <c r="R222" i="49"/>
  <c r="B223" i="49"/>
  <c r="J223" i="49"/>
  <c r="N223" i="49"/>
  <c r="R223" i="49"/>
  <c r="B224" i="49"/>
  <c r="J224" i="49"/>
  <c r="N224" i="49"/>
  <c r="R224" i="49"/>
  <c r="B225" i="49"/>
  <c r="J225" i="49"/>
  <c r="N225" i="49"/>
  <c r="R225" i="49"/>
  <c r="B226" i="49"/>
  <c r="J226" i="49"/>
  <c r="N226" i="49"/>
  <c r="R226" i="49"/>
  <c r="B227" i="49"/>
  <c r="J227" i="49"/>
  <c r="N227" i="49"/>
  <c r="R227" i="49"/>
  <c r="B228" i="49"/>
  <c r="J228" i="49"/>
  <c r="N228" i="49"/>
  <c r="R228" i="49"/>
  <c r="B229" i="49"/>
  <c r="J229" i="49"/>
  <c r="N229" i="49"/>
  <c r="R229" i="49"/>
  <c r="B230" i="49"/>
  <c r="J230" i="49"/>
  <c r="N230" i="49"/>
  <c r="R230" i="49"/>
  <c r="B231" i="49"/>
  <c r="J231" i="49"/>
  <c r="N231" i="49"/>
  <c r="R231" i="49"/>
  <c r="B232" i="49"/>
  <c r="J232" i="49"/>
  <c r="N232" i="49"/>
  <c r="R232" i="49"/>
  <c r="B233" i="49"/>
  <c r="J233" i="49"/>
  <c r="N233" i="49"/>
  <c r="S233" i="49"/>
  <c r="X233" i="49"/>
  <c r="T279" i="49"/>
  <c r="T283" i="49"/>
  <c r="T287" i="49"/>
  <c r="B294" i="49"/>
  <c r="X294" i="49"/>
  <c r="X314" i="49"/>
  <c r="T314" i="49"/>
  <c r="P314" i="49"/>
  <c r="L314" i="49"/>
  <c r="U314" i="49"/>
  <c r="O314" i="49"/>
  <c r="J314" i="49"/>
  <c r="S314" i="49"/>
  <c r="M314" i="49"/>
  <c r="Y314" i="49"/>
  <c r="R314" i="49"/>
  <c r="K314" i="49"/>
  <c r="C314" i="49"/>
  <c r="E314" i="49" s="1"/>
  <c r="V314" i="49"/>
  <c r="Q314" i="49"/>
  <c r="B314" i="49"/>
  <c r="W314" i="49"/>
  <c r="N314" i="49"/>
  <c r="X316" i="49"/>
  <c r="T316" i="49"/>
  <c r="P316" i="49"/>
  <c r="L316" i="49"/>
  <c r="W316" i="49"/>
  <c r="R316" i="49"/>
  <c r="M316" i="49"/>
  <c r="B316" i="49"/>
  <c r="U316" i="49"/>
  <c r="N316" i="49"/>
  <c r="S316" i="49"/>
  <c r="K316" i="49"/>
  <c r="V316" i="49"/>
  <c r="Q316" i="49"/>
  <c r="C316" i="49"/>
  <c r="E316" i="49" s="1"/>
  <c r="Y316" i="49"/>
  <c r="O316" i="49"/>
  <c r="M234" i="49"/>
  <c r="Q234" i="49"/>
  <c r="U234" i="49"/>
  <c r="M235" i="49"/>
  <c r="Q235" i="49"/>
  <c r="U235" i="49"/>
  <c r="M236" i="49"/>
  <c r="Q236" i="49"/>
  <c r="U236" i="49"/>
  <c r="M237" i="49"/>
  <c r="Q237" i="49"/>
  <c r="U237" i="49"/>
  <c r="M238" i="49"/>
  <c r="Q238" i="49"/>
  <c r="U238" i="49"/>
  <c r="M239" i="49"/>
  <c r="Q239" i="49"/>
  <c r="U239" i="49"/>
  <c r="M240" i="49"/>
  <c r="Q240" i="49"/>
  <c r="U240" i="49"/>
  <c r="M241" i="49"/>
  <c r="Q241" i="49"/>
  <c r="U241" i="49"/>
  <c r="M242" i="49"/>
  <c r="Q242" i="49"/>
  <c r="U242" i="49"/>
  <c r="M243" i="49"/>
  <c r="Q243" i="49"/>
  <c r="U243" i="49"/>
  <c r="M244" i="49"/>
  <c r="Q244" i="49"/>
  <c r="U244" i="49"/>
  <c r="M245" i="49"/>
  <c r="Q245" i="49"/>
  <c r="U245" i="49"/>
  <c r="M246" i="49"/>
  <c r="Q246" i="49"/>
  <c r="U246" i="49"/>
  <c r="M247" i="49"/>
  <c r="Q247" i="49"/>
  <c r="U247" i="49"/>
  <c r="M248" i="49"/>
  <c r="Q248" i="49"/>
  <c r="U248" i="49"/>
  <c r="M249" i="49"/>
  <c r="Q249" i="49"/>
  <c r="U249" i="49"/>
  <c r="M250" i="49"/>
  <c r="Q250" i="49"/>
  <c r="U250" i="49"/>
  <c r="M251" i="49"/>
  <c r="Q251" i="49"/>
  <c r="U251" i="49"/>
  <c r="M252" i="49"/>
  <c r="Q252" i="49"/>
  <c r="U252" i="49"/>
  <c r="M253" i="49"/>
  <c r="Q253" i="49"/>
  <c r="U253" i="49"/>
  <c r="M254" i="49"/>
  <c r="Q254" i="49"/>
  <c r="U254" i="49"/>
  <c r="M255" i="49"/>
  <c r="Q255" i="49"/>
  <c r="U255" i="49"/>
  <c r="M256" i="49"/>
  <c r="Q256" i="49"/>
  <c r="U256" i="49"/>
  <c r="M257" i="49"/>
  <c r="Q257" i="49"/>
  <c r="U257" i="49"/>
  <c r="M258" i="49"/>
  <c r="Q258" i="49"/>
  <c r="U258" i="49"/>
  <c r="M259" i="49"/>
  <c r="Q259" i="49"/>
  <c r="U259" i="49"/>
  <c r="M260" i="49"/>
  <c r="Q260" i="49"/>
  <c r="U260" i="49"/>
  <c r="M261" i="49"/>
  <c r="Q261" i="49"/>
  <c r="U261" i="49"/>
  <c r="M262" i="49"/>
  <c r="Q262" i="49"/>
  <c r="U262" i="49"/>
  <c r="M263" i="49"/>
  <c r="Q263" i="49"/>
  <c r="U263" i="49"/>
  <c r="M264" i="49"/>
  <c r="Q264" i="49"/>
  <c r="U264" i="49"/>
  <c r="M265" i="49"/>
  <c r="Q265" i="49"/>
  <c r="U265" i="49"/>
  <c r="M266" i="49"/>
  <c r="Q266" i="49"/>
  <c r="U266" i="49"/>
  <c r="M267" i="49"/>
  <c r="Q267" i="49"/>
  <c r="U267" i="49"/>
  <c r="M268" i="49"/>
  <c r="Q268" i="49"/>
  <c r="U268" i="49"/>
  <c r="M269" i="49"/>
  <c r="Q269" i="49"/>
  <c r="U269" i="49"/>
  <c r="M270" i="49"/>
  <c r="Q270" i="49"/>
  <c r="U270" i="49"/>
  <c r="M271" i="49"/>
  <c r="Q271" i="49"/>
  <c r="U271" i="49"/>
  <c r="M272" i="49"/>
  <c r="Q272" i="49"/>
  <c r="U272" i="49"/>
  <c r="M273" i="49"/>
  <c r="Q273" i="49"/>
  <c r="U273" i="49"/>
  <c r="M274" i="49"/>
  <c r="Q274" i="49"/>
  <c r="U274" i="49"/>
  <c r="M275" i="49"/>
  <c r="Q275" i="49"/>
  <c r="U275" i="49"/>
  <c r="M276" i="49"/>
  <c r="Q276" i="49"/>
  <c r="U276" i="49"/>
  <c r="W277" i="49"/>
  <c r="S277" i="49"/>
  <c r="O277" i="49"/>
  <c r="K277" i="49"/>
  <c r="V277" i="49"/>
  <c r="R277" i="49"/>
  <c r="N277" i="49"/>
  <c r="J277" i="49"/>
  <c r="M277" i="49"/>
  <c r="U277" i="49"/>
  <c r="W278" i="49"/>
  <c r="S278" i="49"/>
  <c r="O278" i="49"/>
  <c r="K278" i="49"/>
  <c r="C278" i="49"/>
  <c r="E278" i="49" s="1"/>
  <c r="V278" i="49"/>
  <c r="R278" i="49"/>
  <c r="N278" i="49"/>
  <c r="J278" i="49"/>
  <c r="B278" i="49"/>
  <c r="Q278" i="49"/>
  <c r="Y278" i="49"/>
  <c r="W280" i="49"/>
  <c r="S280" i="49"/>
  <c r="O280" i="49"/>
  <c r="K280" i="49"/>
  <c r="C280" i="49"/>
  <c r="E280" i="49" s="1"/>
  <c r="V280" i="49"/>
  <c r="R280" i="49"/>
  <c r="N280" i="49"/>
  <c r="J280" i="49"/>
  <c r="B280" i="49"/>
  <c r="Q280" i="49"/>
  <c r="Y280" i="49"/>
  <c r="W282" i="49"/>
  <c r="S282" i="49"/>
  <c r="O282" i="49"/>
  <c r="K282" i="49"/>
  <c r="C282" i="49"/>
  <c r="E282" i="49" s="1"/>
  <c r="V282" i="49"/>
  <c r="R282" i="49"/>
  <c r="N282" i="49"/>
  <c r="J282" i="49"/>
  <c r="B282" i="49"/>
  <c r="Q282" i="49"/>
  <c r="Y282" i="49"/>
  <c r="W284" i="49"/>
  <c r="S284" i="49"/>
  <c r="O284" i="49"/>
  <c r="K284" i="49"/>
  <c r="C284" i="49"/>
  <c r="E284" i="49" s="1"/>
  <c r="V284" i="49"/>
  <c r="R284" i="49"/>
  <c r="N284" i="49"/>
  <c r="J284" i="49"/>
  <c r="B284" i="49"/>
  <c r="Q284" i="49"/>
  <c r="Y284" i="49"/>
  <c r="W286" i="49"/>
  <c r="S286" i="49"/>
  <c r="O286" i="49"/>
  <c r="K286" i="49"/>
  <c r="C286" i="49"/>
  <c r="E286" i="49" s="1"/>
  <c r="V286" i="49"/>
  <c r="R286" i="49"/>
  <c r="N286" i="49"/>
  <c r="J286" i="49"/>
  <c r="B286" i="49"/>
  <c r="Q286" i="49"/>
  <c r="Y286" i="49"/>
  <c r="W288" i="49"/>
  <c r="S288" i="49"/>
  <c r="O288" i="49"/>
  <c r="K288" i="49"/>
  <c r="C288" i="49"/>
  <c r="E288" i="49" s="1"/>
  <c r="V288" i="49"/>
  <c r="R288" i="49"/>
  <c r="N288" i="49"/>
  <c r="J288" i="49"/>
  <c r="B288" i="49"/>
  <c r="Q288" i="49"/>
  <c r="Y288" i="49"/>
  <c r="W291" i="49"/>
  <c r="S291" i="49"/>
  <c r="O291" i="49"/>
  <c r="K291" i="49"/>
  <c r="C291" i="49"/>
  <c r="E291" i="49" s="1"/>
  <c r="Y291" i="49"/>
  <c r="T291" i="49"/>
  <c r="N291" i="49"/>
  <c r="X291" i="49"/>
  <c r="R291" i="49"/>
  <c r="M291" i="49"/>
  <c r="B291" i="49"/>
  <c r="L291" i="49"/>
  <c r="V291" i="49"/>
  <c r="J295" i="49"/>
  <c r="W302" i="49"/>
  <c r="S302" i="49"/>
  <c r="O302" i="49"/>
  <c r="K302" i="49"/>
  <c r="C302" i="49"/>
  <c r="E302" i="49" s="1"/>
  <c r="U302" i="49"/>
  <c r="P302" i="49"/>
  <c r="J302" i="49"/>
  <c r="Y302" i="49"/>
  <c r="T302" i="49"/>
  <c r="N302" i="49"/>
  <c r="L302" i="49"/>
  <c r="V302" i="49"/>
  <c r="W290" i="49"/>
  <c r="S290" i="49"/>
  <c r="O290" i="49"/>
  <c r="K290" i="49"/>
  <c r="C290" i="49"/>
  <c r="E290" i="49" s="1"/>
  <c r="U290" i="49"/>
  <c r="P290" i="49"/>
  <c r="J290" i="49"/>
  <c r="Y290" i="49"/>
  <c r="T290" i="49"/>
  <c r="N290" i="49"/>
  <c r="L290" i="49"/>
  <c r="V290" i="49"/>
  <c r="W295" i="49"/>
  <c r="S295" i="49"/>
  <c r="O295" i="49"/>
  <c r="K295" i="49"/>
  <c r="C295" i="49"/>
  <c r="E295" i="49" s="1"/>
  <c r="Y295" i="49"/>
  <c r="Z295" i="49" s="1"/>
  <c r="T295" i="49"/>
  <c r="N295" i="49"/>
  <c r="X295" i="49"/>
  <c r="R295" i="49"/>
  <c r="M295" i="49"/>
  <c r="B295" i="49"/>
  <c r="L295" i="49"/>
  <c r="V295" i="49"/>
  <c r="X310" i="49"/>
  <c r="T310" i="49"/>
  <c r="P310" i="49"/>
  <c r="L310" i="49"/>
  <c r="U310" i="49"/>
  <c r="O310" i="49"/>
  <c r="J310" i="49"/>
  <c r="Y310" i="49"/>
  <c r="R310" i="49"/>
  <c r="K310" i="49"/>
  <c r="C310" i="49"/>
  <c r="E310" i="49" s="1"/>
  <c r="W310" i="49"/>
  <c r="N310" i="49"/>
  <c r="V310" i="49"/>
  <c r="M310" i="49"/>
  <c r="B310" i="49"/>
  <c r="S310" i="49"/>
  <c r="X312" i="49"/>
  <c r="T312" i="49"/>
  <c r="P312" i="49"/>
  <c r="L312" i="49"/>
  <c r="W312" i="49"/>
  <c r="R312" i="49"/>
  <c r="M312" i="49"/>
  <c r="B312" i="49"/>
  <c r="S312" i="49"/>
  <c r="K312" i="49"/>
  <c r="Y312" i="49"/>
  <c r="O312" i="49"/>
  <c r="V312" i="49"/>
  <c r="N312" i="49"/>
  <c r="C312" i="49"/>
  <c r="E312" i="49" s="1"/>
  <c r="U312" i="49"/>
  <c r="X319" i="49"/>
  <c r="T319" i="49"/>
  <c r="P319" i="49"/>
  <c r="L319" i="49"/>
  <c r="W319" i="49"/>
  <c r="S319" i="49"/>
  <c r="O319" i="49"/>
  <c r="K319" i="49"/>
  <c r="C319" i="49"/>
  <c r="E319" i="49" s="1"/>
  <c r="V319" i="49"/>
  <c r="N319" i="49"/>
  <c r="Q319" i="49"/>
  <c r="Y319" i="49"/>
  <c r="M319" i="49"/>
  <c r="B319" i="49"/>
  <c r="J319" i="49"/>
  <c r="W292" i="49"/>
  <c r="S292" i="49"/>
  <c r="O292" i="49"/>
  <c r="K292" i="49"/>
  <c r="C292" i="49"/>
  <c r="E292" i="49" s="1"/>
  <c r="L292" i="49"/>
  <c r="Q292" i="49"/>
  <c r="V292" i="49"/>
  <c r="J293" i="49"/>
  <c r="P293" i="49"/>
  <c r="W296" i="49"/>
  <c r="S296" i="49"/>
  <c r="O296" i="49"/>
  <c r="K296" i="49"/>
  <c r="C296" i="49"/>
  <c r="E296" i="49" s="1"/>
  <c r="L296" i="49"/>
  <c r="Q296" i="49"/>
  <c r="V296" i="49"/>
  <c r="J297" i="49"/>
  <c r="P297" i="49"/>
  <c r="W300" i="49"/>
  <c r="S300" i="49"/>
  <c r="O300" i="49"/>
  <c r="K300" i="49"/>
  <c r="C300" i="49"/>
  <c r="E300" i="49" s="1"/>
  <c r="L300" i="49"/>
  <c r="Q300" i="49"/>
  <c r="V300" i="49"/>
  <c r="J301" i="49"/>
  <c r="P301" i="49"/>
  <c r="W304" i="49"/>
  <c r="S304" i="49"/>
  <c r="O304" i="49"/>
  <c r="K304" i="49"/>
  <c r="C304" i="49"/>
  <c r="E304" i="49" s="1"/>
  <c r="L304" i="49"/>
  <c r="Q304" i="49"/>
  <c r="V304" i="49"/>
  <c r="J305" i="49"/>
  <c r="P305" i="49"/>
  <c r="W306" i="49"/>
  <c r="S306" i="49"/>
  <c r="O306" i="49"/>
  <c r="K306" i="49"/>
  <c r="C306" i="49"/>
  <c r="E306" i="49" s="1"/>
  <c r="X306" i="49"/>
  <c r="R306" i="49"/>
  <c r="M306" i="49"/>
  <c r="B306" i="49"/>
  <c r="P306" i="49"/>
  <c r="V306" i="49"/>
  <c r="W308" i="49"/>
  <c r="S308" i="49"/>
  <c r="O308" i="49"/>
  <c r="K308" i="49"/>
  <c r="C308" i="49"/>
  <c r="E308" i="49" s="1"/>
  <c r="U308" i="49"/>
  <c r="P308" i="49"/>
  <c r="J308" i="49"/>
  <c r="N308" i="49"/>
  <c r="V308" i="49"/>
  <c r="W309" i="49"/>
  <c r="S309" i="49"/>
  <c r="O309" i="49"/>
  <c r="K309" i="49"/>
  <c r="C309" i="49"/>
  <c r="E309" i="49" s="1"/>
  <c r="Y309" i="49"/>
  <c r="T309" i="49"/>
  <c r="N309" i="49"/>
  <c r="P309" i="49"/>
  <c r="V309" i="49"/>
  <c r="X320" i="49"/>
  <c r="T320" i="49"/>
  <c r="P320" i="49"/>
  <c r="L320" i="49"/>
  <c r="W320" i="49"/>
  <c r="S320" i="49"/>
  <c r="O320" i="49"/>
  <c r="K320" i="49"/>
  <c r="C320" i="49"/>
  <c r="E320" i="49" s="1"/>
  <c r="R320" i="49"/>
  <c r="J320" i="49"/>
  <c r="B320" i="49"/>
  <c r="U320" i="49"/>
  <c r="Q320" i="49"/>
  <c r="V320" i="49"/>
  <c r="W293" i="49"/>
  <c r="S293" i="49"/>
  <c r="O293" i="49"/>
  <c r="K293" i="49"/>
  <c r="C293" i="49"/>
  <c r="E293" i="49" s="1"/>
  <c r="L293" i="49"/>
  <c r="Q293" i="49"/>
  <c r="V293" i="49"/>
  <c r="W297" i="49"/>
  <c r="S297" i="49"/>
  <c r="O297" i="49"/>
  <c r="K297" i="49"/>
  <c r="C297" i="49"/>
  <c r="E297" i="49" s="1"/>
  <c r="L297" i="49"/>
  <c r="Q297" i="49"/>
  <c r="V297" i="49"/>
  <c r="W301" i="49"/>
  <c r="S301" i="49"/>
  <c r="O301" i="49"/>
  <c r="K301" i="49"/>
  <c r="C301" i="49"/>
  <c r="E301" i="49" s="1"/>
  <c r="L301" i="49"/>
  <c r="Q301" i="49"/>
  <c r="V301" i="49"/>
  <c r="W305" i="49"/>
  <c r="S305" i="49"/>
  <c r="Y305" i="49"/>
  <c r="T305" i="49"/>
  <c r="O305" i="49"/>
  <c r="K305" i="49"/>
  <c r="C305" i="49"/>
  <c r="E305" i="49" s="1"/>
  <c r="L305" i="49"/>
  <c r="Q305" i="49"/>
  <c r="X305" i="49"/>
  <c r="W307" i="49"/>
  <c r="S307" i="49"/>
  <c r="O307" i="49"/>
  <c r="K307" i="49"/>
  <c r="C307" i="49"/>
  <c r="E307" i="49" s="1"/>
  <c r="L307" i="49"/>
  <c r="Q307" i="49"/>
  <c r="V307" i="49"/>
  <c r="X321" i="49"/>
  <c r="T321" i="49"/>
  <c r="P321" i="49"/>
  <c r="L321" i="49"/>
  <c r="W321" i="49"/>
  <c r="S321" i="49"/>
  <c r="O321" i="49"/>
  <c r="K321" i="49"/>
  <c r="C321" i="49"/>
  <c r="E321" i="49" s="1"/>
  <c r="V321" i="49"/>
  <c r="N321" i="49"/>
  <c r="J321" i="49"/>
  <c r="U321" i="49"/>
  <c r="X318" i="49"/>
  <c r="T318" i="49"/>
  <c r="P318" i="49"/>
  <c r="L318" i="49"/>
  <c r="W318" i="49"/>
  <c r="S318" i="49"/>
  <c r="O318" i="49"/>
  <c r="K318" i="49"/>
  <c r="C318" i="49"/>
  <c r="E318" i="49" s="1"/>
  <c r="R318" i="49"/>
  <c r="J318" i="49"/>
  <c r="B318" i="49"/>
  <c r="M318" i="49"/>
  <c r="V318" i="49"/>
  <c r="X313" i="49"/>
  <c r="T313" i="49"/>
  <c r="P313" i="49"/>
  <c r="L313" i="49"/>
  <c r="K313" i="49"/>
  <c r="Q313" i="49"/>
  <c r="V313" i="49"/>
  <c r="X317" i="49"/>
  <c r="T317" i="49"/>
  <c r="P317" i="49"/>
  <c r="L317" i="49"/>
  <c r="W317" i="49"/>
  <c r="K317" i="49"/>
  <c r="Q317" i="49"/>
  <c r="V317" i="49"/>
  <c r="H111" i="49" l="1"/>
  <c r="BH309" i="14"/>
  <c r="BH398" i="14"/>
  <c r="BH405" i="14"/>
  <c r="BH370" i="14"/>
  <c r="BI336" i="14"/>
  <c r="BG300" i="14"/>
  <c r="BH354" i="14"/>
  <c r="BH338" i="14"/>
  <c r="BH322" i="14"/>
  <c r="BH306" i="14"/>
  <c r="BH274" i="14"/>
  <c r="BJ466" i="14"/>
  <c r="BK466" i="14"/>
  <c r="BJ434" i="14"/>
  <c r="BE395" i="14"/>
  <c r="BJ223" i="14"/>
  <c r="BJ344" i="14"/>
  <c r="BJ324" i="14"/>
  <c r="BK300" i="14"/>
  <c r="W376" i="14"/>
  <c r="BE336" i="14"/>
  <c r="W320" i="14"/>
  <c r="BG434" i="14"/>
  <c r="BD395" i="14"/>
  <c r="BG466" i="14"/>
  <c r="BH292" i="14"/>
  <c r="BH395" i="14"/>
  <c r="BH352" i="14"/>
  <c r="BH414" i="14"/>
  <c r="BK434" i="14"/>
  <c r="BG395" i="14"/>
  <c r="BI364" i="14"/>
  <c r="BI422" i="14"/>
  <c r="BI382" i="14"/>
  <c r="BH434" i="14"/>
  <c r="BK395" i="14"/>
  <c r="W304" i="14"/>
  <c r="W296" i="14"/>
  <c r="BJ272" i="14"/>
  <c r="BI498" i="14"/>
  <c r="BI414" i="14"/>
  <c r="BH384" i="14"/>
  <c r="BI395" i="14"/>
  <c r="BI332" i="14"/>
  <c r="BK324" i="14"/>
  <c r="BD434" i="14"/>
  <c r="BG384" i="14"/>
  <c r="BK344" i="14"/>
  <c r="BH324" i="14"/>
  <c r="BJ426" i="14"/>
  <c r="BF364" i="14"/>
  <c r="BI344" i="14"/>
  <c r="BJ438" i="14"/>
  <c r="BJ253" i="14"/>
  <c r="BJ242" i="14"/>
  <c r="BJ226" i="14"/>
  <c r="BJ347" i="14"/>
  <c r="BJ299" i="14"/>
  <c r="BJ258" i="14"/>
  <c r="BJ418" i="14"/>
  <c r="BG401" i="14"/>
  <c r="BH365" i="14"/>
  <c r="BH446" i="14"/>
  <c r="BH406" i="14"/>
  <c r="BH458" i="14"/>
  <c r="BH397" i="14"/>
  <c r="BH330" i="14"/>
  <c r="BH400" i="14"/>
  <c r="BH430" i="14"/>
  <c r="BH358" i="14"/>
  <c r="BH326" i="14"/>
  <c r="BH294" i="14"/>
  <c r="BH462" i="14"/>
  <c r="BH497" i="14"/>
  <c r="BH334" i="14"/>
  <c r="BH302" i="14"/>
  <c r="BG398" i="14"/>
  <c r="BG322" i="14"/>
  <c r="BD310" i="14"/>
  <c r="BG356" i="14"/>
  <c r="BJ300" i="14"/>
  <c r="BG416" i="14"/>
  <c r="BG388" i="14"/>
  <c r="BJ141" i="14"/>
  <c r="BJ200" i="14"/>
  <c r="BJ136" i="14"/>
  <c r="BJ211" i="14"/>
  <c r="BJ163" i="14"/>
  <c r="BJ210" i="14"/>
  <c r="BJ194" i="14"/>
  <c r="BJ178" i="14"/>
  <c r="BJ146" i="14"/>
  <c r="BJ130" i="14"/>
  <c r="BJ114" i="14"/>
  <c r="BE398" i="14"/>
  <c r="BF450" i="14"/>
  <c r="BG288" i="14"/>
  <c r="BG414" i="14"/>
  <c r="BJ458" i="14"/>
  <c r="BE329" i="14"/>
  <c r="BE297" i="14"/>
  <c r="BE386" i="14"/>
  <c r="BE374" i="14"/>
  <c r="BE342" i="14"/>
  <c r="BE276" i="14"/>
  <c r="BC106" i="14"/>
  <c r="BK106" i="14" s="1"/>
  <c r="BE322" i="14"/>
  <c r="BG364" i="14"/>
  <c r="BJ332" i="14"/>
  <c r="BE308" i="14"/>
  <c r="BE309" i="14"/>
  <c r="BE277" i="14"/>
  <c r="BC360" i="14"/>
  <c r="BI360" i="14" s="1"/>
  <c r="BE466" i="14"/>
  <c r="BE434" i="14"/>
  <c r="BE500" i="14"/>
  <c r="BE384" i="14"/>
  <c r="BG329" i="14"/>
  <c r="BH364" i="14"/>
  <c r="BH348" i="14"/>
  <c r="BE344" i="14"/>
  <c r="BK332" i="14"/>
  <c r="BE369" i="14"/>
  <c r="BE353" i="14"/>
  <c r="BE350" i="14"/>
  <c r="BE318" i="14"/>
  <c r="BE450" i="14"/>
  <c r="BF466" i="14"/>
  <c r="BF446" i="14"/>
  <c r="BG399" i="14"/>
  <c r="BF338" i="14"/>
  <c r="BE364" i="14"/>
  <c r="BE348" i="14"/>
  <c r="BE324" i="14"/>
  <c r="BE362" i="14"/>
  <c r="BE346" i="14"/>
  <c r="BH368" i="14"/>
  <c r="BE352" i="14"/>
  <c r="BH312" i="14"/>
  <c r="BE458" i="14"/>
  <c r="BK458" i="14"/>
  <c r="BE446" i="14"/>
  <c r="BK446" i="14"/>
  <c r="BI434" i="14"/>
  <c r="BK414" i="14"/>
  <c r="BD458" i="14"/>
  <c r="BI397" i="14"/>
  <c r="BI384" i="14"/>
  <c r="BE368" i="14"/>
  <c r="BG352" i="14"/>
  <c r="BI352" i="14"/>
  <c r="BK336" i="14"/>
  <c r="BK312" i="14"/>
  <c r="BK288" i="14"/>
  <c r="BI341" i="14"/>
  <c r="BI458" i="14"/>
  <c r="BI446" i="14"/>
  <c r="BE414" i="14"/>
  <c r="BJ368" i="14"/>
  <c r="BI368" i="14"/>
  <c r="BK352" i="14"/>
  <c r="BH336" i="14"/>
  <c r="BI300" i="14"/>
  <c r="BH288" i="14"/>
  <c r="BI270" i="14"/>
  <c r="BI316" i="14"/>
  <c r="BI466" i="14"/>
  <c r="BG458" i="14"/>
  <c r="BG446" i="14"/>
  <c r="BJ336" i="14"/>
  <c r="BI470" i="14"/>
  <c r="BI361" i="14"/>
  <c r="BI409" i="14"/>
  <c r="BD497" i="14"/>
  <c r="BJ316" i="14"/>
  <c r="BG407" i="14"/>
  <c r="BH366" i="14"/>
  <c r="BE292" i="14"/>
  <c r="BK386" i="14"/>
  <c r="BE334" i="14"/>
  <c r="BF418" i="14"/>
  <c r="BE278" i="14"/>
  <c r="BG450" i="14"/>
  <c r="BE438" i="14"/>
  <c r="BE409" i="14"/>
  <c r="BD407" i="14"/>
  <c r="BD388" i="14"/>
  <c r="BD410" i="14"/>
  <c r="BJ302" i="14"/>
  <c r="BI298" i="14"/>
  <c r="BI312" i="14"/>
  <c r="BE462" i="14"/>
  <c r="BE418" i="14"/>
  <c r="BK401" i="14"/>
  <c r="BI350" i="14"/>
  <c r="BG462" i="14"/>
  <c r="BI430" i="14"/>
  <c r="BG418" i="14"/>
  <c r="BE407" i="14"/>
  <c r="BK318" i="14"/>
  <c r="BI290" i="14"/>
  <c r="BF470" i="14"/>
  <c r="BK409" i="14"/>
  <c r="BH386" i="14"/>
  <c r="BI400" i="14"/>
  <c r="BF407" i="14"/>
  <c r="BI399" i="14"/>
  <c r="BD399" i="14"/>
  <c r="BF395" i="14"/>
  <c r="BF368" i="14"/>
  <c r="BF336" i="14"/>
  <c r="BK276" i="14"/>
  <c r="BF497" i="14"/>
  <c r="BG470" i="14"/>
  <c r="BF462" i="14"/>
  <c r="BE430" i="14"/>
  <c r="BF414" i="14"/>
  <c r="BK400" i="14"/>
  <c r="BF399" i="14"/>
  <c r="BH399" i="14"/>
  <c r="BF374" i="14"/>
  <c r="BF286" i="14"/>
  <c r="BF333" i="14"/>
  <c r="BF317" i="14"/>
  <c r="BF458" i="14"/>
  <c r="BF434" i="14"/>
  <c r="BK430" i="14"/>
  <c r="BF408" i="14"/>
  <c r="BE399" i="14"/>
  <c r="BF384" i="14"/>
  <c r="BF298" i="14"/>
  <c r="BF274" i="14"/>
  <c r="BF426" i="14"/>
  <c r="BF306" i="14"/>
  <c r="BH450" i="14"/>
  <c r="BE316" i="14"/>
  <c r="BG497" i="14"/>
  <c r="BJ462" i="14"/>
  <c r="BI450" i="14"/>
  <c r="BK450" i="14"/>
  <c r="BI418" i="14"/>
  <c r="BD414" i="14"/>
  <c r="BD450" i="14"/>
  <c r="BI401" i="14"/>
  <c r="BJ414" i="14"/>
  <c r="BJ407" i="14"/>
  <c r="BH407" i="14"/>
  <c r="BJ399" i="14"/>
  <c r="BJ395" i="14"/>
  <c r="BD384" i="14"/>
  <c r="BD394" i="14"/>
  <c r="BJ354" i="14"/>
  <c r="BI318" i="14"/>
  <c r="BE302" i="14"/>
  <c r="BH286" i="14"/>
  <c r="BG368" i="14"/>
  <c r="BG348" i="14"/>
  <c r="BG344" i="14"/>
  <c r="BG332" i="14"/>
  <c r="BG316" i="14"/>
  <c r="BG312" i="14"/>
  <c r="BJ304" i="14"/>
  <c r="BE300" i="14"/>
  <c r="BJ288" i="14"/>
  <c r="BG422" i="14"/>
  <c r="BD404" i="14"/>
  <c r="BJ238" i="14"/>
  <c r="BJ222" i="14"/>
  <c r="BJ244" i="14"/>
  <c r="BJ228" i="14"/>
  <c r="BD314" i="14"/>
  <c r="BJ217" i="14"/>
  <c r="BJ153" i="14"/>
  <c r="BJ105" i="14"/>
  <c r="BJ196" i="14"/>
  <c r="BJ148" i="14"/>
  <c r="BJ116" i="14"/>
  <c r="BJ191" i="14"/>
  <c r="BJ175" i="14"/>
  <c r="BJ143" i="14"/>
  <c r="BD403" i="14"/>
  <c r="BJ206" i="14"/>
  <c r="BJ190" i="14"/>
  <c r="BF305" i="14"/>
  <c r="BJ470" i="14"/>
  <c r="BJ255" i="14"/>
  <c r="BG386" i="14"/>
  <c r="BJ409" i="14"/>
  <c r="BG310" i="14"/>
  <c r="BJ213" i="14"/>
  <c r="BJ165" i="14"/>
  <c r="BJ149" i="14"/>
  <c r="BJ208" i="14"/>
  <c r="BJ176" i="14"/>
  <c r="BJ187" i="14"/>
  <c r="BJ123" i="14"/>
  <c r="BJ245" i="14"/>
  <c r="BJ154" i="14"/>
  <c r="BK497" i="14"/>
  <c r="BJ497" i="14"/>
  <c r="BI462" i="14"/>
  <c r="BK462" i="14"/>
  <c r="BJ450" i="14"/>
  <c r="BG438" i="14"/>
  <c r="BD418" i="14"/>
  <c r="BK418" i="14"/>
  <c r="BD466" i="14"/>
  <c r="BH418" i="14"/>
  <c r="BI407" i="14"/>
  <c r="BK388" i="14"/>
  <c r="BJ384" i="14"/>
  <c r="BF366" i="14"/>
  <c r="BK350" i="14"/>
  <c r="BJ334" i="14"/>
  <c r="BJ361" i="14"/>
  <c r="BJ364" i="14"/>
  <c r="BJ352" i="14"/>
  <c r="BG336" i="14"/>
  <c r="BJ227" i="14"/>
  <c r="BJ174" i="14"/>
  <c r="BJ454" i="14"/>
  <c r="BG373" i="14"/>
  <c r="BJ246" i="14"/>
  <c r="BJ214" i="14"/>
  <c r="BD416" i="14"/>
  <c r="BG367" i="14"/>
  <c r="BD354" i="14"/>
  <c r="BJ209" i="14"/>
  <c r="BJ177" i="14"/>
  <c r="BJ145" i="14"/>
  <c r="BJ113" i="14"/>
  <c r="BJ220" i="14"/>
  <c r="BJ199" i="14"/>
  <c r="BJ241" i="14"/>
  <c r="BJ166" i="14"/>
  <c r="BJ134" i="14"/>
  <c r="BJ284" i="14"/>
  <c r="BD408" i="14"/>
  <c r="BG353" i="14"/>
  <c r="BF321" i="14"/>
  <c r="BE305" i="14"/>
  <c r="BG369" i="14"/>
  <c r="BI353" i="14"/>
  <c r="BH321" i="14"/>
  <c r="BE289" i="14"/>
  <c r="BE410" i="14"/>
  <c r="BF394" i="14"/>
  <c r="BI369" i="14"/>
  <c r="BH337" i="14"/>
  <c r="BI438" i="14"/>
  <c r="BK438" i="14"/>
  <c r="BD462" i="14"/>
  <c r="BF401" i="14"/>
  <c r="BD401" i="14"/>
  <c r="BH438" i="14"/>
  <c r="BJ408" i="14"/>
  <c r="BH408" i="14"/>
  <c r="BF388" i="14"/>
  <c r="BJ410" i="14"/>
  <c r="BI410" i="14"/>
  <c r="BJ394" i="14"/>
  <c r="BH394" i="14"/>
  <c r="BJ366" i="14"/>
  <c r="BE366" i="14"/>
  <c r="BF350" i="14"/>
  <c r="BD350" i="14"/>
  <c r="BG334" i="14"/>
  <c r="BI334" i="14"/>
  <c r="BF318" i="14"/>
  <c r="BD318" i="14"/>
  <c r="BG302" i="14"/>
  <c r="BI302" i="14"/>
  <c r="BJ286" i="14"/>
  <c r="BE286" i="14"/>
  <c r="BF270" i="14"/>
  <c r="BH270" i="14"/>
  <c r="BK369" i="14"/>
  <c r="BK353" i="14"/>
  <c r="BJ337" i="14"/>
  <c r="BE337" i="14"/>
  <c r="BJ321" i="14"/>
  <c r="BE321" i="14"/>
  <c r="BJ305" i="14"/>
  <c r="BI305" i="14"/>
  <c r="BF438" i="14"/>
  <c r="BD438" i="14"/>
  <c r="BJ401" i="14"/>
  <c r="BH401" i="14"/>
  <c r="BE408" i="14"/>
  <c r="BG408" i="14"/>
  <c r="BJ388" i="14"/>
  <c r="BF410" i="14"/>
  <c r="BG410" i="14"/>
  <c r="BE394" i="14"/>
  <c r="BG394" i="14"/>
  <c r="BI388" i="14"/>
  <c r="BG366" i="14"/>
  <c r="BI366" i="14"/>
  <c r="BJ350" i="14"/>
  <c r="BH350" i="14"/>
  <c r="BK334" i="14"/>
  <c r="BJ318" i="14"/>
  <c r="BH318" i="14"/>
  <c r="BK302" i="14"/>
  <c r="BG286" i="14"/>
  <c r="BI286" i="14"/>
  <c r="BJ270" i="14"/>
  <c r="BE270" i="14"/>
  <c r="BF369" i="14"/>
  <c r="BH369" i="14"/>
  <c r="BF353" i="14"/>
  <c r="BH353" i="14"/>
  <c r="BG337" i="14"/>
  <c r="BI337" i="14"/>
  <c r="BG321" i="14"/>
  <c r="BI321" i="14"/>
  <c r="BG305" i="14"/>
  <c r="BJ289" i="14"/>
  <c r="BE401" i="14"/>
  <c r="BH388" i="14"/>
  <c r="BI408" i="14"/>
  <c r="BE388" i="14"/>
  <c r="BH410" i="14"/>
  <c r="BI394" i="14"/>
  <c r="BG350" i="14"/>
  <c r="BF334" i="14"/>
  <c r="BG318" i="14"/>
  <c r="BF302" i="14"/>
  <c r="BG270" i="14"/>
  <c r="BJ369" i="14"/>
  <c r="BJ353" i="14"/>
  <c r="BH305" i="14"/>
  <c r="BH289" i="14"/>
  <c r="BE426" i="14"/>
  <c r="BG426" i="14"/>
  <c r="BD454" i="14"/>
  <c r="BH426" i="14"/>
  <c r="BI398" i="14"/>
  <c r="BK398" i="14"/>
  <c r="BG354" i="14"/>
  <c r="BE354" i="14"/>
  <c r="BK322" i="14"/>
  <c r="BI322" i="14"/>
  <c r="BF290" i="14"/>
  <c r="BH290" i="14"/>
  <c r="BI426" i="14"/>
  <c r="BK426" i="14"/>
  <c r="BD499" i="14"/>
  <c r="BD426" i="14"/>
  <c r="BF405" i="14"/>
  <c r="BH454" i="14"/>
  <c r="BE396" i="14"/>
  <c r="BF398" i="14"/>
  <c r="BD398" i="14"/>
  <c r="BF370" i="14"/>
  <c r="BK354" i="14"/>
  <c r="BI354" i="14"/>
  <c r="BF322" i="14"/>
  <c r="BD322" i="14"/>
  <c r="BJ290" i="14"/>
  <c r="BE290" i="14"/>
  <c r="BK373" i="14"/>
  <c r="BJ499" i="14"/>
  <c r="BJ398" i="14"/>
  <c r="BF354" i="14"/>
  <c r="BJ322" i="14"/>
  <c r="BG290" i="14"/>
  <c r="BE422" i="14"/>
  <c r="BK422" i="14"/>
  <c r="BE404" i="14"/>
  <c r="BD422" i="14"/>
  <c r="BE397" i="14"/>
  <c r="BH382" i="14"/>
  <c r="BH422" i="14"/>
  <c r="BI406" i="14"/>
  <c r="BH282" i="14"/>
  <c r="BK365" i="14"/>
  <c r="BF422" i="14"/>
  <c r="BG397" i="14"/>
  <c r="BG404" i="14"/>
  <c r="BK382" i="14"/>
  <c r="BF378" i="14"/>
  <c r="BK362" i="14"/>
  <c r="BG314" i="14"/>
  <c r="BJ446" i="14"/>
  <c r="BJ422" i="14"/>
  <c r="BK397" i="14"/>
  <c r="BJ378" i="14"/>
  <c r="BE332" i="14"/>
  <c r="BC103" i="14"/>
  <c r="BK103" i="14" s="1"/>
  <c r="BI320" i="14"/>
  <c r="BJ320" i="14"/>
  <c r="BE382" i="14"/>
  <c r="BD382" i="14"/>
  <c r="BK406" i="14"/>
  <c r="BD346" i="14"/>
  <c r="BI330" i="14"/>
  <c r="BF337" i="14"/>
  <c r="BH317" i="14"/>
  <c r="BF289" i="14"/>
  <c r="BJ285" i="14"/>
  <c r="BF352" i="14"/>
  <c r="BJ348" i="14"/>
  <c r="BI348" i="14"/>
  <c r="BF312" i="14"/>
  <c r="BJ292" i="14"/>
  <c r="BF345" i="14"/>
  <c r="BF442" i="14"/>
  <c r="BF326" i="14"/>
  <c r="BF346" i="14"/>
  <c r="BG330" i="14"/>
  <c r="BE314" i="14"/>
  <c r="BH298" i="14"/>
  <c r="BH349" i="14"/>
  <c r="BK333" i="14"/>
  <c r="BF348" i="14"/>
  <c r="BI292" i="14"/>
  <c r="BF357" i="14"/>
  <c r="BF325" i="14"/>
  <c r="BF335" i="14"/>
  <c r="BC108" i="14"/>
  <c r="BC107" i="14"/>
  <c r="BK107" i="14" s="1"/>
  <c r="BJ404" i="14"/>
  <c r="BH404" i="14"/>
  <c r="BG382" i="14"/>
  <c r="BE406" i="14"/>
  <c r="BG406" i="14"/>
  <c r="BE378" i="14"/>
  <c r="BG362" i="14"/>
  <c r="BI362" i="14"/>
  <c r="BK346" i="14"/>
  <c r="BI346" i="14"/>
  <c r="BJ330" i="14"/>
  <c r="BE330" i="14"/>
  <c r="BJ314" i="14"/>
  <c r="BH314" i="14"/>
  <c r="BK298" i="14"/>
  <c r="BG282" i="14"/>
  <c r="BG365" i="14"/>
  <c r="BJ349" i="14"/>
  <c r="BJ333" i="14"/>
  <c r="BJ317" i="14"/>
  <c r="BH301" i="14"/>
  <c r="BI285" i="14"/>
  <c r="BF397" i="14"/>
  <c r="BD397" i="14"/>
  <c r="BI404" i="14"/>
  <c r="BK404" i="14"/>
  <c r="BF382" i="14"/>
  <c r="BF406" i="14"/>
  <c r="BD406" i="14"/>
  <c r="BH378" i="14"/>
  <c r="BG378" i="14"/>
  <c r="BF362" i="14"/>
  <c r="BH362" i="14"/>
  <c r="BJ346" i="14"/>
  <c r="BH346" i="14"/>
  <c r="BK330" i="14"/>
  <c r="BK314" i="14"/>
  <c r="BI314" i="14"/>
  <c r="BJ298" i="14"/>
  <c r="BE298" i="14"/>
  <c r="BF282" i="14"/>
  <c r="BE282" i="14"/>
  <c r="BE349" i="14"/>
  <c r="BE333" i="14"/>
  <c r="BE317" i="14"/>
  <c r="BJ301" i="14"/>
  <c r="BG285" i="14"/>
  <c r="BD446" i="14"/>
  <c r="BJ397" i="14"/>
  <c r="BF404" i="14"/>
  <c r="BJ382" i="14"/>
  <c r="BJ406" i="14"/>
  <c r="BI378" i="14"/>
  <c r="BJ362" i="14"/>
  <c r="BG346" i="14"/>
  <c r="BF330" i="14"/>
  <c r="BF314" i="14"/>
  <c r="BG298" i="14"/>
  <c r="BJ282" i="14"/>
  <c r="BI282" i="14"/>
  <c r="BF349" i="14"/>
  <c r="BI349" i="14"/>
  <c r="BH285" i="14"/>
  <c r="BE373" i="14"/>
  <c r="BK357" i="14"/>
  <c r="BK341" i="14"/>
  <c r="BE341" i="14"/>
  <c r="BG309" i="14"/>
  <c r="F131" i="69"/>
  <c r="H56" i="69"/>
  <c r="BF356" i="14"/>
  <c r="BJ442" i="14"/>
  <c r="BJ356" i="14"/>
  <c r="BF320" i="14"/>
  <c r="BG284" i="14"/>
  <c r="BD442" i="14"/>
  <c r="BJ403" i="14"/>
  <c r="BK356" i="14"/>
  <c r="BG320" i="14"/>
  <c r="BI402" i="14"/>
  <c r="BF294" i="14"/>
  <c r="BH356" i="14"/>
  <c r="BK320" i="14"/>
  <c r="BE356" i="14"/>
  <c r="BH320" i="14"/>
  <c r="BC104" i="14"/>
  <c r="BK104" i="14" s="1"/>
  <c r="BF358" i="14"/>
  <c r="BI356" i="14"/>
  <c r="BE320" i="14"/>
  <c r="BJ219" i="14"/>
  <c r="BC101" i="14"/>
  <c r="BK101" i="14" s="1"/>
  <c r="BI442" i="14"/>
  <c r="W328" i="14"/>
  <c r="BF377" i="14"/>
  <c r="BC102" i="14"/>
  <c r="BJ102" i="14" s="1"/>
  <c r="BF341" i="14"/>
  <c r="BK325" i="14"/>
  <c r="BF313" i="14"/>
  <c r="BE284" i="14"/>
  <c r="BJ341" i="14"/>
  <c r="BF309" i="14"/>
  <c r="BK277" i="14"/>
  <c r="BE280" i="14"/>
  <c r="BE365" i="14"/>
  <c r="BI333" i="14"/>
  <c r="BI317" i="14"/>
  <c r="BI301" i="14"/>
  <c r="BJ207" i="14"/>
  <c r="BD362" i="14"/>
  <c r="BE312" i="14"/>
  <c r="BE372" i="14"/>
  <c r="BE304" i="14"/>
  <c r="S237" i="11"/>
  <c r="BD342" i="14"/>
  <c r="BK296" i="14"/>
  <c r="BH296" i="14"/>
  <c r="BJ296" i="14"/>
  <c r="BK470" i="14"/>
  <c r="BG430" i="14"/>
  <c r="BG409" i="14"/>
  <c r="BE400" i="14"/>
  <c r="BI374" i="14"/>
  <c r="BH342" i="14"/>
  <c r="BK310" i="14"/>
  <c r="BH278" i="14"/>
  <c r="BF361" i="14"/>
  <c r="BF329" i="14"/>
  <c r="S260" i="11"/>
  <c r="BD470" i="14"/>
  <c r="BD430" i="14"/>
  <c r="BD409" i="14"/>
  <c r="BF400" i="14"/>
  <c r="BF386" i="14"/>
  <c r="BJ374" i="14"/>
  <c r="BI342" i="14"/>
  <c r="BH310" i="14"/>
  <c r="BI278" i="14"/>
  <c r="BK361" i="14"/>
  <c r="BI329" i="14"/>
  <c r="BK304" i="14"/>
  <c r="BE470" i="14"/>
  <c r="BH409" i="14"/>
  <c r="BJ400" i="14"/>
  <c r="BJ386" i="14"/>
  <c r="BG374" i="14"/>
  <c r="BF342" i="14"/>
  <c r="BE310" i="14"/>
  <c r="BE361" i="14"/>
  <c r="BH304" i="14"/>
  <c r="BH470" i="14"/>
  <c r="BG400" i="14"/>
  <c r="BK374" i="14"/>
  <c r="BJ342" i="14"/>
  <c r="BI310" i="14"/>
  <c r="BF278" i="14"/>
  <c r="BD374" i="14"/>
  <c r="BG342" i="14"/>
  <c r="BF310" i="14"/>
  <c r="BJ278" i="14"/>
  <c r="BF297" i="14"/>
  <c r="BF430" i="14"/>
  <c r="BF409" i="14"/>
  <c r="BD400" i="14"/>
  <c r="BH374" i="14"/>
  <c r="BK342" i="14"/>
  <c r="BJ310" i="14"/>
  <c r="BG278" i="14"/>
  <c r="BG297" i="14"/>
  <c r="BK372" i="14"/>
  <c r="BH373" i="14"/>
  <c r="BJ430" i="14"/>
  <c r="BK297" i="14"/>
  <c r="S202" i="11"/>
  <c r="X2" i="66"/>
  <c r="E21" i="37" s="1"/>
  <c r="W2" i="66"/>
  <c r="T313" i="11"/>
  <c r="T301" i="11"/>
  <c r="BH332" i="14"/>
  <c r="BD298" i="14"/>
  <c r="BD386" i="14"/>
  <c r="BD402" i="14"/>
  <c r="BD378" i="14"/>
  <c r="BD366" i="14"/>
  <c r="BD334" i="14"/>
  <c r="BD330" i="14"/>
  <c r="BD290" i="14"/>
  <c r="BD286" i="14"/>
  <c r="BD282" i="14"/>
  <c r="BD278" i="14"/>
  <c r="BJ373" i="14"/>
  <c r="BI373" i="14"/>
  <c r="BF365" i="14"/>
  <c r="BI365" i="14"/>
  <c r="BH361" i="14"/>
  <c r="BG349" i="14"/>
  <c r="BK345" i="14"/>
  <c r="BH341" i="14"/>
  <c r="BH333" i="14"/>
  <c r="BK329" i="14"/>
  <c r="BK317" i="14"/>
  <c r="BI309" i="14"/>
  <c r="BF301" i="14"/>
  <c r="BE301" i="14"/>
  <c r="BF285" i="14"/>
  <c r="BE285" i="14"/>
  <c r="BF304" i="14"/>
  <c r="BF292" i="14"/>
  <c r="BD270" i="14"/>
  <c r="BH276" i="14"/>
  <c r="BD302" i="14"/>
  <c r="BJ365" i="14"/>
  <c r="BG361" i="14"/>
  <c r="BG333" i="14"/>
  <c r="BH329" i="14"/>
  <c r="BG317" i="14"/>
  <c r="BG301" i="14"/>
  <c r="BF293" i="14"/>
  <c r="BF281" i="14"/>
  <c r="BF344" i="14"/>
  <c r="BH344" i="14"/>
  <c r="BE340" i="14"/>
  <c r="BF332" i="14"/>
  <c r="BG324" i="14"/>
  <c r="BI324" i="14"/>
  <c r="BF316" i="14"/>
  <c r="BH316" i="14"/>
  <c r="BJ312" i="14"/>
  <c r="BF300" i="14"/>
  <c r="BH300" i="14"/>
  <c r="BG292" i="14"/>
  <c r="BI284" i="14"/>
  <c r="BI296" i="14"/>
  <c r="BF373" i="14"/>
  <c r="BG341" i="14"/>
  <c r="BK309" i="14"/>
  <c r="BH297" i="14"/>
  <c r="BF324" i="14"/>
  <c r="BG304" i="14"/>
  <c r="BI304" i="14"/>
  <c r="BF296" i="14"/>
  <c r="BE296" i="14"/>
  <c r="BF284" i="14"/>
  <c r="BH284" i="14"/>
  <c r="BF276" i="14"/>
  <c r="BG272" i="14"/>
  <c r="BI297" i="14"/>
  <c r="BD353" i="14"/>
  <c r="BD349" i="14"/>
  <c r="BJ329" i="14"/>
  <c r="BJ297" i="14"/>
  <c r="BH277" i="14"/>
  <c r="BG296" i="14"/>
  <c r="BE288" i="14"/>
  <c r="BH272" i="14"/>
  <c r="BI276" i="14"/>
  <c r="BF277" i="14"/>
  <c r="BF299" i="14"/>
  <c r="BI386" i="14"/>
  <c r="BF355" i="14"/>
  <c r="BH323" i="14"/>
  <c r="BI273" i="14"/>
  <c r="BI363" i="14"/>
  <c r="BJ309" i="14"/>
  <c r="BI277" i="14"/>
  <c r="BF288" i="14"/>
  <c r="BJ276" i="14"/>
  <c r="BI272" i="14"/>
  <c r="BI215" i="14"/>
  <c r="BG277" i="14"/>
  <c r="BI367" i="14"/>
  <c r="BK347" i="14"/>
  <c r="BI355" i="14"/>
  <c r="BG315" i="14"/>
  <c r="BF273" i="14"/>
  <c r="BH273" i="14"/>
  <c r="BH363" i="14"/>
  <c r="BK299" i="14"/>
  <c r="BG289" i="14"/>
  <c r="BI289" i="14"/>
  <c r="BJ273" i="14"/>
  <c r="BE273" i="14"/>
  <c r="BJ331" i="14"/>
  <c r="BG273" i="14"/>
  <c r="BF347" i="14"/>
  <c r="BJ315" i="14"/>
  <c r="BH235" i="14"/>
  <c r="BE199" i="14"/>
  <c r="BG291" i="14"/>
  <c r="BJ277" i="14"/>
  <c r="BF272" i="14"/>
  <c r="BE272" i="14"/>
  <c r="BF363" i="14"/>
  <c r="BH347" i="14"/>
  <c r="BG331" i="14"/>
  <c r="BK315" i="14"/>
  <c r="BJ235" i="14"/>
  <c r="BJ159" i="14"/>
  <c r="BJ182" i="14"/>
  <c r="BG363" i="14"/>
  <c r="BI347" i="14"/>
  <c r="BI331" i="14"/>
  <c r="BI315" i="14"/>
  <c r="BJ283" i="14"/>
  <c r="BE355" i="14"/>
  <c r="BI323" i="14"/>
  <c r="BD285" i="14"/>
  <c r="BD373" i="14"/>
  <c r="BD369" i="14"/>
  <c r="BD365" i="14"/>
  <c r="BD361" i="14"/>
  <c r="BD341" i="14"/>
  <c r="BD337" i="14"/>
  <c r="BD321" i="14"/>
  <c r="BD317" i="14"/>
  <c r="BD289" i="14"/>
  <c r="BJ363" i="14"/>
  <c r="BI339" i="14"/>
  <c r="BI135" i="14"/>
  <c r="BD273" i="14"/>
  <c r="BH175" i="14"/>
  <c r="BI288" i="14"/>
  <c r="BG355" i="14"/>
  <c r="BF323" i="14"/>
  <c r="BE323" i="14"/>
  <c r="BH299" i="14"/>
  <c r="BH291" i="14"/>
  <c r="BE283" i="14"/>
  <c r="BE235" i="14"/>
  <c r="BI227" i="14"/>
  <c r="BE219" i="14"/>
  <c r="BH211" i="14"/>
  <c r="BK199" i="14"/>
  <c r="BJ150" i="14"/>
  <c r="BJ118" i="14"/>
  <c r="AA3" i="14"/>
  <c r="BH367" i="14"/>
  <c r="BE335" i="14"/>
  <c r="BG303" i="14"/>
  <c r="BI239" i="14"/>
  <c r="BD333" i="14"/>
  <c r="BD329" i="14"/>
  <c r="BD309" i="14"/>
  <c r="BD305" i="14"/>
  <c r="BD301" i="14"/>
  <c r="BD297" i="14"/>
  <c r="BD277" i="14"/>
  <c r="BG276" i="14"/>
  <c r="BI371" i="14"/>
  <c r="BE363" i="14"/>
  <c r="BK355" i="14"/>
  <c r="BE347" i="14"/>
  <c r="BF331" i="14"/>
  <c r="BH331" i="14"/>
  <c r="BJ323" i="14"/>
  <c r="BF315" i="14"/>
  <c r="BH315" i="14"/>
  <c r="BE299" i="14"/>
  <c r="BI291" i="14"/>
  <c r="BI497" i="14"/>
  <c r="BH191" i="14"/>
  <c r="BJ167" i="14"/>
  <c r="BJ198" i="14"/>
  <c r="BH355" i="14"/>
  <c r="BG347" i="14"/>
  <c r="BE331" i="14"/>
  <c r="BK323" i="14"/>
  <c r="BE315" i="14"/>
  <c r="BG299" i="14"/>
  <c r="BI299" i="14"/>
  <c r="BG235" i="14"/>
  <c r="BI191" i="14"/>
  <c r="BJ135" i="14"/>
  <c r="BJ355" i="14"/>
  <c r="BG323" i="14"/>
  <c r="BI307" i="14"/>
  <c r="BJ291" i="14"/>
  <c r="BI359" i="14"/>
  <c r="BI311" i="14"/>
  <c r="BE223" i="14"/>
  <c r="BI376" i="14"/>
  <c r="BG376" i="14"/>
  <c r="BE376" i="14"/>
  <c r="BJ376" i="14"/>
  <c r="BH376" i="14"/>
  <c r="BF376" i="14"/>
  <c r="BK376" i="14"/>
  <c r="BD312" i="14"/>
  <c r="BH303" i="14"/>
  <c r="BD368" i="14"/>
  <c r="BD364" i="14"/>
  <c r="BD360" i="14"/>
  <c r="BD356" i="14"/>
  <c r="BD352" i="14"/>
  <c r="BD348" i="14"/>
  <c r="BD344" i="14"/>
  <c r="BJ367" i="14"/>
  <c r="BE367" i="14"/>
  <c r="BI351" i="14"/>
  <c r="BH335" i="14"/>
  <c r="BK303" i="14"/>
  <c r="BK223" i="14"/>
  <c r="BG219" i="14"/>
  <c r="BG215" i="14"/>
  <c r="BD376" i="14"/>
  <c r="BD336" i="14"/>
  <c r="BD332" i="14"/>
  <c r="BD324" i="14"/>
  <c r="BD320" i="14"/>
  <c r="BD316" i="14"/>
  <c r="BK367" i="14"/>
  <c r="BJ335" i="14"/>
  <c r="BI303" i="14"/>
  <c r="BF291" i="14"/>
  <c r="BE291" i="14"/>
  <c r="BH283" i="14"/>
  <c r="BE243" i="14"/>
  <c r="BF235" i="14"/>
  <c r="BH227" i="14"/>
  <c r="BF219" i="14"/>
  <c r="BH215" i="14"/>
  <c r="BE207" i="14"/>
  <c r="BG191" i="14"/>
  <c r="BF367" i="14"/>
  <c r="BK335" i="14"/>
  <c r="BI319" i="14"/>
  <c r="BI194" i="14"/>
  <c r="BE375" i="14"/>
  <c r="BE343" i="14"/>
  <c r="BH327" i="14"/>
  <c r="BE295" i="14"/>
  <c r="BH279" i="14"/>
  <c r="BI275" i="14"/>
  <c r="BH359" i="14"/>
  <c r="BI343" i="14"/>
  <c r="S421" i="11"/>
  <c r="BF247" i="14"/>
  <c r="BG231" i="14"/>
  <c r="BD304" i="14"/>
  <c r="BD300" i="14"/>
  <c r="BD296" i="14"/>
  <c r="BD292" i="14"/>
  <c r="BD276" i="14"/>
  <c r="BD272" i="14"/>
  <c r="BJ375" i="14"/>
  <c r="BI375" i="14"/>
  <c r="BJ359" i="14"/>
  <c r="BK343" i="14"/>
  <c r="BK327" i="14"/>
  <c r="BK187" i="14"/>
  <c r="BD284" i="14"/>
  <c r="BI335" i="14"/>
  <c r="BE303" i="14"/>
  <c r="BG375" i="14"/>
  <c r="BK359" i="14"/>
  <c r="BH343" i="14"/>
  <c r="BI327" i="14"/>
  <c r="BD311" i="14"/>
  <c r="BG283" i="14"/>
  <c r="BI283" i="14"/>
  <c r="BE497" i="14"/>
  <c r="BI235" i="14"/>
  <c r="BF227" i="14"/>
  <c r="BH223" i="14"/>
  <c r="BG223" i="14"/>
  <c r="BI219" i="14"/>
  <c r="BJ215" i="14"/>
  <c r="BH207" i="14"/>
  <c r="BG207" i="14"/>
  <c r="BI199" i="14"/>
  <c r="BG195" i="14"/>
  <c r="BH159" i="14"/>
  <c r="BE123" i="14"/>
  <c r="BF375" i="14"/>
  <c r="BH375" i="14"/>
  <c r="BJ343" i="14"/>
  <c r="BF303" i="14"/>
  <c r="BG295" i="14"/>
  <c r="BF283" i="14"/>
  <c r="BF271" i="14"/>
  <c r="BJ247" i="14"/>
  <c r="BE227" i="14"/>
  <c r="BG227" i="14"/>
  <c r="BI223" i="14"/>
  <c r="BH219" i="14"/>
  <c r="BE215" i="14"/>
  <c r="BI207" i="14"/>
  <c r="BH199" i="14"/>
  <c r="BG199" i="14"/>
  <c r="BE191" i="14"/>
  <c r="BG167" i="14"/>
  <c r="BE203" i="14"/>
  <c r="BE171" i="14"/>
  <c r="BG155" i="14"/>
  <c r="BD288" i="14"/>
  <c r="BG335" i="14"/>
  <c r="BJ303" i="14"/>
  <c r="BD359" i="14"/>
  <c r="BD375" i="14"/>
  <c r="BD371" i="14"/>
  <c r="BG359" i="14"/>
  <c r="BE359" i="14"/>
  <c r="BD347" i="14"/>
  <c r="BF343" i="14"/>
  <c r="BD343" i="14"/>
  <c r="BD339" i="14"/>
  <c r="BG327" i="14"/>
  <c r="BE327" i="14"/>
  <c r="BG311" i="14"/>
  <c r="BD307" i="14"/>
  <c r="BF295" i="14"/>
  <c r="BE279" i="14"/>
  <c r="BI247" i="14"/>
  <c r="BF215" i="14"/>
  <c r="BK203" i="14"/>
  <c r="BF199" i="14"/>
  <c r="BF191" i="14"/>
  <c r="BI187" i="14"/>
  <c r="BF159" i="14"/>
  <c r="BE151" i="14"/>
  <c r="BE139" i="14"/>
  <c r="BI127" i="14"/>
  <c r="BD367" i="14"/>
  <c r="BD363" i="14"/>
  <c r="BF359" i="14"/>
  <c r="BD355" i="14"/>
  <c r="BD351" i="14"/>
  <c r="BG343" i="14"/>
  <c r="BD335" i="14"/>
  <c r="BD331" i="14"/>
  <c r="BF327" i="14"/>
  <c r="BD327" i="14"/>
  <c r="BD315" i="14"/>
  <c r="BF311" i="14"/>
  <c r="BH311" i="14"/>
  <c r="BH295" i="14"/>
  <c r="BJ279" i="14"/>
  <c r="BK247" i="14"/>
  <c r="BD235" i="14"/>
  <c r="BD231" i="14"/>
  <c r="BF223" i="14"/>
  <c r="BE183" i="14"/>
  <c r="BI175" i="14"/>
  <c r="BE167" i="14"/>
  <c r="BI147" i="14"/>
  <c r="BK123" i="14"/>
  <c r="BE198" i="14"/>
  <c r="BJ327" i="14"/>
  <c r="BJ311" i="14"/>
  <c r="BE311" i="14"/>
  <c r="BI295" i="14"/>
  <c r="BK279" i="14"/>
  <c r="BH247" i="14"/>
  <c r="BF231" i="14"/>
  <c r="BF167" i="14"/>
  <c r="BF155" i="14"/>
  <c r="BK311" i="14"/>
  <c r="BK295" i="14"/>
  <c r="BG279" i="14"/>
  <c r="BI279" i="14"/>
  <c r="BE247" i="14"/>
  <c r="BG247" i="14"/>
  <c r="BI231" i="14"/>
  <c r="BK231" i="14"/>
  <c r="BE187" i="14"/>
  <c r="BG187" i="14"/>
  <c r="BF175" i="14"/>
  <c r="BI167" i="14"/>
  <c r="BI155" i="14"/>
  <c r="BK155" i="14"/>
  <c r="BF135" i="14"/>
  <c r="BH123" i="14"/>
  <c r="BG123" i="14"/>
  <c r="BJ202" i="14"/>
  <c r="BI182" i="14"/>
  <c r="BI166" i="14"/>
  <c r="BI150" i="14"/>
  <c r="BJ295" i="14"/>
  <c r="BF279" i="14"/>
  <c r="BH231" i="14"/>
  <c r="BJ231" i="14"/>
  <c r="BF207" i="14"/>
  <c r="BF187" i="14"/>
  <c r="BE175" i="14"/>
  <c r="BG175" i="14"/>
  <c r="BH167" i="14"/>
  <c r="BI159" i="14"/>
  <c r="BH155" i="14"/>
  <c r="BJ155" i="14"/>
  <c r="BI123" i="14"/>
  <c r="BI111" i="14"/>
  <c r="BE242" i="14"/>
  <c r="BI198" i="14"/>
  <c r="BI186" i="14"/>
  <c r="BE231" i="14"/>
  <c r="BH187" i="14"/>
  <c r="BE155" i="14"/>
  <c r="BE154" i="14"/>
  <c r="BE146" i="14"/>
  <c r="BH271" i="14"/>
  <c r="BG239" i="14"/>
  <c r="BG211" i="14"/>
  <c r="BF179" i="14"/>
  <c r="BF147" i="14"/>
  <c r="BD275" i="14"/>
  <c r="BI287" i="14"/>
  <c r="BJ271" i="14"/>
  <c r="BE271" i="14"/>
  <c r="BE499" i="14"/>
  <c r="BH239" i="14"/>
  <c r="BJ239" i="14"/>
  <c r="BI211" i="14"/>
  <c r="BE195" i="14"/>
  <c r="BI179" i="14"/>
  <c r="BJ131" i="14"/>
  <c r="BI115" i="14"/>
  <c r="BD283" i="14"/>
  <c r="BD279" i="14"/>
  <c r="BG271" i="14"/>
  <c r="BI271" i="14"/>
  <c r="BE239" i="14"/>
  <c r="BK239" i="14"/>
  <c r="BF211" i="14"/>
  <c r="BJ195" i="14"/>
  <c r="BG179" i="14"/>
  <c r="BD239" i="14"/>
  <c r="BF239" i="14"/>
  <c r="BE211" i="14"/>
  <c r="BH195" i="14"/>
  <c r="BE179" i="14"/>
  <c r="BF163" i="14"/>
  <c r="BK147" i="14"/>
  <c r="BH131" i="14"/>
  <c r="BH257" i="14"/>
  <c r="BK242" i="14"/>
  <c r="BI257" i="14"/>
  <c r="BD247" i="14"/>
  <c r="BD323" i="14"/>
  <c r="BD319" i="14"/>
  <c r="BD303" i="14"/>
  <c r="BD299" i="14"/>
  <c r="BD295" i="14"/>
  <c r="BD291" i="14"/>
  <c r="BD287" i="14"/>
  <c r="BD271" i="14"/>
  <c r="BK211" i="14"/>
  <c r="BF195" i="14"/>
  <c r="BH179" i="14"/>
  <c r="BJ179" i="14"/>
  <c r="BE163" i="14"/>
  <c r="BG163" i="14"/>
  <c r="BH147" i="14"/>
  <c r="BJ147" i="14"/>
  <c r="BE135" i="14"/>
  <c r="BG135" i="14"/>
  <c r="BI131" i="14"/>
  <c r="BF123" i="14"/>
  <c r="BF119" i="14"/>
  <c r="BG115" i="14"/>
  <c r="BI210" i="14"/>
  <c r="BH198" i="14"/>
  <c r="BG198" i="14"/>
  <c r="BK194" i="14"/>
  <c r="BE166" i="14"/>
  <c r="BJ162" i="14"/>
  <c r="BI163" i="14"/>
  <c r="BK163" i="14"/>
  <c r="BE147" i="14"/>
  <c r="BG147" i="14"/>
  <c r="BF131" i="14"/>
  <c r="BE115" i="14"/>
  <c r="BK210" i="14"/>
  <c r="BI195" i="14"/>
  <c r="BH163" i="14"/>
  <c r="BH143" i="14"/>
  <c r="BH135" i="14"/>
  <c r="BE131" i="14"/>
  <c r="BG131" i="14"/>
  <c r="BF115" i="14"/>
  <c r="BH182" i="14"/>
  <c r="BG138" i="14"/>
  <c r="BH115" i="14"/>
  <c r="BJ115" i="14"/>
  <c r="BF253" i="14"/>
  <c r="BF226" i="14"/>
  <c r="BG159" i="14"/>
  <c r="BF143" i="14"/>
  <c r="BI206" i="14"/>
  <c r="BI174" i="14"/>
  <c r="BG158" i="14"/>
  <c r="BE143" i="14"/>
  <c r="BG143" i="14"/>
  <c r="BF127" i="14"/>
  <c r="BJ111" i="14"/>
  <c r="BF257" i="14"/>
  <c r="BK253" i="14"/>
  <c r="BE253" i="14"/>
  <c r="BI242" i="14"/>
  <c r="BE226" i="14"/>
  <c r="BG226" i="14"/>
  <c r="BH206" i="14"/>
  <c r="BK206" i="14"/>
  <c r="BH174" i="14"/>
  <c r="BK174" i="14"/>
  <c r="BG154" i="14"/>
  <c r="BG150" i="14"/>
  <c r="BC6" i="14"/>
  <c r="BE159" i="14"/>
  <c r="BI143" i="14"/>
  <c r="BK143" i="14"/>
  <c r="BH127" i="14"/>
  <c r="BJ127" i="14"/>
  <c r="BH111" i="14"/>
  <c r="BG111" i="14"/>
  <c r="BJ257" i="14"/>
  <c r="BG253" i="14"/>
  <c r="BI253" i="14"/>
  <c r="BF242" i="14"/>
  <c r="BI226" i="14"/>
  <c r="BK226" i="14"/>
  <c r="BE206" i="14"/>
  <c r="BH202" i="14"/>
  <c r="BE174" i="14"/>
  <c r="BF170" i="14"/>
  <c r="BH150" i="14"/>
  <c r="BC72" i="14"/>
  <c r="BC64" i="14"/>
  <c r="BC56" i="14"/>
  <c r="BC48" i="14"/>
  <c r="BC32" i="14"/>
  <c r="BG245" i="14"/>
  <c r="BE127" i="14"/>
  <c r="BG127" i="14"/>
  <c r="BE111" i="14"/>
  <c r="BG257" i="14"/>
  <c r="BE257" i="14"/>
  <c r="BH242" i="14"/>
  <c r="BG242" i="14"/>
  <c r="BG182" i="14"/>
  <c r="BH166" i="14"/>
  <c r="BG166" i="14"/>
  <c r="BF130" i="14"/>
  <c r="BG106" i="14"/>
  <c r="BG186" i="14"/>
  <c r="BE122" i="14"/>
  <c r="BH119" i="14"/>
  <c r="BF206" i="14"/>
  <c r="BE202" i="14"/>
  <c r="BG202" i="14"/>
  <c r="BF198" i="14"/>
  <c r="BF186" i="14"/>
  <c r="BH170" i="14"/>
  <c r="BJ170" i="14"/>
  <c r="BI154" i="14"/>
  <c r="BK154" i="14"/>
  <c r="BE142" i="14"/>
  <c r="BE134" i="14"/>
  <c r="BI122" i="14"/>
  <c r="BC50" i="14"/>
  <c r="BC10" i="14"/>
  <c r="BE241" i="14"/>
  <c r="BE230" i="14"/>
  <c r="BI202" i="14"/>
  <c r="BF194" i="14"/>
  <c r="BH186" i="14"/>
  <c r="BJ186" i="14"/>
  <c r="BE182" i="14"/>
  <c r="BF174" i="14"/>
  <c r="BE170" i="14"/>
  <c r="BG170" i="14"/>
  <c r="BF154" i="14"/>
  <c r="BE138" i="14"/>
  <c r="BJ122" i="14"/>
  <c r="BF202" i="14"/>
  <c r="BE186" i="14"/>
  <c r="BI170" i="14"/>
  <c r="BE150" i="14"/>
  <c r="BJ138" i="14"/>
  <c r="BK122" i="14"/>
  <c r="BJ106" i="14"/>
  <c r="BC22" i="14"/>
  <c r="BH328" i="14"/>
  <c r="BJ328" i="14"/>
  <c r="BD328" i="14"/>
  <c r="BF328" i="14"/>
  <c r="BI328" i="14"/>
  <c r="BK328" i="14"/>
  <c r="BE328" i="14"/>
  <c r="BG328" i="14"/>
  <c r="BC100" i="14"/>
  <c r="BG100" i="14" s="1"/>
  <c r="BJ249" i="14"/>
  <c r="BJ110" i="14"/>
  <c r="BD227" i="14"/>
  <c r="BD223" i="14"/>
  <c r="BD219" i="14"/>
  <c r="BD215" i="14"/>
  <c r="BD211" i="14"/>
  <c r="BF138" i="14"/>
  <c r="BF134" i="14"/>
  <c r="BE118" i="14"/>
  <c r="BE106" i="14"/>
  <c r="BC44" i="14"/>
  <c r="BC28" i="14"/>
  <c r="BE250" i="14"/>
  <c r="BE218" i="14"/>
  <c r="BI162" i="14"/>
  <c r="BK130" i="14"/>
  <c r="BD207" i="14"/>
  <c r="BE214" i="14"/>
  <c r="BI234" i="14"/>
  <c r="BD199" i="14"/>
  <c r="BD195" i="14"/>
  <c r="BD191" i="14"/>
  <c r="BD187" i="14"/>
  <c r="BF255" i="14"/>
  <c r="BF234" i="14"/>
  <c r="BI246" i="14"/>
  <c r="BG194" i="14"/>
  <c r="BI255" i="14"/>
  <c r="BF111" i="14"/>
  <c r="BE194" i="14"/>
  <c r="BF178" i="14"/>
  <c r="BF166" i="14"/>
  <c r="BH154" i="14"/>
  <c r="BI138" i="14"/>
  <c r="BH134" i="14"/>
  <c r="BG134" i="14"/>
  <c r="BH122" i="14"/>
  <c r="BI158" i="14"/>
  <c r="BF142" i="14"/>
  <c r="BH110" i="14"/>
  <c r="BK255" i="14"/>
  <c r="BE255" i="14"/>
  <c r="BG250" i="14"/>
  <c r="BG234" i="14"/>
  <c r="BJ142" i="14"/>
  <c r="BE110" i="14"/>
  <c r="BE249" i="14"/>
  <c r="BH255" i="14"/>
  <c r="BE234" i="14"/>
  <c r="BH142" i="14"/>
  <c r="BF162" i="14"/>
  <c r="Z272" i="49"/>
  <c r="BH178" i="14"/>
  <c r="BE130" i="14"/>
  <c r="BE238" i="14"/>
  <c r="BI222" i="14"/>
  <c r="BK238" i="14"/>
  <c r="BE162" i="14"/>
  <c r="BG162" i="14"/>
  <c r="BI142" i="14"/>
  <c r="BH138" i="14"/>
  <c r="BI134" i="14"/>
  <c r="BG130" i="14"/>
  <c r="BG122" i="14"/>
  <c r="BI118" i="14"/>
  <c r="BG114" i="14"/>
  <c r="BI130" i="14"/>
  <c r="BF126" i="14"/>
  <c r="BF122" i="14"/>
  <c r="BH118" i="14"/>
  <c r="BG118" i="14"/>
  <c r="BC74" i="14"/>
  <c r="BK74" i="14" s="1"/>
  <c r="BC66" i="14"/>
  <c r="BC58" i="14"/>
  <c r="BC42" i="14"/>
  <c r="BC34" i="14"/>
  <c r="BC26" i="14"/>
  <c r="BC18" i="14"/>
  <c r="BD167" i="14"/>
  <c r="BD163" i="14"/>
  <c r="BD159" i="14"/>
  <c r="BD155" i="14"/>
  <c r="BE246" i="14"/>
  <c r="BD179" i="14"/>
  <c r="BD175" i="14"/>
  <c r="BD135" i="14"/>
  <c r="BD131" i="14"/>
  <c r="BH246" i="14"/>
  <c r="BK246" i="14"/>
  <c r="BK214" i="14"/>
  <c r="BG246" i="14"/>
  <c r="BH234" i="14"/>
  <c r="BJ234" i="14"/>
  <c r="BH238" i="14"/>
  <c r="BF110" i="14"/>
  <c r="BI106" i="14"/>
  <c r="BC40" i="14"/>
  <c r="BC24" i="14"/>
  <c r="BC16" i="14"/>
  <c r="BC8" i="14"/>
  <c r="BI241" i="14"/>
  <c r="BF222" i="14"/>
  <c r="BI214" i="14"/>
  <c r="BF238" i="14"/>
  <c r="BK245" i="14"/>
  <c r="BE245" i="14"/>
  <c r="BD147" i="14"/>
  <c r="BD143" i="14"/>
  <c r="BI238" i="14"/>
  <c r="BG222" i="14"/>
  <c r="BJ237" i="14"/>
  <c r="BH222" i="14"/>
  <c r="BK222" i="14"/>
  <c r="BH237" i="14"/>
  <c r="BG229" i="14"/>
  <c r="BF201" i="14"/>
  <c r="BE137" i="14"/>
  <c r="BK177" i="14"/>
  <c r="BD115" i="14"/>
  <c r="BH214" i="14"/>
  <c r="BG214" i="14"/>
  <c r="BK209" i="14"/>
  <c r="BD123" i="14"/>
  <c r="BG169" i="14"/>
  <c r="BE209" i="14"/>
  <c r="BI209" i="14"/>
  <c r="BI217" i="14"/>
  <c r="BJ201" i="14"/>
  <c r="BJ185" i="14"/>
  <c r="BF106" i="14"/>
  <c r="BC76" i="14"/>
  <c r="BC60" i="14"/>
  <c r="BC12" i="14"/>
  <c r="BH241" i="14"/>
  <c r="BI237" i="14"/>
  <c r="BI233" i="14"/>
  <c r="BH217" i="14"/>
  <c r="BK217" i="14"/>
  <c r="BH201" i="14"/>
  <c r="BK201" i="14"/>
  <c r="BE169" i="14"/>
  <c r="BI357" i="14"/>
  <c r="BI325" i="14"/>
  <c r="BI293" i="14"/>
  <c r="BD127" i="14"/>
  <c r="BD111" i="14"/>
  <c r="BI110" i="14"/>
  <c r="BH106" i="14"/>
  <c r="BC70" i="14"/>
  <c r="BK70" i="14" s="1"/>
  <c r="BC62" i="14"/>
  <c r="BC54" i="14"/>
  <c r="BC46" i="14"/>
  <c r="BC38" i="14"/>
  <c r="BC30" i="14"/>
  <c r="BC14" i="14"/>
  <c r="BH249" i="14"/>
  <c r="BG249" i="14"/>
  <c r="BF245" i="14"/>
  <c r="BF237" i="14"/>
  <c r="BG233" i="14"/>
  <c r="BE217" i="14"/>
  <c r="BE201" i="14"/>
  <c r="BF185" i="14"/>
  <c r="BJ169" i="14"/>
  <c r="BI125" i="14"/>
  <c r="BI249" i="14"/>
  <c r="BH245" i="14"/>
  <c r="BF241" i="14"/>
  <c r="BE237" i="14"/>
  <c r="BG237" i="14"/>
  <c r="BG217" i="14"/>
  <c r="BG201" i="14"/>
  <c r="BF153" i="14"/>
  <c r="BI377" i="14"/>
  <c r="BI345" i="14"/>
  <c r="BI313" i="14"/>
  <c r="BI281" i="14"/>
  <c r="BI218" i="14"/>
  <c r="BI201" i="14"/>
  <c r="BE185" i="14"/>
  <c r="BH169" i="14"/>
  <c r="BI153" i="14"/>
  <c r="BE105" i="14"/>
  <c r="BH137" i="14"/>
  <c r="BG153" i="14"/>
  <c r="BJ137" i="14"/>
  <c r="BH250" i="14"/>
  <c r="BI212" i="14"/>
  <c r="BJ205" i="14"/>
  <c r="BH185" i="14"/>
  <c r="BI169" i="14"/>
  <c r="BE153" i="14"/>
  <c r="BK153" i="14"/>
  <c r="BH121" i="14"/>
  <c r="BI197" i="14"/>
  <c r="BG177" i="14"/>
  <c r="BF209" i="14"/>
  <c r="BG221" i="14"/>
  <c r="BH209" i="14"/>
  <c r="BI177" i="14"/>
  <c r="BG216" i="14"/>
  <c r="BH442" i="14"/>
  <c r="BH229" i="14"/>
  <c r="BC89" i="14"/>
  <c r="BG89" i="14" s="1"/>
  <c r="BJ229" i="14"/>
  <c r="BJ197" i="14"/>
  <c r="BF454" i="14"/>
  <c r="BG396" i="14"/>
  <c r="BF246" i="14"/>
  <c r="BH230" i="14"/>
  <c r="BF214" i="14"/>
  <c r="BF416" i="14"/>
  <c r="BG189" i="14"/>
  <c r="BG173" i="14"/>
  <c r="BI245" i="14"/>
  <c r="BH177" i="14"/>
  <c r="BF173" i="14"/>
  <c r="BF169" i="14"/>
  <c r="BC83" i="14"/>
  <c r="BF83" i="14" s="1"/>
  <c r="BC98" i="14"/>
  <c r="BH98" i="14" s="1"/>
  <c r="BI256" i="14"/>
  <c r="BE229" i="14"/>
  <c r="BK229" i="14"/>
  <c r="BI229" i="14"/>
  <c r="BF157" i="14"/>
  <c r="BC84" i="14"/>
  <c r="BG84" i="14" s="1"/>
  <c r="BF184" i="14"/>
  <c r="BF152" i="14"/>
  <c r="S385" i="11"/>
  <c r="BG252" i="14"/>
  <c r="BE225" i="14"/>
  <c r="BG209" i="14"/>
  <c r="BF193" i="14"/>
  <c r="BG161" i="14"/>
  <c r="BG129" i="14"/>
  <c r="BC97" i="14"/>
  <c r="BG97" i="14" s="1"/>
  <c r="BG204" i="14"/>
  <c r="BG188" i="14"/>
  <c r="BG172" i="14"/>
  <c r="BG156" i="14"/>
  <c r="BG140" i="14"/>
  <c r="BG124" i="14"/>
  <c r="BG108" i="14"/>
  <c r="BC17" i="14"/>
  <c r="BJ17" i="14" s="1"/>
  <c r="BC49" i="14"/>
  <c r="BK49" i="14" s="1"/>
  <c r="BC61" i="14"/>
  <c r="BG61" i="14" s="1"/>
  <c r="BC81" i="14"/>
  <c r="BK81" i="14" s="1"/>
  <c r="BG238" i="14"/>
  <c r="BE222" i="14"/>
  <c r="BF217" i="14"/>
  <c r="BG185" i="14"/>
  <c r="BC85" i="14"/>
  <c r="BF85" i="14" s="1"/>
  <c r="BF221" i="14"/>
  <c r="BF189" i="14"/>
  <c r="BK141" i="14"/>
  <c r="BG255" i="14"/>
  <c r="BF254" i="14"/>
  <c r="BG240" i="14"/>
  <c r="BG243" i="14"/>
  <c r="BF197" i="14"/>
  <c r="BF181" i="14"/>
  <c r="BF133" i="14"/>
  <c r="BG203" i="14"/>
  <c r="BG171" i="14"/>
  <c r="BG139" i="14"/>
  <c r="BC43" i="14"/>
  <c r="BE43" i="14" s="1"/>
  <c r="BC82" i="14"/>
  <c r="BK82" i="14" s="1"/>
  <c r="BG168" i="14"/>
  <c r="BG183" i="14"/>
  <c r="BG151" i="14"/>
  <c r="BC37" i="14"/>
  <c r="BG37" i="14" s="1"/>
  <c r="BC87" i="14"/>
  <c r="BJ87" i="14" s="1"/>
  <c r="BC77" i="14"/>
  <c r="BE77" i="14" s="1"/>
  <c r="BC29" i="14"/>
  <c r="BI29" i="14" s="1"/>
  <c r="BC96" i="14"/>
  <c r="BH96" i="14" s="1"/>
  <c r="BC27" i="14"/>
  <c r="BG27" i="14" s="1"/>
  <c r="BC7" i="14"/>
  <c r="BJ7" i="14" s="1"/>
  <c r="BC19" i="14"/>
  <c r="BG19" i="14" s="1"/>
  <c r="BC33" i="14"/>
  <c r="BI33" i="14" s="1"/>
  <c r="BC39" i="14"/>
  <c r="BK39" i="14" s="1"/>
  <c r="BC45" i="14"/>
  <c r="BE45" i="14" s="1"/>
  <c r="BC67" i="14"/>
  <c r="BF67" i="14" s="1"/>
  <c r="BC73" i="14"/>
  <c r="BF73" i="14" s="1"/>
  <c r="BC88" i="14"/>
  <c r="BF88" i="14" s="1"/>
  <c r="BC92" i="14"/>
  <c r="BI92" i="14" s="1"/>
  <c r="BC71" i="14"/>
  <c r="BG71" i="14" s="1"/>
  <c r="BC57" i="14"/>
  <c r="BI57" i="14" s="1"/>
  <c r="BC35" i="14"/>
  <c r="BE35" i="14" s="1"/>
  <c r="BC25" i="14"/>
  <c r="BK25" i="14" s="1"/>
  <c r="BC11" i="14"/>
  <c r="BG11" i="14" s="1"/>
  <c r="BE233" i="14"/>
  <c r="BE190" i="14"/>
  <c r="BE158" i="14"/>
  <c r="BE126" i="14"/>
  <c r="BC86" i="14"/>
  <c r="BJ86" i="14" s="1"/>
  <c r="BC79" i="14"/>
  <c r="BK79" i="14" s="1"/>
  <c r="BC99" i="14"/>
  <c r="BJ99" i="14" s="1"/>
  <c r="BC55" i="14"/>
  <c r="BI55" i="14" s="1"/>
  <c r="BC21" i="14"/>
  <c r="BK21" i="14" s="1"/>
  <c r="BC9" i="14"/>
  <c r="BK9" i="14" s="1"/>
  <c r="BF229" i="14"/>
  <c r="BF213" i="14"/>
  <c r="BG165" i="14"/>
  <c r="BE133" i="14"/>
  <c r="BC95" i="14"/>
  <c r="BH95" i="14" s="1"/>
  <c r="BC65" i="14"/>
  <c r="BI65" i="14" s="1"/>
  <c r="BC53" i="14"/>
  <c r="BI53" i="14" s="1"/>
  <c r="BC69" i="14"/>
  <c r="BI69" i="14" s="1"/>
  <c r="BC59" i="14"/>
  <c r="BF59" i="14" s="1"/>
  <c r="BC51" i="14"/>
  <c r="BE51" i="14" s="1"/>
  <c r="BC41" i="14"/>
  <c r="BE41" i="14" s="1"/>
  <c r="BC23" i="14"/>
  <c r="BE23" i="14" s="1"/>
  <c r="BC13" i="14"/>
  <c r="BG13" i="14" s="1"/>
  <c r="BC5" i="14"/>
  <c r="BH5" i="14" s="1"/>
  <c r="BG241" i="14"/>
  <c r="BG372" i="14"/>
  <c r="BG340" i="14"/>
  <c r="BG308" i="14"/>
  <c r="BF249" i="14"/>
  <c r="BF403" i="14"/>
  <c r="BG280" i="14"/>
  <c r="BG206" i="14"/>
  <c r="BG174" i="14"/>
  <c r="BG142" i="14"/>
  <c r="BG110" i="14"/>
  <c r="BC94" i="14"/>
  <c r="BH94" i="14" s="1"/>
  <c r="S386" i="11"/>
  <c r="BE221" i="14"/>
  <c r="BK221" i="14"/>
  <c r="BF205" i="14"/>
  <c r="BI189" i="14"/>
  <c r="BK189" i="14"/>
  <c r="BI173" i="14"/>
  <c r="BJ157" i="14"/>
  <c r="BI141" i="14"/>
  <c r="BK125" i="14"/>
  <c r="BJ221" i="14"/>
  <c r="BE205" i="14"/>
  <c r="BG205" i="14"/>
  <c r="BH189" i="14"/>
  <c r="BJ189" i="14"/>
  <c r="BH173" i="14"/>
  <c r="BK173" i="14"/>
  <c r="BH157" i="14"/>
  <c r="BH125" i="14"/>
  <c r="BE109" i="14"/>
  <c r="BF182" i="14"/>
  <c r="BF150" i="14"/>
  <c r="BH221" i="14"/>
  <c r="BI205" i="14"/>
  <c r="BE189" i="14"/>
  <c r="BE173" i="14"/>
  <c r="BE157" i="14"/>
  <c r="BD405" i="14"/>
  <c r="BD370" i="14"/>
  <c r="BD338" i="14"/>
  <c r="BD306" i="14"/>
  <c r="BD274" i="14"/>
  <c r="BF118" i="14"/>
  <c r="BD358" i="14"/>
  <c r="BD326" i="14"/>
  <c r="BD294" i="14"/>
  <c r="BH466" i="14"/>
  <c r="AC142" i="38"/>
  <c r="X109" i="38"/>
  <c r="Z109" i="38" s="1"/>
  <c r="Z87" i="49"/>
  <c r="S378" i="11"/>
  <c r="S382" i="11"/>
  <c r="BG454" i="14"/>
  <c r="BG442" i="14"/>
  <c r="BE416" i="14"/>
  <c r="BG499" i="14"/>
  <c r="BH416" i="14"/>
  <c r="BE405" i="14"/>
  <c r="BD396" i="14"/>
  <c r="BG403" i="14"/>
  <c r="BJ416" i="14"/>
  <c r="BH402" i="14"/>
  <c r="BE370" i="14"/>
  <c r="BE358" i="14"/>
  <c r="BE338" i="14"/>
  <c r="BE326" i="14"/>
  <c r="BE306" i="14"/>
  <c r="BE294" i="14"/>
  <c r="BE274" i="14"/>
  <c r="BJ377" i="14"/>
  <c r="BJ357" i="14"/>
  <c r="BJ345" i="14"/>
  <c r="BJ325" i="14"/>
  <c r="BJ313" i="14"/>
  <c r="BJ293" i="14"/>
  <c r="BJ281" i="14"/>
  <c r="BD372" i="14"/>
  <c r="BD340" i="14"/>
  <c r="BD308" i="14"/>
  <c r="BD280" i="14"/>
  <c r="BH371" i="14"/>
  <c r="BH351" i="14"/>
  <c r="BH339" i="14"/>
  <c r="BH319" i="14"/>
  <c r="BH307" i="14"/>
  <c r="BH287" i="14"/>
  <c r="BH275" i="14"/>
  <c r="BI499" i="14"/>
  <c r="BD243" i="14"/>
  <c r="BD203" i="14"/>
  <c r="BD183" i="14"/>
  <c r="BD171" i="14"/>
  <c r="BD151" i="14"/>
  <c r="BD139" i="14"/>
  <c r="BE119" i="14"/>
  <c r="BJ107" i="14"/>
  <c r="BK250" i="14"/>
  <c r="BI230" i="14"/>
  <c r="BF210" i="14"/>
  <c r="BG190" i="14"/>
  <c r="BE178" i="14"/>
  <c r="BF158" i="14"/>
  <c r="BH126" i="14"/>
  <c r="BK114" i="14"/>
  <c r="BF233" i="14"/>
  <c r="BG213" i="14"/>
  <c r="BH205" i="14"/>
  <c r="BI185" i="14"/>
  <c r="BE177" i="14"/>
  <c r="BJ173" i="14"/>
  <c r="BF165" i="14"/>
  <c r="BF141" i="14"/>
  <c r="BC47" i="14"/>
  <c r="BE47" i="14" s="1"/>
  <c r="BK454" i="14"/>
  <c r="BI416" i="14"/>
  <c r="BF499" i="14"/>
  <c r="BI405" i="14"/>
  <c r="BH396" i="14"/>
  <c r="BK403" i="14"/>
  <c r="BE402" i="14"/>
  <c r="BI370" i="14"/>
  <c r="BI358" i="14"/>
  <c r="BI338" i="14"/>
  <c r="BI326" i="14"/>
  <c r="BI306" i="14"/>
  <c r="BI294" i="14"/>
  <c r="BI274" i="14"/>
  <c r="BG377" i="14"/>
  <c r="BG357" i="14"/>
  <c r="BG345" i="14"/>
  <c r="BG325" i="14"/>
  <c r="BG313" i="14"/>
  <c r="BG293" i="14"/>
  <c r="BG281" i="14"/>
  <c r="BH372" i="14"/>
  <c r="BH340" i="14"/>
  <c r="BH308" i="14"/>
  <c r="BH280" i="14"/>
  <c r="BE371" i="14"/>
  <c r="BE351" i="14"/>
  <c r="BE339" i="14"/>
  <c r="BE319" i="14"/>
  <c r="BE307" i="14"/>
  <c r="BE287" i="14"/>
  <c r="BE275" i="14"/>
  <c r="BH243" i="14"/>
  <c r="BH203" i="14"/>
  <c r="BH183" i="14"/>
  <c r="BH171" i="14"/>
  <c r="BH151" i="14"/>
  <c r="BH139" i="14"/>
  <c r="BI119" i="14"/>
  <c r="BG107" i="14"/>
  <c r="BD250" i="14"/>
  <c r="BF230" i="14"/>
  <c r="BH218" i="14"/>
  <c r="BG210" i="14"/>
  <c r="BK190" i="14"/>
  <c r="BI178" i="14"/>
  <c r="BJ158" i="14"/>
  <c r="BH146" i="14"/>
  <c r="BI126" i="14"/>
  <c r="BJ233" i="14"/>
  <c r="BK213" i="14"/>
  <c r="BH193" i="14"/>
  <c r="BH226" i="14"/>
  <c r="BH253" i="14"/>
  <c r="BC63" i="14"/>
  <c r="BI63" i="14" s="1"/>
  <c r="BJ230" i="14"/>
  <c r="BH161" i="14"/>
  <c r="BI396" i="14"/>
  <c r="BF402" i="14"/>
  <c r="BJ370" i="14"/>
  <c r="BJ358" i="14"/>
  <c r="BJ338" i="14"/>
  <c r="BJ326" i="14"/>
  <c r="BJ306" i="14"/>
  <c r="BJ294" i="14"/>
  <c r="BJ274" i="14"/>
  <c r="BD377" i="14"/>
  <c r="BD357" i="14"/>
  <c r="BD345" i="14"/>
  <c r="BD325" i="14"/>
  <c r="BD313" i="14"/>
  <c r="BD293" i="14"/>
  <c r="BD281" i="14"/>
  <c r="BI372" i="14"/>
  <c r="BI340" i="14"/>
  <c r="BI308" i="14"/>
  <c r="BI280" i="14"/>
  <c r="BF371" i="14"/>
  <c r="BF351" i="14"/>
  <c r="BF339" i="14"/>
  <c r="BF319" i="14"/>
  <c r="BF307" i="14"/>
  <c r="BF287" i="14"/>
  <c r="BF275" i="14"/>
  <c r="BI243" i="14"/>
  <c r="BI203" i="14"/>
  <c r="BI183" i="14"/>
  <c r="BI171" i="14"/>
  <c r="BI151" i="14"/>
  <c r="BI139" i="14"/>
  <c r="BJ119" i="14"/>
  <c r="BD107" i="14"/>
  <c r="BI250" i="14"/>
  <c r="BG230" i="14"/>
  <c r="BF218" i="14"/>
  <c r="BG178" i="14"/>
  <c r="BK158" i="14"/>
  <c r="BI146" i="14"/>
  <c r="BJ126" i="14"/>
  <c r="BH114" i="14"/>
  <c r="BK233" i="14"/>
  <c r="BI225" i="14"/>
  <c r="BI193" i="14"/>
  <c r="BI161" i="14"/>
  <c r="BG145" i="14"/>
  <c r="BI145" i="14"/>
  <c r="BC75" i="14"/>
  <c r="BG75" i="14" s="1"/>
  <c r="BH225" i="14"/>
  <c r="BE193" i="14"/>
  <c r="BK416" i="14"/>
  <c r="BJ405" i="14"/>
  <c r="BH403" i="14"/>
  <c r="BE454" i="14"/>
  <c r="BE442" i="14"/>
  <c r="BG405" i="14"/>
  <c r="BF396" i="14"/>
  <c r="BE403" i="14"/>
  <c r="BJ402" i="14"/>
  <c r="BG370" i="14"/>
  <c r="BG358" i="14"/>
  <c r="BG338" i="14"/>
  <c r="BG326" i="14"/>
  <c r="BG306" i="14"/>
  <c r="BG294" i="14"/>
  <c r="BG274" i="14"/>
  <c r="BH377" i="14"/>
  <c r="BH357" i="14"/>
  <c r="BH345" i="14"/>
  <c r="BH325" i="14"/>
  <c r="BH313" i="14"/>
  <c r="BH293" i="14"/>
  <c r="BH281" i="14"/>
  <c r="BF372" i="14"/>
  <c r="BF340" i="14"/>
  <c r="BF308" i="14"/>
  <c r="BF280" i="14"/>
  <c r="BJ371" i="14"/>
  <c r="BJ351" i="14"/>
  <c r="BJ339" i="14"/>
  <c r="BJ319" i="14"/>
  <c r="BJ307" i="14"/>
  <c r="BJ287" i="14"/>
  <c r="BJ275" i="14"/>
  <c r="BF243" i="14"/>
  <c r="BF203" i="14"/>
  <c r="BF183" i="14"/>
  <c r="BF171" i="14"/>
  <c r="BF151" i="14"/>
  <c r="BF139" i="14"/>
  <c r="BG119" i="14"/>
  <c r="BH107" i="14"/>
  <c r="BF250" i="14"/>
  <c r="BK230" i="14"/>
  <c r="BJ218" i="14"/>
  <c r="BH190" i="14"/>
  <c r="BK178" i="14"/>
  <c r="BF146" i="14"/>
  <c r="BG126" i="14"/>
  <c r="BE114" i="14"/>
  <c r="BF225" i="14"/>
  <c r="BH213" i="14"/>
  <c r="BJ193" i="14"/>
  <c r="BH181" i="14"/>
  <c r="BJ161" i="14"/>
  <c r="BF109" i="14"/>
  <c r="BG109" i="14"/>
  <c r="BC31" i="14"/>
  <c r="BK31" i="14" s="1"/>
  <c r="BC80" i="14"/>
  <c r="BK80" i="14" s="1"/>
  <c r="BC93" i="14"/>
  <c r="BK93" i="14" s="1"/>
  <c r="BI454" i="14"/>
  <c r="BK405" i="14"/>
  <c r="BJ396" i="14"/>
  <c r="BI403" i="14"/>
  <c r="BG402" i="14"/>
  <c r="BK370" i="14"/>
  <c r="BK358" i="14"/>
  <c r="BK338" i="14"/>
  <c r="BK326" i="14"/>
  <c r="BK306" i="14"/>
  <c r="BK294" i="14"/>
  <c r="BK274" i="14"/>
  <c r="BE377" i="14"/>
  <c r="BE357" i="14"/>
  <c r="BE345" i="14"/>
  <c r="BE325" i="14"/>
  <c r="BE313" i="14"/>
  <c r="BE293" i="14"/>
  <c r="BE281" i="14"/>
  <c r="BJ372" i="14"/>
  <c r="BJ340" i="14"/>
  <c r="BJ308" i="14"/>
  <c r="BJ280" i="14"/>
  <c r="BG371" i="14"/>
  <c r="BG351" i="14"/>
  <c r="BG339" i="14"/>
  <c r="BG319" i="14"/>
  <c r="BG307" i="14"/>
  <c r="BG287" i="14"/>
  <c r="BG275" i="14"/>
  <c r="BJ243" i="14"/>
  <c r="BJ203" i="14"/>
  <c r="BJ183" i="14"/>
  <c r="BJ171" i="14"/>
  <c r="BJ151" i="14"/>
  <c r="BJ139" i="14"/>
  <c r="BE107" i="14"/>
  <c r="BJ250" i="14"/>
  <c r="BG218" i="14"/>
  <c r="BH210" i="14"/>
  <c r="BI190" i="14"/>
  <c r="BG146" i="14"/>
  <c r="BK126" i="14"/>
  <c r="BI114" i="14"/>
  <c r="BH233" i="14"/>
  <c r="BJ225" i="14"/>
  <c r="BE213" i="14"/>
  <c r="BG193" i="14"/>
  <c r="BI181" i="14"/>
  <c r="Z106" i="49"/>
  <c r="AB107" i="49" s="1"/>
  <c r="BK137" i="14"/>
  <c r="BG137" i="14"/>
  <c r="S263" i="11"/>
  <c r="BD119" i="14"/>
  <c r="BI107" i="14"/>
  <c r="BK218" i="14"/>
  <c r="BE210" i="14"/>
  <c r="BF190" i="14"/>
  <c r="BH158" i="14"/>
  <c r="BK146" i="14"/>
  <c r="BF114" i="14"/>
  <c r="BG225" i="14"/>
  <c r="BI213" i="14"/>
  <c r="BK193" i="14"/>
  <c r="BG181" i="14"/>
  <c r="BK129" i="14"/>
  <c r="BG197" i="14"/>
  <c r="BH197" i="14"/>
  <c r="BH194" i="14"/>
  <c r="BH162" i="14"/>
  <c r="BH130" i="14"/>
  <c r="BC91" i="14"/>
  <c r="BJ91" i="14" s="1"/>
  <c r="BC68" i="14"/>
  <c r="BC52" i="14"/>
  <c r="BC36" i="14"/>
  <c r="BF36" i="14" s="1"/>
  <c r="BC20" i="14"/>
  <c r="BI221" i="14"/>
  <c r="BI157" i="14"/>
  <c r="BG125" i="14"/>
  <c r="BC15" i="14"/>
  <c r="BK15" i="14" s="1"/>
  <c r="BC90" i="14"/>
  <c r="BD90" i="14" s="1"/>
  <c r="BI149" i="14"/>
  <c r="BJ181" i="14"/>
  <c r="BE197" i="14"/>
  <c r="BE181" i="14"/>
  <c r="BK181" i="14"/>
  <c r="BH149" i="14"/>
  <c r="Z248" i="49"/>
  <c r="BI165" i="14"/>
  <c r="BI101" i="14"/>
  <c r="BF168" i="14"/>
  <c r="BE165" i="14"/>
  <c r="BK165" i="14"/>
  <c r="BG149" i="14"/>
  <c r="BJ117" i="14"/>
  <c r="S296" i="11"/>
  <c r="S314" i="11"/>
  <c r="T471" i="11"/>
  <c r="BG157" i="14"/>
  <c r="BE141" i="14"/>
  <c r="BJ125" i="14"/>
  <c r="BH109" i="14"/>
  <c r="BK161" i="14"/>
  <c r="BH153" i="14"/>
  <c r="BK145" i="14"/>
  <c r="BG141" i="14"/>
  <c r="BF137" i="14"/>
  <c r="BI129" i="14"/>
  <c r="BF125" i="14"/>
  <c r="BJ121" i="14"/>
  <c r="BI109" i="14"/>
  <c r="BG133" i="14"/>
  <c r="BE149" i="14"/>
  <c r="BK149" i="14"/>
  <c r="BJ133" i="14"/>
  <c r="BF117" i="14"/>
  <c r="BE254" i="14"/>
  <c r="BH240" i="14"/>
  <c r="BH165" i="14"/>
  <c r="BF149" i="14"/>
  <c r="BH133" i="14"/>
  <c r="BK133" i="14"/>
  <c r="BG117" i="14"/>
  <c r="BF101" i="14"/>
  <c r="BI168" i="14"/>
  <c r="BH141" i="14"/>
  <c r="BE125" i="14"/>
  <c r="BG121" i="14"/>
  <c r="BI113" i="14"/>
  <c r="BJ109" i="14"/>
  <c r="BI258" i="14"/>
  <c r="BI43" i="14"/>
  <c r="BI133" i="14"/>
  <c r="BE117" i="14"/>
  <c r="BH101" i="14"/>
  <c r="BF216" i="14"/>
  <c r="BF177" i="14"/>
  <c r="BJ216" i="14"/>
  <c r="BH145" i="14"/>
  <c r="BJ129" i="14"/>
  <c r="BH113" i="14"/>
  <c r="BH129" i="14"/>
  <c r="BG113" i="14"/>
  <c r="BG254" i="14"/>
  <c r="BI240" i="14"/>
  <c r="BG200" i="14"/>
  <c r="BI137" i="14"/>
  <c r="BF121" i="14"/>
  <c r="BI117" i="14"/>
  <c r="BE101" i="14"/>
  <c r="BJ254" i="14"/>
  <c r="BK240" i="14"/>
  <c r="BK200" i="14"/>
  <c r="BF161" i="14"/>
  <c r="BF145" i="14"/>
  <c r="BF129" i="14"/>
  <c r="BE121" i="14"/>
  <c r="BH117" i="14"/>
  <c r="BE113" i="14"/>
  <c r="BK113" i="14"/>
  <c r="BF105" i="14"/>
  <c r="BH252" i="14"/>
  <c r="BE161" i="14"/>
  <c r="BE145" i="14"/>
  <c r="BE129" i="14"/>
  <c r="BF113" i="14"/>
  <c r="BE258" i="14"/>
  <c r="BH254" i="14"/>
  <c r="BG248" i="14"/>
  <c r="BE228" i="14"/>
  <c r="BG258" i="14"/>
  <c r="BE252" i="14"/>
  <c r="BI121" i="14"/>
  <c r="BG105" i="14"/>
  <c r="BH256" i="14"/>
  <c r="BG101" i="14"/>
  <c r="BF256" i="14"/>
  <c r="BK254" i="14"/>
  <c r="BI254" i="14"/>
  <c r="BI244" i="14"/>
  <c r="BF240" i="14"/>
  <c r="BF220" i="14"/>
  <c r="BK216" i="14"/>
  <c r="BI184" i="14"/>
  <c r="BH152" i="14"/>
  <c r="BE256" i="14"/>
  <c r="BG244" i="14"/>
  <c r="BJ240" i="14"/>
  <c r="BH216" i="14"/>
  <c r="BH200" i="14"/>
  <c r="BJ184" i="14"/>
  <c r="BI136" i="14"/>
  <c r="BF224" i="14"/>
  <c r="BH258" i="14"/>
  <c r="BJ224" i="14"/>
  <c r="BK258" i="14"/>
  <c r="BE248" i="14"/>
  <c r="BG232" i="14"/>
  <c r="BJ212" i="14"/>
  <c r="BG164" i="14"/>
  <c r="BJ188" i="14"/>
  <c r="BI105" i="14"/>
  <c r="BK105" i="14"/>
  <c r="BG256" i="14"/>
  <c r="BJ256" i="14"/>
  <c r="BJ252" i="14"/>
  <c r="BE244" i="14"/>
  <c r="BK244" i="14"/>
  <c r="BF228" i="14"/>
  <c r="BE164" i="14"/>
  <c r="BE116" i="14"/>
  <c r="BH105" i="14"/>
  <c r="BK256" i="14"/>
  <c r="BF244" i="14"/>
  <c r="BE220" i="14"/>
  <c r="BI204" i="14"/>
  <c r="BG196" i="14"/>
  <c r="BK228" i="14"/>
  <c r="BK220" i="14"/>
  <c r="BH188" i="14"/>
  <c r="BI200" i="14"/>
  <c r="BG184" i="14"/>
  <c r="BE236" i="14"/>
  <c r="BI196" i="14"/>
  <c r="BE148" i="14"/>
  <c r="BI216" i="14"/>
  <c r="BE200" i="14"/>
  <c r="BH184" i="14"/>
  <c r="BH168" i="14"/>
  <c r="BK136" i="14"/>
  <c r="BE240" i="14"/>
  <c r="BE216" i="14"/>
  <c r="BF200" i="14"/>
  <c r="BE184" i="14"/>
  <c r="BK184" i="14"/>
  <c r="BK168" i="14"/>
  <c r="BG152" i="14"/>
  <c r="BJ120" i="14"/>
  <c r="BF252" i="14"/>
  <c r="BF212" i="14"/>
  <c r="BF258" i="14"/>
  <c r="BK252" i="14"/>
  <c r="BI252" i="14"/>
  <c r="BF236" i="14"/>
  <c r="BK212" i="14"/>
  <c r="BE180" i="14"/>
  <c r="BG236" i="14"/>
  <c r="BH212" i="14"/>
  <c r="BE208" i="14"/>
  <c r="BH196" i="14"/>
  <c r="BG180" i="14"/>
  <c r="BH132" i="14"/>
  <c r="BH236" i="14"/>
  <c r="BJ236" i="14"/>
  <c r="BH228" i="14"/>
  <c r="BG228" i="14"/>
  <c r="BI220" i="14"/>
  <c r="BE212" i="14"/>
  <c r="BG212" i="14"/>
  <c r="BF204" i="14"/>
  <c r="BE196" i="14"/>
  <c r="BK196" i="14"/>
  <c r="BJ180" i="14"/>
  <c r="BI164" i="14"/>
  <c r="BH244" i="14"/>
  <c r="BI236" i="14"/>
  <c r="BI228" i="14"/>
  <c r="BG220" i="14"/>
  <c r="BF196" i="14"/>
  <c r="BI188" i="14"/>
  <c r="BH180" i="14"/>
  <c r="BK172" i="14"/>
  <c r="BK148" i="14"/>
  <c r="BJ152" i="14"/>
  <c r="BE136" i="14"/>
  <c r="BE120" i="14"/>
  <c r="BH220" i="14"/>
  <c r="BJ204" i="14"/>
  <c r="BK188" i="14"/>
  <c r="BI156" i="14"/>
  <c r="BJ168" i="14"/>
  <c r="BE152" i="14"/>
  <c r="BE104" i="14"/>
  <c r="BI140" i="14"/>
  <c r="BF164" i="14"/>
  <c r="BE232" i="14"/>
  <c r="BE192" i="14"/>
  <c r="BF248" i="14"/>
  <c r="BF232" i="14"/>
  <c r="BE224" i="14"/>
  <c r="BK224" i="14"/>
  <c r="BG208" i="14"/>
  <c r="BG192" i="14"/>
  <c r="BK176" i="14"/>
  <c r="BH148" i="14"/>
  <c r="BF124" i="14"/>
  <c r="BG116" i="14"/>
  <c r="BH248" i="14"/>
  <c r="BJ248" i="14"/>
  <c r="BH232" i="14"/>
  <c r="BJ232" i="14"/>
  <c r="BI224" i="14"/>
  <c r="BK208" i="14"/>
  <c r="BI248" i="14"/>
  <c r="BI232" i="14"/>
  <c r="BH224" i="14"/>
  <c r="BG224" i="14"/>
  <c r="BI208" i="14"/>
  <c r="BI192" i="14"/>
  <c r="BF180" i="14"/>
  <c r="BE176" i="14"/>
  <c r="BH164" i="14"/>
  <c r="BJ164" i="14"/>
  <c r="BG148" i="14"/>
  <c r="BJ132" i="14"/>
  <c r="BH116" i="14"/>
  <c r="BI180" i="14"/>
  <c r="BG160" i="14"/>
  <c r="BI148" i="14"/>
  <c r="BF132" i="14"/>
  <c r="BF208" i="14"/>
  <c r="BF192" i="14"/>
  <c r="BF176" i="14"/>
  <c r="BI160" i="14"/>
  <c r="BH208" i="14"/>
  <c r="BH192" i="14"/>
  <c r="BJ192" i="14"/>
  <c r="BG176" i="14"/>
  <c r="BF160" i="14"/>
  <c r="BI176" i="14"/>
  <c r="BE160" i="14"/>
  <c r="BF116" i="14"/>
  <c r="BF128" i="14"/>
  <c r="BH176" i="14"/>
  <c r="BH160" i="14"/>
  <c r="BJ160" i="14"/>
  <c r="BG144" i="14"/>
  <c r="BI128" i="14"/>
  <c r="BF148" i="14"/>
  <c r="BF144" i="14"/>
  <c r="BE132" i="14"/>
  <c r="BG132" i="14"/>
  <c r="BI116" i="14"/>
  <c r="BK116" i="14"/>
  <c r="BF100" i="14"/>
  <c r="BJ144" i="14"/>
  <c r="BI132" i="14"/>
  <c r="BH204" i="14"/>
  <c r="BK204" i="14"/>
  <c r="BF188" i="14"/>
  <c r="BI172" i="14"/>
  <c r="BE168" i="14"/>
  <c r="BF156" i="14"/>
  <c r="BI152" i="14"/>
  <c r="BK152" i="14"/>
  <c r="BF140" i="14"/>
  <c r="BF136" i="14"/>
  <c r="BG69" i="14"/>
  <c r="BF172" i="14"/>
  <c r="BK156" i="14"/>
  <c r="BH136" i="14"/>
  <c r="BG136" i="14"/>
  <c r="BE108" i="14"/>
  <c r="BH144" i="14"/>
  <c r="BG104" i="14"/>
  <c r="BE128" i="14"/>
  <c r="BH120" i="14"/>
  <c r="BG120" i="14"/>
  <c r="BJ112" i="14"/>
  <c r="BI104" i="14"/>
  <c r="BG128" i="14"/>
  <c r="BF120" i="14"/>
  <c r="BH104" i="14"/>
  <c r="BF112" i="14"/>
  <c r="BE144" i="14"/>
  <c r="BH128" i="14"/>
  <c r="BK128" i="14"/>
  <c r="BJ104" i="14"/>
  <c r="BI144" i="14"/>
  <c r="BJ128" i="14"/>
  <c r="BH112" i="14"/>
  <c r="BI120" i="14"/>
  <c r="BF104" i="14"/>
  <c r="BG112" i="14"/>
  <c r="BE112" i="14"/>
  <c r="BF108" i="14"/>
  <c r="BK140" i="14"/>
  <c r="BI124" i="14"/>
  <c r="BK124" i="14"/>
  <c r="BH108" i="14"/>
  <c r="BJ108" i="14"/>
  <c r="BH172" i="14"/>
  <c r="BJ172" i="14"/>
  <c r="BH156" i="14"/>
  <c r="BJ156" i="14"/>
  <c r="BH140" i="14"/>
  <c r="BJ140" i="14"/>
  <c r="BH124" i="14"/>
  <c r="BJ124" i="14"/>
  <c r="BI108" i="14"/>
  <c r="BK108" i="14"/>
  <c r="BD257" i="14"/>
  <c r="BD255" i="14"/>
  <c r="BD253" i="14"/>
  <c r="BE204" i="14"/>
  <c r="BE188" i="14"/>
  <c r="BE172" i="14"/>
  <c r="BE156" i="14"/>
  <c r="BE140" i="14"/>
  <c r="BE124" i="14"/>
  <c r="BI112" i="14"/>
  <c r="X55" i="38"/>
  <c r="Z55" i="38" s="1"/>
  <c r="Y50" i="38"/>
  <c r="Z50" i="38" s="1"/>
  <c r="G117" i="38"/>
  <c r="S374" i="11"/>
  <c r="T415" i="11"/>
  <c r="G134" i="38"/>
  <c r="AC63" i="38"/>
  <c r="G113" i="38"/>
  <c r="G130" i="38"/>
  <c r="S255" i="11"/>
  <c r="G111" i="38"/>
  <c r="AC121" i="38"/>
  <c r="X125" i="38"/>
  <c r="Z125" i="38" s="1"/>
  <c r="T173" i="11"/>
  <c r="Z309" i="49"/>
  <c r="Z301" i="49"/>
  <c r="Z82" i="49"/>
  <c r="G50" i="38"/>
  <c r="AC132" i="38"/>
  <c r="G125" i="38"/>
  <c r="Z316" i="49"/>
  <c r="T445" i="11"/>
  <c r="S326" i="11"/>
  <c r="AC138" i="38"/>
  <c r="S302" i="11"/>
  <c r="S342" i="11"/>
  <c r="S329" i="11"/>
  <c r="S346" i="11"/>
  <c r="S338" i="11"/>
  <c r="S331" i="11"/>
  <c r="S299" i="11"/>
  <c r="Z293" i="49"/>
  <c r="Z303" i="49"/>
  <c r="S322" i="11"/>
  <c r="S306" i="11"/>
  <c r="T400" i="11"/>
  <c r="S286" i="11"/>
  <c r="S114" i="11"/>
  <c r="S297" i="11"/>
  <c r="Z93" i="49"/>
  <c r="Z77" i="49"/>
  <c r="Z69" i="49"/>
  <c r="X127" i="38"/>
  <c r="Z127" i="38" s="1"/>
  <c r="S280" i="11"/>
  <c r="S282" i="11"/>
  <c r="S262" i="11"/>
  <c r="S245" i="11"/>
  <c r="T433" i="11"/>
  <c r="S397" i="11"/>
  <c r="X136" i="38"/>
  <c r="Z136" i="38" s="1"/>
  <c r="G140" i="38"/>
  <c r="AC139" i="38"/>
  <c r="G136" i="38"/>
  <c r="AC136" i="38"/>
  <c r="AC133" i="38"/>
  <c r="G133" i="38"/>
  <c r="S281" i="11"/>
  <c r="T481" i="11"/>
  <c r="S362" i="11"/>
  <c r="Z194" i="49"/>
  <c r="S310" i="11"/>
  <c r="S350" i="11"/>
  <c r="S334" i="11"/>
  <c r="S318" i="11"/>
  <c r="BJ101" i="14"/>
  <c r="BH100" i="14"/>
  <c r="Z308" i="49"/>
  <c r="S315" i="11"/>
  <c r="S244" i="11"/>
  <c r="S198" i="11"/>
  <c r="S157" i="11"/>
  <c r="S257" i="11"/>
  <c r="Z321" i="49"/>
  <c r="S298" i="11"/>
  <c r="S248" i="11"/>
  <c r="S276" i="11"/>
  <c r="S294" i="11"/>
  <c r="S293" i="11"/>
  <c r="S197" i="11"/>
  <c r="S258" i="11"/>
  <c r="S134" i="11"/>
  <c r="Z320" i="49"/>
  <c r="Z85" i="49"/>
  <c r="S445" i="11"/>
  <c r="S249" i="11"/>
  <c r="S278" i="11"/>
  <c r="T361" i="11"/>
  <c r="Z178" i="49"/>
  <c r="S277" i="11"/>
  <c r="Z239" i="49"/>
  <c r="Z129" i="49"/>
  <c r="AB129" i="49" s="1"/>
  <c r="T324" i="11"/>
  <c r="T360" i="11"/>
  <c r="S122" i="11"/>
  <c r="T459" i="11"/>
  <c r="S158" i="11"/>
  <c r="S267" i="11"/>
  <c r="M2" i="66"/>
  <c r="N2" i="66" s="1"/>
  <c r="Z187" i="49"/>
  <c r="Z143" i="49"/>
  <c r="Z95" i="49"/>
  <c r="Z91" i="49"/>
  <c r="Z20" i="49"/>
  <c r="AB20" i="49" s="1"/>
  <c r="T369" i="11"/>
  <c r="S145" i="11"/>
  <c r="S137" i="11"/>
  <c r="Z304" i="49"/>
  <c r="T372" i="11"/>
  <c r="S133" i="11"/>
  <c r="T380" i="11"/>
  <c r="S236" i="11"/>
  <c r="S269" i="11"/>
  <c r="S330" i="11"/>
  <c r="Z184" i="49"/>
  <c r="Z172" i="49"/>
  <c r="Z31" i="49"/>
  <c r="S292" i="11"/>
  <c r="Z171" i="49"/>
  <c r="T396" i="11"/>
  <c r="S290" i="11"/>
  <c r="S254" i="11"/>
  <c r="Z254" i="49"/>
  <c r="Z148" i="49"/>
  <c r="S261" i="11"/>
  <c r="S246" i="11"/>
  <c r="T181" i="11"/>
  <c r="T447" i="11"/>
  <c r="T356" i="11"/>
  <c r="T357" i="11"/>
  <c r="S289" i="11"/>
  <c r="S253" i="11"/>
  <c r="S250" i="11"/>
  <c r="X113" i="38"/>
  <c r="Z113" i="38" s="1"/>
  <c r="X115" i="38"/>
  <c r="Z115" i="38" s="1"/>
  <c r="X93" i="38"/>
  <c r="Z93" i="38" s="1"/>
  <c r="X117" i="38"/>
  <c r="Z117" i="38" s="1"/>
  <c r="X140" i="38"/>
  <c r="Z140" i="38" s="1"/>
  <c r="X86" i="38"/>
  <c r="Z86" i="38" s="1"/>
  <c r="BC3" i="14"/>
  <c r="BF3" i="14" s="1"/>
  <c r="BH499" i="14"/>
  <c r="T353" i="11"/>
  <c r="T399" i="11"/>
  <c r="BC262" i="14"/>
  <c r="BG262" i="14" s="1"/>
  <c r="AC44" i="38"/>
  <c r="G44" i="38"/>
  <c r="AC103" i="38"/>
  <c r="G103" i="38"/>
  <c r="AC48" i="38"/>
  <c r="G48" i="38"/>
  <c r="AC141" i="38"/>
  <c r="G141" i="38"/>
  <c r="AC129" i="38"/>
  <c r="G129" i="38"/>
  <c r="AC68" i="38"/>
  <c r="G68" i="38"/>
  <c r="AC93" i="38"/>
  <c r="G93" i="38"/>
  <c r="AC96" i="38"/>
  <c r="G96" i="38"/>
  <c r="AC53" i="38"/>
  <c r="G53" i="38"/>
  <c r="AC92" i="38"/>
  <c r="G92" i="38"/>
  <c r="AC84" i="38"/>
  <c r="G84" i="38"/>
  <c r="AC110" i="38"/>
  <c r="G110" i="38"/>
  <c r="AC5" i="38"/>
  <c r="G5" i="38"/>
  <c r="AC124" i="38"/>
  <c r="G124" i="38"/>
  <c r="AC109" i="38"/>
  <c r="G109" i="38"/>
  <c r="X121" i="38"/>
  <c r="Z121" i="38" s="1"/>
  <c r="X142" i="38"/>
  <c r="Z142" i="38" s="1"/>
  <c r="X80" i="38"/>
  <c r="Z80" i="38" s="1"/>
  <c r="X94" i="38"/>
  <c r="Z94" i="38" s="1"/>
  <c r="X87" i="38"/>
  <c r="Z87" i="38" s="1"/>
  <c r="X84" i="38"/>
  <c r="Z84" i="38" s="1"/>
  <c r="X134" i="38"/>
  <c r="Z134" i="38" s="1"/>
  <c r="X119" i="38"/>
  <c r="Z119" i="38" s="1"/>
  <c r="X98" i="38"/>
  <c r="Z98" i="38" s="1"/>
  <c r="X49" i="38"/>
  <c r="Z49" i="38" s="1"/>
  <c r="X144" i="38"/>
  <c r="Z144" i="38" s="1"/>
  <c r="AC131" i="38"/>
  <c r="AC143" i="38"/>
  <c r="AC135" i="38"/>
  <c r="G492" i="69"/>
  <c r="G476" i="69"/>
  <c r="G460" i="69"/>
  <c r="G444" i="69"/>
  <c r="G428" i="69"/>
  <c r="G412" i="69"/>
  <c r="G396" i="69"/>
  <c r="G380" i="69"/>
  <c r="G364" i="69"/>
  <c r="G348" i="69"/>
  <c r="G499" i="69"/>
  <c r="G483" i="69"/>
  <c r="G467" i="69"/>
  <c r="G451" i="69"/>
  <c r="G435" i="69"/>
  <c r="G419" i="69"/>
  <c r="G403" i="69"/>
  <c r="G387" i="69"/>
  <c r="G371" i="69"/>
  <c r="G355" i="69"/>
  <c r="G337" i="69"/>
  <c r="G490" i="69"/>
  <c r="G474" i="69"/>
  <c r="G458" i="69"/>
  <c r="G442" i="69"/>
  <c r="G426" i="69"/>
  <c r="G410" i="69"/>
  <c r="G394" i="69"/>
  <c r="G378" i="69"/>
  <c r="G362" i="69"/>
  <c r="G346" i="69"/>
  <c r="G2" i="69"/>
  <c r="G485" i="69"/>
  <c r="G469" i="69"/>
  <c r="G453" i="69"/>
  <c r="G437" i="69"/>
  <c r="G421" i="69"/>
  <c r="G405" i="69"/>
  <c r="G389" i="69"/>
  <c r="G373" i="69"/>
  <c r="G357" i="69"/>
  <c r="G341" i="69"/>
  <c r="G334" i="69"/>
  <c r="G318" i="69"/>
  <c r="G302" i="69"/>
  <c r="G286" i="69"/>
  <c r="G270" i="69"/>
  <c r="G254" i="69"/>
  <c r="G238" i="69"/>
  <c r="G222" i="69"/>
  <c r="G206" i="69"/>
  <c r="G190" i="69"/>
  <c r="G174" i="69"/>
  <c r="G158" i="69"/>
  <c r="G142" i="69"/>
  <c r="G126" i="69"/>
  <c r="G110" i="69"/>
  <c r="G94" i="69"/>
  <c r="G78" i="69"/>
  <c r="G62" i="69"/>
  <c r="G46" i="69"/>
  <c r="G30" i="69"/>
  <c r="G14" i="69"/>
  <c r="G321" i="69"/>
  <c r="G305" i="69"/>
  <c r="G289" i="69"/>
  <c r="G273" i="69"/>
  <c r="G257" i="69"/>
  <c r="G241" i="69"/>
  <c r="G225" i="69"/>
  <c r="G209" i="69"/>
  <c r="G193" i="69"/>
  <c r="G177" i="69"/>
  <c r="G161" i="69"/>
  <c r="G145" i="69"/>
  <c r="G129" i="69"/>
  <c r="G113" i="69"/>
  <c r="G97" i="69"/>
  <c r="G81" i="69"/>
  <c r="G65" i="69"/>
  <c r="G49" i="69"/>
  <c r="G33" i="69"/>
  <c r="G17" i="69"/>
  <c r="G320" i="69"/>
  <c r="G304" i="69"/>
  <c r="G288" i="69"/>
  <c r="G272" i="69"/>
  <c r="G256" i="69"/>
  <c r="G240" i="69"/>
  <c r="G224" i="69"/>
  <c r="G208" i="69"/>
  <c r="G192" i="69"/>
  <c r="G176" i="69"/>
  <c r="G160" i="69"/>
  <c r="G144" i="69"/>
  <c r="G128" i="69"/>
  <c r="G112" i="69"/>
  <c r="G96" i="69"/>
  <c r="G80" i="69"/>
  <c r="G64" i="69"/>
  <c r="G48" i="69"/>
  <c r="G32" i="69"/>
  <c r="G16" i="69"/>
  <c r="G339" i="69"/>
  <c r="G323" i="69"/>
  <c r="G307" i="69"/>
  <c r="G291" i="69"/>
  <c r="G275" i="69"/>
  <c r="G259" i="69"/>
  <c r="G243" i="69"/>
  <c r="G227" i="69"/>
  <c r="G211" i="69"/>
  <c r="G195" i="69"/>
  <c r="G179" i="69"/>
  <c r="G163" i="69"/>
  <c r="G147" i="69"/>
  <c r="G131" i="69"/>
  <c r="G115" i="69"/>
  <c r="G99" i="69"/>
  <c r="G83" i="69"/>
  <c r="G67" i="69"/>
  <c r="G51" i="69"/>
  <c r="G35" i="69"/>
  <c r="G19" i="69"/>
  <c r="G3" i="69"/>
  <c r="G488" i="69"/>
  <c r="G472" i="69"/>
  <c r="G456" i="69"/>
  <c r="G440" i="69"/>
  <c r="G424" i="69"/>
  <c r="G408" i="69"/>
  <c r="G392" i="69"/>
  <c r="G376" i="69"/>
  <c r="G360" i="69"/>
  <c r="G344" i="69"/>
  <c r="G495" i="69"/>
  <c r="G479" i="69"/>
  <c r="G463" i="69"/>
  <c r="G447" i="69"/>
  <c r="G431" i="69"/>
  <c r="G415" i="69"/>
  <c r="G399" i="69"/>
  <c r="G383" i="69"/>
  <c r="G367" i="69"/>
  <c r="G351" i="69"/>
  <c r="G329" i="69"/>
  <c r="G486" i="69"/>
  <c r="G470" i="69"/>
  <c r="G454" i="69"/>
  <c r="G438" i="69"/>
  <c r="G422" i="69"/>
  <c r="G406" i="69"/>
  <c r="G390" i="69"/>
  <c r="G374" i="69"/>
  <c r="G358" i="69"/>
  <c r="G342" i="69"/>
  <c r="G497" i="69"/>
  <c r="G481" i="69"/>
  <c r="G465" i="69"/>
  <c r="G449" i="69"/>
  <c r="G433" i="69"/>
  <c r="G417" i="69"/>
  <c r="G401" i="69"/>
  <c r="G385" i="69"/>
  <c r="G369" i="69"/>
  <c r="G353" i="69"/>
  <c r="G333" i="69"/>
  <c r="G330" i="69"/>
  <c r="G314" i="69"/>
  <c r="G298" i="69"/>
  <c r="G282" i="69"/>
  <c r="G266" i="69"/>
  <c r="G250" i="69"/>
  <c r="G234" i="69"/>
  <c r="G218" i="69"/>
  <c r="G202" i="69"/>
  <c r="G186" i="69"/>
  <c r="G170" i="69"/>
  <c r="G154" i="69"/>
  <c r="G138" i="69"/>
  <c r="G122" i="69"/>
  <c r="G106" i="69"/>
  <c r="G90" i="69"/>
  <c r="G74" i="69"/>
  <c r="G58" i="69"/>
  <c r="G42" i="69"/>
  <c r="G26" i="69"/>
  <c r="G10" i="69"/>
  <c r="G317" i="69"/>
  <c r="G301" i="69"/>
  <c r="G285" i="69"/>
  <c r="G269" i="69"/>
  <c r="G253" i="69"/>
  <c r="G237" i="69"/>
  <c r="G221" i="69"/>
  <c r="G205" i="69"/>
  <c r="G189" i="69"/>
  <c r="G173" i="69"/>
  <c r="G157" i="69"/>
  <c r="G141" i="69"/>
  <c r="G125" i="69"/>
  <c r="G109" i="69"/>
  <c r="G93" i="69"/>
  <c r="G77" i="69"/>
  <c r="G61" i="69"/>
  <c r="G45" i="69"/>
  <c r="G29" i="69"/>
  <c r="G13" i="69"/>
  <c r="G316" i="69"/>
  <c r="G300" i="69"/>
  <c r="G284" i="69"/>
  <c r="G268" i="69"/>
  <c r="G252" i="69"/>
  <c r="G236" i="69"/>
  <c r="G220" i="69"/>
  <c r="G204" i="69"/>
  <c r="G188" i="69"/>
  <c r="G172" i="69"/>
  <c r="G156" i="69"/>
  <c r="G140" i="69"/>
  <c r="G124" i="69"/>
  <c r="G108" i="69"/>
  <c r="G92" i="69"/>
  <c r="G76" i="69"/>
  <c r="G60" i="69"/>
  <c r="G44" i="69"/>
  <c r="G28" i="69"/>
  <c r="G12" i="69"/>
  <c r="G335" i="69"/>
  <c r="G319" i="69"/>
  <c r="G303" i="69"/>
  <c r="G287" i="69"/>
  <c r="G271" i="69"/>
  <c r="G255" i="69"/>
  <c r="G239" i="69"/>
  <c r="G223" i="69"/>
  <c r="G207" i="69"/>
  <c r="G191" i="69"/>
  <c r="G175" i="69"/>
  <c r="G159" i="69"/>
  <c r="G143" i="69"/>
  <c r="G127" i="69"/>
  <c r="G111" i="69"/>
  <c r="G95" i="69"/>
  <c r="G79" i="69"/>
  <c r="G63" i="69"/>
  <c r="G47" i="69"/>
  <c r="G31" i="69"/>
  <c r="G15" i="69"/>
  <c r="G500" i="69"/>
  <c r="G484" i="69"/>
  <c r="G468" i="69"/>
  <c r="G452" i="69"/>
  <c r="G436" i="69"/>
  <c r="G420" i="69"/>
  <c r="G404" i="69"/>
  <c r="G388" i="69"/>
  <c r="G372" i="69"/>
  <c r="G356" i="69"/>
  <c r="G340" i="69"/>
  <c r="G491" i="69"/>
  <c r="G475" i="69"/>
  <c r="G459" i="69"/>
  <c r="G443" i="69"/>
  <c r="G427" i="69"/>
  <c r="G411" i="69"/>
  <c r="G395" i="69"/>
  <c r="G379" i="69"/>
  <c r="G363" i="69"/>
  <c r="G347" i="69"/>
  <c r="G498" i="69"/>
  <c r="G482" i="69"/>
  <c r="G466" i="69"/>
  <c r="G450" i="69"/>
  <c r="G434" i="69"/>
  <c r="G418" i="69"/>
  <c r="G402" i="69"/>
  <c r="G386" i="69"/>
  <c r="G370" i="69"/>
  <c r="G354" i="69"/>
  <c r="G336" i="69"/>
  <c r="G493" i="69"/>
  <c r="G477" i="69"/>
  <c r="G461" i="69"/>
  <c r="G445" i="69"/>
  <c r="G429" i="69"/>
  <c r="G413" i="69"/>
  <c r="G397" i="69"/>
  <c r="G381" i="69"/>
  <c r="G365" i="69"/>
  <c r="G349" i="69"/>
  <c r="G324" i="69"/>
  <c r="G326" i="69"/>
  <c r="G310" i="69"/>
  <c r="G294" i="69"/>
  <c r="G278" i="69"/>
  <c r="G262" i="69"/>
  <c r="G246" i="69"/>
  <c r="G230" i="69"/>
  <c r="G214" i="69"/>
  <c r="G198" i="69"/>
  <c r="G182" i="69"/>
  <c r="G166" i="69"/>
  <c r="G150" i="69"/>
  <c r="G134" i="69"/>
  <c r="G118" i="69"/>
  <c r="G102" i="69"/>
  <c r="G86" i="69"/>
  <c r="G70" i="69"/>
  <c r="G54" i="69"/>
  <c r="G38" i="69"/>
  <c r="G22" i="69"/>
  <c r="G6" i="69"/>
  <c r="G313" i="69"/>
  <c r="G297" i="69"/>
  <c r="G281" i="69"/>
  <c r="G265" i="69"/>
  <c r="G249" i="69"/>
  <c r="G233" i="69"/>
  <c r="G217" i="69"/>
  <c r="G201" i="69"/>
  <c r="G185" i="69"/>
  <c r="G169" i="69"/>
  <c r="G153" i="69"/>
  <c r="G137" i="69"/>
  <c r="G121" i="69"/>
  <c r="G105" i="69"/>
  <c r="G89" i="69"/>
  <c r="G73" i="69"/>
  <c r="G57" i="69"/>
  <c r="G41" i="69"/>
  <c r="G25" i="69"/>
  <c r="G9" i="69"/>
  <c r="G312" i="69"/>
  <c r="G296" i="69"/>
  <c r="G280" i="69"/>
  <c r="G264" i="69"/>
  <c r="G248" i="69"/>
  <c r="G232" i="69"/>
  <c r="G216" i="69"/>
  <c r="G200" i="69"/>
  <c r="G184" i="69"/>
  <c r="G168" i="69"/>
  <c r="G152" i="69"/>
  <c r="G136" i="69"/>
  <c r="G120" i="69"/>
  <c r="G104" i="69"/>
  <c r="G88" i="69"/>
  <c r="G72" i="69"/>
  <c r="G56" i="69"/>
  <c r="G40" i="69"/>
  <c r="G24" i="69"/>
  <c r="G8" i="69"/>
  <c r="G331" i="69"/>
  <c r="G315" i="69"/>
  <c r="G299" i="69"/>
  <c r="G283" i="69"/>
  <c r="G267" i="69"/>
  <c r="G251" i="69"/>
  <c r="G235" i="69"/>
  <c r="G219" i="69"/>
  <c r="G203" i="69"/>
  <c r="G187" i="69"/>
  <c r="G171" i="69"/>
  <c r="G155" i="69"/>
  <c r="G139" i="69"/>
  <c r="G123" i="69"/>
  <c r="G107" i="69"/>
  <c r="G91" i="69"/>
  <c r="G75" i="69"/>
  <c r="G59" i="69"/>
  <c r="G43" i="69"/>
  <c r="G27" i="69"/>
  <c r="G11" i="69"/>
  <c r="G496" i="69"/>
  <c r="G480" i="69"/>
  <c r="G464" i="69"/>
  <c r="G448" i="69"/>
  <c r="G432" i="69"/>
  <c r="G416" i="69"/>
  <c r="G400" i="69"/>
  <c r="G384" i="69"/>
  <c r="G368" i="69"/>
  <c r="G352" i="69"/>
  <c r="G332" i="69"/>
  <c r="G487" i="69"/>
  <c r="G471" i="69"/>
  <c r="G455" i="69"/>
  <c r="G439" i="69"/>
  <c r="G423" i="69"/>
  <c r="G407" i="69"/>
  <c r="G391" i="69"/>
  <c r="G375" i="69"/>
  <c r="G359" i="69"/>
  <c r="G343" i="69"/>
  <c r="G494" i="69"/>
  <c r="G478" i="69"/>
  <c r="G462" i="69"/>
  <c r="G446" i="69"/>
  <c r="G430" i="69"/>
  <c r="G414" i="69"/>
  <c r="G398" i="69"/>
  <c r="G382" i="69"/>
  <c r="G366" i="69"/>
  <c r="G350" i="69"/>
  <c r="G328" i="69"/>
  <c r="G489" i="69"/>
  <c r="G473" i="69"/>
  <c r="G457" i="69"/>
  <c r="G441" i="69"/>
  <c r="G425" i="69"/>
  <c r="G409" i="69"/>
  <c r="G393" i="69"/>
  <c r="G377" i="69"/>
  <c r="G361" i="69"/>
  <c r="G345" i="69"/>
  <c r="G338" i="69"/>
  <c r="G322" i="69"/>
  <c r="G306" i="69"/>
  <c r="G290" i="69"/>
  <c r="G274" i="69"/>
  <c r="G258" i="69"/>
  <c r="G242" i="69"/>
  <c r="G226" i="69"/>
  <c r="G210" i="69"/>
  <c r="G194" i="69"/>
  <c r="G178" i="69"/>
  <c r="G162" i="69"/>
  <c r="G146" i="69"/>
  <c r="G130" i="69"/>
  <c r="G114" i="69"/>
  <c r="G98" i="69"/>
  <c r="G82" i="69"/>
  <c r="G66" i="69"/>
  <c r="G50" i="69"/>
  <c r="G34" i="69"/>
  <c r="G18" i="69"/>
  <c r="G325" i="69"/>
  <c r="G309" i="69"/>
  <c r="G293" i="69"/>
  <c r="G277" i="69"/>
  <c r="G261" i="69"/>
  <c r="G245" i="69"/>
  <c r="G229" i="69"/>
  <c r="G213" i="69"/>
  <c r="G197" i="69"/>
  <c r="G181" i="69"/>
  <c r="G165" i="69"/>
  <c r="G149" i="69"/>
  <c r="G133" i="69"/>
  <c r="G117" i="69"/>
  <c r="G101" i="69"/>
  <c r="G85" i="69"/>
  <c r="G69" i="69"/>
  <c r="G53" i="69"/>
  <c r="G37" i="69"/>
  <c r="G21" i="69"/>
  <c r="G5" i="69"/>
  <c r="G308" i="69"/>
  <c r="G292" i="69"/>
  <c r="G276" i="69"/>
  <c r="G260" i="69"/>
  <c r="G244" i="69"/>
  <c r="G228" i="69"/>
  <c r="G212" i="69"/>
  <c r="G196" i="69"/>
  <c r="G180" i="69"/>
  <c r="G164" i="69"/>
  <c r="G148" i="69"/>
  <c r="G132" i="69"/>
  <c r="G116" i="69"/>
  <c r="G100" i="69"/>
  <c r="G84" i="69"/>
  <c r="G68" i="69"/>
  <c r="G52" i="69"/>
  <c r="G36" i="69"/>
  <c r="G20" i="69"/>
  <c r="G4" i="69"/>
  <c r="G327" i="69"/>
  <c r="G311" i="69"/>
  <c r="G295" i="69"/>
  <c r="G279" i="69"/>
  <c r="G263" i="69"/>
  <c r="G247" i="69"/>
  <c r="G231" i="69"/>
  <c r="G215" i="69"/>
  <c r="G199" i="69"/>
  <c r="G183" i="69"/>
  <c r="G167" i="69"/>
  <c r="G151" i="69"/>
  <c r="G135" i="69"/>
  <c r="G119" i="69"/>
  <c r="G103" i="69"/>
  <c r="G87" i="69"/>
  <c r="G71" i="69"/>
  <c r="G55" i="69"/>
  <c r="G39" i="69"/>
  <c r="G23" i="69"/>
  <c r="G7" i="69"/>
  <c r="AC145" i="38"/>
  <c r="G145" i="38"/>
  <c r="G46" i="38"/>
  <c r="AC46" i="38"/>
  <c r="F2" i="69"/>
  <c r="H9" i="69"/>
  <c r="H25" i="69"/>
  <c r="H41" i="69"/>
  <c r="H73" i="69"/>
  <c r="H89" i="69"/>
  <c r="H105" i="69"/>
  <c r="H121" i="69"/>
  <c r="H137" i="69"/>
  <c r="H153" i="69"/>
  <c r="H169" i="69"/>
  <c r="H185" i="69"/>
  <c r="H201" i="69"/>
  <c r="H217" i="69"/>
  <c r="H233" i="69"/>
  <c r="H249" i="69"/>
  <c r="H265" i="69"/>
  <c r="H281" i="69"/>
  <c r="H297" i="69"/>
  <c r="H313" i="69"/>
  <c r="H329" i="69"/>
  <c r="H6" i="69"/>
  <c r="H22" i="69"/>
  <c r="H38" i="69"/>
  <c r="H70" i="69"/>
  <c r="H86" i="69"/>
  <c r="H102" i="69"/>
  <c r="H118" i="69"/>
  <c r="H134" i="69"/>
  <c r="H150" i="69"/>
  <c r="H166" i="69"/>
  <c r="H182" i="69"/>
  <c r="H198" i="69"/>
  <c r="H214" i="69"/>
  <c r="H230" i="69"/>
  <c r="H246" i="69"/>
  <c r="H262" i="69"/>
  <c r="H278" i="69"/>
  <c r="H294" i="69"/>
  <c r="H310" i="69"/>
  <c r="H326" i="69"/>
  <c r="H342" i="69"/>
  <c r="H31" i="69"/>
  <c r="H63" i="69"/>
  <c r="H95" i="69"/>
  <c r="H127" i="69"/>
  <c r="H159" i="69"/>
  <c r="H191" i="69"/>
  <c r="H223" i="69"/>
  <c r="H255" i="69"/>
  <c r="H287" i="69"/>
  <c r="H319" i="69"/>
  <c r="H347" i="69"/>
  <c r="H363" i="69"/>
  <c r="H379" i="69"/>
  <c r="H395" i="69"/>
  <c r="H411" i="69"/>
  <c r="H427" i="69"/>
  <c r="H443" i="69"/>
  <c r="H459" i="69"/>
  <c r="H475" i="69"/>
  <c r="H491" i="69"/>
  <c r="H16" i="69"/>
  <c r="H48" i="69"/>
  <c r="H80" i="69"/>
  <c r="H112" i="69"/>
  <c r="H144" i="69"/>
  <c r="H176" i="69"/>
  <c r="H208" i="69"/>
  <c r="H240" i="69"/>
  <c r="H272" i="69"/>
  <c r="H304" i="69"/>
  <c r="H336" i="69"/>
  <c r="H356" i="69"/>
  <c r="H372" i="69"/>
  <c r="H388" i="69"/>
  <c r="H404" i="69"/>
  <c r="H420" i="69"/>
  <c r="H436" i="69"/>
  <c r="H3" i="69"/>
  <c r="H13" i="69"/>
  <c r="H29" i="69"/>
  <c r="H45" i="69"/>
  <c r="H61" i="69"/>
  <c r="H77" i="69"/>
  <c r="H93" i="69"/>
  <c r="H109" i="69"/>
  <c r="H125" i="69"/>
  <c r="H141" i="69"/>
  <c r="H157" i="69"/>
  <c r="H173" i="69"/>
  <c r="H189" i="69"/>
  <c r="H205" i="69"/>
  <c r="H221" i="69"/>
  <c r="H237" i="69"/>
  <c r="H253" i="69"/>
  <c r="H269" i="69"/>
  <c r="H285" i="69"/>
  <c r="H301" i="69"/>
  <c r="H317" i="69"/>
  <c r="H333" i="69"/>
  <c r="H10" i="69"/>
  <c r="H26" i="69"/>
  <c r="H42" i="69"/>
  <c r="H58" i="69"/>
  <c r="H74" i="69"/>
  <c r="H90" i="69"/>
  <c r="H106" i="69"/>
  <c r="H122" i="69"/>
  <c r="H138" i="69"/>
  <c r="H154" i="69"/>
  <c r="H170" i="69"/>
  <c r="H186" i="69"/>
  <c r="H202" i="69"/>
  <c r="H218" i="69"/>
  <c r="H234" i="69"/>
  <c r="H250" i="69"/>
  <c r="H266" i="69"/>
  <c r="H282" i="69"/>
  <c r="H298" i="69"/>
  <c r="H314" i="69"/>
  <c r="H330" i="69"/>
  <c r="H7" i="69"/>
  <c r="H39" i="69"/>
  <c r="H71" i="69"/>
  <c r="H103" i="69"/>
  <c r="H135" i="69"/>
  <c r="H167" i="69"/>
  <c r="H199" i="69"/>
  <c r="H231" i="69"/>
  <c r="H263" i="69"/>
  <c r="H295" i="69"/>
  <c r="H327" i="69"/>
  <c r="H351" i="69"/>
  <c r="H367" i="69"/>
  <c r="H383" i="69"/>
  <c r="H399" i="69"/>
  <c r="H415" i="69"/>
  <c r="H431" i="69"/>
  <c r="H447" i="69"/>
  <c r="H463" i="69"/>
  <c r="H479" i="69"/>
  <c r="H495" i="69"/>
  <c r="H24" i="69"/>
  <c r="H88" i="69"/>
  <c r="H120" i="69"/>
  <c r="H152" i="69"/>
  <c r="H184" i="69"/>
  <c r="H216" i="69"/>
  <c r="H248" i="69"/>
  <c r="H280" i="69"/>
  <c r="H312" i="69"/>
  <c r="H344" i="69"/>
  <c r="H360" i="69"/>
  <c r="H376" i="69"/>
  <c r="H392" i="69"/>
  <c r="H4" i="69"/>
  <c r="H17" i="69"/>
  <c r="H33" i="69"/>
  <c r="H49" i="69"/>
  <c r="H65" i="69"/>
  <c r="H81" i="69"/>
  <c r="H97" i="69"/>
  <c r="H113" i="69"/>
  <c r="H129" i="69"/>
  <c r="H145" i="69"/>
  <c r="H161" i="69"/>
  <c r="H177" i="69"/>
  <c r="H193" i="69"/>
  <c r="H209" i="69"/>
  <c r="H225" i="69"/>
  <c r="H241" i="69"/>
  <c r="H257" i="69"/>
  <c r="H273" i="69"/>
  <c r="H289" i="69"/>
  <c r="H305" i="69"/>
  <c r="H321" i="69"/>
  <c r="H337" i="69"/>
  <c r="H14" i="69"/>
  <c r="H30" i="69"/>
  <c r="H46" i="69"/>
  <c r="H62" i="69"/>
  <c r="H78" i="69"/>
  <c r="H94" i="69"/>
  <c r="H110" i="69"/>
  <c r="H126" i="69"/>
  <c r="H142" i="69"/>
  <c r="H158" i="69"/>
  <c r="H174" i="69"/>
  <c r="H190" i="69"/>
  <c r="H206" i="69"/>
  <c r="H222" i="69"/>
  <c r="H238" i="69"/>
  <c r="H254" i="69"/>
  <c r="H270" i="69"/>
  <c r="H286" i="69"/>
  <c r="H302" i="69"/>
  <c r="H318" i="69"/>
  <c r="H334" i="69"/>
  <c r="H15" i="69"/>
  <c r="H47" i="69"/>
  <c r="H79" i="69"/>
  <c r="H111" i="69"/>
  <c r="H143" i="69"/>
  <c r="H175" i="69"/>
  <c r="H207" i="69"/>
  <c r="H239" i="69"/>
  <c r="H271" i="69"/>
  <c r="H303" i="69"/>
  <c r="H335" i="69"/>
  <c r="H355" i="69"/>
  <c r="H371" i="69"/>
  <c r="H387" i="69"/>
  <c r="H403" i="69"/>
  <c r="H419" i="69"/>
  <c r="H435" i="69"/>
  <c r="H451" i="69"/>
  <c r="H467" i="69"/>
  <c r="H483" i="69"/>
  <c r="H499" i="69"/>
  <c r="H32" i="69"/>
  <c r="H64" i="69"/>
  <c r="H96" i="69"/>
  <c r="H128" i="69"/>
  <c r="H160" i="69"/>
  <c r="H192" i="69"/>
  <c r="H224" i="69"/>
  <c r="H256" i="69"/>
  <c r="H288" i="69"/>
  <c r="H320" i="69"/>
  <c r="H348" i="69"/>
  <c r="H364" i="69"/>
  <c r="H380" i="69"/>
  <c r="H396" i="69"/>
  <c r="H412" i="69"/>
  <c r="H428" i="69"/>
  <c r="H444" i="69"/>
  <c r="H460" i="69"/>
  <c r="H476" i="69"/>
  <c r="H492" i="69"/>
  <c r="H19" i="69"/>
  <c r="H5" i="69"/>
  <c r="H21" i="69"/>
  <c r="H37" i="69"/>
  <c r="H69" i="69"/>
  <c r="H85" i="69"/>
  <c r="H101" i="69"/>
  <c r="H117" i="69"/>
  <c r="H133" i="69"/>
  <c r="H149" i="69"/>
  <c r="H165" i="69"/>
  <c r="H181" i="69"/>
  <c r="H197" i="69"/>
  <c r="H213" i="69"/>
  <c r="H229" i="69"/>
  <c r="H245" i="69"/>
  <c r="H261" i="69"/>
  <c r="H277" i="69"/>
  <c r="H293" i="69"/>
  <c r="H309" i="69"/>
  <c r="H325" i="69"/>
  <c r="H341" i="69"/>
  <c r="H18" i="69"/>
  <c r="H34" i="69"/>
  <c r="H50" i="69"/>
  <c r="H66" i="69"/>
  <c r="H82" i="69"/>
  <c r="H98" i="69"/>
  <c r="H114" i="69"/>
  <c r="H130" i="69"/>
  <c r="H146" i="69"/>
  <c r="H162" i="69"/>
  <c r="H178" i="69"/>
  <c r="H194" i="69"/>
  <c r="H210" i="69"/>
  <c r="H226" i="69"/>
  <c r="H242" i="69"/>
  <c r="H258" i="69"/>
  <c r="H274" i="69"/>
  <c r="H290" i="69"/>
  <c r="H306" i="69"/>
  <c r="H322" i="69"/>
  <c r="H338" i="69"/>
  <c r="H23" i="69"/>
  <c r="H87" i="69"/>
  <c r="H119" i="69"/>
  <c r="H151" i="69"/>
  <c r="H183" i="69"/>
  <c r="H215" i="69"/>
  <c r="H247" i="69"/>
  <c r="H279" i="69"/>
  <c r="H311" i="69"/>
  <c r="H343" i="69"/>
  <c r="H359" i="69"/>
  <c r="H375" i="69"/>
  <c r="H391" i="69"/>
  <c r="H407" i="69"/>
  <c r="H423" i="69"/>
  <c r="H439" i="69"/>
  <c r="H455" i="69"/>
  <c r="H471" i="69"/>
  <c r="H487" i="69"/>
  <c r="H8" i="69"/>
  <c r="H40" i="69"/>
  <c r="H72" i="69"/>
  <c r="H104" i="69"/>
  <c r="H136" i="69"/>
  <c r="H168" i="69"/>
  <c r="H200" i="69"/>
  <c r="H232" i="69"/>
  <c r="H264" i="69"/>
  <c r="H296" i="69"/>
  <c r="H328" i="69"/>
  <c r="H400" i="69"/>
  <c r="H432" i="69"/>
  <c r="H456" i="69"/>
  <c r="H480" i="69"/>
  <c r="H500" i="69"/>
  <c r="H43" i="69"/>
  <c r="H75" i="69"/>
  <c r="H107" i="69"/>
  <c r="H139" i="69"/>
  <c r="H171" i="69"/>
  <c r="H203" i="69"/>
  <c r="H235" i="69"/>
  <c r="H267" i="69"/>
  <c r="H299" i="69"/>
  <c r="H331" i="69"/>
  <c r="H353" i="69"/>
  <c r="H369" i="69"/>
  <c r="H385" i="69"/>
  <c r="H401" i="69"/>
  <c r="H417" i="69"/>
  <c r="H433" i="69"/>
  <c r="H449" i="69"/>
  <c r="H465" i="69"/>
  <c r="H481" i="69"/>
  <c r="H497" i="69"/>
  <c r="H28" i="69"/>
  <c r="H60" i="69"/>
  <c r="H116" i="69"/>
  <c r="H244" i="69"/>
  <c r="H358" i="69"/>
  <c r="H422" i="69"/>
  <c r="H486" i="69"/>
  <c r="H188" i="69"/>
  <c r="H316" i="69"/>
  <c r="H394" i="69"/>
  <c r="H458" i="69"/>
  <c r="H132" i="69"/>
  <c r="H260" i="69"/>
  <c r="H366" i="69"/>
  <c r="H430" i="69"/>
  <c r="H494" i="69"/>
  <c r="H204" i="69"/>
  <c r="H332" i="69"/>
  <c r="H402" i="69"/>
  <c r="H466" i="69"/>
  <c r="H352" i="69"/>
  <c r="H408" i="69"/>
  <c r="H440" i="69"/>
  <c r="H464" i="69"/>
  <c r="H484" i="69"/>
  <c r="H11" i="69"/>
  <c r="H51" i="69"/>
  <c r="H83" i="69"/>
  <c r="H115" i="69"/>
  <c r="H147" i="69"/>
  <c r="H179" i="69"/>
  <c r="H211" i="69"/>
  <c r="H243" i="69"/>
  <c r="H275" i="69"/>
  <c r="H307" i="69"/>
  <c r="H339" i="69"/>
  <c r="H357" i="69"/>
  <c r="H373" i="69"/>
  <c r="H389" i="69"/>
  <c r="H405" i="69"/>
  <c r="H421" i="69"/>
  <c r="H437" i="69"/>
  <c r="H453" i="69"/>
  <c r="H469" i="69"/>
  <c r="H485" i="69"/>
  <c r="H2" i="69"/>
  <c r="H36" i="69"/>
  <c r="H68" i="69"/>
  <c r="H148" i="69"/>
  <c r="H276" i="69"/>
  <c r="H374" i="69"/>
  <c r="H438" i="69"/>
  <c r="H92" i="69"/>
  <c r="H220" i="69"/>
  <c r="H346" i="69"/>
  <c r="H410" i="69"/>
  <c r="H474" i="69"/>
  <c r="H164" i="69"/>
  <c r="H292" i="69"/>
  <c r="H382" i="69"/>
  <c r="H446" i="69"/>
  <c r="H108" i="69"/>
  <c r="H236" i="69"/>
  <c r="H354" i="69"/>
  <c r="H418" i="69"/>
  <c r="H482" i="69"/>
  <c r="H368" i="69"/>
  <c r="H416" i="69"/>
  <c r="H448" i="69"/>
  <c r="H468" i="69"/>
  <c r="H488" i="69"/>
  <c r="H27" i="69"/>
  <c r="H59" i="69"/>
  <c r="H91" i="69"/>
  <c r="H123" i="69"/>
  <c r="H155" i="69"/>
  <c r="H187" i="69"/>
  <c r="H219" i="69"/>
  <c r="H251" i="69"/>
  <c r="H283" i="69"/>
  <c r="H315" i="69"/>
  <c r="H345" i="69"/>
  <c r="H361" i="69"/>
  <c r="H377" i="69"/>
  <c r="H393" i="69"/>
  <c r="H409" i="69"/>
  <c r="H425" i="69"/>
  <c r="H441" i="69"/>
  <c r="H457" i="69"/>
  <c r="H473" i="69"/>
  <c r="H489" i="69"/>
  <c r="H12" i="69"/>
  <c r="H44" i="69"/>
  <c r="H76" i="69"/>
  <c r="H180" i="69"/>
  <c r="H308" i="69"/>
  <c r="H390" i="69"/>
  <c r="H454" i="69"/>
  <c r="H124" i="69"/>
  <c r="H252" i="69"/>
  <c r="H362" i="69"/>
  <c r="H426" i="69"/>
  <c r="H490" i="69"/>
  <c r="H196" i="69"/>
  <c r="H324" i="69"/>
  <c r="H398" i="69"/>
  <c r="H462" i="69"/>
  <c r="H140" i="69"/>
  <c r="H268" i="69"/>
  <c r="H370" i="69"/>
  <c r="H434" i="69"/>
  <c r="H498" i="69"/>
  <c r="H384" i="69"/>
  <c r="H424" i="69"/>
  <c r="H452" i="69"/>
  <c r="H472" i="69"/>
  <c r="H496" i="69"/>
  <c r="H35" i="69"/>
  <c r="H67" i="69"/>
  <c r="H99" i="69"/>
  <c r="H131" i="69"/>
  <c r="H163" i="69"/>
  <c r="H195" i="69"/>
  <c r="H227" i="69"/>
  <c r="H259" i="69"/>
  <c r="H291" i="69"/>
  <c r="H323" i="69"/>
  <c r="H349" i="69"/>
  <c r="H365" i="69"/>
  <c r="H381" i="69"/>
  <c r="H397" i="69"/>
  <c r="H413" i="69"/>
  <c r="H429" i="69"/>
  <c r="H445" i="69"/>
  <c r="H461" i="69"/>
  <c r="H477" i="69"/>
  <c r="H493" i="69"/>
  <c r="H20" i="69"/>
  <c r="H84" i="69"/>
  <c r="H212" i="69"/>
  <c r="H340" i="69"/>
  <c r="H406" i="69"/>
  <c r="H470" i="69"/>
  <c r="H156" i="69"/>
  <c r="H284" i="69"/>
  <c r="H378" i="69"/>
  <c r="H442" i="69"/>
  <c r="H100" i="69"/>
  <c r="H228" i="69"/>
  <c r="H350" i="69"/>
  <c r="H414" i="69"/>
  <c r="H478" i="69"/>
  <c r="H172" i="69"/>
  <c r="H300" i="69"/>
  <c r="H386" i="69"/>
  <c r="H450" i="69"/>
  <c r="AC47" i="38"/>
  <c r="G47" i="38"/>
  <c r="S189" i="11"/>
  <c r="S178" i="11"/>
  <c r="S481" i="11"/>
  <c r="Z78" i="49"/>
  <c r="S473" i="11"/>
  <c r="T376" i="11"/>
  <c r="S268" i="11"/>
  <c r="S273" i="11"/>
  <c r="Z307" i="49"/>
  <c r="Z70" i="49"/>
  <c r="Z43" i="49"/>
  <c r="S366" i="11"/>
  <c r="T334" i="11"/>
  <c r="T306" i="11"/>
  <c r="T286" i="11"/>
  <c r="T285" i="11"/>
  <c r="Z292" i="49"/>
  <c r="Z279" i="49"/>
  <c r="T473" i="11"/>
  <c r="T449" i="11"/>
  <c r="S441" i="11"/>
  <c r="T441" i="11"/>
  <c r="S413" i="11"/>
  <c r="T362" i="11"/>
  <c r="S358" i="11"/>
  <c r="T282" i="11"/>
  <c r="Z318" i="49"/>
  <c r="Z89" i="49"/>
  <c r="Z73" i="49"/>
  <c r="S483" i="11"/>
  <c r="S485" i="11"/>
  <c r="X102" i="38"/>
  <c r="Z102" i="38" s="1"/>
  <c r="X105" i="38"/>
  <c r="Z105" i="38" s="1"/>
  <c r="X130" i="38"/>
  <c r="Z130" i="38" s="1"/>
  <c r="X138" i="38"/>
  <c r="Z138" i="38" s="1"/>
  <c r="X123" i="38"/>
  <c r="Z123" i="38" s="1"/>
  <c r="AC137" i="38"/>
  <c r="X73" i="38"/>
  <c r="Z73" i="38" s="1"/>
  <c r="X132" i="38"/>
  <c r="Z132" i="38" s="1"/>
  <c r="Z251" i="49"/>
  <c r="T401" i="11"/>
  <c r="T386" i="11"/>
  <c r="T274" i="11"/>
  <c r="T266" i="11"/>
  <c r="T342" i="11"/>
  <c r="Z291" i="49"/>
  <c r="T302" i="11"/>
  <c r="Z40" i="49"/>
  <c r="Z53" i="49"/>
  <c r="S169" i="11"/>
  <c r="Z83" i="49"/>
  <c r="Z108" i="49"/>
  <c r="AB108" i="49" s="1"/>
  <c r="S138" i="11"/>
  <c r="T325" i="11"/>
  <c r="T384" i="11"/>
  <c r="Z52" i="49"/>
  <c r="Z271" i="49"/>
  <c r="Z123" i="49"/>
  <c r="Z119" i="49"/>
  <c r="S126" i="11"/>
  <c r="T368" i="11"/>
  <c r="Z241" i="49"/>
  <c r="Z139" i="49"/>
  <c r="Z12" i="49"/>
  <c r="Z113" i="49"/>
  <c r="T407" i="11"/>
  <c r="T345" i="11"/>
  <c r="Z41" i="49"/>
  <c r="Z313" i="49"/>
  <c r="Z234" i="49"/>
  <c r="Z186" i="49"/>
  <c r="Z182" i="49"/>
  <c r="Z166" i="49"/>
  <c r="Z162" i="49"/>
  <c r="Z158" i="49"/>
  <c r="Z150" i="49"/>
  <c r="T388" i="11"/>
  <c r="T344" i="11"/>
  <c r="S141" i="11"/>
  <c r="S213" i="11"/>
  <c r="T472" i="11"/>
  <c r="Z174" i="49"/>
  <c r="Z164" i="49"/>
  <c r="T468" i="11"/>
  <c r="S274" i="11"/>
  <c r="T444" i="11"/>
  <c r="S209" i="11"/>
  <c r="S266" i="11"/>
  <c r="V396" i="11"/>
  <c r="V357" i="11"/>
  <c r="V368" i="11"/>
  <c r="V478" i="11"/>
  <c r="V375" i="11"/>
  <c r="V367" i="11"/>
  <c r="V351" i="11"/>
  <c r="V361" i="11"/>
  <c r="V240" i="11"/>
  <c r="V471" i="11"/>
  <c r="V467" i="11"/>
  <c r="V455" i="11"/>
  <c r="V447" i="11"/>
  <c r="V443" i="11"/>
  <c r="V419" i="11"/>
  <c r="V407" i="11"/>
  <c r="V399" i="11"/>
  <c r="V395" i="11"/>
  <c r="V379" i="11"/>
  <c r="V371" i="11"/>
  <c r="V355" i="11"/>
  <c r="V339" i="11"/>
  <c r="V224" i="11"/>
  <c r="V301" i="11"/>
  <c r="V392" i="11"/>
  <c r="V487" i="11"/>
  <c r="V440" i="11"/>
  <c r="V448" i="11"/>
  <c r="V297" i="11"/>
  <c r="V385" i="11"/>
  <c r="V273" i="11"/>
  <c r="BC411" i="14"/>
  <c r="BF411" i="14" s="1"/>
  <c r="I26" i="11"/>
  <c r="T27" i="11" s="1"/>
  <c r="R49" i="11"/>
  <c r="M65" i="11"/>
  <c r="S177" i="11"/>
  <c r="M66" i="11"/>
  <c r="M42" i="11"/>
  <c r="M24" i="11"/>
  <c r="M16" i="11"/>
  <c r="N92" i="11"/>
  <c r="N90" i="11"/>
  <c r="N88" i="11"/>
  <c r="N75" i="11"/>
  <c r="N65" i="11"/>
  <c r="N61" i="11"/>
  <c r="N57" i="11"/>
  <c r="N55" i="11"/>
  <c r="N43" i="11"/>
  <c r="N41" i="11"/>
  <c r="N15" i="11"/>
  <c r="N13" i="11"/>
  <c r="M50" i="11"/>
  <c r="M34" i="11"/>
  <c r="M20" i="11"/>
  <c r="M12" i="11"/>
  <c r="M91" i="11"/>
  <c r="BC391" i="14"/>
  <c r="BF391" i="14" s="1"/>
  <c r="BD246" i="14"/>
  <c r="BD242" i="14"/>
  <c r="BD238" i="14"/>
  <c r="BD234" i="14"/>
  <c r="BD230" i="14"/>
  <c r="BD226" i="14"/>
  <c r="BD222" i="14"/>
  <c r="BD218" i="14"/>
  <c r="BD214" i="14"/>
  <c r="BD210" i="14"/>
  <c r="BD206" i="14"/>
  <c r="BD202" i="14"/>
  <c r="BD198" i="14"/>
  <c r="BD194" i="14"/>
  <c r="BD190" i="14"/>
  <c r="BD186" i="14"/>
  <c r="BD182" i="14"/>
  <c r="BD178" i="14"/>
  <c r="BD174" i="14"/>
  <c r="BD170" i="14"/>
  <c r="BD166" i="14"/>
  <c r="BD162" i="14"/>
  <c r="BD158" i="14"/>
  <c r="BD154" i="14"/>
  <c r="BD150" i="14"/>
  <c r="BD146" i="14"/>
  <c r="BD142" i="14"/>
  <c r="BD138" i="14"/>
  <c r="BD134" i="14"/>
  <c r="BD130" i="14"/>
  <c r="BD126" i="14"/>
  <c r="BD122" i="14"/>
  <c r="BD118" i="14"/>
  <c r="BD114" i="14"/>
  <c r="BD110" i="14"/>
  <c r="BD106" i="14"/>
  <c r="BD102" i="14"/>
  <c r="AB479" i="14"/>
  <c r="L87" i="11"/>
  <c r="L84" i="11"/>
  <c r="L80" i="11"/>
  <c r="L76" i="11"/>
  <c r="L52" i="11"/>
  <c r="L44" i="11"/>
  <c r="L12" i="11"/>
  <c r="K15" i="11"/>
  <c r="M31" i="11"/>
  <c r="M17" i="11"/>
  <c r="M27" i="11"/>
  <c r="L6" i="11"/>
  <c r="M64" i="11"/>
  <c r="M92" i="11"/>
  <c r="I101" i="11"/>
  <c r="M95" i="11"/>
  <c r="K104" i="11"/>
  <c r="L97" i="11"/>
  <c r="L93" i="11"/>
  <c r="L89" i="11"/>
  <c r="L86" i="11"/>
  <c r="L70" i="11"/>
  <c r="L66" i="11"/>
  <c r="L62" i="11"/>
  <c r="L58" i="11"/>
  <c r="L50" i="11"/>
  <c r="L46" i="11"/>
  <c r="L42" i="11"/>
  <c r="L38" i="11"/>
  <c r="L30" i="11"/>
  <c r="L26" i="11"/>
  <c r="L14" i="11"/>
  <c r="L100" i="11"/>
  <c r="M83" i="11"/>
  <c r="N101" i="11"/>
  <c r="M93" i="11"/>
  <c r="O104" i="11"/>
  <c r="M32" i="11"/>
  <c r="T464" i="11"/>
  <c r="V337" i="11"/>
  <c r="R88" i="11"/>
  <c r="T88" i="11" s="1"/>
  <c r="R45" i="11"/>
  <c r="S46" i="11" s="1"/>
  <c r="S105" i="11"/>
  <c r="N104" i="11"/>
  <c r="T452" i="11"/>
  <c r="Z22" i="49"/>
  <c r="Z296" i="49"/>
  <c r="AB296" i="49" s="1"/>
  <c r="V324" i="11"/>
  <c r="T309" i="11"/>
  <c r="V353" i="11"/>
  <c r="V241" i="11"/>
  <c r="Z300" i="49"/>
  <c r="Z297" i="49"/>
  <c r="Z287" i="49"/>
  <c r="Z47" i="49"/>
  <c r="T322" i="11"/>
  <c r="S39" i="11"/>
  <c r="T448" i="11"/>
  <c r="Z306" i="49"/>
  <c r="Z312" i="49"/>
  <c r="T326" i="11"/>
  <c r="T269" i="11"/>
  <c r="T237" i="11"/>
  <c r="S256" i="11"/>
  <c r="Z277" i="49"/>
  <c r="T489" i="11"/>
  <c r="S469" i="11"/>
  <c r="S465" i="11"/>
  <c r="T461" i="11"/>
  <c r="S453" i="11"/>
  <c r="S429" i="11"/>
  <c r="S425" i="11"/>
  <c r="S409" i="11"/>
  <c r="T409" i="11"/>
  <c r="T393" i="11"/>
  <c r="V383" i="11"/>
  <c r="S370" i="11"/>
  <c r="T253" i="11"/>
  <c r="S288" i="11"/>
  <c r="Z276" i="49"/>
  <c r="Z179" i="49"/>
  <c r="Z156" i="49"/>
  <c r="Z124" i="49"/>
  <c r="Z8" i="49"/>
  <c r="Z100" i="49"/>
  <c r="Z21" i="49"/>
  <c r="S117" i="11"/>
  <c r="T338" i="11"/>
  <c r="T420" i="11"/>
  <c r="T487" i="11"/>
  <c r="T479" i="11"/>
  <c r="S284" i="11"/>
  <c r="V463" i="11"/>
  <c r="S285" i="11"/>
  <c r="S230" i="11"/>
  <c r="S153" i="11"/>
  <c r="S121" i="11"/>
  <c r="S129" i="11"/>
  <c r="Z48" i="49"/>
  <c r="V480" i="11"/>
  <c r="T423" i="11"/>
  <c r="T333" i="11"/>
  <c r="S214" i="11"/>
  <c r="S201" i="11"/>
  <c r="T467" i="11"/>
  <c r="T456" i="11"/>
  <c r="S118" i="11"/>
  <c r="S241" i="11"/>
  <c r="S238" i="11"/>
  <c r="Z247" i="49"/>
  <c r="S193" i="11"/>
  <c r="T348" i="11"/>
  <c r="S9" i="11"/>
  <c r="S229" i="11"/>
  <c r="S251" i="11"/>
  <c r="S272" i="11"/>
  <c r="S234" i="11"/>
  <c r="S239" i="11"/>
  <c r="Z68" i="49"/>
  <c r="V459" i="11"/>
  <c r="V451" i="11"/>
  <c r="V427" i="11"/>
  <c r="V423" i="11"/>
  <c r="V403" i="11"/>
  <c r="V391" i="11"/>
  <c r="V347" i="11"/>
  <c r="T330" i="11"/>
  <c r="T273" i="11"/>
  <c r="T250" i="11"/>
  <c r="T242" i="11"/>
  <c r="S67" i="11"/>
  <c r="S154" i="11"/>
  <c r="S190" i="11"/>
  <c r="Z260" i="49"/>
  <c r="Z103" i="49"/>
  <c r="T310" i="11"/>
  <c r="T258" i="11"/>
  <c r="T314" i="11"/>
  <c r="S43" i="11"/>
  <c r="V153" i="11"/>
  <c r="Z268" i="49"/>
  <c r="Z255" i="49"/>
  <c r="Z142" i="49"/>
  <c r="Z138" i="49"/>
  <c r="Z134" i="49"/>
  <c r="Z111" i="49"/>
  <c r="Z167" i="49"/>
  <c r="Z151" i="49"/>
  <c r="Z131" i="49"/>
  <c r="Z16" i="49"/>
  <c r="T480" i="11"/>
  <c r="T455" i="11"/>
  <c r="V470" i="11"/>
  <c r="V466" i="11"/>
  <c r="V458" i="11"/>
  <c r="V446" i="11"/>
  <c r="V442" i="11"/>
  <c r="V438" i="11"/>
  <c r="V434" i="11"/>
  <c r="V430" i="11"/>
  <c r="V422" i="11"/>
  <c r="V418" i="11"/>
  <c r="V414" i="11"/>
  <c r="V406" i="11"/>
  <c r="V398" i="11"/>
  <c r="V394" i="11"/>
  <c r="V390" i="11"/>
  <c r="V400" i="11"/>
  <c r="V305" i="11"/>
  <c r="V460" i="11"/>
  <c r="V341" i="11"/>
  <c r="V281" i="11"/>
  <c r="V249" i="11"/>
  <c r="V358" i="11"/>
  <c r="V345" i="11"/>
  <c r="V388" i="11"/>
  <c r="V265" i="11"/>
  <c r="V325" i="11"/>
  <c r="V169" i="11"/>
  <c r="V486" i="11"/>
  <c r="V432" i="11"/>
  <c r="V360" i="11"/>
  <c r="V308" i="11"/>
  <c r="V389" i="11"/>
  <c r="V356" i="11"/>
  <c r="V336" i="11"/>
  <c r="V316" i="11"/>
  <c r="V277" i="11"/>
  <c r="V380" i="11"/>
  <c r="V221" i="11"/>
  <c r="V309" i="11"/>
  <c r="V475" i="11"/>
  <c r="V332" i="11"/>
  <c r="V420" i="11"/>
  <c r="V468" i="11"/>
  <c r="V452" i="11"/>
  <c r="V321" i="11"/>
  <c r="V293" i="11"/>
  <c r="V197" i="11"/>
  <c r="V189" i="11"/>
  <c r="V483" i="11"/>
  <c r="V479" i="11"/>
  <c r="V464" i="11"/>
  <c r="V376" i="11"/>
  <c r="V344" i="11"/>
  <c r="V444" i="11"/>
  <c r="V372" i="11"/>
  <c r="V320" i="11"/>
  <c r="V329" i="11"/>
  <c r="V313" i="11"/>
  <c r="V307" i="11"/>
  <c r="V285" i="11"/>
  <c r="V269" i="11"/>
  <c r="V253" i="11"/>
  <c r="V333" i="11"/>
  <c r="V183" i="11"/>
  <c r="V424" i="11"/>
  <c r="V373" i="11"/>
  <c r="V364" i="11"/>
  <c r="V365" i="11"/>
  <c r="V317" i="11"/>
  <c r="V428" i="11"/>
  <c r="V328" i="11"/>
  <c r="Z6" i="49"/>
  <c r="V289" i="11"/>
  <c r="BC480" i="14"/>
  <c r="BG480" i="14" s="1"/>
  <c r="O103" i="11"/>
  <c r="V225" i="11"/>
  <c r="I103" i="11"/>
  <c r="V488" i="11"/>
  <c r="V412" i="11"/>
  <c r="V205" i="11"/>
  <c r="V209" i="11"/>
  <c r="V416" i="11"/>
  <c r="V456" i="11"/>
  <c r="V304" i="11"/>
  <c r="S185" i="11"/>
  <c r="Z44" i="49"/>
  <c r="T364" i="11"/>
  <c r="T352" i="11"/>
  <c r="T439" i="11"/>
  <c r="S291" i="11"/>
  <c r="S221" i="11"/>
  <c r="S186" i="11"/>
  <c r="S166" i="11"/>
  <c r="S264" i="11"/>
  <c r="S130" i="11"/>
  <c r="S222" i="11"/>
  <c r="S182" i="11"/>
  <c r="S194" i="11"/>
  <c r="S109" i="11"/>
  <c r="S242" i="11"/>
  <c r="T424" i="11"/>
  <c r="T484" i="11"/>
  <c r="T340" i="11"/>
  <c r="S457" i="11"/>
  <c r="S437" i="11"/>
  <c r="S405" i="11"/>
  <c r="V343" i="11"/>
  <c r="V335" i="11"/>
  <c r="T370" i="11"/>
  <c r="V340" i="11"/>
  <c r="V369" i="11"/>
  <c r="V352" i="11"/>
  <c r="S279" i="11"/>
  <c r="S47" i="11"/>
  <c r="T440" i="11"/>
  <c r="S125" i="11"/>
  <c r="T373" i="11"/>
  <c r="Z263" i="49"/>
  <c r="Z242" i="49"/>
  <c r="Z188" i="49"/>
  <c r="Z116" i="49"/>
  <c r="Z71" i="49"/>
  <c r="Z104" i="49"/>
  <c r="Z96" i="49"/>
  <c r="T428" i="11"/>
  <c r="T305" i="11"/>
  <c r="T341" i="11"/>
  <c r="T329" i="11"/>
  <c r="S489" i="11"/>
  <c r="T457" i="11"/>
  <c r="T429" i="11"/>
  <c r="T417" i="11"/>
  <c r="S393" i="11"/>
  <c r="Z90" i="49"/>
  <c r="Z86" i="49"/>
  <c r="V426" i="11"/>
  <c r="V410" i="11"/>
  <c r="S99" i="11"/>
  <c r="S265" i="11"/>
  <c r="S252" i="11"/>
  <c r="S240" i="11"/>
  <c r="Z274" i="49"/>
  <c r="Z262" i="49"/>
  <c r="Z237" i="49"/>
  <c r="Z159" i="49"/>
  <c r="Z121" i="49"/>
  <c r="V484" i="11"/>
  <c r="V439" i="11"/>
  <c r="V435" i="11"/>
  <c r="V431" i="11"/>
  <c r="V415" i="11"/>
  <c r="V411" i="11"/>
  <c r="V387" i="11"/>
  <c r="V363" i="11"/>
  <c r="T485" i="11"/>
  <c r="S353" i="11"/>
  <c r="S354" i="11"/>
  <c r="V348" i="11"/>
  <c r="Z317" i="49"/>
  <c r="Z190" i="49"/>
  <c r="Z170" i="49"/>
  <c r="Z154" i="49"/>
  <c r="Z146" i="49"/>
  <c r="Z132" i="49"/>
  <c r="Z115" i="49"/>
  <c r="S81" i="11"/>
  <c r="Z45" i="49"/>
  <c r="S113" i="11"/>
  <c r="T460" i="11"/>
  <c r="T337" i="11"/>
  <c r="T308" i="11"/>
  <c r="S283" i="11"/>
  <c r="S218" i="11"/>
  <c r="S287" i="11"/>
  <c r="S165" i="11"/>
  <c r="S233" i="11"/>
  <c r="Z109" i="49"/>
  <c r="V187" i="11"/>
  <c r="Z160" i="49"/>
  <c r="S206" i="11"/>
  <c r="S110" i="11"/>
  <c r="S149" i="11"/>
  <c r="Z149" i="49"/>
  <c r="Z17" i="49"/>
  <c r="T389" i="11"/>
  <c r="V302" i="11"/>
  <c r="V211" i="11"/>
  <c r="Z157" i="49"/>
  <c r="Z14" i="49"/>
  <c r="S225" i="11"/>
  <c r="S161" i="11"/>
  <c r="Z33" i="49"/>
  <c r="T408" i="11"/>
  <c r="S170" i="11"/>
  <c r="S150" i="11"/>
  <c r="S275" i="11"/>
  <c r="S259" i="11"/>
  <c r="S226" i="11"/>
  <c r="S210" i="11"/>
  <c r="S243" i="11"/>
  <c r="S271" i="11"/>
  <c r="T395" i="11"/>
  <c r="S235" i="11"/>
  <c r="Z125" i="49"/>
  <c r="Z101" i="49"/>
  <c r="V454" i="11"/>
  <c r="V402" i="11"/>
  <c r="T346" i="11"/>
  <c r="V323" i="11"/>
  <c r="T294" i="11"/>
  <c r="T278" i="11"/>
  <c r="T270" i="11"/>
  <c r="T262" i="11"/>
  <c r="T254" i="11"/>
  <c r="T246" i="11"/>
  <c r="T238" i="11"/>
  <c r="S19" i="11"/>
  <c r="T488" i="11"/>
  <c r="T358" i="11"/>
  <c r="S75" i="11"/>
  <c r="S270" i="11"/>
  <c r="S162" i="11"/>
  <c r="Z140" i="49"/>
  <c r="Z120" i="49"/>
  <c r="Z64" i="49"/>
  <c r="Z7" i="49"/>
  <c r="Z79" i="49"/>
  <c r="V384" i="11"/>
  <c r="V312" i="11"/>
  <c r="V300" i="11"/>
  <c r="S295" i="11"/>
  <c r="T432" i="11"/>
  <c r="T336" i="11"/>
  <c r="S205" i="11"/>
  <c r="S173" i="11"/>
  <c r="S146" i="11"/>
  <c r="S106" i="11"/>
  <c r="T321" i="11"/>
  <c r="T443" i="11"/>
  <c r="Z99" i="49"/>
  <c r="T385" i="11"/>
  <c r="V338" i="11"/>
  <c r="Z283" i="49"/>
  <c r="Z81" i="49"/>
  <c r="Z74" i="49"/>
  <c r="Z27" i="49"/>
  <c r="V408" i="11"/>
  <c r="T298" i="11"/>
  <c r="S247" i="11"/>
  <c r="Z270" i="49"/>
  <c r="Z266" i="49"/>
  <c r="Z258" i="49"/>
  <c r="Z250" i="49"/>
  <c r="Z246" i="49"/>
  <c r="Z267" i="49"/>
  <c r="Z175" i="49"/>
  <c r="Z37" i="49"/>
  <c r="Z259" i="49"/>
  <c r="Z169" i="49"/>
  <c r="Z135" i="49"/>
  <c r="Z261" i="49"/>
  <c r="Z177" i="49"/>
  <c r="Z114" i="49"/>
  <c r="V179" i="11"/>
  <c r="Z168" i="49"/>
  <c r="Z29" i="49"/>
  <c r="V207" i="11"/>
  <c r="Z57" i="49"/>
  <c r="T463" i="11"/>
  <c r="Z257" i="49"/>
  <c r="Z249" i="49"/>
  <c r="Z173" i="49"/>
  <c r="Z112" i="49"/>
  <c r="Z153" i="49"/>
  <c r="Z253" i="49"/>
  <c r="Z165" i="49"/>
  <c r="Z117" i="49"/>
  <c r="Z152" i="49"/>
  <c r="Z126" i="49"/>
  <c r="Z13" i="49"/>
  <c r="Z275" i="49"/>
  <c r="Z243" i="49"/>
  <c r="Z193" i="49"/>
  <c r="Z11" i="49"/>
  <c r="AB11" i="49" s="1"/>
  <c r="T403" i="11"/>
  <c r="T391" i="11"/>
  <c r="M70" i="11"/>
  <c r="M58" i="11"/>
  <c r="Z72" i="49"/>
  <c r="M86" i="11"/>
  <c r="T392" i="11"/>
  <c r="Z269" i="49"/>
  <c r="Z244" i="49"/>
  <c r="Z185" i="49"/>
  <c r="Z180" i="49"/>
  <c r="Z161" i="49"/>
  <c r="Z145" i="49"/>
  <c r="Z137" i="49"/>
  <c r="Z56" i="49"/>
  <c r="Z32" i="49"/>
  <c r="T451" i="11"/>
  <c r="T404" i="11"/>
  <c r="Z36" i="49"/>
  <c r="V472" i="11"/>
  <c r="R29" i="11"/>
  <c r="T29" i="11" s="1"/>
  <c r="R17" i="11"/>
  <c r="S18" i="11" s="1"/>
  <c r="M101" i="11"/>
  <c r="M89" i="11"/>
  <c r="Z235" i="49"/>
  <c r="K70" i="11"/>
  <c r="R41" i="11"/>
  <c r="S42" i="11" s="1"/>
  <c r="L95" i="11"/>
  <c r="L91" i="11"/>
  <c r="L72" i="11"/>
  <c r="L68" i="11"/>
  <c r="L64" i="11"/>
  <c r="L32" i="11"/>
  <c r="L24" i="11"/>
  <c r="L16" i="11"/>
  <c r="O37" i="11"/>
  <c r="N96" i="11"/>
  <c r="N94" i="11"/>
  <c r="N83" i="11"/>
  <c r="N81" i="11"/>
  <c r="N79" i="11"/>
  <c r="N77" i="11"/>
  <c r="N73" i="11"/>
  <c r="N69" i="11"/>
  <c r="N67" i="11"/>
  <c r="N49" i="11"/>
  <c r="N39" i="11"/>
  <c r="N35" i="11"/>
  <c r="N29" i="11"/>
  <c r="N27" i="11"/>
  <c r="N25" i="11"/>
  <c r="N23" i="11"/>
  <c r="N19" i="11"/>
  <c r="N17" i="11"/>
  <c r="N11" i="11"/>
  <c r="N9" i="11"/>
  <c r="N5" i="11"/>
  <c r="M99" i="11"/>
  <c r="M45" i="11"/>
  <c r="T427" i="11"/>
  <c r="T476" i="11"/>
  <c r="V476" i="11"/>
  <c r="V436" i="11"/>
  <c r="T436" i="11"/>
  <c r="Z18" i="49"/>
  <c r="AB19" i="49" s="1"/>
  <c r="Z10" i="49"/>
  <c r="T377" i="11"/>
  <c r="V377" i="11"/>
  <c r="T349" i="11"/>
  <c r="V349" i="11"/>
  <c r="T381" i="11"/>
  <c r="V381" i="11"/>
  <c r="S376" i="11"/>
  <c r="S360" i="11"/>
  <c r="S344" i="11"/>
  <c r="V404" i="11"/>
  <c r="S477" i="11"/>
  <c r="S433" i="11"/>
  <c r="T405" i="11"/>
  <c r="S401" i="11"/>
  <c r="V359" i="11"/>
  <c r="T366" i="11"/>
  <c r="T477" i="11"/>
  <c r="Z245" i="49"/>
  <c r="Z265" i="49"/>
  <c r="Z256" i="49"/>
  <c r="Z264" i="49"/>
  <c r="Z192" i="49"/>
  <c r="Z183" i="49"/>
  <c r="Z181" i="49"/>
  <c r="Z141" i="49"/>
  <c r="Z118" i="49"/>
  <c r="S461" i="11"/>
  <c r="S449" i="11"/>
  <c r="T421" i="11"/>
  <c r="S417" i="11"/>
  <c r="Z319" i="49"/>
  <c r="V462" i="11"/>
  <c r="V450" i="11"/>
  <c r="T374" i="11"/>
  <c r="Z273" i="49"/>
  <c r="Z252" i="49"/>
  <c r="Z238" i="49"/>
  <c r="Z163" i="49"/>
  <c r="Z15" i="49"/>
  <c r="Z49" i="49"/>
  <c r="T382" i="11"/>
  <c r="T350" i="11"/>
  <c r="T378" i="11"/>
  <c r="T318" i="11"/>
  <c r="T290" i="11"/>
  <c r="BC484" i="14"/>
  <c r="BK484" i="14" s="1"/>
  <c r="BC468" i="14"/>
  <c r="BG468" i="14" s="1"/>
  <c r="BC460" i="14"/>
  <c r="BF460" i="14" s="1"/>
  <c r="BC452" i="14"/>
  <c r="BI452" i="14" s="1"/>
  <c r="BC444" i="14"/>
  <c r="BK444" i="14" s="1"/>
  <c r="BC436" i="14"/>
  <c r="BJ436" i="14" s="1"/>
  <c r="BC428" i="14"/>
  <c r="BG428" i="14" s="1"/>
  <c r="BC420" i="14"/>
  <c r="BJ420" i="14" s="1"/>
  <c r="T365" i="11"/>
  <c r="T317" i="11"/>
  <c r="L3" i="11"/>
  <c r="AB439" i="14"/>
  <c r="AB459" i="14"/>
  <c r="Z176" i="49"/>
  <c r="Z60" i="49"/>
  <c r="AB467" i="14"/>
  <c r="V318" i="11"/>
  <c r="M82" i="11"/>
  <c r="S38" i="11"/>
  <c r="T208" i="11"/>
  <c r="T176" i="11"/>
  <c r="T144" i="11"/>
  <c r="T112" i="11"/>
  <c r="I100" i="11"/>
  <c r="L82" i="11"/>
  <c r="L78" i="11"/>
  <c r="L74" i="11"/>
  <c r="L54" i="11"/>
  <c r="L34" i="11"/>
  <c r="L22" i="11"/>
  <c r="L18" i="11"/>
  <c r="L10" i="11"/>
  <c r="M61" i="11"/>
  <c r="M53" i="11"/>
  <c r="M7" i="11"/>
  <c r="Z130" i="49"/>
  <c r="Z105" i="49"/>
  <c r="Z65" i="49"/>
  <c r="Z61" i="49"/>
  <c r="T419" i="11"/>
  <c r="I5" i="11"/>
  <c r="R30" i="11"/>
  <c r="T30" i="11" s="1"/>
  <c r="R86" i="11"/>
  <c r="S87" i="11" s="1"/>
  <c r="K26" i="11"/>
  <c r="S21" i="11"/>
  <c r="L9" i="11"/>
  <c r="L5" i="11"/>
  <c r="N85" i="11"/>
  <c r="N71" i="11"/>
  <c r="N53" i="11"/>
  <c r="N51" i="11"/>
  <c r="N47" i="11"/>
  <c r="N45" i="11"/>
  <c r="N33" i="11"/>
  <c r="N31" i="11"/>
  <c r="N21" i="11"/>
  <c r="N7" i="11"/>
  <c r="N100" i="11"/>
  <c r="M59" i="11"/>
  <c r="M51" i="11"/>
  <c r="I37" i="11"/>
  <c r="T37" i="11" s="1"/>
  <c r="R26" i="11"/>
  <c r="S27" i="11" s="1"/>
  <c r="S37" i="11"/>
  <c r="R52" i="11"/>
  <c r="T52" i="11" s="1"/>
  <c r="I9" i="11"/>
  <c r="R6" i="11"/>
  <c r="S6" i="11" s="1"/>
  <c r="R40" i="11"/>
  <c r="T40" i="11" s="1"/>
  <c r="V489" i="11"/>
  <c r="L56" i="11"/>
  <c r="L40" i="11"/>
  <c r="L8" i="11"/>
  <c r="V203" i="11"/>
  <c r="M33" i="11"/>
  <c r="K78" i="11"/>
  <c r="R32" i="11"/>
  <c r="S33" i="11" s="1"/>
  <c r="R24" i="11"/>
  <c r="T24" i="11" s="1"/>
  <c r="K90" i="11"/>
  <c r="V326" i="11"/>
  <c r="L60" i="11"/>
  <c r="L36" i="11"/>
  <c r="L28" i="11"/>
  <c r="L20" i="11"/>
  <c r="V362" i="11"/>
  <c r="M72" i="11"/>
  <c r="L7" i="11"/>
  <c r="P37" i="11"/>
  <c r="N59" i="11"/>
  <c r="N8" i="11"/>
  <c r="N6" i="11"/>
  <c r="N4" i="11"/>
  <c r="M71" i="11"/>
  <c r="M55" i="11"/>
  <c r="M47" i="11"/>
  <c r="M13" i="11"/>
  <c r="M21" i="11"/>
  <c r="T435" i="11"/>
  <c r="T412" i="11"/>
  <c r="R70" i="11"/>
  <c r="S70" i="11" s="1"/>
  <c r="I45" i="11"/>
  <c r="I17" i="11"/>
  <c r="T18" i="11" s="1"/>
  <c r="S61" i="11"/>
  <c r="R54" i="11"/>
  <c r="S54" i="11" s="1"/>
  <c r="R92" i="11"/>
  <c r="S93" i="11" s="1"/>
  <c r="R64" i="11"/>
  <c r="S64" i="11" s="1"/>
  <c r="S13" i="11"/>
  <c r="R68" i="11"/>
  <c r="S69" i="11" s="1"/>
  <c r="K86" i="11"/>
  <c r="R4" i="11"/>
  <c r="S5" i="11" s="1"/>
  <c r="L98" i="11"/>
  <c r="L90" i="11"/>
  <c r="L83" i="11"/>
  <c r="L79" i="11"/>
  <c r="L75" i="11"/>
  <c r="L71" i="11"/>
  <c r="L67" i="11"/>
  <c r="L63" i="11"/>
  <c r="L59" i="11"/>
  <c r="L55" i="11"/>
  <c r="L51" i="11"/>
  <c r="L47" i="11"/>
  <c r="L43" i="11"/>
  <c r="L39" i="11"/>
  <c r="L35" i="11"/>
  <c r="L31" i="11"/>
  <c r="L27" i="11"/>
  <c r="L23" i="11"/>
  <c r="L19" i="11"/>
  <c r="L15" i="11"/>
  <c r="L11" i="11"/>
  <c r="L99" i="11"/>
  <c r="R100" i="11"/>
  <c r="S100" i="11" s="1"/>
  <c r="R101" i="11"/>
  <c r="R102" i="11"/>
  <c r="I85" i="11"/>
  <c r="I33" i="11"/>
  <c r="T33" i="11" s="1"/>
  <c r="R85" i="11"/>
  <c r="R50" i="11"/>
  <c r="R78" i="11"/>
  <c r="S78" i="11" s="1"/>
  <c r="M68" i="11"/>
  <c r="M52" i="11"/>
  <c r="M36" i="11"/>
  <c r="Z240" i="49"/>
  <c r="Z236" i="49"/>
  <c r="Z191" i="49"/>
  <c r="Z189" i="49"/>
  <c r="Z122" i="49"/>
  <c r="Z144" i="49"/>
  <c r="Z136" i="49"/>
  <c r="Z147" i="49"/>
  <c r="Z133" i="49"/>
  <c r="Z155" i="49"/>
  <c r="Z110" i="49"/>
  <c r="Z102" i="49"/>
  <c r="Z97" i="49"/>
  <c r="Z9" i="49"/>
  <c r="Z75" i="49"/>
  <c r="Z28" i="49"/>
  <c r="T390" i="11"/>
  <c r="I97" i="11"/>
  <c r="T98" i="11" s="1"/>
  <c r="I89" i="11"/>
  <c r="T416" i="11"/>
  <c r="M97" i="11"/>
  <c r="S217" i="11"/>
  <c r="S142" i="11"/>
  <c r="S181" i="11"/>
  <c r="N102" i="11"/>
  <c r="R25" i="11"/>
  <c r="I65" i="11"/>
  <c r="T66" i="11" s="1"/>
  <c r="R48" i="11"/>
  <c r="R76" i="11"/>
  <c r="S77" i="11" s="1"/>
  <c r="R22" i="11"/>
  <c r="S22" i="11" s="1"/>
  <c r="R34" i="11"/>
  <c r="S34" i="11" s="1"/>
  <c r="R65" i="11"/>
  <c r="V310" i="11"/>
  <c r="M100" i="11"/>
  <c r="M94" i="11"/>
  <c r="M76" i="11"/>
  <c r="M60" i="11"/>
  <c r="M44" i="11"/>
  <c r="M90" i="11"/>
  <c r="M84" i="11"/>
  <c r="I102" i="11"/>
  <c r="L96" i="11"/>
  <c r="L92" i="11"/>
  <c r="L88" i="11"/>
  <c r="L85" i="11"/>
  <c r="L81" i="11"/>
  <c r="L77" i="11"/>
  <c r="L73" i="11"/>
  <c r="L69" i="11"/>
  <c r="L65" i="11"/>
  <c r="L61" i="11"/>
  <c r="L57" i="11"/>
  <c r="L53" i="11"/>
  <c r="L49" i="11"/>
  <c r="L45" i="11"/>
  <c r="L41" i="11"/>
  <c r="L37" i="11"/>
  <c r="L33" i="11"/>
  <c r="L29" i="11"/>
  <c r="L25" i="11"/>
  <c r="L21" i="11"/>
  <c r="L17" i="11"/>
  <c r="L13" i="11"/>
  <c r="L101" i="11"/>
  <c r="N97" i="11"/>
  <c r="N95" i="11"/>
  <c r="N93" i="11"/>
  <c r="N91" i="11"/>
  <c r="N89" i="11"/>
  <c r="N87" i="11"/>
  <c r="N86" i="11"/>
  <c r="N84" i="11"/>
  <c r="N82" i="11"/>
  <c r="N80" i="11"/>
  <c r="N78" i="11"/>
  <c r="N76" i="11"/>
  <c r="N74" i="11"/>
  <c r="N72" i="11"/>
  <c r="N70" i="11"/>
  <c r="N68" i="11"/>
  <c r="N66" i="11"/>
  <c r="N64" i="11"/>
  <c r="N62" i="11"/>
  <c r="N60" i="11"/>
  <c r="N58" i="11"/>
  <c r="N56" i="11"/>
  <c r="N54" i="11"/>
  <c r="N52" i="11"/>
  <c r="N50" i="11"/>
  <c r="N48" i="11"/>
  <c r="N46" i="11"/>
  <c r="N44" i="11"/>
  <c r="N42" i="11"/>
  <c r="N40" i="11"/>
  <c r="N38" i="11"/>
  <c r="N36" i="11"/>
  <c r="N34" i="11"/>
  <c r="N32" i="11"/>
  <c r="N30" i="11"/>
  <c r="N28" i="11"/>
  <c r="N26" i="11"/>
  <c r="N24" i="11"/>
  <c r="N22" i="11"/>
  <c r="N20" i="11"/>
  <c r="N18" i="11"/>
  <c r="N16" i="11"/>
  <c r="N14" i="11"/>
  <c r="N12" i="11"/>
  <c r="N63" i="11"/>
  <c r="M85" i="11"/>
  <c r="M87" i="11"/>
  <c r="M80" i="11"/>
  <c r="R89" i="11"/>
  <c r="R97" i="11"/>
  <c r="R90" i="11"/>
  <c r="R82" i="11"/>
  <c r="S82" i="11" s="1"/>
  <c r="R57" i="11"/>
  <c r="S57" i="11" s="1"/>
  <c r="R58" i="11"/>
  <c r="K103" i="11"/>
  <c r="AB128" i="49"/>
  <c r="K100" i="11"/>
  <c r="I73" i="11"/>
  <c r="T74" i="11" s="1"/>
  <c r="I49" i="11"/>
  <c r="I57" i="11"/>
  <c r="R73" i="11"/>
  <c r="R62" i="11"/>
  <c r="S62" i="11" s="1"/>
  <c r="R14" i="11"/>
  <c r="S14" i="11" s="1"/>
  <c r="N98" i="11"/>
  <c r="I25" i="11"/>
  <c r="I41" i="11"/>
  <c r="T42" i="11" s="1"/>
  <c r="R28" i="11"/>
  <c r="R16" i="11"/>
  <c r="R94" i="11"/>
  <c r="S94" i="11" s="1"/>
  <c r="N103" i="11"/>
  <c r="BC488" i="14"/>
  <c r="BJ488" i="14" s="1"/>
  <c r="AB431" i="14"/>
  <c r="W76" i="14"/>
  <c r="W74" i="14"/>
  <c r="W72" i="14"/>
  <c r="W70" i="14"/>
  <c r="W68" i="14"/>
  <c r="W66" i="14"/>
  <c r="W64" i="14"/>
  <c r="W62" i="14"/>
  <c r="W60" i="14"/>
  <c r="W58" i="14"/>
  <c r="W56" i="14"/>
  <c r="W54" i="14"/>
  <c r="W52" i="14"/>
  <c r="W50" i="14"/>
  <c r="W48" i="14"/>
  <c r="W46" i="14"/>
  <c r="W44" i="14"/>
  <c r="W42" i="14"/>
  <c r="W40" i="14"/>
  <c r="W38" i="14"/>
  <c r="W36" i="14"/>
  <c r="W34" i="14"/>
  <c r="W32" i="14"/>
  <c r="W30" i="14"/>
  <c r="W28" i="14"/>
  <c r="W26" i="14"/>
  <c r="W24" i="14"/>
  <c r="W22" i="14"/>
  <c r="W20" i="14"/>
  <c r="W18" i="14"/>
  <c r="W16" i="14"/>
  <c r="W14" i="14"/>
  <c r="W12" i="14"/>
  <c r="W10" i="14"/>
  <c r="W8" i="14"/>
  <c r="W6" i="14"/>
  <c r="V191" i="11"/>
  <c r="V366" i="11"/>
  <c r="V322" i="11"/>
  <c r="V314" i="11"/>
  <c r="O26" i="11"/>
  <c r="L103" i="11"/>
  <c r="BC412" i="14"/>
  <c r="BE412" i="14" s="1"/>
  <c r="X484" i="14"/>
  <c r="AB483" i="14"/>
  <c r="AB423" i="14"/>
  <c r="BC4" i="14"/>
  <c r="BI4" i="14" s="1"/>
  <c r="BD84" i="14"/>
  <c r="BD100" i="14"/>
  <c r="BD104" i="14"/>
  <c r="BD108" i="14"/>
  <c r="BD112" i="14"/>
  <c r="BD116" i="14"/>
  <c r="BD120" i="14"/>
  <c r="BD124" i="14"/>
  <c r="BD128" i="14"/>
  <c r="BD132" i="14"/>
  <c r="BD136" i="14"/>
  <c r="BD140" i="14"/>
  <c r="BD144" i="14"/>
  <c r="BD148" i="14"/>
  <c r="BD152" i="14"/>
  <c r="BD156" i="14"/>
  <c r="BD160" i="14"/>
  <c r="BD164" i="14"/>
  <c r="BD168" i="14"/>
  <c r="BD172" i="14"/>
  <c r="BD176" i="14"/>
  <c r="BD180" i="14"/>
  <c r="BD184" i="14"/>
  <c r="BD188" i="14"/>
  <c r="BD192" i="14"/>
  <c r="BD196" i="14"/>
  <c r="BD200" i="14"/>
  <c r="BD204" i="14"/>
  <c r="BD208" i="14"/>
  <c r="BD212" i="14"/>
  <c r="BD43" i="14"/>
  <c r="BD61" i="14"/>
  <c r="BD29" i="14"/>
  <c r="BD258" i="14"/>
  <c r="BD71" i="14"/>
  <c r="BD67" i="14"/>
  <c r="T339" i="11"/>
  <c r="M3" i="11"/>
  <c r="BC424" i="14"/>
  <c r="BF424" i="14" s="1"/>
  <c r="AB447" i="14"/>
  <c r="BD249" i="14"/>
  <c r="BD245" i="14"/>
  <c r="BD241" i="14"/>
  <c r="BD237" i="14"/>
  <c r="BD233" i="14"/>
  <c r="BD229" i="14"/>
  <c r="BD225" i="14"/>
  <c r="BD221" i="14"/>
  <c r="BD217" i="14"/>
  <c r="BD213" i="14"/>
  <c r="BD209" i="14"/>
  <c r="BD205" i="14"/>
  <c r="BD201" i="14"/>
  <c r="BD197" i="14"/>
  <c r="BD193" i="14"/>
  <c r="BD189" i="14"/>
  <c r="BD185" i="14"/>
  <c r="BD181" i="14"/>
  <c r="BD177" i="14"/>
  <c r="BD173" i="14"/>
  <c r="BD169" i="14"/>
  <c r="BD165" i="14"/>
  <c r="BD161" i="14"/>
  <c r="BD157" i="14"/>
  <c r="BD153" i="14"/>
  <c r="BD149" i="14"/>
  <c r="BD145" i="14"/>
  <c r="BD141" i="14"/>
  <c r="BD137" i="14"/>
  <c r="BD133" i="14"/>
  <c r="BD129" i="14"/>
  <c r="BD125" i="14"/>
  <c r="BD121" i="14"/>
  <c r="BD117" i="14"/>
  <c r="BD113" i="14"/>
  <c r="BD109" i="14"/>
  <c r="BD105" i="14"/>
  <c r="BD101" i="14"/>
  <c r="BD256" i="14"/>
  <c r="BD254" i="14"/>
  <c r="BD252" i="14"/>
  <c r="BC390" i="14"/>
  <c r="BD390" i="14" s="1"/>
  <c r="BD248" i="14"/>
  <c r="BD244" i="14"/>
  <c r="BD240" i="14"/>
  <c r="BD236" i="14"/>
  <c r="BD232" i="14"/>
  <c r="BD228" i="14"/>
  <c r="BD224" i="14"/>
  <c r="BD220" i="14"/>
  <c r="BD216" i="14"/>
  <c r="BD65" i="14"/>
  <c r="BD11" i="14"/>
  <c r="BH65" i="14"/>
  <c r="BJ65" i="14"/>
  <c r="BG17" i="14"/>
  <c r="T431" i="11"/>
  <c r="S174" i="11"/>
  <c r="BK65" i="14"/>
  <c r="BE65" i="14"/>
  <c r="BF17" i="14"/>
  <c r="T411" i="11"/>
  <c r="BG65" i="14"/>
  <c r="BG33" i="14"/>
  <c r="BH17" i="14"/>
  <c r="V306" i="11"/>
  <c r="V374" i="11"/>
  <c r="T228" i="11"/>
  <c r="T164" i="11"/>
  <c r="E13" i="37"/>
  <c r="D13" i="37" s="1"/>
  <c r="R10" i="11"/>
  <c r="S10" i="11" s="1"/>
  <c r="Y76" i="38"/>
  <c r="X76" i="38"/>
  <c r="Y111" i="38"/>
  <c r="X111" i="38"/>
  <c r="Y52" i="38"/>
  <c r="X52" i="38"/>
  <c r="Y69" i="38"/>
  <c r="X69" i="38"/>
  <c r="Y82" i="38"/>
  <c r="X82" i="38"/>
  <c r="Y9" i="38"/>
  <c r="X9" i="38"/>
  <c r="V298" i="11"/>
  <c r="Y75" i="38"/>
  <c r="X75" i="38"/>
  <c r="Y90" i="38"/>
  <c r="X90" i="38"/>
  <c r="Y71" i="38"/>
  <c r="X71" i="38"/>
  <c r="Y56" i="38"/>
  <c r="X56" i="38"/>
  <c r="Y65" i="38"/>
  <c r="X65" i="38"/>
  <c r="Y92" i="38"/>
  <c r="X92" i="38"/>
  <c r="Y107" i="38"/>
  <c r="X107" i="38"/>
  <c r="E20" i="37"/>
  <c r="Y5" i="38"/>
  <c r="X5" i="38"/>
  <c r="Y97" i="38"/>
  <c r="X97" i="38"/>
  <c r="Y61" i="38"/>
  <c r="X61" i="38"/>
  <c r="Y78" i="38"/>
  <c r="X78" i="38"/>
  <c r="Y99" i="38"/>
  <c r="X99" i="38"/>
  <c r="Y38" i="38"/>
  <c r="X38" i="38"/>
  <c r="V215" i="11"/>
  <c r="T152" i="11"/>
  <c r="Y104" i="38"/>
  <c r="X104" i="38"/>
  <c r="V481" i="11"/>
  <c r="T72" i="11"/>
  <c r="T56" i="11"/>
  <c r="V370" i="11"/>
  <c r="Z288" i="49"/>
  <c r="Z284" i="49"/>
  <c r="Z280" i="49"/>
  <c r="Z314" i="49"/>
  <c r="Z63" i="49"/>
  <c r="T204" i="11"/>
  <c r="T140" i="11"/>
  <c r="S383" i="11"/>
  <c r="S351" i="11"/>
  <c r="T244" i="11"/>
  <c r="Z286" i="49"/>
  <c r="Z282" i="49"/>
  <c r="Z278" i="49"/>
  <c r="Z305" i="49"/>
  <c r="Z94" i="49"/>
  <c r="I68" i="49"/>
  <c r="Z42" i="49"/>
  <c r="Z30" i="49"/>
  <c r="T80" i="11"/>
  <c r="T8" i="11"/>
  <c r="S339" i="11"/>
  <c r="T335" i="11"/>
  <c r="T247" i="11"/>
  <c r="T241" i="11"/>
  <c r="T359" i="11"/>
  <c r="S8" i="11"/>
  <c r="V311" i="11"/>
  <c r="Z67" i="49"/>
  <c r="Z59" i="49"/>
  <c r="I161" i="49"/>
  <c r="I153" i="49"/>
  <c r="I149" i="49"/>
  <c r="I121" i="49"/>
  <c r="I109" i="49"/>
  <c r="I20" i="49"/>
  <c r="I19" i="49"/>
  <c r="I17" i="49"/>
  <c r="I15" i="49"/>
  <c r="I12" i="49"/>
  <c r="I11" i="49"/>
  <c r="I7" i="49"/>
  <c r="S44" i="11"/>
  <c r="Z289" i="49"/>
  <c r="I244" i="49"/>
  <c r="I236" i="49"/>
  <c r="I192" i="49"/>
  <c r="I184" i="49"/>
  <c r="I176" i="49"/>
  <c r="I168" i="49"/>
  <c r="I160" i="49"/>
  <c r="I152" i="49"/>
  <c r="I144" i="49"/>
  <c r="I136" i="49"/>
  <c r="I128" i="49"/>
  <c r="I124" i="49"/>
  <c r="I116" i="49"/>
  <c r="I108" i="49"/>
  <c r="I100" i="49"/>
  <c r="I96" i="49"/>
  <c r="T212" i="11"/>
  <c r="T148" i="11"/>
  <c r="T84" i="11"/>
  <c r="S388" i="11"/>
  <c r="S372" i="11"/>
  <c r="S356" i="11"/>
  <c r="S340" i="11"/>
  <c r="S367" i="11"/>
  <c r="S335" i="11"/>
  <c r="V482" i="11"/>
  <c r="S56" i="11"/>
  <c r="V354" i="11"/>
  <c r="I249" i="49"/>
  <c r="I191" i="49"/>
  <c r="I183" i="49"/>
  <c r="I178" i="49"/>
  <c r="I174" i="49"/>
  <c r="I170" i="49"/>
  <c r="I166" i="49"/>
  <c r="I159" i="49"/>
  <c r="I151" i="49"/>
  <c r="I139" i="49"/>
  <c r="I134" i="49"/>
  <c r="I130" i="49"/>
  <c r="I127" i="49"/>
  <c r="I122" i="49"/>
  <c r="I118" i="49"/>
  <c r="I114" i="49"/>
  <c r="I110" i="49"/>
  <c r="I103" i="49"/>
  <c r="I99" i="49"/>
  <c r="I231" i="49"/>
  <c r="I219" i="49"/>
  <c r="I207" i="49"/>
  <c r="I203" i="49"/>
  <c r="I199" i="49"/>
  <c r="I189" i="49"/>
  <c r="I181" i="49"/>
  <c r="I173" i="49"/>
  <c r="I165" i="49"/>
  <c r="I157" i="49"/>
  <c r="Z39" i="49"/>
  <c r="T184" i="11"/>
  <c r="T120" i="11"/>
  <c r="S311" i="11"/>
  <c r="T279" i="11"/>
  <c r="T267" i="11"/>
  <c r="I261" i="49"/>
  <c r="I186" i="49"/>
  <c r="I182" i="49"/>
  <c r="I147" i="49"/>
  <c r="I142" i="49"/>
  <c r="I138" i="49"/>
  <c r="I119" i="49"/>
  <c r="I115" i="49"/>
  <c r="I106" i="49"/>
  <c r="I102" i="49"/>
  <c r="I98" i="49"/>
  <c r="Z196" i="49"/>
  <c r="Z298" i="49"/>
  <c r="Z92" i="49"/>
  <c r="Z26" i="49"/>
  <c r="AB26" i="49" s="1"/>
  <c r="T351" i="11"/>
  <c r="V350" i="11"/>
  <c r="I190" i="49"/>
  <c r="I179" i="49"/>
  <c r="I175" i="49"/>
  <c r="I171" i="49"/>
  <c r="I167" i="49"/>
  <c r="I162" i="49"/>
  <c r="I158" i="49"/>
  <c r="I154" i="49"/>
  <c r="I150" i="49"/>
  <c r="I146" i="49"/>
  <c r="I126" i="49"/>
  <c r="I123" i="49"/>
  <c r="I95" i="49"/>
  <c r="S355" i="11"/>
  <c r="V278" i="11"/>
  <c r="T276" i="11"/>
  <c r="V266" i="11"/>
  <c r="I290" i="49"/>
  <c r="I297" i="49"/>
  <c r="I312" i="49"/>
  <c r="I269" i="49"/>
  <c r="I265" i="49"/>
  <c r="I257" i="49"/>
  <c r="I241" i="49"/>
  <c r="I237" i="49"/>
  <c r="Z76" i="49"/>
  <c r="I53" i="49"/>
  <c r="I24" i="49"/>
  <c r="T354" i="11"/>
  <c r="T355" i="11"/>
  <c r="I309" i="49"/>
  <c r="I245" i="49"/>
  <c r="I313" i="49"/>
  <c r="I318" i="49"/>
  <c r="I275" i="49"/>
  <c r="I270" i="49"/>
  <c r="I262" i="49"/>
  <c r="I259" i="49"/>
  <c r="I254" i="49"/>
  <c r="I251" i="49"/>
  <c r="I248" i="49"/>
  <c r="I246" i="49"/>
  <c r="I242" i="49"/>
  <c r="I238" i="49"/>
  <c r="I233" i="49"/>
  <c r="I163" i="49"/>
  <c r="I155" i="49"/>
  <c r="I135" i="49"/>
  <c r="I120" i="49"/>
  <c r="I112" i="49"/>
  <c r="I111" i="49"/>
  <c r="I107" i="49"/>
  <c r="I104" i="49"/>
  <c r="Z195" i="49"/>
  <c r="I195" i="49"/>
  <c r="I21" i="49"/>
  <c r="I16" i="49"/>
  <c r="I13" i="49"/>
  <c r="I9" i="49"/>
  <c r="I8" i="49"/>
  <c r="Z62" i="49"/>
  <c r="I66" i="49"/>
  <c r="I46" i="49"/>
  <c r="S470" i="11"/>
  <c r="S466" i="11"/>
  <c r="S462" i="11"/>
  <c r="S458" i="11"/>
  <c r="S454" i="11"/>
  <c r="S450" i="11"/>
  <c r="S446" i="11"/>
  <c r="S442" i="11"/>
  <c r="S438" i="11"/>
  <c r="S434" i="11"/>
  <c r="S430" i="11"/>
  <c r="S426" i="11"/>
  <c r="S422" i="11"/>
  <c r="S418" i="11"/>
  <c r="S414" i="11"/>
  <c r="S410" i="11"/>
  <c r="S406" i="11"/>
  <c r="S402" i="11"/>
  <c r="S398" i="11"/>
  <c r="S394" i="11"/>
  <c r="S390" i="11"/>
  <c r="T233" i="11"/>
  <c r="V232" i="11"/>
  <c r="T216" i="11"/>
  <c r="T217" i="11"/>
  <c r="T192" i="11"/>
  <c r="T169" i="11"/>
  <c r="T128" i="11"/>
  <c r="T129" i="11"/>
  <c r="T105" i="11"/>
  <c r="I273" i="49"/>
  <c r="I253" i="49"/>
  <c r="I278" i="49"/>
  <c r="I276" i="49"/>
  <c r="I274" i="49"/>
  <c r="I268" i="49"/>
  <c r="I266" i="49"/>
  <c r="I263" i="49"/>
  <c r="I260" i="49"/>
  <c r="I258" i="49"/>
  <c r="I252" i="49"/>
  <c r="I250" i="49"/>
  <c r="I247" i="49"/>
  <c r="I243" i="49"/>
  <c r="I240" i="49"/>
  <c r="I234" i="49"/>
  <c r="I187" i="49"/>
  <c r="I143" i="49"/>
  <c r="I131" i="49"/>
  <c r="I272" i="49"/>
  <c r="I271" i="49"/>
  <c r="I267" i="49"/>
  <c r="I264" i="49"/>
  <c r="I256" i="49"/>
  <c r="I255" i="49"/>
  <c r="I239" i="49"/>
  <c r="I235" i="49"/>
  <c r="I216" i="49"/>
  <c r="I204" i="49"/>
  <c r="I230" i="49"/>
  <c r="I229" i="49"/>
  <c r="I228" i="49"/>
  <c r="I226" i="49"/>
  <c r="I217" i="49"/>
  <c r="I214" i="49"/>
  <c r="I213" i="49"/>
  <c r="I208" i="49"/>
  <c r="I202" i="49"/>
  <c r="I201" i="49"/>
  <c r="I198" i="49"/>
  <c r="I197" i="49"/>
  <c r="I188" i="49"/>
  <c r="I180" i="49"/>
  <c r="I172" i="49"/>
  <c r="I164" i="49"/>
  <c r="I156" i="49"/>
  <c r="I148" i="49"/>
  <c r="I140" i="49"/>
  <c r="I132" i="49"/>
  <c r="Z88" i="49"/>
  <c r="V401" i="11"/>
  <c r="I87" i="49"/>
  <c r="T469" i="11"/>
  <c r="V469" i="11"/>
  <c r="T465" i="11"/>
  <c r="V465" i="11"/>
  <c r="T453" i="11"/>
  <c r="V453" i="11"/>
  <c r="T437" i="11"/>
  <c r="T438" i="11"/>
  <c r="T425" i="11"/>
  <c r="T426" i="11"/>
  <c r="T413" i="11"/>
  <c r="T414" i="11"/>
  <c r="T397" i="11"/>
  <c r="T398" i="11"/>
  <c r="T220" i="11"/>
  <c r="V220" i="11"/>
  <c r="T196" i="11"/>
  <c r="T188" i="11"/>
  <c r="V188" i="11"/>
  <c r="T156" i="11"/>
  <c r="T132" i="11"/>
  <c r="T124" i="11"/>
  <c r="S474" i="11"/>
  <c r="V413" i="11"/>
  <c r="T207" i="11"/>
  <c r="T135" i="11"/>
  <c r="T55" i="11"/>
  <c r="S361" i="11"/>
  <c r="T288" i="11"/>
  <c r="T256" i="11"/>
  <c r="T175" i="11"/>
  <c r="T143" i="11"/>
  <c r="T31" i="11"/>
  <c r="T167" i="11"/>
  <c r="T99" i="11"/>
  <c r="S377" i="11"/>
  <c r="V294" i="11"/>
  <c r="T292" i="11"/>
  <c r="V282" i="11"/>
  <c r="V262" i="11"/>
  <c r="T260" i="11"/>
  <c r="V250" i="11"/>
  <c r="T223" i="11"/>
  <c r="T111" i="11"/>
  <c r="T79" i="11"/>
  <c r="S80" i="11"/>
  <c r="S60" i="11"/>
  <c r="T199" i="11"/>
  <c r="T87" i="11"/>
  <c r="Z294" i="49"/>
  <c r="I232" i="49"/>
  <c r="I227" i="49"/>
  <c r="I225" i="49"/>
  <c r="I224" i="49"/>
  <c r="I223" i="49"/>
  <c r="I222" i="49"/>
  <c r="I221" i="49"/>
  <c r="I220" i="49"/>
  <c r="I218" i="49"/>
  <c r="I215" i="49"/>
  <c r="I212" i="49"/>
  <c r="I211" i="49"/>
  <c r="I210" i="49"/>
  <c r="I209" i="49"/>
  <c r="I206" i="49"/>
  <c r="I205" i="49"/>
  <c r="I200" i="49"/>
  <c r="I193" i="49"/>
  <c r="I185" i="49"/>
  <c r="I177" i="49"/>
  <c r="I169" i="49"/>
  <c r="I145" i="49"/>
  <c r="I141" i="49"/>
  <c r="I137" i="49"/>
  <c r="I133" i="49"/>
  <c r="I129" i="49"/>
  <c r="I125" i="49"/>
  <c r="I117" i="49"/>
  <c r="I113" i="49"/>
  <c r="I105" i="49"/>
  <c r="I101" i="49"/>
  <c r="I97" i="49"/>
  <c r="I22" i="49"/>
  <c r="I18" i="49"/>
  <c r="I14" i="49"/>
  <c r="I10" i="49"/>
  <c r="I6" i="49"/>
  <c r="I37" i="49"/>
  <c r="Z34" i="49"/>
  <c r="Z51" i="49"/>
  <c r="S478" i="11"/>
  <c r="T96" i="11"/>
  <c r="T60" i="11"/>
  <c r="T53" i="11"/>
  <c r="T36" i="11"/>
  <c r="T20" i="11"/>
  <c r="T12" i="11"/>
  <c r="S328" i="11"/>
  <c r="V327" i="11"/>
  <c r="T295" i="11"/>
  <c r="T289" i="11"/>
  <c r="T283" i="11"/>
  <c r="T272" i="11"/>
  <c r="T263" i="11"/>
  <c r="T257" i="11"/>
  <c r="T251" i="11"/>
  <c r="T240" i="11"/>
  <c r="T159" i="11"/>
  <c r="T47" i="11"/>
  <c r="T231" i="11"/>
  <c r="BK463" i="14"/>
  <c r="BG463" i="14"/>
  <c r="BJ463" i="14"/>
  <c r="BF463" i="14"/>
  <c r="BI463" i="14"/>
  <c r="BE463" i="14"/>
  <c r="BH463" i="14"/>
  <c r="BD463" i="14"/>
  <c r="BK459" i="14"/>
  <c r="BG459" i="14"/>
  <c r="BJ459" i="14"/>
  <c r="BF459" i="14"/>
  <c r="BI459" i="14"/>
  <c r="BE459" i="14"/>
  <c r="BH459" i="14"/>
  <c r="BD459" i="14"/>
  <c r="BK431" i="14"/>
  <c r="BG431" i="14"/>
  <c r="BJ431" i="14"/>
  <c r="BF431" i="14"/>
  <c r="BI431" i="14"/>
  <c r="BE431" i="14"/>
  <c r="BH431" i="14"/>
  <c r="BD431" i="14"/>
  <c r="BK455" i="14"/>
  <c r="BG455" i="14"/>
  <c r="BJ455" i="14"/>
  <c r="BF455" i="14"/>
  <c r="BI455" i="14"/>
  <c r="BE455" i="14"/>
  <c r="BH455" i="14"/>
  <c r="BD455" i="14"/>
  <c r="BK451" i="14"/>
  <c r="BG451" i="14"/>
  <c r="BJ451" i="14"/>
  <c r="BF451" i="14"/>
  <c r="BI451" i="14"/>
  <c r="BE451" i="14"/>
  <c r="BH451" i="14"/>
  <c r="BD451" i="14"/>
  <c r="BK423" i="14"/>
  <c r="BG423" i="14"/>
  <c r="BJ423" i="14"/>
  <c r="BF423" i="14"/>
  <c r="BI423" i="14"/>
  <c r="BE423" i="14"/>
  <c r="BH423" i="14"/>
  <c r="BD423" i="14"/>
  <c r="BK447" i="14"/>
  <c r="BG447" i="14"/>
  <c r="BJ447" i="14"/>
  <c r="BF447" i="14"/>
  <c r="BI447" i="14"/>
  <c r="BE447" i="14"/>
  <c r="BH447" i="14"/>
  <c r="BD447" i="14"/>
  <c r="BK443" i="14"/>
  <c r="BG443" i="14"/>
  <c r="BJ443" i="14"/>
  <c r="BF443" i="14"/>
  <c r="BI443" i="14"/>
  <c r="BE443" i="14"/>
  <c r="BH443" i="14"/>
  <c r="BD443" i="14"/>
  <c r="BK467" i="14"/>
  <c r="BG467" i="14"/>
  <c r="BJ467" i="14"/>
  <c r="BF467" i="14"/>
  <c r="BI467" i="14"/>
  <c r="BE467" i="14"/>
  <c r="BH467" i="14"/>
  <c r="BD467" i="14"/>
  <c r="BK439" i="14"/>
  <c r="BG439" i="14"/>
  <c r="BJ439" i="14"/>
  <c r="BF439" i="14"/>
  <c r="BI439" i="14"/>
  <c r="BE439" i="14"/>
  <c r="BH439" i="14"/>
  <c r="BD439" i="14"/>
  <c r="BK494" i="14"/>
  <c r="BG494" i="14"/>
  <c r="BJ494" i="14"/>
  <c r="BF494" i="14"/>
  <c r="BH494" i="14"/>
  <c r="BD494" i="14"/>
  <c r="BK486" i="14"/>
  <c r="BG486" i="14"/>
  <c r="BJ486" i="14"/>
  <c r="BF486" i="14"/>
  <c r="BI486" i="14"/>
  <c r="BE486" i="14"/>
  <c r="BH486" i="14"/>
  <c r="BD486" i="14"/>
  <c r="T189" i="11"/>
  <c r="BK493" i="14"/>
  <c r="BG493" i="14"/>
  <c r="BJ493" i="14"/>
  <c r="BF493" i="14"/>
  <c r="BE493" i="14"/>
  <c r="BH493" i="14"/>
  <c r="BD493" i="14"/>
  <c r="BK481" i="14"/>
  <c r="BG481" i="14"/>
  <c r="BJ481" i="14"/>
  <c r="BF481" i="14"/>
  <c r="BI481" i="14"/>
  <c r="BE481" i="14"/>
  <c r="BH481" i="14"/>
  <c r="BD481" i="14"/>
  <c r="BK473" i="14"/>
  <c r="BG473" i="14"/>
  <c r="BJ473" i="14"/>
  <c r="BF473" i="14"/>
  <c r="BI473" i="14"/>
  <c r="BE473" i="14"/>
  <c r="BH473" i="14"/>
  <c r="BD473" i="14"/>
  <c r="BK465" i="14"/>
  <c r="BG465" i="14"/>
  <c r="BJ465" i="14"/>
  <c r="BF465" i="14"/>
  <c r="BI465" i="14"/>
  <c r="BE465" i="14"/>
  <c r="BH465" i="14"/>
  <c r="BD465" i="14"/>
  <c r="BK457" i="14"/>
  <c r="BG457" i="14"/>
  <c r="BJ457" i="14"/>
  <c r="BF457" i="14"/>
  <c r="BI457" i="14"/>
  <c r="BE457" i="14"/>
  <c r="BH457" i="14"/>
  <c r="BD457" i="14"/>
  <c r="BK449" i="14"/>
  <c r="BG449" i="14"/>
  <c r="BJ449" i="14"/>
  <c r="BF449" i="14"/>
  <c r="BI449" i="14"/>
  <c r="BE449" i="14"/>
  <c r="BH449" i="14"/>
  <c r="BD449" i="14"/>
  <c r="BK441" i="14"/>
  <c r="BG441" i="14"/>
  <c r="BJ441" i="14"/>
  <c r="BF441" i="14"/>
  <c r="BI441" i="14"/>
  <c r="BE441" i="14"/>
  <c r="BH441" i="14"/>
  <c r="BD441" i="14"/>
  <c r="BK433" i="14"/>
  <c r="BG433" i="14"/>
  <c r="BJ433" i="14"/>
  <c r="BF433" i="14"/>
  <c r="BI433" i="14"/>
  <c r="BE433" i="14"/>
  <c r="BH433" i="14"/>
  <c r="BD433" i="14"/>
  <c r="BK425" i="14"/>
  <c r="BG425" i="14"/>
  <c r="BJ425" i="14"/>
  <c r="BF425" i="14"/>
  <c r="BI425" i="14"/>
  <c r="BE425" i="14"/>
  <c r="BH425" i="14"/>
  <c r="BD425" i="14"/>
  <c r="T197" i="11"/>
  <c r="T145" i="11"/>
  <c r="BC496" i="14"/>
  <c r="BC492" i="14"/>
  <c r="BC476" i="14"/>
  <c r="BK419" i="14"/>
  <c r="BG419" i="14"/>
  <c r="BJ419" i="14"/>
  <c r="BI419" i="14"/>
  <c r="BE419" i="14"/>
  <c r="BH419" i="14"/>
  <c r="BF419" i="14"/>
  <c r="BD419" i="14"/>
  <c r="BK415" i="14"/>
  <c r="BG415" i="14"/>
  <c r="BI415" i="14"/>
  <c r="BE415" i="14"/>
  <c r="BH415" i="14"/>
  <c r="BF415" i="14"/>
  <c r="BD415" i="14"/>
  <c r="BJ415" i="14"/>
  <c r="T205" i="11"/>
  <c r="T39" i="11"/>
  <c r="T81" i="11"/>
  <c r="BC475" i="14"/>
  <c r="BK387" i="14"/>
  <c r="BG387" i="14"/>
  <c r="BJ387" i="14"/>
  <c r="BF387" i="14"/>
  <c r="BD387" i="14"/>
  <c r="BI387" i="14"/>
  <c r="BH387" i="14"/>
  <c r="BE387" i="14"/>
  <c r="BK379" i="14"/>
  <c r="BG379" i="14"/>
  <c r="BF379" i="14"/>
  <c r="BJ379" i="14"/>
  <c r="BE379" i="14"/>
  <c r="BI379" i="14"/>
  <c r="BD379" i="14"/>
  <c r="BH379" i="14"/>
  <c r="T13" i="11"/>
  <c r="AB451" i="14"/>
  <c r="AB424" i="14"/>
  <c r="AB443" i="14"/>
  <c r="Y63" i="38"/>
  <c r="X63" i="38"/>
  <c r="Y67" i="38"/>
  <c r="X67" i="38"/>
  <c r="Y72" i="38"/>
  <c r="X72" i="38"/>
  <c r="BI263" i="14"/>
  <c r="BE263" i="14"/>
  <c r="BH263" i="14"/>
  <c r="BD263" i="14"/>
  <c r="BJ263" i="14"/>
  <c r="BF263" i="14"/>
  <c r="BK263" i="14"/>
  <c r="BG263" i="14"/>
  <c r="BF500" i="14"/>
  <c r="BI494" i="14"/>
  <c r="G66" i="38"/>
  <c r="AC66" i="38"/>
  <c r="Y89" i="38"/>
  <c r="X89" i="38"/>
  <c r="AC97" i="38"/>
  <c r="G97" i="38"/>
  <c r="AC100" i="38"/>
  <c r="G100" i="38"/>
  <c r="AC104" i="38"/>
  <c r="G104" i="38"/>
  <c r="AC107" i="38"/>
  <c r="G107" i="38"/>
  <c r="H8" i="49" s="1"/>
  <c r="AC112" i="38"/>
  <c r="G112" i="38"/>
  <c r="AC122" i="38"/>
  <c r="G122" i="38"/>
  <c r="G60" i="38"/>
  <c r="H72" i="49" s="1"/>
  <c r="AC60" i="38"/>
  <c r="X64" i="38"/>
  <c r="Y64" i="38"/>
  <c r="X66" i="38"/>
  <c r="Y66" i="38"/>
  <c r="AC72" i="38"/>
  <c r="G72" i="38"/>
  <c r="Y110" i="38"/>
  <c r="X110" i="38"/>
  <c r="Y129" i="38"/>
  <c r="X129" i="38"/>
  <c r="Y135" i="38"/>
  <c r="X135" i="38"/>
  <c r="X143" i="38"/>
  <c r="Y143" i="38"/>
  <c r="AC49" i="38"/>
  <c r="G49" i="38"/>
  <c r="AC73" i="38"/>
  <c r="G73" i="38"/>
  <c r="AC67" i="38"/>
  <c r="G67" i="38"/>
  <c r="AC85" i="38"/>
  <c r="G85" i="38"/>
  <c r="AC91" i="38"/>
  <c r="G91" i="38"/>
  <c r="AC45" i="38"/>
  <c r="G45" i="38"/>
  <c r="AC83" i="38"/>
  <c r="G83" i="38"/>
  <c r="AC9" i="38"/>
  <c r="G9" i="38"/>
  <c r="Y122" i="38"/>
  <c r="X122" i="38"/>
  <c r="AC127" i="38"/>
  <c r="G127" i="38"/>
  <c r="I308" i="49"/>
  <c r="I74" i="49"/>
  <c r="I58" i="49"/>
  <c r="I27" i="49"/>
  <c r="I35" i="49"/>
  <c r="T234" i="11"/>
  <c r="T226" i="11"/>
  <c r="T218" i="11"/>
  <c r="V210" i="11"/>
  <c r="T210" i="11"/>
  <c r="V202" i="11"/>
  <c r="T202" i="11"/>
  <c r="T146" i="11"/>
  <c r="T138" i="11"/>
  <c r="T122" i="11"/>
  <c r="T114" i="11"/>
  <c r="T106" i="11"/>
  <c r="T474" i="11"/>
  <c r="T475" i="11"/>
  <c r="V386" i="11"/>
  <c r="V382" i="11"/>
  <c r="V346" i="11"/>
  <c r="T171" i="11"/>
  <c r="T51" i="11"/>
  <c r="S127" i="11"/>
  <c r="S128" i="11"/>
  <c r="T303" i="11"/>
  <c r="T304" i="11"/>
  <c r="S147" i="11"/>
  <c r="S148" i="11"/>
  <c r="T43" i="11"/>
  <c r="V292" i="11"/>
  <c r="V276" i="11"/>
  <c r="V244" i="11"/>
  <c r="S151" i="11"/>
  <c r="S152" i="11"/>
  <c r="S119" i="11"/>
  <c r="S120" i="11"/>
  <c r="I306" i="49"/>
  <c r="I300" i="49"/>
  <c r="I310" i="49"/>
  <c r="I302" i="49"/>
  <c r="I314" i="49"/>
  <c r="Z233" i="49"/>
  <c r="I285" i="49"/>
  <c r="I90" i="49"/>
  <c r="I41" i="49"/>
  <c r="Z54" i="49"/>
  <c r="I40" i="49"/>
  <c r="I43" i="49"/>
  <c r="Z35" i="49"/>
  <c r="V473" i="11"/>
  <c r="S471" i="11"/>
  <c r="S472" i="11"/>
  <c r="S463" i="11"/>
  <c r="S464" i="11"/>
  <c r="S459" i="11"/>
  <c r="S460" i="11"/>
  <c r="S451" i="11"/>
  <c r="S452" i="11"/>
  <c r="S447" i="11"/>
  <c r="S448" i="11"/>
  <c r="S439" i="11"/>
  <c r="S440" i="11"/>
  <c r="S435" i="11"/>
  <c r="S436" i="11"/>
  <c r="S427" i="11"/>
  <c r="S428" i="11"/>
  <c r="S423" i="11"/>
  <c r="S424" i="11"/>
  <c r="S411" i="11"/>
  <c r="S412" i="11"/>
  <c r="S403" i="11"/>
  <c r="S404" i="11"/>
  <c r="S399" i="11"/>
  <c r="S400" i="11"/>
  <c r="S395" i="11"/>
  <c r="S396" i="11"/>
  <c r="S391" i="11"/>
  <c r="S392" i="11"/>
  <c r="S389" i="11"/>
  <c r="T180" i="11"/>
  <c r="T116" i="11"/>
  <c r="V474" i="11"/>
  <c r="S371" i="11"/>
  <c r="T442" i="11"/>
  <c r="V334" i="11"/>
  <c r="T331" i="11"/>
  <c r="T332" i="11"/>
  <c r="T327" i="11"/>
  <c r="T328" i="11"/>
  <c r="T311" i="11"/>
  <c r="T312" i="11"/>
  <c r="N3" i="11"/>
  <c r="T446" i="11"/>
  <c r="T319" i="11"/>
  <c r="T320" i="11"/>
  <c r="V283" i="11"/>
  <c r="T280" i="11"/>
  <c r="V219" i="11"/>
  <c r="T155" i="11"/>
  <c r="S123" i="11"/>
  <c r="S124" i="11"/>
  <c r="T67" i="11"/>
  <c r="V342" i="11"/>
  <c r="S341" i="11"/>
  <c r="S207" i="11"/>
  <c r="S208" i="11"/>
  <c r="V148" i="11"/>
  <c r="T195" i="11"/>
  <c r="T131" i="11"/>
  <c r="V288" i="11"/>
  <c r="V272" i="11"/>
  <c r="V256" i="11"/>
  <c r="BK474" i="14"/>
  <c r="BG474" i="14"/>
  <c r="BJ474" i="14"/>
  <c r="BF474" i="14"/>
  <c r="BI474" i="14"/>
  <c r="BE474" i="14"/>
  <c r="BH474" i="14"/>
  <c r="BD474" i="14"/>
  <c r="T229" i="11"/>
  <c r="T177" i="11"/>
  <c r="T137" i="11"/>
  <c r="BC464" i="14"/>
  <c r="BC448" i="14"/>
  <c r="BC432" i="14"/>
  <c r="S96" i="11"/>
  <c r="BK389" i="14"/>
  <c r="BG389" i="14"/>
  <c r="BJ389" i="14"/>
  <c r="BF389" i="14"/>
  <c r="BD389" i="14"/>
  <c r="BI389" i="14"/>
  <c r="BH389" i="14"/>
  <c r="BE389" i="14"/>
  <c r="BC381" i="14"/>
  <c r="Y77" i="38"/>
  <c r="X77" i="38"/>
  <c r="BI269" i="14"/>
  <c r="BE269" i="14"/>
  <c r="BH269" i="14"/>
  <c r="BD269" i="14"/>
  <c r="BK269" i="14"/>
  <c r="BG269" i="14"/>
  <c r="BJ269" i="14"/>
  <c r="BF269" i="14"/>
  <c r="BC268" i="14"/>
  <c r="BI261" i="14"/>
  <c r="BE261" i="14"/>
  <c r="BH261" i="14"/>
  <c r="BD261" i="14"/>
  <c r="BJ261" i="14"/>
  <c r="BF261" i="14"/>
  <c r="BK261" i="14"/>
  <c r="BG261" i="14"/>
  <c r="BC260" i="14"/>
  <c r="BC251" i="14"/>
  <c r="AC69" i="38"/>
  <c r="G69" i="38"/>
  <c r="Y26" i="38"/>
  <c r="X26" i="38"/>
  <c r="Y54" i="38"/>
  <c r="X54" i="38"/>
  <c r="Y74" i="38"/>
  <c r="X74" i="38"/>
  <c r="AC76" i="38"/>
  <c r="G76" i="38"/>
  <c r="AC52" i="38"/>
  <c r="G52" i="38"/>
  <c r="AC61" i="38"/>
  <c r="G61" i="38"/>
  <c r="AC89" i="38"/>
  <c r="G89" i="38"/>
  <c r="AC95" i="38"/>
  <c r="G95" i="38"/>
  <c r="AC26" i="38"/>
  <c r="G26" i="38"/>
  <c r="H36" i="49" s="1"/>
  <c r="AC74" i="38"/>
  <c r="G74" i="38"/>
  <c r="AC106" i="38"/>
  <c r="G106" i="38"/>
  <c r="Y116" i="38"/>
  <c r="X116" i="38"/>
  <c r="Y120" i="38"/>
  <c r="X120" i="38"/>
  <c r="X133" i="38"/>
  <c r="Y133" i="38"/>
  <c r="X141" i="38"/>
  <c r="Y141" i="38"/>
  <c r="W268" i="14"/>
  <c r="W260" i="14"/>
  <c r="X60" i="38"/>
  <c r="Y60" i="38"/>
  <c r="X62" i="38"/>
  <c r="Y62" i="38"/>
  <c r="AC75" i="38"/>
  <c r="G75" i="38"/>
  <c r="AC86" i="38"/>
  <c r="G86" i="38"/>
  <c r="AC98" i="38"/>
  <c r="G98" i="38"/>
  <c r="AC102" i="38"/>
  <c r="G102" i="38"/>
  <c r="X45" i="38"/>
  <c r="Y45" i="38"/>
  <c r="AC87" i="38"/>
  <c r="G87" i="38"/>
  <c r="G57" i="38"/>
  <c r="AC57" i="38"/>
  <c r="X68" i="38"/>
  <c r="Y68" i="38"/>
  <c r="X108" i="38"/>
  <c r="Y108" i="38"/>
  <c r="BX53" i="51"/>
  <c r="BW52" i="51"/>
  <c r="BZ51" i="51"/>
  <c r="BY50" i="51"/>
  <c r="BX49" i="51"/>
  <c r="BW48" i="51"/>
  <c r="BZ47" i="51"/>
  <c r="BY46" i="51"/>
  <c r="BX45" i="51"/>
  <c r="BW44" i="51"/>
  <c r="BZ43" i="51"/>
  <c r="BY42" i="51"/>
  <c r="BX41" i="51"/>
  <c r="BW40" i="51"/>
  <c r="BZ39" i="51"/>
  <c r="BY38" i="51"/>
  <c r="BX37" i="51"/>
  <c r="BW36" i="51"/>
  <c r="BZ35" i="51"/>
  <c r="BY34" i="51"/>
  <c r="BX33" i="51"/>
  <c r="BW32" i="51"/>
  <c r="BZ31" i="51"/>
  <c r="BY30" i="51"/>
  <c r="BX29" i="51"/>
  <c r="BW28" i="51"/>
  <c r="BZ27" i="51"/>
  <c r="BY26" i="51"/>
  <c r="BW53" i="51"/>
  <c r="BZ52" i="51"/>
  <c r="BY51" i="51"/>
  <c r="BX50" i="51"/>
  <c r="BW49" i="51"/>
  <c r="BZ48" i="51"/>
  <c r="BY47" i="51"/>
  <c r="BX46" i="51"/>
  <c r="BW45" i="51"/>
  <c r="BZ44" i="51"/>
  <c r="BY43" i="51"/>
  <c r="BX42" i="51"/>
  <c r="BW41" i="51"/>
  <c r="BZ40" i="51"/>
  <c r="BY39" i="51"/>
  <c r="BX38" i="51"/>
  <c r="BW37" i="51"/>
  <c r="BZ36" i="51"/>
  <c r="BY35" i="51"/>
  <c r="BX34" i="51"/>
  <c r="BW33" i="51"/>
  <c r="BZ32" i="51"/>
  <c r="BY31" i="51"/>
  <c r="BX30" i="51"/>
  <c r="BW29" i="51"/>
  <c r="BZ28" i="51"/>
  <c r="BY27" i="51"/>
  <c r="BX26" i="51"/>
  <c r="BZ53" i="51"/>
  <c r="BY52" i="51"/>
  <c r="BX51" i="51"/>
  <c r="BW50" i="51"/>
  <c r="BZ49" i="51"/>
  <c r="BY48" i="51"/>
  <c r="BX47" i="51"/>
  <c r="BW46" i="51"/>
  <c r="BZ45" i="51"/>
  <c r="BY44" i="51"/>
  <c r="BX43" i="51"/>
  <c r="BW42" i="51"/>
  <c r="BZ41" i="51"/>
  <c r="BY40" i="51"/>
  <c r="BX39" i="51"/>
  <c r="BW38" i="51"/>
  <c r="BZ37" i="51"/>
  <c r="BY36" i="51"/>
  <c r="BX35" i="51"/>
  <c r="BW34" i="51"/>
  <c r="BZ33" i="51"/>
  <c r="BY32" i="51"/>
  <c r="BX31" i="51"/>
  <c r="BW30" i="51"/>
  <c r="BZ29" i="51"/>
  <c r="BY28" i="51"/>
  <c r="BW47" i="51"/>
  <c r="BX44" i="51"/>
  <c r="BY41" i="51"/>
  <c r="BZ38" i="51"/>
  <c r="BW31" i="51"/>
  <c r="BX28" i="51"/>
  <c r="BW51" i="51"/>
  <c r="BX48" i="51"/>
  <c r="BY45" i="51"/>
  <c r="BZ42" i="51"/>
  <c r="BW35" i="51"/>
  <c r="BX32" i="51"/>
  <c r="BY29" i="51"/>
  <c r="BX27" i="51"/>
  <c r="BX52" i="51"/>
  <c r="BY49" i="51"/>
  <c r="BZ46" i="51"/>
  <c r="BW39" i="51"/>
  <c r="BX36" i="51"/>
  <c r="BY33" i="51"/>
  <c r="BZ30" i="51"/>
  <c r="BW27" i="51"/>
  <c r="BZ26" i="51"/>
  <c r="BW43" i="51"/>
  <c r="BZ34" i="51"/>
  <c r="BZ50" i="51"/>
  <c r="BY37" i="51"/>
  <c r="BY53" i="51"/>
  <c r="BX40" i="51"/>
  <c r="BW26" i="51"/>
  <c r="G15" i="38"/>
  <c r="H31" i="49" s="1"/>
  <c r="AC15" i="38"/>
  <c r="G120" i="38"/>
  <c r="AC120" i="38"/>
  <c r="AC56" i="38"/>
  <c r="G56" i="38"/>
  <c r="AC115" i="38"/>
  <c r="G115" i="38"/>
  <c r="Y126" i="38"/>
  <c r="X126" i="38"/>
  <c r="AC78" i="38"/>
  <c r="G78" i="38"/>
  <c r="AC38" i="38"/>
  <c r="G38" i="38"/>
  <c r="Y114" i="38"/>
  <c r="X114" i="38"/>
  <c r="Z311" i="49"/>
  <c r="I80" i="49"/>
  <c r="I61" i="49"/>
  <c r="I63" i="49"/>
  <c r="I70" i="49"/>
  <c r="I62" i="49"/>
  <c r="T194" i="11"/>
  <c r="V186" i="11"/>
  <c r="T186" i="11"/>
  <c r="T178" i="11"/>
  <c r="T170" i="11"/>
  <c r="T162" i="11"/>
  <c r="V154" i="11"/>
  <c r="T154" i="11"/>
  <c r="S364" i="11"/>
  <c r="S365" i="11"/>
  <c r="S348" i="11"/>
  <c r="S349" i="11"/>
  <c r="L4" i="11"/>
  <c r="V378" i="11"/>
  <c r="V295" i="11"/>
  <c r="V279" i="11"/>
  <c r="V263" i="11"/>
  <c r="V247" i="11"/>
  <c r="S203" i="11"/>
  <c r="S204" i="11"/>
  <c r="S139" i="11"/>
  <c r="S140" i="11"/>
  <c r="T107" i="11"/>
  <c r="S482" i="11"/>
  <c r="S191" i="11"/>
  <c r="S192" i="11"/>
  <c r="V477" i="11"/>
  <c r="S211" i="11"/>
  <c r="S212" i="11"/>
  <c r="T179" i="11"/>
  <c r="T115" i="11"/>
  <c r="S215" i="11"/>
  <c r="S216" i="11"/>
  <c r="V199" i="11"/>
  <c r="S183" i="11"/>
  <c r="S184" i="11"/>
  <c r="I317" i="49"/>
  <c r="I304" i="49"/>
  <c r="I296" i="49"/>
  <c r="I292" i="49"/>
  <c r="Z299" i="49"/>
  <c r="I91" i="49"/>
  <c r="I75" i="49"/>
  <c r="I82" i="49"/>
  <c r="I93" i="49"/>
  <c r="I69" i="49"/>
  <c r="I76" i="49"/>
  <c r="Z66" i="49"/>
  <c r="I56" i="49"/>
  <c r="I48" i="49"/>
  <c r="I32" i="49"/>
  <c r="I55" i="49"/>
  <c r="I50" i="49"/>
  <c r="I38" i="49"/>
  <c r="S475" i="11"/>
  <c r="S467" i="11"/>
  <c r="S468" i="11"/>
  <c r="S455" i="11"/>
  <c r="S456" i="11"/>
  <c r="S443" i="11"/>
  <c r="S444" i="11"/>
  <c r="S431" i="11"/>
  <c r="S432" i="11"/>
  <c r="S419" i="11"/>
  <c r="S420" i="11"/>
  <c r="S415" i="11"/>
  <c r="S416" i="11"/>
  <c r="S407" i="11"/>
  <c r="S408" i="11"/>
  <c r="T172" i="11"/>
  <c r="T108" i="11"/>
  <c r="T93" i="11"/>
  <c r="T44" i="11"/>
  <c r="V485" i="11"/>
  <c r="S320" i="11"/>
  <c r="S321" i="11"/>
  <c r="S304" i="11"/>
  <c r="S305" i="11"/>
  <c r="S387" i="11"/>
  <c r="V417" i="11"/>
  <c r="T454" i="11"/>
  <c r="V429" i="11"/>
  <c r="T299" i="11"/>
  <c r="T300" i="11"/>
  <c r="T486" i="11"/>
  <c r="T466" i="11"/>
  <c r="T450" i="11"/>
  <c r="T434" i="11"/>
  <c r="T418" i="11"/>
  <c r="T402" i="11"/>
  <c r="T296" i="11"/>
  <c r="V286" i="11"/>
  <c r="V270" i="11"/>
  <c r="V267" i="11"/>
  <c r="T264" i="11"/>
  <c r="V254" i="11"/>
  <c r="V251" i="11"/>
  <c r="T248" i="11"/>
  <c r="T235" i="11"/>
  <c r="T219" i="11"/>
  <c r="S187" i="11"/>
  <c r="S188" i="11"/>
  <c r="V155" i="11"/>
  <c r="T83" i="11"/>
  <c r="V437" i="11"/>
  <c r="S373" i="11"/>
  <c r="S143" i="11"/>
  <c r="S144" i="11"/>
  <c r="S20" i="11"/>
  <c r="V303" i="11"/>
  <c r="S227" i="11"/>
  <c r="S228" i="11"/>
  <c r="S163" i="11"/>
  <c r="S164" i="11"/>
  <c r="T75" i="11"/>
  <c r="T462" i="11"/>
  <c r="T213" i="11"/>
  <c r="T161" i="11"/>
  <c r="T121" i="11"/>
  <c r="T69" i="11"/>
  <c r="BJ498" i="14"/>
  <c r="BF498" i="14"/>
  <c r="BK498" i="14"/>
  <c r="BH498" i="14"/>
  <c r="BG498" i="14"/>
  <c r="BD498" i="14"/>
  <c r="T157" i="11"/>
  <c r="BK489" i="14"/>
  <c r="BG489" i="14"/>
  <c r="BJ489" i="14"/>
  <c r="BF489" i="14"/>
  <c r="BI489" i="14"/>
  <c r="BE489" i="14"/>
  <c r="BH489" i="14"/>
  <c r="BD489" i="14"/>
  <c r="BC472" i="14"/>
  <c r="BC456" i="14"/>
  <c r="BC440" i="14"/>
  <c r="BC495" i="14"/>
  <c r="BK479" i="14"/>
  <c r="BG479" i="14"/>
  <c r="BJ479" i="14"/>
  <c r="BF479" i="14"/>
  <c r="BI479" i="14"/>
  <c r="BE479" i="14"/>
  <c r="BH479" i="14"/>
  <c r="BD479" i="14"/>
  <c r="T61" i="11"/>
  <c r="I305" i="49"/>
  <c r="I301" i="49"/>
  <c r="I293" i="49"/>
  <c r="Z290" i="49"/>
  <c r="I288" i="49"/>
  <c r="I284" i="49"/>
  <c r="I280" i="49"/>
  <c r="I316" i="49"/>
  <c r="I294" i="49"/>
  <c r="I287" i="49"/>
  <c r="I279" i="49"/>
  <c r="Z232" i="49"/>
  <c r="Z231" i="49"/>
  <c r="Z230" i="49"/>
  <c r="Z229" i="49"/>
  <c r="Z228" i="49"/>
  <c r="Z227" i="49"/>
  <c r="Z226" i="49"/>
  <c r="Z225" i="49"/>
  <c r="Z224" i="49"/>
  <c r="Z223" i="49"/>
  <c r="Z222" i="49"/>
  <c r="Z221" i="49"/>
  <c r="Z220" i="49"/>
  <c r="Z219" i="49"/>
  <c r="Z218" i="49"/>
  <c r="Z217" i="49"/>
  <c r="Z216" i="49"/>
  <c r="Z215" i="49"/>
  <c r="Z214" i="49"/>
  <c r="Z213" i="49"/>
  <c r="Z212" i="49"/>
  <c r="Z211" i="49"/>
  <c r="Z210" i="49"/>
  <c r="Z209" i="49"/>
  <c r="Z208" i="49"/>
  <c r="Z207" i="49"/>
  <c r="Z206" i="49"/>
  <c r="Z205" i="49"/>
  <c r="Z204" i="49"/>
  <c r="Z203" i="49"/>
  <c r="Z202" i="49"/>
  <c r="Z201" i="49"/>
  <c r="Z200" i="49"/>
  <c r="Z199" i="49"/>
  <c r="Z198" i="49"/>
  <c r="Z197" i="49"/>
  <c r="I303" i="49"/>
  <c r="I281" i="49"/>
  <c r="I315" i="49"/>
  <c r="Z315" i="49"/>
  <c r="Z285" i="49"/>
  <c r="I298" i="49"/>
  <c r="I289" i="49"/>
  <c r="I79" i="49"/>
  <c r="I71" i="49"/>
  <c r="I94" i="49"/>
  <c r="I85" i="49"/>
  <c r="Z80" i="49"/>
  <c r="I65" i="49"/>
  <c r="I57" i="49"/>
  <c r="I45" i="49"/>
  <c r="I29" i="49"/>
  <c r="Z84" i="49"/>
  <c r="I60" i="49"/>
  <c r="I88" i="49"/>
  <c r="I67" i="49"/>
  <c r="I59" i="49"/>
  <c r="I92" i="49"/>
  <c r="I54" i="49"/>
  <c r="I42" i="49"/>
  <c r="Z55" i="49"/>
  <c r="Z46" i="49"/>
  <c r="I47" i="49"/>
  <c r="I34" i="49"/>
  <c r="Z24" i="49"/>
  <c r="S479" i="11"/>
  <c r="S480" i="11"/>
  <c r="T230" i="11"/>
  <c r="T222" i="11"/>
  <c r="T214" i="11"/>
  <c r="T206" i="11"/>
  <c r="V198" i="11"/>
  <c r="T198" i="11"/>
  <c r="V190" i="11"/>
  <c r="T190" i="11"/>
  <c r="V182" i="11"/>
  <c r="T182" i="11"/>
  <c r="T174" i="11"/>
  <c r="T166" i="11"/>
  <c r="T158" i="11"/>
  <c r="T150" i="11"/>
  <c r="T142" i="11"/>
  <c r="T134" i="11"/>
  <c r="T126" i="11"/>
  <c r="T118" i="11"/>
  <c r="T110" i="11"/>
  <c r="S384" i="11"/>
  <c r="S368" i="11"/>
  <c r="S352" i="11"/>
  <c r="S336" i="11"/>
  <c r="S324" i="11"/>
  <c r="S325" i="11"/>
  <c r="S308" i="11"/>
  <c r="S309" i="11"/>
  <c r="S375" i="11"/>
  <c r="S359" i="11"/>
  <c r="S343" i="11"/>
  <c r="T458" i="11"/>
  <c r="V433" i="11"/>
  <c r="T394" i="11"/>
  <c r="T371" i="11"/>
  <c r="V331" i="11"/>
  <c r="V315" i="11"/>
  <c r="V299" i="11"/>
  <c r="T470" i="11"/>
  <c r="V445" i="11"/>
  <c r="T406" i="11"/>
  <c r="T367" i="11"/>
  <c r="S327" i="11"/>
  <c r="S484" i="11"/>
  <c r="V457" i="11"/>
  <c r="V441" i="11"/>
  <c r="V425" i="11"/>
  <c r="V409" i="11"/>
  <c r="V393" i="11"/>
  <c r="J96" i="11"/>
  <c r="J85" i="11"/>
  <c r="J83" i="11"/>
  <c r="J79" i="11"/>
  <c r="J77" i="11"/>
  <c r="J102" i="11"/>
  <c r="J73" i="11"/>
  <c r="J53" i="11"/>
  <c r="J49" i="11"/>
  <c r="J47" i="11"/>
  <c r="J99" i="11"/>
  <c r="J31" i="11"/>
  <c r="J29" i="11"/>
  <c r="J25" i="11"/>
  <c r="J23" i="11"/>
  <c r="J101" i="11"/>
  <c r="J9" i="11"/>
  <c r="J7" i="11"/>
  <c r="J5" i="11"/>
  <c r="S345" i="11"/>
  <c r="V319" i="11"/>
  <c r="S303" i="11"/>
  <c r="T293" i="11"/>
  <c r="V290" i="11"/>
  <c r="T287" i="11"/>
  <c r="V287" i="11"/>
  <c r="T284" i="11"/>
  <c r="T277" i="11"/>
  <c r="V274" i="11"/>
  <c r="T271" i="11"/>
  <c r="V271" i="11"/>
  <c r="T268" i="11"/>
  <c r="T261" i="11"/>
  <c r="T255" i="11"/>
  <c r="V255" i="11"/>
  <c r="T252" i="11"/>
  <c r="T245" i="11"/>
  <c r="T239" i="11"/>
  <c r="V239" i="11"/>
  <c r="T236" i="11"/>
  <c r="T203" i="11"/>
  <c r="S171" i="11"/>
  <c r="S172" i="11"/>
  <c r="T139" i="11"/>
  <c r="S107" i="11"/>
  <c r="S108" i="11"/>
  <c r="T19" i="11"/>
  <c r="H1" i="11"/>
  <c r="J1" i="11"/>
  <c r="F1" i="11"/>
  <c r="M6" i="37"/>
  <c r="M7" i="37"/>
  <c r="M5" i="37"/>
  <c r="T430" i="11"/>
  <c r="S369" i="11"/>
  <c r="S337" i="11"/>
  <c r="S223" i="11"/>
  <c r="S224" i="11"/>
  <c r="T191" i="11"/>
  <c r="S159" i="11"/>
  <c r="S160" i="11"/>
  <c r="T127" i="11"/>
  <c r="T15" i="11"/>
  <c r="S84" i="11"/>
  <c r="S36" i="11"/>
  <c r="T211" i="11"/>
  <c r="S179" i="11"/>
  <c r="S180" i="11"/>
  <c r="T147" i="11"/>
  <c r="S115" i="11"/>
  <c r="S116" i="11"/>
  <c r="T11" i="11"/>
  <c r="T307" i="11"/>
  <c r="V284" i="11"/>
  <c r="V268" i="11"/>
  <c r="V252" i="11"/>
  <c r="S231" i="11"/>
  <c r="S232" i="11"/>
  <c r="T215" i="11"/>
  <c r="S199" i="11"/>
  <c r="S200" i="11"/>
  <c r="T183" i="11"/>
  <c r="V172" i="11"/>
  <c r="S167" i="11"/>
  <c r="S168" i="11"/>
  <c r="T151" i="11"/>
  <c r="S135" i="11"/>
  <c r="S136" i="11"/>
  <c r="T119" i="11"/>
  <c r="S104" i="11"/>
  <c r="T193" i="11"/>
  <c r="T153" i="11"/>
  <c r="T117" i="11"/>
  <c r="BK490" i="14"/>
  <c r="BG490" i="14"/>
  <c r="BJ490" i="14"/>
  <c r="BF490" i="14"/>
  <c r="BI490" i="14"/>
  <c r="BE490" i="14"/>
  <c r="BH490" i="14"/>
  <c r="BD490" i="14"/>
  <c r="BK478" i="14"/>
  <c r="BG478" i="14"/>
  <c r="BJ478" i="14"/>
  <c r="BF478" i="14"/>
  <c r="BI478" i="14"/>
  <c r="BE478" i="14"/>
  <c r="BH478" i="14"/>
  <c r="BD478" i="14"/>
  <c r="S319" i="11"/>
  <c r="T125" i="11"/>
  <c r="T7" i="11"/>
  <c r="BK500" i="14"/>
  <c r="BH500" i="14"/>
  <c r="BG500" i="14"/>
  <c r="BD500" i="14"/>
  <c r="BK485" i="14"/>
  <c r="BG485" i="14"/>
  <c r="BJ485" i="14"/>
  <c r="BF485" i="14"/>
  <c r="BI485" i="14"/>
  <c r="BE485" i="14"/>
  <c r="BH485" i="14"/>
  <c r="BD485" i="14"/>
  <c r="BK477" i="14"/>
  <c r="BG477" i="14"/>
  <c r="BJ477" i="14"/>
  <c r="BF477" i="14"/>
  <c r="BI477" i="14"/>
  <c r="BE477" i="14"/>
  <c r="BH477" i="14"/>
  <c r="BD477" i="14"/>
  <c r="BK469" i="14"/>
  <c r="BG469" i="14"/>
  <c r="BJ469" i="14"/>
  <c r="BF469" i="14"/>
  <c r="BI469" i="14"/>
  <c r="BE469" i="14"/>
  <c r="BH469" i="14"/>
  <c r="BD469" i="14"/>
  <c r="BK461" i="14"/>
  <c r="BG461" i="14"/>
  <c r="BJ461" i="14"/>
  <c r="BF461" i="14"/>
  <c r="BI461" i="14"/>
  <c r="BE461" i="14"/>
  <c r="BH461" i="14"/>
  <c r="BD461" i="14"/>
  <c r="BK453" i="14"/>
  <c r="BG453" i="14"/>
  <c r="BJ453" i="14"/>
  <c r="BF453" i="14"/>
  <c r="BI453" i="14"/>
  <c r="BE453" i="14"/>
  <c r="BH453" i="14"/>
  <c r="BD453" i="14"/>
  <c r="BK445" i="14"/>
  <c r="BG445" i="14"/>
  <c r="BJ445" i="14"/>
  <c r="BF445" i="14"/>
  <c r="BI445" i="14"/>
  <c r="BE445" i="14"/>
  <c r="BH445" i="14"/>
  <c r="BD445" i="14"/>
  <c r="BK437" i="14"/>
  <c r="BG437" i="14"/>
  <c r="BJ437" i="14"/>
  <c r="BF437" i="14"/>
  <c r="BI437" i="14"/>
  <c r="BE437" i="14"/>
  <c r="BH437" i="14"/>
  <c r="BD437" i="14"/>
  <c r="BK429" i="14"/>
  <c r="BG429" i="14"/>
  <c r="BJ429" i="14"/>
  <c r="BF429" i="14"/>
  <c r="BI429" i="14"/>
  <c r="BE429" i="14"/>
  <c r="BH429" i="14"/>
  <c r="BD429" i="14"/>
  <c r="BK421" i="14"/>
  <c r="BG421" i="14"/>
  <c r="BJ421" i="14"/>
  <c r="BF421" i="14"/>
  <c r="BI421" i="14"/>
  <c r="BE421" i="14"/>
  <c r="BH421" i="14"/>
  <c r="BD421" i="14"/>
  <c r="T209" i="11"/>
  <c r="T133" i="11"/>
  <c r="T23" i="11"/>
  <c r="T21" i="11"/>
  <c r="X480" i="14"/>
  <c r="X468" i="14"/>
  <c r="X460" i="14"/>
  <c r="X452" i="14"/>
  <c r="X444" i="14"/>
  <c r="X436" i="14"/>
  <c r="X428" i="14"/>
  <c r="X420" i="14"/>
  <c r="BK417" i="14"/>
  <c r="BG417" i="14"/>
  <c r="BI417" i="14"/>
  <c r="BE417" i="14"/>
  <c r="BH417" i="14"/>
  <c r="BF417" i="14"/>
  <c r="BD417" i="14"/>
  <c r="BJ417" i="14"/>
  <c r="T141" i="11"/>
  <c r="T77" i="11"/>
  <c r="BC491" i="14"/>
  <c r="BK483" i="14"/>
  <c r="BG483" i="14"/>
  <c r="BJ483" i="14"/>
  <c r="BF483" i="14"/>
  <c r="BI483" i="14"/>
  <c r="BE483" i="14"/>
  <c r="BH483" i="14"/>
  <c r="BD483" i="14"/>
  <c r="AB455" i="14"/>
  <c r="BK383" i="14"/>
  <c r="BG383" i="14"/>
  <c r="BJ383" i="14"/>
  <c r="BF383" i="14"/>
  <c r="BD383" i="14"/>
  <c r="BI383" i="14"/>
  <c r="BH383" i="14"/>
  <c r="BE383" i="14"/>
  <c r="AB463" i="14"/>
  <c r="Y59" i="38"/>
  <c r="X59" i="38"/>
  <c r="Y70" i="38"/>
  <c r="X70" i="38"/>
  <c r="BI267" i="14"/>
  <c r="BE267" i="14"/>
  <c r="BH267" i="14"/>
  <c r="BD267" i="14"/>
  <c r="BJ267" i="14"/>
  <c r="BF267" i="14"/>
  <c r="BK267" i="14"/>
  <c r="BG267" i="14"/>
  <c r="BC266" i="14"/>
  <c r="BI259" i="14"/>
  <c r="BE259" i="14"/>
  <c r="BH259" i="14"/>
  <c r="BD259" i="14"/>
  <c r="BJ259" i="14"/>
  <c r="BF259" i="14"/>
  <c r="BK259" i="14"/>
  <c r="BG259" i="14"/>
  <c r="BI500" i="14"/>
  <c r="G64" i="38"/>
  <c r="H29" i="49" s="1"/>
  <c r="AC64" i="38"/>
  <c r="AC70" i="38"/>
  <c r="G70" i="38"/>
  <c r="Y81" i="38"/>
  <c r="X81" i="38"/>
  <c r="AC82" i="38"/>
  <c r="G82" i="38"/>
  <c r="AC90" i="38"/>
  <c r="G90" i="38"/>
  <c r="Y95" i="38"/>
  <c r="X95" i="38"/>
  <c r="Y103" i="38"/>
  <c r="X103" i="38"/>
  <c r="Y106" i="38"/>
  <c r="X106" i="38"/>
  <c r="AC114" i="38"/>
  <c r="G114" i="38"/>
  <c r="AC118" i="38"/>
  <c r="G118" i="38"/>
  <c r="AC126" i="38"/>
  <c r="G126" i="38"/>
  <c r="G62" i="38"/>
  <c r="AC62" i="38"/>
  <c r="Y48" i="38"/>
  <c r="X48" i="38"/>
  <c r="Y57" i="38"/>
  <c r="X57" i="38"/>
  <c r="X139" i="38"/>
  <c r="Y139" i="38"/>
  <c r="AC77" i="38"/>
  <c r="G77" i="38"/>
  <c r="AC80" i="38"/>
  <c r="G80" i="38"/>
  <c r="AC94" i="38"/>
  <c r="G94" i="38"/>
  <c r="X58" i="38"/>
  <c r="Y58" i="38"/>
  <c r="X83" i="38"/>
  <c r="Y83" i="38"/>
  <c r="Y96" i="38"/>
  <c r="X96" i="38"/>
  <c r="AC108" i="38"/>
  <c r="G108" i="38"/>
  <c r="Y118" i="38"/>
  <c r="X118" i="38"/>
  <c r="AC79" i="38"/>
  <c r="G79" i="38"/>
  <c r="H44" i="49" s="1"/>
  <c r="AC101" i="38"/>
  <c r="G101" i="38"/>
  <c r="AC58" i="38"/>
  <c r="G58" i="38"/>
  <c r="Y112" i="38"/>
  <c r="X112" i="38"/>
  <c r="AC123" i="38"/>
  <c r="G123" i="38"/>
  <c r="G144" i="38"/>
  <c r="AC144" i="38"/>
  <c r="I295" i="49"/>
  <c r="I286" i="49"/>
  <c r="I282" i="49"/>
  <c r="I277" i="49"/>
  <c r="I283" i="49"/>
  <c r="I299" i="49"/>
  <c r="I89" i="49"/>
  <c r="I81" i="49"/>
  <c r="I73" i="49"/>
  <c r="I84" i="49"/>
  <c r="S487" i="11"/>
  <c r="S488" i="11"/>
  <c r="T130" i="11"/>
  <c r="S380" i="11"/>
  <c r="S381" i="11"/>
  <c r="S332" i="11"/>
  <c r="S333" i="11"/>
  <c r="S316" i="11"/>
  <c r="S317" i="11"/>
  <c r="S300" i="11"/>
  <c r="S301" i="11"/>
  <c r="J91" i="11"/>
  <c r="J68" i="11"/>
  <c r="J56" i="11"/>
  <c r="J32" i="11"/>
  <c r="J20" i="11"/>
  <c r="J104" i="11"/>
  <c r="J6" i="11"/>
  <c r="V330" i="11"/>
  <c r="I321" i="49"/>
  <c r="I307" i="49"/>
  <c r="I320" i="49"/>
  <c r="I319" i="49"/>
  <c r="Z310" i="49"/>
  <c r="Z302" i="49"/>
  <c r="I291" i="49"/>
  <c r="I194" i="49"/>
  <c r="Z281" i="49"/>
  <c r="I196" i="49"/>
  <c r="I311" i="49"/>
  <c r="I83" i="49"/>
  <c r="I86" i="49"/>
  <c r="I78" i="49"/>
  <c r="I77" i="49"/>
  <c r="I49" i="49"/>
  <c r="I33" i="49"/>
  <c r="I72" i="49"/>
  <c r="I64" i="49"/>
  <c r="Z58" i="49"/>
  <c r="I52" i="49"/>
  <c r="I44" i="49"/>
  <c r="I36" i="49"/>
  <c r="I28" i="49"/>
  <c r="I39" i="49"/>
  <c r="I26" i="49"/>
  <c r="I30" i="49"/>
  <c r="Z50" i="49"/>
  <c r="I31" i="49"/>
  <c r="I51" i="49"/>
  <c r="Z38" i="49"/>
  <c r="T232" i="11"/>
  <c r="T224" i="11"/>
  <c r="T200" i="11"/>
  <c r="T168" i="11"/>
  <c r="T160" i="11"/>
  <c r="T136" i="11"/>
  <c r="T478" i="11"/>
  <c r="S312" i="11"/>
  <c r="S486" i="11"/>
  <c r="S379" i="11"/>
  <c r="S363" i="11"/>
  <c r="S347" i="11"/>
  <c r="T482" i="11"/>
  <c r="T483" i="11"/>
  <c r="S476" i="11"/>
  <c r="V449" i="11"/>
  <c r="T410" i="11"/>
  <c r="T387" i="11"/>
  <c r="V461" i="11"/>
  <c r="T422" i="11"/>
  <c r="V397" i="11"/>
  <c r="T383" i="11"/>
  <c r="T315" i="11"/>
  <c r="T316" i="11"/>
  <c r="T379" i="11"/>
  <c r="T363" i="11"/>
  <c r="T347" i="11"/>
  <c r="S323" i="11"/>
  <c r="S307" i="11"/>
  <c r="T297" i="11"/>
  <c r="T291" i="11"/>
  <c r="V291" i="11"/>
  <c r="T281" i="11"/>
  <c r="T275" i="11"/>
  <c r="V275" i="11"/>
  <c r="T265" i="11"/>
  <c r="T259" i="11"/>
  <c r="T249" i="11"/>
  <c r="T243" i="11"/>
  <c r="S219" i="11"/>
  <c r="S220" i="11"/>
  <c r="V208" i="11"/>
  <c r="T187" i="11"/>
  <c r="S155" i="11"/>
  <c r="S156" i="11"/>
  <c r="T123" i="11"/>
  <c r="T35" i="11"/>
  <c r="T375" i="11"/>
  <c r="S357" i="11"/>
  <c r="T343" i="11"/>
  <c r="T323" i="11"/>
  <c r="S175" i="11"/>
  <c r="S176" i="11"/>
  <c r="S111" i="11"/>
  <c r="S112" i="11"/>
  <c r="T95" i="11"/>
  <c r="T63" i="11"/>
  <c r="S72" i="11"/>
  <c r="S12" i="11"/>
  <c r="V421" i="11"/>
  <c r="T227" i="11"/>
  <c r="S195" i="11"/>
  <c r="S196" i="11"/>
  <c r="T163" i="11"/>
  <c r="S131" i="11"/>
  <c r="S132" i="11"/>
  <c r="T91" i="11"/>
  <c r="T59" i="11"/>
  <c r="V405" i="11"/>
  <c r="S313" i="11"/>
  <c r="V296" i="11"/>
  <c r="V280" i="11"/>
  <c r="V264" i="11"/>
  <c r="V248" i="11"/>
  <c r="T71" i="11"/>
  <c r="T225" i="11"/>
  <c r="T185" i="11"/>
  <c r="T149" i="11"/>
  <c r="BK482" i="14"/>
  <c r="BG482" i="14"/>
  <c r="BJ482" i="14"/>
  <c r="BF482" i="14"/>
  <c r="BI482" i="14"/>
  <c r="BE482" i="14"/>
  <c r="BH482" i="14"/>
  <c r="BD482" i="14"/>
  <c r="T221" i="11"/>
  <c r="BK413" i="14"/>
  <c r="BG413" i="14"/>
  <c r="BI413" i="14"/>
  <c r="BH413" i="14"/>
  <c r="BF413" i="14"/>
  <c r="BE413" i="14"/>
  <c r="BJ413" i="14"/>
  <c r="BD413" i="14"/>
  <c r="T201" i="11"/>
  <c r="T165" i="11"/>
  <c r="T113" i="11"/>
  <c r="T109" i="11"/>
  <c r="BC487" i="14"/>
  <c r="BC471" i="14"/>
  <c r="BC435" i="14"/>
  <c r="BC427" i="14"/>
  <c r="BK385" i="14"/>
  <c r="BG385" i="14"/>
  <c r="BJ385" i="14"/>
  <c r="BF385" i="14"/>
  <c r="BD385" i="14"/>
  <c r="BI385" i="14"/>
  <c r="BH385" i="14"/>
  <c r="BE385" i="14"/>
  <c r="BK380" i="14"/>
  <c r="BG380" i="14"/>
  <c r="BH380" i="14"/>
  <c r="BF380" i="14"/>
  <c r="BJ380" i="14"/>
  <c r="BE380" i="14"/>
  <c r="BI380" i="14"/>
  <c r="BD380" i="14"/>
  <c r="BC393" i="14"/>
  <c r="BK392" i="14"/>
  <c r="BG392" i="14"/>
  <c r="BJ392" i="14"/>
  <c r="BF392" i="14"/>
  <c r="BI392" i="14"/>
  <c r="BE392" i="14"/>
  <c r="BH392" i="14"/>
  <c r="BD392" i="14"/>
  <c r="Y44" i="38"/>
  <c r="X44" i="38"/>
  <c r="BI265" i="14"/>
  <c r="BE265" i="14"/>
  <c r="BH265" i="14"/>
  <c r="BD265" i="14"/>
  <c r="BJ265" i="14"/>
  <c r="BF265" i="14"/>
  <c r="BK265" i="14"/>
  <c r="BG265" i="14"/>
  <c r="BC264" i="14"/>
  <c r="BJ500" i="14"/>
  <c r="W251" i="14"/>
  <c r="BI493" i="14"/>
  <c r="BE494" i="14"/>
  <c r="BE498" i="14"/>
  <c r="AC65" i="38"/>
  <c r="G65" i="38"/>
  <c r="AC99" i="38"/>
  <c r="G99" i="38"/>
  <c r="AC55" i="38"/>
  <c r="G55" i="38"/>
  <c r="Y88" i="38"/>
  <c r="X88" i="38"/>
  <c r="AC51" i="38"/>
  <c r="G51" i="38"/>
  <c r="BC78" i="14"/>
  <c r="BJ76" i="14"/>
  <c r="BF76" i="14"/>
  <c r="BI76" i="14"/>
  <c r="BE76" i="14"/>
  <c r="BH76" i="14"/>
  <c r="BD76" i="14"/>
  <c r="BK76" i="14"/>
  <c r="BG76" i="14"/>
  <c r="BH74" i="14"/>
  <c r="BD74" i="14"/>
  <c r="BJ72" i="14"/>
  <c r="BF72" i="14"/>
  <c r="BI72" i="14"/>
  <c r="BE72" i="14"/>
  <c r="BH72" i="14"/>
  <c r="BD72" i="14"/>
  <c r="BK72" i="14"/>
  <c r="BG72" i="14"/>
  <c r="BD70" i="14"/>
  <c r="BJ68" i="14"/>
  <c r="BF68" i="14"/>
  <c r="BI68" i="14"/>
  <c r="BE68" i="14"/>
  <c r="BH68" i="14"/>
  <c r="BD68" i="14"/>
  <c r="BK68" i="14"/>
  <c r="BG68" i="14"/>
  <c r="BJ66" i="14"/>
  <c r="BF66" i="14"/>
  <c r="BI66" i="14"/>
  <c r="BE66" i="14"/>
  <c r="BH66" i="14"/>
  <c r="BD66" i="14"/>
  <c r="BK66" i="14"/>
  <c r="BG66" i="14"/>
  <c r="BJ64" i="14"/>
  <c r="BF64" i="14"/>
  <c r="BI64" i="14"/>
  <c r="BE64" i="14"/>
  <c r="BH64" i="14"/>
  <c r="BD64" i="14"/>
  <c r="BK64" i="14"/>
  <c r="BG64" i="14"/>
  <c r="BJ62" i="14"/>
  <c r="BF62" i="14"/>
  <c r="BI62" i="14"/>
  <c r="BE62" i="14"/>
  <c r="BH62" i="14"/>
  <c r="BD62" i="14"/>
  <c r="BK62" i="14"/>
  <c r="BG62" i="14"/>
  <c r="BJ60" i="14"/>
  <c r="BF60" i="14"/>
  <c r="BI60" i="14"/>
  <c r="BE60" i="14"/>
  <c r="BH60" i="14"/>
  <c r="BD60" i="14"/>
  <c r="BK60" i="14"/>
  <c r="BG60" i="14"/>
  <c r="BJ58" i="14"/>
  <c r="BF58" i="14"/>
  <c r="BI58" i="14"/>
  <c r="BE58" i="14"/>
  <c r="BH58" i="14"/>
  <c r="BD58" i="14"/>
  <c r="BK58" i="14"/>
  <c r="BG58" i="14"/>
  <c r="BJ56" i="14"/>
  <c r="BF56" i="14"/>
  <c r="BI56" i="14"/>
  <c r="BE56" i="14"/>
  <c r="BH56" i="14"/>
  <c r="BD56" i="14"/>
  <c r="BK56" i="14"/>
  <c r="BG56" i="14"/>
  <c r="BJ54" i="14"/>
  <c r="BF54" i="14"/>
  <c r="BI54" i="14"/>
  <c r="BE54" i="14"/>
  <c r="BH54" i="14"/>
  <c r="BD54" i="14"/>
  <c r="BK54" i="14"/>
  <c r="BG54" i="14"/>
  <c r="BJ52" i="14"/>
  <c r="BF52" i="14"/>
  <c r="BI52" i="14"/>
  <c r="BE52" i="14"/>
  <c r="BH52" i="14"/>
  <c r="BD52" i="14"/>
  <c r="BK52" i="14"/>
  <c r="BG52" i="14"/>
  <c r="BJ50" i="14"/>
  <c r="BF50" i="14"/>
  <c r="BI50" i="14"/>
  <c r="BE50" i="14"/>
  <c r="BH50" i="14"/>
  <c r="BD50" i="14"/>
  <c r="BK50" i="14"/>
  <c r="BG50" i="14"/>
  <c r="BJ48" i="14"/>
  <c r="BF48" i="14"/>
  <c r="BI48" i="14"/>
  <c r="BE48" i="14"/>
  <c r="BH48" i="14"/>
  <c r="BD48" i="14"/>
  <c r="BK48" i="14"/>
  <c r="BG48" i="14"/>
  <c r="BJ46" i="14"/>
  <c r="BF46" i="14"/>
  <c r="BI46" i="14"/>
  <c r="BE46" i="14"/>
  <c r="BH46" i="14"/>
  <c r="BD46" i="14"/>
  <c r="BK46" i="14"/>
  <c r="BG46" i="14"/>
  <c r="BJ44" i="14"/>
  <c r="BF44" i="14"/>
  <c r="BI44" i="14"/>
  <c r="BE44" i="14"/>
  <c r="BH44" i="14"/>
  <c r="BD44" i="14"/>
  <c r="BK44" i="14"/>
  <c r="BG44" i="14"/>
  <c r="BJ42" i="14"/>
  <c r="BF42" i="14"/>
  <c r="BI42" i="14"/>
  <c r="BE42" i="14"/>
  <c r="BH42" i="14"/>
  <c r="BD42" i="14"/>
  <c r="BK42" i="14"/>
  <c r="BG42" i="14"/>
  <c r="BJ40" i="14"/>
  <c r="BF40" i="14"/>
  <c r="BI40" i="14"/>
  <c r="BE40" i="14"/>
  <c r="BH40" i="14"/>
  <c r="BD40" i="14"/>
  <c r="BK40" i="14"/>
  <c r="BG40" i="14"/>
  <c r="BJ38" i="14"/>
  <c r="BF38" i="14"/>
  <c r="BI38" i="14"/>
  <c r="BE38" i="14"/>
  <c r="BH38" i="14"/>
  <c r="BD38" i="14"/>
  <c r="BK38" i="14"/>
  <c r="BG38" i="14"/>
  <c r="BJ36" i="14"/>
  <c r="BE36" i="14"/>
  <c r="BH36" i="14"/>
  <c r="BG36" i="14"/>
  <c r="BJ34" i="14"/>
  <c r="BF34" i="14"/>
  <c r="BI34" i="14"/>
  <c r="BE34" i="14"/>
  <c r="BH34" i="14"/>
  <c r="BD34" i="14"/>
  <c r="BK34" i="14"/>
  <c r="BG34" i="14"/>
  <c r="BJ32" i="14"/>
  <c r="BF32" i="14"/>
  <c r="BI32" i="14"/>
  <c r="BE32" i="14"/>
  <c r="BH32" i="14"/>
  <c r="BD32" i="14"/>
  <c r="BK32" i="14"/>
  <c r="BG32" i="14"/>
  <c r="BJ30" i="14"/>
  <c r="BF30" i="14"/>
  <c r="BI30" i="14"/>
  <c r="BE30" i="14"/>
  <c r="BH30" i="14"/>
  <c r="BD30" i="14"/>
  <c r="BK30" i="14"/>
  <c r="BG30" i="14"/>
  <c r="BJ28" i="14"/>
  <c r="BF28" i="14"/>
  <c r="BI28" i="14"/>
  <c r="BE28" i="14"/>
  <c r="BH28" i="14"/>
  <c r="BD28" i="14"/>
  <c r="BK28" i="14"/>
  <c r="BG28" i="14"/>
  <c r="BJ26" i="14"/>
  <c r="BF26" i="14"/>
  <c r="BI26" i="14"/>
  <c r="BE26" i="14"/>
  <c r="BH26" i="14"/>
  <c r="BD26" i="14"/>
  <c r="BK26" i="14"/>
  <c r="BG26" i="14"/>
  <c r="BJ24" i="14"/>
  <c r="BF24" i="14"/>
  <c r="BI24" i="14"/>
  <c r="BE24" i="14"/>
  <c r="BH24" i="14"/>
  <c r="BD24" i="14"/>
  <c r="BK24" i="14"/>
  <c r="BG24" i="14"/>
  <c r="BJ22" i="14"/>
  <c r="BF22" i="14"/>
  <c r="BI22" i="14"/>
  <c r="BE22" i="14"/>
  <c r="BH22" i="14"/>
  <c r="BD22" i="14"/>
  <c r="BK22" i="14"/>
  <c r="BG22" i="14"/>
  <c r="BJ20" i="14"/>
  <c r="BF20" i="14"/>
  <c r="BI20" i="14"/>
  <c r="BE20" i="14"/>
  <c r="BH20" i="14"/>
  <c r="BD20" i="14"/>
  <c r="BK20" i="14"/>
  <c r="BG20" i="14"/>
  <c r="BJ18" i="14"/>
  <c r="BF18" i="14"/>
  <c r="BI18" i="14"/>
  <c r="BE18" i="14"/>
  <c r="BH18" i="14"/>
  <c r="BD18" i="14"/>
  <c r="BK18" i="14"/>
  <c r="BG18" i="14"/>
  <c r="BJ16" i="14"/>
  <c r="BF16" i="14"/>
  <c r="BI16" i="14"/>
  <c r="BE16" i="14"/>
  <c r="BH16" i="14"/>
  <c r="BD16" i="14"/>
  <c r="BK16" i="14"/>
  <c r="BG16" i="14"/>
  <c r="BJ14" i="14"/>
  <c r="BF14" i="14"/>
  <c r="BI14" i="14"/>
  <c r="BE14" i="14"/>
  <c r="BH14" i="14"/>
  <c r="BD14" i="14"/>
  <c r="BK14" i="14"/>
  <c r="BG14" i="14"/>
  <c r="BJ12" i="14"/>
  <c r="BF12" i="14"/>
  <c r="BI12" i="14"/>
  <c r="BE12" i="14"/>
  <c r="BH12" i="14"/>
  <c r="BD12" i="14"/>
  <c r="BK12" i="14"/>
  <c r="BG12" i="14"/>
  <c r="BJ10" i="14"/>
  <c r="BF10" i="14"/>
  <c r="BI10" i="14"/>
  <c r="BE10" i="14"/>
  <c r="BH10" i="14"/>
  <c r="BD10" i="14"/>
  <c r="BK10" i="14"/>
  <c r="BG10" i="14"/>
  <c r="BJ8" i="14"/>
  <c r="BF8" i="14"/>
  <c r="BI8" i="14"/>
  <c r="BE8" i="14"/>
  <c r="BH8" i="14"/>
  <c r="BD8" i="14"/>
  <c r="BK8" i="14"/>
  <c r="BG8" i="14"/>
  <c r="BJ6" i="14"/>
  <c r="BF6" i="14"/>
  <c r="BI6" i="14"/>
  <c r="BE6" i="14"/>
  <c r="BH6" i="14"/>
  <c r="BD6" i="14"/>
  <c r="BK6" i="14"/>
  <c r="BG6" i="14"/>
  <c r="BF4" i="14"/>
  <c r="AC59" i="38"/>
  <c r="G59" i="38"/>
  <c r="AC71" i="38"/>
  <c r="G71" i="38"/>
  <c r="AC81" i="38"/>
  <c r="G81" i="38"/>
  <c r="AC54" i="38"/>
  <c r="G54" i="38"/>
  <c r="AC88" i="38"/>
  <c r="G88" i="38"/>
  <c r="H50" i="49" s="1"/>
  <c r="Y15" i="38"/>
  <c r="X15" i="38"/>
  <c r="Y124" i="38"/>
  <c r="X124" i="38"/>
  <c r="Y128" i="38"/>
  <c r="X128" i="38"/>
  <c r="X131" i="38"/>
  <c r="Y131" i="38"/>
  <c r="Y137" i="38"/>
  <c r="X137" i="38"/>
  <c r="W266" i="14"/>
  <c r="W262" i="14"/>
  <c r="X53" i="38"/>
  <c r="Y53" i="38"/>
  <c r="Y79" i="38"/>
  <c r="X79" i="38"/>
  <c r="X85" i="38"/>
  <c r="Y85" i="38"/>
  <c r="X91" i="38"/>
  <c r="Y91" i="38"/>
  <c r="X101" i="38"/>
  <c r="Y101" i="38"/>
  <c r="AC105" i="38"/>
  <c r="G105" i="38"/>
  <c r="G116" i="38"/>
  <c r="AC116" i="38"/>
  <c r="G128" i="38"/>
  <c r="H27" i="49" s="1"/>
  <c r="AC128" i="38"/>
  <c r="Y100" i="38"/>
  <c r="X100" i="38"/>
  <c r="Y51" i="38"/>
  <c r="X51" i="38"/>
  <c r="AC119" i="38"/>
  <c r="G119" i="38"/>
  <c r="H151" i="49" l="1"/>
  <c r="H221" i="49"/>
  <c r="H214" i="11"/>
  <c r="V214" i="11" s="1"/>
  <c r="H146" i="49"/>
  <c r="H139" i="11"/>
  <c r="V139" i="11" s="1"/>
  <c r="H191" i="49"/>
  <c r="H184" i="11"/>
  <c r="V184" i="11" s="1"/>
  <c r="H253" i="49"/>
  <c r="H243" i="11"/>
  <c r="V243" i="11" s="1"/>
  <c r="H202" i="49"/>
  <c r="H195" i="11"/>
  <c r="V195" i="11" s="1"/>
  <c r="H199" i="49"/>
  <c r="H192" i="11"/>
  <c r="V192" i="11" s="1"/>
  <c r="H173" i="11"/>
  <c r="V173" i="11" s="1"/>
  <c r="H180" i="49"/>
  <c r="H170" i="11"/>
  <c r="V170" i="11" s="1"/>
  <c r="H177" i="49"/>
  <c r="H271" i="49"/>
  <c r="H261" i="11"/>
  <c r="V261" i="11" s="1"/>
  <c r="H256" i="49"/>
  <c r="H246" i="11"/>
  <c r="V246" i="11" s="1"/>
  <c r="H150" i="49"/>
  <c r="H228" i="11"/>
  <c r="V228" i="11" s="1"/>
  <c r="H238" i="49"/>
  <c r="H248" i="49"/>
  <c r="H238" i="11"/>
  <c r="V238" i="11" s="1"/>
  <c r="H187" i="49"/>
  <c r="H180" i="11"/>
  <c r="V180" i="11" s="1"/>
  <c r="H233" i="49"/>
  <c r="H223" i="11"/>
  <c r="V223" i="11" s="1"/>
  <c r="H245" i="49"/>
  <c r="H235" i="11"/>
  <c r="V235" i="11" s="1"/>
  <c r="H165" i="49"/>
  <c r="H158" i="11"/>
  <c r="V158" i="11" s="1"/>
  <c r="H177" i="11"/>
  <c r="V177" i="11" s="1"/>
  <c r="H184" i="49"/>
  <c r="H163" i="49"/>
  <c r="H156" i="11"/>
  <c r="V156" i="11" s="1"/>
  <c r="H241" i="49"/>
  <c r="H231" i="11"/>
  <c r="V231" i="11" s="1"/>
  <c r="H225" i="49"/>
  <c r="H228" i="49"/>
  <c r="H218" i="11"/>
  <c r="V218" i="11" s="1"/>
  <c r="H157" i="49"/>
  <c r="H156" i="49"/>
  <c r="H258" i="11"/>
  <c r="V258" i="11" s="1"/>
  <c r="H268" i="49"/>
  <c r="H102" i="11"/>
  <c r="V102" i="11" s="1"/>
  <c r="H165" i="11"/>
  <c r="V165" i="11" s="1"/>
  <c r="H172" i="49"/>
  <c r="H145" i="49"/>
  <c r="H232" i="49"/>
  <c r="H222" i="11"/>
  <c r="V222" i="11" s="1"/>
  <c r="H201" i="49"/>
  <c r="H194" i="11"/>
  <c r="V194" i="11" s="1"/>
  <c r="H183" i="49"/>
  <c r="H176" i="11"/>
  <c r="V176" i="11" s="1"/>
  <c r="H70" i="49"/>
  <c r="H168" i="11"/>
  <c r="V168" i="11" s="1"/>
  <c r="H175" i="49"/>
  <c r="H80" i="49"/>
  <c r="H185" i="49"/>
  <c r="H178" i="11"/>
  <c r="V178" i="11" s="1"/>
  <c r="H101" i="49"/>
  <c r="H211" i="49"/>
  <c r="H204" i="11"/>
  <c r="V204" i="11" s="1"/>
  <c r="H242" i="11"/>
  <c r="V242" i="11" s="1"/>
  <c r="H252" i="49"/>
  <c r="H236" i="49"/>
  <c r="H226" i="11"/>
  <c r="V226" i="11" s="1"/>
  <c r="H206" i="11"/>
  <c r="V206" i="11" s="1"/>
  <c r="H213" i="49"/>
  <c r="H227" i="11"/>
  <c r="V227" i="11" s="1"/>
  <c r="H237" i="49"/>
  <c r="H103" i="49"/>
  <c r="H188" i="49"/>
  <c r="H181" i="11"/>
  <c r="V181" i="11" s="1"/>
  <c r="H82" i="49"/>
  <c r="H164" i="49"/>
  <c r="H157" i="11"/>
  <c r="V157" i="11" s="1"/>
  <c r="H240" i="49"/>
  <c r="H230" i="11"/>
  <c r="V230" i="11" s="1"/>
  <c r="H138" i="49"/>
  <c r="H223" i="49"/>
  <c r="H216" i="11"/>
  <c r="V216" i="11" s="1"/>
  <c r="H224" i="49"/>
  <c r="H217" i="11"/>
  <c r="V217" i="11" s="1"/>
  <c r="H243" i="49"/>
  <c r="H233" i="11"/>
  <c r="V233" i="11" s="1"/>
  <c r="H167" i="11"/>
  <c r="V167" i="11" s="1"/>
  <c r="H174" i="49"/>
  <c r="H260" i="11"/>
  <c r="V260" i="11" s="1"/>
  <c r="H270" i="49"/>
  <c r="H173" i="49"/>
  <c r="H166" i="11"/>
  <c r="V166" i="11" s="1"/>
  <c r="H267" i="49"/>
  <c r="H257" i="11"/>
  <c r="V257" i="11" s="1"/>
  <c r="H131" i="49"/>
  <c r="H133" i="49"/>
  <c r="H245" i="11"/>
  <c r="V245" i="11" s="1"/>
  <c r="H255" i="49"/>
  <c r="H234" i="11"/>
  <c r="V234" i="11" s="1"/>
  <c r="H244" i="49"/>
  <c r="H84" i="49"/>
  <c r="H166" i="49"/>
  <c r="H159" i="11"/>
  <c r="V159" i="11" s="1"/>
  <c r="H88" i="49"/>
  <c r="H201" i="11"/>
  <c r="V201" i="11" s="1"/>
  <c r="H208" i="49"/>
  <c r="H136" i="49"/>
  <c r="H220" i="49"/>
  <c r="H213" i="11"/>
  <c r="V213" i="11" s="1"/>
  <c r="H46" i="49"/>
  <c r="H86" i="49"/>
  <c r="H48" i="49"/>
  <c r="H147" i="49"/>
  <c r="H140" i="11"/>
  <c r="V140" i="11" s="1"/>
  <c r="H106" i="49"/>
  <c r="H185" i="11"/>
  <c r="V185" i="11" s="1"/>
  <c r="H192" i="49"/>
  <c r="H239" i="49"/>
  <c r="H229" i="11"/>
  <c r="V229" i="11" s="1"/>
  <c r="H247" i="49"/>
  <c r="H237" i="11"/>
  <c r="V237" i="11" s="1"/>
  <c r="H182" i="49"/>
  <c r="H175" i="11"/>
  <c r="V175" i="11" s="1"/>
  <c r="H236" i="11"/>
  <c r="V236" i="11" s="1"/>
  <c r="H246" i="49"/>
  <c r="H117" i="49"/>
  <c r="H203" i="49"/>
  <c r="H196" i="11"/>
  <c r="V196" i="11" s="1"/>
  <c r="H200" i="49"/>
  <c r="H193" i="11"/>
  <c r="V193" i="11" s="1"/>
  <c r="H181" i="49"/>
  <c r="H174" i="11"/>
  <c r="V174" i="11" s="1"/>
  <c r="H212" i="11"/>
  <c r="V212" i="11" s="1"/>
  <c r="H219" i="49"/>
  <c r="H92" i="49"/>
  <c r="H178" i="49"/>
  <c r="H171" i="11"/>
  <c r="V171" i="11" s="1"/>
  <c r="H269" i="49"/>
  <c r="H259" i="11"/>
  <c r="V259" i="11" s="1"/>
  <c r="H30" i="49"/>
  <c r="H207" i="49"/>
  <c r="H200" i="11"/>
  <c r="V200" i="11" s="1"/>
  <c r="H49" i="49"/>
  <c r="H152" i="49"/>
  <c r="H153" i="49"/>
  <c r="H81" i="49"/>
  <c r="H116" i="49"/>
  <c r="H148" i="49"/>
  <c r="H149" i="49"/>
  <c r="H139" i="49"/>
  <c r="H171" i="49"/>
  <c r="H164" i="11"/>
  <c r="V164" i="11" s="1"/>
  <c r="H152" i="11"/>
  <c r="V152" i="11" s="1"/>
  <c r="H159" i="49"/>
  <c r="H94" i="49"/>
  <c r="H135" i="49"/>
  <c r="H132" i="49"/>
  <c r="H134" i="49"/>
  <c r="H162" i="11"/>
  <c r="V162" i="11" s="1"/>
  <c r="H169" i="49"/>
  <c r="H168" i="49"/>
  <c r="H161" i="11"/>
  <c r="V161" i="11" s="1"/>
  <c r="H105" i="49"/>
  <c r="H144" i="49"/>
  <c r="H170" i="49"/>
  <c r="H163" i="11"/>
  <c r="V163" i="11" s="1"/>
  <c r="H167" i="49"/>
  <c r="H160" i="11"/>
  <c r="V160" i="11" s="1"/>
  <c r="H158" i="49"/>
  <c r="H151" i="11"/>
  <c r="V151" i="11" s="1"/>
  <c r="H55" i="49"/>
  <c r="H127" i="49"/>
  <c r="H141" i="49"/>
  <c r="H90" i="49"/>
  <c r="H102" i="49"/>
  <c r="H100" i="49"/>
  <c r="H113" i="49"/>
  <c r="H128" i="49"/>
  <c r="H135" i="11"/>
  <c r="V135" i="11" s="1"/>
  <c r="H142" i="49"/>
  <c r="H45" i="49"/>
  <c r="H56" i="49"/>
  <c r="H67" i="49"/>
  <c r="H78" i="49"/>
  <c r="H51" i="49"/>
  <c r="H63" i="49"/>
  <c r="H65" i="49"/>
  <c r="H76" i="49"/>
  <c r="H129" i="49"/>
  <c r="H136" i="11"/>
  <c r="V136" i="11" s="1"/>
  <c r="H143" i="49"/>
  <c r="H126" i="49"/>
  <c r="H140" i="49"/>
  <c r="H118" i="49"/>
  <c r="H130" i="49"/>
  <c r="H107" i="49"/>
  <c r="H109" i="49"/>
  <c r="H108" i="49"/>
  <c r="H114" i="49"/>
  <c r="H69" i="49"/>
  <c r="H33" i="49"/>
  <c r="H35" i="49"/>
  <c r="H97" i="49"/>
  <c r="H99" i="49"/>
  <c r="H121" i="49"/>
  <c r="H124" i="49"/>
  <c r="H85" i="49"/>
  <c r="H71" i="49"/>
  <c r="H73" i="49"/>
  <c r="H37" i="49"/>
  <c r="H39" i="49"/>
  <c r="H75" i="49"/>
  <c r="H77" i="49"/>
  <c r="H41" i="49"/>
  <c r="H43" i="49"/>
  <c r="H120" i="49"/>
  <c r="H123" i="49"/>
  <c r="H58" i="49"/>
  <c r="H61" i="49"/>
  <c r="H52" i="49"/>
  <c r="H54" i="49"/>
  <c r="H96" i="49"/>
  <c r="H98" i="49"/>
  <c r="H66" i="49"/>
  <c r="H68" i="49"/>
  <c r="H93" i="49"/>
  <c r="H95" i="49"/>
  <c r="H62" i="49"/>
  <c r="H64" i="49"/>
  <c r="H122" i="49"/>
  <c r="H125" i="49"/>
  <c r="H57" i="49"/>
  <c r="H59" i="49"/>
  <c r="H60" i="49"/>
  <c r="H32" i="49"/>
  <c r="H34" i="49"/>
  <c r="H112" i="49"/>
  <c r="H115" i="49"/>
  <c r="H40" i="49"/>
  <c r="H42" i="49"/>
  <c r="H87" i="49"/>
  <c r="H89" i="49"/>
  <c r="H53" i="49"/>
  <c r="H17" i="49"/>
  <c r="H83" i="49"/>
  <c r="H23" i="49"/>
  <c r="H104" i="49"/>
  <c r="H20" i="49"/>
  <c r="H28" i="49"/>
  <c r="H11" i="49"/>
  <c r="H47" i="49"/>
  <c r="H14" i="49"/>
  <c r="H12" i="49"/>
  <c r="H21" i="49"/>
  <c r="H13" i="49"/>
  <c r="H18" i="49"/>
  <c r="H24" i="49"/>
  <c r="H9" i="49"/>
  <c r="H22" i="49"/>
  <c r="H6" i="49"/>
  <c r="H25" i="49"/>
  <c r="H26" i="49"/>
  <c r="H19" i="49"/>
  <c r="H15" i="49"/>
  <c r="BD17" i="14"/>
  <c r="BG4" i="14"/>
  <c r="BI17" i="14"/>
  <c r="BK33" i="14"/>
  <c r="BD81" i="14"/>
  <c r="BJ100" i="14"/>
  <c r="BD4" i="14"/>
  <c r="BD55" i="14"/>
  <c r="BI41" i="14"/>
  <c r="BE57" i="14"/>
  <c r="BJ57" i="14"/>
  <c r="BH37" i="14"/>
  <c r="BH57" i="14"/>
  <c r="BD89" i="14"/>
  <c r="BD103" i="14"/>
  <c r="BF103" i="14"/>
  <c r="BE4" i="14"/>
  <c r="BG25" i="14"/>
  <c r="BI25" i="14"/>
  <c r="BD59" i="14"/>
  <c r="BI102" i="14"/>
  <c r="BG102" i="14"/>
  <c r="BH102" i="14"/>
  <c r="BD39" i="14"/>
  <c r="BD97" i="14"/>
  <c r="BF57" i="14"/>
  <c r="BD83" i="14"/>
  <c r="BD96" i="14"/>
  <c r="BD86" i="14"/>
  <c r="BH81" i="14"/>
  <c r="BI103" i="14"/>
  <c r="BH103" i="14"/>
  <c r="BK36" i="14"/>
  <c r="BI36" i="14"/>
  <c r="BD36" i="14"/>
  <c r="BF25" i="14"/>
  <c r="BH4" i="14"/>
  <c r="BJ4" i="14"/>
  <c r="BK4" i="14"/>
  <c r="BH9" i="14"/>
  <c r="BD69" i="14"/>
  <c r="BK41" i="14"/>
  <c r="BH25" i="14"/>
  <c r="BD25" i="14"/>
  <c r="BF49" i="14"/>
  <c r="BD77" i="14"/>
  <c r="BD95" i="14"/>
  <c r="BF9" i="14"/>
  <c r="BI9" i="14"/>
  <c r="BD23" i="14"/>
  <c r="BD98" i="14"/>
  <c r="BD87" i="14"/>
  <c r="BJ97" i="14"/>
  <c r="BD9" i="14"/>
  <c r="BG9" i="14"/>
  <c r="BD85" i="14"/>
  <c r="BD27" i="14"/>
  <c r="BD35" i="14"/>
  <c r="BJ98" i="14"/>
  <c r="BE17" i="14"/>
  <c r="BJ89" i="14"/>
  <c r="BF41" i="14"/>
  <c r="BK57" i="14"/>
  <c r="BG41" i="14"/>
  <c r="BK37" i="14"/>
  <c r="BJ73" i="14"/>
  <c r="BJ83" i="14"/>
  <c r="BH83" i="14"/>
  <c r="BH41" i="14"/>
  <c r="BD41" i="14"/>
  <c r="BH33" i="14"/>
  <c r="BJ81" i="14"/>
  <c r="BE96" i="14"/>
  <c r="BG96" i="14"/>
  <c r="BD82" i="14"/>
  <c r="BE37" i="14"/>
  <c r="BJ37" i="14"/>
  <c r="BJ82" i="14"/>
  <c r="BJ69" i="14"/>
  <c r="BJ35" i="14"/>
  <c r="BK17" i="14"/>
  <c r="BF35" i="14"/>
  <c r="BH71" i="14"/>
  <c r="BI61" i="14"/>
  <c r="BE103" i="14"/>
  <c r="BH67" i="14"/>
  <c r="BH84" i="14"/>
  <c r="BK96" i="14"/>
  <c r="BI73" i="14"/>
  <c r="BE102" i="14"/>
  <c r="BF102" i="14"/>
  <c r="BF360" i="14"/>
  <c r="BE5" i="14"/>
  <c r="BJ51" i="14"/>
  <c r="BD63" i="14"/>
  <c r="BD75" i="14"/>
  <c r="BJ23" i="14"/>
  <c r="BH69" i="14"/>
  <c r="BH35" i="14"/>
  <c r="BI39" i="14"/>
  <c r="BH23" i="14"/>
  <c r="BI79" i="14"/>
  <c r="BE39" i="14"/>
  <c r="BF69" i="14"/>
  <c r="BD79" i="14"/>
  <c r="BJ9" i="14"/>
  <c r="BJ39" i="14"/>
  <c r="BJ85" i="14"/>
  <c r="BG39" i="14"/>
  <c r="BG360" i="14"/>
  <c r="BI11" i="14"/>
  <c r="BJ67" i="14"/>
  <c r="BE61" i="14"/>
  <c r="BG55" i="14"/>
  <c r="BI67" i="14"/>
  <c r="BI77" i="14"/>
  <c r="BJ5" i="14"/>
  <c r="BE11" i="14"/>
  <c r="BJ19" i="14"/>
  <c r="BJ55" i="14"/>
  <c r="BF61" i="14"/>
  <c r="BK61" i="14"/>
  <c r="BG67" i="14"/>
  <c r="BF65" i="14"/>
  <c r="BI71" i="14"/>
  <c r="BI5" i="14"/>
  <c r="BD51" i="14"/>
  <c r="BD19" i="14"/>
  <c r="BK5" i="14"/>
  <c r="BF5" i="14"/>
  <c r="BF19" i="14"/>
  <c r="BJ11" i="14"/>
  <c r="BH19" i="14"/>
  <c r="BJ71" i="14"/>
  <c r="BH43" i="14"/>
  <c r="BI84" i="14"/>
  <c r="BH55" i="14"/>
  <c r="BF51" i="14"/>
  <c r="BF71" i="14"/>
  <c r="BG29" i="14"/>
  <c r="BG43" i="14"/>
  <c r="BK43" i="14"/>
  <c r="BK67" i="14"/>
  <c r="BI100" i="14"/>
  <c r="BE100" i="14"/>
  <c r="BD5" i="14"/>
  <c r="BD94" i="14"/>
  <c r="BG5" i="14"/>
  <c r="BF11" i="14"/>
  <c r="BJ29" i="14"/>
  <c r="BJ43" i="14"/>
  <c r="BJ61" i="14"/>
  <c r="BF43" i="14"/>
  <c r="BJ84" i="14"/>
  <c r="BK19" i="14"/>
  <c r="BK71" i="14"/>
  <c r="BE29" i="14"/>
  <c r="BE19" i="14"/>
  <c r="BH51" i="14"/>
  <c r="BK55" i="14"/>
  <c r="BE84" i="14"/>
  <c r="BK100" i="14"/>
  <c r="BD93" i="14"/>
  <c r="BJ63" i="14"/>
  <c r="BG81" i="14"/>
  <c r="BH360" i="14"/>
  <c r="BK360" i="14"/>
  <c r="BJ360" i="14"/>
  <c r="BE360" i="14"/>
  <c r="BG57" i="14"/>
  <c r="BE33" i="14"/>
  <c r="BJ33" i="14"/>
  <c r="BD33" i="14"/>
  <c r="BD57" i="14"/>
  <c r="BD73" i="14"/>
  <c r="BD37" i="14"/>
  <c r="BI37" i="14"/>
  <c r="BJ41" i="14"/>
  <c r="BF37" i="14"/>
  <c r="BJ96" i="14"/>
  <c r="BI96" i="14"/>
  <c r="BF96" i="14"/>
  <c r="BG73" i="14"/>
  <c r="BH73" i="14"/>
  <c r="BG103" i="14"/>
  <c r="BI7" i="14"/>
  <c r="BG45" i="14"/>
  <c r="BJ103" i="14"/>
  <c r="BJ92" i="14"/>
  <c r="BF107" i="14"/>
  <c r="BG7" i="14"/>
  <c r="BF45" i="14"/>
  <c r="BK7" i="14"/>
  <c r="BJ15" i="14"/>
  <c r="BJ13" i="14"/>
  <c r="BJ59" i="14"/>
  <c r="BF92" i="14"/>
  <c r="BF13" i="14"/>
  <c r="BI13" i="14"/>
  <c r="BG92" i="14"/>
  <c r="BK92" i="14"/>
  <c r="BE9" i="14"/>
  <c r="BE97" i="14"/>
  <c r="BK97" i="14"/>
  <c r="BF33" i="14"/>
  <c r="BG21" i="14"/>
  <c r="BK73" i="14"/>
  <c r="BE73" i="14"/>
  <c r="BD15" i="14"/>
  <c r="BD91" i="14"/>
  <c r="BJ94" i="14"/>
  <c r="BE55" i="14"/>
  <c r="BF55" i="14"/>
  <c r="BH11" i="14"/>
  <c r="BF29" i="14"/>
  <c r="BK51" i="14"/>
  <c r="BE67" i="14"/>
  <c r="BH61" i="14"/>
  <c r="BK29" i="14"/>
  <c r="BE71" i="14"/>
  <c r="BI51" i="14"/>
  <c r="BG51" i="14"/>
  <c r="BH29" i="14"/>
  <c r="BK11" i="14"/>
  <c r="BF84" i="14"/>
  <c r="BI19" i="14"/>
  <c r="BK84" i="14"/>
  <c r="BD13" i="14"/>
  <c r="BD7" i="14"/>
  <c r="BD92" i="14"/>
  <c r="BE25" i="14"/>
  <c r="BE7" i="14"/>
  <c r="BJ77" i="14"/>
  <c r="BH45" i="14"/>
  <c r="BG47" i="14"/>
  <c r="BH13" i="14"/>
  <c r="BK59" i="14"/>
  <c r="BE59" i="14"/>
  <c r="BI59" i="14"/>
  <c r="BK77" i="14"/>
  <c r="BD45" i="14"/>
  <c r="BD99" i="14"/>
  <c r="BH7" i="14"/>
  <c r="BF7" i="14"/>
  <c r="BJ45" i="14"/>
  <c r="BH47" i="14"/>
  <c r="BJ95" i="14"/>
  <c r="BH59" i="14"/>
  <c r="BK13" i="14"/>
  <c r="BE13" i="14"/>
  <c r="BE92" i="14"/>
  <c r="BH92" i="14"/>
  <c r="BD47" i="14"/>
  <c r="BJ25" i="14"/>
  <c r="BJ47" i="14"/>
  <c r="BK47" i="14"/>
  <c r="BK45" i="14"/>
  <c r="BF47" i="14"/>
  <c r="BI45" i="14"/>
  <c r="BG77" i="14"/>
  <c r="BF77" i="14"/>
  <c r="BG59" i="14"/>
  <c r="BI47" i="14"/>
  <c r="BK391" i="14"/>
  <c r="BF97" i="14"/>
  <c r="BK89" i="14"/>
  <c r="BH97" i="14"/>
  <c r="BH80" i="14"/>
  <c r="BI89" i="14"/>
  <c r="BF15" i="14"/>
  <c r="BE15" i="14"/>
  <c r="BG15" i="14"/>
  <c r="BJ262" i="14"/>
  <c r="BD80" i="14"/>
  <c r="BJ31" i="14"/>
  <c r="BE80" i="14"/>
  <c r="BI80" i="14"/>
  <c r="BF80" i="14"/>
  <c r="BE69" i="14"/>
  <c r="BK69" i="14"/>
  <c r="BH39" i="14"/>
  <c r="BI85" i="14"/>
  <c r="BI97" i="14"/>
  <c r="BK85" i="14"/>
  <c r="BH262" i="14"/>
  <c r="BE63" i="14"/>
  <c r="BH63" i="14"/>
  <c r="BH89" i="14"/>
  <c r="BF89" i="14"/>
  <c r="BE89" i="14"/>
  <c r="BE391" i="14"/>
  <c r="BG85" i="14"/>
  <c r="BJ411" i="14"/>
  <c r="BJ391" i="14"/>
  <c r="BF63" i="14"/>
  <c r="BH391" i="14"/>
  <c r="BG391" i="14"/>
  <c r="BF31" i="14"/>
  <c r="BI391" i="14"/>
  <c r="BI31" i="14"/>
  <c r="BK63" i="14"/>
  <c r="BK262" i="14"/>
  <c r="BE262" i="14"/>
  <c r="BF262" i="14"/>
  <c r="BE31" i="14"/>
  <c r="BH411" i="14"/>
  <c r="BI411" i="14"/>
  <c r="BF412" i="14"/>
  <c r="BJ93" i="14"/>
  <c r="BE81" i="14"/>
  <c r="BI81" i="14"/>
  <c r="BK102" i="14"/>
  <c r="BK411" i="14"/>
  <c r="BJ90" i="14"/>
  <c r="BH390" i="14"/>
  <c r="BJ390" i="14"/>
  <c r="BF390" i="14"/>
  <c r="BD262" i="14"/>
  <c r="BD391" i="14"/>
  <c r="BJ80" i="14"/>
  <c r="BG80" i="14"/>
  <c r="BE411" i="14"/>
  <c r="BK488" i="14"/>
  <c r="BD411" i="14"/>
  <c r="BG411" i="14"/>
  <c r="BI390" i="14"/>
  <c r="BK390" i="14"/>
  <c r="BE390" i="14"/>
  <c r="BG390" i="14"/>
  <c r="BD31" i="14"/>
  <c r="BH31" i="14"/>
  <c r="BG31" i="14"/>
  <c r="BG63" i="14"/>
  <c r="BF93" i="14"/>
  <c r="BI83" i="14"/>
  <c r="BK94" i="14"/>
  <c r="BK420" i="14"/>
  <c r="BF81" i="14"/>
  <c r="BJ412" i="14"/>
  <c r="BG412" i="14"/>
  <c r="BJ452" i="14"/>
  <c r="BJ75" i="14"/>
  <c r="BK75" i="14"/>
  <c r="BF75" i="14"/>
  <c r="BF79" i="14"/>
  <c r="BI23" i="14"/>
  <c r="BK412" i="14"/>
  <c r="BE75" i="14"/>
  <c r="BG35" i="14"/>
  <c r="BF39" i="14"/>
  <c r="BG79" i="14"/>
  <c r="BH75" i="14"/>
  <c r="BE79" i="14"/>
  <c r="BI35" i="14"/>
  <c r="BK23" i="14"/>
  <c r="BH412" i="14"/>
  <c r="BI262" i="14"/>
  <c r="BG488" i="14"/>
  <c r="BI15" i="14"/>
  <c r="BH15" i="14"/>
  <c r="BF23" i="14"/>
  <c r="BK35" i="14"/>
  <c r="BH77" i="14"/>
  <c r="BD412" i="14"/>
  <c r="BJ79" i="14"/>
  <c r="BH79" i="14"/>
  <c r="BG23" i="14"/>
  <c r="BI412" i="14"/>
  <c r="BK83" i="14"/>
  <c r="BG83" i="14"/>
  <c r="BI82" i="14"/>
  <c r="BI480" i="14"/>
  <c r="BI420" i="14"/>
  <c r="BK480" i="14"/>
  <c r="BE488" i="14"/>
  <c r="BE85" i="14"/>
  <c r="BG94" i="14"/>
  <c r="BE436" i="14"/>
  <c r="BE70" i="14"/>
  <c r="BE74" i="14"/>
  <c r="BJ49" i="14"/>
  <c r="BH27" i="14"/>
  <c r="BH21" i="14"/>
  <c r="BH53" i="14"/>
  <c r="BI21" i="14"/>
  <c r="BF27" i="14"/>
  <c r="BE53" i="14"/>
  <c r="BI70" i="14"/>
  <c r="BI74" i="14"/>
  <c r="BI49" i="14"/>
  <c r="BD53" i="14"/>
  <c r="BF21" i="14"/>
  <c r="BE49" i="14"/>
  <c r="BF53" i="14"/>
  <c r="BG53" i="14"/>
  <c r="BF70" i="14"/>
  <c r="BF74" i="14"/>
  <c r="BH49" i="14"/>
  <c r="BG49" i="14"/>
  <c r="BD88" i="14"/>
  <c r="BJ21" i="14"/>
  <c r="BK53" i="14"/>
  <c r="BE88" i="14"/>
  <c r="BH88" i="14"/>
  <c r="BJ53" i="14"/>
  <c r="BE27" i="14"/>
  <c r="BE21" i="14"/>
  <c r="BK27" i="14"/>
  <c r="BG88" i="14"/>
  <c r="BJ70" i="14"/>
  <c r="BG74" i="14"/>
  <c r="BJ88" i="14"/>
  <c r="BH70" i="14"/>
  <c r="BJ74" i="14"/>
  <c r="BG70" i="14"/>
  <c r="BK3" i="14"/>
  <c r="BI488" i="14"/>
  <c r="BG3" i="14"/>
  <c r="BJ27" i="14"/>
  <c r="BI75" i="14"/>
  <c r="BI88" i="14"/>
  <c r="BH85" i="14"/>
  <c r="BD49" i="14"/>
  <c r="BD21" i="14"/>
  <c r="BI27" i="14"/>
  <c r="BK88" i="14"/>
  <c r="H131" i="11"/>
  <c r="V131" i="11" s="1"/>
  <c r="H149" i="11"/>
  <c r="V149" i="11" s="1"/>
  <c r="H144" i="11"/>
  <c r="V144" i="11" s="1"/>
  <c r="H145" i="11"/>
  <c r="V145" i="11" s="1"/>
  <c r="H137" i="11"/>
  <c r="V137" i="11" s="1"/>
  <c r="H150" i="11"/>
  <c r="V150" i="11" s="1"/>
  <c r="H141" i="11"/>
  <c r="V141" i="11" s="1"/>
  <c r="H138" i="11"/>
  <c r="V138" i="11" s="1"/>
  <c r="H119" i="11"/>
  <c r="V119" i="11" s="1"/>
  <c r="H134" i="11"/>
  <c r="V134" i="11" s="1"/>
  <c r="H147" i="11"/>
  <c r="V147" i="11" s="1"/>
  <c r="H143" i="11"/>
  <c r="V143" i="11" s="1"/>
  <c r="H123" i="11"/>
  <c r="V123" i="11" s="1"/>
  <c r="H142" i="11"/>
  <c r="V142" i="11" s="1"/>
  <c r="H146" i="11"/>
  <c r="V146" i="11" s="1"/>
  <c r="BH488" i="14"/>
  <c r="BF488" i="14"/>
  <c r="BI468" i="14"/>
  <c r="BD488" i="14"/>
  <c r="BK468" i="14"/>
  <c r="BI436" i="14"/>
  <c r="BE484" i="14"/>
  <c r="BG436" i="14"/>
  <c r="BG420" i="14"/>
  <c r="BH82" i="14"/>
  <c r="H132" i="11"/>
  <c r="V132" i="11" s="1"/>
  <c r="H107" i="11"/>
  <c r="V107" i="11" s="1"/>
  <c r="H125" i="11"/>
  <c r="V125" i="11" s="1"/>
  <c r="H133" i="11"/>
  <c r="V133" i="11" s="1"/>
  <c r="H127" i="11"/>
  <c r="V127" i="11" s="1"/>
  <c r="BK436" i="14"/>
  <c r="BF94" i="14"/>
  <c r="BK424" i="14"/>
  <c r="BH452" i="14"/>
  <c r="BH93" i="14"/>
  <c r="BG424" i="14"/>
  <c r="BF444" i="14"/>
  <c r="H114" i="11"/>
  <c r="V114" i="11" s="1"/>
  <c r="H121" i="11"/>
  <c r="V121" i="11" s="1"/>
  <c r="H112" i="11"/>
  <c r="V112" i="11" s="1"/>
  <c r="AB88" i="49"/>
  <c r="AB272" i="49"/>
  <c r="BH480" i="14"/>
  <c r="BF480" i="14"/>
  <c r="BD480" i="14"/>
  <c r="BJ480" i="14"/>
  <c r="BI428" i="14"/>
  <c r="BG93" i="14"/>
  <c r="BE480" i="14"/>
  <c r="BJ428" i="14"/>
  <c r="BG460" i="14"/>
  <c r="BE420" i="14"/>
  <c r="BF452" i="14"/>
  <c r="BH3" i="14"/>
  <c r="BD424" i="14"/>
  <c r="BH420" i="14"/>
  <c r="BF420" i="14"/>
  <c r="BD452" i="14"/>
  <c r="BG452" i="14"/>
  <c r="BE424" i="14"/>
  <c r="BD420" i="14"/>
  <c r="BE452" i="14"/>
  <c r="BK452" i="14"/>
  <c r="BE3" i="14"/>
  <c r="BJ3" i="14"/>
  <c r="BI3" i="14"/>
  <c r="BE83" i="14"/>
  <c r="BD460" i="14"/>
  <c r="BH428" i="14"/>
  <c r="BI460" i="14"/>
  <c r="BH468" i="14"/>
  <c r="BF468" i="14"/>
  <c r="BH436" i="14"/>
  <c r="BF436" i="14"/>
  <c r="BD468" i="14"/>
  <c r="BJ468" i="14"/>
  <c r="BD436" i="14"/>
  <c r="BE468" i="14"/>
  <c r="BI424" i="14"/>
  <c r="BJ424" i="14"/>
  <c r="BF82" i="14"/>
  <c r="BK98" i="14"/>
  <c r="BE98" i="14"/>
  <c r="BG98" i="14"/>
  <c r="BF98" i="14"/>
  <c r="BI98" i="14"/>
  <c r="BG82" i="14"/>
  <c r="BE82" i="14"/>
  <c r="BI87" i="14"/>
  <c r="BK87" i="14"/>
  <c r="BE87" i="14"/>
  <c r="BG87" i="14"/>
  <c r="BH87" i="14"/>
  <c r="BF87" i="14"/>
  <c r="BF86" i="14"/>
  <c r="BI86" i="14"/>
  <c r="BK86" i="14"/>
  <c r="BE86" i="14"/>
  <c r="BG86" i="14"/>
  <c r="BH86" i="14"/>
  <c r="BI95" i="14"/>
  <c r="BF95" i="14"/>
  <c r="BE95" i="14"/>
  <c r="BK95" i="14"/>
  <c r="BG95" i="14"/>
  <c r="BF99" i="14"/>
  <c r="BI99" i="14"/>
  <c r="BK99" i="14"/>
  <c r="BE99" i="14"/>
  <c r="BG99" i="14"/>
  <c r="BH99" i="14"/>
  <c r="BI94" i="14"/>
  <c r="BE94" i="14"/>
  <c r="AB248" i="49"/>
  <c r="AB267" i="49"/>
  <c r="AB48" i="49"/>
  <c r="BG484" i="14"/>
  <c r="AB41" i="49"/>
  <c r="BG90" i="14"/>
  <c r="BH90" i="14"/>
  <c r="BK90" i="14"/>
  <c r="BF90" i="14"/>
  <c r="BI90" i="14"/>
  <c r="BE90" i="14"/>
  <c r="BG91" i="14"/>
  <c r="BF91" i="14"/>
  <c r="BI91" i="14"/>
  <c r="BE91" i="14"/>
  <c r="BH91" i="14"/>
  <c r="BK91" i="14"/>
  <c r="BH444" i="14"/>
  <c r="BD444" i="14"/>
  <c r="BH484" i="14"/>
  <c r="BE444" i="14"/>
  <c r="BD484" i="14"/>
  <c r="BI93" i="14"/>
  <c r="BE93" i="14"/>
  <c r="BJ444" i="14"/>
  <c r="BF484" i="14"/>
  <c r="BG444" i="14"/>
  <c r="BJ484" i="14"/>
  <c r="H122" i="11"/>
  <c r="V122" i="11" s="1"/>
  <c r="H124" i="11"/>
  <c r="V124" i="11" s="1"/>
  <c r="H120" i="11"/>
  <c r="V120" i="11" s="1"/>
  <c r="H128" i="11"/>
  <c r="V128" i="11" s="1"/>
  <c r="H118" i="11"/>
  <c r="V118" i="11" s="1"/>
  <c r="H126" i="11"/>
  <c r="V126" i="11" s="1"/>
  <c r="H129" i="11"/>
  <c r="V129" i="11" s="1"/>
  <c r="H130" i="11"/>
  <c r="V130" i="11" s="1"/>
  <c r="H88" i="11"/>
  <c r="V88" i="11" s="1"/>
  <c r="H113" i="11"/>
  <c r="V113" i="11" s="1"/>
  <c r="H111" i="11"/>
  <c r="V111" i="11" s="1"/>
  <c r="H84" i="11"/>
  <c r="V84" i="11" s="1"/>
  <c r="H116" i="11"/>
  <c r="V116" i="11" s="1"/>
  <c r="H117" i="11"/>
  <c r="V117" i="11" s="1"/>
  <c r="H115" i="11"/>
  <c r="V115" i="11" s="1"/>
  <c r="H105" i="11"/>
  <c r="V105" i="11" s="1"/>
  <c r="H106" i="11"/>
  <c r="V106" i="11" s="1"/>
  <c r="BF428" i="14"/>
  <c r="BJ460" i="14"/>
  <c r="BD428" i="14"/>
  <c r="BK428" i="14"/>
  <c r="BE460" i="14"/>
  <c r="BK460" i="14"/>
  <c r="BE428" i="14"/>
  <c r="BH460" i="14"/>
  <c r="AB316" i="49"/>
  <c r="H34" i="11"/>
  <c r="V34" i="11" s="1"/>
  <c r="H14" i="11"/>
  <c r="V14" i="11" s="1"/>
  <c r="H25" i="11"/>
  <c r="V25" i="11" s="1"/>
  <c r="H35" i="11"/>
  <c r="V35" i="11" s="1"/>
  <c r="AB92" i="49"/>
  <c r="AB301" i="49"/>
  <c r="BI444" i="14"/>
  <c r="BI484" i="14"/>
  <c r="AB86" i="49"/>
  <c r="AB82" i="49"/>
  <c r="AB83" i="49"/>
  <c r="AB309" i="49"/>
  <c r="AB195" i="49"/>
  <c r="AB77" i="49"/>
  <c r="AB194" i="49"/>
  <c r="AB78" i="49"/>
  <c r="H61" i="11"/>
  <c r="V61" i="11" s="1"/>
  <c r="AB304" i="49"/>
  <c r="AB140" i="49"/>
  <c r="AB158" i="49"/>
  <c r="AB171" i="49"/>
  <c r="AB185" i="49"/>
  <c r="AB255" i="49"/>
  <c r="AB69" i="49"/>
  <c r="AB70" i="49"/>
  <c r="H18" i="11"/>
  <c r="V18" i="11" s="1"/>
  <c r="AB187" i="49"/>
  <c r="AB294" i="49"/>
  <c r="H104" i="11"/>
  <c r="V104" i="11" s="1"/>
  <c r="H22" i="11"/>
  <c r="V22" i="11" s="1"/>
  <c r="H103" i="11"/>
  <c r="V103" i="11" s="1"/>
  <c r="H7" i="11"/>
  <c r="V7" i="11" s="1"/>
  <c r="H109" i="11"/>
  <c r="V109" i="11" s="1"/>
  <c r="H110" i="11"/>
  <c r="V110" i="11" s="1"/>
  <c r="H68" i="11"/>
  <c r="V68" i="11" s="1"/>
  <c r="H8" i="11"/>
  <c r="V8" i="11" s="1"/>
  <c r="H67" i="11"/>
  <c r="V67" i="11" s="1"/>
  <c r="H83" i="11"/>
  <c r="V83" i="11" s="1"/>
  <c r="H42" i="11"/>
  <c r="V42" i="11" s="1"/>
  <c r="H45" i="11"/>
  <c r="V45" i="11" s="1"/>
  <c r="H44" i="11"/>
  <c r="V44" i="11" s="1"/>
  <c r="H90" i="11"/>
  <c r="V90" i="11" s="1"/>
  <c r="H99" i="11"/>
  <c r="V99" i="11" s="1"/>
  <c r="H17" i="11"/>
  <c r="V17" i="11" s="1"/>
  <c r="H94" i="11"/>
  <c r="V94" i="11" s="1"/>
  <c r="H23" i="11"/>
  <c r="V23" i="11" s="1"/>
  <c r="H97" i="11"/>
  <c r="V97" i="11" s="1"/>
  <c r="H108" i="11"/>
  <c r="V108" i="11" s="1"/>
  <c r="H13" i="11"/>
  <c r="V13" i="11" s="1"/>
  <c r="H91" i="11"/>
  <c r="V91" i="11" s="1"/>
  <c r="H98" i="11"/>
  <c r="V98" i="11" s="1"/>
  <c r="H24" i="11"/>
  <c r="V24" i="11" s="1"/>
  <c r="H74" i="11"/>
  <c r="V74" i="11" s="1"/>
  <c r="H38" i="11"/>
  <c r="V38" i="11" s="1"/>
  <c r="H80" i="11"/>
  <c r="V80" i="11" s="1"/>
  <c r="AB308" i="49"/>
  <c r="AB172" i="49"/>
  <c r="AB188" i="49"/>
  <c r="BD3" i="14"/>
  <c r="AB50" i="49"/>
  <c r="H11" i="11"/>
  <c r="V11" i="11" s="1"/>
  <c r="H9" i="11"/>
  <c r="V9" i="11" s="1"/>
  <c r="H5" i="11"/>
  <c r="V5" i="11" s="1"/>
  <c r="H12" i="11"/>
  <c r="V12" i="11" s="1"/>
  <c r="S45" i="11"/>
  <c r="AB143" i="49"/>
  <c r="AB80" i="49"/>
  <c r="AC196" i="49"/>
  <c r="AB305" i="49"/>
  <c r="AB280" i="49"/>
  <c r="AB254" i="49"/>
  <c r="AB21" i="49"/>
  <c r="BH424" i="14"/>
  <c r="AB321" i="49"/>
  <c r="AB96" i="49"/>
  <c r="AB179" i="49"/>
  <c r="AB95" i="49"/>
  <c r="AB167" i="49"/>
  <c r="AB291" i="49"/>
  <c r="AB307" i="49"/>
  <c r="AB313" i="49"/>
  <c r="AB251" i="49"/>
  <c r="AC317" i="49"/>
  <c r="AB318" i="49"/>
  <c r="AB314" i="49"/>
  <c r="AB54" i="49"/>
  <c r="S49" i="11"/>
  <c r="T45" i="11"/>
  <c r="S50" i="11"/>
  <c r="AB319" i="49"/>
  <c r="AB44" i="49"/>
  <c r="AB79" i="49"/>
  <c r="AB90" i="49"/>
  <c r="AB13" i="49"/>
  <c r="AB275" i="49"/>
  <c r="AB38" i="49"/>
  <c r="AB71" i="49"/>
  <c r="AB74" i="49"/>
  <c r="AB292" i="49"/>
  <c r="AB293" i="49"/>
  <c r="AB119" i="49"/>
  <c r="AB84" i="49"/>
  <c r="AB120" i="49"/>
  <c r="AC292" i="49"/>
  <c r="Z120" i="38"/>
  <c r="Z72" i="38"/>
  <c r="Z63" i="38"/>
  <c r="Z90" i="38"/>
  <c r="Z54" i="38"/>
  <c r="Z122" i="38"/>
  <c r="Z135" i="38"/>
  <c r="Z110" i="38"/>
  <c r="Z38" i="38"/>
  <c r="Z78" i="38"/>
  <c r="Z97" i="38"/>
  <c r="Z68" i="38"/>
  <c r="Z62" i="38"/>
  <c r="Z133" i="38"/>
  <c r="Z77" i="38"/>
  <c r="Z124" i="38"/>
  <c r="Z88" i="38"/>
  <c r="Z44" i="38"/>
  <c r="Z106" i="38"/>
  <c r="Z143" i="38"/>
  <c r="Z64" i="38"/>
  <c r="Z107" i="38"/>
  <c r="Z65" i="38"/>
  <c r="Z71" i="38"/>
  <c r="Z69" i="38"/>
  <c r="Z111" i="38"/>
  <c r="Z58" i="38"/>
  <c r="AB53" i="49"/>
  <c r="AB52" i="49"/>
  <c r="S88" i="11"/>
  <c r="AB40" i="49"/>
  <c r="AB109" i="49"/>
  <c r="AB151" i="49"/>
  <c r="AC194" i="49"/>
  <c r="AB42" i="49"/>
  <c r="S89" i="11"/>
  <c r="AB183" i="49"/>
  <c r="AB150" i="49"/>
  <c r="AB191" i="49"/>
  <c r="AB114" i="49"/>
  <c r="AB271" i="49"/>
  <c r="AB113" i="49"/>
  <c r="T54" i="11"/>
  <c r="AB278" i="49"/>
  <c r="AB306" i="49"/>
  <c r="AB124" i="49"/>
  <c r="AB247" i="49"/>
  <c r="AB139" i="49"/>
  <c r="AB297" i="49"/>
  <c r="AB174" i="49"/>
  <c r="AB175" i="49"/>
  <c r="AB242" i="49"/>
  <c r="T70" i="11"/>
  <c r="S68" i="11"/>
  <c r="AB157" i="49"/>
  <c r="AB165" i="49"/>
  <c r="S29" i="11"/>
  <c r="AB131" i="49"/>
  <c r="T14" i="11"/>
  <c r="S40" i="11"/>
  <c r="AB8" i="49"/>
  <c r="AB125" i="49"/>
  <c r="AB279" i="49"/>
  <c r="AB22" i="49"/>
  <c r="AB43" i="49"/>
  <c r="T92" i="11"/>
  <c r="AB287" i="49"/>
  <c r="AB28" i="49"/>
  <c r="AB23" i="49"/>
  <c r="AB132" i="49"/>
  <c r="AB34" i="49"/>
  <c r="AB91" i="49"/>
  <c r="AB173" i="49"/>
  <c r="AB289" i="49"/>
  <c r="AB135" i="49"/>
  <c r="AB264" i="49"/>
  <c r="AB100" i="49"/>
  <c r="AB295" i="49"/>
  <c r="AB75" i="49"/>
  <c r="AB62" i="49"/>
  <c r="AB63" i="49"/>
  <c r="AB160" i="49"/>
  <c r="AB263" i="49"/>
  <c r="AB159" i="49"/>
  <c r="AB180" i="49"/>
  <c r="AB101" i="49"/>
  <c r="AB138" i="49"/>
  <c r="AB45" i="49"/>
  <c r="AB72" i="49"/>
  <c r="AB152" i="49"/>
  <c r="J44" i="11"/>
  <c r="J80" i="11"/>
  <c r="J37" i="11"/>
  <c r="J94" i="11"/>
  <c r="T102" i="11"/>
  <c r="T101" i="11"/>
  <c r="J33" i="11"/>
  <c r="J45" i="11"/>
  <c r="J16" i="11"/>
  <c r="J52" i="11"/>
  <c r="S101" i="11"/>
  <c r="AC239" i="49"/>
  <c r="AC273" i="49"/>
  <c r="AC164" i="49"/>
  <c r="S102" i="11"/>
  <c r="T103" i="11"/>
  <c r="S103" i="11"/>
  <c r="T104" i="11"/>
  <c r="T86" i="11"/>
  <c r="AB238" i="49"/>
  <c r="AB104" i="49"/>
  <c r="AB276" i="49"/>
  <c r="AB312" i="49"/>
  <c r="AB320" i="49"/>
  <c r="T62" i="11"/>
  <c r="AB9" i="49"/>
  <c r="AB169" i="49"/>
  <c r="AC178" i="49"/>
  <c r="AB73" i="49"/>
  <c r="AB277" i="49"/>
  <c r="AB117" i="49"/>
  <c r="AB149" i="49"/>
  <c r="AB196" i="49"/>
  <c r="AC319" i="49"/>
  <c r="AC316" i="49"/>
  <c r="AB64" i="49"/>
  <c r="AB237" i="49"/>
  <c r="AB116" i="49"/>
  <c r="AC121" i="49"/>
  <c r="AB33" i="49"/>
  <c r="AB60" i="49"/>
  <c r="AB265" i="49"/>
  <c r="AB146" i="49"/>
  <c r="AB262" i="49"/>
  <c r="AC260" i="49"/>
  <c r="T9" i="11"/>
  <c r="AC280" i="49"/>
  <c r="S17" i="11"/>
  <c r="AC190" i="49"/>
  <c r="AB126" i="49"/>
  <c r="AC259" i="49"/>
  <c r="AC267" i="49"/>
  <c r="AC266" i="49"/>
  <c r="AC283" i="49"/>
  <c r="AC158" i="49"/>
  <c r="AC26" i="49"/>
  <c r="AC36" i="49"/>
  <c r="AC64" i="49"/>
  <c r="AC303" i="49"/>
  <c r="AC312" i="49"/>
  <c r="AC320" i="49"/>
  <c r="T5" i="11"/>
  <c r="AC251" i="49"/>
  <c r="AC61" i="49"/>
  <c r="AB49" i="49"/>
  <c r="AC174" i="49"/>
  <c r="AC269" i="49"/>
  <c r="AC243" i="49"/>
  <c r="AC249" i="49"/>
  <c r="AC261" i="49"/>
  <c r="AC301" i="49"/>
  <c r="T38" i="11"/>
  <c r="AB94" i="49"/>
  <c r="AC66" i="49"/>
  <c r="AC293" i="49"/>
  <c r="AC295" i="49"/>
  <c r="AC298" i="49"/>
  <c r="AC282" i="49"/>
  <c r="AC288" i="49"/>
  <c r="AC256" i="49"/>
  <c r="AC171" i="49"/>
  <c r="AC70" i="49"/>
  <c r="AB298" i="49"/>
  <c r="AC284" i="49"/>
  <c r="AC309" i="49"/>
  <c r="AC291" i="49"/>
  <c r="AB87" i="49"/>
  <c r="T4" i="11"/>
  <c r="AB68" i="49"/>
  <c r="AB268" i="49"/>
  <c r="AC187" i="49"/>
  <c r="AC238" i="49"/>
  <c r="AC192" i="49"/>
  <c r="AC245" i="49"/>
  <c r="AC306" i="49"/>
  <c r="AB6" i="49"/>
  <c r="AC186" i="49"/>
  <c r="AC241" i="49"/>
  <c r="AC235" i="49"/>
  <c r="AC185" i="49"/>
  <c r="AC254" i="49"/>
  <c r="AC167" i="49"/>
  <c r="AC250" i="49"/>
  <c r="AC304" i="49"/>
  <c r="AB17" i="49"/>
  <c r="AC159" i="49"/>
  <c r="AC300" i="49"/>
  <c r="AC195" i="49"/>
  <c r="T41" i="11"/>
  <c r="T48" i="11"/>
  <c r="AC296" i="49"/>
  <c r="AB284" i="49"/>
  <c r="AC305" i="49"/>
  <c r="AC308" i="49"/>
  <c r="AC279" i="49"/>
  <c r="AC289" i="49"/>
  <c r="AB274" i="49"/>
  <c r="AB97" i="49"/>
  <c r="AC263" i="49"/>
  <c r="AB16" i="49"/>
  <c r="AC252" i="49"/>
  <c r="AC264" i="49"/>
  <c r="AC247" i="49"/>
  <c r="AC160" i="49"/>
  <c r="AC248" i="49"/>
  <c r="AC188" i="49"/>
  <c r="AC234" i="49"/>
  <c r="AC244" i="49"/>
  <c r="AC262" i="49"/>
  <c r="AC193" i="49"/>
  <c r="AC253" i="49"/>
  <c r="AC168" i="49"/>
  <c r="AC177" i="49"/>
  <c r="AC169" i="49"/>
  <c r="AC175" i="49"/>
  <c r="AC258" i="49"/>
  <c r="AC184" i="49"/>
  <c r="AC271" i="49"/>
  <c r="AC237" i="49"/>
  <c r="AC81" i="49"/>
  <c r="AC297" i="49"/>
  <c r="AB46" i="49"/>
  <c r="AC88" i="49"/>
  <c r="AC45" i="49"/>
  <c r="AC85" i="49"/>
  <c r="AC307" i="49"/>
  <c r="AC278" i="49"/>
  <c r="AC32" i="49"/>
  <c r="AC76" i="49"/>
  <c r="AC82" i="49"/>
  <c r="AC321" i="49"/>
  <c r="AC277" i="49"/>
  <c r="AC287" i="49"/>
  <c r="AC318" i="49"/>
  <c r="S28" i="11"/>
  <c r="T28" i="11"/>
  <c r="AC314" i="49"/>
  <c r="AB261" i="49"/>
  <c r="AB259" i="49"/>
  <c r="AB189" i="49"/>
  <c r="AB260" i="49"/>
  <c r="AC163" i="49"/>
  <c r="AC272" i="49"/>
  <c r="AC265" i="49"/>
  <c r="AC156" i="49"/>
  <c r="AC166" i="49"/>
  <c r="AC162" i="49"/>
  <c r="AC179" i="49"/>
  <c r="AC275" i="49"/>
  <c r="AC257" i="49"/>
  <c r="AB7" i="49"/>
  <c r="AC270" i="49"/>
  <c r="AC313" i="49"/>
  <c r="AC154" i="49"/>
  <c r="AC274" i="49"/>
  <c r="AB121" i="49"/>
  <c r="AB10" i="49"/>
  <c r="AC268" i="49"/>
  <c r="AB130" i="49"/>
  <c r="AC172" i="49"/>
  <c r="AC182" i="49"/>
  <c r="AC276" i="49"/>
  <c r="AC255" i="49"/>
  <c r="S76" i="11"/>
  <c r="T76" i="11"/>
  <c r="AB65" i="49"/>
  <c r="AC157" i="49"/>
  <c r="S51" i="11"/>
  <c r="AB266" i="49"/>
  <c r="AC242" i="49"/>
  <c r="AB154" i="49"/>
  <c r="AB249" i="49"/>
  <c r="AB317" i="49"/>
  <c r="S30" i="11"/>
  <c r="AB115" i="49"/>
  <c r="AB61" i="49"/>
  <c r="AB99" i="49"/>
  <c r="AB258" i="49"/>
  <c r="AB181" i="49"/>
  <c r="AB168" i="49"/>
  <c r="AC246" i="49"/>
  <c r="AC170" i="49"/>
  <c r="AB170" i="49"/>
  <c r="AB47" i="49"/>
  <c r="T50" i="11"/>
  <c r="AB37" i="49"/>
  <c r="AC173" i="49"/>
  <c r="AC180" i="49"/>
  <c r="AB12" i="49"/>
  <c r="T25" i="11"/>
  <c r="S32" i="11"/>
  <c r="AB30" i="49"/>
  <c r="AB14" i="49"/>
  <c r="AB273" i="49"/>
  <c r="AB269" i="49"/>
  <c r="T57" i="11"/>
  <c r="AB178" i="49"/>
  <c r="T94" i="11"/>
  <c r="AC24" i="49"/>
  <c r="AC92" i="49"/>
  <c r="T68" i="11"/>
  <c r="AB256" i="49"/>
  <c r="AB76" i="49"/>
  <c r="AB112" i="49"/>
  <c r="AB257" i="49"/>
  <c r="AB270" i="49"/>
  <c r="AB57" i="49"/>
  <c r="AB93" i="49"/>
  <c r="AC286" i="49"/>
  <c r="AC68" i="49"/>
  <c r="T32" i="11"/>
  <c r="AB18" i="49"/>
  <c r="AB29" i="49"/>
  <c r="AB177" i="49"/>
  <c r="AC140" i="49"/>
  <c r="AC53" i="49"/>
  <c r="AC109" i="49"/>
  <c r="S41" i="11"/>
  <c r="AB186" i="49"/>
  <c r="AC51" i="49"/>
  <c r="AC39" i="49"/>
  <c r="AC44" i="49"/>
  <c r="AC72" i="49"/>
  <c r="AC77" i="49"/>
  <c r="AC83" i="49"/>
  <c r="AC84" i="49"/>
  <c r="AC89" i="49"/>
  <c r="AC149" i="49"/>
  <c r="AC34" i="49"/>
  <c r="AC60" i="49"/>
  <c r="AC71" i="49"/>
  <c r="AC48" i="49"/>
  <c r="AB32" i="49"/>
  <c r="AC30" i="49"/>
  <c r="AC52" i="49"/>
  <c r="AC33" i="49"/>
  <c r="AC78" i="49"/>
  <c r="AC37" i="49"/>
  <c r="T6" i="11"/>
  <c r="T46" i="11"/>
  <c r="T78" i="11"/>
  <c r="AC47" i="49"/>
  <c r="AC42" i="49"/>
  <c r="AC67" i="49"/>
  <c r="AC65" i="49"/>
  <c r="AC79" i="49"/>
  <c r="AC56" i="49"/>
  <c r="AC69" i="49"/>
  <c r="AC91" i="49"/>
  <c r="AB283" i="49"/>
  <c r="AB252" i="49"/>
  <c r="AC87" i="49"/>
  <c r="AB288" i="49"/>
  <c r="AC43" i="49"/>
  <c r="AC90" i="49"/>
  <c r="T82" i="11"/>
  <c r="S24" i="11"/>
  <c r="AB193" i="49"/>
  <c r="AB245" i="49"/>
  <c r="AB253" i="49"/>
  <c r="AB246" i="49"/>
  <c r="AB153" i="49"/>
  <c r="AB235" i="49"/>
  <c r="S11" i="11"/>
  <c r="AC31" i="49"/>
  <c r="AC28" i="49"/>
  <c r="AB58" i="49"/>
  <c r="AC49" i="49"/>
  <c r="AC86" i="49"/>
  <c r="AC73" i="49"/>
  <c r="AC153" i="49"/>
  <c r="T97" i="11"/>
  <c r="S16" i="11"/>
  <c r="AC54" i="49"/>
  <c r="AC29" i="49"/>
  <c r="AC94" i="49"/>
  <c r="AB89" i="49"/>
  <c r="AB66" i="49"/>
  <c r="AC93" i="49"/>
  <c r="AC62" i="49"/>
  <c r="AC40" i="49"/>
  <c r="S92" i="11"/>
  <c r="T16" i="11"/>
  <c r="AB15" i="49"/>
  <c r="AB250" i="49"/>
  <c r="AC59" i="49"/>
  <c r="AC57" i="49"/>
  <c r="AC75" i="49"/>
  <c r="AC63" i="49"/>
  <c r="AB27" i="49"/>
  <c r="AC41" i="49"/>
  <c r="AC6" i="49"/>
  <c r="AB118" i="49"/>
  <c r="AC99" i="49"/>
  <c r="S31" i="11"/>
  <c r="AB239" i="49"/>
  <c r="AB243" i="49"/>
  <c r="AB244" i="49"/>
  <c r="AB127" i="49"/>
  <c r="AB163" i="49"/>
  <c r="T49" i="11"/>
  <c r="AB166" i="49"/>
  <c r="AC165" i="49"/>
  <c r="AC27" i="49"/>
  <c r="AC118" i="49"/>
  <c r="AB161" i="49"/>
  <c r="AC161" i="49"/>
  <c r="AC11" i="49"/>
  <c r="AC126" i="49"/>
  <c r="AB164" i="49"/>
  <c r="J55" i="11"/>
  <c r="J59" i="11"/>
  <c r="J71" i="11"/>
  <c r="J28" i="11"/>
  <c r="AC20" i="49"/>
  <c r="AB162" i="49"/>
  <c r="AB141" i="49"/>
  <c r="AB142" i="49"/>
  <c r="T85" i="11"/>
  <c r="AC181" i="49"/>
  <c r="AB182" i="49"/>
  <c r="AC134" i="49"/>
  <c r="AB184" i="49"/>
  <c r="AC183" i="49"/>
  <c r="T89" i="11"/>
  <c r="T100" i="11"/>
  <c r="AC176" i="49"/>
  <c r="AB176" i="49"/>
  <c r="T17" i="11"/>
  <c r="S52" i="11"/>
  <c r="S4" i="11"/>
  <c r="T64" i="11"/>
  <c r="S53" i="11"/>
  <c r="T22" i="11"/>
  <c r="T73" i="11"/>
  <c r="AC110" i="49"/>
  <c r="AC147" i="49"/>
  <c r="T26" i="11"/>
  <c r="S90" i="11"/>
  <c r="S23" i="11"/>
  <c r="J98" i="11"/>
  <c r="J3" i="11"/>
  <c r="J8" i="11"/>
  <c r="AC12" i="49"/>
  <c r="AC95" i="49"/>
  <c r="AC100" i="49"/>
  <c r="AC114" i="49"/>
  <c r="AC119" i="49"/>
  <c r="AC127" i="49"/>
  <c r="AC138" i="49"/>
  <c r="AC150" i="49"/>
  <c r="AC132" i="49"/>
  <c r="S58" i="11"/>
  <c r="T34" i="11"/>
  <c r="L94" i="11"/>
  <c r="S55" i="11"/>
  <c r="M37" i="11"/>
  <c r="J19" i="11"/>
  <c r="J35" i="11"/>
  <c r="J43" i="11"/>
  <c r="J67" i="11"/>
  <c r="J90" i="11"/>
  <c r="AC58" i="49"/>
  <c r="AC15" i="49"/>
  <c r="AC96" i="49"/>
  <c r="AC102" i="49"/>
  <c r="AC115" i="49"/>
  <c r="AC123" i="49"/>
  <c r="AC128" i="49"/>
  <c r="AC144" i="49"/>
  <c r="AC151" i="49"/>
  <c r="AC25" i="49"/>
  <c r="S71" i="11"/>
  <c r="S7" i="11"/>
  <c r="J4" i="11"/>
  <c r="J40" i="11"/>
  <c r="J64" i="11"/>
  <c r="J76" i="11"/>
  <c r="J87" i="11"/>
  <c r="AC74" i="49"/>
  <c r="AC19" i="49"/>
  <c r="AC98" i="49"/>
  <c r="AC108" i="49"/>
  <c r="AC116" i="49"/>
  <c r="AC124" i="49"/>
  <c r="AC130" i="49"/>
  <c r="AC146" i="49"/>
  <c r="AC152" i="49"/>
  <c r="AC23" i="49"/>
  <c r="AC136" i="49"/>
  <c r="AC7" i="49"/>
  <c r="AC17" i="49"/>
  <c r="T58" i="11"/>
  <c r="T65" i="11"/>
  <c r="J100" i="11"/>
  <c r="S15" i="11"/>
  <c r="N37" i="11"/>
  <c r="J13" i="11"/>
  <c r="J17" i="11"/>
  <c r="J21" i="11"/>
  <c r="J41" i="11"/>
  <c r="J57" i="11"/>
  <c r="J61" i="11"/>
  <c r="J65" i="11"/>
  <c r="J69" i="11"/>
  <c r="J81" i="11"/>
  <c r="J88" i="11"/>
  <c r="J92" i="11"/>
  <c r="AC148" i="49"/>
  <c r="AC106" i="49"/>
  <c r="AC142" i="49"/>
  <c r="AC103" i="49"/>
  <c r="AC122" i="49"/>
  <c r="AC139" i="49"/>
  <c r="S35" i="11"/>
  <c r="AB106" i="49"/>
  <c r="AB105" i="49"/>
  <c r="J11" i="11"/>
  <c r="J15" i="11"/>
  <c r="J27" i="11"/>
  <c r="J39" i="11"/>
  <c r="J51" i="11"/>
  <c r="J63" i="11"/>
  <c r="J75" i="11"/>
  <c r="J22" i="11"/>
  <c r="J34" i="11"/>
  <c r="J46" i="11"/>
  <c r="J58" i="11"/>
  <c r="J70" i="11"/>
  <c r="J82" i="11"/>
  <c r="J93" i="11"/>
  <c r="AC294" i="49"/>
  <c r="T90" i="11"/>
  <c r="AB98" i="49"/>
  <c r="S25" i="11"/>
  <c r="S26" i="11"/>
  <c r="AB110" i="49"/>
  <c r="AB111" i="49"/>
  <c r="AB147" i="49"/>
  <c r="AB148" i="49"/>
  <c r="AB122" i="49"/>
  <c r="AB123" i="49"/>
  <c r="S91" i="11"/>
  <c r="S83" i="11"/>
  <c r="J12" i="11"/>
  <c r="J24" i="11"/>
  <c r="J36" i="11"/>
  <c r="J48" i="11"/>
  <c r="J60" i="11"/>
  <c r="J72" i="11"/>
  <c r="J84" i="11"/>
  <c r="J95" i="11"/>
  <c r="S48" i="11"/>
  <c r="O99" i="11"/>
  <c r="O100" i="11"/>
  <c r="AB155" i="49"/>
  <c r="AC155" i="49"/>
  <c r="AB156" i="49"/>
  <c r="AB136" i="49"/>
  <c r="AB137" i="49"/>
  <c r="AC189" i="49"/>
  <c r="AB190" i="49"/>
  <c r="S79" i="11"/>
  <c r="S63" i="11"/>
  <c r="S65" i="11"/>
  <c r="S66" i="11"/>
  <c r="AB144" i="49"/>
  <c r="AB145" i="49"/>
  <c r="AC236" i="49"/>
  <c r="AB236" i="49"/>
  <c r="J14" i="11"/>
  <c r="J26" i="11"/>
  <c r="J38" i="11"/>
  <c r="J50" i="11"/>
  <c r="J62" i="11"/>
  <c r="J74" i="11"/>
  <c r="J86" i="11"/>
  <c r="J97" i="11"/>
  <c r="J18" i="11"/>
  <c r="J30" i="11"/>
  <c r="J42" i="11"/>
  <c r="J54" i="11"/>
  <c r="J66" i="11"/>
  <c r="J78" i="11"/>
  <c r="J89" i="11"/>
  <c r="S74" i="11"/>
  <c r="S73" i="11"/>
  <c r="S98" i="11"/>
  <c r="S97" i="11"/>
  <c r="AB103" i="49"/>
  <c r="AB102" i="49"/>
  <c r="AB134" i="49"/>
  <c r="AB133" i="49"/>
  <c r="AB192" i="49"/>
  <c r="AC191" i="49"/>
  <c r="AB240" i="49"/>
  <c r="AC240" i="49"/>
  <c r="AB241" i="49"/>
  <c r="S59" i="11"/>
  <c r="S85" i="11"/>
  <c r="S86" i="11"/>
  <c r="S95" i="11"/>
  <c r="J10" i="11"/>
  <c r="J103" i="11"/>
  <c r="AB31" i="49"/>
  <c r="T10" i="11"/>
  <c r="Z83" i="38"/>
  <c r="Z139" i="38"/>
  <c r="Z92" i="38"/>
  <c r="Z56" i="38"/>
  <c r="Z75" i="38"/>
  <c r="Z51" i="38"/>
  <c r="G31" i="12"/>
  <c r="Z79" i="38"/>
  <c r="Z137" i="38"/>
  <c r="Z128" i="38"/>
  <c r="Z15" i="38"/>
  <c r="G25" i="12"/>
  <c r="AU24" i="66" s="1"/>
  <c r="Z103" i="38"/>
  <c r="Z104" i="38"/>
  <c r="Z99" i="38"/>
  <c r="Z61" i="38"/>
  <c r="Z5" i="38"/>
  <c r="Z9" i="38"/>
  <c r="Z82" i="38"/>
  <c r="Z52" i="38"/>
  <c r="Z76" i="38"/>
  <c r="AC14" i="49"/>
  <c r="AC101" i="49"/>
  <c r="AC18" i="49"/>
  <c r="AC105" i="49"/>
  <c r="AC129" i="49"/>
  <c r="AC145" i="49"/>
  <c r="AC125" i="49"/>
  <c r="AC141" i="49"/>
  <c r="AC10" i="49"/>
  <c r="AC97" i="49"/>
  <c r="AC117" i="49"/>
  <c r="AC137" i="49"/>
  <c r="AB85" i="49"/>
  <c r="AC35" i="49"/>
  <c r="AC131" i="49"/>
  <c r="AC16" i="49"/>
  <c r="AC104" i="49"/>
  <c r="AC120" i="49"/>
  <c r="AC50" i="49"/>
  <c r="AC143" i="49"/>
  <c r="AC8" i="49"/>
  <c r="AC21" i="49"/>
  <c r="AC107" i="49"/>
  <c r="AC135" i="49"/>
  <c r="AB67" i="49"/>
  <c r="AC46" i="49"/>
  <c r="AB81" i="49"/>
  <c r="AC9" i="49"/>
  <c r="AC111" i="49"/>
  <c r="AC22" i="49"/>
  <c r="AC113" i="49"/>
  <c r="AC133" i="49"/>
  <c r="AC13" i="49"/>
  <c r="AC112" i="49"/>
  <c r="H50" i="11"/>
  <c r="V50" i="11" s="1"/>
  <c r="G27" i="12"/>
  <c r="I27" i="12" s="1"/>
  <c r="BK487" i="14"/>
  <c r="BG487" i="14"/>
  <c r="BJ487" i="14"/>
  <c r="BF487" i="14"/>
  <c r="BI487" i="14"/>
  <c r="BE487" i="14"/>
  <c r="BH487" i="14"/>
  <c r="BD487" i="14"/>
  <c r="AB281" i="49"/>
  <c r="AC281" i="49"/>
  <c r="H86" i="11"/>
  <c r="V86" i="11" s="1"/>
  <c r="BI266" i="14"/>
  <c r="BE266" i="14"/>
  <c r="BH266" i="14"/>
  <c r="BD266" i="14"/>
  <c r="BJ266" i="14"/>
  <c r="BF266" i="14"/>
  <c r="BK266" i="14"/>
  <c r="BG266" i="14"/>
  <c r="M10" i="37"/>
  <c r="AB55" i="49"/>
  <c r="AB56" i="49"/>
  <c r="AC199" i="49"/>
  <c r="AB199" i="49"/>
  <c r="AC203" i="49"/>
  <c r="AB203" i="49"/>
  <c r="AC207" i="49"/>
  <c r="AB207" i="49"/>
  <c r="AC211" i="49"/>
  <c r="AB211" i="49"/>
  <c r="AC215" i="49"/>
  <c r="AB215" i="49"/>
  <c r="AC219" i="49"/>
  <c r="AB219" i="49"/>
  <c r="AC223" i="49"/>
  <c r="AB223" i="49"/>
  <c r="AC227" i="49"/>
  <c r="AB227" i="49"/>
  <c r="AC231" i="49"/>
  <c r="AB231" i="49"/>
  <c r="BK495" i="14"/>
  <c r="BG495" i="14"/>
  <c r="BJ495" i="14"/>
  <c r="BF495" i="14"/>
  <c r="BH495" i="14"/>
  <c r="BD495" i="14"/>
  <c r="BI495" i="14"/>
  <c r="BE495" i="14"/>
  <c r="AB299" i="49"/>
  <c r="AC299" i="49"/>
  <c r="AC311" i="49"/>
  <c r="AB311" i="49"/>
  <c r="G6" i="12"/>
  <c r="G13" i="12"/>
  <c r="G8" i="12"/>
  <c r="G24" i="12"/>
  <c r="G15" i="12"/>
  <c r="H72" i="11"/>
  <c r="V72" i="11" s="1"/>
  <c r="H93" i="11"/>
  <c r="V93" i="11" s="1"/>
  <c r="H55" i="11"/>
  <c r="V55" i="11" s="1"/>
  <c r="BK381" i="14"/>
  <c r="BG381" i="14"/>
  <c r="BJ381" i="14"/>
  <c r="BF381" i="14"/>
  <c r="BD381" i="14"/>
  <c r="BI381" i="14"/>
  <c r="BH381" i="14"/>
  <c r="BE381" i="14"/>
  <c r="BK432" i="14"/>
  <c r="BG432" i="14"/>
  <c r="BJ432" i="14"/>
  <c r="BF432" i="14"/>
  <c r="BI432" i="14"/>
  <c r="BE432" i="14"/>
  <c r="BD432" i="14"/>
  <c r="BH432" i="14"/>
  <c r="H21" i="11"/>
  <c r="V21" i="11" s="1"/>
  <c r="BJ496" i="14"/>
  <c r="BG496" i="14"/>
  <c r="BK496" i="14"/>
  <c r="BF496" i="14"/>
  <c r="BD496" i="14"/>
  <c r="BH496" i="14"/>
  <c r="BI496" i="14"/>
  <c r="BE496" i="14"/>
  <c r="BJ78" i="14"/>
  <c r="BF78" i="14"/>
  <c r="BI78" i="14"/>
  <c r="BE78" i="14"/>
  <c r="BH78" i="14"/>
  <c r="BD78" i="14"/>
  <c r="BK78" i="14"/>
  <c r="BG78" i="14"/>
  <c r="BK427" i="14"/>
  <c r="BG427" i="14"/>
  <c r="BJ427" i="14"/>
  <c r="BF427" i="14"/>
  <c r="BI427" i="14"/>
  <c r="BE427" i="14"/>
  <c r="BH427" i="14"/>
  <c r="BD427" i="14"/>
  <c r="Z112" i="38"/>
  <c r="H32" i="11"/>
  <c r="V32" i="11" s="1"/>
  <c r="H82" i="11"/>
  <c r="V82" i="11" s="1"/>
  <c r="Z118" i="38"/>
  <c r="Z96" i="38"/>
  <c r="H6" i="11"/>
  <c r="V6" i="11" s="1"/>
  <c r="H79" i="11"/>
  <c r="V79" i="11" s="1"/>
  <c r="H75" i="11"/>
  <c r="V75" i="11" s="1"/>
  <c r="Z48" i="38"/>
  <c r="H48" i="11"/>
  <c r="V48" i="11" s="1"/>
  <c r="Z95" i="38"/>
  <c r="H51" i="11"/>
  <c r="V51" i="11" s="1"/>
  <c r="H15" i="11"/>
  <c r="V15" i="11" s="1"/>
  <c r="Z70" i="38"/>
  <c r="BK491" i="14"/>
  <c r="BG491" i="14"/>
  <c r="BJ491" i="14"/>
  <c r="BF491" i="14"/>
  <c r="BI491" i="14"/>
  <c r="BE491" i="14"/>
  <c r="BH491" i="14"/>
  <c r="BD491" i="14"/>
  <c r="M9" i="37"/>
  <c r="AB285" i="49"/>
  <c r="AC285" i="49"/>
  <c r="AB200" i="49"/>
  <c r="AC200" i="49"/>
  <c r="AC204" i="49"/>
  <c r="AB204" i="49"/>
  <c r="AB208" i="49"/>
  <c r="AC208" i="49"/>
  <c r="AC212" i="49"/>
  <c r="AB212" i="49"/>
  <c r="AB216" i="49"/>
  <c r="AC216" i="49"/>
  <c r="AC220" i="49"/>
  <c r="AB220" i="49"/>
  <c r="AB224" i="49"/>
  <c r="AC224" i="49"/>
  <c r="AC228" i="49"/>
  <c r="AB228" i="49"/>
  <c r="AB232" i="49"/>
  <c r="AC232" i="49"/>
  <c r="AB286" i="49"/>
  <c r="BK440" i="14"/>
  <c r="BG440" i="14"/>
  <c r="BJ440" i="14"/>
  <c r="BF440" i="14"/>
  <c r="BI440" i="14"/>
  <c r="BE440" i="14"/>
  <c r="BD440" i="14"/>
  <c r="BH440" i="14"/>
  <c r="AC55" i="49"/>
  <c r="G10" i="12"/>
  <c r="G22" i="12"/>
  <c r="G17" i="12"/>
  <c r="G12" i="12"/>
  <c r="G3" i="12"/>
  <c r="AU2" i="66" s="1"/>
  <c r="G19" i="12"/>
  <c r="H46" i="11"/>
  <c r="V46" i="11" s="1"/>
  <c r="H62" i="11"/>
  <c r="V62" i="11" s="1"/>
  <c r="H30" i="11"/>
  <c r="V30" i="11" s="1"/>
  <c r="H92" i="11"/>
  <c r="V92" i="11" s="1"/>
  <c r="H58" i="11"/>
  <c r="V58" i="11" s="1"/>
  <c r="H60" i="11"/>
  <c r="V60" i="11" s="1"/>
  <c r="H101" i="11"/>
  <c r="V101" i="11" s="1"/>
  <c r="BK448" i="14"/>
  <c r="BG448" i="14"/>
  <c r="BJ448" i="14"/>
  <c r="BF448" i="14"/>
  <c r="BI448" i="14"/>
  <c r="BE448" i="14"/>
  <c r="BD448" i="14"/>
  <c r="BH448" i="14"/>
  <c r="AB59" i="49"/>
  <c r="AB51" i="49"/>
  <c r="H49" i="11"/>
  <c r="V49" i="11" s="1"/>
  <c r="H96" i="11"/>
  <c r="V96" i="11" s="1"/>
  <c r="H26" i="11"/>
  <c r="V26" i="11" s="1"/>
  <c r="H41" i="11"/>
  <c r="V41" i="11" s="1"/>
  <c r="H65" i="11"/>
  <c r="V65" i="11" s="1"/>
  <c r="H56" i="11"/>
  <c r="V56" i="11" s="1"/>
  <c r="H10" i="11"/>
  <c r="V10" i="11" s="1"/>
  <c r="C4" i="37"/>
  <c r="H20" i="11"/>
  <c r="V20" i="11" s="1"/>
  <c r="Z101" i="38"/>
  <c r="Z85" i="38"/>
  <c r="Z53" i="38"/>
  <c r="H71" i="11"/>
  <c r="V71" i="11" s="1"/>
  <c r="H4" i="11"/>
  <c r="V4" i="11" s="1"/>
  <c r="H27" i="11"/>
  <c r="V27" i="11" s="1"/>
  <c r="H59" i="11"/>
  <c r="V59" i="11" s="1"/>
  <c r="BH393" i="14"/>
  <c r="BD393" i="14"/>
  <c r="BK393" i="14"/>
  <c r="BG393" i="14"/>
  <c r="BJ393" i="14"/>
  <c r="BF393" i="14"/>
  <c r="BI393" i="14"/>
  <c r="BE393" i="14"/>
  <c r="BK435" i="14"/>
  <c r="BG435" i="14"/>
  <c r="BJ435" i="14"/>
  <c r="BF435" i="14"/>
  <c r="BI435" i="14"/>
  <c r="BE435" i="14"/>
  <c r="BH435" i="14"/>
  <c r="BD435" i="14"/>
  <c r="AB302" i="49"/>
  <c r="AC302" i="49"/>
  <c r="G28" i="12"/>
  <c r="I28" i="12" s="1"/>
  <c r="G26" i="12"/>
  <c r="G30" i="12"/>
  <c r="I30" i="12" s="1"/>
  <c r="G32" i="12"/>
  <c r="I32" i="12" s="1"/>
  <c r="G29" i="12"/>
  <c r="I29" i="12" s="1"/>
  <c r="AC315" i="49"/>
  <c r="AB315" i="49"/>
  <c r="AB197" i="49"/>
  <c r="AC197" i="49"/>
  <c r="AB201" i="49"/>
  <c r="AC201" i="49"/>
  <c r="AB205" i="49"/>
  <c r="AC205" i="49"/>
  <c r="AB209" i="49"/>
  <c r="AC209" i="49"/>
  <c r="AB213" i="49"/>
  <c r="AC213" i="49"/>
  <c r="AB217" i="49"/>
  <c r="AC217" i="49"/>
  <c r="AB221" i="49"/>
  <c r="AC221" i="49"/>
  <c r="AB225" i="49"/>
  <c r="AC225" i="49"/>
  <c r="AB229" i="49"/>
  <c r="AC229" i="49"/>
  <c r="AB282" i="49"/>
  <c r="BK456" i="14"/>
  <c r="BG456" i="14"/>
  <c r="BJ456" i="14"/>
  <c r="BF456" i="14"/>
  <c r="BI456" i="14"/>
  <c r="BE456" i="14"/>
  <c r="BD456" i="14"/>
  <c r="BH456" i="14"/>
  <c r="AC38" i="49"/>
  <c r="G14" i="12"/>
  <c r="AU13" i="66" s="1"/>
  <c r="G5" i="12"/>
  <c r="G21" i="12"/>
  <c r="G16" i="12"/>
  <c r="G7" i="12"/>
  <c r="G23" i="12"/>
  <c r="Z126" i="38"/>
  <c r="H16" i="11"/>
  <c r="V16" i="11" s="1"/>
  <c r="Z108" i="38"/>
  <c r="Z45" i="38"/>
  <c r="Z60" i="38"/>
  <c r="Z141" i="38"/>
  <c r="BI260" i="14"/>
  <c r="BE260" i="14"/>
  <c r="BH260" i="14"/>
  <c r="BD260" i="14"/>
  <c r="BJ260" i="14"/>
  <c r="BF260" i="14"/>
  <c r="BK260" i="14"/>
  <c r="BG260" i="14"/>
  <c r="BK464" i="14"/>
  <c r="BG464" i="14"/>
  <c r="BJ464" i="14"/>
  <c r="BF464" i="14"/>
  <c r="BI464" i="14"/>
  <c r="BE464" i="14"/>
  <c r="BD464" i="14"/>
  <c r="BH464" i="14"/>
  <c r="AB35" i="49"/>
  <c r="AB36" i="49"/>
  <c r="AC233" i="49"/>
  <c r="AB233" i="49"/>
  <c r="AB234" i="49"/>
  <c r="H52" i="11"/>
  <c r="V52" i="11" s="1"/>
  <c r="H70" i="11"/>
  <c r="V70" i="11" s="1"/>
  <c r="H47" i="11"/>
  <c r="V47" i="11" s="1"/>
  <c r="Z66" i="38"/>
  <c r="H63" i="11"/>
  <c r="V63" i="11" s="1"/>
  <c r="H43" i="11"/>
  <c r="V43" i="11" s="1"/>
  <c r="Z67" i="38"/>
  <c r="BK475" i="14"/>
  <c r="BG475" i="14"/>
  <c r="BJ475" i="14"/>
  <c r="BF475" i="14"/>
  <c r="BI475" i="14"/>
  <c r="BE475" i="14"/>
  <c r="BH475" i="14"/>
  <c r="BD475" i="14"/>
  <c r="BK476" i="14"/>
  <c r="BG476" i="14"/>
  <c r="BJ476" i="14"/>
  <c r="BF476" i="14"/>
  <c r="BI476" i="14"/>
  <c r="BE476" i="14"/>
  <c r="BD476" i="14"/>
  <c r="BH476" i="14"/>
  <c r="H37" i="11"/>
  <c r="V37" i="11" s="1"/>
  <c r="H39" i="11"/>
  <c r="V39" i="11" s="1"/>
  <c r="H81" i="11"/>
  <c r="V81" i="11" s="1"/>
  <c r="Z100" i="38"/>
  <c r="H100" i="11"/>
  <c r="V100" i="11" s="1"/>
  <c r="Z91" i="38"/>
  <c r="Z131" i="38"/>
  <c r="H73" i="11"/>
  <c r="V73" i="11" s="1"/>
  <c r="H19" i="11"/>
  <c r="V19" i="11" s="1"/>
  <c r="H54" i="11"/>
  <c r="V54" i="11" s="1"/>
  <c r="BI264" i="14"/>
  <c r="BE264" i="14"/>
  <c r="BH264" i="14"/>
  <c r="BD264" i="14"/>
  <c r="BJ264" i="14"/>
  <c r="BF264" i="14"/>
  <c r="BK264" i="14"/>
  <c r="BG264" i="14"/>
  <c r="BK471" i="14"/>
  <c r="BG471" i="14"/>
  <c r="BJ471" i="14"/>
  <c r="BF471" i="14"/>
  <c r="BI471" i="14"/>
  <c r="BE471" i="14"/>
  <c r="BH471" i="14"/>
  <c r="BD471" i="14"/>
  <c r="AB303" i="49"/>
  <c r="AC310" i="49"/>
  <c r="AB310" i="49"/>
  <c r="AB300" i="49"/>
  <c r="H40" i="11"/>
  <c r="V40" i="11" s="1"/>
  <c r="H85" i="11"/>
  <c r="V85" i="11" s="1"/>
  <c r="H66" i="11"/>
  <c r="V66" i="11" s="1"/>
  <c r="H3" i="11"/>
  <c r="H36" i="11"/>
  <c r="V36" i="11" s="1"/>
  <c r="Z57" i="38"/>
  <c r="H78" i="11"/>
  <c r="V78" i="11" s="1"/>
  <c r="H77" i="11"/>
  <c r="V77" i="11" s="1"/>
  <c r="Z81" i="38"/>
  <c r="Z59" i="38"/>
  <c r="M8" i="37"/>
  <c r="AB24" i="49"/>
  <c r="AB25" i="49"/>
  <c r="AC198" i="49"/>
  <c r="AB198" i="49"/>
  <c r="AC202" i="49"/>
  <c r="AB202" i="49"/>
  <c r="AC206" i="49"/>
  <c r="AB206" i="49"/>
  <c r="AC210" i="49"/>
  <c r="AB210" i="49"/>
  <c r="AC214" i="49"/>
  <c r="AB214" i="49"/>
  <c r="AC218" i="49"/>
  <c r="AB218" i="49"/>
  <c r="AC222" i="49"/>
  <c r="AB222" i="49"/>
  <c r="AC226" i="49"/>
  <c r="AB226" i="49"/>
  <c r="AC230" i="49"/>
  <c r="AB230" i="49"/>
  <c r="AB290" i="49"/>
  <c r="AC290" i="49"/>
  <c r="BK472" i="14"/>
  <c r="BG472" i="14"/>
  <c r="BJ472" i="14"/>
  <c r="BF472" i="14"/>
  <c r="BI472" i="14"/>
  <c r="BE472" i="14"/>
  <c r="BD472" i="14"/>
  <c r="BH472" i="14"/>
  <c r="AC80" i="49"/>
  <c r="G18" i="12"/>
  <c r="G9" i="12"/>
  <c r="G4" i="12"/>
  <c r="AU3" i="66" s="1"/>
  <c r="G20" i="12"/>
  <c r="G11" i="12"/>
  <c r="Z114" i="38"/>
  <c r="H89" i="11"/>
  <c r="V89" i="11" s="1"/>
  <c r="H95" i="11"/>
  <c r="V95" i="11" s="1"/>
  <c r="Z116" i="38"/>
  <c r="H31" i="11"/>
  <c r="V31" i="11" s="1"/>
  <c r="H29" i="11"/>
  <c r="V29" i="11" s="1"/>
  <c r="H69" i="11"/>
  <c r="V69" i="11" s="1"/>
  <c r="Z74" i="38"/>
  <c r="Z26" i="38"/>
  <c r="BI251" i="14"/>
  <c r="BJ251" i="14"/>
  <c r="BF251" i="14"/>
  <c r="BH251" i="14"/>
  <c r="BG251" i="14"/>
  <c r="BE251" i="14"/>
  <c r="BK251" i="14"/>
  <c r="BD251" i="14"/>
  <c r="BI268" i="14"/>
  <c r="BE268" i="14"/>
  <c r="BH268" i="14"/>
  <c r="BD268" i="14"/>
  <c r="BJ268" i="14"/>
  <c r="BF268" i="14"/>
  <c r="BK268" i="14"/>
  <c r="BG268" i="14"/>
  <c r="AB39" i="49"/>
  <c r="H57" i="11"/>
  <c r="V57" i="11" s="1"/>
  <c r="H28" i="11"/>
  <c r="V28" i="11" s="1"/>
  <c r="H64" i="11"/>
  <c r="V64" i="11" s="1"/>
  <c r="Z129" i="38"/>
  <c r="H87" i="11"/>
  <c r="V87" i="11" s="1"/>
  <c r="H76" i="11"/>
  <c r="V76" i="11" s="1"/>
  <c r="H33" i="11"/>
  <c r="V33" i="11" s="1"/>
  <c r="H53" i="11"/>
  <c r="V53" i="11" s="1"/>
  <c r="Z89" i="38"/>
  <c r="BK492" i="14"/>
  <c r="BG492" i="14"/>
  <c r="BJ492" i="14"/>
  <c r="BF492" i="14"/>
  <c r="BI492" i="14"/>
  <c r="BE492" i="14"/>
  <c r="BD492" i="14"/>
  <c r="BH492" i="14"/>
  <c r="I23" i="12" l="1"/>
  <c r="AU22" i="66"/>
  <c r="I5" i="12"/>
  <c r="AU4" i="66"/>
  <c r="I19" i="12"/>
  <c r="AU18" i="66"/>
  <c r="I22" i="12"/>
  <c r="AU21" i="66"/>
  <c r="I24" i="12"/>
  <c r="AU23" i="66"/>
  <c r="I11" i="12"/>
  <c r="AU10" i="66"/>
  <c r="I18" i="12"/>
  <c r="AU17" i="66"/>
  <c r="I3" i="12"/>
  <c r="I10" i="12"/>
  <c r="AU9" i="66"/>
  <c r="I8" i="12"/>
  <c r="AU7" i="66"/>
  <c r="I9" i="12"/>
  <c r="AU8" i="66"/>
  <c r="I7" i="12"/>
  <c r="AU6" i="66"/>
  <c r="I20" i="12"/>
  <c r="AU19" i="66"/>
  <c r="I16" i="12"/>
  <c r="AU15" i="66"/>
  <c r="I12" i="12"/>
  <c r="AU11" i="66"/>
  <c r="I13" i="12"/>
  <c r="AU12" i="66"/>
  <c r="I21" i="12"/>
  <c r="AU20" i="66"/>
  <c r="I26" i="12"/>
  <c r="AU25" i="66"/>
  <c r="I17" i="12"/>
  <c r="AU16" i="66"/>
  <c r="I15" i="12"/>
  <c r="AU14" i="66"/>
  <c r="I6" i="12"/>
  <c r="AU5" i="66"/>
  <c r="I14" i="12"/>
  <c r="M25" i="12"/>
  <c r="I25" i="12"/>
  <c r="L31" i="12"/>
  <c r="I31" i="12"/>
  <c r="I4" i="12"/>
  <c r="L25" i="12"/>
  <c r="H31" i="12"/>
  <c r="M31" i="12"/>
  <c r="H25" i="12"/>
  <c r="M9" i="12"/>
  <c r="L9" i="12"/>
  <c r="H9" i="12"/>
  <c r="V3" i="11"/>
  <c r="G5" i="37"/>
  <c r="M23" i="12"/>
  <c r="H23" i="12"/>
  <c r="L23" i="12"/>
  <c r="M5" i="12"/>
  <c r="L5" i="12"/>
  <c r="H5" i="12"/>
  <c r="L32" i="12"/>
  <c r="M32" i="12"/>
  <c r="H32" i="12"/>
  <c r="L12" i="12"/>
  <c r="H12" i="12"/>
  <c r="M12" i="12"/>
  <c r="M12" i="37"/>
  <c r="L24" i="12"/>
  <c r="H24" i="12"/>
  <c r="M24" i="12"/>
  <c r="M11" i="12"/>
  <c r="H11" i="12"/>
  <c r="L11" i="12"/>
  <c r="M18" i="12"/>
  <c r="L18" i="12"/>
  <c r="H18" i="12"/>
  <c r="M11" i="37"/>
  <c r="M7" i="12"/>
  <c r="H7" i="12"/>
  <c r="L7" i="12"/>
  <c r="M14" i="12"/>
  <c r="L14" i="12"/>
  <c r="H14" i="12"/>
  <c r="L30" i="12"/>
  <c r="M30" i="12"/>
  <c r="H30" i="12"/>
  <c r="M17" i="12"/>
  <c r="L17" i="12"/>
  <c r="H17" i="12"/>
  <c r="L8" i="12"/>
  <c r="H8" i="12"/>
  <c r="M8" i="12"/>
  <c r="L20" i="12"/>
  <c r="H20" i="12"/>
  <c r="M20" i="12"/>
  <c r="L16" i="12"/>
  <c r="H16" i="12"/>
  <c r="M16" i="12"/>
  <c r="M29" i="12"/>
  <c r="L29" i="12"/>
  <c r="H29" i="12"/>
  <c r="L26" i="12"/>
  <c r="M26" i="12"/>
  <c r="H26" i="12"/>
  <c r="M19" i="12"/>
  <c r="H19" i="12"/>
  <c r="L19" i="12"/>
  <c r="M22" i="12"/>
  <c r="L22" i="12"/>
  <c r="H22" i="12"/>
  <c r="M13" i="12"/>
  <c r="L13" i="12"/>
  <c r="H13" i="12"/>
  <c r="M27" i="12"/>
  <c r="L27" i="12"/>
  <c r="H27" i="12"/>
  <c r="L4" i="12"/>
  <c r="H4" i="12"/>
  <c r="M4" i="12"/>
  <c r="M21" i="12"/>
  <c r="L21" i="12"/>
  <c r="H21" i="12"/>
  <c r="L28" i="12"/>
  <c r="M28" i="12"/>
  <c r="H28" i="12"/>
  <c r="D4" i="37"/>
  <c r="M3" i="12"/>
  <c r="H3" i="12"/>
  <c r="L3" i="12"/>
  <c r="BO2" i="66"/>
  <c r="M10" i="12"/>
  <c r="L10" i="12"/>
  <c r="H10" i="12"/>
  <c r="M15" i="12"/>
  <c r="L15" i="12"/>
  <c r="H15" i="12"/>
  <c r="M6" i="12"/>
  <c r="L6" i="12"/>
  <c r="H6" i="12"/>
  <c r="M13" i="37"/>
  <c r="B89" i="11" l="1"/>
  <c r="C89" i="11" s="1"/>
  <c r="B494" i="11"/>
  <c r="C494" i="11" s="1"/>
  <c r="B491" i="11"/>
  <c r="C491" i="11" s="1"/>
  <c r="B502" i="11"/>
  <c r="C502" i="11" s="1"/>
  <c r="B497" i="11"/>
  <c r="C497" i="11" s="1"/>
  <c r="B493" i="11"/>
  <c r="C493" i="11" s="1"/>
  <c r="B499" i="11"/>
  <c r="C499" i="11" s="1"/>
  <c r="B504" i="11"/>
  <c r="C504" i="11" s="1"/>
  <c r="B492" i="11"/>
  <c r="C492" i="11" s="1"/>
  <c r="B495" i="11"/>
  <c r="C495" i="11" s="1"/>
  <c r="B503" i="11"/>
  <c r="C503" i="11" s="1"/>
  <c r="B498" i="11"/>
  <c r="C498" i="11" s="1"/>
  <c r="B500" i="11"/>
  <c r="C500" i="11" s="1"/>
  <c r="B505" i="11"/>
  <c r="C505" i="11" s="1"/>
  <c r="B501" i="11"/>
  <c r="C501" i="11" s="1"/>
  <c r="B490" i="11"/>
  <c r="C490" i="11" s="1"/>
  <c r="B496" i="11"/>
  <c r="C496" i="11" s="1"/>
  <c r="B86" i="11"/>
  <c r="C86" i="11" s="1"/>
  <c r="B71" i="11"/>
  <c r="C71" i="11" s="1"/>
  <c r="B15" i="11"/>
  <c r="C15" i="11" s="1"/>
  <c r="B78" i="11"/>
  <c r="C78" i="11" s="1"/>
  <c r="B52" i="11"/>
  <c r="C52" i="11" s="1"/>
  <c r="B33" i="11"/>
  <c r="C33" i="11" s="1"/>
  <c r="B4" i="11"/>
  <c r="C4" i="11" s="1"/>
  <c r="B50" i="11"/>
  <c r="C50" i="11" s="1"/>
  <c r="B79" i="11"/>
  <c r="C79" i="11" s="1"/>
  <c r="B41" i="11"/>
  <c r="C41" i="11" s="1"/>
  <c r="B56" i="11"/>
  <c r="C56" i="11" s="1"/>
  <c r="B47" i="11"/>
  <c r="C47" i="11" s="1"/>
  <c r="B54" i="11"/>
  <c r="C54" i="11" s="1"/>
  <c r="B101" i="11"/>
  <c r="C101" i="11" s="1"/>
  <c r="B100" i="11"/>
  <c r="C100" i="11" s="1"/>
  <c r="B46" i="11"/>
  <c r="C46" i="11" s="1"/>
  <c r="B57" i="11"/>
  <c r="C57" i="11" s="1"/>
  <c r="B82" i="11"/>
  <c r="C82" i="11" s="1"/>
  <c r="B96" i="11"/>
  <c r="C96" i="11" s="1"/>
  <c r="B20" i="11"/>
  <c r="C20" i="11" s="1"/>
  <c r="B70" i="11"/>
  <c r="C70" i="11" s="1"/>
  <c r="B36" i="11"/>
  <c r="C36" i="11" s="1"/>
  <c r="B53" i="11"/>
  <c r="C53" i="11" s="1"/>
  <c r="B64" i="11"/>
  <c r="C64" i="11" s="1"/>
  <c r="B48" i="11"/>
  <c r="C48" i="11" s="1"/>
  <c r="B30" i="11"/>
  <c r="C30" i="11" s="1"/>
  <c r="B58" i="11"/>
  <c r="C58" i="11" s="1"/>
  <c r="B6" i="11"/>
  <c r="C6" i="11" s="1"/>
  <c r="B93" i="11"/>
  <c r="C93" i="11" s="1"/>
  <c r="B73" i="11"/>
  <c r="C73" i="11" s="1"/>
  <c r="B77" i="11"/>
  <c r="C77" i="11" s="1"/>
  <c r="B76" i="11"/>
  <c r="C76" i="11" s="1"/>
  <c r="B72" i="11"/>
  <c r="C72" i="11" s="1"/>
  <c r="B49" i="11"/>
  <c r="C49" i="11" s="1"/>
  <c r="B81" i="11"/>
  <c r="C81" i="11" s="1"/>
  <c r="C14" i="37"/>
  <c r="B51" i="11"/>
  <c r="C51" i="11" s="1"/>
  <c r="B32" i="11"/>
  <c r="C32" i="11" s="1"/>
  <c r="B26" i="11"/>
  <c r="C26" i="11" s="1"/>
  <c r="B59" i="11"/>
  <c r="C59" i="11" s="1"/>
  <c r="B63" i="11"/>
  <c r="C63" i="11" s="1"/>
  <c r="B37" i="11"/>
  <c r="C37" i="11" s="1"/>
  <c r="B102" i="11"/>
  <c r="C102" i="11" s="1"/>
  <c r="B69" i="11"/>
  <c r="C69" i="11" s="1"/>
  <c r="B66" i="11"/>
  <c r="C66" i="11" s="1"/>
  <c r="B21" i="11"/>
  <c r="C21" i="11" s="1"/>
  <c r="B60" i="11"/>
  <c r="C60" i="11" s="1"/>
  <c r="B39" i="11"/>
  <c r="C39" i="11" s="1"/>
  <c r="B28" i="11"/>
  <c r="C28" i="11" s="1"/>
  <c r="B62" i="11"/>
  <c r="C62" i="11" s="1"/>
  <c r="B43" i="11"/>
  <c r="C43" i="11" s="1"/>
  <c r="B55" i="11"/>
  <c r="C55" i="11" s="1"/>
  <c r="B27" i="11"/>
  <c r="C27" i="11" s="1"/>
  <c r="B16" i="11"/>
  <c r="C16" i="11" s="1"/>
  <c r="B19" i="11"/>
  <c r="C19" i="11" s="1"/>
  <c r="B29" i="11"/>
  <c r="C29" i="11" s="1"/>
  <c r="B31" i="11"/>
  <c r="C31" i="11" s="1"/>
  <c r="B75" i="11"/>
  <c r="C75" i="11" s="1"/>
  <c r="B92" i="11"/>
  <c r="C92" i="11" s="1"/>
  <c r="B65" i="11"/>
  <c r="C65" i="11" s="1"/>
  <c r="B85" i="11"/>
  <c r="C85" i="11" s="1"/>
  <c r="B95" i="11"/>
  <c r="C95" i="11" s="1"/>
  <c r="B87" i="11"/>
  <c r="C87" i="11" s="1"/>
  <c r="B10" i="11"/>
  <c r="C10" i="11" s="1"/>
  <c r="M15" i="37"/>
  <c r="M16" i="37"/>
  <c r="G6" i="37"/>
  <c r="M14" i="37"/>
  <c r="B3" i="11"/>
  <c r="B25" i="11"/>
  <c r="C25" i="11" s="1"/>
  <c r="B136" i="11"/>
  <c r="C136" i="11" s="1"/>
  <c r="B301" i="11"/>
  <c r="C301" i="11" s="1"/>
  <c r="B307" i="11"/>
  <c r="C307" i="11" s="1"/>
  <c r="B192" i="11"/>
  <c r="C192" i="11" s="1"/>
  <c r="B196" i="11"/>
  <c r="C196" i="11" s="1"/>
  <c r="B232" i="11"/>
  <c r="C232" i="11" s="1"/>
  <c r="B103" i="11"/>
  <c r="C103" i="11" s="1"/>
  <c r="B320" i="11"/>
  <c r="C320" i="11" s="1"/>
  <c r="B245" i="11"/>
  <c r="C245" i="11" s="1"/>
  <c r="B67" i="11"/>
  <c r="C67" i="11" s="1"/>
  <c r="B213" i="11"/>
  <c r="C213" i="11" s="1"/>
  <c r="B185" i="11"/>
  <c r="C185" i="11" s="1"/>
  <c r="B465" i="11"/>
  <c r="C465" i="11" s="1"/>
  <c r="B413" i="11"/>
  <c r="C413" i="11" s="1"/>
  <c r="B281" i="11"/>
  <c r="C281" i="11" s="1"/>
  <c r="B282" i="11"/>
  <c r="C282" i="11" s="1"/>
  <c r="B104" i="11"/>
  <c r="C104" i="11" s="1"/>
  <c r="B156" i="11"/>
  <c r="C156" i="11" s="1"/>
  <c r="B478" i="11"/>
  <c r="C478" i="11" s="1"/>
  <c r="B367" i="11"/>
  <c r="C367" i="11" s="1"/>
  <c r="B488" i="11"/>
  <c r="C488" i="11" s="1"/>
  <c r="B389" i="11"/>
  <c r="C389" i="11" s="1"/>
  <c r="B293" i="11"/>
  <c r="C293" i="11" s="1"/>
  <c r="B175" i="11"/>
  <c r="C175" i="11" s="1"/>
  <c r="B121" i="11"/>
  <c r="C121" i="11" s="1"/>
  <c r="B466" i="11"/>
  <c r="C466" i="11" s="1"/>
  <c r="B450" i="11"/>
  <c r="C450" i="11" s="1"/>
  <c r="B434" i="11"/>
  <c r="C434" i="11" s="1"/>
  <c r="B418" i="11"/>
  <c r="C418" i="11" s="1"/>
  <c r="B402" i="11"/>
  <c r="C402" i="11" s="1"/>
  <c r="B354" i="11"/>
  <c r="C354" i="11" s="1"/>
  <c r="B341" i="11"/>
  <c r="C341" i="11" s="1"/>
  <c r="B336" i="11"/>
  <c r="C336" i="11" s="1"/>
  <c r="B300" i="11"/>
  <c r="C300" i="11" s="1"/>
  <c r="B241" i="11"/>
  <c r="C241" i="11" s="1"/>
  <c r="B364" i="11"/>
  <c r="C364" i="11" s="1"/>
  <c r="B203" i="11"/>
  <c r="C203" i="11" s="1"/>
  <c r="B191" i="11"/>
  <c r="C191" i="11" s="1"/>
  <c r="B147" i="11"/>
  <c r="C147" i="11" s="1"/>
  <c r="B11" i="11"/>
  <c r="C11" i="11" s="1"/>
  <c r="B452" i="11"/>
  <c r="C452" i="11" s="1"/>
  <c r="B119" i="11"/>
  <c r="C119" i="11" s="1"/>
  <c r="B377" i="11"/>
  <c r="C377" i="11" s="1"/>
  <c r="B373" i="11"/>
  <c r="C373" i="11" s="1"/>
  <c r="B467" i="11"/>
  <c r="C467" i="11" s="1"/>
  <c r="B451" i="11"/>
  <c r="C451" i="11" s="1"/>
  <c r="B435" i="11"/>
  <c r="C435" i="11" s="1"/>
  <c r="B419" i="11"/>
  <c r="C419" i="11" s="1"/>
  <c r="B403" i="11"/>
  <c r="C403" i="11" s="1"/>
  <c r="B387" i="11"/>
  <c r="C387" i="11" s="1"/>
  <c r="B355" i="11"/>
  <c r="C355" i="11" s="1"/>
  <c r="B326" i="11"/>
  <c r="C326" i="11" s="1"/>
  <c r="B327" i="11"/>
  <c r="C327" i="11" s="1"/>
  <c r="B304" i="11"/>
  <c r="C304" i="11" s="1"/>
  <c r="B440" i="11"/>
  <c r="C440" i="11" s="1"/>
  <c r="B237" i="11"/>
  <c r="C237" i="11" s="1"/>
  <c r="B294" i="11"/>
  <c r="C294" i="11" s="1"/>
  <c r="B278" i="11"/>
  <c r="C278" i="11" s="1"/>
  <c r="B262" i="11"/>
  <c r="C262" i="11" s="1"/>
  <c r="B246" i="11"/>
  <c r="C246" i="11" s="1"/>
  <c r="B173" i="11"/>
  <c r="C173" i="11" s="1"/>
  <c r="B123" i="11"/>
  <c r="C123" i="11" s="1"/>
  <c r="B358" i="11"/>
  <c r="C358" i="11" s="1"/>
  <c r="B181" i="11"/>
  <c r="C181" i="11" s="1"/>
  <c r="B169" i="11"/>
  <c r="C169" i="11" s="1"/>
  <c r="B224" i="11"/>
  <c r="C224" i="11" s="1"/>
  <c r="B305" i="11"/>
  <c r="C305" i="11" s="1"/>
  <c r="B362" i="11"/>
  <c r="C362" i="11" s="1"/>
  <c r="B265" i="11"/>
  <c r="C265" i="11" s="1"/>
  <c r="B177" i="11"/>
  <c r="C177" i="11" s="1"/>
  <c r="B113" i="11"/>
  <c r="C113" i="11" s="1"/>
  <c r="B197" i="11"/>
  <c r="C197" i="11" s="1"/>
  <c r="B375" i="11"/>
  <c r="C375" i="11" s="1"/>
  <c r="B385" i="11"/>
  <c r="C385" i="11" s="1"/>
  <c r="B129" i="11"/>
  <c r="C129" i="11" s="1"/>
  <c r="B356" i="11"/>
  <c r="C356" i="11" s="1"/>
  <c r="B453" i="11"/>
  <c r="C453" i="11" s="1"/>
  <c r="B221" i="11"/>
  <c r="C221" i="11" s="1"/>
  <c r="B475" i="11"/>
  <c r="C475" i="11" s="1"/>
  <c r="B133" i="11"/>
  <c r="C133" i="11" s="1"/>
  <c r="B469" i="11"/>
  <c r="C469" i="11" s="1"/>
  <c r="B135" i="11"/>
  <c r="C135" i="11" s="1"/>
  <c r="B351" i="11"/>
  <c r="C351" i="11" s="1"/>
  <c r="B400" i="11"/>
  <c r="C400" i="11" s="1"/>
  <c r="B311" i="11"/>
  <c r="C311" i="11" s="1"/>
  <c r="B261" i="11"/>
  <c r="C261" i="11" s="1"/>
  <c r="B349" i="11"/>
  <c r="C349" i="11" s="1"/>
  <c r="B131" i="11"/>
  <c r="C131" i="11" s="1"/>
  <c r="B332" i="11"/>
  <c r="C332" i="11" s="1"/>
  <c r="B489" i="11"/>
  <c r="C489" i="11" s="1"/>
  <c r="B462" i="11"/>
  <c r="C462" i="11" s="1"/>
  <c r="B446" i="11"/>
  <c r="C446" i="11" s="1"/>
  <c r="B430" i="11"/>
  <c r="C430" i="11" s="1"/>
  <c r="B414" i="11"/>
  <c r="C414" i="11" s="1"/>
  <c r="B398" i="11"/>
  <c r="C398" i="11" s="1"/>
  <c r="B480" i="11"/>
  <c r="C480" i="11" s="1"/>
  <c r="B416" i="11"/>
  <c r="C416" i="11" s="1"/>
  <c r="B345" i="11"/>
  <c r="C345" i="11" s="1"/>
  <c r="B388" i="11"/>
  <c r="C388" i="11" s="1"/>
  <c r="B384" i="11"/>
  <c r="C384" i="11" s="1"/>
  <c r="B318" i="11"/>
  <c r="C318" i="11" s="1"/>
  <c r="B289" i="11"/>
  <c r="C289" i="11" s="1"/>
  <c r="B139" i="11"/>
  <c r="C139" i="11" s="1"/>
  <c r="B145" i="11"/>
  <c r="C145" i="11" s="1"/>
  <c r="B325" i="11"/>
  <c r="C325" i="11" s="1"/>
  <c r="B215" i="11"/>
  <c r="C215" i="11" s="1"/>
  <c r="B23" i="11"/>
  <c r="C23" i="11" s="1"/>
  <c r="B360" i="11"/>
  <c r="C360" i="11" s="1"/>
  <c r="B313" i="11"/>
  <c r="C313" i="11" s="1"/>
  <c r="B463" i="11"/>
  <c r="C463" i="11" s="1"/>
  <c r="B447" i="11"/>
  <c r="C447" i="11" s="1"/>
  <c r="B431" i="11"/>
  <c r="C431" i="11" s="1"/>
  <c r="B415" i="11"/>
  <c r="C415" i="11" s="1"/>
  <c r="B399" i="11"/>
  <c r="C399" i="11" s="1"/>
  <c r="B379" i="11"/>
  <c r="C379" i="11" s="1"/>
  <c r="B347" i="11"/>
  <c r="C347" i="11" s="1"/>
  <c r="B370" i="11"/>
  <c r="C370" i="11" s="1"/>
  <c r="B324" i="11"/>
  <c r="C324" i="11" s="1"/>
  <c r="B444" i="11"/>
  <c r="C444" i="11" s="1"/>
  <c r="B366" i="11"/>
  <c r="C366" i="11" s="1"/>
  <c r="B424" i="11"/>
  <c r="C424" i="11" s="1"/>
  <c r="B285" i="11"/>
  <c r="C285" i="11" s="1"/>
  <c r="B380" i="11"/>
  <c r="C380" i="11" s="1"/>
  <c r="B420" i="11"/>
  <c r="C420" i="11" s="1"/>
  <c r="B225" i="11"/>
  <c r="C225" i="11" s="1"/>
  <c r="B314" i="11"/>
  <c r="C314" i="11" s="1"/>
  <c r="B163" i="11"/>
  <c r="C163" i="11" s="1"/>
  <c r="B137" i="11"/>
  <c r="C137" i="11" s="1"/>
  <c r="B200" i="11"/>
  <c r="C200" i="11" s="1"/>
  <c r="B44" i="11"/>
  <c r="C44" i="11" s="1"/>
  <c r="B448" i="11"/>
  <c r="C448" i="11" s="1"/>
  <c r="B396" i="11"/>
  <c r="C396" i="11" s="1"/>
  <c r="B157" i="11"/>
  <c r="C157" i="11" s="1"/>
  <c r="B309" i="11"/>
  <c r="C309" i="11" s="1"/>
  <c r="B179" i="11"/>
  <c r="C179" i="11" s="1"/>
  <c r="B220" i="11"/>
  <c r="C220" i="11" s="1"/>
  <c r="B359" i="11"/>
  <c r="C359" i="11" s="1"/>
  <c r="B353" i="11"/>
  <c r="C353" i="11" s="1"/>
  <c r="B381" i="11"/>
  <c r="C381" i="11" s="1"/>
  <c r="B328" i="11"/>
  <c r="C328" i="11" s="1"/>
  <c r="B115" i="11"/>
  <c r="C115" i="11" s="1"/>
  <c r="B124" i="11"/>
  <c r="C124" i="11" s="1"/>
  <c r="B335" i="11"/>
  <c r="C335" i="11" s="1"/>
  <c r="B376" i="11"/>
  <c r="C376" i="11" s="1"/>
  <c r="B369" i="11"/>
  <c r="C369" i="11" s="1"/>
  <c r="B348" i="11"/>
  <c r="C348" i="11" s="1"/>
  <c r="B205" i="11"/>
  <c r="C205" i="11" s="1"/>
  <c r="B404" i="11"/>
  <c r="C404" i="11" s="1"/>
  <c r="B240" i="11"/>
  <c r="C240" i="11" s="1"/>
  <c r="B487" i="11"/>
  <c r="C487" i="11" s="1"/>
  <c r="B458" i="11"/>
  <c r="C458" i="11" s="1"/>
  <c r="B442" i="11"/>
  <c r="C442" i="11" s="1"/>
  <c r="B426" i="11"/>
  <c r="C426" i="11" s="1"/>
  <c r="B410" i="11"/>
  <c r="C410" i="11" s="1"/>
  <c r="B394" i="11"/>
  <c r="C394" i="11" s="1"/>
  <c r="B481" i="11"/>
  <c r="C481" i="11" s="1"/>
  <c r="B317" i="11"/>
  <c r="C317" i="11" s="1"/>
  <c r="B368" i="11"/>
  <c r="C368" i="11" s="1"/>
  <c r="B316" i="11"/>
  <c r="C316" i="11" s="1"/>
  <c r="B273" i="11"/>
  <c r="C273" i="11" s="1"/>
  <c r="B189" i="11"/>
  <c r="C189" i="11" s="1"/>
  <c r="B127" i="11"/>
  <c r="C127" i="11" s="1"/>
  <c r="B229" i="11"/>
  <c r="C229" i="11" s="1"/>
  <c r="B183" i="11"/>
  <c r="C183" i="11" s="1"/>
  <c r="B486" i="11"/>
  <c r="C486" i="11" s="1"/>
  <c r="B321" i="11"/>
  <c r="C321" i="11" s="1"/>
  <c r="B297" i="11"/>
  <c r="C297" i="11" s="1"/>
  <c r="B459" i="11"/>
  <c r="C459" i="11" s="1"/>
  <c r="B443" i="11"/>
  <c r="C443" i="11" s="1"/>
  <c r="B427" i="11"/>
  <c r="C427" i="11" s="1"/>
  <c r="B411" i="11"/>
  <c r="C411" i="11" s="1"/>
  <c r="B395" i="11"/>
  <c r="C395" i="11" s="1"/>
  <c r="B371" i="11"/>
  <c r="C371" i="11" s="1"/>
  <c r="B339" i="11"/>
  <c r="C339" i="11" s="1"/>
  <c r="B476" i="11"/>
  <c r="C476" i="11" s="1"/>
  <c r="B432" i="11"/>
  <c r="C432" i="11" s="1"/>
  <c r="B361" i="11"/>
  <c r="C361" i="11" s="1"/>
  <c r="B310" i="11"/>
  <c r="C310" i="11" s="1"/>
  <c r="B357" i="11"/>
  <c r="C357" i="11" s="1"/>
  <c r="B472" i="11"/>
  <c r="C472" i="11" s="1"/>
  <c r="B408" i="11"/>
  <c r="C408" i="11" s="1"/>
  <c r="B269" i="11"/>
  <c r="C269" i="11" s="1"/>
  <c r="B298" i="11"/>
  <c r="C298" i="11" s="1"/>
  <c r="B187" i="11"/>
  <c r="C187" i="11" s="1"/>
  <c r="B109" i="11"/>
  <c r="C109" i="11" s="1"/>
  <c r="B207" i="11"/>
  <c r="C207" i="11" s="1"/>
  <c r="B161" i="11"/>
  <c r="C161" i="11" s="1"/>
  <c r="B312" i="11"/>
  <c r="C312" i="11" s="1"/>
  <c r="B117" i="11"/>
  <c r="C117" i="11" s="1"/>
  <c r="B233" i="11"/>
  <c r="C233" i="11" s="1"/>
  <c r="B105" i="11"/>
  <c r="C105" i="11" s="1"/>
  <c r="B160" i="11"/>
  <c r="C160" i="11" s="1"/>
  <c r="B401" i="11"/>
  <c r="C401" i="11" s="1"/>
  <c r="B329" i="11"/>
  <c r="C329" i="11" s="1"/>
  <c r="B128" i="11"/>
  <c r="C128" i="11" s="1"/>
  <c r="B223" i="11"/>
  <c r="C223" i="11" s="1"/>
  <c r="B168" i="11"/>
  <c r="C168" i="11" s="1"/>
  <c r="B188" i="11"/>
  <c r="C188" i="11" s="1"/>
  <c r="B343" i="11"/>
  <c r="C343" i="11" s="1"/>
  <c r="B483" i="11"/>
  <c r="C483" i="11" s="1"/>
  <c r="B372" i="11"/>
  <c r="C372" i="11" s="1"/>
  <c r="B322" i="11"/>
  <c r="C322" i="11" s="1"/>
  <c r="B277" i="11"/>
  <c r="C277" i="11" s="1"/>
  <c r="B141" i="11"/>
  <c r="C141" i="11" s="1"/>
  <c r="B374" i="11"/>
  <c r="C374" i="11" s="1"/>
  <c r="B468" i="11"/>
  <c r="C468" i="11" s="1"/>
  <c r="B149" i="11"/>
  <c r="C149" i="11" s="1"/>
  <c r="B217" i="11"/>
  <c r="C217" i="11" s="1"/>
  <c r="B323" i="11"/>
  <c r="C323" i="11" s="1"/>
  <c r="B250" i="11"/>
  <c r="C250" i="11" s="1"/>
  <c r="B132" i="11"/>
  <c r="C132" i="11" s="1"/>
  <c r="B484" i="11"/>
  <c r="C484" i="11" s="1"/>
  <c r="B383" i="11"/>
  <c r="C383" i="11" s="1"/>
  <c r="B464" i="11"/>
  <c r="C464" i="11" s="1"/>
  <c r="B338" i="11"/>
  <c r="C338" i="11" s="1"/>
  <c r="B412" i="11"/>
  <c r="C412" i="11" s="1"/>
  <c r="B337" i="11"/>
  <c r="C337" i="11" s="1"/>
  <c r="B83" i="11"/>
  <c r="C83" i="11" s="1"/>
  <c r="B193" i="11"/>
  <c r="C193" i="11" s="1"/>
  <c r="B111" i="11"/>
  <c r="C111" i="11" s="1"/>
  <c r="B153" i="11"/>
  <c r="C153" i="11" s="1"/>
  <c r="B470" i="11"/>
  <c r="C470" i="11" s="1"/>
  <c r="B454" i="11"/>
  <c r="C454" i="11" s="1"/>
  <c r="B438" i="11"/>
  <c r="C438" i="11" s="1"/>
  <c r="B422" i="11"/>
  <c r="C422" i="11" s="1"/>
  <c r="B406" i="11"/>
  <c r="C406" i="11" s="1"/>
  <c r="B390" i="11"/>
  <c r="C390" i="11" s="1"/>
  <c r="B479" i="11"/>
  <c r="C479" i="11" s="1"/>
  <c r="B428" i="11"/>
  <c r="C428" i="11" s="1"/>
  <c r="B350" i="11"/>
  <c r="C350" i="11" s="1"/>
  <c r="B352" i="11"/>
  <c r="C352" i="11" s="1"/>
  <c r="B302" i="11"/>
  <c r="C302" i="11" s="1"/>
  <c r="B257" i="11"/>
  <c r="C257" i="11" s="1"/>
  <c r="B436" i="11"/>
  <c r="C436" i="11" s="1"/>
  <c r="B125" i="11"/>
  <c r="C125" i="11" s="1"/>
  <c r="B209" i="11"/>
  <c r="C209" i="11" s="1"/>
  <c r="B211" i="11"/>
  <c r="C211" i="11" s="1"/>
  <c r="B165" i="11"/>
  <c r="C165" i="11" s="1"/>
  <c r="B151" i="11"/>
  <c r="C151" i="11" s="1"/>
  <c r="B7" i="11"/>
  <c r="C7" i="11" s="1"/>
  <c r="B482" i="11"/>
  <c r="C482" i="11" s="1"/>
  <c r="B460" i="11"/>
  <c r="C460" i="11" s="1"/>
  <c r="B249" i="11"/>
  <c r="C249" i="11" s="1"/>
  <c r="B266" i="11"/>
  <c r="C266" i="11" s="1"/>
  <c r="B471" i="11"/>
  <c r="C471" i="11" s="1"/>
  <c r="B455" i="11"/>
  <c r="C455" i="11" s="1"/>
  <c r="B439" i="11"/>
  <c r="C439" i="11" s="1"/>
  <c r="B423" i="11"/>
  <c r="C423" i="11" s="1"/>
  <c r="B407" i="11"/>
  <c r="C407" i="11" s="1"/>
  <c r="B391" i="11"/>
  <c r="C391" i="11" s="1"/>
  <c r="B363" i="11"/>
  <c r="C363" i="11" s="1"/>
  <c r="B344" i="11"/>
  <c r="C344" i="11" s="1"/>
  <c r="B308" i="11"/>
  <c r="C308" i="11" s="1"/>
  <c r="B340" i="11"/>
  <c r="C340" i="11" s="1"/>
  <c r="B306" i="11"/>
  <c r="C306" i="11" s="1"/>
  <c r="B456" i="11"/>
  <c r="C456" i="11" s="1"/>
  <c r="B392" i="11"/>
  <c r="C392" i="11" s="1"/>
  <c r="B253" i="11"/>
  <c r="C253" i="11" s="1"/>
  <c r="B35" i="11"/>
  <c r="C35" i="11" s="1"/>
  <c r="B365" i="11"/>
  <c r="C365" i="11" s="1"/>
  <c r="B333" i="11"/>
  <c r="C333" i="11" s="1"/>
  <c r="B143" i="11"/>
  <c r="C143" i="11" s="1"/>
  <c r="B227" i="11"/>
  <c r="C227" i="11" s="1"/>
  <c r="B91" i="11"/>
  <c r="C91" i="11" s="1"/>
  <c r="B201" i="11"/>
  <c r="C201" i="11" s="1"/>
  <c r="B180" i="11"/>
  <c r="C180" i="11" s="1"/>
  <c r="B258" i="11"/>
  <c r="C258" i="11" s="1"/>
  <c r="B303" i="11"/>
  <c r="C303" i="11" s="1"/>
  <c r="B167" i="11"/>
  <c r="C167" i="11" s="1"/>
  <c r="B17" i="11"/>
  <c r="C17" i="11" s="1"/>
  <c r="B382" i="11"/>
  <c r="C382" i="11" s="1"/>
  <c r="B296" i="11"/>
  <c r="C296" i="11" s="1"/>
  <c r="B291" i="11"/>
  <c r="C291" i="11" s="1"/>
  <c r="B236" i="11"/>
  <c r="C236" i="11" s="1"/>
  <c r="B319" i="11"/>
  <c r="C319" i="11" s="1"/>
  <c r="B110" i="11"/>
  <c r="C110" i="11" s="1"/>
  <c r="B174" i="11"/>
  <c r="C174" i="11" s="1"/>
  <c r="B267" i="11"/>
  <c r="C267" i="11" s="1"/>
  <c r="B378" i="11"/>
  <c r="C378" i="11" s="1"/>
  <c r="B112" i="11"/>
  <c r="C112" i="11" s="1"/>
  <c r="B159" i="11"/>
  <c r="C159" i="11" s="1"/>
  <c r="B146" i="11"/>
  <c r="C146" i="11" s="1"/>
  <c r="B8" i="11"/>
  <c r="C8" i="11" s="1"/>
  <c r="B449" i="11"/>
  <c r="C449" i="11" s="1"/>
  <c r="B84" i="11"/>
  <c r="C84" i="11" s="1"/>
  <c r="B255" i="11"/>
  <c r="C255" i="11" s="1"/>
  <c r="B176" i="11"/>
  <c r="C176" i="11" s="1"/>
  <c r="B272" i="11"/>
  <c r="C272" i="11" s="1"/>
  <c r="B231" i="11"/>
  <c r="C231" i="11" s="1"/>
  <c r="B116" i="11"/>
  <c r="C116" i="11" s="1"/>
  <c r="B268" i="11"/>
  <c r="C268" i="11" s="1"/>
  <c r="B393" i="11"/>
  <c r="C393" i="11" s="1"/>
  <c r="B118" i="11"/>
  <c r="C118" i="11" s="1"/>
  <c r="B182" i="11"/>
  <c r="C182" i="11" s="1"/>
  <c r="B286" i="11"/>
  <c r="C286" i="11" s="1"/>
  <c r="B171" i="11"/>
  <c r="C171" i="11" s="1"/>
  <c r="B194" i="11"/>
  <c r="C194" i="11" s="1"/>
  <c r="B94" i="11"/>
  <c r="C94" i="11" s="1"/>
  <c r="B238" i="11"/>
  <c r="C238" i="11" s="1"/>
  <c r="B107" i="11"/>
  <c r="C107" i="11" s="1"/>
  <c r="B202" i="11"/>
  <c r="C202" i="11" s="1"/>
  <c r="B97" i="11"/>
  <c r="C97" i="11" s="1"/>
  <c r="B334" i="11"/>
  <c r="C334" i="11" s="1"/>
  <c r="B386" i="11"/>
  <c r="C386" i="11" s="1"/>
  <c r="B218" i="11"/>
  <c r="C218" i="11" s="1"/>
  <c r="B144" i="11"/>
  <c r="C144" i="11" s="1"/>
  <c r="B24" i="11"/>
  <c r="C24" i="11" s="1"/>
  <c r="B287" i="11"/>
  <c r="C287" i="11" s="1"/>
  <c r="B437" i="11"/>
  <c r="C437" i="11" s="1"/>
  <c r="B295" i="11"/>
  <c r="C295" i="11" s="1"/>
  <c r="B42" i="11"/>
  <c r="C42" i="11" s="1"/>
  <c r="B99" i="11"/>
  <c r="C99" i="11" s="1"/>
  <c r="B9" i="11"/>
  <c r="C9" i="11" s="1"/>
  <c r="B243" i="11"/>
  <c r="C243" i="11" s="1"/>
  <c r="B330" i="11"/>
  <c r="C330" i="11" s="1"/>
  <c r="B164" i="11"/>
  <c r="C164" i="11" s="1"/>
  <c r="B425" i="11"/>
  <c r="C425" i="11" s="1"/>
  <c r="B126" i="11"/>
  <c r="C126" i="11" s="1"/>
  <c r="B190" i="11"/>
  <c r="C190" i="11" s="1"/>
  <c r="B195" i="11"/>
  <c r="C195" i="11" s="1"/>
  <c r="B429" i="11"/>
  <c r="C429" i="11" s="1"/>
  <c r="B154" i="11"/>
  <c r="C154" i="11" s="1"/>
  <c r="B283" i="11"/>
  <c r="C283" i="11" s="1"/>
  <c r="B346" i="11"/>
  <c r="C346" i="11" s="1"/>
  <c r="B210" i="11"/>
  <c r="C210" i="11" s="1"/>
  <c r="B61" i="11"/>
  <c r="C61" i="11" s="1"/>
  <c r="B248" i="11"/>
  <c r="C248" i="11" s="1"/>
  <c r="B290" i="11"/>
  <c r="C290" i="11" s="1"/>
  <c r="B251" i="11"/>
  <c r="C251" i="11" s="1"/>
  <c r="B279" i="11"/>
  <c r="C279" i="11" s="1"/>
  <c r="B120" i="11"/>
  <c r="C120" i="11" s="1"/>
  <c r="B292" i="11"/>
  <c r="C292" i="11" s="1"/>
  <c r="B264" i="11"/>
  <c r="C264" i="11" s="1"/>
  <c r="B461" i="11"/>
  <c r="C461" i="11" s="1"/>
  <c r="B130" i="11"/>
  <c r="C130" i="11" s="1"/>
  <c r="B45" i="11"/>
  <c r="C45" i="11" s="1"/>
  <c r="B228" i="11"/>
  <c r="C228" i="11" s="1"/>
  <c r="B457" i="11"/>
  <c r="C457" i="11" s="1"/>
  <c r="B134" i="11"/>
  <c r="C134" i="11" s="1"/>
  <c r="B198" i="11"/>
  <c r="C198" i="11" s="1"/>
  <c r="B417" i="11"/>
  <c r="C417" i="11" s="1"/>
  <c r="B247" i="11"/>
  <c r="C247" i="11" s="1"/>
  <c r="B74" i="11"/>
  <c r="C74" i="11" s="1"/>
  <c r="B280" i="11"/>
  <c r="C280" i="11" s="1"/>
  <c r="B397" i="11"/>
  <c r="C397" i="11" s="1"/>
  <c r="B80" i="11"/>
  <c r="C80" i="11" s="1"/>
  <c r="B204" i="11"/>
  <c r="C204" i="11" s="1"/>
  <c r="B409" i="11"/>
  <c r="C409" i="11" s="1"/>
  <c r="B473" i="11"/>
  <c r="C473" i="11" s="1"/>
  <c r="B259" i="11"/>
  <c r="C259" i="11" s="1"/>
  <c r="B68" i="11"/>
  <c r="C68" i="11" s="1"/>
  <c r="B239" i="11"/>
  <c r="C239" i="11" s="1"/>
  <c r="B445" i="11"/>
  <c r="C445" i="11" s="1"/>
  <c r="B142" i="11"/>
  <c r="C142" i="11" s="1"/>
  <c r="B206" i="11"/>
  <c r="C206" i="11" s="1"/>
  <c r="B212" i="11"/>
  <c r="C212" i="11" s="1"/>
  <c r="B170" i="11"/>
  <c r="C170" i="11" s="1"/>
  <c r="B34" i="11"/>
  <c r="C34" i="11" s="1"/>
  <c r="B256" i="11"/>
  <c r="C256" i="11" s="1"/>
  <c r="B106" i="11"/>
  <c r="C106" i="11" s="1"/>
  <c r="B226" i="11"/>
  <c r="C226" i="11" s="1"/>
  <c r="B12" i="11"/>
  <c r="C12" i="11" s="1"/>
  <c r="B216" i="11"/>
  <c r="C216" i="11" s="1"/>
  <c r="B140" i="11"/>
  <c r="C140" i="11" s="1"/>
  <c r="B441" i="11"/>
  <c r="C441" i="11" s="1"/>
  <c r="B270" i="11"/>
  <c r="C270" i="11" s="1"/>
  <c r="B219" i="11"/>
  <c r="C219" i="11" s="1"/>
  <c r="B13" i="11"/>
  <c r="C13" i="11" s="1"/>
  <c r="B405" i="11"/>
  <c r="C405" i="11" s="1"/>
  <c r="B242" i="11"/>
  <c r="C242" i="11" s="1"/>
  <c r="B299" i="11"/>
  <c r="C299" i="11" s="1"/>
  <c r="B150" i="11"/>
  <c r="C150" i="11" s="1"/>
  <c r="B214" i="11"/>
  <c r="C214" i="11" s="1"/>
  <c r="B235" i="11"/>
  <c r="C235" i="11" s="1"/>
  <c r="B199" i="11"/>
  <c r="C199" i="11" s="1"/>
  <c r="B162" i="11"/>
  <c r="C162" i="11" s="1"/>
  <c r="B98" i="11"/>
  <c r="C98" i="11" s="1"/>
  <c r="B5" i="11"/>
  <c r="C5" i="11" s="1"/>
  <c r="B148" i="11"/>
  <c r="C148" i="11" s="1"/>
  <c r="B474" i="11"/>
  <c r="C474" i="11" s="1"/>
  <c r="B114" i="11"/>
  <c r="C114" i="11" s="1"/>
  <c r="B234" i="11"/>
  <c r="C234" i="11" s="1"/>
  <c r="B14" i="11"/>
  <c r="C14" i="11" s="1"/>
  <c r="B342" i="11"/>
  <c r="C342" i="11" s="1"/>
  <c r="B244" i="11"/>
  <c r="C244" i="11" s="1"/>
  <c r="B138" i="11"/>
  <c r="C138" i="11" s="1"/>
  <c r="B288" i="11"/>
  <c r="C288" i="11" s="1"/>
  <c r="B152" i="11"/>
  <c r="C152" i="11" s="1"/>
  <c r="B22" i="11"/>
  <c r="C22" i="11" s="1"/>
  <c r="B284" i="11"/>
  <c r="C284" i="11" s="1"/>
  <c r="B315" i="11"/>
  <c r="C315" i="11" s="1"/>
  <c r="B260" i="11"/>
  <c r="C260" i="11" s="1"/>
  <c r="B275" i="11"/>
  <c r="C275" i="11" s="1"/>
  <c r="B38" i="11"/>
  <c r="C38" i="11" s="1"/>
  <c r="B108" i="11"/>
  <c r="C108" i="11" s="1"/>
  <c r="B274" i="11"/>
  <c r="C274" i="11" s="1"/>
  <c r="B331" i="11"/>
  <c r="C331" i="11" s="1"/>
  <c r="B158" i="11"/>
  <c r="C158" i="11" s="1"/>
  <c r="B222" i="11"/>
  <c r="C222" i="11" s="1"/>
  <c r="B155" i="11"/>
  <c r="C155" i="11" s="1"/>
  <c r="B263" i="11"/>
  <c r="C263" i="11" s="1"/>
  <c r="B186" i="11"/>
  <c r="C186" i="11" s="1"/>
  <c r="B18" i="11"/>
  <c r="C18" i="11" s="1"/>
  <c r="B184" i="11"/>
  <c r="C184" i="11" s="1"/>
  <c r="B276" i="11"/>
  <c r="C276" i="11" s="1"/>
  <c r="B122" i="11"/>
  <c r="C122" i="11" s="1"/>
  <c r="B90" i="11"/>
  <c r="C90" i="11" s="1"/>
  <c r="B208" i="11"/>
  <c r="C208" i="11" s="1"/>
  <c r="B252" i="11"/>
  <c r="C252" i="11" s="1"/>
  <c r="B485" i="11"/>
  <c r="C485" i="11" s="1"/>
  <c r="B88" i="11"/>
  <c r="C88" i="11" s="1"/>
  <c r="B421" i="11"/>
  <c r="C421" i="11" s="1"/>
  <c r="B172" i="11"/>
  <c r="C172" i="11" s="1"/>
  <c r="B271" i="11"/>
  <c r="C271" i="11" s="1"/>
  <c r="B433" i="11"/>
  <c r="C433" i="11" s="1"/>
  <c r="B166" i="11"/>
  <c r="C166" i="11" s="1"/>
  <c r="B230" i="11"/>
  <c r="C230" i="11" s="1"/>
  <c r="B254" i="11"/>
  <c r="C254" i="11" s="1"/>
  <c r="B477" i="11"/>
  <c r="C477" i="11" s="1"/>
  <c r="B178" i="11"/>
  <c r="C178" i="11" s="1"/>
  <c r="B40" i="11"/>
  <c r="C40" i="11" s="1"/>
  <c r="J504" i="34" l="1"/>
  <c r="N504" i="34"/>
  <c r="R504" i="34"/>
  <c r="L505" i="34"/>
  <c r="P505" i="34"/>
  <c r="D500" i="34"/>
  <c r="L500" i="34"/>
  <c r="P500" i="34"/>
  <c r="D501" i="34"/>
  <c r="L501" i="34"/>
  <c r="P501" i="34"/>
  <c r="D502" i="34"/>
  <c r="L502" i="34"/>
  <c r="P502" i="34"/>
  <c r="D503" i="34"/>
  <c r="L503" i="34"/>
  <c r="P503" i="34"/>
  <c r="C504" i="34"/>
  <c r="E504" i="34" s="1"/>
  <c r="K504" i="34"/>
  <c r="O504" i="34"/>
  <c r="I505" i="34"/>
  <c r="M505" i="34"/>
  <c r="Q505" i="34"/>
  <c r="I500" i="34"/>
  <c r="M500" i="34"/>
  <c r="Q500" i="34"/>
  <c r="I501" i="34"/>
  <c r="M501" i="34"/>
  <c r="Q501" i="34"/>
  <c r="I502" i="34"/>
  <c r="M502" i="34"/>
  <c r="Q502" i="34"/>
  <c r="I503" i="34"/>
  <c r="M503" i="34"/>
  <c r="Q503" i="34"/>
  <c r="D504" i="34"/>
  <c r="L504" i="34"/>
  <c r="P504" i="34"/>
  <c r="J505" i="34"/>
  <c r="N505" i="34"/>
  <c r="R505" i="34"/>
  <c r="J500" i="34"/>
  <c r="N500" i="34"/>
  <c r="R500" i="34"/>
  <c r="J501" i="34"/>
  <c r="N501" i="34"/>
  <c r="R501" i="34"/>
  <c r="J502" i="34"/>
  <c r="N502" i="34"/>
  <c r="R502" i="34"/>
  <c r="J503" i="34"/>
  <c r="N503" i="34"/>
  <c r="R503" i="34"/>
  <c r="I504" i="34"/>
  <c r="M504" i="34"/>
  <c r="Q504" i="34"/>
  <c r="K505" i="34"/>
  <c r="O505" i="34"/>
  <c r="C500" i="34"/>
  <c r="E500" i="34" s="1"/>
  <c r="K500" i="34"/>
  <c r="O500" i="34"/>
  <c r="C501" i="34"/>
  <c r="E501" i="34" s="1"/>
  <c r="K501" i="34"/>
  <c r="O501" i="34"/>
  <c r="C502" i="34"/>
  <c r="E502" i="34" s="1"/>
  <c r="K502" i="34"/>
  <c r="O502" i="34"/>
  <c r="C503" i="34"/>
  <c r="E503" i="34" s="1"/>
  <c r="K503" i="34"/>
  <c r="O503" i="34"/>
  <c r="C489" i="34"/>
  <c r="E489" i="34" s="1"/>
  <c r="C505" i="34"/>
  <c r="E505" i="34" s="1"/>
  <c r="D505" i="34"/>
  <c r="C495" i="34"/>
  <c r="E495" i="34" s="1"/>
  <c r="Q499" i="34"/>
  <c r="D499" i="34"/>
  <c r="K499" i="34"/>
  <c r="M499" i="34"/>
  <c r="C494" i="34"/>
  <c r="E494" i="34" s="1"/>
  <c r="I499" i="34"/>
  <c r="J499" i="34"/>
  <c r="O499" i="34"/>
  <c r="N499" i="34"/>
  <c r="C498" i="34"/>
  <c r="E498" i="34" s="1"/>
  <c r="R499" i="34"/>
  <c r="C492" i="34"/>
  <c r="E492" i="34" s="1"/>
  <c r="C493" i="34"/>
  <c r="E493" i="34" s="1"/>
  <c r="P499" i="34"/>
  <c r="L499" i="34"/>
  <c r="C491" i="34"/>
  <c r="E491" i="34" s="1"/>
  <c r="C496" i="34"/>
  <c r="E496" i="34" s="1"/>
  <c r="C497" i="34"/>
  <c r="E497" i="34" s="1"/>
  <c r="C499" i="34"/>
  <c r="E499" i="34" s="1"/>
  <c r="C490" i="34"/>
  <c r="E490" i="34" s="1"/>
  <c r="C16" i="37"/>
  <c r="A16" i="37" s="1"/>
  <c r="N13" i="37" a="1"/>
  <c r="N13" i="37" s="1"/>
  <c r="N11" i="37" a="1"/>
  <c r="N11" i="37" s="1"/>
  <c r="G7" i="37"/>
  <c r="J6" i="37" a="1"/>
  <c r="J6" i="37" s="1"/>
  <c r="M19" i="37"/>
  <c r="P16" i="37" a="1"/>
  <c r="P16" i="37" s="1"/>
  <c r="N16" i="37" a="1"/>
  <c r="N16" i="37" s="1"/>
  <c r="N12" i="37" a="1"/>
  <c r="N12" i="37" s="1"/>
  <c r="Q498" i="34"/>
  <c r="M498" i="34"/>
  <c r="I498" i="34"/>
  <c r="Q497" i="34"/>
  <c r="M497" i="34"/>
  <c r="I497" i="34"/>
  <c r="Q496" i="34"/>
  <c r="M496" i="34"/>
  <c r="I496" i="34"/>
  <c r="Q495" i="34"/>
  <c r="M495" i="34"/>
  <c r="I495" i="34"/>
  <c r="Q494" i="34"/>
  <c r="M494" i="34"/>
  <c r="I494" i="34"/>
  <c r="Q493" i="34"/>
  <c r="M493" i="34"/>
  <c r="I493" i="34"/>
  <c r="Q492" i="34"/>
  <c r="M492" i="34"/>
  <c r="I492" i="34"/>
  <c r="Q491" i="34"/>
  <c r="M491" i="34"/>
  <c r="I491" i="34"/>
  <c r="Q490" i="34"/>
  <c r="M490" i="34"/>
  <c r="I490" i="34"/>
  <c r="Q489" i="34"/>
  <c r="M489" i="34"/>
  <c r="I489" i="34"/>
  <c r="Q488" i="34"/>
  <c r="M488" i="34"/>
  <c r="I488" i="34"/>
  <c r="Q487" i="34"/>
  <c r="M487" i="34"/>
  <c r="I487" i="34"/>
  <c r="Q486" i="34"/>
  <c r="M486" i="34"/>
  <c r="I486" i="34"/>
  <c r="Q485" i="34"/>
  <c r="M485" i="34"/>
  <c r="I485" i="34"/>
  <c r="Q484" i="34"/>
  <c r="M484" i="34"/>
  <c r="I484" i="34"/>
  <c r="Q483" i="34"/>
  <c r="M483" i="34"/>
  <c r="I483" i="34"/>
  <c r="Q482" i="34"/>
  <c r="M482" i="34"/>
  <c r="I482" i="34"/>
  <c r="Q481" i="34"/>
  <c r="M481" i="34"/>
  <c r="I481" i="34"/>
  <c r="Q480" i="34"/>
  <c r="M480" i="34"/>
  <c r="I480" i="34"/>
  <c r="Q479" i="34"/>
  <c r="M479" i="34"/>
  <c r="I479" i="34"/>
  <c r="Q478" i="34"/>
  <c r="M478" i="34"/>
  <c r="I478" i="34"/>
  <c r="Q477" i="34"/>
  <c r="M477" i="34"/>
  <c r="I477" i="34"/>
  <c r="Q476" i="34"/>
  <c r="M476" i="34"/>
  <c r="I476" i="34"/>
  <c r="Q475" i="34"/>
  <c r="M475" i="34"/>
  <c r="I475" i="34"/>
  <c r="Q474" i="34"/>
  <c r="M474" i="34"/>
  <c r="I474" i="34"/>
  <c r="Q473" i="34"/>
  <c r="M473" i="34"/>
  <c r="I473" i="34"/>
  <c r="Q472" i="34"/>
  <c r="M472" i="34"/>
  <c r="I472" i="34"/>
  <c r="Q471" i="34"/>
  <c r="M471" i="34"/>
  <c r="I471" i="34"/>
  <c r="Q470" i="34"/>
  <c r="M470" i="34"/>
  <c r="I470" i="34"/>
  <c r="Q469" i="34"/>
  <c r="M469" i="34"/>
  <c r="I469" i="34"/>
  <c r="Q468" i="34"/>
  <c r="M468" i="34"/>
  <c r="I468" i="34"/>
  <c r="Q467" i="34"/>
  <c r="M467" i="34"/>
  <c r="I467" i="34"/>
  <c r="Q466" i="34"/>
  <c r="M466" i="34"/>
  <c r="I466" i="34"/>
  <c r="Q465" i="34"/>
  <c r="M465" i="34"/>
  <c r="I465" i="34"/>
  <c r="Q464" i="34"/>
  <c r="M464" i="34"/>
  <c r="I464" i="34"/>
  <c r="Q463" i="34"/>
  <c r="M463" i="34"/>
  <c r="I463" i="34"/>
  <c r="Q462" i="34"/>
  <c r="M462" i="34"/>
  <c r="I462" i="34"/>
  <c r="Q461" i="34"/>
  <c r="M461" i="34"/>
  <c r="I461" i="34"/>
  <c r="Q460" i="34"/>
  <c r="M460" i="34"/>
  <c r="I460" i="34"/>
  <c r="Q459" i="34"/>
  <c r="M459" i="34"/>
  <c r="I459" i="34"/>
  <c r="Q458" i="34"/>
  <c r="M458" i="34"/>
  <c r="I458" i="34"/>
  <c r="Q457" i="34"/>
  <c r="M457" i="34"/>
  <c r="I457" i="34"/>
  <c r="Q456" i="34"/>
  <c r="M456" i="34"/>
  <c r="I456" i="34"/>
  <c r="Q455" i="34"/>
  <c r="M455" i="34"/>
  <c r="I455" i="34"/>
  <c r="Q454" i="34"/>
  <c r="M454" i="34"/>
  <c r="I454" i="34"/>
  <c r="Q453" i="34"/>
  <c r="M453" i="34"/>
  <c r="I453" i="34"/>
  <c r="Q452" i="34"/>
  <c r="M452" i="34"/>
  <c r="I452" i="34"/>
  <c r="Q451" i="34"/>
  <c r="M451" i="34"/>
  <c r="I451" i="34"/>
  <c r="Q450" i="34"/>
  <c r="M450" i="34"/>
  <c r="I450" i="34"/>
  <c r="Q449" i="34"/>
  <c r="M449" i="34"/>
  <c r="I449" i="34"/>
  <c r="Q448" i="34"/>
  <c r="M448" i="34"/>
  <c r="I448" i="34"/>
  <c r="Q447" i="34"/>
  <c r="M447" i="34"/>
  <c r="I447" i="34"/>
  <c r="Q446" i="34"/>
  <c r="M446" i="34"/>
  <c r="I446" i="34"/>
  <c r="Q445" i="34"/>
  <c r="M445" i="34"/>
  <c r="I445" i="34"/>
  <c r="Q444" i="34"/>
  <c r="M444" i="34"/>
  <c r="I444" i="34"/>
  <c r="Q443" i="34"/>
  <c r="M443" i="34"/>
  <c r="I443" i="34"/>
  <c r="Q442" i="34"/>
  <c r="M442" i="34"/>
  <c r="I442" i="34"/>
  <c r="Q441" i="34"/>
  <c r="M441" i="34"/>
  <c r="I441" i="34"/>
  <c r="Q440" i="34"/>
  <c r="M440" i="34"/>
  <c r="I440" i="34"/>
  <c r="Q439" i="34"/>
  <c r="M439" i="34"/>
  <c r="I439" i="34"/>
  <c r="Q438" i="34"/>
  <c r="M438" i="34"/>
  <c r="I438" i="34"/>
  <c r="Q437" i="34"/>
  <c r="M437" i="34"/>
  <c r="I437" i="34"/>
  <c r="Q436" i="34"/>
  <c r="M436" i="34"/>
  <c r="I436" i="34"/>
  <c r="Q435" i="34"/>
  <c r="M435" i="34"/>
  <c r="I435" i="34"/>
  <c r="Q434" i="34"/>
  <c r="M434" i="34"/>
  <c r="I434" i="34"/>
  <c r="Q433" i="34"/>
  <c r="M433" i="34"/>
  <c r="I433" i="34"/>
  <c r="Q432" i="34"/>
  <c r="M432" i="34"/>
  <c r="I432" i="34"/>
  <c r="Q431" i="34"/>
  <c r="M431" i="34"/>
  <c r="I431" i="34"/>
  <c r="Q430" i="34"/>
  <c r="M430" i="34"/>
  <c r="I430" i="34"/>
  <c r="Q429" i="34"/>
  <c r="M429" i="34"/>
  <c r="I429" i="34"/>
  <c r="Q428" i="34"/>
  <c r="M428" i="34"/>
  <c r="I428" i="34"/>
  <c r="Q427" i="34"/>
  <c r="M427" i="34"/>
  <c r="I427" i="34"/>
  <c r="Q426" i="34"/>
  <c r="M426" i="34"/>
  <c r="I426" i="34"/>
  <c r="Q425" i="34"/>
  <c r="M425" i="34"/>
  <c r="I425" i="34"/>
  <c r="Q424" i="34"/>
  <c r="M424" i="34"/>
  <c r="I424" i="34"/>
  <c r="Q423" i="34"/>
  <c r="M423" i="34"/>
  <c r="I423" i="34"/>
  <c r="Q422" i="34"/>
  <c r="M422" i="34"/>
  <c r="I422" i="34"/>
  <c r="Q421" i="34"/>
  <c r="M421" i="34"/>
  <c r="I421" i="34"/>
  <c r="Q420" i="34"/>
  <c r="M420" i="34"/>
  <c r="I420" i="34"/>
  <c r="Q419" i="34"/>
  <c r="M419" i="34"/>
  <c r="I419" i="34"/>
  <c r="Q418" i="34"/>
  <c r="M418" i="34"/>
  <c r="I418" i="34"/>
  <c r="Q417" i="34"/>
  <c r="M417" i="34"/>
  <c r="I417" i="34"/>
  <c r="Q416" i="34"/>
  <c r="M416" i="34"/>
  <c r="I416" i="34"/>
  <c r="Q415" i="34"/>
  <c r="M415" i="34"/>
  <c r="I415" i="34"/>
  <c r="Q414" i="34"/>
  <c r="M414" i="34"/>
  <c r="I414" i="34"/>
  <c r="Q413" i="34"/>
  <c r="M413" i="34"/>
  <c r="I413" i="34"/>
  <c r="Q412" i="34"/>
  <c r="M412" i="34"/>
  <c r="I412" i="34"/>
  <c r="Q411" i="34"/>
  <c r="M411" i="34"/>
  <c r="I411" i="34"/>
  <c r="Q410" i="34"/>
  <c r="M410" i="34"/>
  <c r="I410" i="34"/>
  <c r="Q409" i="34"/>
  <c r="M409" i="34"/>
  <c r="I409" i="34"/>
  <c r="Q408" i="34"/>
  <c r="M408" i="34"/>
  <c r="I408" i="34"/>
  <c r="Q407" i="34"/>
  <c r="M407" i="34"/>
  <c r="I407" i="34"/>
  <c r="Q406" i="34"/>
  <c r="M406" i="34"/>
  <c r="I406" i="34"/>
  <c r="Q405" i="34"/>
  <c r="M405" i="34"/>
  <c r="I405" i="34"/>
  <c r="Q404" i="34"/>
  <c r="M404" i="34"/>
  <c r="I404" i="34"/>
  <c r="Q403" i="34"/>
  <c r="M403" i="34"/>
  <c r="I403" i="34"/>
  <c r="Q402" i="34"/>
  <c r="M402" i="34"/>
  <c r="I402" i="34"/>
  <c r="Q401" i="34"/>
  <c r="M401" i="34"/>
  <c r="I401" i="34"/>
  <c r="Q400" i="34"/>
  <c r="M400" i="34"/>
  <c r="I400" i="34"/>
  <c r="Q399" i="34"/>
  <c r="M399" i="34"/>
  <c r="I399" i="34"/>
  <c r="Q398" i="34"/>
  <c r="M398" i="34"/>
  <c r="I398" i="34"/>
  <c r="Q397" i="34"/>
  <c r="M397" i="34"/>
  <c r="I397" i="34"/>
  <c r="Q396" i="34"/>
  <c r="M396" i="34"/>
  <c r="I396" i="34"/>
  <c r="Q395" i="34"/>
  <c r="M395" i="34"/>
  <c r="I395" i="34"/>
  <c r="Q394" i="34"/>
  <c r="M394" i="34"/>
  <c r="I394" i="34"/>
  <c r="Q393" i="34"/>
  <c r="M393" i="34"/>
  <c r="I393" i="34"/>
  <c r="Q392" i="34"/>
  <c r="M392" i="34"/>
  <c r="I392" i="34"/>
  <c r="Q391" i="34"/>
  <c r="M391" i="34"/>
  <c r="I391" i="34"/>
  <c r="Q390" i="34"/>
  <c r="M390" i="34"/>
  <c r="I390" i="34"/>
  <c r="Q389" i="34"/>
  <c r="M389" i="34"/>
  <c r="I389" i="34"/>
  <c r="Q388" i="34"/>
  <c r="M388" i="34"/>
  <c r="I388" i="34"/>
  <c r="Q387" i="34"/>
  <c r="M387" i="34"/>
  <c r="I387" i="34"/>
  <c r="Q386" i="34"/>
  <c r="M386" i="34"/>
  <c r="I386" i="34"/>
  <c r="Q385" i="34"/>
  <c r="M385" i="34"/>
  <c r="I385" i="34"/>
  <c r="Q384" i="34"/>
  <c r="M384" i="34"/>
  <c r="I384" i="34"/>
  <c r="Q383" i="34"/>
  <c r="M383" i="34"/>
  <c r="I383" i="34"/>
  <c r="Q382" i="34"/>
  <c r="M382" i="34"/>
  <c r="I382" i="34"/>
  <c r="Q381" i="34"/>
  <c r="M381" i="34"/>
  <c r="I381" i="34"/>
  <c r="Q380" i="34"/>
  <c r="M380" i="34"/>
  <c r="I380" i="34"/>
  <c r="Q379" i="34"/>
  <c r="M379" i="34"/>
  <c r="I379" i="34"/>
  <c r="Q378" i="34"/>
  <c r="M378" i="34"/>
  <c r="I378" i="34"/>
  <c r="Q377" i="34"/>
  <c r="M377" i="34"/>
  <c r="I377" i="34"/>
  <c r="Q376" i="34"/>
  <c r="M376" i="34"/>
  <c r="I376" i="34"/>
  <c r="Q375" i="34"/>
  <c r="M375" i="34"/>
  <c r="I375" i="34"/>
  <c r="Q374" i="34"/>
  <c r="M374" i="34"/>
  <c r="I374" i="34"/>
  <c r="Q373" i="34"/>
  <c r="M373" i="34"/>
  <c r="I373" i="34"/>
  <c r="Q372" i="34"/>
  <c r="M372" i="34"/>
  <c r="I372" i="34"/>
  <c r="Q371" i="34"/>
  <c r="M371" i="34"/>
  <c r="I371" i="34"/>
  <c r="Q370" i="34"/>
  <c r="M370" i="34"/>
  <c r="I370" i="34"/>
  <c r="Q369" i="34"/>
  <c r="M369" i="34"/>
  <c r="I369" i="34"/>
  <c r="Q368" i="34"/>
  <c r="M368" i="34"/>
  <c r="I368" i="34"/>
  <c r="Q367" i="34"/>
  <c r="M367" i="34"/>
  <c r="I367" i="34"/>
  <c r="Q366" i="34"/>
  <c r="M366" i="34"/>
  <c r="I366" i="34"/>
  <c r="Q365" i="34"/>
  <c r="M365" i="34"/>
  <c r="I365" i="34"/>
  <c r="Q364" i="34"/>
  <c r="M364" i="34"/>
  <c r="I364" i="34"/>
  <c r="Q363" i="34"/>
  <c r="M363" i="34"/>
  <c r="I363" i="34"/>
  <c r="Q362" i="34"/>
  <c r="M362" i="34"/>
  <c r="I362" i="34"/>
  <c r="Q361" i="34"/>
  <c r="M361" i="34"/>
  <c r="I361" i="34"/>
  <c r="Q360" i="34"/>
  <c r="M360" i="34"/>
  <c r="P498" i="34"/>
  <c r="K498" i="34"/>
  <c r="O497" i="34"/>
  <c r="J497" i="34"/>
  <c r="D497" i="34"/>
  <c r="N496" i="34"/>
  <c r="R495" i="34"/>
  <c r="L495" i="34"/>
  <c r="P494" i="34"/>
  <c r="K494" i="34"/>
  <c r="O493" i="34"/>
  <c r="J493" i="34"/>
  <c r="D493" i="34"/>
  <c r="N492" i="34"/>
  <c r="R491" i="34"/>
  <c r="L491" i="34"/>
  <c r="P490" i="34"/>
  <c r="K490" i="34"/>
  <c r="O489" i="34"/>
  <c r="J489" i="34"/>
  <c r="D489" i="34"/>
  <c r="N488" i="34"/>
  <c r="C488" i="34"/>
  <c r="E488" i="34" s="1"/>
  <c r="R487" i="34"/>
  <c r="L487" i="34"/>
  <c r="P486" i="34"/>
  <c r="K486" i="34"/>
  <c r="O485" i="34"/>
  <c r="J485" i="34"/>
  <c r="D485" i="34"/>
  <c r="N484" i="34"/>
  <c r="C484" i="34"/>
  <c r="E484" i="34" s="1"/>
  <c r="R483" i="34"/>
  <c r="L483" i="34"/>
  <c r="P482" i="34"/>
  <c r="K482" i="34"/>
  <c r="O481" i="34"/>
  <c r="J481" i="34"/>
  <c r="D481" i="34"/>
  <c r="N480" i="34"/>
  <c r="C480" i="34"/>
  <c r="E480" i="34" s="1"/>
  <c r="R479" i="34"/>
  <c r="L479" i="34"/>
  <c r="P478" i="34"/>
  <c r="K478" i="34"/>
  <c r="O477" i="34"/>
  <c r="J477" i="34"/>
  <c r="D477" i="34"/>
  <c r="N476" i="34"/>
  <c r="C476" i="34"/>
  <c r="E476" i="34" s="1"/>
  <c r="R475" i="34"/>
  <c r="L475" i="34"/>
  <c r="P474" i="34"/>
  <c r="K474" i="34"/>
  <c r="O473" i="34"/>
  <c r="J473" i="34"/>
  <c r="D473" i="34"/>
  <c r="N472" i="34"/>
  <c r="C472" i="34"/>
  <c r="E472" i="34" s="1"/>
  <c r="R471" i="34"/>
  <c r="L471" i="34"/>
  <c r="P470" i="34"/>
  <c r="K470" i="34"/>
  <c r="O469" i="34"/>
  <c r="J469" i="34"/>
  <c r="D469" i="34"/>
  <c r="N468" i="34"/>
  <c r="C468" i="34"/>
  <c r="E468" i="34" s="1"/>
  <c r="R467" i="34"/>
  <c r="L467" i="34"/>
  <c r="P466" i="34"/>
  <c r="K466" i="34"/>
  <c r="O465" i="34"/>
  <c r="J465" i="34"/>
  <c r="D465" i="34"/>
  <c r="N464" i="34"/>
  <c r="C464" i="34"/>
  <c r="E464" i="34" s="1"/>
  <c r="R463" i="34"/>
  <c r="L463" i="34"/>
  <c r="P462" i="34"/>
  <c r="K462" i="34"/>
  <c r="O461" i="34"/>
  <c r="J461" i="34"/>
  <c r="D461" i="34"/>
  <c r="N460" i="34"/>
  <c r="C460" i="34"/>
  <c r="E460" i="34" s="1"/>
  <c r="R459" i="34"/>
  <c r="L459" i="34"/>
  <c r="P458" i="34"/>
  <c r="K458" i="34"/>
  <c r="O457" i="34"/>
  <c r="J457" i="34"/>
  <c r="D457" i="34"/>
  <c r="N456" i="34"/>
  <c r="C456" i="34"/>
  <c r="E456" i="34" s="1"/>
  <c r="R455" i="34"/>
  <c r="L455" i="34"/>
  <c r="P454" i="34"/>
  <c r="K454" i="34"/>
  <c r="O453" i="34"/>
  <c r="J453" i="34"/>
  <c r="D453" i="34"/>
  <c r="N452" i="34"/>
  <c r="C452" i="34"/>
  <c r="E452" i="34" s="1"/>
  <c r="R451" i="34"/>
  <c r="L451" i="34"/>
  <c r="P450" i="34"/>
  <c r="K450" i="34"/>
  <c r="O449" i="34"/>
  <c r="J449" i="34"/>
  <c r="D449" i="34"/>
  <c r="N448" i="34"/>
  <c r="C448" i="34"/>
  <c r="E448" i="34" s="1"/>
  <c r="R447" i="34"/>
  <c r="L447" i="34"/>
  <c r="P446" i="34"/>
  <c r="K446" i="34"/>
  <c r="O445" i="34"/>
  <c r="J445" i="34"/>
  <c r="D445" i="34"/>
  <c r="N444" i="34"/>
  <c r="C444" i="34"/>
  <c r="E444" i="34" s="1"/>
  <c r="R443" i="34"/>
  <c r="L443" i="34"/>
  <c r="P442" i="34"/>
  <c r="K442" i="34"/>
  <c r="O441" i="34"/>
  <c r="J441" i="34"/>
  <c r="D441" i="34"/>
  <c r="N440" i="34"/>
  <c r="C440" i="34"/>
  <c r="E440" i="34" s="1"/>
  <c r="R439" i="34"/>
  <c r="L439" i="34"/>
  <c r="P438" i="34"/>
  <c r="K438" i="34"/>
  <c r="O437" i="34"/>
  <c r="J437" i="34"/>
  <c r="D437" i="34"/>
  <c r="N436" i="34"/>
  <c r="C436" i="34"/>
  <c r="E436" i="34" s="1"/>
  <c r="R435" i="34"/>
  <c r="L435" i="34"/>
  <c r="P434" i="34"/>
  <c r="K434" i="34"/>
  <c r="O433" i="34"/>
  <c r="J433" i="34"/>
  <c r="D433" i="34"/>
  <c r="N432" i="34"/>
  <c r="C432" i="34"/>
  <c r="E432" i="34" s="1"/>
  <c r="R431" i="34"/>
  <c r="L431" i="34"/>
  <c r="P430" i="34"/>
  <c r="K430" i="34"/>
  <c r="O429" i="34"/>
  <c r="J429" i="34"/>
  <c r="D429" i="34"/>
  <c r="N428" i="34"/>
  <c r="C428" i="34"/>
  <c r="E428" i="34" s="1"/>
  <c r="R427" i="34"/>
  <c r="L427" i="34"/>
  <c r="P426" i="34"/>
  <c r="K426" i="34"/>
  <c r="O425" i="34"/>
  <c r="J425" i="34"/>
  <c r="D425" i="34"/>
  <c r="N424" i="34"/>
  <c r="C424" i="34"/>
  <c r="E424" i="34" s="1"/>
  <c r="R423" i="34"/>
  <c r="L423" i="34"/>
  <c r="P422" i="34"/>
  <c r="K422" i="34"/>
  <c r="O421" i="34"/>
  <c r="J421" i="34"/>
  <c r="D421" i="34"/>
  <c r="N420" i="34"/>
  <c r="C420" i="34"/>
  <c r="E420" i="34" s="1"/>
  <c r="R419" i="34"/>
  <c r="L419" i="34"/>
  <c r="P418" i="34"/>
  <c r="K418" i="34"/>
  <c r="O417" i="34"/>
  <c r="J417" i="34"/>
  <c r="D417" i="34"/>
  <c r="N416" i="34"/>
  <c r="C416" i="34"/>
  <c r="E416" i="34" s="1"/>
  <c r="R415" i="34"/>
  <c r="L415" i="34"/>
  <c r="P414" i="34"/>
  <c r="K414" i="34"/>
  <c r="O413" i="34"/>
  <c r="J413" i="34"/>
  <c r="D413" i="34"/>
  <c r="N412" i="34"/>
  <c r="C412" i="34"/>
  <c r="E412" i="34" s="1"/>
  <c r="R411" i="34"/>
  <c r="L411" i="34"/>
  <c r="P410" i="34"/>
  <c r="K410" i="34"/>
  <c r="O409" i="34"/>
  <c r="J409" i="34"/>
  <c r="D409" i="34"/>
  <c r="N408" i="34"/>
  <c r="C408" i="34"/>
  <c r="E408" i="34" s="1"/>
  <c r="R407" i="34"/>
  <c r="L407" i="34"/>
  <c r="P406" i="34"/>
  <c r="K406" i="34"/>
  <c r="O405" i="34"/>
  <c r="J405" i="34"/>
  <c r="D405" i="34"/>
  <c r="N404" i="34"/>
  <c r="C404" i="34"/>
  <c r="E404" i="34" s="1"/>
  <c r="R403" i="34"/>
  <c r="L403" i="34"/>
  <c r="P402" i="34"/>
  <c r="K402" i="34"/>
  <c r="O401" i="34"/>
  <c r="J401" i="34"/>
  <c r="D401" i="34"/>
  <c r="N400" i="34"/>
  <c r="C400" i="34"/>
  <c r="E400" i="34" s="1"/>
  <c r="R399" i="34"/>
  <c r="L399" i="34"/>
  <c r="P398" i="34"/>
  <c r="K398" i="34"/>
  <c r="O397" i="34"/>
  <c r="J397" i="34"/>
  <c r="D397" i="34"/>
  <c r="N396" i="34"/>
  <c r="C396" i="34"/>
  <c r="E396" i="34" s="1"/>
  <c r="R395" i="34"/>
  <c r="L395" i="34"/>
  <c r="P394" i="34"/>
  <c r="O498" i="34"/>
  <c r="J498" i="34"/>
  <c r="D498" i="34"/>
  <c r="N497" i="34"/>
  <c r="R496" i="34"/>
  <c r="L496" i="34"/>
  <c r="P495" i="34"/>
  <c r="K495" i="34"/>
  <c r="O494" i="34"/>
  <c r="J494" i="34"/>
  <c r="D494" i="34"/>
  <c r="N493" i="34"/>
  <c r="R492" i="34"/>
  <c r="L492" i="34"/>
  <c r="P491" i="34"/>
  <c r="K491" i="34"/>
  <c r="O490" i="34"/>
  <c r="J490" i="34"/>
  <c r="D490" i="34"/>
  <c r="N489" i="34"/>
  <c r="R488" i="34"/>
  <c r="L488" i="34"/>
  <c r="P487" i="34"/>
  <c r="K487" i="34"/>
  <c r="O486" i="34"/>
  <c r="J486" i="34"/>
  <c r="D486" i="34"/>
  <c r="N485" i="34"/>
  <c r="C485" i="34"/>
  <c r="E485" i="34" s="1"/>
  <c r="R484" i="34"/>
  <c r="L484" i="34"/>
  <c r="P483" i="34"/>
  <c r="K483" i="34"/>
  <c r="O482" i="34"/>
  <c r="J482" i="34"/>
  <c r="D482" i="34"/>
  <c r="N481" i="34"/>
  <c r="C481" i="34"/>
  <c r="E481" i="34" s="1"/>
  <c r="R480" i="34"/>
  <c r="L480" i="34"/>
  <c r="P479" i="34"/>
  <c r="K479" i="34"/>
  <c r="O478" i="34"/>
  <c r="J478" i="34"/>
  <c r="D478" i="34"/>
  <c r="N477" i="34"/>
  <c r="C477" i="34"/>
  <c r="E477" i="34" s="1"/>
  <c r="R476" i="34"/>
  <c r="L476" i="34"/>
  <c r="P475" i="34"/>
  <c r="K475" i="34"/>
  <c r="O474" i="34"/>
  <c r="J474" i="34"/>
  <c r="D474" i="34"/>
  <c r="N473" i="34"/>
  <c r="C473" i="34"/>
  <c r="E473" i="34" s="1"/>
  <c r="R472" i="34"/>
  <c r="L472" i="34"/>
  <c r="P471" i="34"/>
  <c r="K471" i="34"/>
  <c r="O470" i="34"/>
  <c r="J470" i="34"/>
  <c r="D470" i="34"/>
  <c r="N469" i="34"/>
  <c r="C469" i="34"/>
  <c r="E469" i="34" s="1"/>
  <c r="R468" i="34"/>
  <c r="L468" i="34"/>
  <c r="P467" i="34"/>
  <c r="K467" i="34"/>
  <c r="O466" i="34"/>
  <c r="J466" i="34"/>
  <c r="D466" i="34"/>
  <c r="N465" i="34"/>
  <c r="C465" i="34"/>
  <c r="E465" i="34" s="1"/>
  <c r="R464" i="34"/>
  <c r="L464" i="34"/>
  <c r="P463" i="34"/>
  <c r="K463" i="34"/>
  <c r="O462" i="34"/>
  <c r="J462" i="34"/>
  <c r="D462" i="34"/>
  <c r="N461" i="34"/>
  <c r="C461" i="34"/>
  <c r="E461" i="34" s="1"/>
  <c r="R460" i="34"/>
  <c r="L460" i="34"/>
  <c r="P459" i="34"/>
  <c r="K459" i="34"/>
  <c r="O458" i="34"/>
  <c r="J458" i="34"/>
  <c r="D458" i="34"/>
  <c r="N457" i="34"/>
  <c r="C457" i="34"/>
  <c r="E457" i="34" s="1"/>
  <c r="R456" i="34"/>
  <c r="L456" i="34"/>
  <c r="P455" i="34"/>
  <c r="K455" i="34"/>
  <c r="O454" i="34"/>
  <c r="J454" i="34"/>
  <c r="D454" i="34"/>
  <c r="N453" i="34"/>
  <c r="C453" i="34"/>
  <c r="E453" i="34" s="1"/>
  <c r="R452" i="34"/>
  <c r="L452" i="34"/>
  <c r="P451" i="34"/>
  <c r="K451" i="34"/>
  <c r="O450" i="34"/>
  <c r="J450" i="34"/>
  <c r="D450" i="34"/>
  <c r="N449" i="34"/>
  <c r="C449" i="34"/>
  <c r="E449" i="34" s="1"/>
  <c r="R448" i="34"/>
  <c r="L448" i="34"/>
  <c r="P447" i="34"/>
  <c r="K447" i="34"/>
  <c r="O446" i="34"/>
  <c r="J446" i="34"/>
  <c r="D446" i="34"/>
  <c r="N445" i="34"/>
  <c r="C445" i="34"/>
  <c r="E445" i="34" s="1"/>
  <c r="R444" i="34"/>
  <c r="L444" i="34"/>
  <c r="P443" i="34"/>
  <c r="K443" i="34"/>
  <c r="O442" i="34"/>
  <c r="J442" i="34"/>
  <c r="D442" i="34"/>
  <c r="N441" i="34"/>
  <c r="C441" i="34"/>
  <c r="E441" i="34" s="1"/>
  <c r="R440" i="34"/>
  <c r="L440" i="34"/>
  <c r="P439" i="34"/>
  <c r="K439" i="34"/>
  <c r="O438" i="34"/>
  <c r="J438" i="34"/>
  <c r="D438" i="34"/>
  <c r="N437" i="34"/>
  <c r="C437" i="34"/>
  <c r="E437" i="34" s="1"/>
  <c r="R436" i="34"/>
  <c r="L436" i="34"/>
  <c r="P435" i="34"/>
  <c r="K435" i="34"/>
  <c r="O434" i="34"/>
  <c r="J434" i="34"/>
  <c r="D434" i="34"/>
  <c r="N433" i="34"/>
  <c r="C433" i="34"/>
  <c r="E433" i="34" s="1"/>
  <c r="R432" i="34"/>
  <c r="L432" i="34"/>
  <c r="P431" i="34"/>
  <c r="K431" i="34"/>
  <c r="L498" i="34"/>
  <c r="K497" i="34"/>
  <c r="J496" i="34"/>
  <c r="R494" i="34"/>
  <c r="P493" i="34"/>
  <c r="O492" i="34"/>
  <c r="D492" i="34"/>
  <c r="N491" i="34"/>
  <c r="L490" i="34"/>
  <c r="K489" i="34"/>
  <c r="J488" i="34"/>
  <c r="R486" i="34"/>
  <c r="P485" i="34"/>
  <c r="O484" i="34"/>
  <c r="D484" i="34"/>
  <c r="N483" i="34"/>
  <c r="C483" i="34"/>
  <c r="E483" i="34" s="1"/>
  <c r="L482" i="34"/>
  <c r="K481" i="34"/>
  <c r="J480" i="34"/>
  <c r="R478" i="34"/>
  <c r="P477" i="34"/>
  <c r="O476" i="34"/>
  <c r="D476" i="34"/>
  <c r="N475" i="34"/>
  <c r="C475" i="34"/>
  <c r="E475" i="34" s="1"/>
  <c r="L474" i="34"/>
  <c r="K473" i="34"/>
  <c r="J472" i="34"/>
  <c r="R470" i="34"/>
  <c r="P469" i="34"/>
  <c r="O468" i="34"/>
  <c r="D468" i="34"/>
  <c r="N467" i="34"/>
  <c r="C467" i="34"/>
  <c r="E467" i="34" s="1"/>
  <c r="L466" i="34"/>
  <c r="K465" i="34"/>
  <c r="J464" i="34"/>
  <c r="R462" i="34"/>
  <c r="P461" i="34"/>
  <c r="O460" i="34"/>
  <c r="D460" i="34"/>
  <c r="N459" i="34"/>
  <c r="C459" i="34"/>
  <c r="E459" i="34" s="1"/>
  <c r="L458" i="34"/>
  <c r="K457" i="34"/>
  <c r="J456" i="34"/>
  <c r="R454" i="34"/>
  <c r="P453" i="34"/>
  <c r="O452" i="34"/>
  <c r="D452" i="34"/>
  <c r="N451" i="34"/>
  <c r="C451" i="34"/>
  <c r="E451" i="34" s="1"/>
  <c r="L450" i="34"/>
  <c r="K449" i="34"/>
  <c r="J448" i="34"/>
  <c r="R446" i="34"/>
  <c r="P445" i="34"/>
  <c r="O444" i="34"/>
  <c r="D444" i="34"/>
  <c r="N443" i="34"/>
  <c r="C443" i="34"/>
  <c r="E443" i="34" s="1"/>
  <c r="L442" i="34"/>
  <c r="K441" i="34"/>
  <c r="J440" i="34"/>
  <c r="R438" i="34"/>
  <c r="P437" i="34"/>
  <c r="O436" i="34"/>
  <c r="D436" i="34"/>
  <c r="N435" i="34"/>
  <c r="C435" i="34"/>
  <c r="E435" i="34" s="1"/>
  <c r="L434" i="34"/>
  <c r="K433" i="34"/>
  <c r="J432" i="34"/>
  <c r="N430" i="34"/>
  <c r="L429" i="34"/>
  <c r="R428" i="34"/>
  <c r="K428" i="34"/>
  <c r="D428" i="34"/>
  <c r="P427" i="34"/>
  <c r="J427" i="34"/>
  <c r="C427" i="34"/>
  <c r="E427" i="34" s="1"/>
  <c r="O426" i="34"/>
  <c r="N425" i="34"/>
  <c r="L424" i="34"/>
  <c r="K423" i="34"/>
  <c r="D423" i="34"/>
  <c r="R422" i="34"/>
  <c r="J422" i="34"/>
  <c r="C422" i="34"/>
  <c r="E422" i="34" s="1"/>
  <c r="P421" i="34"/>
  <c r="O420" i="34"/>
  <c r="N419" i="34"/>
  <c r="L418" i="34"/>
  <c r="D418" i="34"/>
  <c r="R417" i="34"/>
  <c r="K417" i="34"/>
  <c r="C417" i="34"/>
  <c r="E417" i="34" s="1"/>
  <c r="P416" i="34"/>
  <c r="J416" i="34"/>
  <c r="O415" i="34"/>
  <c r="N414" i="34"/>
  <c r="L413" i="34"/>
  <c r="R412" i="34"/>
  <c r="K412" i="34"/>
  <c r="D412" i="34"/>
  <c r="P411" i="34"/>
  <c r="J411" i="34"/>
  <c r="C411" i="34"/>
  <c r="E411" i="34" s="1"/>
  <c r="O410" i="34"/>
  <c r="N409" i="34"/>
  <c r="L408" i="34"/>
  <c r="K407" i="34"/>
  <c r="D407" i="34"/>
  <c r="R406" i="34"/>
  <c r="J406" i="34"/>
  <c r="C406" i="34"/>
  <c r="E406" i="34" s="1"/>
  <c r="P405" i="34"/>
  <c r="O404" i="34"/>
  <c r="N403" i="34"/>
  <c r="L402" i="34"/>
  <c r="D402" i="34"/>
  <c r="R401" i="34"/>
  <c r="K401" i="34"/>
  <c r="C401" i="34"/>
  <c r="E401" i="34" s="1"/>
  <c r="P400" i="34"/>
  <c r="J400" i="34"/>
  <c r="O399" i="34"/>
  <c r="N398" i="34"/>
  <c r="L397" i="34"/>
  <c r="R396" i="34"/>
  <c r="K396" i="34"/>
  <c r="D396" i="34"/>
  <c r="P395" i="34"/>
  <c r="J395" i="34"/>
  <c r="C395" i="34"/>
  <c r="E395" i="34" s="1"/>
  <c r="O394" i="34"/>
  <c r="J394" i="34"/>
  <c r="D394" i="34"/>
  <c r="N393" i="34"/>
  <c r="C393" i="34"/>
  <c r="E393" i="34" s="1"/>
  <c r="R392" i="34"/>
  <c r="L392" i="34"/>
  <c r="P391" i="34"/>
  <c r="K391" i="34"/>
  <c r="O390" i="34"/>
  <c r="J390" i="34"/>
  <c r="D390" i="34"/>
  <c r="N389" i="34"/>
  <c r="C389" i="34"/>
  <c r="E389" i="34" s="1"/>
  <c r="R388" i="34"/>
  <c r="L388" i="34"/>
  <c r="P387" i="34"/>
  <c r="K387" i="34"/>
  <c r="O386" i="34"/>
  <c r="J386" i="34"/>
  <c r="D386" i="34"/>
  <c r="N385" i="34"/>
  <c r="C385" i="34"/>
  <c r="E385" i="34" s="1"/>
  <c r="R384" i="34"/>
  <c r="L384" i="34"/>
  <c r="P383" i="34"/>
  <c r="K383" i="34"/>
  <c r="O382" i="34"/>
  <c r="J382" i="34"/>
  <c r="D382" i="34"/>
  <c r="N381" i="34"/>
  <c r="C381" i="34"/>
  <c r="E381" i="34" s="1"/>
  <c r="R380" i="34"/>
  <c r="L380" i="34"/>
  <c r="P379" i="34"/>
  <c r="K379" i="34"/>
  <c r="O378" i="34"/>
  <c r="J378" i="34"/>
  <c r="D378" i="34"/>
  <c r="N377" i="34"/>
  <c r="C377" i="34"/>
  <c r="E377" i="34" s="1"/>
  <c r="R376" i="34"/>
  <c r="L376" i="34"/>
  <c r="P375" i="34"/>
  <c r="K375" i="34"/>
  <c r="O374" i="34"/>
  <c r="J374" i="34"/>
  <c r="D374" i="34"/>
  <c r="N373" i="34"/>
  <c r="C373" i="34"/>
  <c r="E373" i="34" s="1"/>
  <c r="R372" i="34"/>
  <c r="L372" i="34"/>
  <c r="P371" i="34"/>
  <c r="K371" i="34"/>
  <c r="O370" i="34"/>
  <c r="J370" i="34"/>
  <c r="D370" i="34"/>
  <c r="N369" i="34"/>
  <c r="C369" i="34"/>
  <c r="E369" i="34" s="1"/>
  <c r="R368" i="34"/>
  <c r="L368" i="34"/>
  <c r="P367" i="34"/>
  <c r="K367" i="34"/>
  <c r="O366" i="34"/>
  <c r="J366" i="34"/>
  <c r="D366" i="34"/>
  <c r="N365" i="34"/>
  <c r="C365" i="34"/>
  <c r="E365" i="34" s="1"/>
  <c r="R364" i="34"/>
  <c r="L364" i="34"/>
  <c r="P363" i="34"/>
  <c r="K363" i="34"/>
  <c r="O362" i="34"/>
  <c r="J362" i="34"/>
  <c r="D362" i="34"/>
  <c r="N361" i="34"/>
  <c r="C361" i="34"/>
  <c r="E361" i="34" s="1"/>
  <c r="R360" i="34"/>
  <c r="L360" i="34"/>
  <c r="D360" i="34"/>
  <c r="P359" i="34"/>
  <c r="L359" i="34"/>
  <c r="D359" i="34"/>
  <c r="P358" i="34"/>
  <c r="L358" i="34"/>
  <c r="D358" i="34"/>
  <c r="P357" i="34"/>
  <c r="L357" i="34"/>
  <c r="D357" i="34"/>
  <c r="P356" i="34"/>
  <c r="L356" i="34"/>
  <c r="D356" i="34"/>
  <c r="P355" i="34"/>
  <c r="L355" i="34"/>
  <c r="D355" i="34"/>
  <c r="P354" i="34"/>
  <c r="L354" i="34"/>
  <c r="D354" i="34"/>
  <c r="P353" i="34"/>
  <c r="L353" i="34"/>
  <c r="D353" i="34"/>
  <c r="P352" i="34"/>
  <c r="L352" i="34"/>
  <c r="D352" i="34"/>
  <c r="P351" i="34"/>
  <c r="L351" i="34"/>
  <c r="D351" i="34"/>
  <c r="P350" i="34"/>
  <c r="L350" i="34"/>
  <c r="D350" i="34"/>
  <c r="P349" i="34"/>
  <c r="L349" i="34"/>
  <c r="D349" i="34"/>
  <c r="P348" i="34"/>
  <c r="L348" i="34"/>
  <c r="D348" i="34"/>
  <c r="P347" i="34"/>
  <c r="L347" i="34"/>
  <c r="D347" i="34"/>
  <c r="P346" i="34"/>
  <c r="L346" i="34"/>
  <c r="D346" i="34"/>
  <c r="P345" i="34"/>
  <c r="L345" i="34"/>
  <c r="D345" i="34"/>
  <c r="P344" i="34"/>
  <c r="L344" i="34"/>
  <c r="D344" i="34"/>
  <c r="P343" i="34"/>
  <c r="L343" i="34"/>
  <c r="D343" i="34"/>
  <c r="P342" i="34"/>
  <c r="L342" i="34"/>
  <c r="D342" i="34"/>
  <c r="P341" i="34"/>
  <c r="L341" i="34"/>
  <c r="D341" i="34"/>
  <c r="P340" i="34"/>
  <c r="L340" i="34"/>
  <c r="D340" i="34"/>
  <c r="P339" i="34"/>
  <c r="L339" i="34"/>
  <c r="D339" i="34"/>
  <c r="P338" i="34"/>
  <c r="L338" i="34"/>
  <c r="D338" i="34"/>
  <c r="P337" i="34"/>
  <c r="L337" i="34"/>
  <c r="D337" i="34"/>
  <c r="P336" i="34"/>
  <c r="L336" i="34"/>
  <c r="D336" i="34"/>
  <c r="P335" i="34"/>
  <c r="L335" i="34"/>
  <c r="D335" i="34"/>
  <c r="P334" i="34"/>
  <c r="L334" i="34"/>
  <c r="D334" i="34"/>
  <c r="P333" i="34"/>
  <c r="L333" i="34"/>
  <c r="D333" i="34"/>
  <c r="P332" i="34"/>
  <c r="L332" i="34"/>
  <c r="D332" i="34"/>
  <c r="P331" i="34"/>
  <c r="L331" i="34"/>
  <c r="D331" i="34"/>
  <c r="P330" i="34"/>
  <c r="L330" i="34"/>
  <c r="D330" i="34"/>
  <c r="P329" i="34"/>
  <c r="L329" i="34"/>
  <c r="D329" i="34"/>
  <c r="P328" i="34"/>
  <c r="L328" i="34"/>
  <c r="D328" i="34"/>
  <c r="P327" i="34"/>
  <c r="L327" i="34"/>
  <c r="D327" i="34"/>
  <c r="P326" i="34"/>
  <c r="L326" i="34"/>
  <c r="D326" i="34"/>
  <c r="P325" i="34"/>
  <c r="L325" i="34"/>
  <c r="D325" i="34"/>
  <c r="P324" i="34"/>
  <c r="L324" i="34"/>
  <c r="D324" i="34"/>
  <c r="P323" i="34"/>
  <c r="L323" i="34"/>
  <c r="D323" i="34"/>
  <c r="P322" i="34"/>
  <c r="L322" i="34"/>
  <c r="D322" i="34"/>
  <c r="P321" i="34"/>
  <c r="L321" i="34"/>
  <c r="D321" i="34"/>
  <c r="P320" i="34"/>
  <c r="L320" i="34"/>
  <c r="D320" i="34"/>
  <c r="P319" i="34"/>
  <c r="L319" i="34"/>
  <c r="D319" i="34"/>
  <c r="P318" i="34"/>
  <c r="L318" i="34"/>
  <c r="D318" i="34"/>
  <c r="P317" i="34"/>
  <c r="L317" i="34"/>
  <c r="D317" i="34"/>
  <c r="P316" i="34"/>
  <c r="L316" i="34"/>
  <c r="D316" i="34"/>
  <c r="P315" i="34"/>
  <c r="L315" i="34"/>
  <c r="D315" i="34"/>
  <c r="P314" i="34"/>
  <c r="L314" i="34"/>
  <c r="D314" i="34"/>
  <c r="P313" i="34"/>
  <c r="L313" i="34"/>
  <c r="D313" i="34"/>
  <c r="P312" i="34"/>
  <c r="L312" i="34"/>
  <c r="D312" i="34"/>
  <c r="P311" i="34"/>
  <c r="L311" i="34"/>
  <c r="D311" i="34"/>
  <c r="P310" i="34"/>
  <c r="L310" i="34"/>
  <c r="D310" i="34"/>
  <c r="P309" i="34"/>
  <c r="R497" i="34"/>
  <c r="P496" i="34"/>
  <c r="O495" i="34"/>
  <c r="D495" i="34"/>
  <c r="N494" i="34"/>
  <c r="L493" i="34"/>
  <c r="K492" i="34"/>
  <c r="J491" i="34"/>
  <c r="R489" i="34"/>
  <c r="P488" i="34"/>
  <c r="O487" i="34"/>
  <c r="D487" i="34"/>
  <c r="N486" i="34"/>
  <c r="C486" i="34"/>
  <c r="E486" i="34" s="1"/>
  <c r="L485" i="34"/>
  <c r="K484" i="34"/>
  <c r="J483" i="34"/>
  <c r="R481" i="34"/>
  <c r="P480" i="34"/>
  <c r="O479" i="34"/>
  <c r="D479" i="34"/>
  <c r="N478" i="34"/>
  <c r="C478" i="34"/>
  <c r="E478" i="34" s="1"/>
  <c r="L477" i="34"/>
  <c r="K476" i="34"/>
  <c r="J475" i="34"/>
  <c r="R473" i="34"/>
  <c r="P472" i="34"/>
  <c r="O471" i="34"/>
  <c r="D471" i="34"/>
  <c r="N470" i="34"/>
  <c r="C470" i="34"/>
  <c r="E470" i="34" s="1"/>
  <c r="L469" i="34"/>
  <c r="K468" i="34"/>
  <c r="J467" i="34"/>
  <c r="R465" i="34"/>
  <c r="P464" i="34"/>
  <c r="O463" i="34"/>
  <c r="D463" i="34"/>
  <c r="N462" i="34"/>
  <c r="C462" i="34"/>
  <c r="E462" i="34" s="1"/>
  <c r="L461" i="34"/>
  <c r="K460" i="34"/>
  <c r="J459" i="34"/>
  <c r="R457" i="34"/>
  <c r="P456" i="34"/>
  <c r="O455" i="34"/>
  <c r="D455" i="34"/>
  <c r="N454" i="34"/>
  <c r="C454" i="34"/>
  <c r="E454" i="34" s="1"/>
  <c r="L453" i="34"/>
  <c r="K452" i="34"/>
  <c r="J451" i="34"/>
  <c r="R449" i="34"/>
  <c r="P448" i="34"/>
  <c r="O447" i="34"/>
  <c r="D447" i="34"/>
  <c r="N446" i="34"/>
  <c r="C446" i="34"/>
  <c r="E446" i="34" s="1"/>
  <c r="L445" i="34"/>
  <c r="K444" i="34"/>
  <c r="J443" i="34"/>
  <c r="R441" i="34"/>
  <c r="P440" i="34"/>
  <c r="O439" i="34"/>
  <c r="D439" i="34"/>
  <c r="N438" i="34"/>
  <c r="C438" i="34"/>
  <c r="E438" i="34" s="1"/>
  <c r="L437" i="34"/>
  <c r="K436" i="34"/>
  <c r="J435" i="34"/>
  <c r="R433" i="34"/>
  <c r="P432" i="34"/>
  <c r="O431" i="34"/>
  <c r="L430" i="34"/>
  <c r="D430" i="34"/>
  <c r="R429" i="34"/>
  <c r="K429" i="34"/>
  <c r="C429" i="34"/>
  <c r="E429" i="34" s="1"/>
  <c r="P428" i="34"/>
  <c r="J428" i="34"/>
  <c r="O427" i="34"/>
  <c r="N426" i="34"/>
  <c r="L425" i="34"/>
  <c r="R424" i="34"/>
  <c r="K424" i="34"/>
  <c r="D424" i="34"/>
  <c r="P423" i="34"/>
  <c r="J423" i="34"/>
  <c r="C423" i="34"/>
  <c r="E423" i="34" s="1"/>
  <c r="O422" i="34"/>
  <c r="N421" i="34"/>
  <c r="L420" i="34"/>
  <c r="K419" i="34"/>
  <c r="D419" i="34"/>
  <c r="R418" i="34"/>
  <c r="J418" i="34"/>
  <c r="C418" i="34"/>
  <c r="E418" i="34" s="1"/>
  <c r="P417" i="34"/>
  <c r="O416" i="34"/>
  <c r="N415" i="34"/>
  <c r="L414" i="34"/>
  <c r="D414" i="34"/>
  <c r="R413" i="34"/>
  <c r="K413" i="34"/>
  <c r="C413" i="34"/>
  <c r="E413" i="34" s="1"/>
  <c r="P412" i="34"/>
  <c r="J412" i="34"/>
  <c r="O411" i="34"/>
  <c r="N410" i="34"/>
  <c r="L409" i="34"/>
  <c r="R408" i="34"/>
  <c r="K408" i="34"/>
  <c r="D408" i="34"/>
  <c r="P407" i="34"/>
  <c r="J407" i="34"/>
  <c r="C407" i="34"/>
  <c r="E407" i="34" s="1"/>
  <c r="O406" i="34"/>
  <c r="N405" i="34"/>
  <c r="L404" i="34"/>
  <c r="K403" i="34"/>
  <c r="D403" i="34"/>
  <c r="R402" i="34"/>
  <c r="J402" i="34"/>
  <c r="C402" i="34"/>
  <c r="E402" i="34" s="1"/>
  <c r="P401" i="34"/>
  <c r="O400" i="34"/>
  <c r="N399" i="34"/>
  <c r="L398" i="34"/>
  <c r="D398" i="34"/>
  <c r="R397" i="34"/>
  <c r="K397" i="34"/>
  <c r="C397" i="34"/>
  <c r="E397" i="34" s="1"/>
  <c r="P396" i="34"/>
  <c r="J396" i="34"/>
  <c r="O395" i="34"/>
  <c r="N394" i="34"/>
  <c r="C394" i="34"/>
  <c r="E394" i="34" s="1"/>
  <c r="R393" i="34"/>
  <c r="L393" i="34"/>
  <c r="P392" i="34"/>
  <c r="K392" i="34"/>
  <c r="O391" i="34"/>
  <c r="J391" i="34"/>
  <c r="D391" i="34"/>
  <c r="N390" i="34"/>
  <c r="C390" i="34"/>
  <c r="E390" i="34" s="1"/>
  <c r="R389" i="34"/>
  <c r="L389" i="34"/>
  <c r="P388" i="34"/>
  <c r="K388" i="34"/>
  <c r="O387" i="34"/>
  <c r="J387" i="34"/>
  <c r="D387" i="34"/>
  <c r="N386" i="34"/>
  <c r="C386" i="34"/>
  <c r="E386" i="34" s="1"/>
  <c r="R385" i="34"/>
  <c r="L385" i="34"/>
  <c r="P384" i="34"/>
  <c r="K384" i="34"/>
  <c r="O383" i="34"/>
  <c r="J383" i="34"/>
  <c r="D383" i="34"/>
  <c r="N382" i="34"/>
  <c r="C382" i="34"/>
  <c r="E382" i="34" s="1"/>
  <c r="R381" i="34"/>
  <c r="L381" i="34"/>
  <c r="P380" i="34"/>
  <c r="K380" i="34"/>
  <c r="O379" i="34"/>
  <c r="J379" i="34"/>
  <c r="D379" i="34"/>
  <c r="N378" i="34"/>
  <c r="C378" i="34"/>
  <c r="E378" i="34" s="1"/>
  <c r="R377" i="34"/>
  <c r="L377" i="34"/>
  <c r="P376" i="34"/>
  <c r="K376" i="34"/>
  <c r="O375" i="34"/>
  <c r="J375" i="34"/>
  <c r="D375" i="34"/>
  <c r="N374" i="34"/>
  <c r="C374" i="34"/>
  <c r="E374" i="34" s="1"/>
  <c r="R373" i="34"/>
  <c r="L373" i="34"/>
  <c r="P372" i="34"/>
  <c r="K372" i="34"/>
  <c r="O371" i="34"/>
  <c r="J371" i="34"/>
  <c r="D371" i="34"/>
  <c r="N370" i="34"/>
  <c r="C370" i="34"/>
  <c r="E370" i="34" s="1"/>
  <c r="R369" i="34"/>
  <c r="L369" i="34"/>
  <c r="P368" i="34"/>
  <c r="K368" i="34"/>
  <c r="O367" i="34"/>
  <c r="J367" i="34"/>
  <c r="D367" i="34"/>
  <c r="N366" i="34"/>
  <c r="C366" i="34"/>
  <c r="E366" i="34" s="1"/>
  <c r="R365" i="34"/>
  <c r="L365" i="34"/>
  <c r="P364" i="34"/>
  <c r="K364" i="34"/>
  <c r="O363" i="34"/>
  <c r="J363" i="34"/>
  <c r="D363" i="34"/>
  <c r="N362" i="34"/>
  <c r="C362" i="34"/>
  <c r="E362" i="34" s="1"/>
  <c r="R361" i="34"/>
  <c r="L361" i="34"/>
  <c r="P360" i="34"/>
  <c r="K360" i="34"/>
  <c r="C360" i="34"/>
  <c r="E360" i="34" s="1"/>
  <c r="O359" i="34"/>
  <c r="K359" i="34"/>
  <c r="C359" i="34"/>
  <c r="E359" i="34" s="1"/>
  <c r="O358" i="34"/>
  <c r="K358" i="34"/>
  <c r="C358" i="34"/>
  <c r="E358" i="34" s="1"/>
  <c r="O357" i="34"/>
  <c r="K357" i="34"/>
  <c r="C357" i="34"/>
  <c r="E357" i="34" s="1"/>
  <c r="O356" i="34"/>
  <c r="K356" i="34"/>
  <c r="C356" i="34"/>
  <c r="E356" i="34" s="1"/>
  <c r="O355" i="34"/>
  <c r="K355" i="34"/>
  <c r="C355" i="34"/>
  <c r="E355" i="34" s="1"/>
  <c r="O354" i="34"/>
  <c r="K354" i="34"/>
  <c r="C354" i="34"/>
  <c r="E354" i="34" s="1"/>
  <c r="O353" i="34"/>
  <c r="K353" i="34"/>
  <c r="C353" i="34"/>
  <c r="E353" i="34" s="1"/>
  <c r="O352" i="34"/>
  <c r="K352" i="34"/>
  <c r="C352" i="34"/>
  <c r="E352" i="34" s="1"/>
  <c r="O351" i="34"/>
  <c r="K351" i="34"/>
  <c r="C351" i="34"/>
  <c r="E351" i="34" s="1"/>
  <c r="O350" i="34"/>
  <c r="K350" i="34"/>
  <c r="C350" i="34"/>
  <c r="E350" i="34" s="1"/>
  <c r="O349" i="34"/>
  <c r="K349" i="34"/>
  <c r="C349" i="34"/>
  <c r="E349" i="34" s="1"/>
  <c r="O348" i="34"/>
  <c r="K348" i="34"/>
  <c r="C348" i="34"/>
  <c r="E348" i="34" s="1"/>
  <c r="O347" i="34"/>
  <c r="K347" i="34"/>
  <c r="C347" i="34"/>
  <c r="E347" i="34" s="1"/>
  <c r="O346" i="34"/>
  <c r="K346" i="34"/>
  <c r="C346" i="34"/>
  <c r="E346" i="34" s="1"/>
  <c r="O345" i="34"/>
  <c r="K345" i="34"/>
  <c r="C345" i="34"/>
  <c r="E345" i="34" s="1"/>
  <c r="O344" i="34"/>
  <c r="K344" i="34"/>
  <c r="C344" i="34"/>
  <c r="E344" i="34" s="1"/>
  <c r="O343" i="34"/>
  <c r="K343" i="34"/>
  <c r="C343" i="34"/>
  <c r="E343" i="34" s="1"/>
  <c r="O342" i="34"/>
  <c r="K342" i="34"/>
  <c r="C342" i="34"/>
  <c r="E342" i="34" s="1"/>
  <c r="O341" i="34"/>
  <c r="K341" i="34"/>
  <c r="C341" i="34"/>
  <c r="E341" i="34" s="1"/>
  <c r="O340" i="34"/>
  <c r="K340" i="34"/>
  <c r="C340" i="34"/>
  <c r="E340" i="34" s="1"/>
  <c r="O339" i="34"/>
  <c r="K339" i="34"/>
  <c r="C339" i="34"/>
  <c r="E339" i="34" s="1"/>
  <c r="O338" i="34"/>
  <c r="K338" i="34"/>
  <c r="C338" i="34"/>
  <c r="E338" i="34" s="1"/>
  <c r="O337" i="34"/>
  <c r="K337" i="34"/>
  <c r="C337" i="34"/>
  <c r="E337" i="34" s="1"/>
  <c r="O336" i="34"/>
  <c r="K336" i="34"/>
  <c r="C336" i="34"/>
  <c r="E336" i="34" s="1"/>
  <c r="O335" i="34"/>
  <c r="K335" i="34"/>
  <c r="C335" i="34"/>
  <c r="E335" i="34" s="1"/>
  <c r="O334" i="34"/>
  <c r="K334" i="34"/>
  <c r="C334" i="34"/>
  <c r="E334" i="34" s="1"/>
  <c r="O333" i="34"/>
  <c r="K333" i="34"/>
  <c r="C333" i="34"/>
  <c r="E333" i="34" s="1"/>
  <c r="O332" i="34"/>
  <c r="K332" i="34"/>
  <c r="C332" i="34"/>
  <c r="E332" i="34" s="1"/>
  <c r="O331" i="34"/>
  <c r="K331" i="34"/>
  <c r="C331" i="34"/>
  <c r="E331" i="34" s="1"/>
  <c r="O330" i="34"/>
  <c r="K330" i="34"/>
  <c r="C330" i="34"/>
  <c r="E330" i="34" s="1"/>
  <c r="O329" i="34"/>
  <c r="K329" i="34"/>
  <c r="C329" i="34"/>
  <c r="E329" i="34" s="1"/>
  <c r="O328" i="34"/>
  <c r="K328" i="34"/>
  <c r="C328" i="34"/>
  <c r="E328" i="34" s="1"/>
  <c r="O327" i="34"/>
  <c r="K327" i="34"/>
  <c r="C327" i="34"/>
  <c r="E327" i="34" s="1"/>
  <c r="O326" i="34"/>
  <c r="K326" i="34"/>
  <c r="C326" i="34"/>
  <c r="E326" i="34" s="1"/>
  <c r="O325" i="34"/>
  <c r="K325" i="34"/>
  <c r="C325" i="34"/>
  <c r="E325" i="34" s="1"/>
  <c r="O324" i="34"/>
  <c r="K324" i="34"/>
  <c r="C324" i="34"/>
  <c r="E324" i="34" s="1"/>
  <c r="O323" i="34"/>
  <c r="K323" i="34"/>
  <c r="C323" i="34"/>
  <c r="E323" i="34" s="1"/>
  <c r="O322" i="34"/>
  <c r="K322" i="34"/>
  <c r="C322" i="34"/>
  <c r="E322" i="34" s="1"/>
  <c r="O321" i="34"/>
  <c r="K321" i="34"/>
  <c r="C321" i="34"/>
  <c r="E321" i="34" s="1"/>
  <c r="O320" i="34"/>
  <c r="K320" i="34"/>
  <c r="C320" i="34"/>
  <c r="E320" i="34" s="1"/>
  <c r="O319" i="34"/>
  <c r="K319" i="34"/>
  <c r="C319" i="34"/>
  <c r="E319" i="34" s="1"/>
  <c r="O318" i="34"/>
  <c r="K318" i="34"/>
  <c r="C318" i="34"/>
  <c r="E318" i="34" s="1"/>
  <c r="O317" i="34"/>
  <c r="K317" i="34"/>
  <c r="C317" i="34"/>
  <c r="E317" i="34" s="1"/>
  <c r="O316" i="34"/>
  <c r="K316" i="34"/>
  <c r="C316" i="34"/>
  <c r="E316" i="34" s="1"/>
  <c r="O315" i="34"/>
  <c r="K315" i="34"/>
  <c r="C315" i="34"/>
  <c r="E315" i="34" s="1"/>
  <c r="O314" i="34"/>
  <c r="K314" i="34"/>
  <c r="C314" i="34"/>
  <c r="E314" i="34" s="1"/>
  <c r="O313" i="34"/>
  <c r="K313" i="34"/>
  <c r="C313" i="34"/>
  <c r="E313" i="34" s="1"/>
  <c r="O312" i="34"/>
  <c r="K312" i="34"/>
  <c r="C312" i="34"/>
  <c r="E312" i="34" s="1"/>
  <c r="O311" i="34"/>
  <c r="R498" i="34"/>
  <c r="P497" i="34"/>
  <c r="O496" i="34"/>
  <c r="D496" i="34"/>
  <c r="N495" i="34"/>
  <c r="L494" i="34"/>
  <c r="K493" i="34"/>
  <c r="J492" i="34"/>
  <c r="R490" i="34"/>
  <c r="P489" i="34"/>
  <c r="O488" i="34"/>
  <c r="D488" i="34"/>
  <c r="N487" i="34"/>
  <c r="C487" i="34"/>
  <c r="E487" i="34" s="1"/>
  <c r="L486" i="34"/>
  <c r="K485" i="34"/>
  <c r="J484" i="34"/>
  <c r="R482" i="34"/>
  <c r="P481" i="34"/>
  <c r="O480" i="34"/>
  <c r="D480" i="34"/>
  <c r="N479" i="34"/>
  <c r="C479" i="34"/>
  <c r="E479" i="34" s="1"/>
  <c r="L478" i="34"/>
  <c r="K477" i="34"/>
  <c r="J476" i="34"/>
  <c r="R474" i="34"/>
  <c r="P473" i="34"/>
  <c r="O472" i="34"/>
  <c r="D472" i="34"/>
  <c r="N471" i="34"/>
  <c r="C471" i="34"/>
  <c r="E471" i="34" s="1"/>
  <c r="L470" i="34"/>
  <c r="K469" i="34"/>
  <c r="J468" i="34"/>
  <c r="R466" i="34"/>
  <c r="P465" i="34"/>
  <c r="O464" i="34"/>
  <c r="D464" i="34"/>
  <c r="N463" i="34"/>
  <c r="C463" i="34"/>
  <c r="E463" i="34" s="1"/>
  <c r="L462" i="34"/>
  <c r="K461" i="34"/>
  <c r="J460" i="34"/>
  <c r="R458" i="34"/>
  <c r="P457" i="34"/>
  <c r="O456" i="34"/>
  <c r="D456" i="34"/>
  <c r="N455" i="34"/>
  <c r="C455" i="34"/>
  <c r="E455" i="34" s="1"/>
  <c r="L454" i="34"/>
  <c r="K453" i="34"/>
  <c r="J452" i="34"/>
  <c r="R450" i="34"/>
  <c r="P449" i="34"/>
  <c r="O448" i="34"/>
  <c r="D448" i="34"/>
  <c r="N447" i="34"/>
  <c r="P492" i="34"/>
  <c r="N490" i="34"/>
  <c r="K488" i="34"/>
  <c r="C482" i="34"/>
  <c r="E482" i="34" s="1"/>
  <c r="R477" i="34"/>
  <c r="O475" i="34"/>
  <c r="L473" i="34"/>
  <c r="J471" i="34"/>
  <c r="D467" i="34"/>
  <c r="P460" i="34"/>
  <c r="N458" i="34"/>
  <c r="K456" i="34"/>
  <c r="C450" i="34"/>
  <c r="E450" i="34" s="1"/>
  <c r="L446" i="34"/>
  <c r="K445" i="34"/>
  <c r="J444" i="34"/>
  <c r="D440" i="34"/>
  <c r="C439" i="34"/>
  <c r="E439" i="34" s="1"/>
  <c r="R434" i="34"/>
  <c r="P433" i="34"/>
  <c r="O432" i="34"/>
  <c r="N431" i="34"/>
  <c r="R430" i="34"/>
  <c r="C430" i="34"/>
  <c r="E430" i="34" s="1"/>
  <c r="O428" i="34"/>
  <c r="L426" i="34"/>
  <c r="R425" i="34"/>
  <c r="C425" i="34"/>
  <c r="E425" i="34" s="1"/>
  <c r="J424" i="34"/>
  <c r="O423" i="34"/>
  <c r="L421" i="34"/>
  <c r="R420" i="34"/>
  <c r="D420" i="34"/>
  <c r="J419" i="34"/>
  <c r="O418" i="34"/>
  <c r="L416" i="34"/>
  <c r="D415" i="34"/>
  <c r="J414" i="34"/>
  <c r="P413" i="34"/>
  <c r="N411" i="34"/>
  <c r="D410" i="34"/>
  <c r="K409" i="34"/>
  <c r="P408" i="34"/>
  <c r="N406" i="34"/>
  <c r="K404" i="34"/>
  <c r="P403" i="34"/>
  <c r="C403" i="34"/>
  <c r="E403" i="34" s="1"/>
  <c r="N401" i="34"/>
  <c r="K399" i="34"/>
  <c r="R398" i="34"/>
  <c r="C398" i="34"/>
  <c r="E398" i="34" s="1"/>
  <c r="O396" i="34"/>
  <c r="L394" i="34"/>
  <c r="K393" i="34"/>
  <c r="J392" i="34"/>
  <c r="R390" i="34"/>
  <c r="P389" i="34"/>
  <c r="O388" i="34"/>
  <c r="D388" i="34"/>
  <c r="N387" i="34"/>
  <c r="C387" i="34"/>
  <c r="E387" i="34" s="1"/>
  <c r="L386" i="34"/>
  <c r="K385" i="34"/>
  <c r="J384" i="34"/>
  <c r="R382" i="34"/>
  <c r="P381" i="34"/>
  <c r="O380" i="34"/>
  <c r="D380" i="34"/>
  <c r="N379" i="34"/>
  <c r="C379" i="34"/>
  <c r="E379" i="34" s="1"/>
  <c r="L378" i="34"/>
  <c r="K377" i="34"/>
  <c r="J376" i="34"/>
  <c r="R374" i="34"/>
  <c r="P373" i="34"/>
  <c r="O372" i="34"/>
  <c r="D372" i="34"/>
  <c r="N371" i="34"/>
  <c r="C371" i="34"/>
  <c r="E371" i="34" s="1"/>
  <c r="L370" i="34"/>
  <c r="K369" i="34"/>
  <c r="J368" i="34"/>
  <c r="R366" i="34"/>
  <c r="P365" i="34"/>
  <c r="O364" i="34"/>
  <c r="D364" i="34"/>
  <c r="N363" i="34"/>
  <c r="C363" i="34"/>
  <c r="E363" i="34" s="1"/>
  <c r="L362" i="34"/>
  <c r="K361" i="34"/>
  <c r="J360" i="34"/>
  <c r="N359" i="34"/>
  <c r="R358" i="34"/>
  <c r="J358" i="34"/>
  <c r="N357" i="34"/>
  <c r="R356" i="34"/>
  <c r="J356" i="34"/>
  <c r="N355" i="34"/>
  <c r="R354" i="34"/>
  <c r="J354" i="34"/>
  <c r="N353" i="34"/>
  <c r="R352" i="34"/>
  <c r="J352" i="34"/>
  <c r="N351" i="34"/>
  <c r="R350" i="34"/>
  <c r="J350" i="34"/>
  <c r="N349" i="34"/>
  <c r="R348" i="34"/>
  <c r="J348" i="34"/>
  <c r="N347" i="34"/>
  <c r="R346" i="34"/>
  <c r="J346" i="34"/>
  <c r="N345" i="34"/>
  <c r="R344" i="34"/>
  <c r="J344" i="34"/>
  <c r="N343" i="34"/>
  <c r="R342" i="34"/>
  <c r="J342" i="34"/>
  <c r="N341" i="34"/>
  <c r="R340" i="34"/>
  <c r="J340" i="34"/>
  <c r="N339" i="34"/>
  <c r="R338" i="34"/>
  <c r="J338" i="34"/>
  <c r="N337" i="34"/>
  <c r="R336" i="34"/>
  <c r="J336" i="34"/>
  <c r="N335" i="34"/>
  <c r="R334" i="34"/>
  <c r="J334" i="34"/>
  <c r="N333" i="34"/>
  <c r="R332" i="34"/>
  <c r="J332" i="34"/>
  <c r="N331" i="34"/>
  <c r="R330" i="34"/>
  <c r="J330" i="34"/>
  <c r="N498" i="34"/>
  <c r="K496" i="34"/>
  <c r="R485" i="34"/>
  <c r="O483" i="34"/>
  <c r="L481" i="34"/>
  <c r="J479" i="34"/>
  <c r="D475" i="34"/>
  <c r="P468" i="34"/>
  <c r="N466" i="34"/>
  <c r="K464" i="34"/>
  <c r="C458" i="34"/>
  <c r="E458" i="34" s="1"/>
  <c r="R453" i="34"/>
  <c r="O451" i="34"/>
  <c r="L449" i="34"/>
  <c r="J447" i="34"/>
  <c r="D443" i="34"/>
  <c r="C442" i="34"/>
  <c r="E442" i="34" s="1"/>
  <c r="R437" i="34"/>
  <c r="P436" i="34"/>
  <c r="O435" i="34"/>
  <c r="N434" i="34"/>
  <c r="L433" i="34"/>
  <c r="K432" i="34"/>
  <c r="J431" i="34"/>
  <c r="O430" i="34"/>
  <c r="L428" i="34"/>
  <c r="D427" i="34"/>
  <c r="J426" i="34"/>
  <c r="P425" i="34"/>
  <c r="N423" i="34"/>
  <c r="D422" i="34"/>
  <c r="K421" i="34"/>
  <c r="P420" i="34"/>
  <c r="N418" i="34"/>
  <c r="K416" i="34"/>
  <c r="P415" i="34"/>
  <c r="C415" i="34"/>
  <c r="E415" i="34" s="1"/>
  <c r="N413" i="34"/>
  <c r="K411" i="34"/>
  <c r="R410" i="34"/>
  <c r="C410" i="34"/>
  <c r="E410" i="34" s="1"/>
  <c r="O408" i="34"/>
  <c r="L406" i="34"/>
  <c r="R405" i="34"/>
  <c r="C405" i="34"/>
  <c r="E405" i="34" s="1"/>
  <c r="J404" i="34"/>
  <c r="O403" i="34"/>
  <c r="L401" i="34"/>
  <c r="R400" i="34"/>
  <c r="D400" i="34"/>
  <c r="J399" i="34"/>
  <c r="O398" i="34"/>
  <c r="L396" i="34"/>
  <c r="D395" i="34"/>
  <c r="K394" i="34"/>
  <c r="J393" i="34"/>
  <c r="R391" i="34"/>
  <c r="P390" i="34"/>
  <c r="O389" i="34"/>
  <c r="D389" i="34"/>
  <c r="N388" i="34"/>
  <c r="C388" i="34"/>
  <c r="E388" i="34" s="1"/>
  <c r="L387" i="34"/>
  <c r="K386" i="34"/>
  <c r="J385" i="34"/>
  <c r="R383" i="34"/>
  <c r="P382" i="34"/>
  <c r="O381" i="34"/>
  <c r="D381" i="34"/>
  <c r="N380" i="34"/>
  <c r="C380" i="34"/>
  <c r="E380" i="34" s="1"/>
  <c r="L379" i="34"/>
  <c r="K378" i="34"/>
  <c r="J377" i="34"/>
  <c r="R375" i="34"/>
  <c r="P374" i="34"/>
  <c r="O373" i="34"/>
  <c r="D373" i="34"/>
  <c r="N372" i="34"/>
  <c r="C372" i="34"/>
  <c r="E372" i="34" s="1"/>
  <c r="L371" i="34"/>
  <c r="K370" i="34"/>
  <c r="J369" i="34"/>
  <c r="R367" i="34"/>
  <c r="P366" i="34"/>
  <c r="O365" i="34"/>
  <c r="D365" i="34"/>
  <c r="N364" i="34"/>
  <c r="C364" i="34"/>
  <c r="E364" i="34" s="1"/>
  <c r="L363" i="34"/>
  <c r="K362" i="34"/>
  <c r="J361" i="34"/>
  <c r="I360" i="34"/>
  <c r="M359" i="34"/>
  <c r="Q358" i="34"/>
  <c r="I358" i="34"/>
  <c r="M357" i="34"/>
  <c r="Q356" i="34"/>
  <c r="I356" i="34"/>
  <c r="M355" i="34"/>
  <c r="Q354" i="34"/>
  <c r="I354" i="34"/>
  <c r="M353" i="34"/>
  <c r="Q352" i="34"/>
  <c r="I352" i="34"/>
  <c r="M351" i="34"/>
  <c r="Q350" i="34"/>
  <c r="I350" i="34"/>
  <c r="M349" i="34"/>
  <c r="Q348" i="34"/>
  <c r="I348" i="34"/>
  <c r="M347" i="34"/>
  <c r="Q346" i="34"/>
  <c r="I346" i="34"/>
  <c r="M345" i="34"/>
  <c r="Q344" i="34"/>
  <c r="I344" i="34"/>
  <c r="M343" i="34"/>
  <c r="Q342" i="34"/>
  <c r="I342" i="34"/>
  <c r="M341" i="34"/>
  <c r="Q340" i="34"/>
  <c r="I340" i="34"/>
  <c r="M339" i="34"/>
  <c r="Q338" i="34"/>
  <c r="I338" i="34"/>
  <c r="M337" i="34"/>
  <c r="Q336" i="34"/>
  <c r="I336" i="34"/>
  <c r="M335" i="34"/>
  <c r="Q334" i="34"/>
  <c r="I334" i="34"/>
  <c r="M333" i="34"/>
  <c r="Q332" i="34"/>
  <c r="I332" i="34"/>
  <c r="M331" i="34"/>
  <c r="Q330" i="34"/>
  <c r="I330" i="34"/>
  <c r="M329" i="34"/>
  <c r="Q328" i="34"/>
  <c r="I328" i="34"/>
  <c r="M327" i="34"/>
  <c r="Q326" i="34"/>
  <c r="I326" i="34"/>
  <c r="M325" i="34"/>
  <c r="Q324" i="34"/>
  <c r="I324" i="34"/>
  <c r="M323" i="34"/>
  <c r="Q322" i="34"/>
  <c r="I322" i="34"/>
  <c r="M321" i="34"/>
  <c r="Q320" i="34"/>
  <c r="I320" i="34"/>
  <c r="M319" i="34"/>
  <c r="Q318" i="34"/>
  <c r="I318" i="34"/>
  <c r="M317" i="34"/>
  <c r="Q316" i="34"/>
  <c r="I316" i="34"/>
  <c r="M315" i="34"/>
  <c r="Q314" i="34"/>
  <c r="I314" i="34"/>
  <c r="M313" i="34"/>
  <c r="Q312" i="34"/>
  <c r="I312" i="34"/>
  <c r="M311" i="34"/>
  <c r="Q310" i="34"/>
  <c r="K310" i="34"/>
  <c r="O309" i="34"/>
  <c r="K309" i="34"/>
  <c r="C309" i="34"/>
  <c r="E309" i="34" s="1"/>
  <c r="O308" i="34"/>
  <c r="K308" i="34"/>
  <c r="C308" i="34"/>
  <c r="E308" i="34" s="1"/>
  <c r="O307" i="34"/>
  <c r="K307" i="34"/>
  <c r="C307" i="34"/>
  <c r="E307" i="34" s="1"/>
  <c r="O306" i="34"/>
  <c r="K306" i="34"/>
  <c r="C306" i="34"/>
  <c r="E306" i="34" s="1"/>
  <c r="O305" i="34"/>
  <c r="K305" i="34"/>
  <c r="C305" i="34"/>
  <c r="E305" i="34" s="1"/>
  <c r="O304" i="34"/>
  <c r="K304" i="34"/>
  <c r="C304" i="34"/>
  <c r="E304" i="34" s="1"/>
  <c r="O303" i="34"/>
  <c r="K303" i="34"/>
  <c r="C303" i="34"/>
  <c r="E303" i="34" s="1"/>
  <c r="O302" i="34"/>
  <c r="K302" i="34"/>
  <c r="C302" i="34"/>
  <c r="E302" i="34" s="1"/>
  <c r="O301" i="34"/>
  <c r="K301" i="34"/>
  <c r="C301" i="34"/>
  <c r="E301" i="34" s="1"/>
  <c r="O300" i="34"/>
  <c r="K300" i="34"/>
  <c r="C300" i="34"/>
  <c r="E300" i="34" s="1"/>
  <c r="O299" i="34"/>
  <c r="K299" i="34"/>
  <c r="C299" i="34"/>
  <c r="E299" i="34" s="1"/>
  <c r="O298" i="34"/>
  <c r="K298" i="34"/>
  <c r="C298" i="34"/>
  <c r="E298" i="34" s="1"/>
  <c r="O297" i="34"/>
  <c r="K297" i="34"/>
  <c r="C297" i="34"/>
  <c r="E297" i="34" s="1"/>
  <c r="O296" i="34"/>
  <c r="K296" i="34"/>
  <c r="C296" i="34"/>
  <c r="E296" i="34" s="1"/>
  <c r="O295" i="34"/>
  <c r="R493" i="34"/>
  <c r="O491" i="34"/>
  <c r="L489" i="34"/>
  <c r="J487" i="34"/>
  <c r="D483" i="34"/>
  <c r="P476" i="34"/>
  <c r="N474" i="34"/>
  <c r="K472" i="34"/>
  <c r="C466" i="34"/>
  <c r="E466" i="34" s="1"/>
  <c r="R461" i="34"/>
  <c r="O459" i="34"/>
  <c r="L457" i="34"/>
  <c r="J455" i="34"/>
  <c r="D451" i="34"/>
  <c r="C447" i="34"/>
  <c r="E447" i="34" s="1"/>
  <c r="R442" i="34"/>
  <c r="P441" i="34"/>
  <c r="O440" i="34"/>
  <c r="N439" i="34"/>
  <c r="L438" i="34"/>
  <c r="K437" i="34"/>
  <c r="J436" i="34"/>
  <c r="D432" i="34"/>
  <c r="D431" i="34"/>
  <c r="J430" i="34"/>
  <c r="P429" i="34"/>
  <c r="N427" i="34"/>
  <c r="D426" i="34"/>
  <c r="K425" i="34"/>
  <c r="P424" i="34"/>
  <c r="N422" i="34"/>
  <c r="K420" i="34"/>
  <c r="P419" i="34"/>
  <c r="C419" i="34"/>
  <c r="E419" i="34" s="1"/>
  <c r="N417" i="34"/>
  <c r="K415" i="34"/>
  <c r="R414" i="34"/>
  <c r="C414" i="34"/>
  <c r="E414" i="34" s="1"/>
  <c r="O412" i="34"/>
  <c r="L410" i="34"/>
  <c r="R409" i="34"/>
  <c r="C409" i="34"/>
  <c r="E409" i="34" s="1"/>
  <c r="J408" i="34"/>
  <c r="O407" i="34"/>
  <c r="L405" i="34"/>
  <c r="R404" i="34"/>
  <c r="D404" i="34"/>
  <c r="J403" i="34"/>
  <c r="O402" i="34"/>
  <c r="L400" i="34"/>
  <c r="D399" i="34"/>
  <c r="J398" i="34"/>
  <c r="P397" i="34"/>
  <c r="N395" i="34"/>
  <c r="P393" i="34"/>
  <c r="O392" i="34"/>
  <c r="D392" i="34"/>
  <c r="N391" i="34"/>
  <c r="C391" i="34"/>
  <c r="E391" i="34" s="1"/>
  <c r="L390" i="34"/>
  <c r="K389" i="34"/>
  <c r="J388" i="34"/>
  <c r="R386" i="34"/>
  <c r="P385" i="34"/>
  <c r="O384" i="34"/>
  <c r="D384" i="34"/>
  <c r="N383" i="34"/>
  <c r="C383" i="34"/>
  <c r="E383" i="34" s="1"/>
  <c r="L382" i="34"/>
  <c r="K381" i="34"/>
  <c r="J380" i="34"/>
  <c r="R378" i="34"/>
  <c r="P377" i="34"/>
  <c r="O376" i="34"/>
  <c r="D376" i="34"/>
  <c r="N375" i="34"/>
  <c r="C375" i="34"/>
  <c r="E375" i="34" s="1"/>
  <c r="L374" i="34"/>
  <c r="K373" i="34"/>
  <c r="J372" i="34"/>
  <c r="R370" i="34"/>
  <c r="P369" i="34"/>
  <c r="O368" i="34"/>
  <c r="D368" i="34"/>
  <c r="N367" i="34"/>
  <c r="C367" i="34"/>
  <c r="E367" i="34" s="1"/>
  <c r="L366" i="34"/>
  <c r="K365" i="34"/>
  <c r="J364" i="34"/>
  <c r="R362" i="34"/>
  <c r="P361" i="34"/>
  <c r="O360" i="34"/>
  <c r="R359" i="34"/>
  <c r="J359" i="34"/>
  <c r="N358" i="34"/>
  <c r="R357" i="34"/>
  <c r="J357" i="34"/>
  <c r="N356" i="34"/>
  <c r="R355" i="34"/>
  <c r="J355" i="34"/>
  <c r="N354" i="34"/>
  <c r="R353" i="34"/>
  <c r="J353" i="34"/>
  <c r="N352" i="34"/>
  <c r="R351" i="34"/>
  <c r="J351" i="34"/>
  <c r="N350" i="34"/>
  <c r="R349" i="34"/>
  <c r="J349" i="34"/>
  <c r="N348" i="34"/>
  <c r="R347" i="34"/>
  <c r="J347" i="34"/>
  <c r="N346" i="34"/>
  <c r="R345" i="34"/>
  <c r="J345" i="34"/>
  <c r="N344" i="34"/>
  <c r="R343" i="34"/>
  <c r="J343" i="34"/>
  <c r="N342" i="34"/>
  <c r="R341" i="34"/>
  <c r="J341" i="34"/>
  <c r="N340" i="34"/>
  <c r="R339" i="34"/>
  <c r="J339" i="34"/>
  <c r="N338" i="34"/>
  <c r="R337" i="34"/>
  <c r="J337" i="34"/>
  <c r="N336" i="34"/>
  <c r="R335" i="34"/>
  <c r="J335" i="34"/>
  <c r="N334" i="34"/>
  <c r="R333" i="34"/>
  <c r="J333" i="34"/>
  <c r="N332" i="34"/>
  <c r="R331" i="34"/>
  <c r="J331" i="34"/>
  <c r="N330" i="34"/>
  <c r="R329" i="34"/>
  <c r="J329" i="34"/>
  <c r="N328" i="34"/>
  <c r="R327" i="34"/>
  <c r="J327" i="34"/>
  <c r="N326" i="34"/>
  <c r="R325" i="34"/>
  <c r="J325" i="34"/>
  <c r="N324" i="34"/>
  <c r="R323" i="34"/>
  <c r="J323" i="34"/>
  <c r="N322" i="34"/>
  <c r="R321" i="34"/>
  <c r="J321" i="34"/>
  <c r="N320" i="34"/>
  <c r="R319" i="34"/>
  <c r="J319" i="34"/>
  <c r="N318" i="34"/>
  <c r="R317" i="34"/>
  <c r="J317" i="34"/>
  <c r="N316" i="34"/>
  <c r="R315" i="34"/>
  <c r="J315" i="34"/>
  <c r="N314" i="34"/>
  <c r="R313" i="34"/>
  <c r="J313" i="34"/>
  <c r="N312" i="34"/>
  <c r="R311" i="34"/>
  <c r="K311" i="34"/>
  <c r="O310" i="34"/>
  <c r="J310" i="34"/>
  <c r="N309" i="34"/>
  <c r="J309" i="34"/>
  <c r="R308" i="34"/>
  <c r="N308" i="34"/>
  <c r="J308" i="34"/>
  <c r="R307" i="34"/>
  <c r="N307" i="34"/>
  <c r="J307" i="34"/>
  <c r="R306" i="34"/>
  <c r="N306" i="34"/>
  <c r="J306" i="34"/>
  <c r="R305" i="34"/>
  <c r="N305" i="34"/>
  <c r="J305" i="34"/>
  <c r="R304" i="34"/>
  <c r="N304" i="34"/>
  <c r="J304" i="34"/>
  <c r="R303" i="34"/>
  <c r="N303" i="34"/>
  <c r="J303" i="34"/>
  <c r="R302" i="34"/>
  <c r="N302" i="34"/>
  <c r="J302" i="34"/>
  <c r="R301" i="34"/>
  <c r="N301" i="34"/>
  <c r="J301" i="34"/>
  <c r="P484" i="34"/>
  <c r="O467" i="34"/>
  <c r="D459" i="34"/>
  <c r="N450" i="34"/>
  <c r="P444" i="34"/>
  <c r="K440" i="34"/>
  <c r="C426" i="34"/>
  <c r="E426" i="34" s="1"/>
  <c r="J420" i="34"/>
  <c r="L417" i="34"/>
  <c r="O414" i="34"/>
  <c r="D406" i="34"/>
  <c r="K400" i="34"/>
  <c r="N397" i="34"/>
  <c r="R394" i="34"/>
  <c r="N392" i="34"/>
  <c r="K390" i="34"/>
  <c r="C384" i="34"/>
  <c r="E384" i="34" s="1"/>
  <c r="R379" i="34"/>
  <c r="O377" i="34"/>
  <c r="L375" i="34"/>
  <c r="J373" i="34"/>
  <c r="D369" i="34"/>
  <c r="P362" i="34"/>
  <c r="N360" i="34"/>
  <c r="I357" i="34"/>
  <c r="Q355" i="34"/>
  <c r="M352" i="34"/>
  <c r="I349" i="34"/>
  <c r="Q347" i="34"/>
  <c r="M344" i="34"/>
  <c r="I341" i="34"/>
  <c r="Q339" i="34"/>
  <c r="M336" i="34"/>
  <c r="I333" i="34"/>
  <c r="Q331" i="34"/>
  <c r="I329" i="34"/>
  <c r="M328" i="34"/>
  <c r="Q327" i="34"/>
  <c r="I325" i="34"/>
  <c r="M324" i="34"/>
  <c r="Q323" i="34"/>
  <c r="I321" i="34"/>
  <c r="M320" i="34"/>
  <c r="Q319" i="34"/>
  <c r="I317" i="34"/>
  <c r="M316" i="34"/>
  <c r="Q315" i="34"/>
  <c r="D491" i="34"/>
  <c r="N482" i="34"/>
  <c r="C474" i="34"/>
  <c r="E474" i="34" s="1"/>
  <c r="L465" i="34"/>
  <c r="K448" i="34"/>
  <c r="O443" i="34"/>
  <c r="J439" i="34"/>
  <c r="D435" i="34"/>
  <c r="C431" i="34"/>
  <c r="E431" i="34" s="1"/>
  <c r="L422" i="34"/>
  <c r="O419" i="34"/>
  <c r="R416" i="34"/>
  <c r="D411" i="34"/>
  <c r="K405" i="34"/>
  <c r="N402" i="34"/>
  <c r="P399" i="34"/>
  <c r="C392" i="34"/>
  <c r="E392" i="34" s="1"/>
  <c r="R387" i="34"/>
  <c r="O385" i="34"/>
  <c r="L383" i="34"/>
  <c r="J381" i="34"/>
  <c r="D377" i="34"/>
  <c r="P370" i="34"/>
  <c r="N368" i="34"/>
  <c r="K366" i="34"/>
  <c r="M358" i="34"/>
  <c r="I355" i="34"/>
  <c r="Q353" i="34"/>
  <c r="M350" i="34"/>
  <c r="I347" i="34"/>
  <c r="Q345" i="34"/>
  <c r="M342" i="34"/>
  <c r="I339" i="34"/>
  <c r="Q337" i="34"/>
  <c r="M334" i="34"/>
  <c r="I331" i="34"/>
  <c r="J328" i="34"/>
  <c r="N327" i="34"/>
  <c r="R326" i="34"/>
  <c r="J324" i="34"/>
  <c r="N323" i="34"/>
  <c r="R322" i="34"/>
  <c r="J320" i="34"/>
  <c r="N319" i="34"/>
  <c r="R318" i="34"/>
  <c r="J316" i="34"/>
  <c r="N315" i="34"/>
  <c r="R314" i="34"/>
  <c r="J312" i="34"/>
  <c r="N311" i="34"/>
  <c r="C311" i="34"/>
  <c r="E311" i="34" s="1"/>
  <c r="M310" i="34"/>
  <c r="L309" i="34"/>
  <c r="D309" i="34"/>
  <c r="P308" i="34"/>
  <c r="L307" i="34"/>
  <c r="D307" i="34"/>
  <c r="P306" i="34"/>
  <c r="L305" i="34"/>
  <c r="D305" i="34"/>
  <c r="P304" i="34"/>
  <c r="L303" i="34"/>
  <c r="D303" i="34"/>
  <c r="P302" i="34"/>
  <c r="L301" i="34"/>
  <c r="N300" i="34"/>
  <c r="I300" i="34"/>
  <c r="D300" i="34"/>
  <c r="R299" i="34"/>
  <c r="M299" i="34"/>
  <c r="Q298" i="34"/>
  <c r="L298" i="34"/>
  <c r="P297" i="34"/>
  <c r="J297" i="34"/>
  <c r="N296" i="34"/>
  <c r="I296" i="34"/>
  <c r="D296" i="34"/>
  <c r="R295" i="34"/>
  <c r="M295" i="34"/>
  <c r="I295" i="34"/>
  <c r="Q294" i="34"/>
  <c r="M294" i="34"/>
  <c r="I294" i="34"/>
  <c r="Q293" i="34"/>
  <c r="M293" i="34"/>
  <c r="I293" i="34"/>
  <c r="Q292" i="34"/>
  <c r="M292" i="34"/>
  <c r="I292" i="34"/>
  <c r="Q291" i="34"/>
  <c r="M291" i="34"/>
  <c r="I291" i="34"/>
  <c r="Q290" i="34"/>
  <c r="M290" i="34"/>
  <c r="I290" i="34"/>
  <c r="Q289" i="34"/>
  <c r="M289" i="34"/>
  <c r="I289" i="34"/>
  <c r="Q288" i="34"/>
  <c r="M288" i="34"/>
  <c r="I288" i="34"/>
  <c r="Q287" i="34"/>
  <c r="M287" i="34"/>
  <c r="I287" i="34"/>
  <c r="Q286" i="34"/>
  <c r="M286" i="34"/>
  <c r="I286" i="34"/>
  <c r="Q285" i="34"/>
  <c r="M285" i="34"/>
  <c r="I285" i="34"/>
  <c r="Q284" i="34"/>
  <c r="M284" i="34"/>
  <c r="I284" i="34"/>
  <c r="Q283" i="34"/>
  <c r="M283" i="34"/>
  <c r="I283" i="34"/>
  <c r="Q282" i="34"/>
  <c r="M282" i="34"/>
  <c r="I282" i="34"/>
  <c r="Q281" i="34"/>
  <c r="M281" i="34"/>
  <c r="I281" i="34"/>
  <c r="Q280" i="34"/>
  <c r="M280" i="34"/>
  <c r="I280" i="34"/>
  <c r="Q279" i="34"/>
  <c r="M279" i="34"/>
  <c r="I279" i="34"/>
  <c r="Q278" i="34"/>
  <c r="M278" i="34"/>
  <c r="I278" i="34"/>
  <c r="Q277" i="34"/>
  <c r="M277" i="34"/>
  <c r="I277" i="34"/>
  <c r="Q276" i="34"/>
  <c r="M276" i="34"/>
  <c r="I276" i="34"/>
  <c r="Q275" i="34"/>
  <c r="M275" i="34"/>
  <c r="I275" i="34"/>
  <c r="Q274" i="34"/>
  <c r="M274" i="34"/>
  <c r="I274" i="34"/>
  <c r="Q273" i="34"/>
  <c r="M273" i="34"/>
  <c r="I273" i="34"/>
  <c r="Q272" i="34"/>
  <c r="M272" i="34"/>
  <c r="I272" i="34"/>
  <c r="Q271" i="34"/>
  <c r="M271" i="34"/>
  <c r="I271" i="34"/>
  <c r="Q270" i="34"/>
  <c r="M270" i="34"/>
  <c r="I270" i="34"/>
  <c r="Q269" i="34"/>
  <c r="M269" i="34"/>
  <c r="I269" i="34"/>
  <c r="Q268" i="34"/>
  <c r="M268" i="34"/>
  <c r="I268" i="34"/>
  <c r="Q267" i="34"/>
  <c r="M267" i="34"/>
  <c r="I267" i="34"/>
  <c r="Q266" i="34"/>
  <c r="M266" i="34"/>
  <c r="I266" i="34"/>
  <c r="Q265" i="34"/>
  <c r="M265" i="34"/>
  <c r="I265" i="34"/>
  <c r="Q264" i="34"/>
  <c r="M264" i="34"/>
  <c r="I264" i="34"/>
  <c r="Q263" i="34"/>
  <c r="M263" i="34"/>
  <c r="I263" i="34"/>
  <c r="Q262" i="34"/>
  <c r="M262" i="34"/>
  <c r="I262" i="34"/>
  <c r="Q261" i="34"/>
  <c r="M261" i="34"/>
  <c r="I261" i="34"/>
  <c r="Q260" i="34"/>
  <c r="M260" i="34"/>
  <c r="I260" i="34"/>
  <c r="Q259" i="34"/>
  <c r="M259" i="34"/>
  <c r="I259" i="34"/>
  <c r="Q258" i="34"/>
  <c r="M258" i="34"/>
  <c r="I258" i="34"/>
  <c r="Q257" i="34"/>
  <c r="M257" i="34"/>
  <c r="I257" i="34"/>
  <c r="Q256" i="34"/>
  <c r="M256" i="34"/>
  <c r="I256" i="34"/>
  <c r="Q255" i="34"/>
  <c r="M255" i="34"/>
  <c r="I255" i="34"/>
  <c r="Q254" i="34"/>
  <c r="M254" i="34"/>
  <c r="I254" i="34"/>
  <c r="Q253" i="34"/>
  <c r="M253" i="34"/>
  <c r="I253" i="34"/>
  <c r="Q252" i="34"/>
  <c r="M252" i="34"/>
  <c r="I252" i="34"/>
  <c r="Q251" i="34"/>
  <c r="M251" i="34"/>
  <c r="I251" i="34"/>
  <c r="Q250" i="34"/>
  <c r="M250" i="34"/>
  <c r="I250" i="34"/>
  <c r="Q249" i="34"/>
  <c r="M249" i="34"/>
  <c r="I249" i="34"/>
  <c r="Q248" i="34"/>
  <c r="M248" i="34"/>
  <c r="I248" i="34"/>
  <c r="Q247" i="34"/>
  <c r="M247" i="34"/>
  <c r="I247" i="34"/>
  <c r="Q246" i="34"/>
  <c r="M246" i="34"/>
  <c r="I246" i="34"/>
  <c r="Q245" i="34"/>
  <c r="M245" i="34"/>
  <c r="I245" i="34"/>
  <c r="Q244" i="34"/>
  <c r="M244" i="34"/>
  <c r="I244" i="34"/>
  <c r="Q243" i="34"/>
  <c r="M243" i="34"/>
  <c r="I243" i="34"/>
  <c r="Q242" i="34"/>
  <c r="M242" i="34"/>
  <c r="I242" i="34"/>
  <c r="Q241" i="34"/>
  <c r="M241" i="34"/>
  <c r="I241" i="34"/>
  <c r="Q240" i="34"/>
  <c r="M240" i="34"/>
  <c r="I240" i="34"/>
  <c r="Q239" i="34"/>
  <c r="M239" i="34"/>
  <c r="I239" i="34"/>
  <c r="Q238" i="34"/>
  <c r="M238" i="34"/>
  <c r="I238" i="34"/>
  <c r="Q237" i="34"/>
  <c r="M237" i="34"/>
  <c r="I237" i="34"/>
  <c r="Q236" i="34"/>
  <c r="M236" i="34"/>
  <c r="I236" i="34"/>
  <c r="Q235" i="34"/>
  <c r="M235" i="34"/>
  <c r="I235" i="34"/>
  <c r="Q234" i="34"/>
  <c r="M234" i="34"/>
  <c r="I234" i="34"/>
  <c r="Q233" i="34"/>
  <c r="M233" i="34"/>
  <c r="I233" i="34"/>
  <c r="Q232" i="34"/>
  <c r="M232" i="34"/>
  <c r="I232" i="34"/>
  <c r="Q231" i="34"/>
  <c r="M231" i="34"/>
  <c r="I231" i="34"/>
  <c r="Q230" i="34"/>
  <c r="M230" i="34"/>
  <c r="I230" i="34"/>
  <c r="Q229" i="34"/>
  <c r="M229" i="34"/>
  <c r="I229" i="34"/>
  <c r="Q228" i="34"/>
  <c r="M228" i="34"/>
  <c r="I228" i="34"/>
  <c r="Q227" i="34"/>
  <c r="M227" i="34"/>
  <c r="I227" i="34"/>
  <c r="Q226" i="34"/>
  <c r="M226" i="34"/>
  <c r="I226" i="34"/>
  <c r="Q225" i="34"/>
  <c r="M225" i="34"/>
  <c r="I225" i="34"/>
  <c r="Q224" i="34"/>
  <c r="M224" i="34"/>
  <c r="I224" i="34"/>
  <c r="Q223" i="34"/>
  <c r="M223" i="34"/>
  <c r="I223" i="34"/>
  <c r="Q222" i="34"/>
  <c r="M222" i="34"/>
  <c r="I222" i="34"/>
  <c r="Q221" i="34"/>
  <c r="M221" i="34"/>
  <c r="I221" i="34"/>
  <c r="Q220" i="34"/>
  <c r="M220" i="34"/>
  <c r="I220" i="34"/>
  <c r="Q219" i="34"/>
  <c r="M219" i="34"/>
  <c r="I219" i="34"/>
  <c r="Q218" i="34"/>
  <c r="M218" i="34"/>
  <c r="I218" i="34"/>
  <c r="Q217" i="34"/>
  <c r="M217" i="34"/>
  <c r="I217" i="34"/>
  <c r="Q216" i="34"/>
  <c r="M216" i="34"/>
  <c r="I216" i="34"/>
  <c r="Q215" i="34"/>
  <c r="M215" i="34"/>
  <c r="I215" i="34"/>
  <c r="Q214" i="34"/>
  <c r="M214" i="34"/>
  <c r="I214" i="34"/>
  <c r="Q213" i="34"/>
  <c r="M213" i="34"/>
  <c r="I213" i="34"/>
  <c r="Q212" i="34"/>
  <c r="M212" i="34"/>
  <c r="I212" i="34"/>
  <c r="Q211" i="34"/>
  <c r="M211" i="34"/>
  <c r="I211" i="34"/>
  <c r="Q210" i="34"/>
  <c r="M210" i="34"/>
  <c r="I210" i="34"/>
  <c r="Q209" i="34"/>
  <c r="M209" i="34"/>
  <c r="I209" i="34"/>
  <c r="Q208" i="34"/>
  <c r="M208" i="34"/>
  <c r="I208" i="34"/>
  <c r="Q207" i="34"/>
  <c r="M207" i="34"/>
  <c r="I207" i="34"/>
  <c r="Q206" i="34"/>
  <c r="M206" i="34"/>
  <c r="I206" i="34"/>
  <c r="Q205" i="34"/>
  <c r="M205" i="34"/>
  <c r="I205" i="34"/>
  <c r="Q204" i="34"/>
  <c r="M204" i="34"/>
  <c r="I204" i="34"/>
  <c r="Q203" i="34"/>
  <c r="M203" i="34"/>
  <c r="I203" i="34"/>
  <c r="Q202" i="34"/>
  <c r="M202" i="34"/>
  <c r="I202" i="34"/>
  <c r="Q201" i="34"/>
  <c r="M201" i="34"/>
  <c r="I201" i="34"/>
  <c r="Q200" i="34"/>
  <c r="M200" i="34"/>
  <c r="I200" i="34"/>
  <c r="Q199" i="34"/>
  <c r="M199" i="34"/>
  <c r="I199" i="34"/>
  <c r="Q198" i="34"/>
  <c r="M198" i="34"/>
  <c r="I198" i="34"/>
  <c r="Q197" i="34"/>
  <c r="M197" i="34"/>
  <c r="I197" i="34"/>
  <c r="Q196" i="34"/>
  <c r="M196" i="34"/>
  <c r="I196" i="34"/>
  <c r="Q195" i="34"/>
  <c r="M195" i="34"/>
  <c r="I195" i="34"/>
  <c r="Q194" i="34"/>
  <c r="M194" i="34"/>
  <c r="I194" i="34"/>
  <c r="Q193" i="34"/>
  <c r="M193" i="34"/>
  <c r="I193" i="34"/>
  <c r="Q192" i="34"/>
  <c r="M192" i="34"/>
  <c r="I192" i="34"/>
  <c r="Q191" i="34"/>
  <c r="M191" i="34"/>
  <c r="I191" i="34"/>
  <c r="Q190" i="34"/>
  <c r="M190" i="34"/>
  <c r="I190" i="34"/>
  <c r="Q189" i="34"/>
  <c r="M189" i="34"/>
  <c r="I189" i="34"/>
  <c r="Q188" i="34"/>
  <c r="M188" i="34"/>
  <c r="I188" i="34"/>
  <c r="Q187" i="34"/>
  <c r="M187" i="34"/>
  <c r="I187" i="34"/>
  <c r="Q186" i="34"/>
  <c r="M186" i="34"/>
  <c r="I186" i="34"/>
  <c r="Q185" i="34"/>
  <c r="M185" i="34"/>
  <c r="I185" i="34"/>
  <c r="Q184" i="34"/>
  <c r="M184" i="34"/>
  <c r="I184" i="34"/>
  <c r="Q183" i="34"/>
  <c r="M183" i="34"/>
  <c r="I183" i="34"/>
  <c r="Q182" i="34"/>
  <c r="M182" i="34"/>
  <c r="I182" i="34"/>
  <c r="Q181" i="34"/>
  <c r="M181" i="34"/>
  <c r="I181" i="34"/>
  <c r="Q180" i="34"/>
  <c r="M180" i="34"/>
  <c r="I180" i="34"/>
  <c r="Q179" i="34"/>
  <c r="M179" i="34"/>
  <c r="I179" i="34"/>
  <c r="Q178" i="34"/>
  <c r="M178" i="34"/>
  <c r="I178" i="34"/>
  <c r="Q177" i="34"/>
  <c r="M177" i="34"/>
  <c r="I177" i="34"/>
  <c r="Q176" i="34"/>
  <c r="M176" i="34"/>
  <c r="I176" i="34"/>
  <c r="Q175" i="34"/>
  <c r="M175" i="34"/>
  <c r="I175" i="34"/>
  <c r="Q174" i="34"/>
  <c r="M174" i="34"/>
  <c r="I174" i="34"/>
  <c r="Q173" i="34"/>
  <c r="M173" i="34"/>
  <c r="I173" i="34"/>
  <c r="Q172" i="34"/>
  <c r="M172" i="34"/>
  <c r="I172" i="34"/>
  <c r="Q171" i="34"/>
  <c r="M171" i="34"/>
  <c r="I171" i="34"/>
  <c r="Q170" i="34"/>
  <c r="M170" i="34"/>
  <c r="I170" i="34"/>
  <c r="Q169" i="34"/>
  <c r="M169" i="34"/>
  <c r="I169" i="34"/>
  <c r="Q168" i="34"/>
  <c r="M168" i="34"/>
  <c r="I168" i="34"/>
  <c r="Q167" i="34"/>
  <c r="M167" i="34"/>
  <c r="I167" i="34"/>
  <c r="Q166" i="34"/>
  <c r="M166" i="34"/>
  <c r="I166" i="34"/>
  <c r="Q165" i="34"/>
  <c r="M165" i="34"/>
  <c r="I165" i="34"/>
  <c r="Q164" i="34"/>
  <c r="M164" i="34"/>
  <c r="I164" i="34"/>
  <c r="Q163" i="34"/>
  <c r="M163" i="34"/>
  <c r="I163" i="34"/>
  <c r="Q162" i="34"/>
  <c r="M162" i="34"/>
  <c r="I162" i="34"/>
  <c r="Q161" i="34"/>
  <c r="M161" i="34"/>
  <c r="I161" i="34"/>
  <c r="Q160" i="34"/>
  <c r="M160" i="34"/>
  <c r="I160" i="34"/>
  <c r="Q159" i="34"/>
  <c r="M159" i="34"/>
  <c r="I159" i="34"/>
  <c r="Q158" i="34"/>
  <c r="M158" i="34"/>
  <c r="I158" i="34"/>
  <c r="Q157" i="34"/>
  <c r="M157" i="34"/>
  <c r="I157" i="34"/>
  <c r="Q156" i="34"/>
  <c r="M156" i="34"/>
  <c r="I156" i="34"/>
  <c r="Q155" i="34"/>
  <c r="M155" i="34"/>
  <c r="I155" i="34"/>
  <c r="Q154" i="34"/>
  <c r="M154" i="34"/>
  <c r="I154" i="34"/>
  <c r="Q153" i="34"/>
  <c r="M153" i="34"/>
  <c r="I153" i="34"/>
  <c r="Q152" i="34"/>
  <c r="M152" i="34"/>
  <c r="I152" i="34"/>
  <c r="Q151" i="34"/>
  <c r="M151" i="34"/>
  <c r="I151" i="34"/>
  <c r="Q150" i="34"/>
  <c r="M150" i="34"/>
  <c r="I150" i="34"/>
  <c r="Q149" i="34"/>
  <c r="M149" i="34"/>
  <c r="I149" i="34"/>
  <c r="Q148" i="34"/>
  <c r="M148" i="34"/>
  <c r="I148" i="34"/>
  <c r="Q147" i="34"/>
  <c r="M147" i="34"/>
  <c r="I147" i="34"/>
  <c r="Q146" i="34"/>
  <c r="M146" i="34"/>
  <c r="I146" i="34"/>
  <c r="Q145" i="34"/>
  <c r="M145" i="34"/>
  <c r="I145" i="34"/>
  <c r="Q144" i="34"/>
  <c r="M144" i="34"/>
  <c r="I144" i="34"/>
  <c r="Q143" i="34"/>
  <c r="M143" i="34"/>
  <c r="I143" i="34"/>
  <c r="Q142" i="34"/>
  <c r="M142" i="34"/>
  <c r="I142" i="34"/>
  <c r="Q141" i="34"/>
  <c r="M141" i="34"/>
  <c r="I141" i="34"/>
  <c r="Q140" i="34"/>
  <c r="M140" i="34"/>
  <c r="I140" i="34"/>
  <c r="Q139" i="34"/>
  <c r="M139" i="34"/>
  <c r="I139" i="34"/>
  <c r="Q138" i="34"/>
  <c r="M138" i="34"/>
  <c r="I138" i="34"/>
  <c r="Q137" i="34"/>
  <c r="M137" i="34"/>
  <c r="I137" i="34"/>
  <c r="Q136" i="34"/>
  <c r="M136" i="34"/>
  <c r="I136" i="34"/>
  <c r="Q135" i="34"/>
  <c r="M135" i="34"/>
  <c r="I135" i="34"/>
  <c r="Q134" i="34"/>
  <c r="M134" i="34"/>
  <c r="I134" i="34"/>
  <c r="Q133" i="34"/>
  <c r="M133" i="34"/>
  <c r="I133" i="34"/>
  <c r="Q132" i="34"/>
  <c r="M132" i="34"/>
  <c r="I132" i="34"/>
  <c r="Q131" i="34"/>
  <c r="M131" i="34"/>
  <c r="I131" i="34"/>
  <c r="Q130" i="34"/>
  <c r="M130" i="34"/>
  <c r="I130" i="34"/>
  <c r="Q129" i="34"/>
  <c r="M129" i="34"/>
  <c r="I129" i="34"/>
  <c r="Q128" i="34"/>
  <c r="M128" i="34"/>
  <c r="I128" i="34"/>
  <c r="Q127" i="34"/>
  <c r="M127" i="34"/>
  <c r="I127" i="34"/>
  <c r="Q126" i="34"/>
  <c r="M126" i="34"/>
  <c r="I126" i="34"/>
  <c r="Q125" i="34"/>
  <c r="M125" i="34"/>
  <c r="I125" i="34"/>
  <c r="Q124" i="34"/>
  <c r="M124" i="34"/>
  <c r="I124" i="34"/>
  <c r="Q123" i="34"/>
  <c r="M123" i="34"/>
  <c r="I123" i="34"/>
  <c r="Q122" i="34"/>
  <c r="M122" i="34"/>
  <c r="I122" i="34"/>
  <c r="Q121" i="34"/>
  <c r="M121" i="34"/>
  <c r="I121" i="34"/>
  <c r="Q120" i="34"/>
  <c r="M120" i="34"/>
  <c r="I120" i="34"/>
  <c r="Q119" i="34"/>
  <c r="M119" i="34"/>
  <c r="I119" i="34"/>
  <c r="Q118" i="34"/>
  <c r="M118" i="34"/>
  <c r="I118" i="34"/>
  <c r="Q117" i="34"/>
  <c r="M117" i="34"/>
  <c r="I117" i="34"/>
  <c r="Q116" i="34"/>
  <c r="M116" i="34"/>
  <c r="I116" i="34"/>
  <c r="Q115" i="34"/>
  <c r="M115" i="34"/>
  <c r="I115" i="34"/>
  <c r="Q114" i="34"/>
  <c r="M114" i="34"/>
  <c r="I114" i="34"/>
  <c r="Q113" i="34"/>
  <c r="M113" i="34"/>
  <c r="I113" i="34"/>
  <c r="Q112" i="34"/>
  <c r="M112" i="34"/>
  <c r="I112" i="34"/>
  <c r="Q111" i="34"/>
  <c r="M111" i="34"/>
  <c r="I111" i="34"/>
  <c r="Q110" i="34"/>
  <c r="M110" i="34"/>
  <c r="I110" i="34"/>
  <c r="Q109" i="34"/>
  <c r="M109" i="34"/>
  <c r="I109" i="34"/>
  <c r="Q108" i="34"/>
  <c r="M108" i="34"/>
  <c r="I108" i="34"/>
  <c r="Q107" i="34"/>
  <c r="M107" i="34"/>
  <c r="I107" i="34"/>
  <c r="L497" i="34"/>
  <c r="K480" i="34"/>
  <c r="J463" i="34"/>
  <c r="N442" i="34"/>
  <c r="C434" i="34"/>
  <c r="E434" i="34" s="1"/>
  <c r="K427" i="34"/>
  <c r="O424" i="34"/>
  <c r="R421" i="34"/>
  <c r="D416" i="34"/>
  <c r="J410" i="34"/>
  <c r="N407" i="34"/>
  <c r="P404" i="34"/>
  <c r="C399" i="34"/>
  <c r="E399" i="34" s="1"/>
  <c r="O393" i="34"/>
  <c r="L391" i="34"/>
  <c r="J389" i="34"/>
  <c r="D385" i="34"/>
  <c r="P378" i="34"/>
  <c r="N376" i="34"/>
  <c r="K374" i="34"/>
  <c r="C368" i="34"/>
  <c r="E368" i="34" s="1"/>
  <c r="R363" i="34"/>
  <c r="O361" i="34"/>
  <c r="Q359" i="34"/>
  <c r="M356" i="34"/>
  <c r="I353" i="34"/>
  <c r="Q351" i="34"/>
  <c r="M348" i="34"/>
  <c r="I345" i="34"/>
  <c r="Q343" i="34"/>
  <c r="M340" i="34"/>
  <c r="I337" i="34"/>
  <c r="Q335" i="34"/>
  <c r="M332" i="34"/>
  <c r="Q329" i="34"/>
  <c r="I327" i="34"/>
  <c r="M326" i="34"/>
  <c r="Q325" i="34"/>
  <c r="I323" i="34"/>
  <c r="M322" i="34"/>
  <c r="Q321" i="34"/>
  <c r="I319" i="34"/>
  <c r="M318" i="34"/>
  <c r="Q317" i="34"/>
  <c r="I315" i="34"/>
  <c r="M314" i="34"/>
  <c r="Q313" i="34"/>
  <c r="J311" i="34"/>
  <c r="I310" i="34"/>
  <c r="R309" i="34"/>
  <c r="I309" i="34"/>
  <c r="M308" i="34"/>
  <c r="Q307" i="34"/>
  <c r="I307" i="34"/>
  <c r="M306" i="34"/>
  <c r="Q305" i="34"/>
  <c r="I305" i="34"/>
  <c r="M304" i="34"/>
  <c r="Q303" i="34"/>
  <c r="I303" i="34"/>
  <c r="M302" i="34"/>
  <c r="Q301" i="34"/>
  <c r="I301" i="34"/>
  <c r="T301" i="34" s="1"/>
  <c r="D301" i="34"/>
  <c r="R300" i="34"/>
  <c r="S300" i="34" s="1"/>
  <c r="M300" i="34"/>
  <c r="Q299" i="34"/>
  <c r="L299" i="34"/>
  <c r="P298" i="34"/>
  <c r="J298" i="34"/>
  <c r="N297" i="34"/>
  <c r="I297" i="34"/>
  <c r="T297" i="34" s="1"/>
  <c r="D297" i="34"/>
  <c r="R296" i="34"/>
  <c r="S296" i="34" s="1"/>
  <c r="M296" i="34"/>
  <c r="Q295" i="34"/>
  <c r="L295" i="34"/>
  <c r="D295" i="34"/>
  <c r="P294" i="34"/>
  <c r="L294" i="34"/>
  <c r="D294" i="34"/>
  <c r="P293" i="34"/>
  <c r="L293" i="34"/>
  <c r="D293" i="34"/>
  <c r="P292" i="34"/>
  <c r="L292" i="34"/>
  <c r="D292" i="34"/>
  <c r="P291" i="34"/>
  <c r="L291" i="34"/>
  <c r="D291" i="34"/>
  <c r="P290" i="34"/>
  <c r="L290" i="34"/>
  <c r="D290" i="34"/>
  <c r="P289" i="34"/>
  <c r="L289" i="34"/>
  <c r="D289" i="34"/>
  <c r="P288" i="34"/>
  <c r="L288" i="34"/>
  <c r="D288" i="34"/>
  <c r="P287" i="34"/>
  <c r="L287" i="34"/>
  <c r="D287" i="34"/>
  <c r="P286" i="34"/>
  <c r="L286" i="34"/>
  <c r="D286" i="34"/>
  <c r="P285" i="34"/>
  <c r="L285" i="34"/>
  <c r="D285" i="34"/>
  <c r="P284" i="34"/>
  <c r="L284" i="34"/>
  <c r="D284" i="34"/>
  <c r="P283" i="34"/>
  <c r="L283" i="34"/>
  <c r="D283" i="34"/>
  <c r="P282" i="34"/>
  <c r="L282" i="34"/>
  <c r="D282" i="34"/>
  <c r="P281" i="34"/>
  <c r="L281" i="34"/>
  <c r="D281" i="34"/>
  <c r="P280" i="34"/>
  <c r="L280" i="34"/>
  <c r="D280" i="34"/>
  <c r="P279" i="34"/>
  <c r="L279" i="34"/>
  <c r="D279" i="34"/>
  <c r="P278" i="34"/>
  <c r="L278" i="34"/>
  <c r="D278" i="34"/>
  <c r="P277" i="34"/>
  <c r="L277" i="34"/>
  <c r="D277" i="34"/>
  <c r="P276" i="34"/>
  <c r="L276" i="34"/>
  <c r="D276" i="34"/>
  <c r="P275" i="34"/>
  <c r="L275" i="34"/>
  <c r="D275" i="34"/>
  <c r="P274" i="34"/>
  <c r="L274" i="34"/>
  <c r="D274" i="34"/>
  <c r="P273" i="34"/>
  <c r="L273" i="34"/>
  <c r="D273" i="34"/>
  <c r="P272" i="34"/>
  <c r="L272" i="34"/>
  <c r="D272" i="34"/>
  <c r="P271" i="34"/>
  <c r="L271" i="34"/>
  <c r="D271" i="34"/>
  <c r="P270" i="34"/>
  <c r="L270" i="34"/>
  <c r="D270" i="34"/>
  <c r="P269" i="34"/>
  <c r="L269" i="34"/>
  <c r="D269" i="34"/>
  <c r="P268" i="34"/>
  <c r="L268" i="34"/>
  <c r="D268" i="34"/>
  <c r="P267" i="34"/>
  <c r="L267" i="34"/>
  <c r="D267" i="34"/>
  <c r="P266" i="34"/>
  <c r="L266" i="34"/>
  <c r="D266" i="34"/>
  <c r="P265" i="34"/>
  <c r="L265" i="34"/>
  <c r="D265" i="34"/>
  <c r="P264" i="34"/>
  <c r="L264" i="34"/>
  <c r="D264" i="34"/>
  <c r="P263" i="34"/>
  <c r="L263" i="34"/>
  <c r="D263" i="34"/>
  <c r="P262" i="34"/>
  <c r="L262" i="34"/>
  <c r="D262" i="34"/>
  <c r="P261" i="34"/>
  <c r="L261" i="34"/>
  <c r="D261" i="34"/>
  <c r="P260" i="34"/>
  <c r="L260" i="34"/>
  <c r="D260" i="34"/>
  <c r="P259" i="34"/>
  <c r="L259" i="34"/>
  <c r="D259" i="34"/>
  <c r="P258" i="34"/>
  <c r="L258" i="34"/>
  <c r="D258" i="34"/>
  <c r="P257" i="34"/>
  <c r="L257" i="34"/>
  <c r="D257" i="34"/>
  <c r="P256" i="34"/>
  <c r="L256" i="34"/>
  <c r="D256" i="34"/>
  <c r="P255" i="34"/>
  <c r="L255" i="34"/>
  <c r="D255" i="34"/>
  <c r="P254" i="34"/>
  <c r="L254" i="34"/>
  <c r="D254" i="34"/>
  <c r="P253" i="34"/>
  <c r="L253" i="34"/>
  <c r="D253" i="34"/>
  <c r="P252" i="34"/>
  <c r="L252" i="34"/>
  <c r="D252" i="34"/>
  <c r="P251" i="34"/>
  <c r="L251" i="34"/>
  <c r="D251" i="34"/>
  <c r="P250" i="34"/>
  <c r="L250" i="34"/>
  <c r="D250" i="34"/>
  <c r="P249" i="34"/>
  <c r="L249" i="34"/>
  <c r="D249" i="34"/>
  <c r="P248" i="34"/>
  <c r="L248" i="34"/>
  <c r="D248" i="34"/>
  <c r="P247" i="34"/>
  <c r="L247" i="34"/>
  <c r="D247" i="34"/>
  <c r="P246" i="34"/>
  <c r="L246" i="34"/>
  <c r="D246" i="34"/>
  <c r="P245" i="34"/>
  <c r="L245" i="34"/>
  <c r="D245" i="34"/>
  <c r="P244" i="34"/>
  <c r="L244" i="34"/>
  <c r="D244" i="34"/>
  <c r="P243" i="34"/>
  <c r="L243" i="34"/>
  <c r="D243" i="34"/>
  <c r="P242" i="34"/>
  <c r="L242" i="34"/>
  <c r="D242" i="34"/>
  <c r="P241" i="34"/>
  <c r="L241" i="34"/>
  <c r="D241" i="34"/>
  <c r="P240" i="34"/>
  <c r="L240" i="34"/>
  <c r="D240" i="34"/>
  <c r="P239" i="34"/>
  <c r="L239" i="34"/>
  <c r="D239" i="34"/>
  <c r="P238" i="34"/>
  <c r="L238" i="34"/>
  <c r="D238" i="34"/>
  <c r="P237" i="34"/>
  <c r="L237" i="34"/>
  <c r="D237" i="34"/>
  <c r="P236" i="34"/>
  <c r="L236" i="34"/>
  <c r="D236" i="34"/>
  <c r="P235" i="34"/>
  <c r="L235" i="34"/>
  <c r="D235" i="34"/>
  <c r="P234" i="34"/>
  <c r="L234" i="34"/>
  <c r="D234" i="34"/>
  <c r="P233" i="34"/>
  <c r="L233" i="34"/>
  <c r="D233" i="34"/>
  <c r="P232" i="34"/>
  <c r="L232" i="34"/>
  <c r="D232" i="34"/>
  <c r="P231" i="34"/>
  <c r="L231" i="34"/>
  <c r="D231" i="34"/>
  <c r="P230" i="34"/>
  <c r="L230" i="34"/>
  <c r="D230" i="34"/>
  <c r="P229" i="34"/>
  <c r="L229" i="34"/>
  <c r="D229" i="34"/>
  <c r="P228" i="34"/>
  <c r="L228" i="34"/>
  <c r="D228" i="34"/>
  <c r="P227" i="34"/>
  <c r="L227" i="34"/>
  <c r="D227" i="34"/>
  <c r="P226" i="34"/>
  <c r="L226" i="34"/>
  <c r="D226" i="34"/>
  <c r="P225" i="34"/>
  <c r="L225" i="34"/>
  <c r="D225" i="34"/>
  <c r="P224" i="34"/>
  <c r="L224" i="34"/>
  <c r="D224" i="34"/>
  <c r="P223" i="34"/>
  <c r="L223" i="34"/>
  <c r="D223" i="34"/>
  <c r="P222" i="34"/>
  <c r="L222" i="34"/>
  <c r="D222" i="34"/>
  <c r="P221" i="34"/>
  <c r="L221" i="34"/>
  <c r="D221" i="34"/>
  <c r="P220" i="34"/>
  <c r="L220" i="34"/>
  <c r="D220" i="34"/>
  <c r="P219" i="34"/>
  <c r="L219" i="34"/>
  <c r="D219" i="34"/>
  <c r="P218" i="34"/>
  <c r="L218" i="34"/>
  <c r="D218" i="34"/>
  <c r="P217" i="34"/>
  <c r="L217" i="34"/>
  <c r="D217" i="34"/>
  <c r="P216" i="34"/>
  <c r="L216" i="34"/>
  <c r="D216" i="34"/>
  <c r="P215" i="34"/>
  <c r="L215" i="34"/>
  <c r="D215" i="34"/>
  <c r="P214" i="34"/>
  <c r="L214" i="34"/>
  <c r="D214" i="34"/>
  <c r="P213" i="34"/>
  <c r="L213" i="34"/>
  <c r="D213" i="34"/>
  <c r="P212" i="34"/>
  <c r="L212" i="34"/>
  <c r="D212" i="34"/>
  <c r="P211" i="34"/>
  <c r="L211" i="34"/>
  <c r="D211" i="34"/>
  <c r="P210" i="34"/>
  <c r="L210" i="34"/>
  <c r="D210" i="34"/>
  <c r="P209" i="34"/>
  <c r="L209" i="34"/>
  <c r="D209" i="34"/>
  <c r="P208" i="34"/>
  <c r="L208" i="34"/>
  <c r="D208" i="34"/>
  <c r="P207" i="34"/>
  <c r="L207" i="34"/>
  <c r="D207" i="34"/>
  <c r="P206" i="34"/>
  <c r="L206" i="34"/>
  <c r="D206" i="34"/>
  <c r="P205" i="34"/>
  <c r="L205" i="34"/>
  <c r="D205" i="34"/>
  <c r="P204" i="34"/>
  <c r="L204" i="34"/>
  <c r="D204" i="34"/>
  <c r="P203" i="34"/>
  <c r="L203" i="34"/>
  <c r="D203" i="34"/>
  <c r="P202" i="34"/>
  <c r="L202" i="34"/>
  <c r="D202" i="34"/>
  <c r="P201" i="34"/>
  <c r="L201" i="34"/>
  <c r="D201" i="34"/>
  <c r="P200" i="34"/>
  <c r="L200" i="34"/>
  <c r="D200" i="34"/>
  <c r="P199" i="34"/>
  <c r="L199" i="34"/>
  <c r="D199" i="34"/>
  <c r="P198" i="34"/>
  <c r="L198" i="34"/>
  <c r="D198" i="34"/>
  <c r="P197" i="34"/>
  <c r="L197" i="34"/>
  <c r="D197" i="34"/>
  <c r="P196" i="34"/>
  <c r="L196" i="34"/>
  <c r="D196" i="34"/>
  <c r="P195" i="34"/>
  <c r="L195" i="34"/>
  <c r="D195" i="34"/>
  <c r="P194" i="34"/>
  <c r="L194" i="34"/>
  <c r="D194" i="34"/>
  <c r="P193" i="34"/>
  <c r="L193" i="34"/>
  <c r="D193" i="34"/>
  <c r="P192" i="34"/>
  <c r="L192" i="34"/>
  <c r="D192" i="34"/>
  <c r="P191" i="34"/>
  <c r="L191" i="34"/>
  <c r="D191" i="34"/>
  <c r="P190" i="34"/>
  <c r="L190" i="34"/>
  <c r="D190" i="34"/>
  <c r="P189" i="34"/>
  <c r="L189" i="34"/>
  <c r="D189" i="34"/>
  <c r="P188" i="34"/>
  <c r="L188" i="34"/>
  <c r="D188" i="34"/>
  <c r="P187" i="34"/>
  <c r="L187" i="34"/>
  <c r="D187" i="34"/>
  <c r="P186" i="34"/>
  <c r="L186" i="34"/>
  <c r="D186" i="34"/>
  <c r="P185" i="34"/>
  <c r="L185" i="34"/>
  <c r="R445" i="34"/>
  <c r="N429" i="34"/>
  <c r="K395" i="34"/>
  <c r="P386" i="34"/>
  <c r="O369" i="34"/>
  <c r="D361" i="34"/>
  <c r="M354" i="34"/>
  <c r="Q341" i="34"/>
  <c r="I335" i="34"/>
  <c r="N329" i="34"/>
  <c r="J326" i="34"/>
  <c r="R316" i="34"/>
  <c r="M312" i="34"/>
  <c r="C310" i="34"/>
  <c r="E310" i="34" s="1"/>
  <c r="I308" i="34"/>
  <c r="M307" i="34"/>
  <c r="Q306" i="34"/>
  <c r="I304" i="34"/>
  <c r="M303" i="34"/>
  <c r="Q302" i="34"/>
  <c r="P300" i="34"/>
  <c r="N299" i="34"/>
  <c r="D299" i="34"/>
  <c r="M298" i="34"/>
  <c r="L297" i="34"/>
  <c r="J296" i="34"/>
  <c r="J295" i="34"/>
  <c r="N294" i="34"/>
  <c r="R293" i="34"/>
  <c r="J293" i="34"/>
  <c r="N292" i="34"/>
  <c r="R291" i="34"/>
  <c r="J291" i="34"/>
  <c r="N290" i="34"/>
  <c r="R289" i="34"/>
  <c r="J289" i="34"/>
  <c r="N288" i="34"/>
  <c r="R287" i="34"/>
  <c r="J287" i="34"/>
  <c r="N286" i="34"/>
  <c r="R285" i="34"/>
  <c r="J285" i="34"/>
  <c r="N284" i="34"/>
  <c r="R283" i="34"/>
  <c r="J283" i="34"/>
  <c r="N282" i="34"/>
  <c r="R281" i="34"/>
  <c r="J281" i="34"/>
  <c r="N280" i="34"/>
  <c r="R279" i="34"/>
  <c r="J279" i="34"/>
  <c r="N278" i="34"/>
  <c r="R277" i="34"/>
  <c r="J277" i="34"/>
  <c r="N276" i="34"/>
  <c r="R275" i="34"/>
  <c r="J275" i="34"/>
  <c r="N274" i="34"/>
  <c r="R273" i="34"/>
  <c r="J273" i="34"/>
  <c r="N272" i="34"/>
  <c r="R271" i="34"/>
  <c r="J271" i="34"/>
  <c r="N270" i="34"/>
  <c r="R269" i="34"/>
  <c r="J269" i="34"/>
  <c r="N268" i="34"/>
  <c r="R267" i="34"/>
  <c r="J267" i="34"/>
  <c r="N266" i="34"/>
  <c r="R265" i="34"/>
  <c r="J265" i="34"/>
  <c r="N264" i="34"/>
  <c r="R263" i="34"/>
  <c r="J263" i="34"/>
  <c r="N262" i="34"/>
  <c r="R261" i="34"/>
  <c r="J261" i="34"/>
  <c r="N260" i="34"/>
  <c r="R259" i="34"/>
  <c r="J259" i="34"/>
  <c r="N258" i="34"/>
  <c r="R257" i="34"/>
  <c r="J257" i="34"/>
  <c r="N256" i="34"/>
  <c r="R255" i="34"/>
  <c r="J255" i="34"/>
  <c r="N254" i="34"/>
  <c r="R253" i="34"/>
  <c r="J253" i="34"/>
  <c r="N252" i="34"/>
  <c r="R251" i="34"/>
  <c r="J251" i="34"/>
  <c r="N250" i="34"/>
  <c r="R249" i="34"/>
  <c r="J249" i="34"/>
  <c r="N248" i="34"/>
  <c r="R247" i="34"/>
  <c r="J247" i="34"/>
  <c r="N246" i="34"/>
  <c r="R245" i="34"/>
  <c r="J245" i="34"/>
  <c r="N244" i="34"/>
  <c r="R243" i="34"/>
  <c r="J243" i="34"/>
  <c r="N242" i="34"/>
  <c r="R241" i="34"/>
  <c r="J241" i="34"/>
  <c r="N240" i="34"/>
  <c r="R239" i="34"/>
  <c r="J239" i="34"/>
  <c r="N238" i="34"/>
  <c r="R237" i="34"/>
  <c r="J237" i="34"/>
  <c r="N236" i="34"/>
  <c r="R235" i="34"/>
  <c r="J235" i="34"/>
  <c r="N234" i="34"/>
  <c r="R233" i="34"/>
  <c r="J233" i="34"/>
  <c r="N232" i="34"/>
  <c r="R231" i="34"/>
  <c r="J231" i="34"/>
  <c r="N230" i="34"/>
  <c r="R229" i="34"/>
  <c r="J229" i="34"/>
  <c r="N228" i="34"/>
  <c r="R227" i="34"/>
  <c r="J227" i="34"/>
  <c r="N226" i="34"/>
  <c r="R225" i="34"/>
  <c r="J225" i="34"/>
  <c r="N224" i="34"/>
  <c r="R223" i="34"/>
  <c r="J223" i="34"/>
  <c r="N222" i="34"/>
  <c r="R221" i="34"/>
  <c r="J221" i="34"/>
  <c r="N220" i="34"/>
  <c r="R219" i="34"/>
  <c r="J219" i="34"/>
  <c r="N218" i="34"/>
  <c r="R217" i="34"/>
  <c r="J217" i="34"/>
  <c r="N216" i="34"/>
  <c r="R215" i="34"/>
  <c r="J215" i="34"/>
  <c r="N214" i="34"/>
  <c r="R213" i="34"/>
  <c r="J213" i="34"/>
  <c r="N212" i="34"/>
  <c r="R211" i="34"/>
  <c r="J211" i="34"/>
  <c r="N210" i="34"/>
  <c r="R209" i="34"/>
  <c r="J209" i="34"/>
  <c r="N208" i="34"/>
  <c r="R207" i="34"/>
  <c r="J207" i="34"/>
  <c r="N206" i="34"/>
  <c r="R205" i="34"/>
  <c r="J205" i="34"/>
  <c r="N204" i="34"/>
  <c r="R203" i="34"/>
  <c r="J203" i="34"/>
  <c r="N202" i="34"/>
  <c r="R201" i="34"/>
  <c r="J201" i="34"/>
  <c r="N200" i="34"/>
  <c r="R199" i="34"/>
  <c r="J199" i="34"/>
  <c r="N198" i="34"/>
  <c r="R197" i="34"/>
  <c r="J197" i="34"/>
  <c r="N196" i="34"/>
  <c r="R195" i="34"/>
  <c r="J195" i="34"/>
  <c r="N194" i="34"/>
  <c r="R193" i="34"/>
  <c r="J193" i="34"/>
  <c r="N192" i="34"/>
  <c r="R191" i="34"/>
  <c r="J191" i="34"/>
  <c r="N190" i="34"/>
  <c r="R189" i="34"/>
  <c r="J189" i="34"/>
  <c r="N188" i="34"/>
  <c r="R187" i="34"/>
  <c r="J187" i="34"/>
  <c r="N186" i="34"/>
  <c r="R185" i="34"/>
  <c r="J185" i="34"/>
  <c r="C185" i="34"/>
  <c r="E185" i="34" s="1"/>
  <c r="R184" i="34"/>
  <c r="L184" i="34"/>
  <c r="P183" i="34"/>
  <c r="K183" i="34"/>
  <c r="O182" i="34"/>
  <c r="J182" i="34"/>
  <c r="D182" i="34"/>
  <c r="N181" i="34"/>
  <c r="C181" i="34"/>
  <c r="E181" i="34" s="1"/>
  <c r="R180" i="34"/>
  <c r="L180" i="34"/>
  <c r="P179" i="34"/>
  <c r="K179" i="34"/>
  <c r="O178" i="34"/>
  <c r="J178" i="34"/>
  <c r="D178" i="34"/>
  <c r="N177" i="34"/>
  <c r="C177" i="34"/>
  <c r="E177" i="34" s="1"/>
  <c r="R176" i="34"/>
  <c r="L176" i="34"/>
  <c r="P175" i="34"/>
  <c r="K175" i="34"/>
  <c r="O174" i="34"/>
  <c r="J174" i="34"/>
  <c r="D174" i="34"/>
  <c r="N173" i="34"/>
  <c r="C173" i="34"/>
  <c r="E173" i="34" s="1"/>
  <c r="R172" i="34"/>
  <c r="L172" i="34"/>
  <c r="P171" i="34"/>
  <c r="K171" i="34"/>
  <c r="O170" i="34"/>
  <c r="J170" i="34"/>
  <c r="D170" i="34"/>
  <c r="N169" i="34"/>
  <c r="C169" i="34"/>
  <c r="E169" i="34" s="1"/>
  <c r="R168" i="34"/>
  <c r="L168" i="34"/>
  <c r="P167" i="34"/>
  <c r="K167" i="34"/>
  <c r="O166" i="34"/>
  <c r="J166" i="34"/>
  <c r="D166" i="34"/>
  <c r="N165" i="34"/>
  <c r="C165" i="34"/>
  <c r="E165" i="34" s="1"/>
  <c r="R164" i="34"/>
  <c r="L164" i="34"/>
  <c r="P163" i="34"/>
  <c r="K163" i="34"/>
  <c r="O162" i="34"/>
  <c r="J162" i="34"/>
  <c r="D162" i="34"/>
  <c r="N161" i="34"/>
  <c r="C161" i="34"/>
  <c r="E161" i="34" s="1"/>
  <c r="R160" i="34"/>
  <c r="L160" i="34"/>
  <c r="P159" i="34"/>
  <c r="K159" i="34"/>
  <c r="O158" i="34"/>
  <c r="J158" i="34"/>
  <c r="D158" i="34"/>
  <c r="N157" i="34"/>
  <c r="C157" i="34"/>
  <c r="E157" i="34" s="1"/>
  <c r="R156" i="34"/>
  <c r="L156" i="34"/>
  <c r="P155" i="34"/>
  <c r="K155" i="34"/>
  <c r="O154" i="34"/>
  <c r="J154" i="34"/>
  <c r="D154" i="34"/>
  <c r="N153" i="34"/>
  <c r="C153" i="34"/>
  <c r="E153" i="34" s="1"/>
  <c r="R152" i="34"/>
  <c r="L152" i="34"/>
  <c r="P151" i="34"/>
  <c r="K151" i="34"/>
  <c r="O150" i="34"/>
  <c r="J150" i="34"/>
  <c r="D150" i="34"/>
  <c r="N149" i="34"/>
  <c r="C149" i="34"/>
  <c r="E149" i="34" s="1"/>
  <c r="R148" i="34"/>
  <c r="L148" i="34"/>
  <c r="P147" i="34"/>
  <c r="K147" i="34"/>
  <c r="O146" i="34"/>
  <c r="J146" i="34"/>
  <c r="D146" i="34"/>
  <c r="N145" i="34"/>
  <c r="C145" i="34"/>
  <c r="E145" i="34" s="1"/>
  <c r="R144" i="34"/>
  <c r="L144" i="34"/>
  <c r="P143" i="34"/>
  <c r="K143" i="34"/>
  <c r="O142" i="34"/>
  <c r="J142" i="34"/>
  <c r="D142" i="34"/>
  <c r="N141" i="34"/>
  <c r="C141" i="34"/>
  <c r="E141" i="34" s="1"/>
  <c r="R140" i="34"/>
  <c r="L140" i="34"/>
  <c r="P139" i="34"/>
  <c r="K139" i="34"/>
  <c r="O138" i="34"/>
  <c r="J138" i="34"/>
  <c r="D138" i="34"/>
  <c r="N137" i="34"/>
  <c r="C137" i="34"/>
  <c r="E137" i="34" s="1"/>
  <c r="R136" i="34"/>
  <c r="L136" i="34"/>
  <c r="P135" i="34"/>
  <c r="K135" i="34"/>
  <c r="O134" i="34"/>
  <c r="J134" i="34"/>
  <c r="D134" i="34"/>
  <c r="N133" i="34"/>
  <c r="C133" i="34"/>
  <c r="E133" i="34" s="1"/>
  <c r="R132" i="34"/>
  <c r="L132" i="34"/>
  <c r="P131" i="34"/>
  <c r="K131" i="34"/>
  <c r="O130" i="34"/>
  <c r="J130" i="34"/>
  <c r="D130" i="34"/>
  <c r="N129" i="34"/>
  <c r="C129" i="34"/>
  <c r="E129" i="34" s="1"/>
  <c r="R128" i="34"/>
  <c r="L128" i="34"/>
  <c r="P127" i="34"/>
  <c r="K127" i="34"/>
  <c r="O126" i="34"/>
  <c r="J126" i="34"/>
  <c r="D126" i="34"/>
  <c r="N125" i="34"/>
  <c r="C125" i="34"/>
  <c r="E125" i="34" s="1"/>
  <c r="R124" i="34"/>
  <c r="L124" i="34"/>
  <c r="P123" i="34"/>
  <c r="K123" i="34"/>
  <c r="O122" i="34"/>
  <c r="J122" i="34"/>
  <c r="D122" i="34"/>
  <c r="N121" i="34"/>
  <c r="C121" i="34"/>
  <c r="E121" i="34" s="1"/>
  <c r="R120" i="34"/>
  <c r="L120" i="34"/>
  <c r="P119" i="34"/>
  <c r="K119" i="34"/>
  <c r="O118" i="34"/>
  <c r="J118" i="34"/>
  <c r="D118" i="34"/>
  <c r="N117" i="34"/>
  <c r="C117" i="34"/>
  <c r="E117" i="34" s="1"/>
  <c r="R116" i="34"/>
  <c r="L116" i="34"/>
  <c r="P115" i="34"/>
  <c r="K115" i="34"/>
  <c r="O114" i="34"/>
  <c r="J114" i="34"/>
  <c r="D114" i="34"/>
  <c r="N113" i="34"/>
  <c r="C113" i="34"/>
  <c r="E113" i="34" s="1"/>
  <c r="R112" i="34"/>
  <c r="L112" i="34"/>
  <c r="P111" i="34"/>
  <c r="K111" i="34"/>
  <c r="O110" i="34"/>
  <c r="J110" i="34"/>
  <c r="D110" i="34"/>
  <c r="N109" i="34"/>
  <c r="C109" i="34"/>
  <c r="E109" i="34" s="1"/>
  <c r="R108" i="34"/>
  <c r="L108" i="34"/>
  <c r="P107" i="34"/>
  <c r="K107" i="34"/>
  <c r="P106" i="34"/>
  <c r="L106" i="34"/>
  <c r="D106" i="34"/>
  <c r="P105" i="34"/>
  <c r="L105" i="34"/>
  <c r="D105" i="34"/>
  <c r="P104" i="34"/>
  <c r="L104" i="34"/>
  <c r="D104" i="34"/>
  <c r="P103" i="34"/>
  <c r="L103" i="34"/>
  <c r="D103" i="34"/>
  <c r="P102" i="34"/>
  <c r="L102" i="34"/>
  <c r="D102" i="34"/>
  <c r="P101" i="34"/>
  <c r="L101" i="34"/>
  <c r="D101" i="34"/>
  <c r="P100" i="34"/>
  <c r="L100" i="34"/>
  <c r="D100" i="34"/>
  <c r="P99" i="34"/>
  <c r="L99" i="34"/>
  <c r="D99" i="34"/>
  <c r="P98" i="34"/>
  <c r="L98" i="34"/>
  <c r="D98" i="34"/>
  <c r="P97" i="34"/>
  <c r="L97" i="34"/>
  <c r="D97" i="34"/>
  <c r="P96" i="34"/>
  <c r="L96" i="34"/>
  <c r="D96" i="34"/>
  <c r="P95" i="34"/>
  <c r="L95" i="34"/>
  <c r="D95" i="34"/>
  <c r="P94" i="34"/>
  <c r="L94" i="34"/>
  <c r="D94" i="34"/>
  <c r="P93" i="34"/>
  <c r="L93" i="34"/>
  <c r="D93" i="34"/>
  <c r="P92" i="34"/>
  <c r="L92" i="34"/>
  <c r="D92" i="34"/>
  <c r="P91" i="34"/>
  <c r="L91" i="34"/>
  <c r="D91" i="34"/>
  <c r="P90" i="34"/>
  <c r="L90" i="34"/>
  <c r="D90" i="34"/>
  <c r="P89" i="34"/>
  <c r="L89" i="34"/>
  <c r="D89" i="34"/>
  <c r="P88" i="34"/>
  <c r="L88" i="34"/>
  <c r="D88" i="34"/>
  <c r="P87" i="34"/>
  <c r="L87" i="34"/>
  <c r="D87" i="34"/>
  <c r="P86" i="34"/>
  <c r="L86" i="34"/>
  <c r="D86" i="34"/>
  <c r="P85" i="34"/>
  <c r="L85" i="34"/>
  <c r="D85" i="34"/>
  <c r="P84" i="34"/>
  <c r="L84" i="34"/>
  <c r="D84" i="34"/>
  <c r="P83" i="34"/>
  <c r="L83" i="34"/>
  <c r="D83" i="34"/>
  <c r="P82" i="34"/>
  <c r="L82" i="34"/>
  <c r="D82" i="34"/>
  <c r="P81" i="34"/>
  <c r="L81" i="34"/>
  <c r="D81" i="34"/>
  <c r="P80" i="34"/>
  <c r="L80" i="34"/>
  <c r="D80" i="34"/>
  <c r="P79" i="34"/>
  <c r="L79" i="34"/>
  <c r="D79" i="34"/>
  <c r="P78" i="34"/>
  <c r="L78" i="34"/>
  <c r="D78" i="34"/>
  <c r="P77" i="34"/>
  <c r="L77" i="34"/>
  <c r="D77" i="34"/>
  <c r="P76" i="34"/>
  <c r="L76" i="34"/>
  <c r="D76" i="34"/>
  <c r="P75" i="34"/>
  <c r="L75" i="34"/>
  <c r="D75" i="34"/>
  <c r="P74" i="34"/>
  <c r="L74" i="34"/>
  <c r="D74" i="34"/>
  <c r="P73" i="34"/>
  <c r="L73" i="34"/>
  <c r="D73" i="34"/>
  <c r="P72" i="34"/>
  <c r="L72" i="34"/>
  <c r="D72" i="34"/>
  <c r="P71" i="34"/>
  <c r="L71" i="34"/>
  <c r="D71" i="34"/>
  <c r="P70" i="34"/>
  <c r="L70" i="34"/>
  <c r="D70" i="34"/>
  <c r="P69" i="34"/>
  <c r="L69" i="34"/>
  <c r="D69" i="34"/>
  <c r="P68" i="34"/>
  <c r="L68" i="34"/>
  <c r="D68" i="34"/>
  <c r="P67" i="34"/>
  <c r="L67" i="34"/>
  <c r="D67" i="34"/>
  <c r="P66" i="34"/>
  <c r="L66" i="34"/>
  <c r="D66" i="34"/>
  <c r="P65" i="34"/>
  <c r="L65" i="34"/>
  <c r="D65" i="34"/>
  <c r="P64" i="34"/>
  <c r="L64" i="34"/>
  <c r="D64" i="34"/>
  <c r="P63" i="34"/>
  <c r="L63" i="34"/>
  <c r="D63" i="34"/>
  <c r="P62" i="34"/>
  <c r="L62" i="34"/>
  <c r="D62" i="34"/>
  <c r="P61" i="34"/>
  <c r="L61" i="34"/>
  <c r="D61" i="34"/>
  <c r="P60" i="34"/>
  <c r="L60" i="34"/>
  <c r="D60" i="34"/>
  <c r="P59" i="34"/>
  <c r="L59" i="34"/>
  <c r="D59" i="34"/>
  <c r="P58" i="34"/>
  <c r="L58" i="34"/>
  <c r="D58" i="34"/>
  <c r="P57" i="34"/>
  <c r="L57" i="34"/>
  <c r="D57" i="34"/>
  <c r="P56" i="34"/>
  <c r="L56" i="34"/>
  <c r="D56" i="34"/>
  <c r="P55" i="34"/>
  <c r="L55" i="34"/>
  <c r="D55" i="34"/>
  <c r="P54" i="34"/>
  <c r="L54" i="34"/>
  <c r="D54" i="34"/>
  <c r="P53" i="34"/>
  <c r="L53" i="34"/>
  <c r="D53" i="34"/>
  <c r="P52" i="34"/>
  <c r="L52" i="34"/>
  <c r="D52" i="34"/>
  <c r="P51" i="34"/>
  <c r="L51" i="34"/>
  <c r="D51" i="34"/>
  <c r="P50" i="34"/>
  <c r="L50" i="34"/>
  <c r="D50" i="34"/>
  <c r="P49" i="34"/>
  <c r="L49" i="34"/>
  <c r="D49" i="34"/>
  <c r="P48" i="34"/>
  <c r="L48" i="34"/>
  <c r="D48" i="34"/>
  <c r="P47" i="34"/>
  <c r="L47" i="34"/>
  <c r="D47" i="34"/>
  <c r="P46" i="34"/>
  <c r="L46" i="34"/>
  <c r="D46" i="34"/>
  <c r="P45" i="34"/>
  <c r="L45" i="34"/>
  <c r="D45" i="34"/>
  <c r="P44" i="34"/>
  <c r="L44" i="34"/>
  <c r="D44" i="34"/>
  <c r="P43" i="34"/>
  <c r="L43" i="34"/>
  <c r="D43" i="34"/>
  <c r="P42" i="34"/>
  <c r="L42" i="34"/>
  <c r="D42" i="34"/>
  <c r="P41" i="34"/>
  <c r="L41" i="34"/>
  <c r="D41" i="34"/>
  <c r="P40" i="34"/>
  <c r="L40" i="34"/>
  <c r="D40" i="34"/>
  <c r="P39" i="34"/>
  <c r="L39" i="34"/>
  <c r="D39" i="34"/>
  <c r="P38" i="34"/>
  <c r="L38" i="34"/>
  <c r="D38" i="34"/>
  <c r="P37" i="34"/>
  <c r="L37" i="34"/>
  <c r="D37" i="34"/>
  <c r="P36" i="34"/>
  <c r="L36" i="34"/>
  <c r="D36" i="34"/>
  <c r="P35" i="34"/>
  <c r="L35" i="34"/>
  <c r="D35" i="34"/>
  <c r="P34" i="34"/>
  <c r="L34" i="34"/>
  <c r="D34" i="34"/>
  <c r="P33" i="34"/>
  <c r="L33" i="34"/>
  <c r="D33" i="34"/>
  <c r="P32" i="34"/>
  <c r="L32" i="34"/>
  <c r="D32" i="34"/>
  <c r="P31" i="34"/>
  <c r="L31" i="34"/>
  <c r="D31" i="34"/>
  <c r="P30" i="34"/>
  <c r="L30" i="34"/>
  <c r="D30" i="34"/>
  <c r="P29" i="34"/>
  <c r="L29" i="34"/>
  <c r="D29" i="34"/>
  <c r="P28" i="34"/>
  <c r="L28" i="34"/>
  <c r="D28" i="34"/>
  <c r="P27" i="34"/>
  <c r="L27" i="34"/>
  <c r="D27" i="34"/>
  <c r="P26" i="34"/>
  <c r="L26" i="34"/>
  <c r="D26" i="34"/>
  <c r="P25" i="34"/>
  <c r="L25" i="34"/>
  <c r="D25" i="34"/>
  <c r="P24" i="34"/>
  <c r="L24" i="34"/>
  <c r="D24" i="34"/>
  <c r="P23" i="34"/>
  <c r="L23" i="34"/>
  <c r="D23" i="34"/>
  <c r="P22" i="34"/>
  <c r="L22" i="34"/>
  <c r="D22" i="34"/>
  <c r="P21" i="34"/>
  <c r="L21" i="34"/>
  <c r="D21" i="34"/>
  <c r="P20" i="34"/>
  <c r="L20" i="34"/>
  <c r="D20" i="34"/>
  <c r="P19" i="34"/>
  <c r="L19" i="34"/>
  <c r="D19" i="34"/>
  <c r="P18" i="34"/>
  <c r="L18" i="34"/>
  <c r="D18" i="34"/>
  <c r="P17" i="34"/>
  <c r="L17" i="34"/>
  <c r="D17" i="34"/>
  <c r="P16" i="34"/>
  <c r="L16" i="34"/>
  <c r="D16" i="34"/>
  <c r="P15" i="34"/>
  <c r="L15" i="34"/>
  <c r="D15" i="34"/>
  <c r="P14" i="34"/>
  <c r="L14" i="34"/>
  <c r="D14" i="34"/>
  <c r="P13" i="34"/>
  <c r="L13" i="34"/>
  <c r="D13" i="34"/>
  <c r="P12" i="34"/>
  <c r="L12" i="34"/>
  <c r="D12" i="34"/>
  <c r="P11" i="34"/>
  <c r="L11" i="34"/>
  <c r="D11" i="34"/>
  <c r="P10" i="34"/>
  <c r="L10" i="34"/>
  <c r="D10" i="34"/>
  <c r="P9" i="34"/>
  <c r="L9" i="34"/>
  <c r="D9" i="34"/>
  <c r="P8" i="34"/>
  <c r="L8" i="34"/>
  <c r="D8" i="34"/>
  <c r="P7" i="34"/>
  <c r="L7" i="34"/>
  <c r="D7" i="34"/>
  <c r="R6" i="34"/>
  <c r="N6" i="34"/>
  <c r="J6" i="34"/>
  <c r="R53" i="52"/>
  <c r="D53" i="52"/>
  <c r="R52" i="52"/>
  <c r="D52" i="52"/>
  <c r="BC51" i="52"/>
  <c r="AE51" i="52"/>
  <c r="Q51" i="52"/>
  <c r="C51" i="52"/>
  <c r="AD50" i="52"/>
  <c r="P50" i="52"/>
  <c r="BE49" i="52"/>
  <c r="AC49" i="52"/>
  <c r="E49" i="52"/>
  <c r="BD48" i="52"/>
  <c r="R48" i="52"/>
  <c r="D48" i="52"/>
  <c r="BC47" i="52"/>
  <c r="AE47" i="52"/>
  <c r="Q47" i="52"/>
  <c r="C47" i="52"/>
  <c r="AD46" i="52"/>
  <c r="P46" i="52"/>
  <c r="BE45" i="52"/>
  <c r="AC45" i="52"/>
  <c r="E45" i="52"/>
  <c r="BD44" i="52"/>
  <c r="R44" i="52"/>
  <c r="D44" i="52"/>
  <c r="BC43" i="52"/>
  <c r="AE43" i="52"/>
  <c r="Q43" i="52"/>
  <c r="C43" i="52"/>
  <c r="AD42" i="52"/>
  <c r="P42" i="52"/>
  <c r="BE41" i="52"/>
  <c r="AC41" i="52"/>
  <c r="E41" i="52"/>
  <c r="BD40" i="52"/>
  <c r="R40" i="52"/>
  <c r="D40" i="52"/>
  <c r="BC39" i="52"/>
  <c r="AE39" i="52"/>
  <c r="Q39" i="52"/>
  <c r="C39" i="52"/>
  <c r="AD38" i="52"/>
  <c r="P38" i="52"/>
  <c r="BE37" i="52"/>
  <c r="AC37" i="52"/>
  <c r="E37" i="52"/>
  <c r="BD36" i="52"/>
  <c r="R36" i="52"/>
  <c r="D36" i="52"/>
  <c r="BC35" i="52"/>
  <c r="AE35" i="52"/>
  <c r="Q35" i="52"/>
  <c r="C35" i="52"/>
  <c r="AD34" i="52"/>
  <c r="P34" i="52"/>
  <c r="BE33" i="52"/>
  <c r="AC33" i="52"/>
  <c r="E33" i="52"/>
  <c r="BD32" i="52"/>
  <c r="R32" i="52"/>
  <c r="D32" i="52"/>
  <c r="BC31" i="52"/>
  <c r="AE31" i="52"/>
  <c r="Q31" i="52"/>
  <c r="R469" i="34"/>
  <c r="L441" i="34"/>
  <c r="R426" i="34"/>
  <c r="J415" i="34"/>
  <c r="D393" i="34"/>
  <c r="N384" i="34"/>
  <c r="C376" i="34"/>
  <c r="E376" i="34" s="1"/>
  <c r="L367" i="34"/>
  <c r="I359" i="34"/>
  <c r="M346" i="34"/>
  <c r="Q333" i="34"/>
  <c r="R328" i="34"/>
  <c r="N325" i="34"/>
  <c r="J322" i="34"/>
  <c r="N313" i="34"/>
  <c r="R310" i="34"/>
  <c r="Q309" i="34"/>
  <c r="D308" i="34"/>
  <c r="L306" i="34"/>
  <c r="P305" i="34"/>
  <c r="D304" i="34"/>
  <c r="L302" i="34"/>
  <c r="P301" i="34"/>
  <c r="L300" i="34"/>
  <c r="J299" i="34"/>
  <c r="I298" i="34"/>
  <c r="R297" i="34"/>
  <c r="Q296" i="34"/>
  <c r="P295" i="34"/>
  <c r="K294" i="34"/>
  <c r="C294" i="34"/>
  <c r="E294" i="34" s="1"/>
  <c r="O293" i="34"/>
  <c r="K292" i="34"/>
  <c r="C292" i="34"/>
  <c r="E292" i="34" s="1"/>
  <c r="O291" i="34"/>
  <c r="K290" i="34"/>
  <c r="C290" i="34"/>
  <c r="E290" i="34" s="1"/>
  <c r="O289" i="34"/>
  <c r="K288" i="34"/>
  <c r="C288" i="34"/>
  <c r="E288" i="34" s="1"/>
  <c r="O287" i="34"/>
  <c r="K286" i="34"/>
  <c r="C286" i="34"/>
  <c r="E286" i="34" s="1"/>
  <c r="O285" i="34"/>
  <c r="K284" i="34"/>
  <c r="C284" i="34"/>
  <c r="E284" i="34" s="1"/>
  <c r="O283" i="34"/>
  <c r="K282" i="34"/>
  <c r="C282" i="34"/>
  <c r="E282" i="34" s="1"/>
  <c r="O281" i="34"/>
  <c r="K280" i="34"/>
  <c r="C280" i="34"/>
  <c r="E280" i="34" s="1"/>
  <c r="O279" i="34"/>
  <c r="K278" i="34"/>
  <c r="C278" i="34"/>
  <c r="E278" i="34" s="1"/>
  <c r="O277" i="34"/>
  <c r="K276" i="34"/>
  <c r="C276" i="34"/>
  <c r="E276" i="34" s="1"/>
  <c r="O275" i="34"/>
  <c r="K274" i="34"/>
  <c r="C274" i="34"/>
  <c r="E274" i="34" s="1"/>
  <c r="O273" i="34"/>
  <c r="K272" i="34"/>
  <c r="C272" i="34"/>
  <c r="E272" i="34" s="1"/>
  <c r="O271" i="34"/>
  <c r="K270" i="34"/>
  <c r="C270" i="34"/>
  <c r="E270" i="34" s="1"/>
  <c r="O269" i="34"/>
  <c r="K268" i="34"/>
  <c r="C268" i="34"/>
  <c r="E268" i="34" s="1"/>
  <c r="O267" i="34"/>
  <c r="K266" i="34"/>
  <c r="C266" i="34"/>
  <c r="E266" i="34" s="1"/>
  <c r="O265" i="34"/>
  <c r="K264" i="34"/>
  <c r="C264" i="34"/>
  <c r="E264" i="34" s="1"/>
  <c r="O263" i="34"/>
  <c r="K262" i="34"/>
  <c r="C262" i="34"/>
  <c r="E262" i="34" s="1"/>
  <c r="O261" i="34"/>
  <c r="K260" i="34"/>
  <c r="C260" i="34"/>
  <c r="E260" i="34" s="1"/>
  <c r="O259" i="34"/>
  <c r="K258" i="34"/>
  <c r="C258" i="34"/>
  <c r="E258" i="34" s="1"/>
  <c r="O257" i="34"/>
  <c r="K256" i="34"/>
  <c r="C256" i="34"/>
  <c r="E256" i="34" s="1"/>
  <c r="O255" i="34"/>
  <c r="K254" i="34"/>
  <c r="C254" i="34"/>
  <c r="E254" i="34" s="1"/>
  <c r="O253" i="34"/>
  <c r="K252" i="34"/>
  <c r="C252" i="34"/>
  <c r="E252" i="34" s="1"/>
  <c r="O251" i="34"/>
  <c r="K250" i="34"/>
  <c r="C250" i="34"/>
  <c r="E250" i="34" s="1"/>
  <c r="O249" i="34"/>
  <c r="K248" i="34"/>
  <c r="C248" i="34"/>
  <c r="E248" i="34" s="1"/>
  <c r="O247" i="34"/>
  <c r="K246" i="34"/>
  <c r="C246" i="34"/>
  <c r="E246" i="34" s="1"/>
  <c r="O245" i="34"/>
  <c r="K244" i="34"/>
  <c r="C244" i="34"/>
  <c r="E244" i="34" s="1"/>
  <c r="O243" i="34"/>
  <c r="K242" i="34"/>
  <c r="C242" i="34"/>
  <c r="E242" i="34" s="1"/>
  <c r="O241" i="34"/>
  <c r="K240" i="34"/>
  <c r="C240" i="34"/>
  <c r="E240" i="34" s="1"/>
  <c r="O239" i="34"/>
  <c r="K238" i="34"/>
  <c r="C238" i="34"/>
  <c r="E238" i="34" s="1"/>
  <c r="O237" i="34"/>
  <c r="K236" i="34"/>
  <c r="C236" i="34"/>
  <c r="E236" i="34" s="1"/>
  <c r="O235" i="34"/>
  <c r="K234" i="34"/>
  <c r="C234" i="34"/>
  <c r="E234" i="34" s="1"/>
  <c r="O233" i="34"/>
  <c r="K232" i="34"/>
  <c r="C232" i="34"/>
  <c r="E232" i="34" s="1"/>
  <c r="O231" i="34"/>
  <c r="K230" i="34"/>
  <c r="C230" i="34"/>
  <c r="E230" i="34" s="1"/>
  <c r="O229" i="34"/>
  <c r="K228" i="34"/>
  <c r="C228" i="34"/>
  <c r="E228" i="34" s="1"/>
  <c r="O227" i="34"/>
  <c r="K226" i="34"/>
  <c r="C226" i="34"/>
  <c r="E226" i="34" s="1"/>
  <c r="O225" i="34"/>
  <c r="K224" i="34"/>
  <c r="C224" i="34"/>
  <c r="E224" i="34" s="1"/>
  <c r="O223" i="34"/>
  <c r="K222" i="34"/>
  <c r="C222" i="34"/>
  <c r="E222" i="34" s="1"/>
  <c r="O221" i="34"/>
  <c r="K220" i="34"/>
  <c r="C220" i="34"/>
  <c r="E220" i="34" s="1"/>
  <c r="O219" i="34"/>
  <c r="K218" i="34"/>
  <c r="C218" i="34"/>
  <c r="E218" i="34" s="1"/>
  <c r="O217" i="34"/>
  <c r="K216" i="34"/>
  <c r="C216" i="34"/>
  <c r="E216" i="34" s="1"/>
  <c r="O215" i="34"/>
  <c r="K214" i="34"/>
  <c r="C214" i="34"/>
  <c r="E214" i="34" s="1"/>
  <c r="O213" i="34"/>
  <c r="K212" i="34"/>
  <c r="C212" i="34"/>
  <c r="E212" i="34" s="1"/>
  <c r="O211" i="34"/>
  <c r="K210" i="34"/>
  <c r="C210" i="34"/>
  <c r="E210" i="34" s="1"/>
  <c r="O209" i="34"/>
  <c r="K208" i="34"/>
  <c r="C208" i="34"/>
  <c r="E208" i="34" s="1"/>
  <c r="O207" i="34"/>
  <c r="K206" i="34"/>
  <c r="C206" i="34"/>
  <c r="E206" i="34" s="1"/>
  <c r="O205" i="34"/>
  <c r="K204" i="34"/>
  <c r="C204" i="34"/>
  <c r="E204" i="34" s="1"/>
  <c r="O203" i="34"/>
  <c r="K202" i="34"/>
  <c r="C202" i="34"/>
  <c r="E202" i="34" s="1"/>
  <c r="O201" i="34"/>
  <c r="K200" i="34"/>
  <c r="C200" i="34"/>
  <c r="E200" i="34" s="1"/>
  <c r="O199" i="34"/>
  <c r="K198" i="34"/>
  <c r="C198" i="34"/>
  <c r="E198" i="34" s="1"/>
  <c r="O197" i="34"/>
  <c r="K196" i="34"/>
  <c r="C196" i="34"/>
  <c r="E196" i="34" s="1"/>
  <c r="O195" i="34"/>
  <c r="K194" i="34"/>
  <c r="C194" i="34"/>
  <c r="E194" i="34" s="1"/>
  <c r="O193" i="34"/>
  <c r="K192" i="34"/>
  <c r="C192" i="34"/>
  <c r="E192" i="34" s="1"/>
  <c r="O191" i="34"/>
  <c r="K190" i="34"/>
  <c r="C190" i="34"/>
  <c r="E190" i="34" s="1"/>
  <c r="O189" i="34"/>
  <c r="K188" i="34"/>
  <c r="C188" i="34"/>
  <c r="E188" i="34" s="1"/>
  <c r="O187" i="34"/>
  <c r="K186" i="34"/>
  <c r="C186" i="34"/>
  <c r="E186" i="34" s="1"/>
  <c r="O185" i="34"/>
  <c r="P184" i="34"/>
  <c r="K184" i="34"/>
  <c r="O183" i="34"/>
  <c r="J183" i="34"/>
  <c r="D183" i="34"/>
  <c r="N182" i="34"/>
  <c r="C182" i="34"/>
  <c r="E182" i="34" s="1"/>
  <c r="R181" i="34"/>
  <c r="L181" i="34"/>
  <c r="P180" i="34"/>
  <c r="K180" i="34"/>
  <c r="O179" i="34"/>
  <c r="J179" i="34"/>
  <c r="D179" i="34"/>
  <c r="N178" i="34"/>
  <c r="C178" i="34"/>
  <c r="E178" i="34" s="1"/>
  <c r="R177" i="34"/>
  <c r="L177" i="34"/>
  <c r="P176" i="34"/>
  <c r="K176" i="34"/>
  <c r="O175" i="34"/>
  <c r="J175" i="34"/>
  <c r="D175" i="34"/>
  <c r="N174" i="34"/>
  <c r="C174" i="34"/>
  <c r="E174" i="34" s="1"/>
  <c r="R173" i="34"/>
  <c r="L173" i="34"/>
  <c r="P172" i="34"/>
  <c r="K172" i="34"/>
  <c r="O171" i="34"/>
  <c r="J171" i="34"/>
  <c r="D171" i="34"/>
  <c r="N170" i="34"/>
  <c r="C170" i="34"/>
  <c r="E170" i="34" s="1"/>
  <c r="R169" i="34"/>
  <c r="L169" i="34"/>
  <c r="P168" i="34"/>
  <c r="K168" i="34"/>
  <c r="O167" i="34"/>
  <c r="J167" i="34"/>
  <c r="D167" i="34"/>
  <c r="N166" i="34"/>
  <c r="C166" i="34"/>
  <c r="E166" i="34" s="1"/>
  <c r="R165" i="34"/>
  <c r="L165" i="34"/>
  <c r="P164" i="34"/>
  <c r="K164" i="34"/>
  <c r="O163" i="34"/>
  <c r="J163" i="34"/>
  <c r="D163" i="34"/>
  <c r="N162" i="34"/>
  <c r="C162" i="34"/>
  <c r="E162" i="34" s="1"/>
  <c r="R161" i="34"/>
  <c r="L161" i="34"/>
  <c r="P160" i="34"/>
  <c r="K160" i="34"/>
  <c r="O159" i="34"/>
  <c r="J159" i="34"/>
  <c r="D159" i="34"/>
  <c r="N158" i="34"/>
  <c r="C158" i="34"/>
  <c r="E158" i="34" s="1"/>
  <c r="R157" i="34"/>
  <c r="L157" i="34"/>
  <c r="P156" i="34"/>
  <c r="K156" i="34"/>
  <c r="O155" i="34"/>
  <c r="J155" i="34"/>
  <c r="D155" i="34"/>
  <c r="N154" i="34"/>
  <c r="C154" i="34"/>
  <c r="E154" i="34" s="1"/>
  <c r="R153" i="34"/>
  <c r="L153" i="34"/>
  <c r="P152" i="34"/>
  <c r="K152" i="34"/>
  <c r="O151" i="34"/>
  <c r="J151" i="34"/>
  <c r="D151" i="34"/>
  <c r="N150" i="34"/>
  <c r="C150" i="34"/>
  <c r="E150" i="34" s="1"/>
  <c r="R149" i="34"/>
  <c r="L149" i="34"/>
  <c r="P148" i="34"/>
  <c r="K148" i="34"/>
  <c r="O147" i="34"/>
  <c r="J147" i="34"/>
  <c r="D147" i="34"/>
  <c r="N146" i="34"/>
  <c r="C146" i="34"/>
  <c r="E146" i="34" s="1"/>
  <c r="R145" i="34"/>
  <c r="L145" i="34"/>
  <c r="P144" i="34"/>
  <c r="K144" i="34"/>
  <c r="O143" i="34"/>
  <c r="J143" i="34"/>
  <c r="D143" i="34"/>
  <c r="N142" i="34"/>
  <c r="C142" i="34"/>
  <c r="E142" i="34" s="1"/>
  <c r="R141" i="34"/>
  <c r="L141" i="34"/>
  <c r="P140" i="34"/>
  <c r="K140" i="34"/>
  <c r="O139" i="34"/>
  <c r="J139" i="34"/>
  <c r="D139" i="34"/>
  <c r="N138" i="34"/>
  <c r="C138" i="34"/>
  <c r="E138" i="34" s="1"/>
  <c r="R137" i="34"/>
  <c r="L137" i="34"/>
  <c r="P136" i="34"/>
  <c r="K136" i="34"/>
  <c r="O135" i="34"/>
  <c r="J135" i="34"/>
  <c r="D135" i="34"/>
  <c r="N134" i="34"/>
  <c r="C134" i="34"/>
  <c r="E134" i="34" s="1"/>
  <c r="R133" i="34"/>
  <c r="L133" i="34"/>
  <c r="P132" i="34"/>
  <c r="K132" i="34"/>
  <c r="O131" i="34"/>
  <c r="J131" i="34"/>
  <c r="D131" i="34"/>
  <c r="N130" i="34"/>
  <c r="C130" i="34"/>
  <c r="E130" i="34" s="1"/>
  <c r="R129" i="34"/>
  <c r="L129" i="34"/>
  <c r="P128" i="34"/>
  <c r="K128" i="34"/>
  <c r="O127" i="34"/>
  <c r="J127" i="34"/>
  <c r="D127" i="34"/>
  <c r="N126" i="34"/>
  <c r="C126" i="34"/>
  <c r="E126" i="34" s="1"/>
  <c r="R125" i="34"/>
  <c r="L125" i="34"/>
  <c r="P124" i="34"/>
  <c r="K124" i="34"/>
  <c r="O123" i="34"/>
  <c r="J123" i="34"/>
  <c r="D123" i="34"/>
  <c r="N122" i="34"/>
  <c r="C122" i="34"/>
  <c r="E122" i="34" s="1"/>
  <c r="R121" i="34"/>
  <c r="L121" i="34"/>
  <c r="P120" i="34"/>
  <c r="K120" i="34"/>
  <c r="O119" i="34"/>
  <c r="J119" i="34"/>
  <c r="D119" i="34"/>
  <c r="N118" i="34"/>
  <c r="C118" i="34"/>
  <c r="E118" i="34" s="1"/>
  <c r="R117" i="34"/>
  <c r="L117" i="34"/>
  <c r="P116" i="34"/>
  <c r="K116" i="34"/>
  <c r="O115" i="34"/>
  <c r="J115" i="34"/>
  <c r="D115" i="34"/>
  <c r="N114" i="34"/>
  <c r="C114" i="34"/>
  <c r="E114" i="34" s="1"/>
  <c r="R113" i="34"/>
  <c r="L113" i="34"/>
  <c r="P112" i="34"/>
  <c r="K112" i="34"/>
  <c r="O111" i="34"/>
  <c r="J111" i="34"/>
  <c r="D111" i="34"/>
  <c r="N110" i="34"/>
  <c r="C110" i="34"/>
  <c r="E110" i="34" s="1"/>
  <c r="R109" i="34"/>
  <c r="L109" i="34"/>
  <c r="P108" i="34"/>
  <c r="K108" i="34"/>
  <c r="O107" i="34"/>
  <c r="J107" i="34"/>
  <c r="D107" i="34"/>
  <c r="O106" i="34"/>
  <c r="K106" i="34"/>
  <c r="C106" i="34"/>
  <c r="E106" i="34" s="1"/>
  <c r="O105" i="34"/>
  <c r="K105" i="34"/>
  <c r="C105" i="34"/>
  <c r="E105" i="34" s="1"/>
  <c r="O104" i="34"/>
  <c r="K104" i="34"/>
  <c r="C104" i="34"/>
  <c r="E104" i="34" s="1"/>
  <c r="O103" i="34"/>
  <c r="K103" i="34"/>
  <c r="C103" i="34"/>
  <c r="E103" i="34" s="1"/>
  <c r="O102" i="34"/>
  <c r="K102" i="34"/>
  <c r="C102" i="34"/>
  <c r="E102" i="34" s="1"/>
  <c r="O101" i="34"/>
  <c r="K101" i="34"/>
  <c r="C101" i="34"/>
  <c r="E101" i="34" s="1"/>
  <c r="O100" i="34"/>
  <c r="K100" i="34"/>
  <c r="C100" i="34"/>
  <c r="E100" i="34" s="1"/>
  <c r="O99" i="34"/>
  <c r="K99" i="34"/>
  <c r="C99" i="34"/>
  <c r="E99" i="34" s="1"/>
  <c r="O98" i="34"/>
  <c r="K98" i="34"/>
  <c r="C98" i="34"/>
  <c r="E98" i="34" s="1"/>
  <c r="O97" i="34"/>
  <c r="K97" i="34"/>
  <c r="C97" i="34"/>
  <c r="E97" i="34" s="1"/>
  <c r="O96" i="34"/>
  <c r="K96" i="34"/>
  <c r="C96" i="34"/>
  <c r="E96" i="34" s="1"/>
  <c r="O95" i="34"/>
  <c r="K95" i="34"/>
  <c r="C95" i="34"/>
  <c r="E95" i="34" s="1"/>
  <c r="O94" i="34"/>
  <c r="K94" i="34"/>
  <c r="C94" i="34"/>
  <c r="E94" i="34" s="1"/>
  <c r="O93" i="34"/>
  <c r="K93" i="34"/>
  <c r="C93" i="34"/>
  <c r="E93" i="34" s="1"/>
  <c r="O92" i="34"/>
  <c r="K92" i="34"/>
  <c r="C92" i="34"/>
  <c r="E92" i="34" s="1"/>
  <c r="O91" i="34"/>
  <c r="K91" i="34"/>
  <c r="C91" i="34"/>
  <c r="E91" i="34" s="1"/>
  <c r="O90" i="34"/>
  <c r="K90" i="34"/>
  <c r="C90" i="34"/>
  <c r="E90" i="34" s="1"/>
  <c r="O89" i="34"/>
  <c r="K89" i="34"/>
  <c r="C89" i="34"/>
  <c r="E89" i="34" s="1"/>
  <c r="O88" i="34"/>
  <c r="K88" i="34"/>
  <c r="C88" i="34"/>
  <c r="E88" i="34" s="1"/>
  <c r="O87" i="34"/>
  <c r="K87" i="34"/>
  <c r="C87" i="34"/>
  <c r="E87" i="34" s="1"/>
  <c r="O86" i="34"/>
  <c r="K86" i="34"/>
  <c r="C86" i="34"/>
  <c r="E86" i="34" s="1"/>
  <c r="O85" i="34"/>
  <c r="K85" i="34"/>
  <c r="C85" i="34"/>
  <c r="E85" i="34" s="1"/>
  <c r="O84" i="34"/>
  <c r="K84" i="34"/>
  <c r="C84" i="34"/>
  <c r="E84" i="34" s="1"/>
  <c r="O83" i="34"/>
  <c r="K83" i="34"/>
  <c r="C83" i="34"/>
  <c r="E83" i="34" s="1"/>
  <c r="O82" i="34"/>
  <c r="K82" i="34"/>
  <c r="C82" i="34"/>
  <c r="E82" i="34" s="1"/>
  <c r="O81" i="34"/>
  <c r="K81" i="34"/>
  <c r="C81" i="34"/>
  <c r="E81" i="34" s="1"/>
  <c r="O80" i="34"/>
  <c r="K80" i="34"/>
  <c r="C80" i="34"/>
  <c r="E80" i="34" s="1"/>
  <c r="O79" i="34"/>
  <c r="K79" i="34"/>
  <c r="C79" i="34"/>
  <c r="E79" i="34" s="1"/>
  <c r="O78" i="34"/>
  <c r="K78" i="34"/>
  <c r="C78" i="34"/>
  <c r="E78" i="34" s="1"/>
  <c r="O77" i="34"/>
  <c r="K77" i="34"/>
  <c r="C77" i="34"/>
  <c r="E77" i="34" s="1"/>
  <c r="O76" i="34"/>
  <c r="K76" i="34"/>
  <c r="C76" i="34"/>
  <c r="E76" i="34" s="1"/>
  <c r="O75" i="34"/>
  <c r="K75" i="34"/>
  <c r="C75" i="34"/>
  <c r="E75" i="34" s="1"/>
  <c r="O74" i="34"/>
  <c r="K74" i="34"/>
  <c r="C74" i="34"/>
  <c r="E74" i="34" s="1"/>
  <c r="O73" i="34"/>
  <c r="K73" i="34"/>
  <c r="C73" i="34"/>
  <c r="E73" i="34" s="1"/>
  <c r="O72" i="34"/>
  <c r="K72" i="34"/>
  <c r="C72" i="34"/>
  <c r="E72" i="34" s="1"/>
  <c r="O71" i="34"/>
  <c r="K71" i="34"/>
  <c r="C71" i="34"/>
  <c r="E71" i="34" s="1"/>
  <c r="O70" i="34"/>
  <c r="K70" i="34"/>
  <c r="C70" i="34"/>
  <c r="E70" i="34" s="1"/>
  <c r="O69" i="34"/>
  <c r="K69" i="34"/>
  <c r="C69" i="34"/>
  <c r="E69" i="34" s="1"/>
  <c r="O68" i="34"/>
  <c r="K68" i="34"/>
  <c r="C68" i="34"/>
  <c r="E68" i="34" s="1"/>
  <c r="O67" i="34"/>
  <c r="K67" i="34"/>
  <c r="C67" i="34"/>
  <c r="E67" i="34" s="1"/>
  <c r="O66" i="34"/>
  <c r="K66" i="34"/>
  <c r="C66" i="34"/>
  <c r="E66" i="34" s="1"/>
  <c r="O65" i="34"/>
  <c r="K65" i="34"/>
  <c r="C65" i="34"/>
  <c r="E65" i="34" s="1"/>
  <c r="O64" i="34"/>
  <c r="K64" i="34"/>
  <c r="C64" i="34"/>
  <c r="E64" i="34" s="1"/>
  <c r="O63" i="34"/>
  <c r="K63" i="34"/>
  <c r="C63" i="34"/>
  <c r="E63" i="34" s="1"/>
  <c r="O62" i="34"/>
  <c r="K62" i="34"/>
  <c r="C62" i="34"/>
  <c r="E62" i="34" s="1"/>
  <c r="O61" i="34"/>
  <c r="K61" i="34"/>
  <c r="C61" i="34"/>
  <c r="E61" i="34" s="1"/>
  <c r="O60" i="34"/>
  <c r="K60" i="34"/>
  <c r="C60" i="34"/>
  <c r="E60" i="34" s="1"/>
  <c r="O59" i="34"/>
  <c r="K59" i="34"/>
  <c r="C59" i="34"/>
  <c r="E59" i="34" s="1"/>
  <c r="O58" i="34"/>
  <c r="K58" i="34"/>
  <c r="C58" i="34"/>
  <c r="E58" i="34" s="1"/>
  <c r="O57" i="34"/>
  <c r="K57" i="34"/>
  <c r="C57" i="34"/>
  <c r="E57" i="34" s="1"/>
  <c r="O56" i="34"/>
  <c r="K56" i="34"/>
  <c r="C56" i="34"/>
  <c r="E56" i="34" s="1"/>
  <c r="O55" i="34"/>
  <c r="K55" i="34"/>
  <c r="C55" i="34"/>
  <c r="E55" i="34" s="1"/>
  <c r="O54" i="34"/>
  <c r="K54" i="34"/>
  <c r="C54" i="34"/>
  <c r="E54" i="34" s="1"/>
  <c r="O53" i="34"/>
  <c r="K53" i="34"/>
  <c r="C53" i="34"/>
  <c r="E53" i="34" s="1"/>
  <c r="O52" i="34"/>
  <c r="K52" i="34"/>
  <c r="C52" i="34"/>
  <c r="E52" i="34" s="1"/>
  <c r="O51" i="34"/>
  <c r="K51" i="34"/>
  <c r="C51" i="34"/>
  <c r="E51" i="34" s="1"/>
  <c r="O50" i="34"/>
  <c r="K50" i="34"/>
  <c r="C50" i="34"/>
  <c r="E50" i="34" s="1"/>
  <c r="O49" i="34"/>
  <c r="K49" i="34"/>
  <c r="C49" i="34"/>
  <c r="E49" i="34" s="1"/>
  <c r="O48" i="34"/>
  <c r="K48" i="34"/>
  <c r="C48" i="34"/>
  <c r="E48" i="34" s="1"/>
  <c r="O47" i="34"/>
  <c r="K47" i="34"/>
  <c r="C47" i="34"/>
  <c r="E47" i="34" s="1"/>
  <c r="O46" i="34"/>
  <c r="K46" i="34"/>
  <c r="C46" i="34"/>
  <c r="E46" i="34" s="1"/>
  <c r="O45" i="34"/>
  <c r="K45" i="34"/>
  <c r="C45" i="34"/>
  <c r="E45" i="34" s="1"/>
  <c r="O44" i="34"/>
  <c r="K44" i="34"/>
  <c r="C44" i="34"/>
  <c r="E44" i="34" s="1"/>
  <c r="O43" i="34"/>
  <c r="K43" i="34"/>
  <c r="C43" i="34"/>
  <c r="E43" i="34" s="1"/>
  <c r="O42" i="34"/>
  <c r="K42" i="34"/>
  <c r="C42" i="34"/>
  <c r="E42" i="34" s="1"/>
  <c r="O41" i="34"/>
  <c r="K41" i="34"/>
  <c r="C41" i="34"/>
  <c r="E41" i="34" s="1"/>
  <c r="O40" i="34"/>
  <c r="K40" i="34"/>
  <c r="C40" i="34"/>
  <c r="E40" i="34" s="1"/>
  <c r="O39" i="34"/>
  <c r="K39" i="34"/>
  <c r="C39" i="34"/>
  <c r="E39" i="34" s="1"/>
  <c r="O38" i="34"/>
  <c r="K38" i="34"/>
  <c r="C38" i="34"/>
  <c r="E38" i="34" s="1"/>
  <c r="O37" i="34"/>
  <c r="K37" i="34"/>
  <c r="C37" i="34"/>
  <c r="E37" i="34" s="1"/>
  <c r="O36" i="34"/>
  <c r="K36" i="34"/>
  <c r="C36" i="34"/>
  <c r="E36" i="34" s="1"/>
  <c r="O35" i="34"/>
  <c r="K35" i="34"/>
  <c r="C35" i="34"/>
  <c r="E35" i="34" s="1"/>
  <c r="O34" i="34"/>
  <c r="K34" i="34"/>
  <c r="C34" i="34"/>
  <c r="E34" i="34" s="1"/>
  <c r="O33" i="34"/>
  <c r="K33" i="34"/>
  <c r="C33" i="34"/>
  <c r="E33" i="34" s="1"/>
  <c r="O32" i="34"/>
  <c r="K32" i="34"/>
  <c r="C32" i="34"/>
  <c r="E32" i="34" s="1"/>
  <c r="O31" i="34"/>
  <c r="K31" i="34"/>
  <c r="C31" i="34"/>
  <c r="E31" i="34" s="1"/>
  <c r="O30" i="34"/>
  <c r="K30" i="34"/>
  <c r="C30" i="34"/>
  <c r="E30" i="34" s="1"/>
  <c r="O29" i="34"/>
  <c r="K29" i="34"/>
  <c r="C29" i="34"/>
  <c r="E29" i="34" s="1"/>
  <c r="O28" i="34"/>
  <c r="K28" i="34"/>
  <c r="C28" i="34"/>
  <c r="E28" i="34" s="1"/>
  <c r="O27" i="34"/>
  <c r="K27" i="34"/>
  <c r="C27" i="34"/>
  <c r="E27" i="34" s="1"/>
  <c r="O26" i="34"/>
  <c r="K26" i="34"/>
  <c r="C26" i="34"/>
  <c r="E26" i="34" s="1"/>
  <c r="O25" i="34"/>
  <c r="K25" i="34"/>
  <c r="C25" i="34"/>
  <c r="E25" i="34" s="1"/>
  <c r="O24" i="34"/>
  <c r="K24" i="34"/>
  <c r="C24" i="34"/>
  <c r="E24" i="34" s="1"/>
  <c r="O23" i="34"/>
  <c r="K23" i="34"/>
  <c r="C23" i="34"/>
  <c r="E23" i="34" s="1"/>
  <c r="O22" i="34"/>
  <c r="K22" i="34"/>
  <c r="C22" i="34"/>
  <c r="E22" i="34" s="1"/>
  <c r="O21" i="34"/>
  <c r="K21" i="34"/>
  <c r="C21" i="34"/>
  <c r="E21" i="34" s="1"/>
  <c r="O20" i="34"/>
  <c r="K20" i="34"/>
  <c r="C20" i="34"/>
  <c r="E20" i="34" s="1"/>
  <c r="O19" i="34"/>
  <c r="K19" i="34"/>
  <c r="C19" i="34"/>
  <c r="E19" i="34" s="1"/>
  <c r="O18" i="34"/>
  <c r="K18" i="34"/>
  <c r="C18" i="34"/>
  <c r="E18" i="34" s="1"/>
  <c r="O17" i="34"/>
  <c r="K17" i="34"/>
  <c r="C17" i="34"/>
  <c r="E17" i="34" s="1"/>
  <c r="O16" i="34"/>
  <c r="K16" i="34"/>
  <c r="C16" i="34"/>
  <c r="E16" i="34" s="1"/>
  <c r="O15" i="34"/>
  <c r="K15" i="34"/>
  <c r="C15" i="34"/>
  <c r="E15" i="34" s="1"/>
  <c r="O14" i="34"/>
  <c r="K14" i="34"/>
  <c r="C14" i="34"/>
  <c r="E14" i="34" s="1"/>
  <c r="O13" i="34"/>
  <c r="K13" i="34"/>
  <c r="C13" i="34"/>
  <c r="E13" i="34" s="1"/>
  <c r="O12" i="34"/>
  <c r="K12" i="34"/>
  <c r="C12" i="34"/>
  <c r="E12" i="34" s="1"/>
  <c r="O11" i="34"/>
  <c r="K11" i="34"/>
  <c r="C11" i="34"/>
  <c r="E11" i="34" s="1"/>
  <c r="O10" i="34"/>
  <c r="K10" i="34"/>
  <c r="C10" i="34"/>
  <c r="E10" i="34" s="1"/>
  <c r="O9" i="34"/>
  <c r="K9" i="34"/>
  <c r="C9" i="34"/>
  <c r="E9" i="34" s="1"/>
  <c r="O8" i="34"/>
  <c r="K8" i="34"/>
  <c r="C8" i="34"/>
  <c r="E8" i="34" s="1"/>
  <c r="O7" i="34"/>
  <c r="K7" i="34"/>
  <c r="C7" i="34"/>
  <c r="E7" i="34" s="1"/>
  <c r="Q6" i="34"/>
  <c r="M6" i="34"/>
  <c r="I6" i="34"/>
  <c r="AE53" i="52"/>
  <c r="Q53" i="52"/>
  <c r="C53" i="52"/>
  <c r="AE52" i="52"/>
  <c r="Q52" i="52"/>
  <c r="C52" i="52"/>
  <c r="AD51" i="52"/>
  <c r="P51" i="52"/>
  <c r="BE50" i="52"/>
  <c r="AC50" i="52"/>
  <c r="E50" i="52"/>
  <c r="BD49" i="52"/>
  <c r="R49" i="52"/>
  <c r="D49" i="52"/>
  <c r="BC48" i="52"/>
  <c r="AE48" i="52"/>
  <c r="Q48" i="52"/>
  <c r="C48" i="52"/>
  <c r="AD47" i="52"/>
  <c r="P47" i="52"/>
  <c r="BE46" i="52"/>
  <c r="AC46" i="52"/>
  <c r="E46" i="52"/>
  <c r="BD45" i="52"/>
  <c r="R45" i="52"/>
  <c r="D45" i="52"/>
  <c r="BC44" i="52"/>
  <c r="AE44" i="52"/>
  <c r="Q44" i="52"/>
  <c r="C44" i="52"/>
  <c r="AD43" i="52"/>
  <c r="P43" i="52"/>
  <c r="BE42" i="52"/>
  <c r="AC42" i="52"/>
  <c r="E42" i="52"/>
  <c r="BD41" i="52"/>
  <c r="R41" i="52"/>
  <c r="D41" i="52"/>
  <c r="BC40" i="52"/>
  <c r="AE40" i="52"/>
  <c r="Q40" i="52"/>
  <c r="C40" i="52"/>
  <c r="AD39" i="52"/>
  <c r="P39" i="52"/>
  <c r="BE38" i="52"/>
  <c r="AC38" i="52"/>
  <c r="E38" i="52"/>
  <c r="BD37" i="52"/>
  <c r="R37" i="52"/>
  <c r="D37" i="52"/>
  <c r="BC36" i="52"/>
  <c r="AE36" i="52"/>
  <c r="Q36" i="52"/>
  <c r="C36" i="52"/>
  <c r="AD35" i="52"/>
  <c r="P35" i="52"/>
  <c r="BE34" i="52"/>
  <c r="AC34" i="52"/>
  <c r="E34" i="52"/>
  <c r="BD33" i="52"/>
  <c r="R33" i="52"/>
  <c r="D33" i="52"/>
  <c r="BC32" i="52"/>
  <c r="AE32" i="52"/>
  <c r="Q32" i="52"/>
  <c r="C32" i="52"/>
  <c r="AD31" i="52"/>
  <c r="P31" i="52"/>
  <c r="K382" i="34"/>
  <c r="J365" i="34"/>
  <c r="I351" i="34"/>
  <c r="M338" i="34"/>
  <c r="N321" i="34"/>
  <c r="Q311" i="34"/>
  <c r="M309" i="34"/>
  <c r="I306" i="34"/>
  <c r="Q304" i="34"/>
  <c r="M301" i="34"/>
  <c r="J300" i="34"/>
  <c r="I299" i="34"/>
  <c r="J294" i="34"/>
  <c r="N293" i="34"/>
  <c r="R292" i="34"/>
  <c r="J290" i="34"/>
  <c r="N289" i="34"/>
  <c r="R288" i="34"/>
  <c r="J286" i="34"/>
  <c r="N285" i="34"/>
  <c r="R284" i="34"/>
  <c r="S284" i="34" s="1"/>
  <c r="J282" i="34"/>
  <c r="N281" i="34"/>
  <c r="R280" i="34"/>
  <c r="J278" i="34"/>
  <c r="N277" i="34"/>
  <c r="R276" i="34"/>
  <c r="J274" i="34"/>
  <c r="N273" i="34"/>
  <c r="R272" i="34"/>
  <c r="J270" i="34"/>
  <c r="N269" i="34"/>
  <c r="R268" i="34"/>
  <c r="J266" i="34"/>
  <c r="N265" i="34"/>
  <c r="R264" i="34"/>
  <c r="J262" i="34"/>
  <c r="N261" i="34"/>
  <c r="R260" i="34"/>
  <c r="J258" i="34"/>
  <c r="N257" i="34"/>
  <c r="R256" i="34"/>
  <c r="J254" i="34"/>
  <c r="N253" i="34"/>
  <c r="R252" i="34"/>
  <c r="S252" i="34" s="1"/>
  <c r="J250" i="34"/>
  <c r="N249" i="34"/>
  <c r="R248" i="34"/>
  <c r="J246" i="34"/>
  <c r="N245" i="34"/>
  <c r="R244" i="34"/>
  <c r="J242" i="34"/>
  <c r="N241" i="34"/>
  <c r="R240" i="34"/>
  <c r="J238" i="34"/>
  <c r="N237" i="34"/>
  <c r="R236" i="34"/>
  <c r="J234" i="34"/>
  <c r="N233" i="34"/>
  <c r="R232" i="34"/>
  <c r="J230" i="34"/>
  <c r="N229" i="34"/>
  <c r="R228" i="34"/>
  <c r="J226" i="34"/>
  <c r="N225" i="34"/>
  <c r="R224" i="34"/>
  <c r="J222" i="34"/>
  <c r="N221" i="34"/>
  <c r="R220" i="34"/>
  <c r="S220" i="34" s="1"/>
  <c r="J218" i="34"/>
  <c r="N217" i="34"/>
  <c r="R216" i="34"/>
  <c r="J214" i="34"/>
  <c r="N213" i="34"/>
  <c r="R212" i="34"/>
  <c r="J210" i="34"/>
  <c r="N209" i="34"/>
  <c r="R208" i="34"/>
  <c r="J206" i="34"/>
  <c r="N205" i="34"/>
  <c r="R204" i="34"/>
  <c r="J202" i="34"/>
  <c r="N201" i="34"/>
  <c r="R200" i="34"/>
  <c r="J198" i="34"/>
  <c r="N197" i="34"/>
  <c r="R196" i="34"/>
  <c r="J194" i="34"/>
  <c r="N193" i="34"/>
  <c r="R192" i="34"/>
  <c r="J190" i="34"/>
  <c r="N189" i="34"/>
  <c r="R188" i="34"/>
  <c r="S188" i="34" s="1"/>
  <c r="J186" i="34"/>
  <c r="N185" i="34"/>
  <c r="J184" i="34"/>
  <c r="R182" i="34"/>
  <c r="P181" i="34"/>
  <c r="O180" i="34"/>
  <c r="D180" i="34"/>
  <c r="N179" i="34"/>
  <c r="C179" i="34"/>
  <c r="E179" i="34" s="1"/>
  <c r="L178" i="34"/>
  <c r="K177" i="34"/>
  <c r="J176" i="34"/>
  <c r="R174" i="34"/>
  <c r="P173" i="34"/>
  <c r="O172" i="34"/>
  <c r="D172" i="34"/>
  <c r="N171" i="34"/>
  <c r="C171" i="34"/>
  <c r="E171" i="34" s="1"/>
  <c r="L170" i="34"/>
  <c r="K169" i="34"/>
  <c r="J168" i="34"/>
  <c r="R166" i="34"/>
  <c r="P165" i="34"/>
  <c r="O164" i="34"/>
  <c r="D164" i="34"/>
  <c r="N163" i="34"/>
  <c r="C163" i="34"/>
  <c r="E163" i="34" s="1"/>
  <c r="L162" i="34"/>
  <c r="K161" i="34"/>
  <c r="J160" i="34"/>
  <c r="R158" i="34"/>
  <c r="P157" i="34"/>
  <c r="O156" i="34"/>
  <c r="D156" i="34"/>
  <c r="N155" i="34"/>
  <c r="C155" i="34"/>
  <c r="E155" i="34" s="1"/>
  <c r="L154" i="34"/>
  <c r="K153" i="34"/>
  <c r="J152" i="34"/>
  <c r="R150" i="34"/>
  <c r="S150" i="34" s="1"/>
  <c r="P149" i="34"/>
  <c r="O148" i="34"/>
  <c r="D148" i="34"/>
  <c r="N147" i="34"/>
  <c r="C147" i="34"/>
  <c r="E147" i="34" s="1"/>
  <c r="L146" i="34"/>
  <c r="K145" i="34"/>
  <c r="J144" i="34"/>
  <c r="R142" i="34"/>
  <c r="P141" i="34"/>
  <c r="O140" i="34"/>
  <c r="D140" i="34"/>
  <c r="N139" i="34"/>
  <c r="C139" i="34"/>
  <c r="E139" i="34" s="1"/>
  <c r="L138" i="34"/>
  <c r="K137" i="34"/>
  <c r="J136" i="34"/>
  <c r="R134" i="34"/>
  <c r="P133" i="34"/>
  <c r="O132" i="34"/>
  <c r="D132" i="34"/>
  <c r="N131" i="34"/>
  <c r="C131" i="34"/>
  <c r="E131" i="34" s="1"/>
  <c r="L130" i="34"/>
  <c r="K129" i="34"/>
  <c r="J128" i="34"/>
  <c r="R126" i="34"/>
  <c r="P125" i="34"/>
  <c r="O124" i="34"/>
  <c r="D124" i="34"/>
  <c r="N123" i="34"/>
  <c r="C123" i="34"/>
  <c r="E123" i="34" s="1"/>
  <c r="L122" i="34"/>
  <c r="K121" i="34"/>
  <c r="J120" i="34"/>
  <c r="R118" i="34"/>
  <c r="P117" i="34"/>
  <c r="O116" i="34"/>
  <c r="D116" i="34"/>
  <c r="N115" i="34"/>
  <c r="C115" i="34"/>
  <c r="E115" i="34" s="1"/>
  <c r="L114" i="34"/>
  <c r="K113" i="34"/>
  <c r="J112" i="34"/>
  <c r="R110" i="34"/>
  <c r="P109" i="34"/>
  <c r="O108" i="34"/>
  <c r="D108" i="34"/>
  <c r="N107" i="34"/>
  <c r="C107" i="34"/>
  <c r="E107" i="34" s="1"/>
  <c r="N106" i="34"/>
  <c r="R105" i="34"/>
  <c r="J105" i="34"/>
  <c r="N104" i="34"/>
  <c r="R103" i="34"/>
  <c r="J103" i="34"/>
  <c r="N102" i="34"/>
  <c r="R101" i="34"/>
  <c r="J101" i="34"/>
  <c r="N100" i="34"/>
  <c r="R99" i="34"/>
  <c r="J99" i="34"/>
  <c r="N98" i="34"/>
  <c r="R97" i="34"/>
  <c r="J97" i="34"/>
  <c r="N96" i="34"/>
  <c r="R95" i="34"/>
  <c r="J95" i="34"/>
  <c r="N94" i="34"/>
  <c r="R93" i="34"/>
  <c r="J93" i="34"/>
  <c r="N92" i="34"/>
  <c r="R91" i="34"/>
  <c r="J91" i="34"/>
  <c r="N90" i="34"/>
  <c r="R89" i="34"/>
  <c r="J89" i="34"/>
  <c r="N88" i="34"/>
  <c r="R87" i="34"/>
  <c r="J87" i="34"/>
  <c r="N86" i="34"/>
  <c r="R85" i="34"/>
  <c r="J85" i="34"/>
  <c r="N84" i="34"/>
  <c r="R83" i="34"/>
  <c r="J83" i="34"/>
  <c r="N82" i="34"/>
  <c r="R81" i="34"/>
  <c r="J81" i="34"/>
  <c r="N80" i="34"/>
  <c r="R79" i="34"/>
  <c r="J79" i="34"/>
  <c r="N78" i="34"/>
  <c r="R77" i="34"/>
  <c r="J77" i="34"/>
  <c r="N76" i="34"/>
  <c r="R75" i="34"/>
  <c r="J75" i="34"/>
  <c r="N74" i="34"/>
  <c r="R73" i="34"/>
  <c r="J73" i="34"/>
  <c r="N72" i="34"/>
  <c r="R71" i="34"/>
  <c r="J71" i="34"/>
  <c r="N70" i="34"/>
  <c r="R69" i="34"/>
  <c r="J69" i="34"/>
  <c r="N68" i="34"/>
  <c r="R67" i="34"/>
  <c r="J67" i="34"/>
  <c r="N66" i="34"/>
  <c r="R65" i="34"/>
  <c r="J65" i="34"/>
  <c r="N64" i="34"/>
  <c r="R63" i="34"/>
  <c r="J63" i="34"/>
  <c r="N62" i="34"/>
  <c r="R61" i="34"/>
  <c r="J61" i="34"/>
  <c r="N60" i="34"/>
  <c r="R59" i="34"/>
  <c r="S59" i="34" s="1"/>
  <c r="J59" i="34"/>
  <c r="N58" i="34"/>
  <c r="R57" i="34"/>
  <c r="J57" i="34"/>
  <c r="N56" i="34"/>
  <c r="R55" i="34"/>
  <c r="J55" i="34"/>
  <c r="N54" i="34"/>
  <c r="R53" i="34"/>
  <c r="J53" i="34"/>
  <c r="N52" i="34"/>
  <c r="R51" i="34"/>
  <c r="J51" i="34"/>
  <c r="N50" i="34"/>
  <c r="R49" i="34"/>
  <c r="J49" i="34"/>
  <c r="N48" i="34"/>
  <c r="R47" i="34"/>
  <c r="J47" i="34"/>
  <c r="N46" i="34"/>
  <c r="R45" i="34"/>
  <c r="J45" i="34"/>
  <c r="N44" i="34"/>
  <c r="R43" i="34"/>
  <c r="J43" i="34"/>
  <c r="N42" i="34"/>
  <c r="R41" i="34"/>
  <c r="J41" i="34"/>
  <c r="N40" i="34"/>
  <c r="R39" i="34"/>
  <c r="J39" i="34"/>
  <c r="N38" i="34"/>
  <c r="R37" i="34"/>
  <c r="J37" i="34"/>
  <c r="N36" i="34"/>
  <c r="R35" i="34"/>
  <c r="J35" i="34"/>
  <c r="N34" i="34"/>
  <c r="R33" i="34"/>
  <c r="J33" i="34"/>
  <c r="N32" i="34"/>
  <c r="R31" i="34"/>
  <c r="J31" i="34"/>
  <c r="N30" i="34"/>
  <c r="R29" i="34"/>
  <c r="J29" i="34"/>
  <c r="N28" i="34"/>
  <c r="R27" i="34"/>
  <c r="J27" i="34"/>
  <c r="N26" i="34"/>
  <c r="R25" i="34"/>
  <c r="J25" i="34"/>
  <c r="N24" i="34"/>
  <c r="R23" i="34"/>
  <c r="J23" i="34"/>
  <c r="N22" i="34"/>
  <c r="R21" i="34"/>
  <c r="J21" i="34"/>
  <c r="N20" i="34"/>
  <c r="R19" i="34"/>
  <c r="J19" i="34"/>
  <c r="N18" i="34"/>
  <c r="R17" i="34"/>
  <c r="J17" i="34"/>
  <c r="N16" i="34"/>
  <c r="R15" i="34"/>
  <c r="J15" i="34"/>
  <c r="N14" i="34"/>
  <c r="R13" i="34"/>
  <c r="J13" i="34"/>
  <c r="N12" i="34"/>
  <c r="R11" i="34"/>
  <c r="J11" i="34"/>
  <c r="N10" i="34"/>
  <c r="R9" i="34"/>
  <c r="J9" i="34"/>
  <c r="N8" i="34"/>
  <c r="R7" i="34"/>
  <c r="J7" i="34"/>
  <c r="L6" i="34"/>
  <c r="D6" i="34"/>
  <c r="AC53" i="52"/>
  <c r="P52" i="52"/>
  <c r="R51" i="52"/>
  <c r="BC50" i="52"/>
  <c r="AE50" i="52"/>
  <c r="C50" i="52"/>
  <c r="P49" i="52"/>
  <c r="P48" i="52"/>
  <c r="R47" i="52"/>
  <c r="BC46" i="52"/>
  <c r="AE46" i="52"/>
  <c r="C46" i="52"/>
  <c r="P45" i="52"/>
  <c r="P44" i="52"/>
  <c r="R43" i="52"/>
  <c r="BC42" i="52"/>
  <c r="AE42" i="52"/>
  <c r="C42" i="52"/>
  <c r="P41" i="52"/>
  <c r="P40" i="52"/>
  <c r="R39" i="52"/>
  <c r="BC38" i="52"/>
  <c r="AE38" i="52"/>
  <c r="C38" i="52"/>
  <c r="P37" i="52"/>
  <c r="P36" i="52"/>
  <c r="R35" i="52"/>
  <c r="BC34" i="52"/>
  <c r="AE34" i="52"/>
  <c r="C34" i="52"/>
  <c r="P33" i="52"/>
  <c r="P32" i="52"/>
  <c r="R31" i="52"/>
  <c r="C31" i="52"/>
  <c r="AD30" i="52"/>
  <c r="P30" i="52"/>
  <c r="BE29" i="52"/>
  <c r="AC29" i="52"/>
  <c r="E29" i="52"/>
  <c r="BD28" i="52"/>
  <c r="R28" i="52"/>
  <c r="D28" i="52"/>
  <c r="BC27" i="52"/>
  <c r="AE27" i="52"/>
  <c r="Q27" i="52"/>
  <c r="C27" i="52"/>
  <c r="AD26" i="52"/>
  <c r="P26" i="52"/>
  <c r="BE25" i="52"/>
  <c r="AC25" i="52"/>
  <c r="E25" i="52"/>
  <c r="BD24" i="52"/>
  <c r="R24" i="52"/>
  <c r="D24" i="52"/>
  <c r="BC23" i="52"/>
  <c r="AE23" i="52"/>
  <c r="Q23" i="52"/>
  <c r="C23" i="52"/>
  <c r="AD22" i="52"/>
  <c r="P22" i="52"/>
  <c r="BE21" i="52"/>
  <c r="AC21" i="52"/>
  <c r="E21" i="52"/>
  <c r="BD20" i="52"/>
  <c r="R20" i="52"/>
  <c r="D20" i="52"/>
  <c r="BC19" i="52"/>
  <c r="AE19" i="52"/>
  <c r="Q19" i="52"/>
  <c r="C19" i="52"/>
  <c r="AD18" i="52"/>
  <c r="P18" i="52"/>
  <c r="BE17" i="52"/>
  <c r="AC17" i="52"/>
  <c r="E17" i="52"/>
  <c r="BD16" i="52"/>
  <c r="R16" i="52"/>
  <c r="D16" i="52"/>
  <c r="BC15" i="52"/>
  <c r="AE15" i="52"/>
  <c r="Q15" i="52"/>
  <c r="C15" i="52"/>
  <c r="AD14" i="52"/>
  <c r="P14" i="52"/>
  <c r="BE13" i="52"/>
  <c r="AC13" i="52"/>
  <c r="E13" i="52"/>
  <c r="BD12" i="52"/>
  <c r="R12" i="52"/>
  <c r="D12" i="52"/>
  <c r="BC11" i="52"/>
  <c r="AE11" i="52"/>
  <c r="Q11" i="52"/>
  <c r="C11" i="52"/>
  <c r="AD10" i="52"/>
  <c r="P10" i="52"/>
  <c r="BE9" i="52"/>
  <c r="AC9" i="52"/>
  <c r="E9" i="52"/>
  <c r="BD8" i="52"/>
  <c r="R8" i="52"/>
  <c r="D8" i="52"/>
  <c r="BC7" i="52"/>
  <c r="AE7" i="52"/>
  <c r="Q7" i="52"/>
  <c r="C7" i="52"/>
  <c r="AD6" i="52"/>
  <c r="P6" i="52"/>
  <c r="BE5" i="52"/>
  <c r="AC5" i="52"/>
  <c r="E5" i="52"/>
  <c r="BD4" i="52"/>
  <c r="AP4" i="52"/>
  <c r="R4" i="52"/>
  <c r="D4" i="52"/>
  <c r="BC53" i="51"/>
  <c r="AE53" i="51"/>
  <c r="Q53" i="51"/>
  <c r="C53" i="51"/>
  <c r="AR52" i="51"/>
  <c r="AD52" i="51"/>
  <c r="P52" i="51"/>
  <c r="BE51" i="51"/>
  <c r="AQ51" i="51"/>
  <c r="AC51" i="51"/>
  <c r="E51" i="51"/>
  <c r="BD50" i="51"/>
  <c r="AP50" i="51"/>
  <c r="R50" i="51"/>
  <c r="D50" i="51"/>
  <c r="BC49" i="51"/>
  <c r="AE49" i="51"/>
  <c r="Q49" i="51"/>
  <c r="C49" i="51"/>
  <c r="AR48" i="51"/>
  <c r="AD48" i="51"/>
  <c r="P48" i="51"/>
  <c r="BE47" i="51"/>
  <c r="AQ47" i="51"/>
  <c r="AC47" i="51"/>
  <c r="E47" i="51"/>
  <c r="BD46" i="51"/>
  <c r="AP46" i="51"/>
  <c r="R46" i="51"/>
  <c r="D46" i="51"/>
  <c r="BC45" i="51"/>
  <c r="AE45" i="51"/>
  <c r="Q45" i="51"/>
  <c r="C45" i="51"/>
  <c r="AR44" i="51"/>
  <c r="AD44" i="51"/>
  <c r="P44" i="51"/>
  <c r="BE43" i="51"/>
  <c r="AQ43" i="51"/>
  <c r="AC43" i="51"/>
  <c r="E43" i="51"/>
  <c r="BD42" i="51"/>
  <c r="AP42" i="51"/>
  <c r="R42" i="51"/>
  <c r="D42" i="51"/>
  <c r="BC41" i="51"/>
  <c r="AE41" i="51"/>
  <c r="Q41" i="51"/>
  <c r="C41" i="51"/>
  <c r="AR40" i="51"/>
  <c r="AD40" i="51"/>
  <c r="P40" i="51"/>
  <c r="BE39" i="51"/>
  <c r="AQ39" i="51"/>
  <c r="AC39" i="51"/>
  <c r="E39" i="51"/>
  <c r="BD38" i="51"/>
  <c r="AP38" i="51"/>
  <c r="R38" i="51"/>
  <c r="D38" i="51"/>
  <c r="BC37" i="51"/>
  <c r="AE37" i="51"/>
  <c r="Q37" i="51"/>
  <c r="C37" i="51"/>
  <c r="AR36" i="51"/>
  <c r="AD36" i="51"/>
  <c r="P36" i="51"/>
  <c r="BE35" i="51"/>
  <c r="AQ35" i="51"/>
  <c r="AC35" i="51"/>
  <c r="E35" i="51"/>
  <c r="BD34" i="51"/>
  <c r="AP34" i="51"/>
  <c r="R34" i="51"/>
  <c r="D34" i="51"/>
  <c r="BC33" i="51"/>
  <c r="AE33" i="51"/>
  <c r="Q33" i="51"/>
  <c r="C33" i="51"/>
  <c r="AR32" i="51"/>
  <c r="AD32" i="51"/>
  <c r="P32" i="51"/>
  <c r="BE31" i="51"/>
  <c r="AQ31" i="51"/>
  <c r="AC31" i="51"/>
  <c r="E31" i="51"/>
  <c r="BD30" i="51"/>
  <c r="AP30" i="51"/>
  <c r="R30" i="51"/>
  <c r="D30" i="51"/>
  <c r="BC29" i="51"/>
  <c r="AE29" i="51"/>
  <c r="Q29" i="51"/>
  <c r="C29" i="51"/>
  <c r="AR28" i="51"/>
  <c r="AD28" i="51"/>
  <c r="P28" i="51"/>
  <c r="BE27" i="51"/>
  <c r="AQ27" i="51"/>
  <c r="AC27" i="51"/>
  <c r="E27" i="51"/>
  <c r="BD26" i="51"/>
  <c r="AP26" i="51"/>
  <c r="R26" i="51"/>
  <c r="D26" i="51"/>
  <c r="BP25" i="51"/>
  <c r="AR25" i="51"/>
  <c r="AD25" i="51"/>
  <c r="P25" i="51"/>
  <c r="BR24" i="51"/>
  <c r="BD24" i="51"/>
  <c r="AP24" i="51"/>
  <c r="R24" i="51"/>
  <c r="D24" i="51"/>
  <c r="BP23" i="51"/>
  <c r="AR23" i="51"/>
  <c r="AD23" i="51"/>
  <c r="P23" i="51"/>
  <c r="BR22" i="51"/>
  <c r="BD22" i="51"/>
  <c r="AP22" i="51"/>
  <c r="R22" i="51"/>
  <c r="D22" i="51"/>
  <c r="BP21" i="51"/>
  <c r="AR21" i="51"/>
  <c r="AD21" i="51"/>
  <c r="P21" i="51"/>
  <c r="BR20" i="51"/>
  <c r="BD20" i="51"/>
  <c r="AP20" i="51"/>
  <c r="R20" i="51"/>
  <c r="D20" i="51"/>
  <c r="BP19" i="51"/>
  <c r="AR19" i="51"/>
  <c r="AD19" i="51"/>
  <c r="P19" i="51"/>
  <c r="BR18" i="51"/>
  <c r="BD18" i="51"/>
  <c r="AP18" i="51"/>
  <c r="R18" i="51"/>
  <c r="D18" i="51"/>
  <c r="BP17" i="51"/>
  <c r="AR17" i="51"/>
  <c r="AD17" i="51"/>
  <c r="P17" i="51"/>
  <c r="BR16" i="51"/>
  <c r="BD16" i="51"/>
  <c r="AP16" i="51"/>
  <c r="R16" i="51"/>
  <c r="D16" i="51"/>
  <c r="BP15" i="51"/>
  <c r="AR15" i="51"/>
  <c r="AD15" i="51"/>
  <c r="P15" i="51"/>
  <c r="BR14" i="51"/>
  <c r="BD14" i="51"/>
  <c r="AP14" i="51"/>
  <c r="R14" i="51"/>
  <c r="D14" i="51"/>
  <c r="BP13" i="51"/>
  <c r="AR13" i="51"/>
  <c r="AD13" i="51"/>
  <c r="P13" i="51"/>
  <c r="BR12" i="51"/>
  <c r="BD12" i="51"/>
  <c r="AP12" i="51"/>
  <c r="R12" i="51"/>
  <c r="D12" i="51"/>
  <c r="BP11" i="51"/>
  <c r="AR11" i="51"/>
  <c r="AD11" i="51"/>
  <c r="P11" i="51"/>
  <c r="BR10" i="51"/>
  <c r="BD10" i="51"/>
  <c r="AP10" i="51"/>
  <c r="R10" i="51"/>
  <c r="D10" i="51"/>
  <c r="BP9" i="51"/>
  <c r="AR9" i="51"/>
  <c r="AD9" i="51"/>
  <c r="P9" i="51"/>
  <c r="BR8" i="51"/>
  <c r="BD8" i="51"/>
  <c r="AP8" i="51"/>
  <c r="R8" i="51"/>
  <c r="D8" i="51"/>
  <c r="BP7" i="51"/>
  <c r="AR7" i="51"/>
  <c r="AD7" i="51"/>
  <c r="P7" i="51"/>
  <c r="BR6" i="51"/>
  <c r="BD6" i="51"/>
  <c r="AP6" i="51"/>
  <c r="R6" i="51"/>
  <c r="D6" i="51"/>
  <c r="BP5" i="51"/>
  <c r="AR5" i="51"/>
  <c r="AD5" i="51"/>
  <c r="P5" i="51"/>
  <c r="BR4" i="51"/>
  <c r="BD4" i="51"/>
  <c r="AP4" i="51"/>
  <c r="R4" i="51"/>
  <c r="D4" i="51"/>
  <c r="P452" i="34"/>
  <c r="C421" i="34"/>
  <c r="E421" i="34" s="1"/>
  <c r="Q349" i="34"/>
  <c r="R320" i="34"/>
  <c r="J314" i="34"/>
  <c r="I311" i="34"/>
  <c r="P307" i="34"/>
  <c r="D306" i="34"/>
  <c r="L304" i="34"/>
  <c r="D298" i="34"/>
  <c r="C295" i="34"/>
  <c r="E295" i="34" s="1"/>
  <c r="K293" i="34"/>
  <c r="O292" i="34"/>
  <c r="C291" i="34"/>
  <c r="E291" i="34" s="1"/>
  <c r="K289" i="34"/>
  <c r="O288" i="34"/>
  <c r="C287" i="34"/>
  <c r="E287" i="34" s="1"/>
  <c r="K285" i="34"/>
  <c r="O284" i="34"/>
  <c r="C283" i="34"/>
  <c r="E283" i="34" s="1"/>
  <c r="K281" i="34"/>
  <c r="O280" i="34"/>
  <c r="C279" i="34"/>
  <c r="E279" i="34" s="1"/>
  <c r="K277" i="34"/>
  <c r="O276" i="34"/>
  <c r="C275" i="34"/>
  <c r="E275" i="34" s="1"/>
  <c r="K273" i="34"/>
  <c r="O272" i="34"/>
  <c r="C271" i="34"/>
  <c r="E271" i="34" s="1"/>
  <c r="K269" i="34"/>
  <c r="O268" i="34"/>
  <c r="C267" i="34"/>
  <c r="E267" i="34" s="1"/>
  <c r="K265" i="34"/>
  <c r="O264" i="34"/>
  <c r="C263" i="34"/>
  <c r="E263" i="34" s="1"/>
  <c r="K261" i="34"/>
  <c r="O260" i="34"/>
  <c r="C259" i="34"/>
  <c r="E259" i="34" s="1"/>
  <c r="K257" i="34"/>
  <c r="O256" i="34"/>
  <c r="C255" i="34"/>
  <c r="E255" i="34" s="1"/>
  <c r="K253" i="34"/>
  <c r="O252" i="34"/>
  <c r="C251" i="34"/>
  <c r="E251" i="34" s="1"/>
  <c r="K249" i="34"/>
  <c r="O248" i="34"/>
  <c r="C247" i="34"/>
  <c r="E247" i="34" s="1"/>
  <c r="K245" i="34"/>
  <c r="O244" i="34"/>
  <c r="C243" i="34"/>
  <c r="E243" i="34" s="1"/>
  <c r="K241" i="34"/>
  <c r="O240" i="34"/>
  <c r="C239" i="34"/>
  <c r="E239" i="34" s="1"/>
  <c r="K237" i="34"/>
  <c r="O236" i="34"/>
  <c r="C235" i="34"/>
  <c r="E235" i="34" s="1"/>
  <c r="K233" i="34"/>
  <c r="O232" i="34"/>
  <c r="C231" i="34"/>
  <c r="E231" i="34" s="1"/>
  <c r="K229" i="34"/>
  <c r="O228" i="34"/>
  <c r="C227" i="34"/>
  <c r="E227" i="34" s="1"/>
  <c r="K225" i="34"/>
  <c r="O224" i="34"/>
  <c r="C223" i="34"/>
  <c r="E223" i="34" s="1"/>
  <c r="K221" i="34"/>
  <c r="O220" i="34"/>
  <c r="C219" i="34"/>
  <c r="E219" i="34" s="1"/>
  <c r="K217" i="34"/>
  <c r="O216" i="34"/>
  <c r="C215" i="34"/>
  <c r="E215" i="34" s="1"/>
  <c r="K213" i="34"/>
  <c r="O212" i="34"/>
  <c r="C211" i="34"/>
  <c r="E211" i="34" s="1"/>
  <c r="K209" i="34"/>
  <c r="O208" i="34"/>
  <c r="C207" i="34"/>
  <c r="E207" i="34" s="1"/>
  <c r="K205" i="34"/>
  <c r="O204" i="34"/>
  <c r="C203" i="34"/>
  <c r="E203" i="34" s="1"/>
  <c r="K201" i="34"/>
  <c r="O200" i="34"/>
  <c r="C199" i="34"/>
  <c r="E199" i="34" s="1"/>
  <c r="K197" i="34"/>
  <c r="O196" i="34"/>
  <c r="C195" i="34"/>
  <c r="E195" i="34" s="1"/>
  <c r="K193" i="34"/>
  <c r="O192" i="34"/>
  <c r="C191" i="34"/>
  <c r="E191" i="34" s="1"/>
  <c r="K189" i="34"/>
  <c r="O188" i="34"/>
  <c r="C187" i="34"/>
  <c r="E187" i="34" s="1"/>
  <c r="K185" i="34"/>
  <c r="R183" i="34"/>
  <c r="P182" i="34"/>
  <c r="O181" i="34"/>
  <c r="D181" i="34"/>
  <c r="N180" i="34"/>
  <c r="C180" i="34"/>
  <c r="E180" i="34" s="1"/>
  <c r="L179" i="34"/>
  <c r="K178" i="34"/>
  <c r="J177" i="34"/>
  <c r="R175" i="34"/>
  <c r="P174" i="34"/>
  <c r="O173" i="34"/>
  <c r="D173" i="34"/>
  <c r="N172" i="34"/>
  <c r="C172" i="34"/>
  <c r="E172" i="34" s="1"/>
  <c r="L171" i="34"/>
  <c r="K170" i="34"/>
  <c r="J169" i="34"/>
  <c r="R167" i="34"/>
  <c r="P166" i="34"/>
  <c r="O165" i="34"/>
  <c r="D165" i="34"/>
  <c r="N164" i="34"/>
  <c r="C164" i="34"/>
  <c r="E164" i="34" s="1"/>
  <c r="L163" i="34"/>
  <c r="K162" i="34"/>
  <c r="J161" i="34"/>
  <c r="R159" i="34"/>
  <c r="P158" i="34"/>
  <c r="O157" i="34"/>
  <c r="D157" i="34"/>
  <c r="N156" i="34"/>
  <c r="C156" i="34"/>
  <c r="E156" i="34" s="1"/>
  <c r="L155" i="34"/>
  <c r="K154" i="34"/>
  <c r="J153" i="34"/>
  <c r="R151" i="34"/>
  <c r="P150" i="34"/>
  <c r="O149" i="34"/>
  <c r="D149" i="34"/>
  <c r="N148" i="34"/>
  <c r="C148" i="34"/>
  <c r="E148" i="34" s="1"/>
  <c r="L147" i="34"/>
  <c r="K146" i="34"/>
  <c r="J145" i="34"/>
  <c r="R143" i="34"/>
  <c r="P142" i="34"/>
  <c r="O141" i="34"/>
  <c r="D141" i="34"/>
  <c r="N140" i="34"/>
  <c r="C140" i="34"/>
  <c r="E140" i="34" s="1"/>
  <c r="L139" i="34"/>
  <c r="K138" i="34"/>
  <c r="J137" i="34"/>
  <c r="R135" i="34"/>
  <c r="P134" i="34"/>
  <c r="O133" i="34"/>
  <c r="D133" i="34"/>
  <c r="N132" i="34"/>
  <c r="C132" i="34"/>
  <c r="E132" i="34" s="1"/>
  <c r="L131" i="34"/>
  <c r="K130" i="34"/>
  <c r="J129" i="34"/>
  <c r="R127" i="34"/>
  <c r="P126" i="34"/>
  <c r="O125" i="34"/>
  <c r="D125" i="34"/>
  <c r="N124" i="34"/>
  <c r="C124" i="34"/>
  <c r="E124" i="34" s="1"/>
  <c r="L123" i="34"/>
  <c r="K122" i="34"/>
  <c r="J121" i="34"/>
  <c r="R119" i="34"/>
  <c r="P118" i="34"/>
  <c r="O117" i="34"/>
  <c r="D117" i="34"/>
  <c r="N116" i="34"/>
  <c r="C116" i="34"/>
  <c r="E116" i="34" s="1"/>
  <c r="L115" i="34"/>
  <c r="K114" i="34"/>
  <c r="J113" i="34"/>
  <c r="R111" i="34"/>
  <c r="P110" i="34"/>
  <c r="O109" i="34"/>
  <c r="D109" i="34"/>
  <c r="N108" i="34"/>
  <c r="C108" i="34"/>
  <c r="E108" i="34" s="1"/>
  <c r="L107" i="34"/>
  <c r="M106" i="34"/>
  <c r="Q105" i="34"/>
  <c r="I105" i="34"/>
  <c r="M104" i="34"/>
  <c r="Q103" i="34"/>
  <c r="I103" i="34"/>
  <c r="M102" i="34"/>
  <c r="Q101" i="34"/>
  <c r="I101" i="34"/>
  <c r="M100" i="34"/>
  <c r="Q99" i="34"/>
  <c r="I99" i="34"/>
  <c r="M98" i="34"/>
  <c r="Q97" i="34"/>
  <c r="I97" i="34"/>
  <c r="M96" i="34"/>
  <c r="Q95" i="34"/>
  <c r="I95" i="34"/>
  <c r="M94" i="34"/>
  <c r="Q93" i="34"/>
  <c r="I93" i="34"/>
  <c r="M92" i="34"/>
  <c r="Q91" i="34"/>
  <c r="I91" i="34"/>
  <c r="M90" i="34"/>
  <c r="Q89" i="34"/>
  <c r="I89" i="34"/>
  <c r="M88" i="34"/>
  <c r="Q87" i="34"/>
  <c r="I87" i="34"/>
  <c r="M86" i="34"/>
  <c r="Q85" i="34"/>
  <c r="I85" i="34"/>
  <c r="M84" i="34"/>
  <c r="Q83" i="34"/>
  <c r="I83" i="34"/>
  <c r="M82" i="34"/>
  <c r="Q81" i="34"/>
  <c r="I81" i="34"/>
  <c r="M80" i="34"/>
  <c r="Q79" i="34"/>
  <c r="I79" i="34"/>
  <c r="M78" i="34"/>
  <c r="Q77" i="34"/>
  <c r="I77" i="34"/>
  <c r="M76" i="34"/>
  <c r="Q75" i="34"/>
  <c r="I75" i="34"/>
  <c r="M74" i="34"/>
  <c r="Q73" i="34"/>
  <c r="I73" i="34"/>
  <c r="M72" i="34"/>
  <c r="Q71" i="34"/>
  <c r="I71" i="34"/>
  <c r="M70" i="34"/>
  <c r="Q69" i="34"/>
  <c r="I69" i="34"/>
  <c r="M68" i="34"/>
  <c r="Q67" i="34"/>
  <c r="I67" i="34"/>
  <c r="M66" i="34"/>
  <c r="Q65" i="34"/>
  <c r="I65" i="34"/>
  <c r="M64" i="34"/>
  <c r="Q63" i="34"/>
  <c r="I63" i="34"/>
  <c r="M62" i="34"/>
  <c r="Q61" i="34"/>
  <c r="I61" i="34"/>
  <c r="M60" i="34"/>
  <c r="Q59" i="34"/>
  <c r="I59" i="34"/>
  <c r="T59" i="34" s="1"/>
  <c r="M58" i="34"/>
  <c r="Q57" i="34"/>
  <c r="I57" i="34"/>
  <c r="M56" i="34"/>
  <c r="Q55" i="34"/>
  <c r="I55" i="34"/>
  <c r="M54" i="34"/>
  <c r="Q53" i="34"/>
  <c r="I53" i="34"/>
  <c r="M52" i="34"/>
  <c r="Q51" i="34"/>
  <c r="I51" i="34"/>
  <c r="M50" i="34"/>
  <c r="Q49" i="34"/>
  <c r="I49" i="34"/>
  <c r="M48" i="34"/>
  <c r="Q47" i="34"/>
  <c r="I47" i="34"/>
  <c r="M46" i="34"/>
  <c r="Q45" i="34"/>
  <c r="I45" i="34"/>
  <c r="M44" i="34"/>
  <c r="Q43" i="34"/>
  <c r="I43" i="34"/>
  <c r="M42" i="34"/>
  <c r="Q41" i="34"/>
  <c r="I41" i="34"/>
  <c r="M40" i="34"/>
  <c r="Q39" i="34"/>
  <c r="I39" i="34"/>
  <c r="M38" i="34"/>
  <c r="Q37" i="34"/>
  <c r="I37" i="34"/>
  <c r="M36" i="34"/>
  <c r="Q35" i="34"/>
  <c r="I35" i="34"/>
  <c r="M34" i="34"/>
  <c r="Q33" i="34"/>
  <c r="I33" i="34"/>
  <c r="M32" i="34"/>
  <c r="Q31" i="34"/>
  <c r="I31" i="34"/>
  <c r="M30" i="34"/>
  <c r="Q29" i="34"/>
  <c r="I29" i="34"/>
  <c r="M28" i="34"/>
  <c r="Q27" i="34"/>
  <c r="I27" i="34"/>
  <c r="M26" i="34"/>
  <c r="Q25" i="34"/>
  <c r="I25" i="34"/>
  <c r="M24" i="34"/>
  <c r="Q23" i="34"/>
  <c r="I23" i="34"/>
  <c r="M22" i="34"/>
  <c r="Q21" i="34"/>
  <c r="I21" i="34"/>
  <c r="M20" i="34"/>
  <c r="Q19" i="34"/>
  <c r="I19" i="34"/>
  <c r="M18" i="34"/>
  <c r="Q17" i="34"/>
  <c r="I17" i="34"/>
  <c r="M16" i="34"/>
  <c r="Q15" i="34"/>
  <c r="I15" i="34"/>
  <c r="M14" i="34"/>
  <c r="Q13" i="34"/>
  <c r="I13" i="34"/>
  <c r="M12" i="34"/>
  <c r="Q11" i="34"/>
  <c r="I11" i="34"/>
  <c r="M10" i="34"/>
  <c r="Q9" i="34"/>
  <c r="I9" i="34"/>
  <c r="M8" i="34"/>
  <c r="Q7" i="34"/>
  <c r="I7" i="34"/>
  <c r="K6" i="34"/>
  <c r="P53" i="52"/>
  <c r="E52" i="52"/>
  <c r="E51" i="52"/>
  <c r="R50" i="52"/>
  <c r="BC49" i="52"/>
  <c r="AE49" i="52"/>
  <c r="C49" i="52"/>
  <c r="E48" i="52"/>
  <c r="E47" i="52"/>
  <c r="R46" i="52"/>
  <c r="BC45" i="52"/>
  <c r="AE45" i="52"/>
  <c r="C45" i="52"/>
  <c r="E44" i="52"/>
  <c r="E43" i="52"/>
  <c r="R42" i="52"/>
  <c r="BC41" i="52"/>
  <c r="AE41" i="52"/>
  <c r="C41" i="52"/>
  <c r="E40" i="52"/>
  <c r="E39" i="52"/>
  <c r="R38" i="52"/>
  <c r="BC37" i="52"/>
  <c r="AE37" i="52"/>
  <c r="C37" i="52"/>
  <c r="E36" i="52"/>
  <c r="E35" i="52"/>
  <c r="R34" i="52"/>
  <c r="BC33" i="52"/>
  <c r="AE33" i="52"/>
  <c r="C33" i="52"/>
  <c r="E32" i="52"/>
  <c r="BE30" i="52"/>
  <c r="AC30" i="52"/>
  <c r="E30" i="52"/>
  <c r="BD29" i="52"/>
  <c r="R29" i="52"/>
  <c r="D29" i="52"/>
  <c r="BC28" i="52"/>
  <c r="AE28" i="52"/>
  <c r="Q28" i="52"/>
  <c r="C28" i="52"/>
  <c r="AD27" i="52"/>
  <c r="P27" i="52"/>
  <c r="BE26" i="52"/>
  <c r="AC26" i="52"/>
  <c r="E26" i="52"/>
  <c r="BD25" i="52"/>
  <c r="R25" i="52"/>
  <c r="D25" i="52"/>
  <c r="BC24" i="52"/>
  <c r="AE24" i="52"/>
  <c r="Q24" i="52"/>
  <c r="C24" i="52"/>
  <c r="AD23" i="52"/>
  <c r="P23" i="52"/>
  <c r="BE22" i="52"/>
  <c r="AC22" i="52"/>
  <c r="E22" i="52"/>
  <c r="BD21" i="52"/>
  <c r="R21" i="52"/>
  <c r="D21" i="52"/>
  <c r="BC20" i="52"/>
  <c r="AE20" i="52"/>
  <c r="Q20" i="52"/>
  <c r="C20" i="52"/>
  <c r="AD19" i="52"/>
  <c r="P19" i="52"/>
  <c r="BE18" i="52"/>
  <c r="AC18" i="52"/>
  <c r="E18" i="52"/>
  <c r="BD17" i="52"/>
  <c r="R17" i="52"/>
  <c r="D17" i="52"/>
  <c r="BC16" i="52"/>
  <c r="AE16" i="52"/>
  <c r="Q16" i="52"/>
  <c r="C16" i="52"/>
  <c r="AD15" i="52"/>
  <c r="P15" i="52"/>
  <c r="BE14" i="52"/>
  <c r="AC14" i="52"/>
  <c r="E14" i="52"/>
  <c r="BD13" i="52"/>
  <c r="R13" i="52"/>
  <c r="D13" i="52"/>
  <c r="BC12" i="52"/>
  <c r="AE12" i="52"/>
  <c r="Q12" i="52"/>
  <c r="C12" i="52"/>
  <c r="AD11" i="52"/>
  <c r="P11" i="52"/>
  <c r="BE10" i="52"/>
  <c r="AC10" i="52"/>
  <c r="E10" i="52"/>
  <c r="BD9" i="52"/>
  <c r="R9" i="52"/>
  <c r="D9" i="52"/>
  <c r="BC8" i="52"/>
  <c r="AE8" i="52"/>
  <c r="Q8" i="52"/>
  <c r="C8" i="52"/>
  <c r="AD7" i="52"/>
  <c r="P7" i="52"/>
  <c r="BE6" i="52"/>
  <c r="AC6" i="52"/>
  <c r="E6" i="52"/>
  <c r="BD5" i="52"/>
  <c r="R5" i="52"/>
  <c r="D5" i="52"/>
  <c r="BC4" i="52"/>
  <c r="AE4" i="52"/>
  <c r="Q4" i="52"/>
  <c r="C4" i="52"/>
  <c r="AR53" i="51"/>
  <c r="AD53" i="51"/>
  <c r="P53" i="51"/>
  <c r="BE52" i="51"/>
  <c r="AQ52" i="51"/>
  <c r="AC52" i="51"/>
  <c r="E52" i="51"/>
  <c r="BD51" i="51"/>
  <c r="AP51" i="51"/>
  <c r="R51" i="51"/>
  <c r="D51" i="51"/>
  <c r="BC50" i="51"/>
  <c r="AE50" i="51"/>
  <c r="Q50" i="51"/>
  <c r="C50" i="51"/>
  <c r="AR49" i="51"/>
  <c r="AD49" i="51"/>
  <c r="P49" i="51"/>
  <c r="BE48" i="51"/>
  <c r="AQ48" i="51"/>
  <c r="AC48" i="51"/>
  <c r="E48" i="51"/>
  <c r="BD47" i="51"/>
  <c r="AP47" i="51"/>
  <c r="R47" i="51"/>
  <c r="D47" i="51"/>
  <c r="BC46" i="51"/>
  <c r="AE46" i="51"/>
  <c r="Q46" i="51"/>
  <c r="C46" i="51"/>
  <c r="AR45" i="51"/>
  <c r="AD45" i="51"/>
  <c r="P45" i="51"/>
  <c r="BE44" i="51"/>
  <c r="AQ44" i="51"/>
  <c r="AC44" i="51"/>
  <c r="E44" i="51"/>
  <c r="BD43" i="51"/>
  <c r="AP43" i="51"/>
  <c r="R43" i="51"/>
  <c r="D43" i="51"/>
  <c r="BC42" i="51"/>
  <c r="AE42" i="51"/>
  <c r="Q42" i="51"/>
  <c r="C42" i="51"/>
  <c r="AR41" i="51"/>
  <c r="AD41" i="51"/>
  <c r="P41" i="51"/>
  <c r="BE40" i="51"/>
  <c r="AQ40" i="51"/>
  <c r="AC40" i="51"/>
  <c r="E40" i="51"/>
  <c r="BD39" i="51"/>
  <c r="AP39" i="51"/>
  <c r="R39" i="51"/>
  <c r="D39" i="51"/>
  <c r="BC38" i="51"/>
  <c r="AE38" i="51"/>
  <c r="Q38" i="51"/>
  <c r="C38" i="51"/>
  <c r="AR37" i="51"/>
  <c r="AD37" i="51"/>
  <c r="P37" i="51"/>
  <c r="BE36" i="51"/>
  <c r="AQ36" i="51"/>
  <c r="AC36" i="51"/>
  <c r="E36" i="51"/>
  <c r="BD35" i="51"/>
  <c r="AP35" i="51"/>
  <c r="R35" i="51"/>
  <c r="D35" i="51"/>
  <c r="BC34" i="51"/>
  <c r="AE34" i="51"/>
  <c r="Q34" i="51"/>
  <c r="C34" i="51"/>
  <c r="AR33" i="51"/>
  <c r="AD33" i="51"/>
  <c r="P33" i="51"/>
  <c r="BE32" i="51"/>
  <c r="AQ32" i="51"/>
  <c r="AC32" i="51"/>
  <c r="E32" i="51"/>
  <c r="BD31" i="51"/>
  <c r="AP31" i="51"/>
  <c r="R31" i="51"/>
  <c r="D31" i="51"/>
  <c r="BC30" i="51"/>
  <c r="AE30" i="51"/>
  <c r="Q30" i="51"/>
  <c r="C30" i="51"/>
  <c r="AR29" i="51"/>
  <c r="AD29" i="51"/>
  <c r="P29" i="51"/>
  <c r="BE28" i="51"/>
  <c r="AQ28" i="51"/>
  <c r="AC28" i="51"/>
  <c r="E28" i="51"/>
  <c r="BD27" i="51"/>
  <c r="AP27" i="51"/>
  <c r="R27" i="51"/>
  <c r="D27" i="51"/>
  <c r="BC26" i="51"/>
  <c r="AE26" i="51"/>
  <c r="Q26" i="51"/>
  <c r="C26" i="51"/>
  <c r="BE25" i="51"/>
  <c r="AQ25" i="51"/>
  <c r="AC25" i="51"/>
  <c r="E25" i="51"/>
  <c r="BQ24" i="51"/>
  <c r="BC24" i="51"/>
  <c r="AE24" i="51"/>
  <c r="Q24" i="51"/>
  <c r="C24" i="51"/>
  <c r="BE23" i="51"/>
  <c r="AQ23" i="51"/>
  <c r="AC23" i="51"/>
  <c r="E23" i="51"/>
  <c r="BQ22" i="51"/>
  <c r="BC22" i="51"/>
  <c r="AE22" i="51"/>
  <c r="Q22" i="51"/>
  <c r="C22" i="51"/>
  <c r="BE21" i="51"/>
  <c r="AQ21" i="51"/>
  <c r="AC21" i="51"/>
  <c r="E21" i="51"/>
  <c r="BQ20" i="51"/>
  <c r="BC20" i="51"/>
  <c r="AE20" i="51"/>
  <c r="Q20" i="51"/>
  <c r="C20" i="51"/>
  <c r="BE19" i="51"/>
  <c r="AQ19" i="51"/>
  <c r="AC19" i="51"/>
  <c r="E19" i="51"/>
  <c r="BQ18" i="51"/>
  <c r="BC18" i="51"/>
  <c r="AE18" i="51"/>
  <c r="Q18" i="51"/>
  <c r="C18" i="51"/>
  <c r="BE17" i="51"/>
  <c r="AQ17" i="51"/>
  <c r="AC17" i="51"/>
  <c r="E17" i="51"/>
  <c r="BQ16" i="51"/>
  <c r="BC16" i="51"/>
  <c r="AE16" i="51"/>
  <c r="Q16" i="51"/>
  <c r="C16" i="51"/>
  <c r="BE15" i="51"/>
  <c r="AQ15" i="51"/>
  <c r="AC15" i="51"/>
  <c r="E15" i="51"/>
  <c r="BQ14" i="51"/>
  <c r="BC14" i="51"/>
  <c r="AE14" i="51"/>
  <c r="Q14" i="51"/>
  <c r="C14" i="51"/>
  <c r="BE13" i="51"/>
  <c r="AQ13" i="51"/>
  <c r="AC13" i="51"/>
  <c r="E13" i="51"/>
  <c r="BQ12" i="51"/>
  <c r="BC12" i="51"/>
  <c r="AE12" i="51"/>
  <c r="Q12" i="51"/>
  <c r="C12" i="51"/>
  <c r="BE11" i="51"/>
  <c r="AQ11" i="51"/>
  <c r="AC11" i="51"/>
  <c r="E11" i="51"/>
  <c r="BQ10" i="51"/>
  <c r="BC10" i="51"/>
  <c r="AE10" i="51"/>
  <c r="Q10" i="51"/>
  <c r="C10" i="51"/>
  <c r="BE9" i="51"/>
  <c r="AQ9" i="51"/>
  <c r="AC9" i="51"/>
  <c r="E9" i="51"/>
  <c r="BQ8" i="51"/>
  <c r="BC8" i="51"/>
  <c r="AE8" i="51"/>
  <c r="Q8" i="51"/>
  <c r="C8" i="51"/>
  <c r="BE7" i="51"/>
  <c r="AQ7" i="51"/>
  <c r="AC7" i="51"/>
  <c r="E7" i="51"/>
  <c r="BQ6" i="51"/>
  <c r="BC6" i="51"/>
  <c r="AE6" i="51"/>
  <c r="Q6" i="51"/>
  <c r="C6" i="51"/>
  <c r="BE5" i="51"/>
  <c r="AQ5" i="51"/>
  <c r="AC5" i="51"/>
  <c r="E5" i="51"/>
  <c r="BQ4" i="51"/>
  <c r="BC4" i="51"/>
  <c r="AE4" i="51"/>
  <c r="Q4" i="51"/>
  <c r="J495" i="34"/>
  <c r="L412" i="34"/>
  <c r="Q357" i="34"/>
  <c r="R324" i="34"/>
  <c r="J318" i="34"/>
  <c r="I313" i="34"/>
  <c r="N310" i="34"/>
  <c r="Q308" i="34"/>
  <c r="M305" i="34"/>
  <c r="I302" i="34"/>
  <c r="T302" i="34" s="1"/>
  <c r="R298" i="34"/>
  <c r="Q297" i="34"/>
  <c r="P296" i="34"/>
  <c r="N295" i="34"/>
  <c r="R294" i="34"/>
  <c r="S294" i="34" s="1"/>
  <c r="J292" i="34"/>
  <c r="N291" i="34"/>
  <c r="R290" i="34"/>
  <c r="J288" i="34"/>
  <c r="N287" i="34"/>
  <c r="R286" i="34"/>
  <c r="J284" i="34"/>
  <c r="N283" i="34"/>
  <c r="R282" i="34"/>
  <c r="J280" i="34"/>
  <c r="N279" i="34"/>
  <c r="R278" i="34"/>
  <c r="J276" i="34"/>
  <c r="N275" i="34"/>
  <c r="R274" i="34"/>
  <c r="J272" i="34"/>
  <c r="N271" i="34"/>
  <c r="R270" i="34"/>
  <c r="J268" i="34"/>
  <c r="N267" i="34"/>
  <c r="R266" i="34"/>
  <c r="J264" i="34"/>
  <c r="N263" i="34"/>
  <c r="R262" i="34"/>
  <c r="S262" i="34" s="1"/>
  <c r="J260" i="34"/>
  <c r="N259" i="34"/>
  <c r="R258" i="34"/>
  <c r="J256" i="34"/>
  <c r="N255" i="34"/>
  <c r="R254" i="34"/>
  <c r="J252" i="34"/>
  <c r="N251" i="34"/>
  <c r="R250" i="34"/>
  <c r="J248" i="34"/>
  <c r="N247" i="34"/>
  <c r="R246" i="34"/>
  <c r="J244" i="34"/>
  <c r="N243" i="34"/>
  <c r="R242" i="34"/>
  <c r="J240" i="34"/>
  <c r="N239" i="34"/>
  <c r="R238" i="34"/>
  <c r="J236" i="34"/>
  <c r="N235" i="34"/>
  <c r="R234" i="34"/>
  <c r="J232" i="34"/>
  <c r="N231" i="34"/>
  <c r="R230" i="34"/>
  <c r="S230" i="34" s="1"/>
  <c r="J228" i="34"/>
  <c r="N227" i="34"/>
  <c r="R226" i="34"/>
  <c r="J224" i="34"/>
  <c r="N223" i="34"/>
  <c r="R222" i="34"/>
  <c r="J220" i="34"/>
  <c r="N219" i="34"/>
  <c r="R218" i="34"/>
  <c r="J216" i="34"/>
  <c r="N215" i="34"/>
  <c r="R214" i="34"/>
  <c r="J212" i="34"/>
  <c r="N211" i="34"/>
  <c r="R210" i="34"/>
  <c r="J208" i="34"/>
  <c r="N207" i="34"/>
  <c r="R206" i="34"/>
  <c r="J204" i="34"/>
  <c r="N203" i="34"/>
  <c r="R202" i="34"/>
  <c r="J200" i="34"/>
  <c r="N199" i="34"/>
  <c r="R198" i="34"/>
  <c r="S198" i="34" s="1"/>
  <c r="J196" i="34"/>
  <c r="N195" i="34"/>
  <c r="R194" i="34"/>
  <c r="J192" i="34"/>
  <c r="N191" i="34"/>
  <c r="R190" i="34"/>
  <c r="J188" i="34"/>
  <c r="N187" i="34"/>
  <c r="R186" i="34"/>
  <c r="O184" i="34"/>
  <c r="D184" i="34"/>
  <c r="N183" i="34"/>
  <c r="C183" i="34"/>
  <c r="E183" i="34" s="1"/>
  <c r="L182" i="34"/>
  <c r="K181" i="34"/>
  <c r="J180" i="34"/>
  <c r="R178" i="34"/>
  <c r="P177" i="34"/>
  <c r="O176" i="34"/>
  <c r="D176" i="34"/>
  <c r="N175" i="34"/>
  <c r="C175" i="34"/>
  <c r="E175" i="34" s="1"/>
  <c r="L174" i="34"/>
  <c r="K173" i="34"/>
  <c r="J172" i="34"/>
  <c r="R170" i="34"/>
  <c r="S170" i="34" s="1"/>
  <c r="P169" i="34"/>
  <c r="O168" i="34"/>
  <c r="D168" i="34"/>
  <c r="N167" i="34"/>
  <c r="C167" i="34"/>
  <c r="E167" i="34" s="1"/>
  <c r="L166" i="34"/>
  <c r="K165" i="34"/>
  <c r="J164" i="34"/>
  <c r="R162" i="34"/>
  <c r="P161" i="34"/>
  <c r="O160" i="34"/>
  <c r="D160" i="34"/>
  <c r="N159" i="34"/>
  <c r="C159" i="34"/>
  <c r="E159" i="34" s="1"/>
  <c r="L158" i="34"/>
  <c r="K157" i="34"/>
  <c r="J156" i="34"/>
  <c r="R154" i="34"/>
  <c r="P153" i="34"/>
  <c r="O152" i="34"/>
  <c r="D152" i="34"/>
  <c r="N151" i="34"/>
  <c r="C151" i="34"/>
  <c r="E151" i="34" s="1"/>
  <c r="L150" i="34"/>
  <c r="K149" i="34"/>
  <c r="J148" i="34"/>
  <c r="R146" i="34"/>
  <c r="P145" i="34"/>
  <c r="O144" i="34"/>
  <c r="D144" i="34"/>
  <c r="N143" i="34"/>
  <c r="C143" i="34"/>
  <c r="E143" i="34" s="1"/>
  <c r="L142" i="34"/>
  <c r="K141" i="34"/>
  <c r="J140" i="34"/>
  <c r="R138" i="34"/>
  <c r="P137" i="34"/>
  <c r="O136" i="34"/>
  <c r="D136" i="34"/>
  <c r="N135" i="34"/>
  <c r="C135" i="34"/>
  <c r="E135" i="34" s="1"/>
  <c r="L134" i="34"/>
  <c r="K133" i="34"/>
  <c r="J132" i="34"/>
  <c r="R130" i="34"/>
  <c r="P129" i="34"/>
  <c r="O128" i="34"/>
  <c r="D128" i="34"/>
  <c r="N127" i="34"/>
  <c r="C127" i="34"/>
  <c r="E127" i="34" s="1"/>
  <c r="L126" i="34"/>
  <c r="K125" i="34"/>
  <c r="J124" i="34"/>
  <c r="R122" i="34"/>
  <c r="P121" i="34"/>
  <c r="O120" i="34"/>
  <c r="D120" i="34"/>
  <c r="N119" i="34"/>
  <c r="C119" i="34"/>
  <c r="E119" i="34" s="1"/>
  <c r="L118" i="34"/>
  <c r="K117" i="34"/>
  <c r="J116" i="34"/>
  <c r="R114" i="34"/>
  <c r="P113" i="34"/>
  <c r="O112" i="34"/>
  <c r="D112" i="34"/>
  <c r="N111" i="34"/>
  <c r="C111" i="34"/>
  <c r="E111" i="34" s="1"/>
  <c r="L110" i="34"/>
  <c r="K109" i="34"/>
  <c r="J108" i="34"/>
  <c r="R106" i="34"/>
  <c r="J106" i="34"/>
  <c r="N105" i="34"/>
  <c r="R104" i="34"/>
  <c r="J104" i="34"/>
  <c r="N103" i="34"/>
  <c r="R102" i="34"/>
  <c r="J102" i="34"/>
  <c r="N101" i="34"/>
  <c r="R100" i="34"/>
  <c r="J100" i="34"/>
  <c r="N99" i="34"/>
  <c r="R98" i="34"/>
  <c r="J98" i="34"/>
  <c r="N97" i="34"/>
  <c r="R96" i="34"/>
  <c r="J96" i="34"/>
  <c r="N95" i="34"/>
  <c r="R94" i="34"/>
  <c r="J94" i="34"/>
  <c r="N93" i="34"/>
  <c r="R92" i="34"/>
  <c r="J92" i="34"/>
  <c r="N91" i="34"/>
  <c r="R90" i="34"/>
  <c r="J90" i="34"/>
  <c r="N89" i="34"/>
  <c r="R88" i="34"/>
  <c r="J88" i="34"/>
  <c r="N87" i="34"/>
  <c r="R86" i="34"/>
  <c r="J86" i="34"/>
  <c r="N85" i="34"/>
  <c r="R84" i="34"/>
  <c r="J84" i="34"/>
  <c r="N83" i="34"/>
  <c r="R82" i="34"/>
  <c r="J82" i="34"/>
  <c r="N81" i="34"/>
  <c r="R80" i="34"/>
  <c r="J80" i="34"/>
  <c r="N79" i="34"/>
  <c r="R78" i="34"/>
  <c r="J78" i="34"/>
  <c r="N77" i="34"/>
  <c r="R76" i="34"/>
  <c r="J76" i="34"/>
  <c r="N75" i="34"/>
  <c r="R74" i="34"/>
  <c r="J74" i="34"/>
  <c r="N73" i="34"/>
  <c r="R72" i="34"/>
  <c r="J72" i="34"/>
  <c r="N71" i="34"/>
  <c r="R70" i="34"/>
  <c r="J70" i="34"/>
  <c r="N69" i="34"/>
  <c r="R68" i="34"/>
  <c r="J68" i="34"/>
  <c r="N67" i="34"/>
  <c r="R66" i="34"/>
  <c r="J66" i="34"/>
  <c r="N65" i="34"/>
  <c r="R64" i="34"/>
  <c r="J64" i="34"/>
  <c r="N63" i="34"/>
  <c r="R62" i="34"/>
  <c r="J62" i="34"/>
  <c r="N61" i="34"/>
  <c r="R60" i="34"/>
  <c r="J60" i="34"/>
  <c r="N59" i="34"/>
  <c r="R58" i="34"/>
  <c r="S58" i="34" s="1"/>
  <c r="J58" i="34"/>
  <c r="N57" i="34"/>
  <c r="R56" i="34"/>
  <c r="J56" i="34"/>
  <c r="N55" i="34"/>
  <c r="R54" i="34"/>
  <c r="J54" i="34"/>
  <c r="N53" i="34"/>
  <c r="R52" i="34"/>
  <c r="J52" i="34"/>
  <c r="N51" i="34"/>
  <c r="R50" i="34"/>
  <c r="J50" i="34"/>
  <c r="N49" i="34"/>
  <c r="R48" i="34"/>
  <c r="J48" i="34"/>
  <c r="N47" i="34"/>
  <c r="R46" i="34"/>
  <c r="J46" i="34"/>
  <c r="N45" i="34"/>
  <c r="R44" i="34"/>
  <c r="J44" i="34"/>
  <c r="N43" i="34"/>
  <c r="R42" i="34"/>
  <c r="J42" i="34"/>
  <c r="N41" i="34"/>
  <c r="R40" i="34"/>
  <c r="J40" i="34"/>
  <c r="N39" i="34"/>
  <c r="R38" i="34"/>
  <c r="J38" i="34"/>
  <c r="N37" i="34"/>
  <c r="R36" i="34"/>
  <c r="J36" i="34"/>
  <c r="N35" i="34"/>
  <c r="R34" i="34"/>
  <c r="J34" i="34"/>
  <c r="N33" i="34"/>
  <c r="R32" i="34"/>
  <c r="J32" i="34"/>
  <c r="N31" i="34"/>
  <c r="R30" i="34"/>
  <c r="J30" i="34"/>
  <c r="N29" i="34"/>
  <c r="R28" i="34"/>
  <c r="J28" i="34"/>
  <c r="N27" i="34"/>
  <c r="R26" i="34"/>
  <c r="J26" i="34"/>
  <c r="N25" i="34"/>
  <c r="R24" i="34"/>
  <c r="J24" i="34"/>
  <c r="N23" i="34"/>
  <c r="R22" i="34"/>
  <c r="J22" i="34"/>
  <c r="N21" i="34"/>
  <c r="R20" i="34"/>
  <c r="J20" i="34"/>
  <c r="N19" i="34"/>
  <c r="R18" i="34"/>
  <c r="J18" i="34"/>
  <c r="N17" i="34"/>
  <c r="R16" i="34"/>
  <c r="J16" i="34"/>
  <c r="N15" i="34"/>
  <c r="R14" i="34"/>
  <c r="J14" i="34"/>
  <c r="N13" i="34"/>
  <c r="R12" i="34"/>
  <c r="J12" i="34"/>
  <c r="N11" i="34"/>
  <c r="R10" i="34"/>
  <c r="J10" i="34"/>
  <c r="N9" i="34"/>
  <c r="R8" i="34"/>
  <c r="J8" i="34"/>
  <c r="N7" i="34"/>
  <c r="P6" i="34"/>
  <c r="E53" i="52"/>
  <c r="AD52" i="52"/>
  <c r="BE51" i="52"/>
  <c r="D51" i="52"/>
  <c r="Q50" i="52"/>
  <c r="AD49" i="52"/>
  <c r="BE48" i="52"/>
  <c r="AD48" i="52"/>
  <c r="BE47" i="52"/>
  <c r="D47" i="52"/>
  <c r="Q46" i="52"/>
  <c r="AD45" i="52"/>
  <c r="BE44" i="52"/>
  <c r="AD44" i="52"/>
  <c r="BE43" i="52"/>
  <c r="D43" i="52"/>
  <c r="Q42" i="52"/>
  <c r="AD41" i="52"/>
  <c r="BE40" i="52"/>
  <c r="AD40" i="52"/>
  <c r="BE39" i="52"/>
  <c r="D39" i="52"/>
  <c r="Q38" i="52"/>
  <c r="AD37" i="52"/>
  <c r="BE36" i="52"/>
  <c r="AD36" i="52"/>
  <c r="BE35" i="52"/>
  <c r="D35" i="52"/>
  <c r="Q34" i="52"/>
  <c r="AD33" i="52"/>
  <c r="BE32" i="52"/>
  <c r="AD32" i="52"/>
  <c r="BE31" i="52"/>
  <c r="E31" i="52"/>
  <c r="BD30" i="52"/>
  <c r="R30" i="52"/>
  <c r="D30" i="52"/>
  <c r="BC29" i="52"/>
  <c r="AE29" i="52"/>
  <c r="Q29" i="52"/>
  <c r="C29" i="52"/>
  <c r="AD28" i="52"/>
  <c r="P28" i="52"/>
  <c r="BE27" i="52"/>
  <c r="AC27" i="52"/>
  <c r="E27" i="52"/>
  <c r="BD26" i="52"/>
  <c r="R26" i="52"/>
  <c r="D26" i="52"/>
  <c r="BC25" i="52"/>
  <c r="AE25" i="52"/>
  <c r="Q25" i="52"/>
  <c r="C25" i="52"/>
  <c r="AD24" i="52"/>
  <c r="P24" i="52"/>
  <c r="BE23" i="52"/>
  <c r="AC23" i="52"/>
  <c r="E23" i="52"/>
  <c r="BD22" i="52"/>
  <c r="R22" i="52"/>
  <c r="D22" i="52"/>
  <c r="BC21" i="52"/>
  <c r="AE21" i="52"/>
  <c r="Q21" i="52"/>
  <c r="C21" i="52"/>
  <c r="AD20" i="52"/>
  <c r="P20" i="52"/>
  <c r="BE19" i="52"/>
  <c r="AC19" i="52"/>
  <c r="E19" i="52"/>
  <c r="BD18" i="52"/>
  <c r="R18" i="52"/>
  <c r="D18" i="52"/>
  <c r="BC17" i="52"/>
  <c r="AE17" i="52"/>
  <c r="Q17" i="52"/>
  <c r="C17" i="52"/>
  <c r="AD16" i="52"/>
  <c r="P16" i="52"/>
  <c r="BE15" i="52"/>
  <c r="AC15" i="52"/>
  <c r="E15" i="52"/>
  <c r="BD14" i="52"/>
  <c r="R14" i="52"/>
  <c r="D14" i="52"/>
  <c r="BC13" i="52"/>
  <c r="AE13" i="52"/>
  <c r="Q13" i="52"/>
  <c r="C13" i="52"/>
  <c r="AD12" i="52"/>
  <c r="P12" i="52"/>
  <c r="BE11" i="52"/>
  <c r="AC11" i="52"/>
  <c r="E11" i="52"/>
  <c r="BD10" i="52"/>
  <c r="R10" i="52"/>
  <c r="D10" i="52"/>
  <c r="BC9" i="52"/>
  <c r="AE9" i="52"/>
  <c r="Q9" i="52"/>
  <c r="C9" i="52"/>
  <c r="AD8" i="52"/>
  <c r="P8" i="52"/>
  <c r="BE7" i="52"/>
  <c r="AC7" i="52"/>
  <c r="E7" i="52"/>
  <c r="BD6" i="52"/>
  <c r="R6" i="52"/>
  <c r="D6" i="52"/>
  <c r="BC5" i="52"/>
  <c r="AE5" i="52"/>
  <c r="Q5" i="52"/>
  <c r="C5" i="52"/>
  <c r="AR4" i="52"/>
  <c r="AD4" i="52"/>
  <c r="P4" i="52"/>
  <c r="BE53" i="51"/>
  <c r="AQ53" i="51"/>
  <c r="AC53" i="51"/>
  <c r="E53" i="51"/>
  <c r="BD52" i="51"/>
  <c r="AP52" i="51"/>
  <c r="R52" i="51"/>
  <c r="D52" i="51"/>
  <c r="BC51" i="51"/>
  <c r="AE51" i="51"/>
  <c r="Q51" i="51"/>
  <c r="C51" i="51"/>
  <c r="AR50" i="51"/>
  <c r="AD50" i="51"/>
  <c r="P50" i="51"/>
  <c r="BE49" i="51"/>
  <c r="AQ49" i="51"/>
  <c r="AC49" i="51"/>
  <c r="E49" i="51"/>
  <c r="BD48" i="51"/>
  <c r="AP48" i="51"/>
  <c r="R48" i="51"/>
  <c r="D48" i="51"/>
  <c r="BC47" i="51"/>
  <c r="AE47" i="51"/>
  <c r="Q47" i="51"/>
  <c r="C47" i="51"/>
  <c r="AR46" i="51"/>
  <c r="AD46" i="51"/>
  <c r="P46" i="51"/>
  <c r="BE45" i="51"/>
  <c r="AQ45" i="51"/>
  <c r="AC45" i="51"/>
  <c r="E45" i="51"/>
  <c r="BD44" i="51"/>
  <c r="AP44" i="51"/>
  <c r="R44" i="51"/>
  <c r="D44" i="51"/>
  <c r="BC43" i="51"/>
  <c r="AE43" i="51"/>
  <c r="Q43" i="51"/>
  <c r="C43" i="51"/>
  <c r="AR42" i="51"/>
  <c r="AD42" i="51"/>
  <c r="P42" i="51"/>
  <c r="BE41" i="51"/>
  <c r="AQ41" i="51"/>
  <c r="AC41" i="51"/>
  <c r="E41" i="51"/>
  <c r="BD40" i="51"/>
  <c r="AP40" i="51"/>
  <c r="R40" i="51"/>
  <c r="D40" i="51"/>
  <c r="BC39" i="51"/>
  <c r="AE39" i="51"/>
  <c r="Q39" i="51"/>
  <c r="C39" i="51"/>
  <c r="AR38" i="51"/>
  <c r="AD38" i="51"/>
  <c r="P38" i="51"/>
  <c r="BE37" i="51"/>
  <c r="AQ37" i="51"/>
  <c r="AC37" i="51"/>
  <c r="E37" i="51"/>
  <c r="BD36" i="51"/>
  <c r="AP36" i="51"/>
  <c r="R36" i="51"/>
  <c r="D36" i="51"/>
  <c r="BC35" i="51"/>
  <c r="AE35" i="51"/>
  <c r="Q35" i="51"/>
  <c r="C35" i="51"/>
  <c r="AR34" i="51"/>
  <c r="AD34" i="51"/>
  <c r="P34" i="51"/>
  <c r="BE33" i="51"/>
  <c r="AQ33" i="51"/>
  <c r="AC33" i="51"/>
  <c r="E33" i="51"/>
  <c r="BD32" i="51"/>
  <c r="AP32" i="51"/>
  <c r="R32" i="51"/>
  <c r="D32" i="51"/>
  <c r="BC31" i="51"/>
  <c r="AE31" i="51"/>
  <c r="Q31" i="51"/>
  <c r="C31" i="51"/>
  <c r="AR30" i="51"/>
  <c r="AD30" i="51"/>
  <c r="P30" i="51"/>
  <c r="BE29" i="51"/>
  <c r="AQ29" i="51"/>
  <c r="AC29" i="51"/>
  <c r="E29" i="51"/>
  <c r="BD28" i="51"/>
  <c r="AP28" i="51"/>
  <c r="R28" i="51"/>
  <c r="P409" i="34"/>
  <c r="I343" i="34"/>
  <c r="R312" i="34"/>
  <c r="P299" i="34"/>
  <c r="K295" i="34"/>
  <c r="C289" i="34"/>
  <c r="E289" i="34" s="1"/>
  <c r="O282" i="34"/>
  <c r="K279" i="34"/>
  <c r="C273" i="34"/>
  <c r="E273" i="34" s="1"/>
  <c r="O266" i="34"/>
  <c r="K263" i="34"/>
  <c r="C257" i="34"/>
  <c r="E257" i="34" s="1"/>
  <c r="O250" i="34"/>
  <c r="K247" i="34"/>
  <c r="C241" i="34"/>
  <c r="E241" i="34" s="1"/>
  <c r="O234" i="34"/>
  <c r="K231" i="34"/>
  <c r="C225" i="34"/>
  <c r="E225" i="34" s="1"/>
  <c r="O218" i="34"/>
  <c r="K215" i="34"/>
  <c r="C209" i="34"/>
  <c r="E209" i="34" s="1"/>
  <c r="O202" i="34"/>
  <c r="K199" i="34"/>
  <c r="C193" i="34"/>
  <c r="E193" i="34" s="1"/>
  <c r="O186" i="34"/>
  <c r="C184" i="34"/>
  <c r="E184" i="34" s="1"/>
  <c r="R179" i="34"/>
  <c r="O177" i="34"/>
  <c r="L175" i="34"/>
  <c r="J173" i="34"/>
  <c r="D169" i="34"/>
  <c r="P162" i="34"/>
  <c r="N160" i="34"/>
  <c r="K158" i="34"/>
  <c r="C152" i="34"/>
  <c r="E152" i="34" s="1"/>
  <c r="R147" i="34"/>
  <c r="O145" i="34"/>
  <c r="L143" i="34"/>
  <c r="J141" i="34"/>
  <c r="D137" i="34"/>
  <c r="P130" i="34"/>
  <c r="N128" i="34"/>
  <c r="K126" i="34"/>
  <c r="C120" i="34"/>
  <c r="E120" i="34" s="1"/>
  <c r="R115" i="34"/>
  <c r="O113" i="34"/>
  <c r="L111" i="34"/>
  <c r="J109" i="34"/>
  <c r="M105" i="34"/>
  <c r="I102" i="34"/>
  <c r="Q100" i="34"/>
  <c r="M97" i="34"/>
  <c r="I94" i="34"/>
  <c r="Q92" i="34"/>
  <c r="M89" i="34"/>
  <c r="I86" i="34"/>
  <c r="Q84" i="34"/>
  <c r="M81" i="34"/>
  <c r="I78" i="34"/>
  <c r="Q76" i="34"/>
  <c r="M73" i="34"/>
  <c r="I70" i="34"/>
  <c r="Q68" i="34"/>
  <c r="M65" i="34"/>
  <c r="I62" i="34"/>
  <c r="Q60" i="34"/>
  <c r="M57" i="34"/>
  <c r="I54" i="34"/>
  <c r="Q52" i="34"/>
  <c r="M49" i="34"/>
  <c r="I46" i="34"/>
  <c r="Q44" i="34"/>
  <c r="M41" i="34"/>
  <c r="I38" i="34"/>
  <c r="Q36" i="34"/>
  <c r="M33" i="34"/>
  <c r="I30" i="34"/>
  <c r="Q28" i="34"/>
  <c r="M25" i="34"/>
  <c r="I22" i="34"/>
  <c r="Q20" i="34"/>
  <c r="M17" i="34"/>
  <c r="I14" i="34"/>
  <c r="Q12" i="34"/>
  <c r="M9" i="34"/>
  <c r="AC48" i="52"/>
  <c r="BD47" i="52"/>
  <c r="D46" i="52"/>
  <c r="AC40" i="52"/>
  <c r="BD39" i="52"/>
  <c r="D38" i="52"/>
  <c r="AC32" i="52"/>
  <c r="BD31" i="52"/>
  <c r="D31" i="52"/>
  <c r="Q30" i="52"/>
  <c r="D27" i="52"/>
  <c r="Q26" i="52"/>
  <c r="D23" i="52"/>
  <c r="Q22" i="52"/>
  <c r="D19" i="52"/>
  <c r="Q18" i="52"/>
  <c r="D15" i="52"/>
  <c r="Q14" i="52"/>
  <c r="D11" i="52"/>
  <c r="Q10" i="52"/>
  <c r="D7" i="52"/>
  <c r="Q6" i="52"/>
  <c r="C52" i="51"/>
  <c r="P51" i="51"/>
  <c r="AC50" i="51"/>
  <c r="AP49" i="51"/>
  <c r="D49" i="51"/>
  <c r="BC48" i="51"/>
  <c r="Q48" i="51"/>
  <c r="AD47" i="51"/>
  <c r="AQ46" i="51"/>
  <c r="E46" i="51"/>
  <c r="BD45" i="51"/>
  <c r="R45" i="51"/>
  <c r="AE44" i="51"/>
  <c r="AR43" i="51"/>
  <c r="BE42" i="51"/>
  <c r="C36" i="51"/>
  <c r="P35" i="51"/>
  <c r="AC34" i="51"/>
  <c r="AP33" i="51"/>
  <c r="D33" i="51"/>
  <c r="BC32" i="51"/>
  <c r="Q32" i="51"/>
  <c r="AD31" i="51"/>
  <c r="AQ30" i="51"/>
  <c r="E30" i="51"/>
  <c r="BD29" i="51"/>
  <c r="R29" i="51"/>
  <c r="AE28" i="51"/>
  <c r="C28" i="51"/>
  <c r="AR27" i="51"/>
  <c r="P27" i="51"/>
  <c r="BE26" i="51"/>
  <c r="AC26" i="51"/>
  <c r="BQ25" i="51"/>
  <c r="AE25" i="51"/>
  <c r="C25" i="51"/>
  <c r="AQ24" i="51"/>
  <c r="E24" i="51"/>
  <c r="BC23" i="51"/>
  <c r="Q23" i="51"/>
  <c r="BE22" i="51"/>
  <c r="AC22" i="51"/>
  <c r="BQ21" i="51"/>
  <c r="AE21" i="51"/>
  <c r="C21" i="51"/>
  <c r="AQ20" i="51"/>
  <c r="E20" i="51"/>
  <c r="BC19" i="51"/>
  <c r="Q19" i="51"/>
  <c r="BE18" i="51"/>
  <c r="AC18" i="51"/>
  <c r="BQ17" i="51"/>
  <c r="AE17" i="51"/>
  <c r="C17" i="51"/>
  <c r="AQ16" i="51"/>
  <c r="E16" i="51"/>
  <c r="BC15" i="51"/>
  <c r="Q15" i="51"/>
  <c r="BE14" i="51"/>
  <c r="AC14" i="51"/>
  <c r="BQ13" i="51"/>
  <c r="AE13" i="51"/>
  <c r="C13" i="51"/>
  <c r="AQ12" i="51"/>
  <c r="E12" i="51"/>
  <c r="BC11" i="51"/>
  <c r="Q11" i="51"/>
  <c r="BE10" i="51"/>
  <c r="AC10" i="51"/>
  <c r="BQ9" i="51"/>
  <c r="AE9" i="51"/>
  <c r="C9" i="51"/>
  <c r="AQ8" i="51"/>
  <c r="E8" i="51"/>
  <c r="BC7" i="51"/>
  <c r="Q7" i="51"/>
  <c r="BE6" i="51"/>
  <c r="AC6" i="51"/>
  <c r="BQ5" i="51"/>
  <c r="AE5" i="51"/>
  <c r="C5" i="51"/>
  <c r="AQ4" i="51"/>
  <c r="E4" i="51"/>
  <c r="C3" i="11"/>
  <c r="C4" i="51" s="1"/>
  <c r="M330" i="34"/>
  <c r="P303" i="34"/>
  <c r="N298" i="34"/>
  <c r="O294" i="34"/>
  <c r="K291" i="34"/>
  <c r="C285" i="34"/>
  <c r="E285" i="34" s="1"/>
  <c r="O278" i="34"/>
  <c r="K275" i="34"/>
  <c r="C269" i="34"/>
  <c r="E269" i="34" s="1"/>
  <c r="O262" i="34"/>
  <c r="K259" i="34"/>
  <c r="C253" i="34"/>
  <c r="E253" i="34" s="1"/>
  <c r="O246" i="34"/>
  <c r="K243" i="34"/>
  <c r="C237" i="34"/>
  <c r="E237" i="34" s="1"/>
  <c r="O230" i="34"/>
  <c r="K227" i="34"/>
  <c r="C221" i="34"/>
  <c r="E221" i="34" s="1"/>
  <c r="O214" i="34"/>
  <c r="K211" i="34"/>
  <c r="C205" i="34"/>
  <c r="E205" i="34" s="1"/>
  <c r="O198" i="34"/>
  <c r="K195" i="34"/>
  <c r="C189" i="34"/>
  <c r="E189" i="34" s="1"/>
  <c r="L183" i="34"/>
  <c r="J181" i="34"/>
  <c r="D177" i="34"/>
  <c r="P170" i="34"/>
  <c r="N168" i="34"/>
  <c r="K166" i="34"/>
  <c r="C160" i="34"/>
  <c r="E160" i="34" s="1"/>
  <c r="R155" i="34"/>
  <c r="S155" i="34" s="1"/>
  <c r="O153" i="34"/>
  <c r="L151" i="34"/>
  <c r="J149" i="34"/>
  <c r="D145" i="34"/>
  <c r="P138" i="34"/>
  <c r="N136" i="34"/>
  <c r="K134" i="34"/>
  <c r="C128" i="34"/>
  <c r="E128" i="34" s="1"/>
  <c r="R123" i="34"/>
  <c r="O121" i="34"/>
  <c r="L119" i="34"/>
  <c r="J117" i="34"/>
  <c r="D113" i="34"/>
  <c r="Q106" i="34"/>
  <c r="M103" i="34"/>
  <c r="I100" i="34"/>
  <c r="Q98" i="34"/>
  <c r="M95" i="34"/>
  <c r="I92" i="34"/>
  <c r="Q90" i="34"/>
  <c r="M87" i="34"/>
  <c r="I84" i="34"/>
  <c r="Q82" i="34"/>
  <c r="M79" i="34"/>
  <c r="I76" i="34"/>
  <c r="Q74" i="34"/>
  <c r="M71" i="34"/>
  <c r="I68" i="34"/>
  <c r="Q66" i="34"/>
  <c r="M63" i="34"/>
  <c r="I60" i="34"/>
  <c r="Q58" i="34"/>
  <c r="M55" i="34"/>
  <c r="I52" i="34"/>
  <c r="Q50" i="34"/>
  <c r="M47" i="34"/>
  <c r="I44" i="34"/>
  <c r="Q42" i="34"/>
  <c r="M39" i="34"/>
  <c r="I36" i="34"/>
  <c r="Q34" i="34"/>
  <c r="M31" i="34"/>
  <c r="I28" i="34"/>
  <c r="Q26" i="34"/>
  <c r="M23" i="34"/>
  <c r="I20" i="34"/>
  <c r="Q18" i="34"/>
  <c r="M15" i="34"/>
  <c r="I12" i="34"/>
  <c r="Q10" i="34"/>
  <c r="M7" i="34"/>
  <c r="Q49" i="52"/>
  <c r="AC47" i="52"/>
  <c r="BD46" i="52"/>
  <c r="Q41" i="52"/>
  <c r="AC39" i="52"/>
  <c r="BD38" i="52"/>
  <c r="Q33" i="52"/>
  <c r="AC31" i="52"/>
  <c r="AE30" i="52"/>
  <c r="AC28" i="52"/>
  <c r="BD27" i="52"/>
  <c r="R27" i="52"/>
  <c r="AE26" i="52"/>
  <c r="AC24" i="52"/>
  <c r="BD23" i="52"/>
  <c r="R23" i="52"/>
  <c r="AE22" i="52"/>
  <c r="AC20" i="52"/>
  <c r="BD19" i="52"/>
  <c r="R19" i="52"/>
  <c r="AE18" i="52"/>
  <c r="AC16" i="52"/>
  <c r="BD15" i="52"/>
  <c r="R15" i="52"/>
  <c r="AE14" i="52"/>
  <c r="AC12" i="52"/>
  <c r="BD11" i="52"/>
  <c r="R11" i="52"/>
  <c r="AE10" i="52"/>
  <c r="AC8" i="52"/>
  <c r="BD7" i="52"/>
  <c r="R7" i="52"/>
  <c r="AE6" i="52"/>
  <c r="AC4" i="52"/>
  <c r="AP53" i="51"/>
  <c r="D53" i="51"/>
  <c r="BC52" i="51"/>
  <c r="Q52" i="51"/>
  <c r="AD51" i="51"/>
  <c r="AQ50" i="51"/>
  <c r="E50" i="51"/>
  <c r="BD49" i="51"/>
  <c r="R49" i="51"/>
  <c r="AE48" i="51"/>
  <c r="AR47" i="51"/>
  <c r="BE46" i="51"/>
  <c r="C40" i="51"/>
  <c r="P39" i="51"/>
  <c r="AC38" i="51"/>
  <c r="AP37" i="51"/>
  <c r="D37" i="51"/>
  <c r="BC36" i="51"/>
  <c r="Q36" i="51"/>
  <c r="AD35" i="51"/>
  <c r="AQ34" i="51"/>
  <c r="E34" i="51"/>
  <c r="BD33" i="51"/>
  <c r="R33" i="51"/>
  <c r="AE32" i="51"/>
  <c r="AR31" i="51"/>
  <c r="BE30" i="51"/>
  <c r="AE27" i="51"/>
  <c r="C27" i="51"/>
  <c r="AR26" i="51"/>
  <c r="P26" i="51"/>
  <c r="BD25" i="51"/>
  <c r="R25" i="51"/>
  <c r="BP24" i="51"/>
  <c r="AD24" i="51"/>
  <c r="BR23" i="51"/>
  <c r="AP23" i="51"/>
  <c r="D23" i="51"/>
  <c r="AR22" i="51"/>
  <c r="P22" i="51"/>
  <c r="BD21" i="51"/>
  <c r="R21" i="51"/>
  <c r="BP20" i="51"/>
  <c r="AD20" i="51"/>
  <c r="BR19" i="51"/>
  <c r="AP19" i="51"/>
  <c r="D19" i="51"/>
  <c r="AR18" i="51"/>
  <c r="P18" i="51"/>
  <c r="BD17" i="51"/>
  <c r="R17" i="51"/>
  <c r="BP16" i="51"/>
  <c r="AD16" i="51"/>
  <c r="BR15" i="51"/>
  <c r="AP15" i="51"/>
  <c r="D15" i="51"/>
  <c r="AR14" i="51"/>
  <c r="P14" i="51"/>
  <c r="BD13" i="51"/>
  <c r="R13" i="51"/>
  <c r="BP12" i="51"/>
  <c r="AD12" i="51"/>
  <c r="BR11" i="51"/>
  <c r="AP11" i="51"/>
  <c r="D11" i="51"/>
  <c r="AR10" i="51"/>
  <c r="P10" i="51"/>
  <c r="BD9" i="51"/>
  <c r="R9" i="51"/>
  <c r="BP8" i="51"/>
  <c r="AD8" i="51"/>
  <c r="BR7" i="51"/>
  <c r="AP7" i="51"/>
  <c r="D7" i="51"/>
  <c r="AR6" i="51"/>
  <c r="P6" i="51"/>
  <c r="BD5" i="51"/>
  <c r="R5" i="51"/>
  <c r="BP4" i="51"/>
  <c r="AD4" i="51"/>
  <c r="R371" i="34"/>
  <c r="L308" i="34"/>
  <c r="D302" i="34"/>
  <c r="M297" i="34"/>
  <c r="O290" i="34"/>
  <c r="K287" i="34"/>
  <c r="C281" i="34"/>
  <c r="E281" i="34" s="1"/>
  <c r="O274" i="34"/>
  <c r="K271" i="34"/>
  <c r="C265" i="34"/>
  <c r="E265" i="34" s="1"/>
  <c r="O258" i="34"/>
  <c r="K255" i="34"/>
  <c r="C249" i="34"/>
  <c r="E249" i="34" s="1"/>
  <c r="O242" i="34"/>
  <c r="K239" i="34"/>
  <c r="C233" i="34"/>
  <c r="E233" i="34" s="1"/>
  <c r="O226" i="34"/>
  <c r="K223" i="34"/>
  <c r="C217" i="34"/>
  <c r="E217" i="34" s="1"/>
  <c r="O210" i="34"/>
  <c r="K207" i="34"/>
  <c r="C201" i="34"/>
  <c r="E201" i="34" s="1"/>
  <c r="O194" i="34"/>
  <c r="K191" i="34"/>
  <c r="D185" i="34"/>
  <c r="P178" i="34"/>
  <c r="N176" i="34"/>
  <c r="K174" i="34"/>
  <c r="C168" i="34"/>
  <c r="E168" i="34" s="1"/>
  <c r="R163" i="34"/>
  <c r="O161" i="34"/>
  <c r="L159" i="34"/>
  <c r="J157" i="34"/>
  <c r="D153" i="34"/>
  <c r="P146" i="34"/>
  <c r="N144" i="34"/>
  <c r="K142" i="34"/>
  <c r="C136" i="34"/>
  <c r="E136" i="34" s="1"/>
  <c r="R131" i="34"/>
  <c r="O129" i="34"/>
  <c r="L127" i="34"/>
  <c r="J125" i="34"/>
  <c r="D121" i="34"/>
  <c r="P114" i="34"/>
  <c r="N112" i="34"/>
  <c r="K110" i="34"/>
  <c r="I106" i="34"/>
  <c r="Q104" i="34"/>
  <c r="M101" i="34"/>
  <c r="I98" i="34"/>
  <c r="Q96" i="34"/>
  <c r="M93" i="34"/>
  <c r="I90" i="34"/>
  <c r="Q88" i="34"/>
  <c r="M85" i="34"/>
  <c r="I82" i="34"/>
  <c r="Q80" i="34"/>
  <c r="M77" i="34"/>
  <c r="I74" i="34"/>
  <c r="Q72" i="34"/>
  <c r="M69" i="34"/>
  <c r="I66" i="34"/>
  <c r="Q64" i="34"/>
  <c r="M61" i="34"/>
  <c r="I58" i="34"/>
  <c r="T58" i="34" s="1"/>
  <c r="Q56" i="34"/>
  <c r="M53" i="34"/>
  <c r="I50" i="34"/>
  <c r="Q48" i="34"/>
  <c r="M45" i="34"/>
  <c r="I42" i="34"/>
  <c r="Q40" i="34"/>
  <c r="M37" i="34"/>
  <c r="I34" i="34"/>
  <c r="Q32" i="34"/>
  <c r="M29" i="34"/>
  <c r="I26" i="34"/>
  <c r="Q24" i="34"/>
  <c r="M21" i="34"/>
  <c r="I18" i="34"/>
  <c r="Q16" i="34"/>
  <c r="M13" i="34"/>
  <c r="I10" i="34"/>
  <c r="Q8" i="34"/>
  <c r="AC52" i="52"/>
  <c r="BD51" i="52"/>
  <c r="D50" i="52"/>
  <c r="AC44" i="52"/>
  <c r="BD43" i="52"/>
  <c r="D42" i="52"/>
  <c r="AC36" i="52"/>
  <c r="BD35" i="52"/>
  <c r="D34" i="52"/>
  <c r="P29" i="52"/>
  <c r="E28" i="52"/>
  <c r="P25" i="52"/>
  <c r="E24" i="52"/>
  <c r="P21" i="52"/>
  <c r="E20" i="52"/>
  <c r="P17" i="52"/>
  <c r="E16" i="52"/>
  <c r="P13" i="52"/>
  <c r="E12" i="52"/>
  <c r="P9" i="52"/>
  <c r="E8" i="52"/>
  <c r="P5" i="52"/>
  <c r="AQ4" i="52"/>
  <c r="E4" i="52"/>
  <c r="BD53" i="51"/>
  <c r="R53" i="51"/>
  <c r="AE52" i="51"/>
  <c r="AR51" i="51"/>
  <c r="BE50" i="51"/>
  <c r="C44" i="51"/>
  <c r="P43" i="51"/>
  <c r="AC42" i="51"/>
  <c r="AP41" i="51"/>
  <c r="D41" i="51"/>
  <c r="BC40" i="51"/>
  <c r="Q40" i="51"/>
  <c r="AD39" i="51"/>
  <c r="AQ38" i="51"/>
  <c r="E38" i="51"/>
  <c r="BD37" i="51"/>
  <c r="R37" i="51"/>
  <c r="AE36" i="51"/>
  <c r="AR35" i="51"/>
  <c r="BE34" i="51"/>
  <c r="AD27" i="51"/>
  <c r="AQ26" i="51"/>
  <c r="E26" i="51"/>
  <c r="BC25" i="51"/>
  <c r="Q25" i="51"/>
  <c r="BE24" i="51"/>
  <c r="AC24" i="51"/>
  <c r="BQ23" i="51"/>
  <c r="AE23" i="51"/>
  <c r="C23" i="51"/>
  <c r="AQ22" i="51"/>
  <c r="E22" i="51"/>
  <c r="BC21" i="51"/>
  <c r="Q21" i="51"/>
  <c r="BE20" i="51"/>
  <c r="AC20" i="51"/>
  <c r="BQ19" i="51"/>
  <c r="AE19" i="51"/>
  <c r="C19" i="51"/>
  <c r="AQ18" i="51"/>
  <c r="E18" i="51"/>
  <c r="BC17" i="51"/>
  <c r="Q17" i="51"/>
  <c r="BE16" i="51"/>
  <c r="AC16" i="51"/>
  <c r="BQ15" i="51"/>
  <c r="AE15" i="51"/>
  <c r="C15" i="51"/>
  <c r="AQ14" i="51"/>
  <c r="E14" i="51"/>
  <c r="BC13" i="51"/>
  <c r="Q13" i="51"/>
  <c r="BE12" i="51"/>
  <c r="AC12" i="51"/>
  <c r="BQ11" i="51"/>
  <c r="AE11" i="51"/>
  <c r="C11" i="51"/>
  <c r="AQ10" i="51"/>
  <c r="E10" i="51"/>
  <c r="BC9" i="51"/>
  <c r="Q9" i="51"/>
  <c r="BE8" i="51"/>
  <c r="AC8" i="51"/>
  <c r="BQ7" i="51"/>
  <c r="AE7" i="51"/>
  <c r="C7" i="51"/>
  <c r="AQ6" i="51"/>
  <c r="E6" i="51"/>
  <c r="BC5" i="51"/>
  <c r="Q5" i="51"/>
  <c r="BE4" i="51"/>
  <c r="AC4" i="51"/>
  <c r="N317" i="34"/>
  <c r="C293" i="34"/>
  <c r="E293" i="34" s="1"/>
  <c r="K267" i="34"/>
  <c r="O254" i="34"/>
  <c r="C229" i="34"/>
  <c r="E229" i="34" s="1"/>
  <c r="K203" i="34"/>
  <c r="O190" i="34"/>
  <c r="R171" i="34"/>
  <c r="P154" i="34"/>
  <c r="O137" i="34"/>
  <c r="D129" i="34"/>
  <c r="N120" i="34"/>
  <c r="C112" i="34"/>
  <c r="E112" i="34" s="1"/>
  <c r="I104" i="34"/>
  <c r="M91" i="34"/>
  <c r="Q78" i="34"/>
  <c r="I72" i="34"/>
  <c r="M59" i="34"/>
  <c r="Q46" i="34"/>
  <c r="I40" i="34"/>
  <c r="M27" i="34"/>
  <c r="Q14" i="34"/>
  <c r="I8" i="34"/>
  <c r="BD50" i="52"/>
  <c r="BD42" i="52"/>
  <c r="BD34" i="52"/>
  <c r="BC30" i="52"/>
  <c r="BE28" i="52"/>
  <c r="BC26" i="52"/>
  <c r="BE24" i="52"/>
  <c r="BC22" i="52"/>
  <c r="BE20" i="52"/>
  <c r="BC18" i="52"/>
  <c r="BE16" i="52"/>
  <c r="BC14" i="52"/>
  <c r="BE12" i="52"/>
  <c r="BC10" i="52"/>
  <c r="BE8" i="52"/>
  <c r="BC6" i="52"/>
  <c r="BE4" i="52"/>
  <c r="P47" i="51"/>
  <c r="D45" i="51"/>
  <c r="BD41" i="51"/>
  <c r="AR39" i="51"/>
  <c r="C32" i="51"/>
  <c r="BC28" i="51"/>
  <c r="BP22" i="51"/>
  <c r="AD22" i="51"/>
  <c r="BR21" i="51"/>
  <c r="AP17" i="51"/>
  <c r="D17" i="51"/>
  <c r="AR16" i="51"/>
  <c r="P12" i="51"/>
  <c r="BD11" i="51"/>
  <c r="R11" i="51"/>
  <c r="BP6" i="51"/>
  <c r="AD6" i="51"/>
  <c r="BR5" i="51"/>
  <c r="C277" i="34"/>
  <c r="E277" i="34" s="1"/>
  <c r="K251" i="34"/>
  <c r="O238" i="34"/>
  <c r="C213" i="34"/>
  <c r="E213" i="34" s="1"/>
  <c r="K187" i="34"/>
  <c r="O169" i="34"/>
  <c r="D161" i="34"/>
  <c r="N152" i="34"/>
  <c r="C144" i="34"/>
  <c r="E144" i="34" s="1"/>
  <c r="L135" i="34"/>
  <c r="K118" i="34"/>
  <c r="Q102" i="34"/>
  <c r="I96" i="34"/>
  <c r="M83" i="34"/>
  <c r="Q70" i="34"/>
  <c r="I64" i="34"/>
  <c r="M51" i="34"/>
  <c r="Q38" i="34"/>
  <c r="I32" i="34"/>
  <c r="M19" i="34"/>
  <c r="O6" i="34"/>
  <c r="C48" i="51"/>
  <c r="BC44" i="51"/>
  <c r="AQ42" i="51"/>
  <c r="AE40" i="51"/>
  <c r="AP29" i="51"/>
  <c r="BC27" i="51"/>
  <c r="Q27" i="51"/>
  <c r="P24" i="51"/>
  <c r="BD23" i="51"/>
  <c r="R23" i="51"/>
  <c r="BP18" i="51"/>
  <c r="AD18" i="51"/>
  <c r="BR17" i="51"/>
  <c r="AP13" i="51"/>
  <c r="D13" i="51"/>
  <c r="AR12" i="51"/>
  <c r="P8" i="51"/>
  <c r="BD7" i="51"/>
  <c r="R7" i="51"/>
  <c r="Q300" i="34"/>
  <c r="O286" i="34"/>
  <c r="C261" i="34"/>
  <c r="E261" i="34" s="1"/>
  <c r="K235" i="34"/>
  <c r="O222" i="34"/>
  <c r="C197" i="34"/>
  <c r="E197" i="34" s="1"/>
  <c r="N184" i="34"/>
  <c r="C176" i="34"/>
  <c r="E176" i="34" s="1"/>
  <c r="L167" i="34"/>
  <c r="K150" i="34"/>
  <c r="J133" i="34"/>
  <c r="R107" i="34"/>
  <c r="Q94" i="34"/>
  <c r="I88" i="34"/>
  <c r="M75" i="34"/>
  <c r="Q62" i="34"/>
  <c r="I56" i="34"/>
  <c r="M43" i="34"/>
  <c r="Q30" i="34"/>
  <c r="I24" i="34"/>
  <c r="M11" i="34"/>
  <c r="C30" i="52"/>
  <c r="AD29" i="52"/>
  <c r="C26" i="52"/>
  <c r="AD25" i="52"/>
  <c r="C22" i="52"/>
  <c r="AD21" i="52"/>
  <c r="C18" i="52"/>
  <c r="AD17" i="52"/>
  <c r="C14" i="52"/>
  <c r="AD13" i="52"/>
  <c r="C10" i="52"/>
  <c r="AD9" i="52"/>
  <c r="C6" i="52"/>
  <c r="AD5" i="52"/>
  <c r="AP45" i="51"/>
  <c r="AD43" i="51"/>
  <c r="R41" i="51"/>
  <c r="AC30" i="51"/>
  <c r="Q28" i="51"/>
  <c r="AP25" i="51"/>
  <c r="D25" i="51"/>
  <c r="AR24" i="51"/>
  <c r="P20" i="51"/>
  <c r="BD19" i="51"/>
  <c r="R19" i="51"/>
  <c r="BP14" i="51"/>
  <c r="AD14" i="51"/>
  <c r="BR13" i="51"/>
  <c r="AP9" i="51"/>
  <c r="D9" i="51"/>
  <c r="AR8" i="51"/>
  <c r="P4" i="51"/>
  <c r="K283" i="34"/>
  <c r="K182" i="34"/>
  <c r="Q86" i="34"/>
  <c r="M35" i="34"/>
  <c r="Q45" i="52"/>
  <c r="AC43" i="52"/>
  <c r="D28" i="51"/>
  <c r="BR25" i="51"/>
  <c r="P16" i="51"/>
  <c r="AD10" i="51"/>
  <c r="AR4" i="51"/>
  <c r="O270" i="34"/>
  <c r="K219" i="34"/>
  <c r="R139" i="34"/>
  <c r="I80" i="34"/>
  <c r="Q54" i="34"/>
  <c r="Q44" i="51"/>
  <c r="P31" i="51"/>
  <c r="AP21" i="51"/>
  <c r="BD15" i="51"/>
  <c r="BR9" i="51"/>
  <c r="O206" i="34"/>
  <c r="J165" i="34"/>
  <c r="M99" i="34"/>
  <c r="I48" i="34"/>
  <c r="Q22" i="34"/>
  <c r="AD53" i="52"/>
  <c r="AC51" i="52"/>
  <c r="Q37" i="52"/>
  <c r="AC35" i="52"/>
  <c r="BE38" i="51"/>
  <c r="D21" i="51"/>
  <c r="R15" i="51"/>
  <c r="AP5" i="51"/>
  <c r="L296" i="34"/>
  <c r="C245" i="34"/>
  <c r="E245" i="34" s="1"/>
  <c r="P122" i="34"/>
  <c r="M67" i="34"/>
  <c r="I16" i="34"/>
  <c r="AC46" i="51"/>
  <c r="E42" i="51"/>
  <c r="D29" i="51"/>
  <c r="AD26" i="51"/>
  <c r="AR20" i="51"/>
  <c r="BP10" i="51"/>
  <c r="D5" i="51"/>
  <c r="N5" i="37" a="1"/>
  <c r="N5" i="37" s="1"/>
  <c r="O5" i="37" s="1" a="1"/>
  <c r="O5" i="37" s="1"/>
  <c r="N6" i="37" a="1"/>
  <c r="N6" i="37" s="1"/>
  <c r="O6" i="37" s="1" a="1"/>
  <c r="O6" i="37" s="1"/>
  <c r="N7" i="37" a="1"/>
  <c r="N7" i="37" s="1"/>
  <c r="O7" i="37" s="1" a="1"/>
  <c r="O7" i="37" s="1"/>
  <c r="N9" i="37" a="1"/>
  <c r="N9" i="37" s="1"/>
  <c r="N10" i="37" a="1"/>
  <c r="N10" i="37" s="1"/>
  <c r="N8" i="37" a="1"/>
  <c r="N8" i="37" s="1"/>
  <c r="M17" i="37"/>
  <c r="N14" i="37" a="1"/>
  <c r="N14" i="37" s="1"/>
  <c r="J5" i="37" a="1"/>
  <c r="J5" i="37" s="1"/>
  <c r="M18" i="37"/>
  <c r="P15" i="37" a="1"/>
  <c r="P15" i="37" s="1"/>
  <c r="N15" i="37" a="1"/>
  <c r="N15" i="37" s="1"/>
  <c r="U113" i="34" l="1"/>
  <c r="F113" i="34"/>
  <c r="V113" i="34"/>
  <c r="V137" i="34"/>
  <c r="U137" i="34"/>
  <c r="F137" i="34"/>
  <c r="U136" i="34"/>
  <c r="F136" i="34"/>
  <c r="V136" i="34"/>
  <c r="F168" i="34"/>
  <c r="V168" i="34"/>
  <c r="U168" i="34"/>
  <c r="F117" i="34"/>
  <c r="V117" i="34"/>
  <c r="U117" i="34"/>
  <c r="F149" i="34"/>
  <c r="V149" i="34"/>
  <c r="U149" i="34"/>
  <c r="F181" i="34"/>
  <c r="U181" i="34"/>
  <c r="V181" i="34"/>
  <c r="F6" i="34"/>
  <c r="U6" i="34"/>
  <c r="V6" i="34"/>
  <c r="U124" i="34"/>
  <c r="F124" i="34"/>
  <c r="V124" i="34"/>
  <c r="U156" i="34"/>
  <c r="V156" i="34"/>
  <c r="F156" i="34"/>
  <c r="U115" i="34"/>
  <c r="V115" i="34"/>
  <c r="F115" i="34"/>
  <c r="V131" i="34"/>
  <c r="F131" i="34"/>
  <c r="U131" i="34"/>
  <c r="F147" i="34"/>
  <c r="U147" i="34"/>
  <c r="V147" i="34"/>
  <c r="V163" i="34"/>
  <c r="U163" i="34"/>
  <c r="F163" i="34"/>
  <c r="F179" i="34"/>
  <c r="U179" i="34"/>
  <c r="V179" i="34"/>
  <c r="U9" i="34"/>
  <c r="V9" i="34"/>
  <c r="F9" i="34"/>
  <c r="F13" i="34"/>
  <c r="V13" i="34"/>
  <c r="U13" i="34"/>
  <c r="U17" i="34"/>
  <c r="F17" i="34"/>
  <c r="V17" i="34"/>
  <c r="F21" i="34"/>
  <c r="U21" i="34"/>
  <c r="V21" i="34"/>
  <c r="F25" i="34"/>
  <c r="V25" i="34"/>
  <c r="U25" i="34"/>
  <c r="U29" i="34"/>
  <c r="V29" i="34"/>
  <c r="F29" i="34"/>
  <c r="U33" i="34"/>
  <c r="F33" i="34"/>
  <c r="V33" i="34"/>
  <c r="V37" i="34"/>
  <c r="F37" i="34"/>
  <c r="U37" i="34"/>
  <c r="F41" i="34"/>
  <c r="U41" i="34"/>
  <c r="V41" i="34"/>
  <c r="F45" i="34"/>
  <c r="U45" i="34"/>
  <c r="V45" i="34"/>
  <c r="F49" i="34"/>
  <c r="V49" i="34"/>
  <c r="U49" i="34"/>
  <c r="U53" i="34"/>
  <c r="V53" i="34"/>
  <c r="F53" i="34"/>
  <c r="V57" i="34"/>
  <c r="F57" i="34"/>
  <c r="U57" i="34"/>
  <c r="U61" i="34"/>
  <c r="F61" i="34"/>
  <c r="V61" i="34"/>
  <c r="F65" i="34"/>
  <c r="U65" i="34"/>
  <c r="V65" i="34"/>
  <c r="U69" i="34"/>
  <c r="F69" i="34"/>
  <c r="V69" i="34"/>
  <c r="V73" i="34"/>
  <c r="F73" i="34"/>
  <c r="U73" i="34"/>
  <c r="F77" i="34"/>
  <c r="V77" i="34"/>
  <c r="U77" i="34"/>
  <c r="F81" i="34"/>
  <c r="V81" i="34"/>
  <c r="U81" i="34"/>
  <c r="V85" i="34"/>
  <c r="F85" i="34"/>
  <c r="U85" i="34"/>
  <c r="F89" i="34"/>
  <c r="U89" i="34"/>
  <c r="V89" i="34"/>
  <c r="F93" i="34"/>
  <c r="V93" i="34"/>
  <c r="U93" i="34"/>
  <c r="U97" i="34"/>
  <c r="F97" i="34"/>
  <c r="V97" i="34"/>
  <c r="V101" i="34"/>
  <c r="F101" i="34"/>
  <c r="U101" i="34"/>
  <c r="F105" i="34"/>
  <c r="U105" i="34"/>
  <c r="V105" i="34"/>
  <c r="U110" i="34"/>
  <c r="V110" i="34"/>
  <c r="F110" i="34"/>
  <c r="U126" i="34"/>
  <c r="F126" i="34"/>
  <c r="V126" i="34"/>
  <c r="F142" i="34"/>
  <c r="U142" i="34"/>
  <c r="V142" i="34"/>
  <c r="V158" i="34"/>
  <c r="U158" i="34"/>
  <c r="F158" i="34"/>
  <c r="F174" i="34"/>
  <c r="U174" i="34"/>
  <c r="V174" i="34"/>
  <c r="U361" i="34"/>
  <c r="F361" i="34"/>
  <c r="V361" i="34"/>
  <c r="V186" i="34"/>
  <c r="U186" i="34"/>
  <c r="F186" i="34"/>
  <c r="V190" i="34"/>
  <c r="F190" i="34"/>
  <c r="U190" i="34"/>
  <c r="U194" i="34"/>
  <c r="V194" i="34"/>
  <c r="F194" i="34"/>
  <c r="V198" i="34"/>
  <c r="U198" i="34"/>
  <c r="F198" i="34"/>
  <c r="V202" i="34"/>
  <c r="F202" i="34"/>
  <c r="U202" i="34"/>
  <c r="F206" i="34"/>
  <c r="V206" i="34"/>
  <c r="U206" i="34"/>
  <c r="U210" i="34"/>
  <c r="V210" i="34"/>
  <c r="F210" i="34"/>
  <c r="F214" i="34"/>
  <c r="U214" i="34"/>
  <c r="V214" i="34"/>
  <c r="U218" i="34"/>
  <c r="V218" i="34"/>
  <c r="F218" i="34"/>
  <c r="U222" i="34"/>
  <c r="F222" i="34"/>
  <c r="V222" i="34"/>
  <c r="F226" i="34"/>
  <c r="V226" i="34"/>
  <c r="U226" i="34"/>
  <c r="U230" i="34"/>
  <c r="F230" i="34"/>
  <c r="V230" i="34"/>
  <c r="F234" i="34"/>
  <c r="V234" i="34"/>
  <c r="U234" i="34"/>
  <c r="U238" i="34"/>
  <c r="F238" i="34"/>
  <c r="V238" i="34"/>
  <c r="F242" i="34"/>
  <c r="U242" i="34"/>
  <c r="V242" i="34"/>
  <c r="U246" i="34"/>
  <c r="F246" i="34"/>
  <c r="V246" i="34"/>
  <c r="V250" i="34"/>
  <c r="U250" i="34"/>
  <c r="F250" i="34"/>
  <c r="U254" i="34"/>
  <c r="V254" i="34"/>
  <c r="F254" i="34"/>
  <c r="U258" i="34"/>
  <c r="F258" i="34"/>
  <c r="V258" i="34"/>
  <c r="V262" i="34"/>
  <c r="F262" i="34"/>
  <c r="U262" i="34"/>
  <c r="V266" i="34"/>
  <c r="F266" i="34"/>
  <c r="U266" i="34"/>
  <c r="U270" i="34"/>
  <c r="F270" i="34"/>
  <c r="V270" i="34"/>
  <c r="U274" i="34"/>
  <c r="F274" i="34"/>
  <c r="V274" i="34"/>
  <c r="U278" i="34"/>
  <c r="F278" i="34"/>
  <c r="V278" i="34"/>
  <c r="F282" i="34"/>
  <c r="U282" i="34"/>
  <c r="V282" i="34"/>
  <c r="U286" i="34"/>
  <c r="V286" i="34"/>
  <c r="F286" i="34"/>
  <c r="U290" i="34"/>
  <c r="F290" i="34"/>
  <c r="V290" i="34"/>
  <c r="V294" i="34"/>
  <c r="F294" i="34"/>
  <c r="U294" i="34"/>
  <c r="F297" i="34"/>
  <c r="U297" i="34"/>
  <c r="V297" i="34"/>
  <c r="V385" i="34"/>
  <c r="F385" i="34"/>
  <c r="U385" i="34"/>
  <c r="F416" i="34"/>
  <c r="V416" i="34"/>
  <c r="U416" i="34"/>
  <c r="F296" i="34"/>
  <c r="V296" i="34"/>
  <c r="U296" i="34"/>
  <c r="U307" i="34"/>
  <c r="F307" i="34"/>
  <c r="V307" i="34"/>
  <c r="V411" i="34"/>
  <c r="F411" i="34"/>
  <c r="U411" i="34"/>
  <c r="U491" i="34"/>
  <c r="V491" i="34"/>
  <c r="F491" i="34"/>
  <c r="V384" i="34"/>
  <c r="F384" i="34"/>
  <c r="U384" i="34"/>
  <c r="U451" i="34"/>
  <c r="F451" i="34"/>
  <c r="V451" i="34"/>
  <c r="U381" i="34"/>
  <c r="V381" i="34"/>
  <c r="F381" i="34"/>
  <c r="F372" i="34"/>
  <c r="V372" i="34"/>
  <c r="U372" i="34"/>
  <c r="V410" i="34"/>
  <c r="U410" i="34"/>
  <c r="F410" i="34"/>
  <c r="V415" i="34"/>
  <c r="F415" i="34"/>
  <c r="U415" i="34"/>
  <c r="F420" i="34"/>
  <c r="U420" i="34"/>
  <c r="V420" i="34"/>
  <c r="U440" i="34"/>
  <c r="V440" i="34"/>
  <c r="F440" i="34"/>
  <c r="F467" i="34"/>
  <c r="V467" i="34"/>
  <c r="U467" i="34"/>
  <c r="U464" i="34"/>
  <c r="V464" i="34"/>
  <c r="F464" i="34"/>
  <c r="V367" i="34"/>
  <c r="F367" i="34"/>
  <c r="U367" i="34"/>
  <c r="U383" i="34"/>
  <c r="F383" i="34"/>
  <c r="V383" i="34"/>
  <c r="U414" i="34"/>
  <c r="V414" i="34"/>
  <c r="F414" i="34"/>
  <c r="U419" i="34"/>
  <c r="F419" i="34"/>
  <c r="V419" i="34"/>
  <c r="V424" i="34"/>
  <c r="U424" i="34"/>
  <c r="F424" i="34"/>
  <c r="F463" i="34"/>
  <c r="V463" i="34"/>
  <c r="U463" i="34"/>
  <c r="V310" i="34"/>
  <c r="F310" i="34"/>
  <c r="U310" i="34"/>
  <c r="V314" i="34"/>
  <c r="U314" i="34"/>
  <c r="F314" i="34"/>
  <c r="U318" i="34"/>
  <c r="F318" i="34"/>
  <c r="V318" i="34"/>
  <c r="F322" i="34"/>
  <c r="V322" i="34"/>
  <c r="U322" i="34"/>
  <c r="V326" i="34"/>
  <c r="F326" i="34"/>
  <c r="U326" i="34"/>
  <c r="U330" i="34"/>
  <c r="F330" i="34"/>
  <c r="V330" i="34"/>
  <c r="F334" i="34"/>
  <c r="U334" i="34"/>
  <c r="V334" i="34"/>
  <c r="F338" i="34"/>
  <c r="V338" i="34"/>
  <c r="U338" i="34"/>
  <c r="F342" i="34"/>
  <c r="U342" i="34"/>
  <c r="V342" i="34"/>
  <c r="U346" i="34"/>
  <c r="F346" i="34"/>
  <c r="V346" i="34"/>
  <c r="F350" i="34"/>
  <c r="V350" i="34"/>
  <c r="U350" i="34"/>
  <c r="F354" i="34"/>
  <c r="U354" i="34"/>
  <c r="V354" i="34"/>
  <c r="U358" i="34"/>
  <c r="V358" i="34"/>
  <c r="F358" i="34"/>
  <c r="U366" i="34"/>
  <c r="V366" i="34"/>
  <c r="F366" i="34"/>
  <c r="U382" i="34"/>
  <c r="F382" i="34"/>
  <c r="V382" i="34"/>
  <c r="F402" i="34"/>
  <c r="U402" i="34"/>
  <c r="V402" i="34"/>
  <c r="U407" i="34"/>
  <c r="F407" i="34"/>
  <c r="V407" i="34"/>
  <c r="V412" i="34"/>
  <c r="F412" i="34"/>
  <c r="U412" i="34"/>
  <c r="V460" i="34"/>
  <c r="F460" i="34"/>
  <c r="U460" i="34"/>
  <c r="F434" i="34"/>
  <c r="V434" i="34"/>
  <c r="U434" i="34"/>
  <c r="F450" i="34"/>
  <c r="U450" i="34"/>
  <c r="V450" i="34"/>
  <c r="U466" i="34"/>
  <c r="F466" i="34"/>
  <c r="V466" i="34"/>
  <c r="U482" i="34"/>
  <c r="F482" i="34"/>
  <c r="V482" i="34"/>
  <c r="V409" i="34"/>
  <c r="F409" i="34"/>
  <c r="U409" i="34"/>
  <c r="U425" i="34"/>
  <c r="F425" i="34"/>
  <c r="V425" i="34"/>
  <c r="U441" i="34"/>
  <c r="F441" i="34"/>
  <c r="V441" i="34"/>
  <c r="F457" i="34"/>
  <c r="U457" i="34"/>
  <c r="V457" i="34"/>
  <c r="U473" i="34"/>
  <c r="V473" i="34"/>
  <c r="F473" i="34"/>
  <c r="U489" i="34"/>
  <c r="V489" i="34"/>
  <c r="F489" i="34"/>
  <c r="F493" i="34"/>
  <c r="V493" i="34"/>
  <c r="U493" i="34"/>
  <c r="U497" i="34"/>
  <c r="V497" i="34"/>
  <c r="F497" i="34"/>
  <c r="V499" i="34"/>
  <c r="F499" i="34"/>
  <c r="U499" i="34"/>
  <c r="U504" i="34"/>
  <c r="F504" i="34"/>
  <c r="V504" i="34"/>
  <c r="F502" i="34"/>
  <c r="V502" i="34"/>
  <c r="U502" i="34"/>
  <c r="F121" i="34"/>
  <c r="V121" i="34"/>
  <c r="U121" i="34"/>
  <c r="F302" i="34"/>
  <c r="U302" i="34"/>
  <c r="V302" i="34"/>
  <c r="F145" i="34"/>
  <c r="U145" i="34"/>
  <c r="V145" i="34"/>
  <c r="U169" i="34"/>
  <c r="F169" i="34"/>
  <c r="V169" i="34"/>
  <c r="U112" i="34"/>
  <c r="F112" i="34"/>
  <c r="V112" i="34"/>
  <c r="U144" i="34"/>
  <c r="F144" i="34"/>
  <c r="V144" i="34"/>
  <c r="V176" i="34"/>
  <c r="F176" i="34"/>
  <c r="U176" i="34"/>
  <c r="F125" i="34"/>
  <c r="V125" i="34"/>
  <c r="U125" i="34"/>
  <c r="F157" i="34"/>
  <c r="U157" i="34"/>
  <c r="V157" i="34"/>
  <c r="F306" i="34"/>
  <c r="V306" i="34"/>
  <c r="U306" i="34"/>
  <c r="U132" i="34"/>
  <c r="F132" i="34"/>
  <c r="V132" i="34"/>
  <c r="U164" i="34"/>
  <c r="F164" i="34"/>
  <c r="V164" i="34"/>
  <c r="V119" i="34"/>
  <c r="F119" i="34"/>
  <c r="U119" i="34"/>
  <c r="F135" i="34"/>
  <c r="U135" i="34"/>
  <c r="V135" i="34"/>
  <c r="U151" i="34"/>
  <c r="F151" i="34"/>
  <c r="V151" i="34"/>
  <c r="F167" i="34"/>
  <c r="U167" i="34"/>
  <c r="V167" i="34"/>
  <c r="V183" i="34"/>
  <c r="U183" i="34"/>
  <c r="F183" i="34"/>
  <c r="U8" i="34"/>
  <c r="V8" i="34"/>
  <c r="F8" i="34"/>
  <c r="F12" i="34"/>
  <c r="V12" i="34"/>
  <c r="U12" i="34"/>
  <c r="U16" i="34"/>
  <c r="F16" i="34"/>
  <c r="V16" i="34"/>
  <c r="V20" i="34"/>
  <c r="U20" i="34"/>
  <c r="F20" i="34"/>
  <c r="F24" i="34"/>
  <c r="V24" i="34"/>
  <c r="U24" i="34"/>
  <c r="F28" i="34"/>
  <c r="U28" i="34"/>
  <c r="V28" i="34"/>
  <c r="U32" i="34"/>
  <c r="F32" i="34"/>
  <c r="V32" i="34"/>
  <c r="F36" i="34"/>
  <c r="V36" i="34"/>
  <c r="U36" i="34"/>
  <c r="U40" i="34"/>
  <c r="F40" i="34"/>
  <c r="V40" i="34"/>
  <c r="V44" i="34"/>
  <c r="F44" i="34"/>
  <c r="U44" i="34"/>
  <c r="U48" i="34"/>
  <c r="V48" i="34"/>
  <c r="F48" i="34"/>
  <c r="U52" i="34"/>
  <c r="F52" i="34"/>
  <c r="V52" i="34"/>
  <c r="F56" i="34"/>
  <c r="U56" i="34"/>
  <c r="V56" i="34"/>
  <c r="V60" i="34"/>
  <c r="U60" i="34"/>
  <c r="F60" i="34"/>
  <c r="U64" i="34"/>
  <c r="F64" i="34"/>
  <c r="V64" i="34"/>
  <c r="U68" i="34"/>
  <c r="F68" i="34"/>
  <c r="V68" i="34"/>
  <c r="U72" i="34"/>
  <c r="V72" i="34"/>
  <c r="F72" i="34"/>
  <c r="V76" i="34"/>
  <c r="U76" i="34"/>
  <c r="F76" i="34"/>
  <c r="F80" i="34"/>
  <c r="V80" i="34"/>
  <c r="U80" i="34"/>
  <c r="F84" i="34"/>
  <c r="V84" i="34"/>
  <c r="U84" i="34"/>
  <c r="F88" i="34"/>
  <c r="U88" i="34"/>
  <c r="V88" i="34"/>
  <c r="V92" i="34"/>
  <c r="F92" i="34"/>
  <c r="U92" i="34"/>
  <c r="U96" i="34"/>
  <c r="F96" i="34"/>
  <c r="V96" i="34"/>
  <c r="V100" i="34"/>
  <c r="U100" i="34"/>
  <c r="F100" i="34"/>
  <c r="U104" i="34"/>
  <c r="F104" i="34"/>
  <c r="V104" i="34"/>
  <c r="U114" i="34"/>
  <c r="F114" i="34"/>
  <c r="V114" i="34"/>
  <c r="U130" i="34"/>
  <c r="V130" i="34"/>
  <c r="F130" i="34"/>
  <c r="U146" i="34"/>
  <c r="F146" i="34"/>
  <c r="V146" i="34"/>
  <c r="U162" i="34"/>
  <c r="V162" i="34"/>
  <c r="F162" i="34"/>
  <c r="V178" i="34"/>
  <c r="F178" i="34"/>
  <c r="U178" i="34"/>
  <c r="F189" i="34"/>
  <c r="U189" i="34"/>
  <c r="V189" i="34"/>
  <c r="F193" i="34"/>
  <c r="U193" i="34"/>
  <c r="V193" i="34"/>
  <c r="U197" i="34"/>
  <c r="F197" i="34"/>
  <c r="V197" i="34"/>
  <c r="F201" i="34"/>
  <c r="V201" i="34"/>
  <c r="U201" i="34"/>
  <c r="F205" i="34"/>
  <c r="U205" i="34"/>
  <c r="V205" i="34"/>
  <c r="F209" i="34"/>
  <c r="U209" i="34"/>
  <c r="V209" i="34"/>
  <c r="U213" i="34"/>
  <c r="F213" i="34"/>
  <c r="V213" i="34"/>
  <c r="V217" i="34"/>
  <c r="F217" i="34"/>
  <c r="U217" i="34"/>
  <c r="U221" i="34"/>
  <c r="V221" i="34"/>
  <c r="F221" i="34"/>
  <c r="F225" i="34"/>
  <c r="U225" i="34"/>
  <c r="V225" i="34"/>
  <c r="F229" i="34"/>
  <c r="U229" i="34"/>
  <c r="V229" i="34"/>
  <c r="V233" i="34"/>
  <c r="F233" i="34"/>
  <c r="U233" i="34"/>
  <c r="U237" i="34"/>
  <c r="F237" i="34"/>
  <c r="V237" i="34"/>
  <c r="V241" i="34"/>
  <c r="F241" i="34"/>
  <c r="U241" i="34"/>
  <c r="U245" i="34"/>
  <c r="F245" i="34"/>
  <c r="V245" i="34"/>
  <c r="U249" i="34"/>
  <c r="F249" i="34"/>
  <c r="V249" i="34"/>
  <c r="F253" i="34"/>
  <c r="U253" i="34"/>
  <c r="V253" i="34"/>
  <c r="F257" i="34"/>
  <c r="V257" i="34"/>
  <c r="U257" i="34"/>
  <c r="F261" i="34"/>
  <c r="U261" i="34"/>
  <c r="V261" i="34"/>
  <c r="V265" i="34"/>
  <c r="U265" i="34"/>
  <c r="F265" i="34"/>
  <c r="F269" i="34"/>
  <c r="U269" i="34"/>
  <c r="V269" i="34"/>
  <c r="V273" i="34"/>
  <c r="U273" i="34"/>
  <c r="F273" i="34"/>
  <c r="U277" i="34"/>
  <c r="F277" i="34"/>
  <c r="V277" i="34"/>
  <c r="V281" i="34"/>
  <c r="F281" i="34"/>
  <c r="U281" i="34"/>
  <c r="F285" i="34"/>
  <c r="V285" i="34"/>
  <c r="U285" i="34"/>
  <c r="F289" i="34"/>
  <c r="U289" i="34"/>
  <c r="V289" i="34"/>
  <c r="U293" i="34"/>
  <c r="F293" i="34"/>
  <c r="V293" i="34"/>
  <c r="V301" i="34"/>
  <c r="F301" i="34"/>
  <c r="U301" i="34"/>
  <c r="F300" i="34"/>
  <c r="V300" i="34"/>
  <c r="U300" i="34"/>
  <c r="V305" i="34"/>
  <c r="U305" i="34"/>
  <c r="F305" i="34"/>
  <c r="F435" i="34"/>
  <c r="U435" i="34"/>
  <c r="V435" i="34"/>
  <c r="F406" i="34"/>
  <c r="U406" i="34"/>
  <c r="V406" i="34"/>
  <c r="U459" i="34"/>
  <c r="V459" i="34"/>
  <c r="F459" i="34"/>
  <c r="F392" i="34"/>
  <c r="V392" i="34"/>
  <c r="U392" i="34"/>
  <c r="F483" i="34"/>
  <c r="U483" i="34"/>
  <c r="V483" i="34"/>
  <c r="V389" i="34"/>
  <c r="U389" i="34"/>
  <c r="F389" i="34"/>
  <c r="U443" i="34"/>
  <c r="V443" i="34"/>
  <c r="F443" i="34"/>
  <c r="V380" i="34"/>
  <c r="U380" i="34"/>
  <c r="F380" i="34"/>
  <c r="F472" i="34"/>
  <c r="U472" i="34"/>
  <c r="V472" i="34"/>
  <c r="V371" i="34"/>
  <c r="U371" i="34"/>
  <c r="F371" i="34"/>
  <c r="F387" i="34"/>
  <c r="U387" i="34"/>
  <c r="V387" i="34"/>
  <c r="U398" i="34"/>
  <c r="F398" i="34"/>
  <c r="V398" i="34"/>
  <c r="F403" i="34"/>
  <c r="V403" i="34"/>
  <c r="U403" i="34"/>
  <c r="F408" i="34"/>
  <c r="V408" i="34"/>
  <c r="U408" i="34"/>
  <c r="U439" i="34"/>
  <c r="V439" i="34"/>
  <c r="F439" i="34"/>
  <c r="U471" i="34"/>
  <c r="V471" i="34"/>
  <c r="F471" i="34"/>
  <c r="F313" i="34"/>
  <c r="U313" i="34"/>
  <c r="V313" i="34"/>
  <c r="V317" i="34"/>
  <c r="U317" i="34"/>
  <c r="F317" i="34"/>
  <c r="F321" i="34"/>
  <c r="U321" i="34"/>
  <c r="V321" i="34"/>
  <c r="F325" i="34"/>
  <c r="V325" i="34"/>
  <c r="U325" i="34"/>
  <c r="U329" i="34"/>
  <c r="F329" i="34"/>
  <c r="V329" i="34"/>
  <c r="F333" i="34"/>
  <c r="V333" i="34"/>
  <c r="U333" i="34"/>
  <c r="U337" i="34"/>
  <c r="V337" i="34"/>
  <c r="F337" i="34"/>
  <c r="V341" i="34"/>
  <c r="U341" i="34"/>
  <c r="F341" i="34"/>
  <c r="F345" i="34"/>
  <c r="U345" i="34"/>
  <c r="V345" i="34"/>
  <c r="V349" i="34"/>
  <c r="F349" i="34"/>
  <c r="U349" i="34"/>
  <c r="U353" i="34"/>
  <c r="F353" i="34"/>
  <c r="V353" i="34"/>
  <c r="F357" i="34"/>
  <c r="U357" i="34"/>
  <c r="V357" i="34"/>
  <c r="F370" i="34"/>
  <c r="V370" i="34"/>
  <c r="U370" i="34"/>
  <c r="V386" i="34"/>
  <c r="U386" i="34"/>
  <c r="F386" i="34"/>
  <c r="U396" i="34"/>
  <c r="V396" i="34"/>
  <c r="F396" i="34"/>
  <c r="U436" i="34"/>
  <c r="V436" i="34"/>
  <c r="F436" i="34"/>
  <c r="F468" i="34"/>
  <c r="U468" i="34"/>
  <c r="V468" i="34"/>
  <c r="U438" i="34"/>
  <c r="F438" i="34"/>
  <c r="V438" i="34"/>
  <c r="F454" i="34"/>
  <c r="U454" i="34"/>
  <c r="V454" i="34"/>
  <c r="F470" i="34"/>
  <c r="V470" i="34"/>
  <c r="U470" i="34"/>
  <c r="U486" i="34"/>
  <c r="F486" i="34"/>
  <c r="V486" i="34"/>
  <c r="F490" i="34"/>
  <c r="U490" i="34"/>
  <c r="V490" i="34"/>
  <c r="V494" i="34"/>
  <c r="U494" i="34"/>
  <c r="F494" i="34"/>
  <c r="U498" i="34"/>
  <c r="F498" i="34"/>
  <c r="V498" i="34"/>
  <c r="F397" i="34"/>
  <c r="U397" i="34"/>
  <c r="V397" i="34"/>
  <c r="V413" i="34"/>
  <c r="F413" i="34"/>
  <c r="U413" i="34"/>
  <c r="F429" i="34"/>
  <c r="U429" i="34"/>
  <c r="V429" i="34"/>
  <c r="F445" i="34"/>
  <c r="U445" i="34"/>
  <c r="V445" i="34"/>
  <c r="U461" i="34"/>
  <c r="F461" i="34"/>
  <c r="V461" i="34"/>
  <c r="V477" i="34"/>
  <c r="F477" i="34"/>
  <c r="U477" i="34"/>
  <c r="F503" i="34"/>
  <c r="V503" i="34"/>
  <c r="U503" i="34"/>
  <c r="F129" i="34"/>
  <c r="V129" i="34"/>
  <c r="U129" i="34"/>
  <c r="U153" i="34"/>
  <c r="V153" i="34"/>
  <c r="F153" i="34"/>
  <c r="U177" i="34"/>
  <c r="F177" i="34"/>
  <c r="V177" i="34"/>
  <c r="V120" i="34"/>
  <c r="F120" i="34"/>
  <c r="U120" i="34"/>
  <c r="U152" i="34"/>
  <c r="V152" i="34"/>
  <c r="F152" i="34"/>
  <c r="U184" i="34"/>
  <c r="V184" i="34"/>
  <c r="F184" i="34"/>
  <c r="U133" i="34"/>
  <c r="F133" i="34"/>
  <c r="V133" i="34"/>
  <c r="V165" i="34"/>
  <c r="U165" i="34"/>
  <c r="F165" i="34"/>
  <c r="U108" i="34"/>
  <c r="F108" i="34"/>
  <c r="V108" i="34"/>
  <c r="F140" i="34"/>
  <c r="V140" i="34"/>
  <c r="U140" i="34"/>
  <c r="F172" i="34"/>
  <c r="U172" i="34"/>
  <c r="V172" i="34"/>
  <c r="F107" i="34"/>
  <c r="V107" i="34"/>
  <c r="U107" i="34"/>
  <c r="F123" i="34"/>
  <c r="U123" i="34"/>
  <c r="V123" i="34"/>
  <c r="F139" i="34"/>
  <c r="V139" i="34"/>
  <c r="U139" i="34"/>
  <c r="V155" i="34"/>
  <c r="F155" i="34"/>
  <c r="U155" i="34"/>
  <c r="U171" i="34"/>
  <c r="V171" i="34"/>
  <c r="F171" i="34"/>
  <c r="F308" i="34"/>
  <c r="U308" i="34"/>
  <c r="V308" i="34"/>
  <c r="F7" i="34"/>
  <c r="V7" i="34"/>
  <c r="U7" i="34"/>
  <c r="F11" i="34"/>
  <c r="U11" i="34"/>
  <c r="V11" i="34"/>
  <c r="V15" i="34"/>
  <c r="F15" i="34"/>
  <c r="U15" i="34"/>
  <c r="U19" i="34"/>
  <c r="F19" i="34"/>
  <c r="V19" i="34"/>
  <c r="F23" i="34"/>
  <c r="V23" i="34"/>
  <c r="U23" i="34"/>
  <c r="F27" i="34"/>
  <c r="U27" i="34"/>
  <c r="V27" i="34"/>
  <c r="V31" i="34"/>
  <c r="U31" i="34"/>
  <c r="F31" i="34"/>
  <c r="U35" i="34"/>
  <c r="F35" i="34"/>
  <c r="V35" i="34"/>
  <c r="F39" i="34"/>
  <c r="V39" i="34"/>
  <c r="U39" i="34"/>
  <c r="U43" i="34"/>
  <c r="F43" i="34"/>
  <c r="V43" i="34"/>
  <c r="V47" i="34"/>
  <c r="F47" i="34"/>
  <c r="U47" i="34"/>
  <c r="U51" i="34"/>
  <c r="F51" i="34"/>
  <c r="V51" i="34"/>
  <c r="U55" i="34"/>
  <c r="V55" i="34"/>
  <c r="F55" i="34"/>
  <c r="U59" i="34"/>
  <c r="F59" i="34"/>
  <c r="V59" i="34"/>
  <c r="V63" i="34"/>
  <c r="F63" i="34"/>
  <c r="U63" i="34"/>
  <c r="F67" i="34"/>
  <c r="U67" i="34"/>
  <c r="V67" i="34"/>
  <c r="U71" i="34"/>
  <c r="V71" i="34"/>
  <c r="F71" i="34"/>
  <c r="F75" i="34"/>
  <c r="U75" i="34"/>
  <c r="V75" i="34"/>
  <c r="V79" i="34"/>
  <c r="U79" i="34"/>
  <c r="F79" i="34"/>
  <c r="U83" i="34"/>
  <c r="V83" i="34"/>
  <c r="F83" i="34"/>
  <c r="F87" i="34"/>
  <c r="V87" i="34"/>
  <c r="U87" i="34"/>
  <c r="F91" i="34"/>
  <c r="U91" i="34"/>
  <c r="V91" i="34"/>
  <c r="V95" i="34"/>
  <c r="F95" i="34"/>
  <c r="U95" i="34"/>
  <c r="U99" i="34"/>
  <c r="F99" i="34"/>
  <c r="V99" i="34"/>
  <c r="F103" i="34"/>
  <c r="V103" i="34"/>
  <c r="U103" i="34"/>
  <c r="F118" i="34"/>
  <c r="U118" i="34"/>
  <c r="V118" i="34"/>
  <c r="V134" i="34"/>
  <c r="F134" i="34"/>
  <c r="U134" i="34"/>
  <c r="U150" i="34"/>
  <c r="F150" i="34"/>
  <c r="V150" i="34"/>
  <c r="U166" i="34"/>
  <c r="V166" i="34"/>
  <c r="F166" i="34"/>
  <c r="U182" i="34"/>
  <c r="F182" i="34"/>
  <c r="V182" i="34"/>
  <c r="V188" i="34"/>
  <c r="U188" i="34"/>
  <c r="F188" i="34"/>
  <c r="F192" i="34"/>
  <c r="U192" i="34"/>
  <c r="V192" i="34"/>
  <c r="F196" i="34"/>
  <c r="V196" i="34"/>
  <c r="U196" i="34"/>
  <c r="F200" i="34"/>
  <c r="U200" i="34"/>
  <c r="V200" i="34"/>
  <c r="V204" i="34"/>
  <c r="U204" i="34"/>
  <c r="F204" i="34"/>
  <c r="U208" i="34"/>
  <c r="V208" i="34"/>
  <c r="F208" i="34"/>
  <c r="V212" i="34"/>
  <c r="F212" i="34"/>
  <c r="U212" i="34"/>
  <c r="F216" i="34"/>
  <c r="V216" i="34"/>
  <c r="U216" i="34"/>
  <c r="F220" i="34"/>
  <c r="V220" i="34"/>
  <c r="U220" i="34"/>
  <c r="F224" i="34"/>
  <c r="U224" i="34"/>
  <c r="V224" i="34"/>
  <c r="U228" i="34"/>
  <c r="F228" i="34"/>
  <c r="V228" i="34"/>
  <c r="U232" i="34"/>
  <c r="F232" i="34"/>
  <c r="V232" i="34"/>
  <c r="U236" i="34"/>
  <c r="F236" i="34"/>
  <c r="V236" i="34"/>
  <c r="F240" i="34"/>
  <c r="U240" i="34"/>
  <c r="V240" i="34"/>
  <c r="F244" i="34"/>
  <c r="U244" i="34"/>
  <c r="V244" i="34"/>
  <c r="U248" i="34"/>
  <c r="F248" i="34"/>
  <c r="V248" i="34"/>
  <c r="U252" i="34"/>
  <c r="V252" i="34"/>
  <c r="F252" i="34"/>
  <c r="U256" i="34"/>
  <c r="F256" i="34"/>
  <c r="V256" i="34"/>
  <c r="U260" i="34"/>
  <c r="F260" i="34"/>
  <c r="V260" i="34"/>
  <c r="F264" i="34"/>
  <c r="U264" i="34"/>
  <c r="V264" i="34"/>
  <c r="U268" i="34"/>
  <c r="V268" i="34"/>
  <c r="F268" i="34"/>
  <c r="F272" i="34"/>
  <c r="U272" i="34"/>
  <c r="V272" i="34"/>
  <c r="F276" i="34"/>
  <c r="U276" i="34"/>
  <c r="V276" i="34"/>
  <c r="U280" i="34"/>
  <c r="V280" i="34"/>
  <c r="F280" i="34"/>
  <c r="U284" i="34"/>
  <c r="V284" i="34"/>
  <c r="F284" i="34"/>
  <c r="F288" i="34"/>
  <c r="U288" i="34"/>
  <c r="V288" i="34"/>
  <c r="U292" i="34"/>
  <c r="F292" i="34"/>
  <c r="V292" i="34"/>
  <c r="F303" i="34"/>
  <c r="U303" i="34"/>
  <c r="V303" i="34"/>
  <c r="F369" i="34"/>
  <c r="V369" i="34"/>
  <c r="U369" i="34"/>
  <c r="F368" i="34"/>
  <c r="U368" i="34"/>
  <c r="V368" i="34"/>
  <c r="U426" i="34"/>
  <c r="F426" i="34"/>
  <c r="V426" i="34"/>
  <c r="F431" i="34"/>
  <c r="U431" i="34"/>
  <c r="V431" i="34"/>
  <c r="F365" i="34"/>
  <c r="V365" i="34"/>
  <c r="U365" i="34"/>
  <c r="F422" i="34"/>
  <c r="U422" i="34"/>
  <c r="V422" i="34"/>
  <c r="U427" i="34"/>
  <c r="F427" i="34"/>
  <c r="V427" i="34"/>
  <c r="F475" i="34"/>
  <c r="U475" i="34"/>
  <c r="V475" i="34"/>
  <c r="F388" i="34"/>
  <c r="V388" i="34"/>
  <c r="U388" i="34"/>
  <c r="F448" i="34"/>
  <c r="V448" i="34"/>
  <c r="U448" i="34"/>
  <c r="F480" i="34"/>
  <c r="U480" i="34"/>
  <c r="V480" i="34"/>
  <c r="F375" i="34"/>
  <c r="V375" i="34"/>
  <c r="U375" i="34"/>
  <c r="U391" i="34"/>
  <c r="V391" i="34"/>
  <c r="F391" i="34"/>
  <c r="V447" i="34"/>
  <c r="U447" i="34"/>
  <c r="F447" i="34"/>
  <c r="F479" i="34"/>
  <c r="U479" i="34"/>
  <c r="V479" i="34"/>
  <c r="F312" i="34"/>
  <c r="U312" i="34"/>
  <c r="V312" i="34"/>
  <c r="U316" i="34"/>
  <c r="F316" i="34"/>
  <c r="V316" i="34"/>
  <c r="F320" i="34"/>
  <c r="U320" i="34"/>
  <c r="V320" i="34"/>
  <c r="U324" i="34"/>
  <c r="F324" i="34"/>
  <c r="V324" i="34"/>
  <c r="U328" i="34"/>
  <c r="F328" i="34"/>
  <c r="V328" i="34"/>
  <c r="U332" i="34"/>
  <c r="V332" i="34"/>
  <c r="F332" i="34"/>
  <c r="F336" i="34"/>
  <c r="U336" i="34"/>
  <c r="V336" i="34"/>
  <c r="U340" i="34"/>
  <c r="F340" i="34"/>
  <c r="V340" i="34"/>
  <c r="U344" i="34"/>
  <c r="F344" i="34"/>
  <c r="V344" i="34"/>
  <c r="U348" i="34"/>
  <c r="V348" i="34"/>
  <c r="F348" i="34"/>
  <c r="F352" i="34"/>
  <c r="U352" i="34"/>
  <c r="V352" i="34"/>
  <c r="U356" i="34"/>
  <c r="F356" i="34"/>
  <c r="V356" i="34"/>
  <c r="F360" i="34"/>
  <c r="V360" i="34"/>
  <c r="U360" i="34"/>
  <c r="U374" i="34"/>
  <c r="V374" i="34"/>
  <c r="F374" i="34"/>
  <c r="U390" i="34"/>
  <c r="F390" i="34"/>
  <c r="V390" i="34"/>
  <c r="U444" i="34"/>
  <c r="F444" i="34"/>
  <c r="V444" i="34"/>
  <c r="F476" i="34"/>
  <c r="U476" i="34"/>
  <c r="V476" i="34"/>
  <c r="U442" i="34"/>
  <c r="F442" i="34"/>
  <c r="V442" i="34"/>
  <c r="U458" i="34"/>
  <c r="F458" i="34"/>
  <c r="V458" i="34"/>
  <c r="F474" i="34"/>
  <c r="U474" i="34"/>
  <c r="V474" i="34"/>
  <c r="U401" i="34"/>
  <c r="F401" i="34"/>
  <c r="V401" i="34"/>
  <c r="F417" i="34"/>
  <c r="V417" i="34"/>
  <c r="U417" i="34"/>
  <c r="U433" i="34"/>
  <c r="F433" i="34"/>
  <c r="V433" i="34"/>
  <c r="F449" i="34"/>
  <c r="V449" i="34"/>
  <c r="U449" i="34"/>
  <c r="F465" i="34"/>
  <c r="U465" i="34"/>
  <c r="V465" i="34"/>
  <c r="F481" i="34"/>
  <c r="V481" i="34"/>
  <c r="U481" i="34"/>
  <c r="U500" i="34"/>
  <c r="F500" i="34"/>
  <c r="V500" i="34"/>
  <c r="F161" i="34"/>
  <c r="U161" i="34"/>
  <c r="V161" i="34"/>
  <c r="F185" i="34"/>
  <c r="V185" i="34"/>
  <c r="U185" i="34"/>
  <c r="F128" i="34"/>
  <c r="V128" i="34"/>
  <c r="U128" i="34"/>
  <c r="U160" i="34"/>
  <c r="F160" i="34"/>
  <c r="V160" i="34"/>
  <c r="F109" i="34"/>
  <c r="U109" i="34"/>
  <c r="V109" i="34"/>
  <c r="U141" i="34"/>
  <c r="F141" i="34"/>
  <c r="V141" i="34"/>
  <c r="F173" i="34"/>
  <c r="U173" i="34"/>
  <c r="V173" i="34"/>
  <c r="V298" i="34"/>
  <c r="F298" i="34"/>
  <c r="U298" i="34"/>
  <c r="F116" i="34"/>
  <c r="U116" i="34"/>
  <c r="V116" i="34"/>
  <c r="U148" i="34"/>
  <c r="F148" i="34"/>
  <c r="V148" i="34"/>
  <c r="U180" i="34"/>
  <c r="V180" i="34"/>
  <c r="F180" i="34"/>
  <c r="F111" i="34"/>
  <c r="U111" i="34"/>
  <c r="V111" i="34"/>
  <c r="F127" i="34"/>
  <c r="U127" i="34"/>
  <c r="V127" i="34"/>
  <c r="F143" i="34"/>
  <c r="U143" i="34"/>
  <c r="V143" i="34"/>
  <c r="F159" i="34"/>
  <c r="V159" i="34"/>
  <c r="U159" i="34"/>
  <c r="F175" i="34"/>
  <c r="U175" i="34"/>
  <c r="V175" i="34"/>
  <c r="U304" i="34"/>
  <c r="V304" i="34"/>
  <c r="F304" i="34"/>
  <c r="U393" i="34"/>
  <c r="V393" i="34"/>
  <c r="F393" i="34"/>
  <c r="U10" i="34"/>
  <c r="V10" i="34"/>
  <c r="F10" i="34"/>
  <c r="U14" i="34"/>
  <c r="F14" i="34"/>
  <c r="V14" i="34"/>
  <c r="F18" i="34"/>
  <c r="U18" i="34"/>
  <c r="V18" i="34"/>
  <c r="U22" i="34"/>
  <c r="F22" i="34"/>
  <c r="V22" i="34"/>
  <c r="F26" i="34"/>
  <c r="V26" i="34"/>
  <c r="U26" i="34"/>
  <c r="U30" i="34"/>
  <c r="F30" i="34"/>
  <c r="V30" i="34"/>
  <c r="U34" i="34"/>
  <c r="V34" i="34"/>
  <c r="F34" i="34"/>
  <c r="F38" i="34"/>
  <c r="U38" i="34"/>
  <c r="V38" i="34"/>
  <c r="F42" i="34"/>
  <c r="U42" i="34"/>
  <c r="V42" i="34"/>
  <c r="U46" i="34"/>
  <c r="F46" i="34"/>
  <c r="V46" i="34"/>
  <c r="V50" i="34"/>
  <c r="F50" i="34"/>
  <c r="U50" i="34"/>
  <c r="F54" i="34"/>
  <c r="U54" i="34"/>
  <c r="V54" i="34"/>
  <c r="U58" i="34"/>
  <c r="F58" i="34"/>
  <c r="V58" i="34"/>
  <c r="U62" i="34"/>
  <c r="F62" i="34"/>
  <c r="V62" i="34"/>
  <c r="U66" i="34"/>
  <c r="V66" i="34"/>
  <c r="F66" i="34"/>
  <c r="F70" i="34"/>
  <c r="V70" i="34"/>
  <c r="U70" i="34"/>
  <c r="U74" i="34"/>
  <c r="F74" i="34"/>
  <c r="V74" i="34"/>
  <c r="U78" i="34"/>
  <c r="F78" i="34"/>
  <c r="V78" i="34"/>
  <c r="V82" i="34"/>
  <c r="F82" i="34"/>
  <c r="U82" i="34"/>
  <c r="F86" i="34"/>
  <c r="U86" i="34"/>
  <c r="V86" i="34"/>
  <c r="F90" i="34"/>
  <c r="V90" i="34"/>
  <c r="U90" i="34"/>
  <c r="U94" i="34"/>
  <c r="F94" i="34"/>
  <c r="V94" i="34"/>
  <c r="U98" i="34"/>
  <c r="V98" i="34"/>
  <c r="F98" i="34"/>
  <c r="F102" i="34"/>
  <c r="U102" i="34"/>
  <c r="V102" i="34"/>
  <c r="U106" i="34"/>
  <c r="F106" i="34"/>
  <c r="V106" i="34"/>
  <c r="F122" i="34"/>
  <c r="U122" i="34"/>
  <c r="V122" i="34"/>
  <c r="V138" i="34"/>
  <c r="U138" i="34"/>
  <c r="F138" i="34"/>
  <c r="F154" i="34"/>
  <c r="U154" i="34"/>
  <c r="V154" i="34"/>
  <c r="F170" i="34"/>
  <c r="U170" i="34"/>
  <c r="V170" i="34"/>
  <c r="F299" i="34"/>
  <c r="U299" i="34"/>
  <c r="V299" i="34"/>
  <c r="V187" i="34"/>
  <c r="F187" i="34"/>
  <c r="U187" i="34"/>
  <c r="U191" i="34"/>
  <c r="V191" i="34"/>
  <c r="F191" i="34"/>
  <c r="F195" i="34"/>
  <c r="V195" i="34"/>
  <c r="U195" i="34"/>
  <c r="F199" i="34"/>
  <c r="V199" i="34"/>
  <c r="U199" i="34"/>
  <c r="F203" i="34"/>
  <c r="U203" i="34"/>
  <c r="V203" i="34"/>
  <c r="V207" i="34"/>
  <c r="U207" i="34"/>
  <c r="F207" i="34"/>
  <c r="F211" i="34"/>
  <c r="U211" i="34"/>
  <c r="V211" i="34"/>
  <c r="F215" i="34"/>
  <c r="V215" i="34"/>
  <c r="U215" i="34"/>
  <c r="F219" i="34"/>
  <c r="U219" i="34"/>
  <c r="V219" i="34"/>
  <c r="V223" i="34"/>
  <c r="F223" i="34"/>
  <c r="U223" i="34"/>
  <c r="U227" i="34"/>
  <c r="F227" i="34"/>
  <c r="V227" i="34"/>
  <c r="V231" i="34"/>
  <c r="U231" i="34"/>
  <c r="F231" i="34"/>
  <c r="F235" i="34"/>
  <c r="U235" i="34"/>
  <c r="V235" i="34"/>
  <c r="V239" i="34"/>
  <c r="F239" i="34"/>
  <c r="U239" i="34"/>
  <c r="U243" i="34"/>
  <c r="V243" i="34"/>
  <c r="F243" i="34"/>
  <c r="V247" i="34"/>
  <c r="U247" i="34"/>
  <c r="F247" i="34"/>
  <c r="F251" i="34"/>
  <c r="U251" i="34"/>
  <c r="V251" i="34"/>
  <c r="V255" i="34"/>
  <c r="U255" i="34"/>
  <c r="F255" i="34"/>
  <c r="F259" i="34"/>
  <c r="V259" i="34"/>
  <c r="U259" i="34"/>
  <c r="V263" i="34"/>
  <c r="F263" i="34"/>
  <c r="U263" i="34"/>
  <c r="U267" i="34"/>
  <c r="F267" i="34"/>
  <c r="V267" i="34"/>
  <c r="V271" i="34"/>
  <c r="U271" i="34"/>
  <c r="F271" i="34"/>
  <c r="F275" i="34"/>
  <c r="V275" i="34"/>
  <c r="U275" i="34"/>
  <c r="V279" i="34"/>
  <c r="U279" i="34"/>
  <c r="F279" i="34"/>
  <c r="F283" i="34"/>
  <c r="U283" i="34"/>
  <c r="V283" i="34"/>
  <c r="V287" i="34"/>
  <c r="F287" i="34"/>
  <c r="U287" i="34"/>
  <c r="U291" i="34"/>
  <c r="V291" i="34"/>
  <c r="F291" i="34"/>
  <c r="F295" i="34"/>
  <c r="V295" i="34"/>
  <c r="U295" i="34"/>
  <c r="U309" i="34"/>
  <c r="F309" i="34"/>
  <c r="V309" i="34"/>
  <c r="V377" i="34"/>
  <c r="U377" i="34"/>
  <c r="F377" i="34"/>
  <c r="U376" i="34"/>
  <c r="V376" i="34"/>
  <c r="F376" i="34"/>
  <c r="V399" i="34"/>
  <c r="F399" i="34"/>
  <c r="U399" i="34"/>
  <c r="U404" i="34"/>
  <c r="V404" i="34"/>
  <c r="F404" i="34"/>
  <c r="V432" i="34"/>
  <c r="U432" i="34"/>
  <c r="F432" i="34"/>
  <c r="U373" i="34"/>
  <c r="V373" i="34"/>
  <c r="F373" i="34"/>
  <c r="V395" i="34"/>
  <c r="F395" i="34"/>
  <c r="U395" i="34"/>
  <c r="F400" i="34"/>
  <c r="U400" i="34"/>
  <c r="V400" i="34"/>
  <c r="U364" i="34"/>
  <c r="V364" i="34"/>
  <c r="F364" i="34"/>
  <c r="U456" i="34"/>
  <c r="V456" i="34"/>
  <c r="F456" i="34"/>
  <c r="V488" i="34"/>
  <c r="F488" i="34"/>
  <c r="U488" i="34"/>
  <c r="U496" i="34"/>
  <c r="F496" i="34"/>
  <c r="V496" i="34"/>
  <c r="U363" i="34"/>
  <c r="F363" i="34"/>
  <c r="V363" i="34"/>
  <c r="F379" i="34"/>
  <c r="V379" i="34"/>
  <c r="U379" i="34"/>
  <c r="V430" i="34"/>
  <c r="F430" i="34"/>
  <c r="U430" i="34"/>
  <c r="U455" i="34"/>
  <c r="F455" i="34"/>
  <c r="V455" i="34"/>
  <c r="V487" i="34"/>
  <c r="U487" i="34"/>
  <c r="F487" i="34"/>
  <c r="F495" i="34"/>
  <c r="U495" i="34"/>
  <c r="V495" i="34"/>
  <c r="V311" i="34"/>
  <c r="U311" i="34"/>
  <c r="F311" i="34"/>
  <c r="U315" i="34"/>
  <c r="F315" i="34"/>
  <c r="V315" i="34"/>
  <c r="F319" i="34"/>
  <c r="V319" i="34"/>
  <c r="U319" i="34"/>
  <c r="F323" i="34"/>
  <c r="V323" i="34"/>
  <c r="U323" i="34"/>
  <c r="V327" i="34"/>
  <c r="F327" i="34"/>
  <c r="U327" i="34"/>
  <c r="U331" i="34"/>
  <c r="F331" i="34"/>
  <c r="V331" i="34"/>
  <c r="F335" i="34"/>
  <c r="U335" i="34"/>
  <c r="V335" i="34"/>
  <c r="F339" i="34"/>
  <c r="U339" i="34"/>
  <c r="V339" i="34"/>
  <c r="F343" i="34"/>
  <c r="V343" i="34"/>
  <c r="U343" i="34"/>
  <c r="F347" i="34"/>
  <c r="U347" i="34"/>
  <c r="V347" i="34"/>
  <c r="F351" i="34"/>
  <c r="V351" i="34"/>
  <c r="U351" i="34"/>
  <c r="U355" i="34"/>
  <c r="V355" i="34"/>
  <c r="F355" i="34"/>
  <c r="V359" i="34"/>
  <c r="F359" i="34"/>
  <c r="U359" i="34"/>
  <c r="U362" i="34"/>
  <c r="F362" i="34"/>
  <c r="V362" i="34"/>
  <c r="V378" i="34"/>
  <c r="F378" i="34"/>
  <c r="U378" i="34"/>
  <c r="U394" i="34"/>
  <c r="V394" i="34"/>
  <c r="F394" i="34"/>
  <c r="U418" i="34"/>
  <c r="V418" i="34"/>
  <c r="F418" i="34"/>
  <c r="V423" i="34"/>
  <c r="F423" i="34"/>
  <c r="U423" i="34"/>
  <c r="V428" i="34"/>
  <c r="U428" i="34"/>
  <c r="F428" i="34"/>
  <c r="U452" i="34"/>
  <c r="V452" i="34"/>
  <c r="F452" i="34"/>
  <c r="F484" i="34"/>
  <c r="V484" i="34"/>
  <c r="U484" i="34"/>
  <c r="F492" i="34"/>
  <c r="U492" i="34"/>
  <c r="V492" i="34"/>
  <c r="V446" i="34"/>
  <c r="F446" i="34"/>
  <c r="U446" i="34"/>
  <c r="U462" i="34"/>
  <c r="V462" i="34"/>
  <c r="F462" i="34"/>
  <c r="U478" i="34"/>
  <c r="V478" i="34"/>
  <c r="F478" i="34"/>
  <c r="F405" i="34"/>
  <c r="U405" i="34"/>
  <c r="V405" i="34"/>
  <c r="V421" i="34"/>
  <c r="F421" i="34"/>
  <c r="U421" i="34"/>
  <c r="F437" i="34"/>
  <c r="U437" i="34"/>
  <c r="V437" i="34"/>
  <c r="U453" i="34"/>
  <c r="V453" i="34"/>
  <c r="F453" i="34"/>
  <c r="F469" i="34"/>
  <c r="U469" i="34"/>
  <c r="V469" i="34"/>
  <c r="V485" i="34"/>
  <c r="F485" i="34"/>
  <c r="U485" i="34"/>
  <c r="F505" i="34"/>
  <c r="V505" i="34"/>
  <c r="U505" i="34"/>
  <c r="F501" i="34"/>
  <c r="V501" i="34"/>
  <c r="U501" i="34"/>
  <c r="T308" i="34"/>
  <c r="S499" i="34"/>
  <c r="S505" i="34"/>
  <c r="S502" i="34"/>
  <c r="H499" i="34"/>
  <c r="G499" i="34"/>
  <c r="G504" i="34"/>
  <c r="H504" i="34"/>
  <c r="G502" i="34"/>
  <c r="H502" i="34"/>
  <c r="S501" i="34"/>
  <c r="G503" i="34"/>
  <c r="H503" i="34"/>
  <c r="G500" i="34"/>
  <c r="H500" i="34"/>
  <c r="S500" i="34"/>
  <c r="H505" i="34"/>
  <c r="G505" i="34"/>
  <c r="S504" i="34"/>
  <c r="S503" i="34"/>
  <c r="G501" i="34"/>
  <c r="H501" i="34"/>
  <c r="T499" i="34"/>
  <c r="T500" i="34"/>
  <c r="T504" i="34"/>
  <c r="T503" i="34"/>
  <c r="T501" i="34"/>
  <c r="T505" i="34"/>
  <c r="T502" i="34"/>
  <c r="S138" i="34"/>
  <c r="S309" i="34"/>
  <c r="T317" i="34"/>
  <c r="T315" i="34"/>
  <c r="S214" i="34"/>
  <c r="S246" i="34"/>
  <c r="S278" i="34"/>
  <c r="S298" i="34"/>
  <c r="S320" i="34"/>
  <c r="S204" i="34"/>
  <c r="S236" i="34"/>
  <c r="S268" i="34"/>
  <c r="S312" i="34"/>
  <c r="S139" i="34"/>
  <c r="T203" i="34"/>
  <c r="S147" i="34"/>
  <c r="S163" i="34"/>
  <c r="S118" i="34"/>
  <c r="S182" i="34"/>
  <c r="T104" i="34"/>
  <c r="T106" i="34"/>
  <c r="C15" i="37"/>
  <c r="A15" i="37" s="1"/>
  <c r="D15" i="37" s="1"/>
  <c r="T313" i="34"/>
  <c r="T311" i="34"/>
  <c r="T321" i="34"/>
  <c r="S196" i="34"/>
  <c r="S212" i="34"/>
  <c r="S228" i="34"/>
  <c r="S244" i="34"/>
  <c r="S260" i="34"/>
  <c r="S276" i="34"/>
  <c r="S292" i="34"/>
  <c r="T319" i="34"/>
  <c r="S14" i="34"/>
  <c r="S22" i="34"/>
  <c r="S30" i="34"/>
  <c r="S38" i="34"/>
  <c r="S46" i="34"/>
  <c r="S54" i="34"/>
  <c r="S62" i="34"/>
  <c r="S70" i="34"/>
  <c r="S78" i="34"/>
  <c r="S86" i="34"/>
  <c r="S94" i="34"/>
  <c r="S102" i="34"/>
  <c r="S192" i="34"/>
  <c r="S208" i="34"/>
  <c r="S224" i="34"/>
  <c r="S240" i="34"/>
  <c r="S256" i="34"/>
  <c r="S272" i="34"/>
  <c r="S288" i="34"/>
  <c r="S200" i="34"/>
  <c r="S216" i="34"/>
  <c r="S248" i="34"/>
  <c r="S264" i="34"/>
  <c r="S280" i="34"/>
  <c r="T306" i="34"/>
  <c r="S123" i="34"/>
  <c r="S114" i="34"/>
  <c r="S146" i="34"/>
  <c r="S178" i="34"/>
  <c r="S109" i="34"/>
  <c r="S125" i="34"/>
  <c r="S141" i="34"/>
  <c r="S157" i="34"/>
  <c r="S173" i="34"/>
  <c r="T304" i="34"/>
  <c r="T28" i="34"/>
  <c r="T60" i="34"/>
  <c r="T92" i="34"/>
  <c r="S12" i="34"/>
  <c r="S20" i="34"/>
  <c r="S28" i="34"/>
  <c r="S36" i="34"/>
  <c r="S44" i="34"/>
  <c r="S52" i="34"/>
  <c r="S60" i="34"/>
  <c r="S68" i="34"/>
  <c r="S76" i="34"/>
  <c r="S84" i="34"/>
  <c r="S92" i="34"/>
  <c r="S100" i="34"/>
  <c r="S130" i="34"/>
  <c r="S162" i="34"/>
  <c r="S111" i="34"/>
  <c r="S143" i="34"/>
  <c r="S175" i="34"/>
  <c r="T298" i="34"/>
  <c r="P14" i="37" a="1"/>
  <c r="P14" i="37" s="1"/>
  <c r="T26" i="34"/>
  <c r="T90" i="34"/>
  <c r="S190" i="34"/>
  <c r="S206" i="34"/>
  <c r="S222" i="34"/>
  <c r="S238" i="34"/>
  <c r="S254" i="34"/>
  <c r="S270" i="34"/>
  <c r="S286" i="34"/>
  <c r="S7" i="34"/>
  <c r="T48" i="34"/>
  <c r="T88" i="34"/>
  <c r="T40" i="34"/>
  <c r="T56" i="34"/>
  <c r="T96" i="34"/>
  <c r="T8" i="34"/>
  <c r="S131" i="34"/>
  <c r="T100" i="34"/>
  <c r="S10" i="34"/>
  <c r="S18" i="34"/>
  <c r="S26" i="34"/>
  <c r="S34" i="34"/>
  <c r="S42" i="34"/>
  <c r="S50" i="34"/>
  <c r="S66" i="34"/>
  <c r="S74" i="34"/>
  <c r="S82" i="34"/>
  <c r="S90" i="34"/>
  <c r="S98" i="34"/>
  <c r="S106" i="34"/>
  <c r="T12" i="34"/>
  <c r="T44" i="34"/>
  <c r="T76" i="34"/>
  <c r="S134" i="34"/>
  <c r="S166" i="34"/>
  <c r="S119" i="34"/>
  <c r="S151" i="34"/>
  <c r="S183" i="34"/>
  <c r="T299" i="34"/>
  <c r="S179" i="34"/>
  <c r="T16" i="34"/>
  <c r="T80" i="34"/>
  <c r="T24" i="34"/>
  <c r="T64" i="34"/>
  <c r="T32" i="34"/>
  <c r="T72" i="34"/>
  <c r="S171" i="34"/>
  <c r="T18" i="34"/>
  <c r="T50" i="34"/>
  <c r="T82" i="34"/>
  <c r="S8" i="34"/>
  <c r="S16" i="34"/>
  <c r="S24" i="34"/>
  <c r="S32" i="34"/>
  <c r="S40" i="34"/>
  <c r="S48" i="34"/>
  <c r="S56" i="34"/>
  <c r="S64" i="34"/>
  <c r="S72" i="34"/>
  <c r="S80" i="34"/>
  <c r="S88" i="34"/>
  <c r="S96" i="34"/>
  <c r="S104" i="34"/>
  <c r="S186" i="34"/>
  <c r="S202" i="34"/>
  <c r="S218" i="34"/>
  <c r="S234" i="34"/>
  <c r="S250" i="34"/>
  <c r="S266" i="34"/>
  <c r="S282" i="34"/>
  <c r="S127" i="34"/>
  <c r="S159" i="34"/>
  <c r="S310" i="34"/>
  <c r="T10" i="34"/>
  <c r="T42" i="34"/>
  <c r="T74" i="34"/>
  <c r="T14" i="34"/>
  <c r="T46" i="34"/>
  <c r="T78" i="34"/>
  <c r="S122" i="34"/>
  <c r="S154" i="34"/>
  <c r="S297" i="34"/>
  <c r="S107" i="34"/>
  <c r="T34" i="34"/>
  <c r="T66" i="34"/>
  <c r="T98" i="34"/>
  <c r="T102" i="34"/>
  <c r="S194" i="34"/>
  <c r="S210" i="34"/>
  <c r="S226" i="34"/>
  <c r="S242" i="34"/>
  <c r="S258" i="34"/>
  <c r="S274" i="34"/>
  <c r="S290" i="34"/>
  <c r="T7" i="34"/>
  <c r="S117" i="34"/>
  <c r="S133" i="34"/>
  <c r="S149" i="34"/>
  <c r="S165" i="34"/>
  <c r="S181" i="34"/>
  <c r="S316" i="34"/>
  <c r="T110" i="34"/>
  <c r="T114" i="34"/>
  <c r="T118" i="34"/>
  <c r="T122" i="34"/>
  <c r="T126" i="34"/>
  <c r="T130" i="34"/>
  <c r="T134" i="34"/>
  <c r="T138" i="34"/>
  <c r="T142" i="34"/>
  <c r="T146" i="34"/>
  <c r="T150" i="34"/>
  <c r="T154" i="34"/>
  <c r="T158" i="34"/>
  <c r="T162" i="34"/>
  <c r="T166" i="34"/>
  <c r="T170" i="34"/>
  <c r="T174" i="34"/>
  <c r="T178" i="34"/>
  <c r="T182" i="34"/>
  <c r="T186" i="34"/>
  <c r="T190" i="34"/>
  <c r="T194" i="34"/>
  <c r="T198" i="34"/>
  <c r="T202" i="34"/>
  <c r="T206" i="34"/>
  <c r="T210" i="34"/>
  <c r="T214" i="34"/>
  <c r="T218" i="34"/>
  <c r="T222" i="34"/>
  <c r="T226" i="34"/>
  <c r="T230" i="34"/>
  <c r="T234" i="34"/>
  <c r="T238" i="34"/>
  <c r="T242" i="34"/>
  <c r="T246" i="34"/>
  <c r="T250" i="34"/>
  <c r="T254" i="34"/>
  <c r="T258" i="34"/>
  <c r="T262" i="34"/>
  <c r="T266" i="34"/>
  <c r="T270" i="34"/>
  <c r="T274" i="34"/>
  <c r="T278" i="34"/>
  <c r="T282" i="34"/>
  <c r="T286" i="34"/>
  <c r="T290" i="34"/>
  <c r="T294" i="34"/>
  <c r="S305" i="34"/>
  <c r="T256" i="34"/>
  <c r="T260" i="34"/>
  <c r="T264" i="34"/>
  <c r="T268" i="34"/>
  <c r="T272" i="34"/>
  <c r="T276" i="34"/>
  <c r="T280" i="34"/>
  <c r="T284" i="34"/>
  <c r="T288" i="34"/>
  <c r="T292" i="34"/>
  <c r="S303" i="34"/>
  <c r="S307" i="34"/>
  <c r="S232" i="34"/>
  <c r="S315" i="34"/>
  <c r="T22" i="34"/>
  <c r="T54" i="34"/>
  <c r="T86" i="34"/>
  <c r="T310" i="34"/>
  <c r="T108" i="34"/>
  <c r="T112" i="34"/>
  <c r="T116" i="34"/>
  <c r="T120" i="34"/>
  <c r="T124" i="34"/>
  <c r="T128" i="34"/>
  <c r="T132" i="34"/>
  <c r="T136" i="34"/>
  <c r="T140" i="34"/>
  <c r="T144" i="34"/>
  <c r="T148" i="34"/>
  <c r="T152" i="34"/>
  <c r="T156" i="34"/>
  <c r="T160" i="34"/>
  <c r="T164" i="34"/>
  <c r="T168" i="34"/>
  <c r="T172" i="34"/>
  <c r="T176" i="34"/>
  <c r="T180" i="34"/>
  <c r="T184" i="34"/>
  <c r="T188" i="34"/>
  <c r="T192" i="34"/>
  <c r="T196" i="34"/>
  <c r="T200" i="34"/>
  <c r="T204" i="34"/>
  <c r="T208" i="34"/>
  <c r="T212" i="34"/>
  <c r="T216" i="34"/>
  <c r="T220" i="34"/>
  <c r="T224" i="34"/>
  <c r="T228" i="34"/>
  <c r="T236" i="34"/>
  <c r="T240" i="34"/>
  <c r="T244" i="34"/>
  <c r="T248" i="34"/>
  <c r="T252" i="34"/>
  <c r="S318" i="34"/>
  <c r="T38" i="34"/>
  <c r="T70" i="34"/>
  <c r="O10" i="37" a="1"/>
  <c r="O10" i="37" s="1"/>
  <c r="AJ26" i="51"/>
  <c r="AF26" i="51"/>
  <c r="AM26" i="51"/>
  <c r="AI26" i="51"/>
  <c r="AK26" i="51"/>
  <c r="AH26" i="51"/>
  <c r="AG26" i="51"/>
  <c r="AL26" i="51"/>
  <c r="AJ53" i="52"/>
  <c r="AF53" i="52"/>
  <c r="AM53" i="52"/>
  <c r="AI53" i="52"/>
  <c r="AK53" i="52"/>
  <c r="AH53" i="52"/>
  <c r="AG53" i="52"/>
  <c r="AL53" i="52"/>
  <c r="J28" i="51"/>
  <c r="F28" i="51"/>
  <c r="M28" i="51"/>
  <c r="I28" i="51"/>
  <c r="L28" i="51"/>
  <c r="K28" i="51"/>
  <c r="H28" i="51"/>
  <c r="G28" i="51"/>
  <c r="AJ14" i="51"/>
  <c r="AF14" i="51"/>
  <c r="AM14" i="51"/>
  <c r="AI14" i="51"/>
  <c r="AK14" i="51"/>
  <c r="AH14" i="51"/>
  <c r="AG14" i="51"/>
  <c r="AL14" i="51"/>
  <c r="J13" i="51"/>
  <c r="F13" i="51"/>
  <c r="M13" i="51"/>
  <c r="I13" i="51"/>
  <c r="K13" i="51"/>
  <c r="H13" i="51"/>
  <c r="G13" i="51"/>
  <c r="L13" i="51"/>
  <c r="BJ11" i="51"/>
  <c r="BF11" i="51"/>
  <c r="BM11" i="51"/>
  <c r="BI11" i="51"/>
  <c r="BK11" i="51"/>
  <c r="BH11" i="51"/>
  <c r="BG11" i="51"/>
  <c r="BL11" i="51"/>
  <c r="K45" i="51"/>
  <c r="G45" i="51"/>
  <c r="J45" i="51"/>
  <c r="F45" i="51"/>
  <c r="M45" i="51"/>
  <c r="I45" i="51"/>
  <c r="L45" i="51"/>
  <c r="H45" i="51"/>
  <c r="BJ34" i="52"/>
  <c r="BF34" i="52"/>
  <c r="BM34" i="52"/>
  <c r="BI34" i="52"/>
  <c r="BK34" i="52"/>
  <c r="BH34" i="52"/>
  <c r="BG34" i="52"/>
  <c r="BL34" i="52"/>
  <c r="BX15" i="51"/>
  <c r="BT15" i="51"/>
  <c r="BW15" i="51"/>
  <c r="BS15" i="51"/>
  <c r="BU15" i="51"/>
  <c r="BZ15" i="51"/>
  <c r="BY15" i="51"/>
  <c r="BV15" i="51"/>
  <c r="M20" i="37"/>
  <c r="P17" i="37" a="1"/>
  <c r="P17" i="37" s="1"/>
  <c r="N17" i="37" a="1"/>
  <c r="N17" i="37" s="1"/>
  <c r="O9" i="37" a="1"/>
  <c r="O9" i="37" s="1"/>
  <c r="J5" i="51"/>
  <c r="F5" i="51"/>
  <c r="M5" i="51"/>
  <c r="I5" i="51"/>
  <c r="K5" i="51"/>
  <c r="H5" i="51"/>
  <c r="G5" i="51"/>
  <c r="L5" i="51"/>
  <c r="K29" i="51"/>
  <c r="G29" i="51"/>
  <c r="J29" i="51"/>
  <c r="F29" i="51"/>
  <c r="M29" i="51"/>
  <c r="I29" i="51"/>
  <c r="L29" i="51"/>
  <c r="H29" i="51"/>
  <c r="AJ10" i="51"/>
  <c r="AF10" i="51"/>
  <c r="AM10" i="51"/>
  <c r="AI10" i="51"/>
  <c r="AK10" i="51"/>
  <c r="AH10" i="51"/>
  <c r="AG10" i="51"/>
  <c r="AL10" i="51"/>
  <c r="J9" i="51"/>
  <c r="F9" i="51"/>
  <c r="M9" i="51"/>
  <c r="I9" i="51"/>
  <c r="K9" i="51"/>
  <c r="H9" i="51"/>
  <c r="G9" i="51"/>
  <c r="L9" i="51"/>
  <c r="AK5" i="52"/>
  <c r="AG5" i="52"/>
  <c r="AJ5" i="52"/>
  <c r="AF5" i="52"/>
  <c r="AM5" i="52"/>
  <c r="AI5" i="52"/>
  <c r="AL5" i="52"/>
  <c r="AH5" i="52"/>
  <c r="AK13" i="52"/>
  <c r="AG13" i="52"/>
  <c r="AJ13" i="52"/>
  <c r="AF13" i="52"/>
  <c r="AM13" i="52"/>
  <c r="AI13" i="52"/>
  <c r="AL13" i="52"/>
  <c r="AH13" i="52"/>
  <c r="AK21" i="52"/>
  <c r="AG21" i="52"/>
  <c r="AJ21" i="52"/>
  <c r="AF21" i="52"/>
  <c r="AM21" i="52"/>
  <c r="AI21" i="52"/>
  <c r="AL21" i="52"/>
  <c r="AH21" i="52"/>
  <c r="AK29" i="52"/>
  <c r="AG29" i="52"/>
  <c r="AJ29" i="52"/>
  <c r="AF29" i="52"/>
  <c r="AM29" i="52"/>
  <c r="AI29" i="52"/>
  <c r="AL29" i="52"/>
  <c r="AH29" i="52"/>
  <c r="BJ7" i="51"/>
  <c r="BF7" i="51"/>
  <c r="BM7" i="51"/>
  <c r="BI7" i="51"/>
  <c r="BK7" i="51"/>
  <c r="BH7" i="51"/>
  <c r="BG7" i="51"/>
  <c r="BL7" i="51"/>
  <c r="H161" i="34"/>
  <c r="G161" i="34"/>
  <c r="AJ6" i="51"/>
  <c r="AF6" i="51"/>
  <c r="AM6" i="51"/>
  <c r="AI6" i="51"/>
  <c r="AK6" i="51"/>
  <c r="AH6" i="51"/>
  <c r="AG6" i="51"/>
  <c r="AL6" i="51"/>
  <c r="BJ42" i="52"/>
  <c r="BF42" i="52"/>
  <c r="BM42" i="52"/>
  <c r="BI42" i="52"/>
  <c r="BK42" i="52"/>
  <c r="BH42" i="52"/>
  <c r="BG42" i="52"/>
  <c r="BL42" i="52"/>
  <c r="X9" i="51"/>
  <c r="T9" i="51"/>
  <c r="W9" i="51"/>
  <c r="S9" i="51"/>
  <c r="U9" i="51"/>
  <c r="Z9" i="51"/>
  <c r="Y9" i="51"/>
  <c r="V9" i="51"/>
  <c r="AX14" i="51"/>
  <c r="AT14" i="51"/>
  <c r="AW14" i="51"/>
  <c r="AS14" i="51"/>
  <c r="AU14" i="51"/>
  <c r="AZ14" i="51"/>
  <c r="AY14" i="51"/>
  <c r="AV14" i="51"/>
  <c r="BX19" i="51"/>
  <c r="BT19" i="51"/>
  <c r="BW19" i="51"/>
  <c r="BS19" i="51"/>
  <c r="BU19" i="51"/>
  <c r="BZ19" i="51"/>
  <c r="BY19" i="51"/>
  <c r="BV19" i="51"/>
  <c r="X25" i="51"/>
  <c r="T25" i="51"/>
  <c r="W25" i="51"/>
  <c r="S25" i="51"/>
  <c r="U25" i="51"/>
  <c r="Z25" i="51"/>
  <c r="Y25" i="51"/>
  <c r="V25" i="51"/>
  <c r="AK27" i="51"/>
  <c r="AG27" i="51"/>
  <c r="AJ27" i="51"/>
  <c r="AF27" i="51"/>
  <c r="AH27" i="51"/>
  <c r="AM27" i="51"/>
  <c r="AL27" i="51"/>
  <c r="AI27" i="51"/>
  <c r="AK39" i="51"/>
  <c r="AG39" i="51"/>
  <c r="AJ39" i="51"/>
  <c r="AF39" i="51"/>
  <c r="AM39" i="51"/>
  <c r="AI39" i="51"/>
  <c r="AL39" i="51"/>
  <c r="AH39" i="51"/>
  <c r="BK53" i="51"/>
  <c r="BG53" i="51"/>
  <c r="BJ53" i="51"/>
  <c r="BF53" i="51"/>
  <c r="BM53" i="51"/>
  <c r="BI53" i="51"/>
  <c r="BL53" i="51"/>
  <c r="BH53" i="51"/>
  <c r="J34" i="52"/>
  <c r="F34" i="52"/>
  <c r="M34" i="52"/>
  <c r="I34" i="52"/>
  <c r="K34" i="52"/>
  <c r="H34" i="52"/>
  <c r="G34" i="52"/>
  <c r="L34" i="52"/>
  <c r="BK43" i="52"/>
  <c r="BG43" i="52"/>
  <c r="BJ43" i="52"/>
  <c r="BF43" i="52"/>
  <c r="BI43" i="52"/>
  <c r="BH43" i="52"/>
  <c r="BM43" i="52"/>
  <c r="BL43" i="52"/>
  <c r="H185" i="34"/>
  <c r="G185" i="34"/>
  <c r="T371" i="34"/>
  <c r="S371" i="34"/>
  <c r="BJ5" i="51"/>
  <c r="BF5" i="51"/>
  <c r="BM5" i="51"/>
  <c r="BI5" i="51"/>
  <c r="BG5" i="51"/>
  <c r="BL5" i="51"/>
  <c r="BK5" i="51"/>
  <c r="BH5" i="51"/>
  <c r="J11" i="51"/>
  <c r="F11" i="51"/>
  <c r="M11" i="51"/>
  <c r="I11" i="51"/>
  <c r="G11" i="51"/>
  <c r="L11" i="51"/>
  <c r="K11" i="51"/>
  <c r="H11" i="51"/>
  <c r="AJ16" i="51"/>
  <c r="AF16" i="51"/>
  <c r="AM16" i="51"/>
  <c r="AI16" i="51"/>
  <c r="AG16" i="51"/>
  <c r="AL16" i="51"/>
  <c r="AK16" i="51"/>
  <c r="AH16" i="51"/>
  <c r="BJ21" i="51"/>
  <c r="BF21" i="51"/>
  <c r="BM21" i="51"/>
  <c r="BI21" i="51"/>
  <c r="BG21" i="51"/>
  <c r="BL21" i="51"/>
  <c r="BK21" i="51"/>
  <c r="BH21" i="51"/>
  <c r="AX34" i="51"/>
  <c r="AT34" i="51"/>
  <c r="AW34" i="51"/>
  <c r="AS34" i="51"/>
  <c r="AZ34" i="51"/>
  <c r="AV34" i="51"/>
  <c r="AU34" i="51"/>
  <c r="AY34" i="51"/>
  <c r="K37" i="51"/>
  <c r="G37" i="51"/>
  <c r="J37" i="51"/>
  <c r="F37" i="51"/>
  <c r="M37" i="51"/>
  <c r="I37" i="51"/>
  <c r="H37" i="51"/>
  <c r="L37" i="51"/>
  <c r="AK51" i="51"/>
  <c r="AG51" i="51"/>
  <c r="AJ51" i="51"/>
  <c r="AF51" i="51"/>
  <c r="AM51" i="51"/>
  <c r="AI51" i="51"/>
  <c r="AH51" i="51"/>
  <c r="AL51" i="51"/>
  <c r="BK7" i="52"/>
  <c r="BG7" i="52"/>
  <c r="BJ7" i="52"/>
  <c r="BF7" i="52"/>
  <c r="BM7" i="52"/>
  <c r="BI7" i="52"/>
  <c r="BH7" i="52"/>
  <c r="BL7" i="52"/>
  <c r="BK11" i="52"/>
  <c r="BG11" i="52"/>
  <c r="BJ11" i="52"/>
  <c r="BF11" i="52"/>
  <c r="BM11" i="52"/>
  <c r="BI11" i="52"/>
  <c r="BH11" i="52"/>
  <c r="BL11" i="52"/>
  <c r="BK15" i="52"/>
  <c r="BG15" i="52"/>
  <c r="BJ15" i="52"/>
  <c r="BF15" i="52"/>
  <c r="BM15" i="52"/>
  <c r="BI15" i="52"/>
  <c r="BH15" i="52"/>
  <c r="BL15" i="52"/>
  <c r="BK19" i="52"/>
  <c r="BG19" i="52"/>
  <c r="BJ19" i="52"/>
  <c r="BF19" i="52"/>
  <c r="BM19" i="52"/>
  <c r="BI19" i="52"/>
  <c r="BH19" i="52"/>
  <c r="BL19" i="52"/>
  <c r="BK23" i="52"/>
  <c r="BG23" i="52"/>
  <c r="BJ23" i="52"/>
  <c r="BF23" i="52"/>
  <c r="BM23" i="52"/>
  <c r="BI23" i="52"/>
  <c r="BH23" i="52"/>
  <c r="BL23" i="52"/>
  <c r="BK27" i="52"/>
  <c r="BG27" i="52"/>
  <c r="BJ27" i="52"/>
  <c r="BF27" i="52"/>
  <c r="BM27" i="52"/>
  <c r="BI27" i="52"/>
  <c r="BH27" i="52"/>
  <c r="BL27" i="52"/>
  <c r="W33" i="52"/>
  <c r="S33" i="52"/>
  <c r="Z33" i="52"/>
  <c r="V33" i="52"/>
  <c r="X33" i="52"/>
  <c r="U33" i="52"/>
  <c r="T33" i="52"/>
  <c r="Y33" i="52"/>
  <c r="BJ46" i="52"/>
  <c r="BF46" i="52"/>
  <c r="BM46" i="52"/>
  <c r="BI46" i="52"/>
  <c r="BK46" i="52"/>
  <c r="BH46" i="52"/>
  <c r="BG46" i="52"/>
  <c r="BL46" i="52"/>
  <c r="T20" i="34"/>
  <c r="T52" i="34"/>
  <c r="T84" i="34"/>
  <c r="AX4" i="51"/>
  <c r="AT4" i="51"/>
  <c r="AW4" i="51"/>
  <c r="AS4" i="51"/>
  <c r="AY4" i="51"/>
  <c r="AV4" i="51"/>
  <c r="AU4" i="51"/>
  <c r="AZ4" i="51"/>
  <c r="BX9" i="51"/>
  <c r="BT9" i="51"/>
  <c r="BW9" i="51"/>
  <c r="BS9" i="51"/>
  <c r="BY9" i="51"/>
  <c r="BV9" i="51"/>
  <c r="BU9" i="51"/>
  <c r="BZ9" i="51"/>
  <c r="X15" i="51"/>
  <c r="T15" i="51"/>
  <c r="W15" i="51"/>
  <c r="S15" i="51"/>
  <c r="Y15" i="51"/>
  <c r="V15" i="51"/>
  <c r="U15" i="51"/>
  <c r="Z15" i="51"/>
  <c r="AX20" i="51"/>
  <c r="AT20" i="51"/>
  <c r="AW20" i="51"/>
  <c r="AS20" i="51"/>
  <c r="AY20" i="51"/>
  <c r="AV20" i="51"/>
  <c r="AU20" i="51"/>
  <c r="AZ20" i="51"/>
  <c r="BX25" i="51"/>
  <c r="BT25" i="51"/>
  <c r="BW25" i="51"/>
  <c r="BS25" i="51"/>
  <c r="BY25" i="51"/>
  <c r="BV25" i="51"/>
  <c r="BU25" i="51"/>
  <c r="BZ25" i="51"/>
  <c r="BK29" i="51"/>
  <c r="BG29" i="51"/>
  <c r="BJ29" i="51"/>
  <c r="BF29" i="51"/>
  <c r="BM29" i="51"/>
  <c r="BI29" i="51"/>
  <c r="BL29" i="51"/>
  <c r="BH29" i="51"/>
  <c r="X32" i="51"/>
  <c r="T32" i="51"/>
  <c r="W32" i="51"/>
  <c r="S32" i="51"/>
  <c r="Z32" i="51"/>
  <c r="V32" i="51"/>
  <c r="Y32" i="51"/>
  <c r="U32" i="51"/>
  <c r="X10" i="52"/>
  <c r="T10" i="52"/>
  <c r="W10" i="52"/>
  <c r="S10" i="52"/>
  <c r="Z10" i="52"/>
  <c r="V10" i="52"/>
  <c r="Y10" i="52"/>
  <c r="U10" i="52"/>
  <c r="X18" i="52"/>
  <c r="T18" i="52"/>
  <c r="W18" i="52"/>
  <c r="S18" i="52"/>
  <c r="Z18" i="52"/>
  <c r="V18" i="52"/>
  <c r="Y18" i="52"/>
  <c r="U18" i="52"/>
  <c r="X26" i="52"/>
  <c r="T26" i="52"/>
  <c r="W26" i="52"/>
  <c r="S26" i="52"/>
  <c r="Z26" i="52"/>
  <c r="V26" i="52"/>
  <c r="Y26" i="52"/>
  <c r="U26" i="52"/>
  <c r="BK31" i="52"/>
  <c r="BG31" i="52"/>
  <c r="BJ31" i="52"/>
  <c r="BF31" i="52"/>
  <c r="BI31" i="52"/>
  <c r="BH31" i="52"/>
  <c r="BM31" i="52"/>
  <c r="BL31" i="52"/>
  <c r="T30" i="34"/>
  <c r="T62" i="34"/>
  <c r="T94" i="34"/>
  <c r="S115" i="34"/>
  <c r="W31" i="51"/>
  <c r="S31" i="51"/>
  <c r="Z31" i="51"/>
  <c r="V31" i="51"/>
  <c r="Y31" i="51"/>
  <c r="U31" i="51"/>
  <c r="X31" i="51"/>
  <c r="T31" i="51"/>
  <c r="AJ34" i="51"/>
  <c r="AF34" i="51"/>
  <c r="AM34" i="51"/>
  <c r="AI34" i="51"/>
  <c r="AL34" i="51"/>
  <c r="AH34" i="51"/>
  <c r="AK34" i="51"/>
  <c r="AG34" i="51"/>
  <c r="AW37" i="51"/>
  <c r="AS37" i="51"/>
  <c r="AZ37" i="51"/>
  <c r="AV37" i="51"/>
  <c r="AY37" i="51"/>
  <c r="AU37" i="51"/>
  <c r="AT37" i="51"/>
  <c r="AX37" i="51"/>
  <c r="BJ40" i="51"/>
  <c r="BF40" i="51"/>
  <c r="BM40" i="51"/>
  <c r="BI40" i="51"/>
  <c r="BL40" i="51"/>
  <c r="BH40" i="51"/>
  <c r="BK40" i="51"/>
  <c r="BG40" i="51"/>
  <c r="J44" i="51"/>
  <c r="F44" i="51"/>
  <c r="M44" i="51"/>
  <c r="I44" i="51"/>
  <c r="L44" i="51"/>
  <c r="H44" i="51"/>
  <c r="K44" i="51"/>
  <c r="G44" i="51"/>
  <c r="W47" i="51"/>
  <c r="S47" i="51"/>
  <c r="Z47" i="51"/>
  <c r="V47" i="51"/>
  <c r="Y47" i="51"/>
  <c r="U47" i="51"/>
  <c r="X47" i="51"/>
  <c r="T47" i="51"/>
  <c r="AJ50" i="51"/>
  <c r="AF50" i="51"/>
  <c r="AM50" i="51"/>
  <c r="AI50" i="51"/>
  <c r="AL50" i="51"/>
  <c r="AH50" i="51"/>
  <c r="AK50" i="51"/>
  <c r="AG50" i="51"/>
  <c r="AW53" i="51"/>
  <c r="AS53" i="51"/>
  <c r="AZ53" i="51"/>
  <c r="AV53" i="51"/>
  <c r="AY53" i="51"/>
  <c r="AU53" i="51"/>
  <c r="AT53" i="51"/>
  <c r="AX53" i="51"/>
  <c r="AJ8" i="52"/>
  <c r="AF8" i="52"/>
  <c r="AM8" i="52"/>
  <c r="AI8" i="52"/>
  <c r="AL8" i="52"/>
  <c r="AH8" i="52"/>
  <c r="AG8" i="52"/>
  <c r="AK8" i="52"/>
  <c r="AJ12" i="52"/>
  <c r="AF12" i="52"/>
  <c r="AM12" i="52"/>
  <c r="AI12" i="52"/>
  <c r="AL12" i="52"/>
  <c r="AH12" i="52"/>
  <c r="AG12" i="52"/>
  <c r="AK12" i="52"/>
  <c r="AJ16" i="52"/>
  <c r="AF16" i="52"/>
  <c r="AM16" i="52"/>
  <c r="AI16" i="52"/>
  <c r="AL16" i="52"/>
  <c r="AH16" i="52"/>
  <c r="AG16" i="52"/>
  <c r="AK16" i="52"/>
  <c r="AJ20" i="52"/>
  <c r="AF20" i="52"/>
  <c r="AM20" i="52"/>
  <c r="AI20" i="52"/>
  <c r="AL20" i="52"/>
  <c r="AH20" i="52"/>
  <c r="AG20" i="52"/>
  <c r="AK20" i="52"/>
  <c r="AJ24" i="52"/>
  <c r="AF24" i="52"/>
  <c r="AM24" i="52"/>
  <c r="AI24" i="52"/>
  <c r="AL24" i="52"/>
  <c r="AH24" i="52"/>
  <c r="AG24" i="52"/>
  <c r="AK24" i="52"/>
  <c r="AJ28" i="52"/>
  <c r="AF28" i="52"/>
  <c r="AM28" i="52"/>
  <c r="AI28" i="52"/>
  <c r="AL28" i="52"/>
  <c r="AH28" i="52"/>
  <c r="AG28" i="52"/>
  <c r="AK28" i="52"/>
  <c r="AK33" i="52"/>
  <c r="AG33" i="52"/>
  <c r="AJ33" i="52"/>
  <c r="AF33" i="52"/>
  <c r="AH33" i="52"/>
  <c r="AM33" i="52"/>
  <c r="AL33" i="52"/>
  <c r="AI33" i="52"/>
  <c r="AJ36" i="52"/>
  <c r="AF36" i="52"/>
  <c r="AM36" i="52"/>
  <c r="AI36" i="52"/>
  <c r="AH36" i="52"/>
  <c r="AG36" i="52"/>
  <c r="AL36" i="52"/>
  <c r="AK36" i="52"/>
  <c r="K39" i="52"/>
  <c r="G39" i="52"/>
  <c r="J39" i="52"/>
  <c r="F39" i="52"/>
  <c r="H39" i="52"/>
  <c r="M39" i="52"/>
  <c r="L39" i="52"/>
  <c r="I39" i="52"/>
  <c r="AK41" i="52"/>
  <c r="AG41" i="52"/>
  <c r="AJ41" i="52"/>
  <c r="AF41" i="52"/>
  <c r="AH41" i="52"/>
  <c r="AM41" i="52"/>
  <c r="AL41" i="52"/>
  <c r="AI41" i="52"/>
  <c r="AJ44" i="52"/>
  <c r="AF44" i="52"/>
  <c r="AM44" i="52"/>
  <c r="AI44" i="52"/>
  <c r="AH44" i="52"/>
  <c r="AG44" i="52"/>
  <c r="AL44" i="52"/>
  <c r="AK44" i="52"/>
  <c r="K47" i="52"/>
  <c r="G47" i="52"/>
  <c r="J47" i="52"/>
  <c r="F47" i="52"/>
  <c r="H47" i="52"/>
  <c r="M47" i="52"/>
  <c r="L47" i="52"/>
  <c r="I47" i="52"/>
  <c r="AK49" i="52"/>
  <c r="AG49" i="52"/>
  <c r="AJ49" i="52"/>
  <c r="AF49" i="52"/>
  <c r="AH49" i="52"/>
  <c r="AM49" i="52"/>
  <c r="AL49" i="52"/>
  <c r="AI49" i="52"/>
  <c r="AJ52" i="52"/>
  <c r="AF52" i="52"/>
  <c r="AM52" i="52"/>
  <c r="AI52" i="52"/>
  <c r="AH52" i="52"/>
  <c r="AG52" i="52"/>
  <c r="AL52" i="52"/>
  <c r="AK52" i="52"/>
  <c r="G128" i="34"/>
  <c r="H128" i="34"/>
  <c r="G160" i="34"/>
  <c r="H160" i="34"/>
  <c r="AZ5" i="51"/>
  <c r="AV5" i="51"/>
  <c r="AY5" i="51"/>
  <c r="AU5" i="51"/>
  <c r="AW5" i="51"/>
  <c r="AT5" i="51"/>
  <c r="AS5" i="51"/>
  <c r="AX5" i="51"/>
  <c r="Z8" i="51"/>
  <c r="V8" i="51"/>
  <c r="Y8" i="51"/>
  <c r="U8" i="51"/>
  <c r="W8" i="51"/>
  <c r="T8" i="51"/>
  <c r="S8" i="51"/>
  <c r="X8" i="51"/>
  <c r="BZ10" i="51"/>
  <c r="BV10" i="51"/>
  <c r="BY10" i="51"/>
  <c r="BU10" i="51"/>
  <c r="BW10" i="51"/>
  <c r="BT10" i="51"/>
  <c r="BS10" i="51"/>
  <c r="BX10" i="51"/>
  <c r="AZ13" i="51"/>
  <c r="AV13" i="51"/>
  <c r="AY13" i="51"/>
  <c r="AU13" i="51"/>
  <c r="AW13" i="51"/>
  <c r="AT13" i="51"/>
  <c r="AS13" i="51"/>
  <c r="AX13" i="51"/>
  <c r="Z16" i="51"/>
  <c r="V16" i="51"/>
  <c r="Y16" i="51"/>
  <c r="U16" i="51"/>
  <c r="W16" i="51"/>
  <c r="T16" i="51"/>
  <c r="S16" i="51"/>
  <c r="X16" i="51"/>
  <c r="BZ18" i="51"/>
  <c r="BV18" i="51"/>
  <c r="BY18" i="51"/>
  <c r="BU18" i="51"/>
  <c r="BW18" i="51"/>
  <c r="BT18" i="51"/>
  <c r="BS18" i="51"/>
  <c r="BX18" i="51"/>
  <c r="AZ21" i="51"/>
  <c r="AV21" i="51"/>
  <c r="AY21" i="51"/>
  <c r="AU21" i="51"/>
  <c r="AW21" i="51"/>
  <c r="AT21" i="51"/>
  <c r="AS21" i="51"/>
  <c r="AX21" i="51"/>
  <c r="Z24" i="51"/>
  <c r="V24" i="51"/>
  <c r="Y24" i="51"/>
  <c r="U24" i="51"/>
  <c r="W24" i="51"/>
  <c r="T24" i="51"/>
  <c r="S24" i="51"/>
  <c r="X24" i="51"/>
  <c r="M27" i="51"/>
  <c r="I27" i="51"/>
  <c r="L27" i="51"/>
  <c r="H27" i="51"/>
  <c r="F27" i="51"/>
  <c r="K27" i="51"/>
  <c r="J27" i="51"/>
  <c r="G27" i="51"/>
  <c r="Z30" i="51"/>
  <c r="V30" i="51"/>
  <c r="Y30" i="51"/>
  <c r="U30" i="51"/>
  <c r="X30" i="51"/>
  <c r="T30" i="51"/>
  <c r="W30" i="51"/>
  <c r="S30" i="51"/>
  <c r="AM33" i="51"/>
  <c r="AI33" i="51"/>
  <c r="AL33" i="51"/>
  <c r="AH33" i="51"/>
  <c r="AK33" i="51"/>
  <c r="AG33" i="51"/>
  <c r="AJ33" i="51"/>
  <c r="AF33" i="51"/>
  <c r="AZ36" i="51"/>
  <c r="AV36" i="51"/>
  <c r="AY36" i="51"/>
  <c r="AU36" i="51"/>
  <c r="AX36" i="51"/>
  <c r="AT36" i="51"/>
  <c r="AW36" i="51"/>
  <c r="AS36" i="51"/>
  <c r="BM39" i="51"/>
  <c r="BI39" i="51"/>
  <c r="BL39" i="51"/>
  <c r="BH39" i="51"/>
  <c r="BK39" i="51"/>
  <c r="BG39" i="51"/>
  <c r="BF39" i="51"/>
  <c r="BJ39" i="51"/>
  <c r="M43" i="51"/>
  <c r="I43" i="51"/>
  <c r="L43" i="51"/>
  <c r="H43" i="51"/>
  <c r="K43" i="51"/>
  <c r="G43" i="51"/>
  <c r="F43" i="51"/>
  <c r="J43" i="51"/>
  <c r="Z46" i="51"/>
  <c r="V46" i="51"/>
  <c r="Y46" i="51"/>
  <c r="U46" i="51"/>
  <c r="X46" i="51"/>
  <c r="T46" i="51"/>
  <c r="W46" i="51"/>
  <c r="S46" i="51"/>
  <c r="AM49" i="51"/>
  <c r="AI49" i="51"/>
  <c r="AL49" i="51"/>
  <c r="AH49" i="51"/>
  <c r="AK49" i="51"/>
  <c r="AG49" i="51"/>
  <c r="AJ49" i="51"/>
  <c r="AF49" i="51"/>
  <c r="AZ52" i="51"/>
  <c r="AV52" i="51"/>
  <c r="AY52" i="51"/>
  <c r="AU52" i="51"/>
  <c r="AX52" i="51"/>
  <c r="AT52" i="51"/>
  <c r="AW52" i="51"/>
  <c r="AS52" i="51"/>
  <c r="AM7" i="52"/>
  <c r="AI7" i="52"/>
  <c r="AL7" i="52"/>
  <c r="AH7" i="52"/>
  <c r="AK7" i="52"/>
  <c r="AG7" i="52"/>
  <c r="AJ7" i="52"/>
  <c r="AF7" i="52"/>
  <c r="AM11" i="52"/>
  <c r="AI11" i="52"/>
  <c r="AL11" i="52"/>
  <c r="AH11" i="52"/>
  <c r="AK11" i="52"/>
  <c r="AG11" i="52"/>
  <c r="AJ11" i="52"/>
  <c r="AF11" i="52"/>
  <c r="AM15" i="52"/>
  <c r="AI15" i="52"/>
  <c r="AL15" i="52"/>
  <c r="AH15" i="52"/>
  <c r="AK15" i="52"/>
  <c r="AG15" i="52"/>
  <c r="AJ15" i="52"/>
  <c r="AF15" i="52"/>
  <c r="AM19" i="52"/>
  <c r="AI19" i="52"/>
  <c r="AL19" i="52"/>
  <c r="AH19" i="52"/>
  <c r="AK19" i="52"/>
  <c r="AG19" i="52"/>
  <c r="AJ19" i="52"/>
  <c r="AF19" i="52"/>
  <c r="AM23" i="52"/>
  <c r="AI23" i="52"/>
  <c r="AL23" i="52"/>
  <c r="AH23" i="52"/>
  <c r="AK23" i="52"/>
  <c r="AG23" i="52"/>
  <c r="AJ23" i="52"/>
  <c r="AF23" i="52"/>
  <c r="AM27" i="52"/>
  <c r="AI27" i="52"/>
  <c r="AL27" i="52"/>
  <c r="AH27" i="52"/>
  <c r="AK27" i="52"/>
  <c r="AG27" i="52"/>
  <c r="AJ27" i="52"/>
  <c r="AF27" i="52"/>
  <c r="T9" i="34"/>
  <c r="T17" i="34"/>
  <c r="T25" i="34"/>
  <c r="T33" i="34"/>
  <c r="T41" i="34"/>
  <c r="T49" i="34"/>
  <c r="T57" i="34"/>
  <c r="T65" i="34"/>
  <c r="T73" i="34"/>
  <c r="T81" i="34"/>
  <c r="T89" i="34"/>
  <c r="T97" i="34"/>
  <c r="T105" i="34"/>
  <c r="H125" i="34"/>
  <c r="G125" i="34"/>
  <c r="S135" i="34"/>
  <c r="H157" i="34"/>
  <c r="G157" i="34"/>
  <c r="S167" i="34"/>
  <c r="G306" i="34"/>
  <c r="H306" i="34"/>
  <c r="L4" i="51"/>
  <c r="H4" i="51"/>
  <c r="K4" i="51"/>
  <c r="G4" i="51"/>
  <c r="M4" i="51"/>
  <c r="J4" i="51"/>
  <c r="I4" i="51"/>
  <c r="F4" i="51"/>
  <c r="BL6" i="51"/>
  <c r="BH6" i="51"/>
  <c r="BK6" i="51"/>
  <c r="BG6" i="51"/>
  <c r="BM6" i="51"/>
  <c r="BJ6" i="51"/>
  <c r="BI6" i="51"/>
  <c r="BF6" i="51"/>
  <c r="AL9" i="51"/>
  <c r="AH9" i="51"/>
  <c r="AK9" i="51"/>
  <c r="AG9" i="51"/>
  <c r="AM9" i="51"/>
  <c r="AJ9" i="51"/>
  <c r="AI9" i="51"/>
  <c r="AF9" i="51"/>
  <c r="L12" i="51"/>
  <c r="H12" i="51"/>
  <c r="K12" i="51"/>
  <c r="G12" i="51"/>
  <c r="M12" i="51"/>
  <c r="J12" i="51"/>
  <c r="I12" i="51"/>
  <c r="F12" i="51"/>
  <c r="BL14" i="51"/>
  <c r="BH14" i="51"/>
  <c r="BK14" i="51"/>
  <c r="BG14" i="51"/>
  <c r="BM14" i="51"/>
  <c r="BJ14" i="51"/>
  <c r="BI14" i="51"/>
  <c r="BF14" i="51"/>
  <c r="AL17" i="51"/>
  <c r="AH17" i="51"/>
  <c r="AK17" i="51"/>
  <c r="AG17" i="51"/>
  <c r="AM17" i="51"/>
  <c r="AJ17" i="51"/>
  <c r="AI17" i="51"/>
  <c r="AF17" i="51"/>
  <c r="L20" i="51"/>
  <c r="H20" i="51"/>
  <c r="K20" i="51"/>
  <c r="G20" i="51"/>
  <c r="M20" i="51"/>
  <c r="J20" i="51"/>
  <c r="I20" i="51"/>
  <c r="F20" i="51"/>
  <c r="BL22" i="51"/>
  <c r="BH22" i="51"/>
  <c r="BK22" i="51"/>
  <c r="BG22" i="51"/>
  <c r="BM22" i="51"/>
  <c r="BJ22" i="51"/>
  <c r="BI22" i="51"/>
  <c r="BF22" i="51"/>
  <c r="AL25" i="51"/>
  <c r="AH25" i="51"/>
  <c r="AK25" i="51"/>
  <c r="AG25" i="51"/>
  <c r="AM25" i="51"/>
  <c r="AJ25" i="51"/>
  <c r="AI25" i="51"/>
  <c r="AF25" i="51"/>
  <c r="AL28" i="51"/>
  <c r="AH28" i="51"/>
  <c r="AK28" i="51"/>
  <c r="AG28" i="51"/>
  <c r="AJ28" i="51"/>
  <c r="AF28" i="51"/>
  <c r="AM28" i="51"/>
  <c r="AI28" i="51"/>
  <c r="AY31" i="51"/>
  <c r="AU31" i="51"/>
  <c r="AX31" i="51"/>
  <c r="AT31" i="51"/>
  <c r="AW31" i="51"/>
  <c r="AS31" i="51"/>
  <c r="AV31" i="51"/>
  <c r="AZ31" i="51"/>
  <c r="BL34" i="51"/>
  <c r="BH34" i="51"/>
  <c r="BK34" i="51"/>
  <c r="BG34" i="51"/>
  <c r="BJ34" i="51"/>
  <c r="BF34" i="51"/>
  <c r="BM34" i="51"/>
  <c r="BI34" i="51"/>
  <c r="L38" i="51"/>
  <c r="H38" i="51"/>
  <c r="K38" i="51"/>
  <c r="G38" i="51"/>
  <c r="J38" i="51"/>
  <c r="F38" i="51"/>
  <c r="M38" i="51"/>
  <c r="I38" i="51"/>
  <c r="Y41" i="51"/>
  <c r="U41" i="51"/>
  <c r="X41" i="51"/>
  <c r="T41" i="51"/>
  <c r="W41" i="51"/>
  <c r="S41" i="51"/>
  <c r="Z41" i="51"/>
  <c r="V41" i="51"/>
  <c r="AL44" i="51"/>
  <c r="AH44" i="51"/>
  <c r="AK44" i="51"/>
  <c r="AG44" i="51"/>
  <c r="AJ44" i="51"/>
  <c r="AF44" i="51"/>
  <c r="AM44" i="51"/>
  <c r="AI44" i="51"/>
  <c r="AY47" i="51"/>
  <c r="AU47" i="51"/>
  <c r="AX47" i="51"/>
  <c r="AT47" i="51"/>
  <c r="AW47" i="51"/>
  <c r="AS47" i="51"/>
  <c r="AV47" i="51"/>
  <c r="AZ47" i="51"/>
  <c r="BL50" i="51"/>
  <c r="BH50" i="51"/>
  <c r="BK50" i="51"/>
  <c r="BG50" i="51"/>
  <c r="BJ50" i="51"/>
  <c r="BF50" i="51"/>
  <c r="BM50" i="51"/>
  <c r="BI50" i="51"/>
  <c r="L4" i="52"/>
  <c r="H4" i="52"/>
  <c r="K4" i="52"/>
  <c r="G4" i="52"/>
  <c r="J4" i="52"/>
  <c r="F4" i="52"/>
  <c r="M4" i="52"/>
  <c r="I4" i="52"/>
  <c r="AL6" i="52"/>
  <c r="AH6" i="52"/>
  <c r="AK6" i="52"/>
  <c r="AG6" i="52"/>
  <c r="AJ6" i="52"/>
  <c r="AF6" i="52"/>
  <c r="AI6" i="52"/>
  <c r="AM6" i="52"/>
  <c r="AL10" i="52"/>
  <c r="AH10" i="52"/>
  <c r="AK10" i="52"/>
  <c r="AG10" i="52"/>
  <c r="AJ10" i="52"/>
  <c r="AF10" i="52"/>
  <c r="AI10" i="52"/>
  <c r="AM10" i="52"/>
  <c r="AL14" i="52"/>
  <c r="AH14" i="52"/>
  <c r="AK14" i="52"/>
  <c r="AG14" i="52"/>
  <c r="AJ14" i="52"/>
  <c r="AF14" i="52"/>
  <c r="AI14" i="52"/>
  <c r="AM14" i="52"/>
  <c r="AL18" i="52"/>
  <c r="AH18" i="52"/>
  <c r="AK18" i="52"/>
  <c r="AG18" i="52"/>
  <c r="AJ18" i="52"/>
  <c r="AF18" i="52"/>
  <c r="AI18" i="52"/>
  <c r="AM18" i="52"/>
  <c r="AL22" i="52"/>
  <c r="AH22" i="52"/>
  <c r="AK22" i="52"/>
  <c r="AG22" i="52"/>
  <c r="AJ22" i="52"/>
  <c r="AF22" i="52"/>
  <c r="AI22" i="52"/>
  <c r="AM22" i="52"/>
  <c r="AL26" i="52"/>
  <c r="AH26" i="52"/>
  <c r="AK26" i="52"/>
  <c r="AG26" i="52"/>
  <c r="AJ26" i="52"/>
  <c r="AF26" i="52"/>
  <c r="AI26" i="52"/>
  <c r="AM26" i="52"/>
  <c r="AL30" i="52"/>
  <c r="AH30" i="52"/>
  <c r="AK30" i="52"/>
  <c r="AG30" i="52"/>
  <c r="AJ30" i="52"/>
  <c r="AF30" i="52"/>
  <c r="AI30" i="52"/>
  <c r="AM30" i="52"/>
  <c r="S11" i="34"/>
  <c r="S19" i="34"/>
  <c r="S27" i="34"/>
  <c r="S35" i="34"/>
  <c r="S43" i="34"/>
  <c r="S51" i="34"/>
  <c r="S67" i="34"/>
  <c r="S75" i="34"/>
  <c r="S83" i="34"/>
  <c r="S91" i="34"/>
  <c r="S99" i="34"/>
  <c r="S110" i="34"/>
  <c r="G132" i="34"/>
  <c r="H132" i="34"/>
  <c r="S142" i="34"/>
  <c r="G164" i="34"/>
  <c r="H164" i="34"/>
  <c r="S174" i="34"/>
  <c r="M33" i="52"/>
  <c r="I33" i="52"/>
  <c r="L33" i="52"/>
  <c r="H33" i="52"/>
  <c r="F33" i="52"/>
  <c r="K33" i="52"/>
  <c r="J33" i="52"/>
  <c r="G33" i="52"/>
  <c r="M37" i="52"/>
  <c r="I37" i="52"/>
  <c r="L37" i="52"/>
  <c r="H37" i="52"/>
  <c r="F37" i="52"/>
  <c r="K37" i="52"/>
  <c r="J37" i="52"/>
  <c r="G37" i="52"/>
  <c r="M41" i="52"/>
  <c r="I41" i="52"/>
  <c r="L41" i="52"/>
  <c r="H41" i="52"/>
  <c r="F41" i="52"/>
  <c r="K41" i="52"/>
  <c r="J41" i="52"/>
  <c r="G41" i="52"/>
  <c r="M45" i="52"/>
  <c r="I45" i="52"/>
  <c r="L45" i="52"/>
  <c r="H45" i="52"/>
  <c r="F45" i="52"/>
  <c r="K45" i="52"/>
  <c r="J45" i="52"/>
  <c r="G45" i="52"/>
  <c r="M49" i="52"/>
  <c r="I49" i="52"/>
  <c r="L49" i="52"/>
  <c r="H49" i="52"/>
  <c r="F49" i="52"/>
  <c r="K49" i="52"/>
  <c r="J49" i="52"/>
  <c r="G49" i="52"/>
  <c r="Z53" i="52"/>
  <c r="V53" i="52"/>
  <c r="Y53" i="52"/>
  <c r="U53" i="52"/>
  <c r="S53" i="52"/>
  <c r="X53" i="52"/>
  <c r="W53" i="52"/>
  <c r="T53" i="52"/>
  <c r="S113" i="34"/>
  <c r="H119" i="34"/>
  <c r="G119" i="34"/>
  <c r="S129" i="34"/>
  <c r="H135" i="34"/>
  <c r="G135" i="34"/>
  <c r="S145" i="34"/>
  <c r="H151" i="34"/>
  <c r="G151" i="34"/>
  <c r="S161" i="34"/>
  <c r="H167" i="34"/>
  <c r="G167" i="34"/>
  <c r="S177" i="34"/>
  <c r="H183" i="34"/>
  <c r="G183" i="34"/>
  <c r="T426" i="34"/>
  <c r="S426" i="34"/>
  <c r="BL32" i="52"/>
  <c r="BH32" i="52"/>
  <c r="BK32" i="52"/>
  <c r="BG32" i="52"/>
  <c r="BI32" i="52"/>
  <c r="BF32" i="52"/>
  <c r="BM32" i="52"/>
  <c r="BJ32" i="52"/>
  <c r="BL36" i="52"/>
  <c r="BH36" i="52"/>
  <c r="BK36" i="52"/>
  <c r="BG36" i="52"/>
  <c r="BI36" i="52"/>
  <c r="BF36" i="52"/>
  <c r="BM36" i="52"/>
  <c r="BJ36" i="52"/>
  <c r="BL40" i="52"/>
  <c r="BH40" i="52"/>
  <c r="BK40" i="52"/>
  <c r="BG40" i="52"/>
  <c r="BI40" i="52"/>
  <c r="BF40" i="52"/>
  <c r="BM40" i="52"/>
  <c r="BJ40" i="52"/>
  <c r="BL44" i="52"/>
  <c r="BH44" i="52"/>
  <c r="BK44" i="52"/>
  <c r="BG44" i="52"/>
  <c r="BI44" i="52"/>
  <c r="BF44" i="52"/>
  <c r="BM44" i="52"/>
  <c r="BJ44" i="52"/>
  <c r="BL48" i="52"/>
  <c r="BH48" i="52"/>
  <c r="BK48" i="52"/>
  <c r="BG48" i="52"/>
  <c r="BI48" i="52"/>
  <c r="BF48" i="52"/>
  <c r="BM48" i="52"/>
  <c r="BJ48" i="52"/>
  <c r="L53" i="52"/>
  <c r="H53" i="52"/>
  <c r="K53" i="52"/>
  <c r="G53" i="52"/>
  <c r="I53" i="52"/>
  <c r="F53" i="52"/>
  <c r="M53" i="52"/>
  <c r="J53" i="52"/>
  <c r="H8" i="34"/>
  <c r="G8" i="34"/>
  <c r="H12" i="34"/>
  <c r="G12" i="34"/>
  <c r="H16" i="34"/>
  <c r="G16" i="34"/>
  <c r="H20" i="34"/>
  <c r="G20" i="34"/>
  <c r="H24" i="34"/>
  <c r="G24" i="34"/>
  <c r="H28" i="34"/>
  <c r="G28" i="34"/>
  <c r="H32" i="34"/>
  <c r="G32" i="34"/>
  <c r="H36" i="34"/>
  <c r="G36" i="34"/>
  <c r="H40" i="34"/>
  <c r="G40" i="34"/>
  <c r="H44" i="34"/>
  <c r="G44" i="34"/>
  <c r="H48" i="34"/>
  <c r="G48" i="34"/>
  <c r="H52" i="34"/>
  <c r="G52" i="34"/>
  <c r="H56" i="34"/>
  <c r="G56" i="34"/>
  <c r="H60" i="34"/>
  <c r="G60" i="34"/>
  <c r="H64" i="34"/>
  <c r="G64" i="34"/>
  <c r="H68" i="34"/>
  <c r="G68" i="34"/>
  <c r="H72" i="34"/>
  <c r="G72" i="34"/>
  <c r="H76" i="34"/>
  <c r="G76" i="34"/>
  <c r="H80" i="34"/>
  <c r="G80" i="34"/>
  <c r="H84" i="34"/>
  <c r="G84" i="34"/>
  <c r="H88" i="34"/>
  <c r="G88" i="34"/>
  <c r="H92" i="34"/>
  <c r="G92" i="34"/>
  <c r="H96" i="34"/>
  <c r="G96" i="34"/>
  <c r="H100" i="34"/>
  <c r="G100" i="34"/>
  <c r="H104" i="34"/>
  <c r="G104" i="34"/>
  <c r="S108" i="34"/>
  <c r="H114" i="34"/>
  <c r="G114" i="34"/>
  <c r="S124" i="34"/>
  <c r="H130" i="34"/>
  <c r="G130" i="34"/>
  <c r="S140" i="34"/>
  <c r="H146" i="34"/>
  <c r="G146" i="34"/>
  <c r="S156" i="34"/>
  <c r="H162" i="34"/>
  <c r="G162" i="34"/>
  <c r="S172" i="34"/>
  <c r="H178" i="34"/>
  <c r="G178" i="34"/>
  <c r="S189" i="34"/>
  <c r="S197" i="34"/>
  <c r="S205" i="34"/>
  <c r="S213" i="34"/>
  <c r="S221" i="34"/>
  <c r="S229" i="34"/>
  <c r="S237" i="34"/>
  <c r="S245" i="34"/>
  <c r="S253" i="34"/>
  <c r="S261" i="34"/>
  <c r="S269" i="34"/>
  <c r="S277" i="34"/>
  <c r="S285" i="34"/>
  <c r="S293" i="34"/>
  <c r="T445" i="34"/>
  <c r="S445" i="34"/>
  <c r="H189" i="34"/>
  <c r="G189" i="34"/>
  <c r="H193" i="34"/>
  <c r="G193" i="34"/>
  <c r="H197" i="34"/>
  <c r="G197" i="34"/>
  <c r="H201" i="34"/>
  <c r="G201" i="34"/>
  <c r="H205" i="34"/>
  <c r="G205" i="34"/>
  <c r="H209" i="34"/>
  <c r="G209" i="34"/>
  <c r="H213" i="34"/>
  <c r="G213" i="34"/>
  <c r="H217" i="34"/>
  <c r="G217" i="34"/>
  <c r="H221" i="34"/>
  <c r="G221" i="34"/>
  <c r="H225" i="34"/>
  <c r="G225" i="34"/>
  <c r="H229" i="34"/>
  <c r="G229" i="34"/>
  <c r="H233" i="34"/>
  <c r="G233" i="34"/>
  <c r="H237" i="34"/>
  <c r="G237" i="34"/>
  <c r="H241" i="34"/>
  <c r="G241" i="34"/>
  <c r="H245" i="34"/>
  <c r="G245" i="34"/>
  <c r="H249" i="34"/>
  <c r="G249" i="34"/>
  <c r="H253" i="34"/>
  <c r="G253" i="34"/>
  <c r="H257" i="34"/>
  <c r="G257" i="34"/>
  <c r="H261" i="34"/>
  <c r="G261" i="34"/>
  <c r="H265" i="34"/>
  <c r="G265" i="34"/>
  <c r="H269" i="34"/>
  <c r="G269" i="34"/>
  <c r="H273" i="34"/>
  <c r="G273" i="34"/>
  <c r="H277" i="34"/>
  <c r="G277" i="34"/>
  <c r="H281" i="34"/>
  <c r="G281" i="34"/>
  <c r="H285" i="34"/>
  <c r="G285" i="34"/>
  <c r="H289" i="34"/>
  <c r="G289" i="34"/>
  <c r="H293" i="34"/>
  <c r="G293" i="34"/>
  <c r="G301" i="34"/>
  <c r="H301" i="34"/>
  <c r="T303" i="34"/>
  <c r="T421" i="34"/>
  <c r="S421" i="34"/>
  <c r="T107" i="34"/>
  <c r="T111" i="34"/>
  <c r="T115" i="34"/>
  <c r="T119" i="34"/>
  <c r="T123" i="34"/>
  <c r="T127" i="34"/>
  <c r="T131" i="34"/>
  <c r="T135" i="34"/>
  <c r="T139" i="34"/>
  <c r="T143" i="34"/>
  <c r="T147" i="34"/>
  <c r="T151" i="34"/>
  <c r="T155" i="34"/>
  <c r="T159" i="34"/>
  <c r="T163" i="34"/>
  <c r="T167" i="34"/>
  <c r="T171" i="34"/>
  <c r="T175" i="34"/>
  <c r="T179" i="34"/>
  <c r="T183" i="34"/>
  <c r="T187" i="34"/>
  <c r="T191" i="34"/>
  <c r="T195" i="34"/>
  <c r="T199" i="34"/>
  <c r="T207" i="34"/>
  <c r="T211" i="34"/>
  <c r="T215" i="34"/>
  <c r="T219" i="34"/>
  <c r="T223" i="34"/>
  <c r="T227" i="34"/>
  <c r="T231" i="34"/>
  <c r="T235" i="34"/>
  <c r="T239" i="34"/>
  <c r="T243" i="34"/>
  <c r="T247" i="34"/>
  <c r="T251" i="34"/>
  <c r="T255" i="34"/>
  <c r="T259" i="34"/>
  <c r="T263" i="34"/>
  <c r="T267" i="34"/>
  <c r="T271" i="34"/>
  <c r="T275" i="34"/>
  <c r="T279" i="34"/>
  <c r="T283" i="34"/>
  <c r="T287" i="34"/>
  <c r="T291" i="34"/>
  <c r="T295" i="34"/>
  <c r="T296" i="34"/>
  <c r="G300" i="34"/>
  <c r="H300" i="34"/>
  <c r="G305" i="34"/>
  <c r="H305" i="34"/>
  <c r="S314" i="34"/>
  <c r="S416" i="34"/>
  <c r="T416" i="34"/>
  <c r="G435" i="34"/>
  <c r="H435" i="34"/>
  <c r="H406" i="34"/>
  <c r="G406" i="34"/>
  <c r="G459" i="34"/>
  <c r="H459" i="34"/>
  <c r="S302" i="34"/>
  <c r="S306" i="34"/>
  <c r="S311" i="34"/>
  <c r="S319" i="34"/>
  <c r="T327" i="34"/>
  <c r="S327" i="34"/>
  <c r="T335" i="34"/>
  <c r="S335" i="34"/>
  <c r="T343" i="34"/>
  <c r="S343" i="34"/>
  <c r="T351" i="34"/>
  <c r="S351" i="34"/>
  <c r="T359" i="34"/>
  <c r="S359" i="34"/>
  <c r="T370" i="34"/>
  <c r="S370" i="34"/>
  <c r="G392" i="34"/>
  <c r="H392" i="34"/>
  <c r="T409" i="34"/>
  <c r="S409" i="34"/>
  <c r="T414" i="34"/>
  <c r="S414" i="34"/>
  <c r="G483" i="34"/>
  <c r="H483" i="34"/>
  <c r="T493" i="34"/>
  <c r="S493" i="34"/>
  <c r="T312" i="34"/>
  <c r="T320" i="34"/>
  <c r="H381" i="34"/>
  <c r="G381" i="34"/>
  <c r="T391" i="34"/>
  <c r="S391" i="34"/>
  <c r="S400" i="34"/>
  <c r="T400" i="34"/>
  <c r="T336" i="34"/>
  <c r="S336" i="34"/>
  <c r="T344" i="34"/>
  <c r="S344" i="34"/>
  <c r="T352" i="34"/>
  <c r="S352" i="34"/>
  <c r="G364" i="34"/>
  <c r="H364" i="34"/>
  <c r="T374" i="34"/>
  <c r="S374" i="34"/>
  <c r="T398" i="34"/>
  <c r="S398" i="34"/>
  <c r="H456" i="34"/>
  <c r="G456" i="34"/>
  <c r="T466" i="34"/>
  <c r="S466" i="34"/>
  <c r="H488" i="34"/>
  <c r="G488" i="34"/>
  <c r="T498" i="34"/>
  <c r="S498" i="34"/>
  <c r="S369" i="34"/>
  <c r="T369" i="34"/>
  <c r="H375" i="34"/>
  <c r="G375" i="34"/>
  <c r="S385" i="34"/>
  <c r="T385" i="34"/>
  <c r="H391" i="34"/>
  <c r="G391" i="34"/>
  <c r="S424" i="34"/>
  <c r="T424" i="34"/>
  <c r="T429" i="34"/>
  <c r="S429" i="34"/>
  <c r="G447" i="34"/>
  <c r="H447" i="34"/>
  <c r="T457" i="34"/>
  <c r="S457" i="34"/>
  <c r="G479" i="34"/>
  <c r="H479" i="34"/>
  <c r="T489" i="34"/>
  <c r="S489" i="34"/>
  <c r="H313" i="34"/>
  <c r="G313" i="34"/>
  <c r="H317" i="34"/>
  <c r="G317" i="34"/>
  <c r="H321" i="34"/>
  <c r="G321" i="34"/>
  <c r="H325" i="34"/>
  <c r="G325" i="34"/>
  <c r="H329" i="34"/>
  <c r="G329" i="34"/>
  <c r="H333" i="34"/>
  <c r="G333" i="34"/>
  <c r="H337" i="34"/>
  <c r="G337" i="34"/>
  <c r="H341" i="34"/>
  <c r="G341" i="34"/>
  <c r="H345" i="34"/>
  <c r="G345" i="34"/>
  <c r="H349" i="34"/>
  <c r="G349" i="34"/>
  <c r="H353" i="34"/>
  <c r="G353" i="34"/>
  <c r="H357" i="34"/>
  <c r="G357" i="34"/>
  <c r="T364" i="34"/>
  <c r="S364" i="34"/>
  <c r="H370" i="34"/>
  <c r="G370" i="34"/>
  <c r="T380" i="34"/>
  <c r="S380" i="34"/>
  <c r="H386" i="34"/>
  <c r="G386" i="34"/>
  <c r="H396" i="34"/>
  <c r="G396" i="34"/>
  <c r="S428" i="34"/>
  <c r="T428" i="34"/>
  <c r="H436" i="34"/>
  <c r="G436" i="34"/>
  <c r="T446" i="34"/>
  <c r="S446" i="34"/>
  <c r="H468" i="34"/>
  <c r="G468" i="34"/>
  <c r="T478" i="34"/>
  <c r="S478" i="34"/>
  <c r="H434" i="34"/>
  <c r="G434" i="34"/>
  <c r="S444" i="34"/>
  <c r="T444" i="34"/>
  <c r="H450" i="34"/>
  <c r="G450" i="34"/>
  <c r="S460" i="34"/>
  <c r="T460" i="34"/>
  <c r="H466" i="34"/>
  <c r="G466" i="34"/>
  <c r="S476" i="34"/>
  <c r="T476" i="34"/>
  <c r="H482" i="34"/>
  <c r="G482" i="34"/>
  <c r="S492" i="34"/>
  <c r="T492" i="34"/>
  <c r="H498" i="34"/>
  <c r="G498" i="34"/>
  <c r="H397" i="34"/>
  <c r="G397" i="34"/>
  <c r="S407" i="34"/>
  <c r="T407" i="34"/>
  <c r="H413" i="34"/>
  <c r="G413" i="34"/>
  <c r="S423" i="34"/>
  <c r="T423" i="34"/>
  <c r="H429" i="34"/>
  <c r="G429" i="34"/>
  <c r="S439" i="34"/>
  <c r="T439" i="34"/>
  <c r="H445" i="34"/>
  <c r="G445" i="34"/>
  <c r="S455" i="34"/>
  <c r="T455" i="34"/>
  <c r="H461" i="34"/>
  <c r="G461" i="34"/>
  <c r="S471" i="34"/>
  <c r="T471" i="34"/>
  <c r="H477" i="34"/>
  <c r="G477" i="34"/>
  <c r="S487" i="34"/>
  <c r="T487" i="34"/>
  <c r="H493" i="34"/>
  <c r="G493" i="34"/>
  <c r="H6" i="37" a="1"/>
  <c r="H6" i="37" s="1"/>
  <c r="M21" i="37"/>
  <c r="P18" i="37" a="1"/>
  <c r="P18" i="37" s="1"/>
  <c r="N18" i="37" a="1"/>
  <c r="N18" i="37" s="1"/>
  <c r="Q7" i="37"/>
  <c r="C23" i="37" s="1"/>
  <c r="W37" i="52"/>
  <c r="S37" i="52"/>
  <c r="Z37" i="52"/>
  <c r="V37" i="52"/>
  <c r="X37" i="52"/>
  <c r="U37" i="52"/>
  <c r="T37" i="52"/>
  <c r="Y37" i="52"/>
  <c r="X44" i="51"/>
  <c r="T44" i="51"/>
  <c r="W44" i="51"/>
  <c r="S44" i="51"/>
  <c r="Z44" i="51"/>
  <c r="V44" i="51"/>
  <c r="Y44" i="51"/>
  <c r="U44" i="51"/>
  <c r="W45" i="52"/>
  <c r="S45" i="52"/>
  <c r="Z45" i="52"/>
  <c r="V45" i="52"/>
  <c r="X45" i="52"/>
  <c r="U45" i="52"/>
  <c r="T45" i="52"/>
  <c r="Y45" i="52"/>
  <c r="J25" i="51"/>
  <c r="F25" i="51"/>
  <c r="M25" i="51"/>
  <c r="I25" i="51"/>
  <c r="K25" i="51"/>
  <c r="H25" i="51"/>
  <c r="G25" i="51"/>
  <c r="L25" i="51"/>
  <c r="BJ23" i="51"/>
  <c r="BF23" i="51"/>
  <c r="BM23" i="51"/>
  <c r="BI23" i="51"/>
  <c r="BK23" i="51"/>
  <c r="BH23" i="51"/>
  <c r="BG23" i="51"/>
  <c r="BL23" i="51"/>
  <c r="AJ22" i="51"/>
  <c r="AF22" i="51"/>
  <c r="AM22" i="51"/>
  <c r="AI22" i="51"/>
  <c r="AK22" i="51"/>
  <c r="AH22" i="51"/>
  <c r="AG22" i="51"/>
  <c r="AL22" i="51"/>
  <c r="BJ50" i="52"/>
  <c r="BF50" i="52"/>
  <c r="BM50" i="52"/>
  <c r="BI50" i="52"/>
  <c r="BK50" i="52"/>
  <c r="BH50" i="52"/>
  <c r="BG50" i="52"/>
  <c r="BL50" i="52"/>
  <c r="BX7" i="51"/>
  <c r="BT7" i="51"/>
  <c r="BW7" i="51"/>
  <c r="BS7" i="51"/>
  <c r="BU7" i="51"/>
  <c r="BZ7" i="51"/>
  <c r="BY7" i="51"/>
  <c r="BV7" i="51"/>
  <c r="X13" i="51"/>
  <c r="T13" i="51"/>
  <c r="W13" i="51"/>
  <c r="S13" i="51"/>
  <c r="U13" i="51"/>
  <c r="Z13" i="51"/>
  <c r="Y13" i="51"/>
  <c r="V13" i="51"/>
  <c r="AX18" i="51"/>
  <c r="AT18" i="51"/>
  <c r="AW18" i="51"/>
  <c r="AS18" i="51"/>
  <c r="AU18" i="51"/>
  <c r="AZ18" i="51"/>
  <c r="AY18" i="51"/>
  <c r="AV18" i="51"/>
  <c r="BX23" i="51"/>
  <c r="BT23" i="51"/>
  <c r="BW23" i="51"/>
  <c r="BS23" i="51"/>
  <c r="BU23" i="51"/>
  <c r="BZ23" i="51"/>
  <c r="BY23" i="51"/>
  <c r="BV23" i="51"/>
  <c r="BK37" i="51"/>
  <c r="BG37" i="51"/>
  <c r="BJ37" i="51"/>
  <c r="BF37" i="51"/>
  <c r="BM37" i="51"/>
  <c r="BI37" i="51"/>
  <c r="BL37" i="51"/>
  <c r="BH37" i="51"/>
  <c r="X40" i="51"/>
  <c r="T40" i="51"/>
  <c r="W40" i="51"/>
  <c r="S40" i="51"/>
  <c r="Z40" i="51"/>
  <c r="V40" i="51"/>
  <c r="Y40" i="51"/>
  <c r="U40" i="51"/>
  <c r="BK35" i="52"/>
  <c r="BG35" i="52"/>
  <c r="BJ35" i="52"/>
  <c r="BF35" i="52"/>
  <c r="BI35" i="52"/>
  <c r="BH35" i="52"/>
  <c r="BM35" i="52"/>
  <c r="BL35" i="52"/>
  <c r="AJ4" i="51"/>
  <c r="AF4" i="51"/>
  <c r="AM4" i="51"/>
  <c r="AI4" i="51"/>
  <c r="AG4" i="51"/>
  <c r="AL4" i="51"/>
  <c r="AK4" i="51"/>
  <c r="AH4" i="51"/>
  <c r="BJ9" i="51"/>
  <c r="BF9" i="51"/>
  <c r="BM9" i="51"/>
  <c r="BI9" i="51"/>
  <c r="BG9" i="51"/>
  <c r="BL9" i="51"/>
  <c r="BK9" i="51"/>
  <c r="BH9" i="51"/>
  <c r="J15" i="51"/>
  <c r="F15" i="51"/>
  <c r="M15" i="51"/>
  <c r="I15" i="51"/>
  <c r="G15" i="51"/>
  <c r="L15" i="51"/>
  <c r="K15" i="51"/>
  <c r="H15" i="51"/>
  <c r="AJ20" i="51"/>
  <c r="AF20" i="51"/>
  <c r="AM20" i="51"/>
  <c r="AI20" i="51"/>
  <c r="AG20" i="51"/>
  <c r="AL20" i="51"/>
  <c r="AK20" i="51"/>
  <c r="AH20" i="51"/>
  <c r="BJ25" i="51"/>
  <c r="BF25" i="51"/>
  <c r="BM25" i="51"/>
  <c r="BI25" i="51"/>
  <c r="BG25" i="51"/>
  <c r="BL25" i="51"/>
  <c r="BK25" i="51"/>
  <c r="BH25" i="51"/>
  <c r="AK35" i="51"/>
  <c r="AG35" i="51"/>
  <c r="AJ35" i="51"/>
  <c r="AF35" i="51"/>
  <c r="AM35" i="51"/>
  <c r="AI35" i="51"/>
  <c r="AH35" i="51"/>
  <c r="AL35" i="51"/>
  <c r="BK49" i="51"/>
  <c r="BG49" i="51"/>
  <c r="BJ49" i="51"/>
  <c r="BF49" i="51"/>
  <c r="BM49" i="51"/>
  <c r="BI49" i="51"/>
  <c r="BH49" i="51"/>
  <c r="BL49" i="51"/>
  <c r="X52" i="51"/>
  <c r="T52" i="51"/>
  <c r="W52" i="51"/>
  <c r="S52" i="51"/>
  <c r="Z52" i="51"/>
  <c r="V52" i="51"/>
  <c r="U52" i="51"/>
  <c r="Y52" i="51"/>
  <c r="BJ38" i="52"/>
  <c r="BF38" i="52"/>
  <c r="BM38" i="52"/>
  <c r="BI38" i="52"/>
  <c r="BK38" i="52"/>
  <c r="BH38" i="52"/>
  <c r="BG38" i="52"/>
  <c r="BL38" i="52"/>
  <c r="H113" i="34"/>
  <c r="G113" i="34"/>
  <c r="AX8" i="51"/>
  <c r="AT8" i="51"/>
  <c r="AW8" i="51"/>
  <c r="AS8" i="51"/>
  <c r="AY8" i="51"/>
  <c r="AV8" i="51"/>
  <c r="AU8" i="51"/>
  <c r="AZ8" i="51"/>
  <c r="BX13" i="51"/>
  <c r="BT13" i="51"/>
  <c r="BW13" i="51"/>
  <c r="BS13" i="51"/>
  <c r="BY13" i="51"/>
  <c r="BV13" i="51"/>
  <c r="BU13" i="51"/>
  <c r="BZ13" i="51"/>
  <c r="X19" i="51"/>
  <c r="T19" i="51"/>
  <c r="W19" i="51"/>
  <c r="S19" i="51"/>
  <c r="Y19" i="51"/>
  <c r="V19" i="51"/>
  <c r="U19" i="51"/>
  <c r="Z19" i="51"/>
  <c r="AX24" i="51"/>
  <c r="AT24" i="51"/>
  <c r="AW24" i="51"/>
  <c r="AS24" i="51"/>
  <c r="AY24" i="51"/>
  <c r="AV24" i="51"/>
  <c r="AU24" i="51"/>
  <c r="AZ24" i="51"/>
  <c r="AX46" i="51"/>
  <c r="AT46" i="51"/>
  <c r="AW46" i="51"/>
  <c r="AS46" i="51"/>
  <c r="AZ46" i="51"/>
  <c r="AV46" i="51"/>
  <c r="AY46" i="51"/>
  <c r="AU46" i="51"/>
  <c r="K49" i="51"/>
  <c r="G49" i="51"/>
  <c r="J49" i="51"/>
  <c r="F49" i="51"/>
  <c r="M49" i="51"/>
  <c r="I49" i="51"/>
  <c r="L49" i="51"/>
  <c r="H49" i="51"/>
  <c r="K11" i="52"/>
  <c r="G11" i="52"/>
  <c r="J11" i="52"/>
  <c r="F11" i="52"/>
  <c r="M11" i="52"/>
  <c r="I11" i="52"/>
  <c r="L11" i="52"/>
  <c r="H11" i="52"/>
  <c r="K19" i="52"/>
  <c r="G19" i="52"/>
  <c r="J19" i="52"/>
  <c r="F19" i="52"/>
  <c r="M19" i="52"/>
  <c r="I19" i="52"/>
  <c r="L19" i="52"/>
  <c r="H19" i="52"/>
  <c r="K27" i="52"/>
  <c r="G27" i="52"/>
  <c r="J27" i="52"/>
  <c r="F27" i="52"/>
  <c r="M27" i="52"/>
  <c r="I27" i="52"/>
  <c r="L27" i="52"/>
  <c r="H27" i="52"/>
  <c r="J46" i="52"/>
  <c r="F46" i="52"/>
  <c r="M46" i="52"/>
  <c r="I46" i="52"/>
  <c r="K46" i="52"/>
  <c r="H46" i="52"/>
  <c r="G46" i="52"/>
  <c r="L46" i="52"/>
  <c r="H137" i="34"/>
  <c r="G137" i="34"/>
  <c r="AJ30" i="51"/>
  <c r="AF30" i="51"/>
  <c r="AM30" i="51"/>
  <c r="AI30" i="51"/>
  <c r="AL30" i="51"/>
  <c r="AH30" i="51"/>
  <c r="AK30" i="51"/>
  <c r="AG30" i="51"/>
  <c r="AW33" i="51"/>
  <c r="AS33" i="51"/>
  <c r="AZ33" i="51"/>
  <c r="AV33" i="51"/>
  <c r="AY33" i="51"/>
  <c r="AU33" i="51"/>
  <c r="AX33" i="51"/>
  <c r="AT33" i="51"/>
  <c r="BJ36" i="51"/>
  <c r="BF36" i="51"/>
  <c r="BM36" i="51"/>
  <c r="BI36" i="51"/>
  <c r="BL36" i="51"/>
  <c r="BH36" i="51"/>
  <c r="BG36" i="51"/>
  <c r="BK36" i="51"/>
  <c r="J40" i="51"/>
  <c r="F40" i="51"/>
  <c r="M40" i="51"/>
  <c r="I40" i="51"/>
  <c r="L40" i="51"/>
  <c r="H40" i="51"/>
  <c r="G40" i="51"/>
  <c r="K40" i="51"/>
  <c r="W43" i="51"/>
  <c r="S43" i="51"/>
  <c r="Z43" i="51"/>
  <c r="V43" i="51"/>
  <c r="Y43" i="51"/>
  <c r="U43" i="51"/>
  <c r="X43" i="51"/>
  <c r="T43" i="51"/>
  <c r="AJ46" i="51"/>
  <c r="AF46" i="51"/>
  <c r="AM46" i="51"/>
  <c r="AI46" i="51"/>
  <c r="AL46" i="51"/>
  <c r="AH46" i="51"/>
  <c r="AK46" i="51"/>
  <c r="AG46" i="51"/>
  <c r="AW49" i="51"/>
  <c r="AS49" i="51"/>
  <c r="AZ49" i="51"/>
  <c r="AV49" i="51"/>
  <c r="AY49" i="51"/>
  <c r="AU49" i="51"/>
  <c r="AX49" i="51"/>
  <c r="AT49" i="51"/>
  <c r="BJ52" i="51"/>
  <c r="BF52" i="51"/>
  <c r="BM52" i="51"/>
  <c r="BI52" i="51"/>
  <c r="BL52" i="51"/>
  <c r="BH52" i="51"/>
  <c r="BG52" i="51"/>
  <c r="BK52" i="51"/>
  <c r="J6" i="52"/>
  <c r="F6" i="52"/>
  <c r="M6" i="52"/>
  <c r="I6" i="52"/>
  <c r="L6" i="52"/>
  <c r="H6" i="52"/>
  <c r="K6" i="52"/>
  <c r="G6" i="52"/>
  <c r="J10" i="52"/>
  <c r="F10" i="52"/>
  <c r="M10" i="52"/>
  <c r="I10" i="52"/>
  <c r="L10" i="52"/>
  <c r="H10" i="52"/>
  <c r="K10" i="52"/>
  <c r="G10" i="52"/>
  <c r="J14" i="52"/>
  <c r="F14" i="52"/>
  <c r="M14" i="52"/>
  <c r="I14" i="52"/>
  <c r="L14" i="52"/>
  <c r="H14" i="52"/>
  <c r="K14" i="52"/>
  <c r="G14" i="52"/>
  <c r="J18" i="52"/>
  <c r="F18" i="52"/>
  <c r="M18" i="52"/>
  <c r="I18" i="52"/>
  <c r="L18" i="52"/>
  <c r="H18" i="52"/>
  <c r="K18" i="52"/>
  <c r="G18" i="52"/>
  <c r="J22" i="52"/>
  <c r="F22" i="52"/>
  <c r="M22" i="52"/>
  <c r="I22" i="52"/>
  <c r="L22" i="52"/>
  <c r="H22" i="52"/>
  <c r="K22" i="52"/>
  <c r="G22" i="52"/>
  <c r="J26" i="52"/>
  <c r="F26" i="52"/>
  <c r="M26" i="52"/>
  <c r="I26" i="52"/>
  <c r="L26" i="52"/>
  <c r="H26" i="52"/>
  <c r="K26" i="52"/>
  <c r="G26" i="52"/>
  <c r="J30" i="52"/>
  <c r="F30" i="52"/>
  <c r="M30" i="52"/>
  <c r="I30" i="52"/>
  <c r="L30" i="52"/>
  <c r="H30" i="52"/>
  <c r="K30" i="52"/>
  <c r="G30" i="52"/>
  <c r="X34" i="52"/>
  <c r="T34" i="52"/>
  <c r="W34" i="52"/>
  <c r="S34" i="52"/>
  <c r="U34" i="52"/>
  <c r="Z34" i="52"/>
  <c r="Y34" i="52"/>
  <c r="V34" i="52"/>
  <c r="X42" i="52"/>
  <c r="T42" i="52"/>
  <c r="W42" i="52"/>
  <c r="S42" i="52"/>
  <c r="U42" i="52"/>
  <c r="Z42" i="52"/>
  <c r="Y42" i="52"/>
  <c r="V42" i="52"/>
  <c r="X50" i="52"/>
  <c r="T50" i="52"/>
  <c r="W50" i="52"/>
  <c r="S50" i="52"/>
  <c r="U50" i="52"/>
  <c r="Z50" i="52"/>
  <c r="Y50" i="52"/>
  <c r="V50" i="52"/>
  <c r="G136" i="34"/>
  <c r="H136" i="34"/>
  <c r="G168" i="34"/>
  <c r="H168" i="34"/>
  <c r="T324" i="34"/>
  <c r="S324" i="34"/>
  <c r="BZ4" i="51"/>
  <c r="BV4" i="51"/>
  <c r="BY4" i="51"/>
  <c r="BU4" i="51"/>
  <c r="BS4" i="51"/>
  <c r="BX4" i="51"/>
  <c r="BW4" i="51"/>
  <c r="BT4" i="51"/>
  <c r="AZ7" i="51"/>
  <c r="AV7" i="51"/>
  <c r="AY7" i="51"/>
  <c r="AU7" i="51"/>
  <c r="AS7" i="51"/>
  <c r="AX7" i="51"/>
  <c r="AW7" i="51"/>
  <c r="AT7" i="51"/>
  <c r="Z10" i="51"/>
  <c r="V10" i="51"/>
  <c r="Y10" i="51"/>
  <c r="U10" i="51"/>
  <c r="S10" i="51"/>
  <c r="X10" i="51"/>
  <c r="W10" i="51"/>
  <c r="T10" i="51"/>
  <c r="BZ12" i="51"/>
  <c r="BV12" i="51"/>
  <c r="BY12" i="51"/>
  <c r="BU12" i="51"/>
  <c r="BS12" i="51"/>
  <c r="BX12" i="51"/>
  <c r="BW12" i="51"/>
  <c r="BT12" i="51"/>
  <c r="AZ15" i="51"/>
  <c r="AV15" i="51"/>
  <c r="AY15" i="51"/>
  <c r="AU15" i="51"/>
  <c r="AS15" i="51"/>
  <c r="AX15" i="51"/>
  <c r="AW15" i="51"/>
  <c r="AT15" i="51"/>
  <c r="Z18" i="51"/>
  <c r="V18" i="51"/>
  <c r="Y18" i="51"/>
  <c r="U18" i="51"/>
  <c r="S18" i="51"/>
  <c r="X18" i="51"/>
  <c r="W18" i="51"/>
  <c r="T18" i="51"/>
  <c r="BZ20" i="51"/>
  <c r="BV20" i="51"/>
  <c r="BY20" i="51"/>
  <c r="BU20" i="51"/>
  <c r="BS20" i="51"/>
  <c r="BX20" i="51"/>
  <c r="BW20" i="51"/>
  <c r="BT20" i="51"/>
  <c r="AZ23" i="51"/>
  <c r="AV23" i="51"/>
  <c r="AY23" i="51"/>
  <c r="AU23" i="51"/>
  <c r="AS23" i="51"/>
  <c r="AX23" i="51"/>
  <c r="AW23" i="51"/>
  <c r="AT23" i="51"/>
  <c r="Z26" i="51"/>
  <c r="V26" i="51"/>
  <c r="Y26" i="51"/>
  <c r="U26" i="51"/>
  <c r="S26" i="51"/>
  <c r="X26" i="51"/>
  <c r="W26" i="51"/>
  <c r="T26" i="51"/>
  <c r="AM29" i="51"/>
  <c r="AI29" i="51"/>
  <c r="AL29" i="51"/>
  <c r="AH29" i="51"/>
  <c r="AK29" i="51"/>
  <c r="AG29" i="51"/>
  <c r="AJ29" i="51"/>
  <c r="AF29" i="51"/>
  <c r="AZ32" i="51"/>
  <c r="AV32" i="51"/>
  <c r="AY32" i="51"/>
  <c r="AU32" i="51"/>
  <c r="AX32" i="51"/>
  <c r="AT32" i="51"/>
  <c r="AW32" i="51"/>
  <c r="AS32" i="51"/>
  <c r="BM35" i="51"/>
  <c r="BI35" i="51"/>
  <c r="BL35" i="51"/>
  <c r="BH35" i="51"/>
  <c r="BK35" i="51"/>
  <c r="BG35" i="51"/>
  <c r="BJ35" i="51"/>
  <c r="BF35" i="51"/>
  <c r="M39" i="51"/>
  <c r="I39" i="51"/>
  <c r="L39" i="51"/>
  <c r="H39" i="51"/>
  <c r="K39" i="51"/>
  <c r="G39" i="51"/>
  <c r="J39" i="51"/>
  <c r="F39" i="51"/>
  <c r="Z42" i="51"/>
  <c r="V42" i="51"/>
  <c r="Y42" i="51"/>
  <c r="U42" i="51"/>
  <c r="X42" i="51"/>
  <c r="T42" i="51"/>
  <c r="S42" i="51"/>
  <c r="W42" i="51"/>
  <c r="AM45" i="51"/>
  <c r="AI45" i="51"/>
  <c r="AL45" i="51"/>
  <c r="AH45" i="51"/>
  <c r="AK45" i="51"/>
  <c r="AG45" i="51"/>
  <c r="AJ45" i="51"/>
  <c r="AF45" i="51"/>
  <c r="AZ48" i="51"/>
  <c r="AV48" i="51"/>
  <c r="AY48" i="51"/>
  <c r="AU48" i="51"/>
  <c r="AX48" i="51"/>
  <c r="AT48" i="51"/>
  <c r="AW48" i="51"/>
  <c r="AS48" i="51"/>
  <c r="BM51" i="51"/>
  <c r="BI51" i="51"/>
  <c r="BL51" i="51"/>
  <c r="BH51" i="51"/>
  <c r="BK51" i="51"/>
  <c r="BG51" i="51"/>
  <c r="BJ51" i="51"/>
  <c r="BF51" i="51"/>
  <c r="M5" i="52"/>
  <c r="I5" i="52"/>
  <c r="L5" i="52"/>
  <c r="H5" i="52"/>
  <c r="K5" i="52"/>
  <c r="G5" i="52"/>
  <c r="F5" i="52"/>
  <c r="J5" i="52"/>
  <c r="M9" i="52"/>
  <c r="I9" i="52"/>
  <c r="L9" i="52"/>
  <c r="H9" i="52"/>
  <c r="K9" i="52"/>
  <c r="G9" i="52"/>
  <c r="F9" i="52"/>
  <c r="J9" i="52"/>
  <c r="M13" i="52"/>
  <c r="I13" i="52"/>
  <c r="L13" i="52"/>
  <c r="H13" i="52"/>
  <c r="K13" i="52"/>
  <c r="G13" i="52"/>
  <c r="F13" i="52"/>
  <c r="J13" i="52"/>
  <c r="M17" i="52"/>
  <c r="I17" i="52"/>
  <c r="L17" i="52"/>
  <c r="H17" i="52"/>
  <c r="K17" i="52"/>
  <c r="G17" i="52"/>
  <c r="F17" i="52"/>
  <c r="J17" i="52"/>
  <c r="M21" i="52"/>
  <c r="I21" i="52"/>
  <c r="L21" i="52"/>
  <c r="H21" i="52"/>
  <c r="K21" i="52"/>
  <c r="G21" i="52"/>
  <c r="F21" i="52"/>
  <c r="J21" i="52"/>
  <c r="M25" i="52"/>
  <c r="I25" i="52"/>
  <c r="L25" i="52"/>
  <c r="H25" i="52"/>
  <c r="K25" i="52"/>
  <c r="G25" i="52"/>
  <c r="F25" i="52"/>
  <c r="J25" i="52"/>
  <c r="M29" i="52"/>
  <c r="I29" i="52"/>
  <c r="L29" i="52"/>
  <c r="H29" i="52"/>
  <c r="K29" i="52"/>
  <c r="G29" i="52"/>
  <c r="F29" i="52"/>
  <c r="J29" i="52"/>
  <c r="T15" i="34"/>
  <c r="T23" i="34"/>
  <c r="T31" i="34"/>
  <c r="T39" i="34"/>
  <c r="T47" i="34"/>
  <c r="T55" i="34"/>
  <c r="T63" i="34"/>
  <c r="T71" i="34"/>
  <c r="T79" i="34"/>
  <c r="T87" i="34"/>
  <c r="T95" i="34"/>
  <c r="T103" i="34"/>
  <c r="H133" i="34"/>
  <c r="G133" i="34"/>
  <c r="H165" i="34"/>
  <c r="G165" i="34"/>
  <c r="L6" i="51"/>
  <c r="H6" i="51"/>
  <c r="K6" i="51"/>
  <c r="G6" i="51"/>
  <c r="I6" i="51"/>
  <c r="F6" i="51"/>
  <c r="M6" i="51"/>
  <c r="J6" i="51"/>
  <c r="BL8" i="51"/>
  <c r="BH8" i="51"/>
  <c r="BK8" i="51"/>
  <c r="BG8" i="51"/>
  <c r="BI8" i="51"/>
  <c r="BF8" i="51"/>
  <c r="BM8" i="51"/>
  <c r="BJ8" i="51"/>
  <c r="AL11" i="51"/>
  <c r="AH11" i="51"/>
  <c r="AK11" i="51"/>
  <c r="AG11" i="51"/>
  <c r="AI11" i="51"/>
  <c r="AF11" i="51"/>
  <c r="AM11" i="51"/>
  <c r="AJ11" i="51"/>
  <c r="L14" i="51"/>
  <c r="H14" i="51"/>
  <c r="K14" i="51"/>
  <c r="G14" i="51"/>
  <c r="I14" i="51"/>
  <c r="F14" i="51"/>
  <c r="M14" i="51"/>
  <c r="J14" i="51"/>
  <c r="BL16" i="51"/>
  <c r="BH16" i="51"/>
  <c r="BK16" i="51"/>
  <c r="BG16" i="51"/>
  <c r="BI16" i="51"/>
  <c r="BF16" i="51"/>
  <c r="BM16" i="51"/>
  <c r="BJ16" i="51"/>
  <c r="AL19" i="51"/>
  <c r="AH19" i="51"/>
  <c r="AK19" i="51"/>
  <c r="AG19" i="51"/>
  <c r="AI19" i="51"/>
  <c r="AF19" i="51"/>
  <c r="AM19" i="51"/>
  <c r="AJ19" i="51"/>
  <c r="L22" i="51"/>
  <c r="H22" i="51"/>
  <c r="K22" i="51"/>
  <c r="G22" i="51"/>
  <c r="I22" i="51"/>
  <c r="F22" i="51"/>
  <c r="M22" i="51"/>
  <c r="J22" i="51"/>
  <c r="BL24" i="51"/>
  <c r="BH24" i="51"/>
  <c r="BK24" i="51"/>
  <c r="BG24" i="51"/>
  <c r="BI24" i="51"/>
  <c r="BF24" i="51"/>
  <c r="BM24" i="51"/>
  <c r="BJ24" i="51"/>
  <c r="AY27" i="51"/>
  <c r="AU27" i="51"/>
  <c r="AX27" i="51"/>
  <c r="AT27" i="51"/>
  <c r="AZ27" i="51"/>
  <c r="AW27" i="51"/>
  <c r="AV27" i="51"/>
  <c r="AS27" i="51"/>
  <c r="BL30" i="51"/>
  <c r="BH30" i="51"/>
  <c r="BK30" i="51"/>
  <c r="BG30" i="51"/>
  <c r="BJ30" i="51"/>
  <c r="BF30" i="51"/>
  <c r="BI30" i="51"/>
  <c r="BM30" i="51"/>
  <c r="L34" i="51"/>
  <c r="H34" i="51"/>
  <c r="K34" i="51"/>
  <c r="G34" i="51"/>
  <c r="J34" i="51"/>
  <c r="F34" i="51"/>
  <c r="I34" i="51"/>
  <c r="M34" i="51"/>
  <c r="Y37" i="51"/>
  <c r="U37" i="51"/>
  <c r="X37" i="51"/>
  <c r="T37" i="51"/>
  <c r="W37" i="51"/>
  <c r="S37" i="51"/>
  <c r="Z37" i="51"/>
  <c r="V37" i="51"/>
  <c r="AL40" i="51"/>
  <c r="AH40" i="51"/>
  <c r="AK40" i="51"/>
  <c r="AG40" i="51"/>
  <c r="AJ40" i="51"/>
  <c r="AF40" i="51"/>
  <c r="AM40" i="51"/>
  <c r="AI40" i="51"/>
  <c r="AY43" i="51"/>
  <c r="AU43" i="51"/>
  <c r="AX43" i="51"/>
  <c r="AT43" i="51"/>
  <c r="AW43" i="51"/>
  <c r="AS43" i="51"/>
  <c r="AZ43" i="51"/>
  <c r="AV43" i="51"/>
  <c r="BL46" i="51"/>
  <c r="BH46" i="51"/>
  <c r="BK46" i="51"/>
  <c r="BG46" i="51"/>
  <c r="BJ46" i="51"/>
  <c r="BF46" i="51"/>
  <c r="BI46" i="51"/>
  <c r="BM46" i="51"/>
  <c r="L50" i="51"/>
  <c r="H50" i="51"/>
  <c r="K50" i="51"/>
  <c r="G50" i="51"/>
  <c r="J50" i="51"/>
  <c r="F50" i="51"/>
  <c r="I50" i="51"/>
  <c r="M50" i="51"/>
  <c r="Y53" i="51"/>
  <c r="U53" i="51"/>
  <c r="X53" i="51"/>
  <c r="T53" i="51"/>
  <c r="W53" i="51"/>
  <c r="S53" i="51"/>
  <c r="Z53" i="51"/>
  <c r="V53" i="51"/>
  <c r="L8" i="52"/>
  <c r="H8" i="52"/>
  <c r="K8" i="52"/>
  <c r="G8" i="52"/>
  <c r="J8" i="52"/>
  <c r="F8" i="52"/>
  <c r="M8" i="52"/>
  <c r="I8" i="52"/>
  <c r="L12" i="52"/>
  <c r="H12" i="52"/>
  <c r="K12" i="52"/>
  <c r="G12" i="52"/>
  <c r="J12" i="52"/>
  <c r="F12" i="52"/>
  <c r="M12" i="52"/>
  <c r="I12" i="52"/>
  <c r="L16" i="52"/>
  <c r="H16" i="52"/>
  <c r="K16" i="52"/>
  <c r="G16" i="52"/>
  <c r="J16" i="52"/>
  <c r="F16" i="52"/>
  <c r="M16" i="52"/>
  <c r="I16" i="52"/>
  <c r="L20" i="52"/>
  <c r="H20" i="52"/>
  <c r="K20" i="52"/>
  <c r="G20" i="52"/>
  <c r="J20" i="52"/>
  <c r="F20" i="52"/>
  <c r="M20" i="52"/>
  <c r="I20" i="52"/>
  <c r="L24" i="52"/>
  <c r="H24" i="52"/>
  <c r="K24" i="52"/>
  <c r="G24" i="52"/>
  <c r="J24" i="52"/>
  <c r="F24" i="52"/>
  <c r="M24" i="52"/>
  <c r="I24" i="52"/>
  <c r="L28" i="52"/>
  <c r="H28" i="52"/>
  <c r="K28" i="52"/>
  <c r="G28" i="52"/>
  <c r="J28" i="52"/>
  <c r="F28" i="52"/>
  <c r="M28" i="52"/>
  <c r="I28" i="52"/>
  <c r="S9" i="34"/>
  <c r="S17" i="34"/>
  <c r="S25" i="34"/>
  <c r="S33" i="34"/>
  <c r="S41" i="34"/>
  <c r="S49" i="34"/>
  <c r="S57" i="34"/>
  <c r="S65" i="34"/>
  <c r="S73" i="34"/>
  <c r="S81" i="34"/>
  <c r="S89" i="34"/>
  <c r="S97" i="34"/>
  <c r="S105" i="34"/>
  <c r="G108" i="34"/>
  <c r="H108" i="34"/>
  <c r="G140" i="34"/>
  <c r="H140" i="34"/>
  <c r="G172" i="34"/>
  <c r="H172" i="34"/>
  <c r="Z32" i="52"/>
  <c r="V32" i="52"/>
  <c r="Y32" i="52"/>
  <c r="U32" i="52"/>
  <c r="X32" i="52"/>
  <c r="W32" i="52"/>
  <c r="T32" i="52"/>
  <c r="S32" i="52"/>
  <c r="Z36" i="52"/>
  <c r="V36" i="52"/>
  <c r="Y36" i="52"/>
  <c r="U36" i="52"/>
  <c r="X36" i="52"/>
  <c r="W36" i="52"/>
  <c r="T36" i="52"/>
  <c r="S36" i="52"/>
  <c r="Z40" i="52"/>
  <c r="V40" i="52"/>
  <c r="Y40" i="52"/>
  <c r="U40" i="52"/>
  <c r="X40" i="52"/>
  <c r="W40" i="52"/>
  <c r="T40" i="52"/>
  <c r="S40" i="52"/>
  <c r="Z44" i="52"/>
  <c r="V44" i="52"/>
  <c r="Y44" i="52"/>
  <c r="U44" i="52"/>
  <c r="X44" i="52"/>
  <c r="W44" i="52"/>
  <c r="T44" i="52"/>
  <c r="S44" i="52"/>
  <c r="Z48" i="52"/>
  <c r="V48" i="52"/>
  <c r="Y48" i="52"/>
  <c r="U48" i="52"/>
  <c r="X48" i="52"/>
  <c r="W48" i="52"/>
  <c r="T48" i="52"/>
  <c r="S48" i="52"/>
  <c r="Z52" i="52"/>
  <c r="V52" i="52"/>
  <c r="Y52" i="52"/>
  <c r="U52" i="52"/>
  <c r="X52" i="52"/>
  <c r="W52" i="52"/>
  <c r="T52" i="52"/>
  <c r="S52" i="52"/>
  <c r="H107" i="34"/>
  <c r="G107" i="34"/>
  <c r="H123" i="34"/>
  <c r="G123" i="34"/>
  <c r="H139" i="34"/>
  <c r="G139" i="34"/>
  <c r="H155" i="34"/>
  <c r="G155" i="34"/>
  <c r="H171" i="34"/>
  <c r="G171" i="34"/>
  <c r="G308" i="34"/>
  <c r="H308" i="34"/>
  <c r="AL34" i="52"/>
  <c r="AH34" i="52"/>
  <c r="AK34" i="52"/>
  <c r="AG34" i="52"/>
  <c r="AM34" i="52"/>
  <c r="AJ34" i="52"/>
  <c r="AI34" i="52"/>
  <c r="AF34" i="52"/>
  <c r="AL38" i="52"/>
  <c r="AH38" i="52"/>
  <c r="AK38" i="52"/>
  <c r="AG38" i="52"/>
  <c r="AM38" i="52"/>
  <c r="AJ38" i="52"/>
  <c r="AI38" i="52"/>
  <c r="AF38" i="52"/>
  <c r="AL42" i="52"/>
  <c r="AH42" i="52"/>
  <c r="AK42" i="52"/>
  <c r="AG42" i="52"/>
  <c r="AM42" i="52"/>
  <c r="AJ42" i="52"/>
  <c r="AI42" i="52"/>
  <c r="AF42" i="52"/>
  <c r="AL46" i="52"/>
  <c r="AH46" i="52"/>
  <c r="AK46" i="52"/>
  <c r="AG46" i="52"/>
  <c r="AM46" i="52"/>
  <c r="AJ46" i="52"/>
  <c r="AI46" i="52"/>
  <c r="AF46" i="52"/>
  <c r="AL50" i="52"/>
  <c r="AH50" i="52"/>
  <c r="AK50" i="52"/>
  <c r="AG50" i="52"/>
  <c r="AM50" i="52"/>
  <c r="AJ50" i="52"/>
  <c r="AI50" i="52"/>
  <c r="AF50" i="52"/>
  <c r="H7" i="34"/>
  <c r="G7" i="34"/>
  <c r="H11" i="34"/>
  <c r="G11" i="34"/>
  <c r="H15" i="34"/>
  <c r="G15" i="34"/>
  <c r="H19" i="34"/>
  <c r="G19" i="34"/>
  <c r="H23" i="34"/>
  <c r="G23" i="34"/>
  <c r="H27" i="34"/>
  <c r="G27" i="34"/>
  <c r="H31" i="34"/>
  <c r="G31" i="34"/>
  <c r="H35" i="34"/>
  <c r="G35" i="34"/>
  <c r="H39" i="34"/>
  <c r="G39" i="34"/>
  <c r="H43" i="34"/>
  <c r="G43" i="34"/>
  <c r="H47" i="34"/>
  <c r="G47" i="34"/>
  <c r="H51" i="34"/>
  <c r="G51" i="34"/>
  <c r="H55" i="34"/>
  <c r="G55" i="34"/>
  <c r="H59" i="34"/>
  <c r="G59" i="34"/>
  <c r="H63" i="34"/>
  <c r="G63" i="34"/>
  <c r="H67" i="34"/>
  <c r="G67" i="34"/>
  <c r="H71" i="34"/>
  <c r="G71" i="34"/>
  <c r="H75" i="34"/>
  <c r="G75" i="34"/>
  <c r="H79" i="34"/>
  <c r="G79" i="34"/>
  <c r="H83" i="34"/>
  <c r="G83" i="34"/>
  <c r="H87" i="34"/>
  <c r="G87" i="34"/>
  <c r="H91" i="34"/>
  <c r="G91" i="34"/>
  <c r="H95" i="34"/>
  <c r="G95" i="34"/>
  <c r="H99" i="34"/>
  <c r="G99" i="34"/>
  <c r="H103" i="34"/>
  <c r="G103" i="34"/>
  <c r="S112" i="34"/>
  <c r="H118" i="34"/>
  <c r="G118" i="34"/>
  <c r="S128" i="34"/>
  <c r="H134" i="34"/>
  <c r="G134" i="34"/>
  <c r="S144" i="34"/>
  <c r="H150" i="34"/>
  <c r="G150" i="34"/>
  <c r="S160" i="34"/>
  <c r="H166" i="34"/>
  <c r="G166" i="34"/>
  <c r="S176" i="34"/>
  <c r="H182" i="34"/>
  <c r="G182" i="34"/>
  <c r="S187" i="34"/>
  <c r="S195" i="34"/>
  <c r="S203" i="34"/>
  <c r="S211" i="34"/>
  <c r="S219" i="34"/>
  <c r="S227" i="34"/>
  <c r="S235" i="34"/>
  <c r="S243" i="34"/>
  <c r="S251" i="34"/>
  <c r="S259" i="34"/>
  <c r="S267" i="34"/>
  <c r="S275" i="34"/>
  <c r="S283" i="34"/>
  <c r="S291" i="34"/>
  <c r="H188" i="34"/>
  <c r="G188" i="34"/>
  <c r="H192" i="34"/>
  <c r="G192" i="34"/>
  <c r="H196" i="34"/>
  <c r="G196" i="34"/>
  <c r="H200" i="34"/>
  <c r="G200" i="34"/>
  <c r="H204" i="34"/>
  <c r="G204" i="34"/>
  <c r="H208" i="34"/>
  <c r="G208" i="34"/>
  <c r="H212" i="34"/>
  <c r="G212" i="34"/>
  <c r="H216" i="34"/>
  <c r="G216" i="34"/>
  <c r="H220" i="34"/>
  <c r="G220" i="34"/>
  <c r="H224" i="34"/>
  <c r="G224" i="34"/>
  <c r="H228" i="34"/>
  <c r="G228" i="34"/>
  <c r="H232" i="34"/>
  <c r="G232" i="34"/>
  <c r="H236" i="34"/>
  <c r="G236" i="34"/>
  <c r="H240" i="34"/>
  <c r="G240" i="34"/>
  <c r="H244" i="34"/>
  <c r="G244" i="34"/>
  <c r="H248" i="34"/>
  <c r="G248" i="34"/>
  <c r="H252" i="34"/>
  <c r="G252" i="34"/>
  <c r="H256" i="34"/>
  <c r="G256" i="34"/>
  <c r="H260" i="34"/>
  <c r="G260" i="34"/>
  <c r="H264" i="34"/>
  <c r="G264" i="34"/>
  <c r="H268" i="34"/>
  <c r="G268" i="34"/>
  <c r="H272" i="34"/>
  <c r="G272" i="34"/>
  <c r="H276" i="34"/>
  <c r="G276" i="34"/>
  <c r="H280" i="34"/>
  <c r="G280" i="34"/>
  <c r="H284" i="34"/>
  <c r="G284" i="34"/>
  <c r="H288" i="34"/>
  <c r="G288" i="34"/>
  <c r="H292" i="34"/>
  <c r="G292" i="34"/>
  <c r="T309" i="34"/>
  <c r="T300" i="34"/>
  <c r="G303" i="34"/>
  <c r="H303" i="34"/>
  <c r="T326" i="34"/>
  <c r="S326" i="34"/>
  <c r="H369" i="34"/>
  <c r="G369" i="34"/>
  <c r="T379" i="34"/>
  <c r="S379" i="34"/>
  <c r="T394" i="34"/>
  <c r="S394" i="34"/>
  <c r="S301" i="34"/>
  <c r="S317" i="34"/>
  <c r="T325" i="34"/>
  <c r="S325" i="34"/>
  <c r="T333" i="34"/>
  <c r="S333" i="34"/>
  <c r="T341" i="34"/>
  <c r="S341" i="34"/>
  <c r="T349" i="34"/>
  <c r="S349" i="34"/>
  <c r="T357" i="34"/>
  <c r="S357" i="34"/>
  <c r="G368" i="34"/>
  <c r="H368" i="34"/>
  <c r="T378" i="34"/>
  <c r="S378" i="34"/>
  <c r="H426" i="34"/>
  <c r="G426" i="34"/>
  <c r="G431" i="34"/>
  <c r="H431" i="34"/>
  <c r="T442" i="34"/>
  <c r="S442" i="34"/>
  <c r="T318" i="34"/>
  <c r="T367" i="34"/>
  <c r="S367" i="34"/>
  <c r="H389" i="34"/>
  <c r="G389" i="34"/>
  <c r="T405" i="34"/>
  <c r="S405" i="34"/>
  <c r="T410" i="34"/>
  <c r="S410" i="34"/>
  <c r="G443" i="34"/>
  <c r="H443" i="34"/>
  <c r="T453" i="34"/>
  <c r="S453" i="34"/>
  <c r="T334" i="34"/>
  <c r="S334" i="34"/>
  <c r="T342" i="34"/>
  <c r="S342" i="34"/>
  <c r="T350" i="34"/>
  <c r="S350" i="34"/>
  <c r="T358" i="34"/>
  <c r="S358" i="34"/>
  <c r="G372" i="34"/>
  <c r="H372" i="34"/>
  <c r="T382" i="34"/>
  <c r="S382" i="34"/>
  <c r="H410" i="34"/>
  <c r="G410" i="34"/>
  <c r="G415" i="34"/>
  <c r="H415" i="34"/>
  <c r="H420" i="34"/>
  <c r="G420" i="34"/>
  <c r="H440" i="34"/>
  <c r="G440" i="34"/>
  <c r="G467" i="34"/>
  <c r="H467" i="34"/>
  <c r="T477" i="34"/>
  <c r="S477" i="34"/>
  <c r="H464" i="34"/>
  <c r="G464" i="34"/>
  <c r="T474" i="34"/>
  <c r="S474" i="34"/>
  <c r="H496" i="34"/>
  <c r="G496" i="34"/>
  <c r="H363" i="34"/>
  <c r="G363" i="34"/>
  <c r="S373" i="34"/>
  <c r="T373" i="34"/>
  <c r="H379" i="34"/>
  <c r="G379" i="34"/>
  <c r="S389" i="34"/>
  <c r="T389" i="34"/>
  <c r="S408" i="34"/>
  <c r="T408" i="34"/>
  <c r="T413" i="34"/>
  <c r="S413" i="34"/>
  <c r="S418" i="34"/>
  <c r="T418" i="34"/>
  <c r="G430" i="34"/>
  <c r="H430" i="34"/>
  <c r="T433" i="34"/>
  <c r="S433" i="34"/>
  <c r="G455" i="34"/>
  <c r="H455" i="34"/>
  <c r="T465" i="34"/>
  <c r="S465" i="34"/>
  <c r="G487" i="34"/>
  <c r="H487" i="34"/>
  <c r="T497" i="34"/>
  <c r="S497" i="34"/>
  <c r="H312" i="34"/>
  <c r="G312" i="34"/>
  <c r="H316" i="34"/>
  <c r="G316" i="34"/>
  <c r="H320" i="34"/>
  <c r="G320" i="34"/>
  <c r="H324" i="34"/>
  <c r="G324" i="34"/>
  <c r="H328" i="34"/>
  <c r="G328" i="34"/>
  <c r="H332" i="34"/>
  <c r="G332" i="34"/>
  <c r="H336" i="34"/>
  <c r="G336" i="34"/>
  <c r="H340" i="34"/>
  <c r="G340" i="34"/>
  <c r="H344" i="34"/>
  <c r="G344" i="34"/>
  <c r="H348" i="34"/>
  <c r="G348" i="34"/>
  <c r="H352" i="34"/>
  <c r="G352" i="34"/>
  <c r="H356" i="34"/>
  <c r="G356" i="34"/>
  <c r="H360" i="34"/>
  <c r="G360" i="34"/>
  <c r="T368" i="34"/>
  <c r="S368" i="34"/>
  <c r="H374" i="34"/>
  <c r="G374" i="34"/>
  <c r="T384" i="34"/>
  <c r="S384" i="34"/>
  <c r="H390" i="34"/>
  <c r="G390" i="34"/>
  <c r="S412" i="34"/>
  <c r="T412" i="34"/>
  <c r="T417" i="34"/>
  <c r="S417" i="34"/>
  <c r="T422" i="34"/>
  <c r="S422" i="34"/>
  <c r="H444" i="34"/>
  <c r="G444" i="34"/>
  <c r="T454" i="34"/>
  <c r="S454" i="34"/>
  <c r="H476" i="34"/>
  <c r="G476" i="34"/>
  <c r="T486" i="34"/>
  <c r="S486" i="34"/>
  <c r="S432" i="34"/>
  <c r="T432" i="34"/>
  <c r="G438" i="34"/>
  <c r="H438" i="34"/>
  <c r="S448" i="34"/>
  <c r="T448" i="34"/>
  <c r="G454" i="34"/>
  <c r="H454" i="34"/>
  <c r="S464" i="34"/>
  <c r="T464" i="34"/>
  <c r="G470" i="34"/>
  <c r="H470" i="34"/>
  <c r="S480" i="34"/>
  <c r="T480" i="34"/>
  <c r="G486" i="34"/>
  <c r="H486" i="34"/>
  <c r="S496" i="34"/>
  <c r="T496" i="34"/>
  <c r="T395" i="34"/>
  <c r="S395" i="34"/>
  <c r="H401" i="34"/>
  <c r="G401" i="34"/>
  <c r="T411" i="34"/>
  <c r="S411" i="34"/>
  <c r="H417" i="34"/>
  <c r="G417" i="34"/>
  <c r="T427" i="34"/>
  <c r="S427" i="34"/>
  <c r="H433" i="34"/>
  <c r="G433" i="34"/>
  <c r="T443" i="34"/>
  <c r="S443" i="34"/>
  <c r="H449" i="34"/>
  <c r="G449" i="34"/>
  <c r="T459" i="34"/>
  <c r="S459" i="34"/>
  <c r="H465" i="34"/>
  <c r="G465" i="34"/>
  <c r="T475" i="34"/>
  <c r="S475" i="34"/>
  <c r="H481" i="34"/>
  <c r="G481" i="34"/>
  <c r="T491" i="34"/>
  <c r="S491" i="34"/>
  <c r="H497" i="34"/>
  <c r="G497" i="34"/>
  <c r="O8" i="37" a="1"/>
  <c r="O8" i="37" s="1"/>
  <c r="O11" i="37" s="1" a="1"/>
  <c r="O11" i="37" s="1"/>
  <c r="Q6" i="37"/>
  <c r="C22" i="37" s="1"/>
  <c r="J21" i="51"/>
  <c r="F21" i="51"/>
  <c r="M21" i="51"/>
  <c r="I21" i="51"/>
  <c r="K21" i="51"/>
  <c r="H21" i="51"/>
  <c r="G21" i="51"/>
  <c r="L21" i="51"/>
  <c r="BJ15" i="51"/>
  <c r="BF15" i="51"/>
  <c r="BM15" i="51"/>
  <c r="BI15" i="51"/>
  <c r="BK15" i="51"/>
  <c r="BH15" i="51"/>
  <c r="BG15" i="51"/>
  <c r="BL15" i="51"/>
  <c r="BJ19" i="51"/>
  <c r="BF19" i="51"/>
  <c r="BM19" i="51"/>
  <c r="BI19" i="51"/>
  <c r="BK19" i="51"/>
  <c r="BH19" i="51"/>
  <c r="BG19" i="51"/>
  <c r="BL19" i="51"/>
  <c r="AK43" i="51"/>
  <c r="AG43" i="51"/>
  <c r="AJ43" i="51"/>
  <c r="AF43" i="51"/>
  <c r="AM43" i="51"/>
  <c r="AI43" i="51"/>
  <c r="AL43" i="51"/>
  <c r="AH43" i="51"/>
  <c r="AK9" i="52"/>
  <c r="AG9" i="52"/>
  <c r="AJ9" i="52"/>
  <c r="AF9" i="52"/>
  <c r="AM9" i="52"/>
  <c r="AI9" i="52"/>
  <c r="AL9" i="52"/>
  <c r="AH9" i="52"/>
  <c r="AK17" i="52"/>
  <c r="AG17" i="52"/>
  <c r="AJ17" i="52"/>
  <c r="AF17" i="52"/>
  <c r="AM17" i="52"/>
  <c r="AI17" i="52"/>
  <c r="AL17" i="52"/>
  <c r="AH17" i="52"/>
  <c r="AK25" i="52"/>
  <c r="AG25" i="52"/>
  <c r="AJ25" i="52"/>
  <c r="AF25" i="52"/>
  <c r="AM25" i="52"/>
  <c r="AI25" i="52"/>
  <c r="AL25" i="52"/>
  <c r="AH25" i="52"/>
  <c r="AJ18" i="51"/>
  <c r="AF18" i="51"/>
  <c r="AM18" i="51"/>
  <c r="AI18" i="51"/>
  <c r="AK18" i="51"/>
  <c r="AH18" i="51"/>
  <c r="AG18" i="51"/>
  <c r="AL18" i="51"/>
  <c r="J17" i="51"/>
  <c r="F17" i="51"/>
  <c r="M17" i="51"/>
  <c r="I17" i="51"/>
  <c r="K17" i="51"/>
  <c r="H17" i="51"/>
  <c r="G17" i="51"/>
  <c r="L17" i="51"/>
  <c r="BK41" i="51"/>
  <c r="BG41" i="51"/>
  <c r="BJ41" i="51"/>
  <c r="BF41" i="51"/>
  <c r="BM41" i="51"/>
  <c r="BI41" i="51"/>
  <c r="BL41" i="51"/>
  <c r="BH41" i="51"/>
  <c r="H129" i="34"/>
  <c r="G129" i="34"/>
  <c r="AX6" i="51"/>
  <c r="AT6" i="51"/>
  <c r="AW6" i="51"/>
  <c r="AS6" i="51"/>
  <c r="AU6" i="51"/>
  <c r="AZ6" i="51"/>
  <c r="AY6" i="51"/>
  <c r="AV6" i="51"/>
  <c r="BX11" i="51"/>
  <c r="BT11" i="51"/>
  <c r="BW11" i="51"/>
  <c r="BS11" i="51"/>
  <c r="BU11" i="51"/>
  <c r="BZ11" i="51"/>
  <c r="BY11" i="51"/>
  <c r="BV11" i="51"/>
  <c r="X17" i="51"/>
  <c r="T17" i="51"/>
  <c r="W17" i="51"/>
  <c r="S17" i="51"/>
  <c r="U17" i="51"/>
  <c r="Z17" i="51"/>
  <c r="Y17" i="51"/>
  <c r="V17" i="51"/>
  <c r="AX22" i="51"/>
  <c r="AT22" i="51"/>
  <c r="AW22" i="51"/>
  <c r="AS22" i="51"/>
  <c r="AU22" i="51"/>
  <c r="AZ22" i="51"/>
  <c r="AY22" i="51"/>
  <c r="AV22" i="51"/>
  <c r="AX4" i="52"/>
  <c r="AT4" i="52"/>
  <c r="AW4" i="52"/>
  <c r="AS4" i="52"/>
  <c r="AZ4" i="52"/>
  <c r="AV4" i="52"/>
  <c r="AY4" i="52"/>
  <c r="AU4" i="52"/>
  <c r="J50" i="52"/>
  <c r="F50" i="52"/>
  <c r="M50" i="52"/>
  <c r="I50" i="52"/>
  <c r="K50" i="52"/>
  <c r="H50" i="52"/>
  <c r="G50" i="52"/>
  <c r="L50" i="52"/>
  <c r="H121" i="34"/>
  <c r="G121" i="34"/>
  <c r="G302" i="34"/>
  <c r="H302" i="34"/>
  <c r="AJ8" i="51"/>
  <c r="AF8" i="51"/>
  <c r="AM8" i="51"/>
  <c r="AI8" i="51"/>
  <c r="AG8" i="51"/>
  <c r="AL8" i="51"/>
  <c r="AK8" i="51"/>
  <c r="AH8" i="51"/>
  <c r="BJ13" i="51"/>
  <c r="BF13" i="51"/>
  <c r="BM13" i="51"/>
  <c r="BI13" i="51"/>
  <c r="BG13" i="51"/>
  <c r="BL13" i="51"/>
  <c r="BK13" i="51"/>
  <c r="BH13" i="51"/>
  <c r="J19" i="51"/>
  <c r="F19" i="51"/>
  <c r="M19" i="51"/>
  <c r="I19" i="51"/>
  <c r="G19" i="51"/>
  <c r="L19" i="51"/>
  <c r="K19" i="51"/>
  <c r="H19" i="51"/>
  <c r="AJ24" i="51"/>
  <c r="AF24" i="51"/>
  <c r="AM24" i="51"/>
  <c r="AI24" i="51"/>
  <c r="AG24" i="51"/>
  <c r="AL24" i="51"/>
  <c r="AK24" i="51"/>
  <c r="AH24" i="51"/>
  <c r="BK33" i="51"/>
  <c r="BG33" i="51"/>
  <c r="BJ33" i="51"/>
  <c r="BF33" i="51"/>
  <c r="BM33" i="51"/>
  <c r="BI33" i="51"/>
  <c r="BH33" i="51"/>
  <c r="BL33" i="51"/>
  <c r="X36" i="51"/>
  <c r="T36" i="51"/>
  <c r="W36" i="51"/>
  <c r="S36" i="51"/>
  <c r="Z36" i="51"/>
  <c r="V36" i="51"/>
  <c r="U36" i="51"/>
  <c r="Y36" i="51"/>
  <c r="W49" i="52"/>
  <c r="S49" i="52"/>
  <c r="Z49" i="52"/>
  <c r="V49" i="52"/>
  <c r="X49" i="52"/>
  <c r="U49" i="52"/>
  <c r="T49" i="52"/>
  <c r="Y49" i="52"/>
  <c r="T36" i="34"/>
  <c r="T68" i="34"/>
  <c r="H145" i="34"/>
  <c r="G145" i="34"/>
  <c r="P6" i="37" a="1"/>
  <c r="P6" i="37" s="1"/>
  <c r="P7" i="37" a="1"/>
  <c r="P7" i="37" s="1"/>
  <c r="P5" i="37" a="1"/>
  <c r="P5" i="37" s="1"/>
  <c r="P9" i="37" a="1"/>
  <c r="P9" i="37" s="1"/>
  <c r="P8" i="37" a="1"/>
  <c r="P8" i="37" s="1"/>
  <c r="P10" i="37" a="1"/>
  <c r="P10" i="37" s="1"/>
  <c r="P13" i="37" a="1"/>
  <c r="P13" i="37" s="1"/>
  <c r="H5" i="37" a="1"/>
  <c r="H5" i="37" s="1"/>
  <c r="P11" i="37" a="1"/>
  <c r="P11" i="37" s="1"/>
  <c r="P12" i="37" a="1"/>
  <c r="P12" i="37" s="1"/>
  <c r="X7" i="51"/>
  <c r="T7" i="51"/>
  <c r="W7" i="51"/>
  <c r="S7" i="51"/>
  <c r="Y7" i="51"/>
  <c r="V7" i="51"/>
  <c r="U7" i="51"/>
  <c r="Z7" i="51"/>
  <c r="AX12" i="51"/>
  <c r="AT12" i="51"/>
  <c r="AW12" i="51"/>
  <c r="AS12" i="51"/>
  <c r="AY12" i="51"/>
  <c r="AV12" i="51"/>
  <c r="AU12" i="51"/>
  <c r="AZ12" i="51"/>
  <c r="BX17" i="51"/>
  <c r="BT17" i="51"/>
  <c r="BW17" i="51"/>
  <c r="BS17" i="51"/>
  <c r="BY17" i="51"/>
  <c r="BV17" i="51"/>
  <c r="BU17" i="51"/>
  <c r="BZ17" i="51"/>
  <c r="X23" i="51"/>
  <c r="T23" i="51"/>
  <c r="W23" i="51"/>
  <c r="S23" i="51"/>
  <c r="Y23" i="51"/>
  <c r="V23" i="51"/>
  <c r="U23" i="51"/>
  <c r="Z23" i="51"/>
  <c r="AX30" i="51"/>
  <c r="AT30" i="51"/>
  <c r="AW30" i="51"/>
  <c r="AS30" i="51"/>
  <c r="AZ30" i="51"/>
  <c r="AV30" i="51"/>
  <c r="AY30" i="51"/>
  <c r="AU30" i="51"/>
  <c r="K33" i="51"/>
  <c r="G33" i="51"/>
  <c r="J33" i="51"/>
  <c r="F33" i="51"/>
  <c r="M33" i="51"/>
  <c r="I33" i="51"/>
  <c r="L33" i="51"/>
  <c r="H33" i="51"/>
  <c r="AK47" i="51"/>
  <c r="AG47" i="51"/>
  <c r="AJ47" i="51"/>
  <c r="AF47" i="51"/>
  <c r="AM47" i="51"/>
  <c r="AI47" i="51"/>
  <c r="AL47" i="51"/>
  <c r="AH47" i="51"/>
  <c r="X6" i="52"/>
  <c r="T6" i="52"/>
  <c r="W6" i="52"/>
  <c r="S6" i="52"/>
  <c r="Z6" i="52"/>
  <c r="V6" i="52"/>
  <c r="Y6" i="52"/>
  <c r="U6" i="52"/>
  <c r="X14" i="52"/>
  <c r="T14" i="52"/>
  <c r="W14" i="52"/>
  <c r="S14" i="52"/>
  <c r="Z14" i="52"/>
  <c r="V14" i="52"/>
  <c r="Y14" i="52"/>
  <c r="U14" i="52"/>
  <c r="X22" i="52"/>
  <c r="T22" i="52"/>
  <c r="W22" i="52"/>
  <c r="S22" i="52"/>
  <c r="Z22" i="52"/>
  <c r="V22" i="52"/>
  <c r="Y22" i="52"/>
  <c r="U22" i="52"/>
  <c r="X30" i="52"/>
  <c r="T30" i="52"/>
  <c r="W30" i="52"/>
  <c r="S30" i="52"/>
  <c r="Z30" i="52"/>
  <c r="V30" i="52"/>
  <c r="Y30" i="52"/>
  <c r="U30" i="52"/>
  <c r="J38" i="52"/>
  <c r="F38" i="52"/>
  <c r="M38" i="52"/>
  <c r="I38" i="52"/>
  <c r="K38" i="52"/>
  <c r="H38" i="52"/>
  <c r="G38" i="52"/>
  <c r="L38" i="52"/>
  <c r="BK47" i="52"/>
  <c r="BG47" i="52"/>
  <c r="BJ47" i="52"/>
  <c r="BF47" i="52"/>
  <c r="BI47" i="52"/>
  <c r="BH47" i="52"/>
  <c r="BM47" i="52"/>
  <c r="BL47" i="52"/>
  <c r="H169" i="34"/>
  <c r="G169" i="34"/>
  <c r="AW29" i="51"/>
  <c r="AS29" i="51"/>
  <c r="AZ29" i="51"/>
  <c r="AV29" i="51"/>
  <c r="AY29" i="51"/>
  <c r="AU29" i="51"/>
  <c r="AX29" i="51"/>
  <c r="AT29" i="51"/>
  <c r="BJ32" i="51"/>
  <c r="BF32" i="51"/>
  <c r="BM32" i="51"/>
  <c r="BI32" i="51"/>
  <c r="BL32" i="51"/>
  <c r="BH32" i="51"/>
  <c r="BK32" i="51"/>
  <c r="BG32" i="51"/>
  <c r="J36" i="51"/>
  <c r="F36" i="51"/>
  <c r="M36" i="51"/>
  <c r="I36" i="51"/>
  <c r="L36" i="51"/>
  <c r="H36" i="51"/>
  <c r="K36" i="51"/>
  <c r="G36" i="51"/>
  <c r="W39" i="51"/>
  <c r="S39" i="51"/>
  <c r="Z39" i="51"/>
  <c r="V39" i="51"/>
  <c r="Y39" i="51"/>
  <c r="U39" i="51"/>
  <c r="T39" i="51"/>
  <c r="X39" i="51"/>
  <c r="AJ42" i="51"/>
  <c r="AF42" i="51"/>
  <c r="AM42" i="51"/>
  <c r="AI42" i="51"/>
  <c r="AL42" i="51"/>
  <c r="AH42" i="51"/>
  <c r="AK42" i="51"/>
  <c r="AG42" i="51"/>
  <c r="AW45" i="51"/>
  <c r="AS45" i="51"/>
  <c r="AZ45" i="51"/>
  <c r="AV45" i="51"/>
  <c r="AY45" i="51"/>
  <c r="AU45" i="51"/>
  <c r="AX45" i="51"/>
  <c r="AT45" i="51"/>
  <c r="BJ48" i="51"/>
  <c r="BF48" i="51"/>
  <c r="BM48" i="51"/>
  <c r="BI48" i="51"/>
  <c r="BL48" i="51"/>
  <c r="BH48" i="51"/>
  <c r="BK48" i="51"/>
  <c r="BG48" i="51"/>
  <c r="J52" i="51"/>
  <c r="F52" i="51"/>
  <c r="M52" i="51"/>
  <c r="I52" i="51"/>
  <c r="L52" i="51"/>
  <c r="H52" i="51"/>
  <c r="K52" i="51"/>
  <c r="G52" i="51"/>
  <c r="W5" i="52"/>
  <c r="S5" i="52"/>
  <c r="Z5" i="52"/>
  <c r="V5" i="52"/>
  <c r="Y5" i="52"/>
  <c r="U5" i="52"/>
  <c r="X5" i="52"/>
  <c r="T5" i="52"/>
  <c r="W9" i="52"/>
  <c r="S9" i="52"/>
  <c r="Z9" i="52"/>
  <c r="V9" i="52"/>
  <c r="Y9" i="52"/>
  <c r="U9" i="52"/>
  <c r="X9" i="52"/>
  <c r="T9" i="52"/>
  <c r="W13" i="52"/>
  <c r="S13" i="52"/>
  <c r="Z13" i="52"/>
  <c r="V13" i="52"/>
  <c r="Y13" i="52"/>
  <c r="U13" i="52"/>
  <c r="X13" i="52"/>
  <c r="T13" i="52"/>
  <c r="W17" i="52"/>
  <c r="S17" i="52"/>
  <c r="Z17" i="52"/>
  <c r="V17" i="52"/>
  <c r="Y17" i="52"/>
  <c r="U17" i="52"/>
  <c r="X17" i="52"/>
  <c r="T17" i="52"/>
  <c r="W21" i="52"/>
  <c r="S21" i="52"/>
  <c r="Z21" i="52"/>
  <c r="V21" i="52"/>
  <c r="Y21" i="52"/>
  <c r="U21" i="52"/>
  <c r="X21" i="52"/>
  <c r="T21" i="52"/>
  <c r="W25" i="52"/>
  <c r="S25" i="52"/>
  <c r="Z25" i="52"/>
  <c r="V25" i="52"/>
  <c r="Y25" i="52"/>
  <c r="U25" i="52"/>
  <c r="X25" i="52"/>
  <c r="T25" i="52"/>
  <c r="W29" i="52"/>
  <c r="S29" i="52"/>
  <c r="Z29" i="52"/>
  <c r="V29" i="52"/>
  <c r="Y29" i="52"/>
  <c r="U29" i="52"/>
  <c r="X29" i="52"/>
  <c r="T29" i="52"/>
  <c r="AJ32" i="52"/>
  <c r="AF32" i="52"/>
  <c r="AM32" i="52"/>
  <c r="AI32" i="52"/>
  <c r="AH32" i="52"/>
  <c r="AG32" i="52"/>
  <c r="AL32" i="52"/>
  <c r="AK32" i="52"/>
  <c r="K35" i="52"/>
  <c r="G35" i="52"/>
  <c r="J35" i="52"/>
  <c r="F35" i="52"/>
  <c r="H35" i="52"/>
  <c r="M35" i="52"/>
  <c r="L35" i="52"/>
  <c r="I35" i="52"/>
  <c r="AK37" i="52"/>
  <c r="AG37" i="52"/>
  <c r="AJ37" i="52"/>
  <c r="AF37" i="52"/>
  <c r="AH37" i="52"/>
  <c r="AM37" i="52"/>
  <c r="AL37" i="52"/>
  <c r="AI37" i="52"/>
  <c r="AJ40" i="52"/>
  <c r="AF40" i="52"/>
  <c r="AM40" i="52"/>
  <c r="AI40" i="52"/>
  <c r="AH40" i="52"/>
  <c r="AG40" i="52"/>
  <c r="AL40" i="52"/>
  <c r="AK40" i="52"/>
  <c r="K43" i="52"/>
  <c r="G43" i="52"/>
  <c r="J43" i="52"/>
  <c r="F43" i="52"/>
  <c r="H43" i="52"/>
  <c r="M43" i="52"/>
  <c r="L43" i="52"/>
  <c r="I43" i="52"/>
  <c r="AK45" i="52"/>
  <c r="AG45" i="52"/>
  <c r="AJ45" i="52"/>
  <c r="AF45" i="52"/>
  <c r="AH45" i="52"/>
  <c r="AM45" i="52"/>
  <c r="AL45" i="52"/>
  <c r="AI45" i="52"/>
  <c r="AJ48" i="52"/>
  <c r="AF48" i="52"/>
  <c r="AM48" i="52"/>
  <c r="AI48" i="52"/>
  <c r="AH48" i="52"/>
  <c r="AG48" i="52"/>
  <c r="AL48" i="52"/>
  <c r="AK48" i="52"/>
  <c r="K51" i="52"/>
  <c r="G51" i="52"/>
  <c r="J51" i="52"/>
  <c r="F51" i="52"/>
  <c r="H51" i="52"/>
  <c r="M51" i="52"/>
  <c r="L51" i="52"/>
  <c r="I51" i="52"/>
  <c r="G112" i="34"/>
  <c r="H112" i="34"/>
  <c r="G144" i="34"/>
  <c r="H144" i="34"/>
  <c r="G176" i="34"/>
  <c r="H176" i="34"/>
  <c r="Z4" i="51"/>
  <c r="V4" i="51"/>
  <c r="Y4" i="51"/>
  <c r="U4" i="51"/>
  <c r="W4" i="51"/>
  <c r="T4" i="51"/>
  <c r="S4" i="51"/>
  <c r="X4" i="51"/>
  <c r="BZ6" i="51"/>
  <c r="BV6" i="51"/>
  <c r="BY6" i="51"/>
  <c r="BU6" i="51"/>
  <c r="BW6" i="51"/>
  <c r="BT6" i="51"/>
  <c r="BS6" i="51"/>
  <c r="BX6" i="51"/>
  <c r="AZ9" i="51"/>
  <c r="AV9" i="51"/>
  <c r="AY9" i="51"/>
  <c r="AU9" i="51"/>
  <c r="AW9" i="51"/>
  <c r="AT9" i="51"/>
  <c r="AS9" i="51"/>
  <c r="AX9" i="51"/>
  <c r="Z12" i="51"/>
  <c r="V12" i="51"/>
  <c r="Y12" i="51"/>
  <c r="U12" i="51"/>
  <c r="W12" i="51"/>
  <c r="T12" i="51"/>
  <c r="S12" i="51"/>
  <c r="X12" i="51"/>
  <c r="BZ14" i="51"/>
  <c r="BV14" i="51"/>
  <c r="BY14" i="51"/>
  <c r="BU14" i="51"/>
  <c r="BW14" i="51"/>
  <c r="BT14" i="51"/>
  <c r="BS14" i="51"/>
  <c r="BX14" i="51"/>
  <c r="AZ17" i="51"/>
  <c r="AV17" i="51"/>
  <c r="AY17" i="51"/>
  <c r="AU17" i="51"/>
  <c r="AW17" i="51"/>
  <c r="AT17" i="51"/>
  <c r="AS17" i="51"/>
  <c r="AX17" i="51"/>
  <c r="Z20" i="51"/>
  <c r="V20" i="51"/>
  <c r="Y20" i="51"/>
  <c r="U20" i="51"/>
  <c r="W20" i="51"/>
  <c r="T20" i="51"/>
  <c r="S20" i="51"/>
  <c r="X20" i="51"/>
  <c r="BZ22" i="51"/>
  <c r="BV22" i="51"/>
  <c r="BY22" i="51"/>
  <c r="BU22" i="51"/>
  <c r="BW22" i="51"/>
  <c r="BT22" i="51"/>
  <c r="BS22" i="51"/>
  <c r="BX22" i="51"/>
  <c r="AZ25" i="51"/>
  <c r="AV25" i="51"/>
  <c r="AY25" i="51"/>
  <c r="AU25" i="51"/>
  <c r="AW25" i="51"/>
  <c r="AT25" i="51"/>
  <c r="AS25" i="51"/>
  <c r="AX25" i="51"/>
  <c r="AZ28" i="51"/>
  <c r="AV28" i="51"/>
  <c r="AY28" i="51"/>
  <c r="AU28" i="51"/>
  <c r="AX28" i="51"/>
  <c r="AT28" i="51"/>
  <c r="AW28" i="51"/>
  <c r="AS28" i="51"/>
  <c r="BM31" i="51"/>
  <c r="BI31" i="51"/>
  <c r="BL31" i="51"/>
  <c r="BH31" i="51"/>
  <c r="BK31" i="51"/>
  <c r="BG31" i="51"/>
  <c r="BJ31" i="51"/>
  <c r="BF31" i="51"/>
  <c r="M35" i="51"/>
  <c r="I35" i="51"/>
  <c r="L35" i="51"/>
  <c r="H35" i="51"/>
  <c r="K35" i="51"/>
  <c r="G35" i="51"/>
  <c r="J35" i="51"/>
  <c r="F35" i="51"/>
  <c r="Z38" i="51"/>
  <c r="V38" i="51"/>
  <c r="Y38" i="51"/>
  <c r="U38" i="51"/>
  <c r="X38" i="51"/>
  <c r="T38" i="51"/>
  <c r="W38" i="51"/>
  <c r="S38" i="51"/>
  <c r="AM41" i="51"/>
  <c r="AI41" i="51"/>
  <c r="AL41" i="51"/>
  <c r="AH41" i="51"/>
  <c r="AK41" i="51"/>
  <c r="AG41" i="51"/>
  <c r="AF41" i="51"/>
  <c r="AJ41" i="51"/>
  <c r="AZ44" i="51"/>
  <c r="AV44" i="51"/>
  <c r="AY44" i="51"/>
  <c r="AU44" i="51"/>
  <c r="AX44" i="51"/>
  <c r="AT44" i="51"/>
  <c r="AW44" i="51"/>
  <c r="AS44" i="51"/>
  <c r="BM47" i="51"/>
  <c r="BI47" i="51"/>
  <c r="BL47" i="51"/>
  <c r="BH47" i="51"/>
  <c r="BK47" i="51"/>
  <c r="BG47" i="51"/>
  <c r="BJ47" i="51"/>
  <c r="BF47" i="51"/>
  <c r="M51" i="51"/>
  <c r="I51" i="51"/>
  <c r="L51" i="51"/>
  <c r="H51" i="51"/>
  <c r="K51" i="51"/>
  <c r="G51" i="51"/>
  <c r="J51" i="51"/>
  <c r="F51" i="51"/>
  <c r="Z4" i="52"/>
  <c r="V4" i="52"/>
  <c r="Y4" i="52"/>
  <c r="U4" i="52"/>
  <c r="X4" i="52"/>
  <c r="T4" i="52"/>
  <c r="W4" i="52"/>
  <c r="S4" i="52"/>
  <c r="Z8" i="52"/>
  <c r="V8" i="52"/>
  <c r="Y8" i="52"/>
  <c r="U8" i="52"/>
  <c r="X8" i="52"/>
  <c r="T8" i="52"/>
  <c r="W8" i="52"/>
  <c r="S8" i="52"/>
  <c r="Z12" i="52"/>
  <c r="V12" i="52"/>
  <c r="Y12" i="52"/>
  <c r="U12" i="52"/>
  <c r="X12" i="52"/>
  <c r="T12" i="52"/>
  <c r="W12" i="52"/>
  <c r="S12" i="52"/>
  <c r="Z16" i="52"/>
  <c r="V16" i="52"/>
  <c r="Y16" i="52"/>
  <c r="U16" i="52"/>
  <c r="X16" i="52"/>
  <c r="T16" i="52"/>
  <c r="W16" i="52"/>
  <c r="S16" i="52"/>
  <c r="Z20" i="52"/>
  <c r="V20" i="52"/>
  <c r="Y20" i="52"/>
  <c r="U20" i="52"/>
  <c r="X20" i="52"/>
  <c r="T20" i="52"/>
  <c r="W20" i="52"/>
  <c r="S20" i="52"/>
  <c r="Z24" i="52"/>
  <c r="V24" i="52"/>
  <c r="Y24" i="52"/>
  <c r="U24" i="52"/>
  <c r="X24" i="52"/>
  <c r="T24" i="52"/>
  <c r="W24" i="52"/>
  <c r="S24" i="52"/>
  <c r="Z28" i="52"/>
  <c r="V28" i="52"/>
  <c r="Y28" i="52"/>
  <c r="U28" i="52"/>
  <c r="X28" i="52"/>
  <c r="T28" i="52"/>
  <c r="W28" i="52"/>
  <c r="S28" i="52"/>
  <c r="T13" i="34"/>
  <c r="T21" i="34"/>
  <c r="T29" i="34"/>
  <c r="T37" i="34"/>
  <c r="T45" i="34"/>
  <c r="T53" i="34"/>
  <c r="T61" i="34"/>
  <c r="T69" i="34"/>
  <c r="T77" i="34"/>
  <c r="T85" i="34"/>
  <c r="T93" i="34"/>
  <c r="T101" i="34"/>
  <c r="H109" i="34"/>
  <c r="G109" i="34"/>
  <c r="H141" i="34"/>
  <c r="G141" i="34"/>
  <c r="H173" i="34"/>
  <c r="G173" i="34"/>
  <c r="G298" i="34"/>
  <c r="H298" i="34"/>
  <c r="AL5" i="51"/>
  <c r="AH5" i="51"/>
  <c r="AK5" i="51"/>
  <c r="AG5" i="51"/>
  <c r="AM5" i="51"/>
  <c r="AJ5" i="51"/>
  <c r="AI5" i="51"/>
  <c r="AF5" i="51"/>
  <c r="L8" i="51"/>
  <c r="H8" i="51"/>
  <c r="K8" i="51"/>
  <c r="G8" i="51"/>
  <c r="M8" i="51"/>
  <c r="J8" i="51"/>
  <c r="I8" i="51"/>
  <c r="F8" i="51"/>
  <c r="BL10" i="51"/>
  <c r="BH10" i="51"/>
  <c r="BK10" i="51"/>
  <c r="BG10" i="51"/>
  <c r="BM10" i="51"/>
  <c r="BJ10" i="51"/>
  <c r="BI10" i="51"/>
  <c r="BF10" i="51"/>
  <c r="AL13" i="51"/>
  <c r="AH13" i="51"/>
  <c r="AK13" i="51"/>
  <c r="AG13" i="51"/>
  <c r="AM13" i="51"/>
  <c r="AJ13" i="51"/>
  <c r="AI13" i="51"/>
  <c r="AF13" i="51"/>
  <c r="L16" i="51"/>
  <c r="H16" i="51"/>
  <c r="K16" i="51"/>
  <c r="G16" i="51"/>
  <c r="M16" i="51"/>
  <c r="J16" i="51"/>
  <c r="I16" i="51"/>
  <c r="F16" i="51"/>
  <c r="BL18" i="51"/>
  <c r="BH18" i="51"/>
  <c r="BK18" i="51"/>
  <c r="BG18" i="51"/>
  <c r="BM18" i="51"/>
  <c r="BJ18" i="51"/>
  <c r="BI18" i="51"/>
  <c r="BF18" i="51"/>
  <c r="AL21" i="51"/>
  <c r="AH21" i="51"/>
  <c r="AK21" i="51"/>
  <c r="AG21" i="51"/>
  <c r="AM21" i="51"/>
  <c r="AJ21" i="51"/>
  <c r="AI21" i="51"/>
  <c r="AF21" i="51"/>
  <c r="L24" i="51"/>
  <c r="H24" i="51"/>
  <c r="K24" i="51"/>
  <c r="G24" i="51"/>
  <c r="M24" i="51"/>
  <c r="J24" i="51"/>
  <c r="I24" i="51"/>
  <c r="F24" i="51"/>
  <c r="BL26" i="51"/>
  <c r="BH26" i="51"/>
  <c r="BK26" i="51"/>
  <c r="BG26" i="51"/>
  <c r="BM26" i="51"/>
  <c r="BJ26" i="51"/>
  <c r="BI26" i="51"/>
  <c r="BF26" i="51"/>
  <c r="L30" i="51"/>
  <c r="H30" i="51"/>
  <c r="K30" i="51"/>
  <c r="G30" i="51"/>
  <c r="J30" i="51"/>
  <c r="F30" i="51"/>
  <c r="M30" i="51"/>
  <c r="I30" i="51"/>
  <c r="Y33" i="51"/>
  <c r="U33" i="51"/>
  <c r="X33" i="51"/>
  <c r="T33" i="51"/>
  <c r="W33" i="51"/>
  <c r="S33" i="51"/>
  <c r="V33" i="51"/>
  <c r="Z33" i="51"/>
  <c r="AL36" i="51"/>
  <c r="AH36" i="51"/>
  <c r="AK36" i="51"/>
  <c r="AG36" i="51"/>
  <c r="AJ36" i="51"/>
  <c r="AF36" i="51"/>
  <c r="AM36" i="51"/>
  <c r="AI36" i="51"/>
  <c r="AY39" i="51"/>
  <c r="AU39" i="51"/>
  <c r="AX39" i="51"/>
  <c r="AT39" i="51"/>
  <c r="AW39" i="51"/>
  <c r="AS39" i="51"/>
  <c r="AZ39" i="51"/>
  <c r="AV39" i="51"/>
  <c r="BL42" i="51"/>
  <c r="BH42" i="51"/>
  <c r="BK42" i="51"/>
  <c r="BG42" i="51"/>
  <c r="BJ42" i="51"/>
  <c r="BF42" i="51"/>
  <c r="BM42" i="51"/>
  <c r="BI42" i="51"/>
  <c r="L46" i="51"/>
  <c r="H46" i="51"/>
  <c r="K46" i="51"/>
  <c r="G46" i="51"/>
  <c r="J46" i="51"/>
  <c r="F46" i="51"/>
  <c r="M46" i="51"/>
  <c r="I46" i="51"/>
  <c r="Y49" i="51"/>
  <c r="U49" i="51"/>
  <c r="X49" i="51"/>
  <c r="T49" i="51"/>
  <c r="W49" i="51"/>
  <c r="S49" i="51"/>
  <c r="V49" i="51"/>
  <c r="Z49" i="51"/>
  <c r="AL52" i="51"/>
  <c r="AH52" i="51"/>
  <c r="AK52" i="51"/>
  <c r="AG52" i="51"/>
  <c r="AJ52" i="51"/>
  <c r="AF52" i="51"/>
  <c r="AM52" i="51"/>
  <c r="AI52" i="51"/>
  <c r="Y7" i="52"/>
  <c r="U7" i="52"/>
  <c r="X7" i="52"/>
  <c r="T7" i="52"/>
  <c r="W7" i="52"/>
  <c r="S7" i="52"/>
  <c r="V7" i="52"/>
  <c r="Z7" i="52"/>
  <c r="Y11" i="52"/>
  <c r="U11" i="52"/>
  <c r="X11" i="52"/>
  <c r="T11" i="52"/>
  <c r="W11" i="52"/>
  <c r="S11" i="52"/>
  <c r="V11" i="52"/>
  <c r="Z11" i="52"/>
  <c r="Y15" i="52"/>
  <c r="U15" i="52"/>
  <c r="X15" i="52"/>
  <c r="T15" i="52"/>
  <c r="W15" i="52"/>
  <c r="S15" i="52"/>
  <c r="V15" i="52"/>
  <c r="Z15" i="52"/>
  <c r="Y19" i="52"/>
  <c r="U19" i="52"/>
  <c r="X19" i="52"/>
  <c r="T19" i="52"/>
  <c r="W19" i="52"/>
  <c r="S19" i="52"/>
  <c r="V19" i="52"/>
  <c r="Z19" i="52"/>
  <c r="Y23" i="52"/>
  <c r="U23" i="52"/>
  <c r="X23" i="52"/>
  <c r="T23" i="52"/>
  <c r="W23" i="52"/>
  <c r="S23" i="52"/>
  <c r="V23" i="52"/>
  <c r="Z23" i="52"/>
  <c r="Y27" i="52"/>
  <c r="U27" i="52"/>
  <c r="X27" i="52"/>
  <c r="T27" i="52"/>
  <c r="W27" i="52"/>
  <c r="S27" i="52"/>
  <c r="V27" i="52"/>
  <c r="Z27" i="52"/>
  <c r="S15" i="34"/>
  <c r="S23" i="34"/>
  <c r="S31" i="34"/>
  <c r="S39" i="34"/>
  <c r="S47" i="34"/>
  <c r="S55" i="34"/>
  <c r="S63" i="34"/>
  <c r="S71" i="34"/>
  <c r="S79" i="34"/>
  <c r="S87" i="34"/>
  <c r="S95" i="34"/>
  <c r="S103" i="34"/>
  <c r="G116" i="34"/>
  <c r="H116" i="34"/>
  <c r="S126" i="34"/>
  <c r="G148" i="34"/>
  <c r="H148" i="34"/>
  <c r="S158" i="34"/>
  <c r="G180" i="34"/>
  <c r="H180" i="34"/>
  <c r="BM33" i="52"/>
  <c r="BI33" i="52"/>
  <c r="BL33" i="52"/>
  <c r="BH33" i="52"/>
  <c r="BF33" i="52"/>
  <c r="BK33" i="52"/>
  <c r="BJ33" i="52"/>
  <c r="BG33" i="52"/>
  <c r="BM37" i="52"/>
  <c r="BI37" i="52"/>
  <c r="BL37" i="52"/>
  <c r="BH37" i="52"/>
  <c r="BF37" i="52"/>
  <c r="BK37" i="52"/>
  <c r="BJ37" i="52"/>
  <c r="BG37" i="52"/>
  <c r="BM41" i="52"/>
  <c r="BI41" i="52"/>
  <c r="BL41" i="52"/>
  <c r="BH41" i="52"/>
  <c r="BF41" i="52"/>
  <c r="BK41" i="52"/>
  <c r="BJ41" i="52"/>
  <c r="BG41" i="52"/>
  <c r="BM45" i="52"/>
  <c r="BI45" i="52"/>
  <c r="BL45" i="52"/>
  <c r="BH45" i="52"/>
  <c r="BF45" i="52"/>
  <c r="BK45" i="52"/>
  <c r="BJ45" i="52"/>
  <c r="BG45" i="52"/>
  <c r="BM49" i="52"/>
  <c r="BI49" i="52"/>
  <c r="BL49" i="52"/>
  <c r="BH49" i="52"/>
  <c r="BF49" i="52"/>
  <c r="BK49" i="52"/>
  <c r="BJ49" i="52"/>
  <c r="BG49" i="52"/>
  <c r="H111" i="34"/>
  <c r="G111" i="34"/>
  <c r="S121" i="34"/>
  <c r="H127" i="34"/>
  <c r="G127" i="34"/>
  <c r="S137" i="34"/>
  <c r="H143" i="34"/>
  <c r="G143" i="34"/>
  <c r="S153" i="34"/>
  <c r="H159" i="34"/>
  <c r="G159" i="34"/>
  <c r="S169" i="34"/>
  <c r="H175" i="34"/>
  <c r="G175" i="34"/>
  <c r="G304" i="34"/>
  <c r="H304" i="34"/>
  <c r="H393" i="34"/>
  <c r="G393" i="34"/>
  <c r="T469" i="34"/>
  <c r="S469" i="34"/>
  <c r="L32" i="52"/>
  <c r="H32" i="52"/>
  <c r="K32" i="52"/>
  <c r="G32" i="52"/>
  <c r="F32" i="52"/>
  <c r="M32" i="52"/>
  <c r="J32" i="52"/>
  <c r="I32" i="52"/>
  <c r="L36" i="52"/>
  <c r="H36" i="52"/>
  <c r="K36" i="52"/>
  <c r="G36" i="52"/>
  <c r="F36" i="52"/>
  <c r="M36" i="52"/>
  <c r="J36" i="52"/>
  <c r="I36" i="52"/>
  <c r="L40" i="52"/>
  <c r="H40" i="52"/>
  <c r="K40" i="52"/>
  <c r="G40" i="52"/>
  <c r="F40" i="52"/>
  <c r="M40" i="52"/>
  <c r="J40" i="52"/>
  <c r="I40" i="52"/>
  <c r="L44" i="52"/>
  <c r="H44" i="52"/>
  <c r="K44" i="52"/>
  <c r="G44" i="52"/>
  <c r="F44" i="52"/>
  <c r="M44" i="52"/>
  <c r="J44" i="52"/>
  <c r="I44" i="52"/>
  <c r="L48" i="52"/>
  <c r="H48" i="52"/>
  <c r="K48" i="52"/>
  <c r="G48" i="52"/>
  <c r="F48" i="52"/>
  <c r="M48" i="52"/>
  <c r="J48" i="52"/>
  <c r="I48" i="52"/>
  <c r="L52" i="52"/>
  <c r="H52" i="52"/>
  <c r="K52" i="52"/>
  <c r="G52" i="52"/>
  <c r="F52" i="52"/>
  <c r="M52" i="52"/>
  <c r="J52" i="52"/>
  <c r="I52" i="52"/>
  <c r="H10" i="34"/>
  <c r="G10" i="34"/>
  <c r="H14" i="34"/>
  <c r="G14" i="34"/>
  <c r="H18" i="34"/>
  <c r="G18" i="34"/>
  <c r="H22" i="34"/>
  <c r="G22" i="34"/>
  <c r="H26" i="34"/>
  <c r="G26" i="34"/>
  <c r="H30" i="34"/>
  <c r="G30" i="34"/>
  <c r="H34" i="34"/>
  <c r="G34" i="34"/>
  <c r="H38" i="34"/>
  <c r="G38" i="34"/>
  <c r="H42" i="34"/>
  <c r="G42" i="34"/>
  <c r="H46" i="34"/>
  <c r="G46" i="34"/>
  <c r="H50" i="34"/>
  <c r="G50" i="34"/>
  <c r="H54" i="34"/>
  <c r="G54" i="34"/>
  <c r="H58" i="34"/>
  <c r="G58" i="34"/>
  <c r="H62" i="34"/>
  <c r="G62" i="34"/>
  <c r="H66" i="34"/>
  <c r="G66" i="34"/>
  <c r="H70" i="34"/>
  <c r="G70" i="34"/>
  <c r="H74" i="34"/>
  <c r="G74" i="34"/>
  <c r="H78" i="34"/>
  <c r="G78" i="34"/>
  <c r="H82" i="34"/>
  <c r="G82" i="34"/>
  <c r="H86" i="34"/>
  <c r="G86" i="34"/>
  <c r="H90" i="34"/>
  <c r="G90" i="34"/>
  <c r="H94" i="34"/>
  <c r="G94" i="34"/>
  <c r="H98" i="34"/>
  <c r="G98" i="34"/>
  <c r="H102" i="34"/>
  <c r="G102" i="34"/>
  <c r="H106" i="34"/>
  <c r="G106" i="34"/>
  <c r="S116" i="34"/>
  <c r="H122" i="34"/>
  <c r="G122" i="34"/>
  <c r="S132" i="34"/>
  <c r="H138" i="34"/>
  <c r="G138" i="34"/>
  <c r="S148" i="34"/>
  <c r="H154" i="34"/>
  <c r="G154" i="34"/>
  <c r="S164" i="34"/>
  <c r="H170" i="34"/>
  <c r="G170" i="34"/>
  <c r="S180" i="34"/>
  <c r="S185" i="34"/>
  <c r="S193" i="34"/>
  <c r="S201" i="34"/>
  <c r="S209" i="34"/>
  <c r="S217" i="34"/>
  <c r="S225" i="34"/>
  <c r="S233" i="34"/>
  <c r="S241" i="34"/>
  <c r="S249" i="34"/>
  <c r="S257" i="34"/>
  <c r="S265" i="34"/>
  <c r="S273" i="34"/>
  <c r="S281" i="34"/>
  <c r="S289" i="34"/>
  <c r="G299" i="34"/>
  <c r="H299" i="34"/>
  <c r="H187" i="34"/>
  <c r="G187" i="34"/>
  <c r="H191" i="34"/>
  <c r="G191" i="34"/>
  <c r="H195" i="34"/>
  <c r="G195" i="34"/>
  <c r="H199" i="34"/>
  <c r="G199" i="34"/>
  <c r="H203" i="34"/>
  <c r="G203" i="34"/>
  <c r="H207" i="34"/>
  <c r="G207" i="34"/>
  <c r="H211" i="34"/>
  <c r="G211" i="34"/>
  <c r="H215" i="34"/>
  <c r="G215" i="34"/>
  <c r="H219" i="34"/>
  <c r="G219" i="34"/>
  <c r="H223" i="34"/>
  <c r="G223" i="34"/>
  <c r="H227" i="34"/>
  <c r="G227" i="34"/>
  <c r="H231" i="34"/>
  <c r="G231" i="34"/>
  <c r="H235" i="34"/>
  <c r="G235" i="34"/>
  <c r="H239" i="34"/>
  <c r="G239" i="34"/>
  <c r="H243" i="34"/>
  <c r="G243" i="34"/>
  <c r="H247" i="34"/>
  <c r="G247" i="34"/>
  <c r="H251" i="34"/>
  <c r="G251" i="34"/>
  <c r="H255" i="34"/>
  <c r="G255" i="34"/>
  <c r="H259" i="34"/>
  <c r="G259" i="34"/>
  <c r="H263" i="34"/>
  <c r="G263" i="34"/>
  <c r="H267" i="34"/>
  <c r="G267" i="34"/>
  <c r="H271" i="34"/>
  <c r="G271" i="34"/>
  <c r="H275" i="34"/>
  <c r="G275" i="34"/>
  <c r="H279" i="34"/>
  <c r="G279" i="34"/>
  <c r="H283" i="34"/>
  <c r="G283" i="34"/>
  <c r="H287" i="34"/>
  <c r="G287" i="34"/>
  <c r="H291" i="34"/>
  <c r="G291" i="34"/>
  <c r="H295" i="34"/>
  <c r="G295" i="34"/>
  <c r="T307" i="34"/>
  <c r="T363" i="34"/>
  <c r="S363" i="34"/>
  <c r="T109" i="34"/>
  <c r="T113" i="34"/>
  <c r="T117" i="34"/>
  <c r="T121" i="34"/>
  <c r="T125" i="34"/>
  <c r="T129" i="34"/>
  <c r="T133" i="34"/>
  <c r="T137" i="34"/>
  <c r="T141" i="34"/>
  <c r="T145" i="34"/>
  <c r="T149" i="34"/>
  <c r="T153" i="34"/>
  <c r="T157" i="34"/>
  <c r="T161" i="34"/>
  <c r="T165" i="34"/>
  <c r="T169" i="34"/>
  <c r="T173" i="34"/>
  <c r="T177" i="34"/>
  <c r="T181" i="34"/>
  <c r="T185" i="34"/>
  <c r="T189" i="34"/>
  <c r="T193" i="34"/>
  <c r="T197" i="34"/>
  <c r="T201" i="34"/>
  <c r="T205" i="34"/>
  <c r="T209" i="34"/>
  <c r="T213" i="34"/>
  <c r="T217" i="34"/>
  <c r="T221" i="34"/>
  <c r="T225" i="34"/>
  <c r="T229" i="34"/>
  <c r="T233" i="34"/>
  <c r="T237" i="34"/>
  <c r="T241" i="34"/>
  <c r="T245" i="34"/>
  <c r="T249" i="34"/>
  <c r="T253" i="34"/>
  <c r="T257" i="34"/>
  <c r="T261" i="34"/>
  <c r="T265" i="34"/>
  <c r="T269" i="34"/>
  <c r="T273" i="34"/>
  <c r="T277" i="34"/>
  <c r="T281" i="34"/>
  <c r="T285" i="34"/>
  <c r="T289" i="34"/>
  <c r="T293" i="34"/>
  <c r="S295" i="34"/>
  <c r="G309" i="34"/>
  <c r="H309" i="34"/>
  <c r="T322" i="34"/>
  <c r="S322" i="34"/>
  <c r="H377" i="34"/>
  <c r="G377" i="34"/>
  <c r="T387" i="34"/>
  <c r="S387" i="34"/>
  <c r="S304" i="34"/>
  <c r="S308" i="34"/>
  <c r="T323" i="34"/>
  <c r="S323" i="34"/>
  <c r="T331" i="34"/>
  <c r="S331" i="34"/>
  <c r="T339" i="34"/>
  <c r="S339" i="34"/>
  <c r="T347" i="34"/>
  <c r="S347" i="34"/>
  <c r="T355" i="34"/>
  <c r="S355" i="34"/>
  <c r="G376" i="34"/>
  <c r="H376" i="34"/>
  <c r="T386" i="34"/>
  <c r="S386" i="34"/>
  <c r="G399" i="34"/>
  <c r="H399" i="34"/>
  <c r="H404" i="34"/>
  <c r="G404" i="34"/>
  <c r="H432" i="34"/>
  <c r="G432" i="34"/>
  <c r="T316" i="34"/>
  <c r="H365" i="34"/>
  <c r="G365" i="34"/>
  <c r="T375" i="34"/>
  <c r="S375" i="34"/>
  <c r="H422" i="34"/>
  <c r="G422" i="34"/>
  <c r="G427" i="34"/>
  <c r="H427" i="34"/>
  <c r="G475" i="34"/>
  <c r="H475" i="34"/>
  <c r="T485" i="34"/>
  <c r="S485" i="34"/>
  <c r="T332" i="34"/>
  <c r="S332" i="34"/>
  <c r="T340" i="34"/>
  <c r="S340" i="34"/>
  <c r="T348" i="34"/>
  <c r="S348" i="34"/>
  <c r="T356" i="34"/>
  <c r="S356" i="34"/>
  <c r="G380" i="34"/>
  <c r="H380" i="34"/>
  <c r="T390" i="34"/>
  <c r="S390" i="34"/>
  <c r="S420" i="34"/>
  <c r="T420" i="34"/>
  <c r="T450" i="34"/>
  <c r="S450" i="34"/>
  <c r="H472" i="34"/>
  <c r="G472" i="34"/>
  <c r="T482" i="34"/>
  <c r="S482" i="34"/>
  <c r="S361" i="34"/>
  <c r="T361" i="34"/>
  <c r="H367" i="34"/>
  <c r="G367" i="34"/>
  <c r="S377" i="34"/>
  <c r="T377" i="34"/>
  <c r="H383" i="34"/>
  <c r="G383" i="34"/>
  <c r="S393" i="34"/>
  <c r="T393" i="34"/>
  <c r="T397" i="34"/>
  <c r="S397" i="34"/>
  <c r="S402" i="34"/>
  <c r="T402" i="34"/>
  <c r="G414" i="34"/>
  <c r="H414" i="34"/>
  <c r="G419" i="34"/>
  <c r="H419" i="34"/>
  <c r="H424" i="34"/>
  <c r="G424" i="34"/>
  <c r="T441" i="34"/>
  <c r="S441" i="34"/>
  <c r="G463" i="34"/>
  <c r="H463" i="34"/>
  <c r="T473" i="34"/>
  <c r="S473" i="34"/>
  <c r="G495" i="34"/>
  <c r="H495" i="34"/>
  <c r="H311" i="34"/>
  <c r="G311" i="34"/>
  <c r="H315" i="34"/>
  <c r="G315" i="34"/>
  <c r="H319" i="34"/>
  <c r="G319" i="34"/>
  <c r="H323" i="34"/>
  <c r="G323" i="34"/>
  <c r="H327" i="34"/>
  <c r="G327" i="34"/>
  <c r="H331" i="34"/>
  <c r="G331" i="34"/>
  <c r="H335" i="34"/>
  <c r="G335" i="34"/>
  <c r="H339" i="34"/>
  <c r="G339" i="34"/>
  <c r="H343" i="34"/>
  <c r="G343" i="34"/>
  <c r="H347" i="34"/>
  <c r="G347" i="34"/>
  <c r="H351" i="34"/>
  <c r="G351" i="34"/>
  <c r="H355" i="34"/>
  <c r="G355" i="34"/>
  <c r="H359" i="34"/>
  <c r="G359" i="34"/>
  <c r="H362" i="34"/>
  <c r="G362" i="34"/>
  <c r="T372" i="34"/>
  <c r="S372" i="34"/>
  <c r="H378" i="34"/>
  <c r="G378" i="34"/>
  <c r="T388" i="34"/>
  <c r="S388" i="34"/>
  <c r="H394" i="34"/>
  <c r="G394" i="34"/>
  <c r="S396" i="34"/>
  <c r="T396" i="34"/>
  <c r="T401" i="34"/>
  <c r="S401" i="34"/>
  <c r="T406" i="34"/>
  <c r="S406" i="34"/>
  <c r="H418" i="34"/>
  <c r="G418" i="34"/>
  <c r="G423" i="34"/>
  <c r="H423" i="34"/>
  <c r="H428" i="34"/>
  <c r="G428" i="34"/>
  <c r="H452" i="34"/>
  <c r="G452" i="34"/>
  <c r="T462" i="34"/>
  <c r="S462" i="34"/>
  <c r="H484" i="34"/>
  <c r="G484" i="34"/>
  <c r="T494" i="34"/>
  <c r="S494" i="34"/>
  <c r="S436" i="34"/>
  <c r="T436" i="34"/>
  <c r="H442" i="34"/>
  <c r="G442" i="34"/>
  <c r="S452" i="34"/>
  <c r="T452" i="34"/>
  <c r="H458" i="34"/>
  <c r="G458" i="34"/>
  <c r="S468" i="34"/>
  <c r="T468" i="34"/>
  <c r="H474" i="34"/>
  <c r="G474" i="34"/>
  <c r="S484" i="34"/>
  <c r="T484" i="34"/>
  <c r="H490" i="34"/>
  <c r="G490" i="34"/>
  <c r="T399" i="34"/>
  <c r="S399" i="34"/>
  <c r="H405" i="34"/>
  <c r="G405" i="34"/>
  <c r="T415" i="34"/>
  <c r="S415" i="34"/>
  <c r="H421" i="34"/>
  <c r="G421" i="34"/>
  <c r="S431" i="34"/>
  <c r="T431" i="34"/>
  <c r="H437" i="34"/>
  <c r="G437" i="34"/>
  <c r="S447" i="34"/>
  <c r="T447" i="34"/>
  <c r="H453" i="34"/>
  <c r="G453" i="34"/>
  <c r="S463" i="34"/>
  <c r="T463" i="34"/>
  <c r="H469" i="34"/>
  <c r="G469" i="34"/>
  <c r="S479" i="34"/>
  <c r="T479" i="34"/>
  <c r="H485" i="34"/>
  <c r="G485" i="34"/>
  <c r="S495" i="34"/>
  <c r="T495" i="34"/>
  <c r="P19" i="37" a="1"/>
  <c r="P19" i="37" s="1"/>
  <c r="N19" i="37" a="1"/>
  <c r="N19" i="37" s="1"/>
  <c r="M22" i="37"/>
  <c r="G8" i="37"/>
  <c r="J7" i="37" a="1"/>
  <c r="J7" i="37" s="1"/>
  <c r="H7" i="37" a="1"/>
  <c r="H7" i="37" s="1"/>
  <c r="Q5" i="37"/>
  <c r="C21" i="37" s="1"/>
  <c r="X28" i="51"/>
  <c r="T28" i="51"/>
  <c r="W28" i="51"/>
  <c r="S28" i="51"/>
  <c r="Z28" i="51"/>
  <c r="V28" i="51"/>
  <c r="Y28" i="51"/>
  <c r="U28" i="51"/>
  <c r="W27" i="51"/>
  <c r="S27" i="51"/>
  <c r="Z27" i="51"/>
  <c r="V27" i="51"/>
  <c r="X27" i="51"/>
  <c r="U27" i="51"/>
  <c r="T27" i="51"/>
  <c r="Y27" i="51"/>
  <c r="AX42" i="51"/>
  <c r="AT42" i="51"/>
  <c r="AW42" i="51"/>
  <c r="AS42" i="51"/>
  <c r="AZ42" i="51"/>
  <c r="AV42" i="51"/>
  <c r="AY42" i="51"/>
  <c r="AU42" i="51"/>
  <c r="X5" i="51"/>
  <c r="T5" i="51"/>
  <c r="W5" i="51"/>
  <c r="S5" i="51"/>
  <c r="U5" i="51"/>
  <c r="Z5" i="51"/>
  <c r="Y5" i="51"/>
  <c r="V5" i="51"/>
  <c r="AX10" i="51"/>
  <c r="AT10" i="51"/>
  <c r="AW10" i="51"/>
  <c r="AS10" i="51"/>
  <c r="AU10" i="51"/>
  <c r="AZ10" i="51"/>
  <c r="AY10" i="51"/>
  <c r="AV10" i="51"/>
  <c r="X21" i="51"/>
  <c r="T21" i="51"/>
  <c r="W21" i="51"/>
  <c r="S21" i="51"/>
  <c r="U21" i="51"/>
  <c r="Z21" i="51"/>
  <c r="Y21" i="51"/>
  <c r="V21" i="51"/>
  <c r="AX26" i="51"/>
  <c r="AT26" i="51"/>
  <c r="AW26" i="51"/>
  <c r="AS26" i="51"/>
  <c r="AU26" i="51"/>
  <c r="AZ26" i="51"/>
  <c r="AY26" i="51"/>
  <c r="AV26" i="51"/>
  <c r="AX38" i="51"/>
  <c r="AT38" i="51"/>
  <c r="AW38" i="51"/>
  <c r="AS38" i="51"/>
  <c r="AZ38" i="51"/>
  <c r="AV38" i="51"/>
  <c r="AY38" i="51"/>
  <c r="AU38" i="51"/>
  <c r="K41" i="51"/>
  <c r="G41" i="51"/>
  <c r="J41" i="51"/>
  <c r="F41" i="51"/>
  <c r="M41" i="51"/>
  <c r="I41" i="51"/>
  <c r="L41" i="51"/>
  <c r="H41" i="51"/>
  <c r="J42" i="52"/>
  <c r="F42" i="52"/>
  <c r="M42" i="52"/>
  <c r="I42" i="52"/>
  <c r="K42" i="52"/>
  <c r="H42" i="52"/>
  <c r="G42" i="52"/>
  <c r="L42" i="52"/>
  <c r="BK51" i="52"/>
  <c r="BG51" i="52"/>
  <c r="BJ51" i="52"/>
  <c r="BF51" i="52"/>
  <c r="BI51" i="52"/>
  <c r="BH51" i="52"/>
  <c r="BM51" i="52"/>
  <c r="BL51" i="52"/>
  <c r="H153" i="34"/>
  <c r="G153" i="34"/>
  <c r="J7" i="51"/>
  <c r="F7" i="51"/>
  <c r="M7" i="51"/>
  <c r="I7" i="51"/>
  <c r="G7" i="51"/>
  <c r="L7" i="51"/>
  <c r="K7" i="51"/>
  <c r="H7" i="51"/>
  <c r="AJ12" i="51"/>
  <c r="AF12" i="51"/>
  <c r="AM12" i="51"/>
  <c r="AI12" i="51"/>
  <c r="AG12" i="51"/>
  <c r="AL12" i="51"/>
  <c r="AK12" i="51"/>
  <c r="AH12" i="51"/>
  <c r="BJ17" i="51"/>
  <c r="BF17" i="51"/>
  <c r="BM17" i="51"/>
  <c r="BI17" i="51"/>
  <c r="BG17" i="51"/>
  <c r="BL17" i="51"/>
  <c r="BK17" i="51"/>
  <c r="BH17" i="51"/>
  <c r="J23" i="51"/>
  <c r="F23" i="51"/>
  <c r="M23" i="51"/>
  <c r="I23" i="51"/>
  <c r="G23" i="51"/>
  <c r="L23" i="51"/>
  <c r="K23" i="51"/>
  <c r="H23" i="51"/>
  <c r="AX50" i="51"/>
  <c r="AT50" i="51"/>
  <c r="AW50" i="51"/>
  <c r="AS50" i="51"/>
  <c r="AZ50" i="51"/>
  <c r="AV50" i="51"/>
  <c r="AU50" i="51"/>
  <c r="AY50" i="51"/>
  <c r="K53" i="51"/>
  <c r="G53" i="51"/>
  <c r="J53" i="51"/>
  <c r="F53" i="51"/>
  <c r="M53" i="51"/>
  <c r="I53" i="51"/>
  <c r="H53" i="51"/>
  <c r="L53" i="51"/>
  <c r="W41" i="52"/>
  <c r="S41" i="52"/>
  <c r="Z41" i="52"/>
  <c r="V41" i="52"/>
  <c r="X41" i="52"/>
  <c r="U41" i="52"/>
  <c r="T41" i="52"/>
  <c r="Y41" i="52"/>
  <c r="H177" i="34"/>
  <c r="G177" i="34"/>
  <c r="BX5" i="51"/>
  <c r="BT5" i="51"/>
  <c r="BW5" i="51"/>
  <c r="BS5" i="51"/>
  <c r="BY5" i="51"/>
  <c r="BV5" i="51"/>
  <c r="BU5" i="51"/>
  <c r="BZ5" i="51"/>
  <c r="X11" i="51"/>
  <c r="T11" i="51"/>
  <c r="W11" i="51"/>
  <c r="S11" i="51"/>
  <c r="Y11" i="51"/>
  <c r="V11" i="51"/>
  <c r="U11" i="51"/>
  <c r="Z11" i="51"/>
  <c r="AX16" i="51"/>
  <c r="AT16" i="51"/>
  <c r="AW16" i="51"/>
  <c r="AS16" i="51"/>
  <c r="AY16" i="51"/>
  <c r="AV16" i="51"/>
  <c r="AU16" i="51"/>
  <c r="AZ16" i="51"/>
  <c r="BX21" i="51"/>
  <c r="BT21" i="51"/>
  <c r="BW21" i="51"/>
  <c r="BS21" i="51"/>
  <c r="BY21" i="51"/>
  <c r="BV21" i="51"/>
  <c r="BU21" i="51"/>
  <c r="BZ21" i="51"/>
  <c r="AK31" i="51"/>
  <c r="AG31" i="51"/>
  <c r="AJ31" i="51"/>
  <c r="AF31" i="51"/>
  <c r="AM31" i="51"/>
  <c r="AI31" i="51"/>
  <c r="AL31" i="51"/>
  <c r="AH31" i="51"/>
  <c r="BK45" i="51"/>
  <c r="BG45" i="51"/>
  <c r="BJ45" i="51"/>
  <c r="BF45" i="51"/>
  <c r="BM45" i="51"/>
  <c r="BI45" i="51"/>
  <c r="BL45" i="51"/>
  <c r="BH45" i="51"/>
  <c r="X48" i="51"/>
  <c r="T48" i="51"/>
  <c r="W48" i="51"/>
  <c r="S48" i="51"/>
  <c r="Z48" i="51"/>
  <c r="V48" i="51"/>
  <c r="Y48" i="51"/>
  <c r="U48" i="51"/>
  <c r="K7" i="52"/>
  <c r="G7" i="52"/>
  <c r="J7" i="52"/>
  <c r="F7" i="52"/>
  <c r="M7" i="52"/>
  <c r="I7" i="52"/>
  <c r="L7" i="52"/>
  <c r="H7" i="52"/>
  <c r="K15" i="52"/>
  <c r="G15" i="52"/>
  <c r="J15" i="52"/>
  <c r="F15" i="52"/>
  <c r="M15" i="52"/>
  <c r="I15" i="52"/>
  <c r="L15" i="52"/>
  <c r="H15" i="52"/>
  <c r="K23" i="52"/>
  <c r="G23" i="52"/>
  <c r="J23" i="52"/>
  <c r="F23" i="52"/>
  <c r="M23" i="52"/>
  <c r="I23" i="52"/>
  <c r="L23" i="52"/>
  <c r="H23" i="52"/>
  <c r="K31" i="52"/>
  <c r="G31" i="52"/>
  <c r="J31" i="52"/>
  <c r="H31" i="52"/>
  <c r="M31" i="52"/>
  <c r="F31" i="52"/>
  <c r="L31" i="52"/>
  <c r="I31" i="52"/>
  <c r="BK39" i="52"/>
  <c r="BG39" i="52"/>
  <c r="BJ39" i="52"/>
  <c r="BF39" i="52"/>
  <c r="BI39" i="52"/>
  <c r="BH39" i="52"/>
  <c r="BM39" i="52"/>
  <c r="BL39" i="52"/>
  <c r="BJ28" i="51"/>
  <c r="BF28" i="51"/>
  <c r="BM28" i="51"/>
  <c r="BI28" i="51"/>
  <c r="BL28" i="51"/>
  <c r="BH28" i="51"/>
  <c r="BK28" i="51"/>
  <c r="BG28" i="51"/>
  <c r="J32" i="51"/>
  <c r="F32" i="51"/>
  <c r="M32" i="51"/>
  <c r="I32" i="51"/>
  <c r="L32" i="51"/>
  <c r="H32" i="51"/>
  <c r="K32" i="51"/>
  <c r="G32" i="51"/>
  <c r="W35" i="51"/>
  <c r="S35" i="51"/>
  <c r="Z35" i="51"/>
  <c r="V35" i="51"/>
  <c r="Y35" i="51"/>
  <c r="U35" i="51"/>
  <c r="X35" i="51"/>
  <c r="T35" i="51"/>
  <c r="AJ38" i="51"/>
  <c r="AF38" i="51"/>
  <c r="AM38" i="51"/>
  <c r="AI38" i="51"/>
  <c r="AL38" i="51"/>
  <c r="AH38" i="51"/>
  <c r="AG38" i="51"/>
  <c r="AK38" i="51"/>
  <c r="AW41" i="51"/>
  <c r="AS41" i="51"/>
  <c r="AZ41" i="51"/>
  <c r="AV41" i="51"/>
  <c r="AY41" i="51"/>
  <c r="AU41" i="51"/>
  <c r="AX41" i="51"/>
  <c r="AT41" i="51"/>
  <c r="BJ44" i="51"/>
  <c r="BF44" i="51"/>
  <c r="BM44" i="51"/>
  <c r="BI44" i="51"/>
  <c r="BL44" i="51"/>
  <c r="BH44" i="51"/>
  <c r="BK44" i="51"/>
  <c r="BG44" i="51"/>
  <c r="J48" i="51"/>
  <c r="F48" i="51"/>
  <c r="M48" i="51"/>
  <c r="I48" i="51"/>
  <c r="L48" i="51"/>
  <c r="H48" i="51"/>
  <c r="K48" i="51"/>
  <c r="G48" i="51"/>
  <c r="W51" i="51"/>
  <c r="S51" i="51"/>
  <c r="Z51" i="51"/>
  <c r="V51" i="51"/>
  <c r="Y51" i="51"/>
  <c r="U51" i="51"/>
  <c r="X51" i="51"/>
  <c r="T51" i="51"/>
  <c r="AJ4" i="52"/>
  <c r="AF4" i="52"/>
  <c r="AM4" i="52"/>
  <c r="AI4" i="52"/>
  <c r="AL4" i="52"/>
  <c r="AH4" i="52"/>
  <c r="AG4" i="52"/>
  <c r="AK4" i="52"/>
  <c r="BJ6" i="52"/>
  <c r="BF6" i="52"/>
  <c r="BM6" i="52"/>
  <c r="BI6" i="52"/>
  <c r="BL6" i="52"/>
  <c r="BH6" i="52"/>
  <c r="BK6" i="52"/>
  <c r="BG6" i="52"/>
  <c r="BJ10" i="52"/>
  <c r="BF10" i="52"/>
  <c r="BM10" i="52"/>
  <c r="BI10" i="52"/>
  <c r="BL10" i="52"/>
  <c r="BH10" i="52"/>
  <c r="BK10" i="52"/>
  <c r="BG10" i="52"/>
  <c r="BJ14" i="52"/>
  <c r="BF14" i="52"/>
  <c r="BM14" i="52"/>
  <c r="BI14" i="52"/>
  <c r="BL14" i="52"/>
  <c r="BH14" i="52"/>
  <c r="BK14" i="52"/>
  <c r="BG14" i="52"/>
  <c r="BJ18" i="52"/>
  <c r="BF18" i="52"/>
  <c r="BM18" i="52"/>
  <c r="BI18" i="52"/>
  <c r="BL18" i="52"/>
  <c r="BH18" i="52"/>
  <c r="BK18" i="52"/>
  <c r="BG18" i="52"/>
  <c r="BJ22" i="52"/>
  <c r="BF22" i="52"/>
  <c r="BM22" i="52"/>
  <c r="BI22" i="52"/>
  <c r="BL22" i="52"/>
  <c r="BH22" i="52"/>
  <c r="BK22" i="52"/>
  <c r="BG22" i="52"/>
  <c r="BJ26" i="52"/>
  <c r="BF26" i="52"/>
  <c r="BM26" i="52"/>
  <c r="BI26" i="52"/>
  <c r="BL26" i="52"/>
  <c r="BH26" i="52"/>
  <c r="BK26" i="52"/>
  <c r="BG26" i="52"/>
  <c r="BJ30" i="52"/>
  <c r="BF30" i="52"/>
  <c r="BM30" i="52"/>
  <c r="BI30" i="52"/>
  <c r="BL30" i="52"/>
  <c r="BH30" i="52"/>
  <c r="BK30" i="52"/>
  <c r="BG30" i="52"/>
  <c r="X38" i="52"/>
  <c r="T38" i="52"/>
  <c r="W38" i="52"/>
  <c r="S38" i="52"/>
  <c r="U38" i="52"/>
  <c r="Z38" i="52"/>
  <c r="Y38" i="52"/>
  <c r="V38" i="52"/>
  <c r="X46" i="52"/>
  <c r="T46" i="52"/>
  <c r="W46" i="52"/>
  <c r="S46" i="52"/>
  <c r="U46" i="52"/>
  <c r="Z46" i="52"/>
  <c r="Y46" i="52"/>
  <c r="V46" i="52"/>
  <c r="G120" i="34"/>
  <c r="H120" i="34"/>
  <c r="G152" i="34"/>
  <c r="H152" i="34"/>
  <c r="G184" i="34"/>
  <c r="H184" i="34"/>
  <c r="Z6" i="51"/>
  <c r="V6" i="51"/>
  <c r="Y6" i="51"/>
  <c r="U6" i="51"/>
  <c r="S6" i="51"/>
  <c r="X6" i="51"/>
  <c r="W6" i="51"/>
  <c r="T6" i="51"/>
  <c r="BZ8" i="51"/>
  <c r="BV8" i="51"/>
  <c r="BY8" i="51"/>
  <c r="BU8" i="51"/>
  <c r="BS8" i="51"/>
  <c r="BX8" i="51"/>
  <c r="BW8" i="51"/>
  <c r="BT8" i="51"/>
  <c r="AZ11" i="51"/>
  <c r="AV11" i="51"/>
  <c r="AY11" i="51"/>
  <c r="AU11" i="51"/>
  <c r="AS11" i="51"/>
  <c r="AX11" i="51"/>
  <c r="AW11" i="51"/>
  <c r="AT11" i="51"/>
  <c r="Z14" i="51"/>
  <c r="V14" i="51"/>
  <c r="Y14" i="51"/>
  <c r="U14" i="51"/>
  <c r="S14" i="51"/>
  <c r="X14" i="51"/>
  <c r="W14" i="51"/>
  <c r="T14" i="51"/>
  <c r="BZ16" i="51"/>
  <c r="BV16" i="51"/>
  <c r="BY16" i="51"/>
  <c r="BU16" i="51"/>
  <c r="BS16" i="51"/>
  <c r="BX16" i="51"/>
  <c r="BW16" i="51"/>
  <c r="BT16" i="51"/>
  <c r="AZ19" i="51"/>
  <c r="AV19" i="51"/>
  <c r="AY19" i="51"/>
  <c r="AU19" i="51"/>
  <c r="AS19" i="51"/>
  <c r="AX19" i="51"/>
  <c r="AW19" i="51"/>
  <c r="AT19" i="51"/>
  <c r="Z22" i="51"/>
  <c r="V22" i="51"/>
  <c r="Y22" i="51"/>
  <c r="U22" i="51"/>
  <c r="S22" i="51"/>
  <c r="X22" i="51"/>
  <c r="W22" i="51"/>
  <c r="T22" i="51"/>
  <c r="BZ24" i="51"/>
  <c r="BV24" i="51"/>
  <c r="BY24" i="51"/>
  <c r="BU24" i="51"/>
  <c r="BS24" i="51"/>
  <c r="BX24" i="51"/>
  <c r="BW24" i="51"/>
  <c r="BT24" i="51"/>
  <c r="BM27" i="51"/>
  <c r="BI27" i="51"/>
  <c r="BL27" i="51"/>
  <c r="BH27" i="51"/>
  <c r="BJ27" i="51"/>
  <c r="BG27" i="51"/>
  <c r="BF27" i="51"/>
  <c r="BK27" i="51"/>
  <c r="M31" i="51"/>
  <c r="I31" i="51"/>
  <c r="L31" i="51"/>
  <c r="H31" i="51"/>
  <c r="K31" i="51"/>
  <c r="G31" i="51"/>
  <c r="J31" i="51"/>
  <c r="F31" i="51"/>
  <c r="Z34" i="51"/>
  <c r="V34" i="51"/>
  <c r="Y34" i="51"/>
  <c r="U34" i="51"/>
  <c r="X34" i="51"/>
  <c r="T34" i="51"/>
  <c r="W34" i="51"/>
  <c r="S34" i="51"/>
  <c r="AM37" i="51"/>
  <c r="AI37" i="51"/>
  <c r="AL37" i="51"/>
  <c r="AH37" i="51"/>
  <c r="AK37" i="51"/>
  <c r="AG37" i="51"/>
  <c r="AJ37" i="51"/>
  <c r="AF37" i="51"/>
  <c r="AZ40" i="51"/>
  <c r="AV40" i="51"/>
  <c r="AY40" i="51"/>
  <c r="AU40" i="51"/>
  <c r="AX40" i="51"/>
  <c r="AT40" i="51"/>
  <c r="AS40" i="51"/>
  <c r="AW40" i="51"/>
  <c r="BM43" i="51"/>
  <c r="BI43" i="51"/>
  <c r="BL43" i="51"/>
  <c r="BH43" i="51"/>
  <c r="BK43" i="51"/>
  <c r="BG43" i="51"/>
  <c r="BJ43" i="51"/>
  <c r="BF43" i="51"/>
  <c r="M47" i="51"/>
  <c r="I47" i="51"/>
  <c r="L47" i="51"/>
  <c r="H47" i="51"/>
  <c r="K47" i="51"/>
  <c r="G47" i="51"/>
  <c r="J47" i="51"/>
  <c r="F47" i="51"/>
  <c r="Z50" i="51"/>
  <c r="V50" i="51"/>
  <c r="Y50" i="51"/>
  <c r="U50" i="51"/>
  <c r="X50" i="51"/>
  <c r="T50" i="51"/>
  <c r="W50" i="51"/>
  <c r="S50" i="51"/>
  <c r="AM53" i="51"/>
  <c r="AI53" i="51"/>
  <c r="AL53" i="51"/>
  <c r="AH53" i="51"/>
  <c r="AK53" i="51"/>
  <c r="AG53" i="51"/>
  <c r="AJ53" i="51"/>
  <c r="AF53" i="51"/>
  <c r="BM5" i="52"/>
  <c r="BI5" i="52"/>
  <c r="BL5" i="52"/>
  <c r="BH5" i="52"/>
  <c r="BK5" i="52"/>
  <c r="BG5" i="52"/>
  <c r="BJ5" i="52"/>
  <c r="BF5" i="52"/>
  <c r="BM9" i="52"/>
  <c r="BI9" i="52"/>
  <c r="BL9" i="52"/>
  <c r="BH9" i="52"/>
  <c r="BK9" i="52"/>
  <c r="BG9" i="52"/>
  <c r="BJ9" i="52"/>
  <c r="BF9" i="52"/>
  <c r="BM13" i="52"/>
  <c r="BI13" i="52"/>
  <c r="BL13" i="52"/>
  <c r="BH13" i="52"/>
  <c r="BK13" i="52"/>
  <c r="BG13" i="52"/>
  <c r="BJ13" i="52"/>
  <c r="BF13" i="52"/>
  <c r="BM17" i="52"/>
  <c r="BI17" i="52"/>
  <c r="BL17" i="52"/>
  <c r="BH17" i="52"/>
  <c r="BK17" i="52"/>
  <c r="BG17" i="52"/>
  <c r="BJ17" i="52"/>
  <c r="BF17" i="52"/>
  <c r="BM21" i="52"/>
  <c r="BI21" i="52"/>
  <c r="BL21" i="52"/>
  <c r="BH21" i="52"/>
  <c r="BK21" i="52"/>
  <c r="BG21" i="52"/>
  <c r="BJ21" i="52"/>
  <c r="BF21" i="52"/>
  <c r="BM25" i="52"/>
  <c r="BI25" i="52"/>
  <c r="BL25" i="52"/>
  <c r="BH25" i="52"/>
  <c r="BK25" i="52"/>
  <c r="BG25" i="52"/>
  <c r="BJ25" i="52"/>
  <c r="BF25" i="52"/>
  <c r="BM29" i="52"/>
  <c r="BI29" i="52"/>
  <c r="BL29" i="52"/>
  <c r="BH29" i="52"/>
  <c r="BK29" i="52"/>
  <c r="BG29" i="52"/>
  <c r="BJ29" i="52"/>
  <c r="BF29" i="52"/>
  <c r="C6" i="34"/>
  <c r="E6" i="34" s="1"/>
  <c r="T11" i="34"/>
  <c r="T19" i="34"/>
  <c r="T27" i="34"/>
  <c r="T35" i="34"/>
  <c r="T43" i="34"/>
  <c r="T51" i="34"/>
  <c r="T67" i="34"/>
  <c r="T75" i="34"/>
  <c r="T83" i="34"/>
  <c r="T91" i="34"/>
  <c r="T99" i="34"/>
  <c r="H117" i="34"/>
  <c r="G117" i="34"/>
  <c r="H149" i="34"/>
  <c r="G149" i="34"/>
  <c r="H181" i="34"/>
  <c r="G181" i="34"/>
  <c r="BL4" i="51"/>
  <c r="BH4" i="51"/>
  <c r="BK4" i="51"/>
  <c r="BG4" i="51"/>
  <c r="BI4" i="51"/>
  <c r="BF4" i="51"/>
  <c r="BM4" i="51"/>
  <c r="BJ4" i="51"/>
  <c r="AL7" i="51"/>
  <c r="AH7" i="51"/>
  <c r="AK7" i="51"/>
  <c r="AG7" i="51"/>
  <c r="AI7" i="51"/>
  <c r="AF7" i="51"/>
  <c r="AM7" i="51"/>
  <c r="AJ7" i="51"/>
  <c r="L10" i="51"/>
  <c r="H10" i="51"/>
  <c r="K10" i="51"/>
  <c r="G10" i="51"/>
  <c r="I10" i="51"/>
  <c r="F10" i="51"/>
  <c r="M10" i="51"/>
  <c r="J10" i="51"/>
  <c r="BL12" i="51"/>
  <c r="BH12" i="51"/>
  <c r="BK12" i="51"/>
  <c r="BG12" i="51"/>
  <c r="BI12" i="51"/>
  <c r="BF12" i="51"/>
  <c r="BM12" i="51"/>
  <c r="BJ12" i="51"/>
  <c r="AL15" i="51"/>
  <c r="AH15" i="51"/>
  <c r="AK15" i="51"/>
  <c r="AG15" i="51"/>
  <c r="AI15" i="51"/>
  <c r="AF15" i="51"/>
  <c r="AM15" i="51"/>
  <c r="AJ15" i="51"/>
  <c r="L18" i="51"/>
  <c r="H18" i="51"/>
  <c r="K18" i="51"/>
  <c r="G18" i="51"/>
  <c r="I18" i="51"/>
  <c r="F18" i="51"/>
  <c r="M18" i="51"/>
  <c r="J18" i="51"/>
  <c r="BL20" i="51"/>
  <c r="BH20" i="51"/>
  <c r="BK20" i="51"/>
  <c r="BG20" i="51"/>
  <c r="BI20" i="51"/>
  <c r="BF20" i="51"/>
  <c r="BM20" i="51"/>
  <c r="BJ20" i="51"/>
  <c r="AL23" i="51"/>
  <c r="AH23" i="51"/>
  <c r="AK23" i="51"/>
  <c r="AG23" i="51"/>
  <c r="AI23" i="51"/>
  <c r="AF23" i="51"/>
  <c r="AM23" i="51"/>
  <c r="AJ23" i="51"/>
  <c r="L26" i="51"/>
  <c r="H26" i="51"/>
  <c r="K26" i="51"/>
  <c r="G26" i="51"/>
  <c r="I26" i="51"/>
  <c r="F26" i="51"/>
  <c r="M26" i="51"/>
  <c r="J26" i="51"/>
  <c r="Y29" i="51"/>
  <c r="U29" i="51"/>
  <c r="X29" i="51"/>
  <c r="T29" i="51"/>
  <c r="W29" i="51"/>
  <c r="S29" i="51"/>
  <c r="Z29" i="51"/>
  <c r="V29" i="51"/>
  <c r="AL32" i="51"/>
  <c r="AH32" i="51"/>
  <c r="AK32" i="51"/>
  <c r="AG32" i="51"/>
  <c r="AJ32" i="51"/>
  <c r="AF32" i="51"/>
  <c r="AI32" i="51"/>
  <c r="AM32" i="51"/>
  <c r="AY35" i="51"/>
  <c r="AU35" i="51"/>
  <c r="AX35" i="51"/>
  <c r="AT35" i="51"/>
  <c r="AW35" i="51"/>
  <c r="AS35" i="51"/>
  <c r="AZ35" i="51"/>
  <c r="AV35" i="51"/>
  <c r="BL38" i="51"/>
  <c r="BH38" i="51"/>
  <c r="BK38" i="51"/>
  <c r="BG38" i="51"/>
  <c r="BJ38" i="51"/>
  <c r="BF38" i="51"/>
  <c r="BM38" i="51"/>
  <c r="BI38" i="51"/>
  <c r="L42" i="51"/>
  <c r="H42" i="51"/>
  <c r="K42" i="51"/>
  <c r="G42" i="51"/>
  <c r="J42" i="51"/>
  <c r="F42" i="51"/>
  <c r="M42" i="51"/>
  <c r="I42" i="51"/>
  <c r="Y45" i="51"/>
  <c r="U45" i="51"/>
  <c r="X45" i="51"/>
  <c r="T45" i="51"/>
  <c r="W45" i="51"/>
  <c r="S45" i="51"/>
  <c r="Z45" i="51"/>
  <c r="V45" i="51"/>
  <c r="AL48" i="51"/>
  <c r="AH48" i="51"/>
  <c r="AK48" i="51"/>
  <c r="AG48" i="51"/>
  <c r="AJ48" i="51"/>
  <c r="AF48" i="51"/>
  <c r="AI48" i="51"/>
  <c r="AM48" i="51"/>
  <c r="AY51" i="51"/>
  <c r="AU51" i="51"/>
  <c r="AX51" i="51"/>
  <c r="AT51" i="51"/>
  <c r="AW51" i="51"/>
  <c r="AS51" i="51"/>
  <c r="AZ51" i="51"/>
  <c r="AV51" i="51"/>
  <c r="BL4" i="52"/>
  <c r="BH4" i="52"/>
  <c r="BK4" i="52"/>
  <c r="BG4" i="52"/>
  <c r="BJ4" i="52"/>
  <c r="BF4" i="52"/>
  <c r="BM4" i="52"/>
  <c r="BI4" i="52"/>
  <c r="BL8" i="52"/>
  <c r="BH8" i="52"/>
  <c r="BK8" i="52"/>
  <c r="BG8" i="52"/>
  <c r="BJ8" i="52"/>
  <c r="BF8" i="52"/>
  <c r="BM8" i="52"/>
  <c r="BI8" i="52"/>
  <c r="BL12" i="52"/>
  <c r="BH12" i="52"/>
  <c r="BK12" i="52"/>
  <c r="BG12" i="52"/>
  <c r="BJ12" i="52"/>
  <c r="BF12" i="52"/>
  <c r="BM12" i="52"/>
  <c r="BI12" i="52"/>
  <c r="BL16" i="52"/>
  <c r="BH16" i="52"/>
  <c r="BK16" i="52"/>
  <c r="BG16" i="52"/>
  <c r="BJ16" i="52"/>
  <c r="BF16" i="52"/>
  <c r="BM16" i="52"/>
  <c r="BI16" i="52"/>
  <c r="BL20" i="52"/>
  <c r="BH20" i="52"/>
  <c r="BK20" i="52"/>
  <c r="BG20" i="52"/>
  <c r="BJ20" i="52"/>
  <c r="BF20" i="52"/>
  <c r="BM20" i="52"/>
  <c r="BI20" i="52"/>
  <c r="BL24" i="52"/>
  <c r="BH24" i="52"/>
  <c r="BK24" i="52"/>
  <c r="BG24" i="52"/>
  <c r="BJ24" i="52"/>
  <c r="BF24" i="52"/>
  <c r="BM24" i="52"/>
  <c r="BI24" i="52"/>
  <c r="BL28" i="52"/>
  <c r="BH28" i="52"/>
  <c r="BK28" i="52"/>
  <c r="BG28" i="52"/>
  <c r="BJ28" i="52"/>
  <c r="BF28" i="52"/>
  <c r="BM28" i="52"/>
  <c r="BI28" i="52"/>
  <c r="H6" i="34"/>
  <c r="G6" i="34"/>
  <c r="S13" i="34"/>
  <c r="S21" i="34"/>
  <c r="S29" i="34"/>
  <c r="S37" i="34"/>
  <c r="S45" i="34"/>
  <c r="S53" i="34"/>
  <c r="S61" i="34"/>
  <c r="S69" i="34"/>
  <c r="S77" i="34"/>
  <c r="S85" i="34"/>
  <c r="S93" i="34"/>
  <c r="S101" i="34"/>
  <c r="G124" i="34"/>
  <c r="H124" i="34"/>
  <c r="G156" i="34"/>
  <c r="H156" i="34"/>
  <c r="AM31" i="52"/>
  <c r="AI31" i="52"/>
  <c r="AL31" i="52"/>
  <c r="AH31" i="52"/>
  <c r="AJ31" i="52"/>
  <c r="AG31" i="52"/>
  <c r="AF31" i="52"/>
  <c r="AK31" i="52"/>
  <c r="AM35" i="52"/>
  <c r="AI35" i="52"/>
  <c r="AL35" i="52"/>
  <c r="AH35" i="52"/>
  <c r="AJ35" i="52"/>
  <c r="AG35" i="52"/>
  <c r="AF35" i="52"/>
  <c r="AK35" i="52"/>
  <c r="AM39" i="52"/>
  <c r="AI39" i="52"/>
  <c r="AL39" i="52"/>
  <c r="AH39" i="52"/>
  <c r="AJ39" i="52"/>
  <c r="AG39" i="52"/>
  <c r="AF39" i="52"/>
  <c r="AK39" i="52"/>
  <c r="AM43" i="52"/>
  <c r="AI43" i="52"/>
  <c r="AL43" i="52"/>
  <c r="AH43" i="52"/>
  <c r="AJ43" i="52"/>
  <c r="AG43" i="52"/>
  <c r="AF43" i="52"/>
  <c r="AK43" i="52"/>
  <c r="AM47" i="52"/>
  <c r="AI47" i="52"/>
  <c r="AL47" i="52"/>
  <c r="AH47" i="52"/>
  <c r="AJ47" i="52"/>
  <c r="AG47" i="52"/>
  <c r="AF47" i="52"/>
  <c r="AK47" i="52"/>
  <c r="AM51" i="52"/>
  <c r="AI51" i="52"/>
  <c r="AL51" i="52"/>
  <c r="AH51" i="52"/>
  <c r="AJ51" i="52"/>
  <c r="AG51" i="52"/>
  <c r="AF51" i="52"/>
  <c r="AK51" i="52"/>
  <c r="H115" i="34"/>
  <c r="G115" i="34"/>
  <c r="H131" i="34"/>
  <c r="G131" i="34"/>
  <c r="H147" i="34"/>
  <c r="G147" i="34"/>
  <c r="H163" i="34"/>
  <c r="G163" i="34"/>
  <c r="H179" i="34"/>
  <c r="G179" i="34"/>
  <c r="T328" i="34"/>
  <c r="S328" i="34"/>
  <c r="Y31" i="52"/>
  <c r="U31" i="52"/>
  <c r="X31" i="52"/>
  <c r="T31" i="52"/>
  <c r="Z31" i="52"/>
  <c r="W31" i="52"/>
  <c r="V31" i="52"/>
  <c r="S31" i="52"/>
  <c r="Y35" i="52"/>
  <c r="U35" i="52"/>
  <c r="X35" i="52"/>
  <c r="T35" i="52"/>
  <c r="Z35" i="52"/>
  <c r="W35" i="52"/>
  <c r="V35" i="52"/>
  <c r="S35" i="52"/>
  <c r="Y39" i="52"/>
  <c r="U39" i="52"/>
  <c r="X39" i="52"/>
  <c r="T39" i="52"/>
  <c r="Z39" i="52"/>
  <c r="W39" i="52"/>
  <c r="V39" i="52"/>
  <c r="S39" i="52"/>
  <c r="Y43" i="52"/>
  <c r="U43" i="52"/>
  <c r="X43" i="52"/>
  <c r="T43" i="52"/>
  <c r="Z43" i="52"/>
  <c r="W43" i="52"/>
  <c r="V43" i="52"/>
  <c r="S43" i="52"/>
  <c r="Y47" i="52"/>
  <c r="U47" i="52"/>
  <c r="X47" i="52"/>
  <c r="T47" i="52"/>
  <c r="Z47" i="52"/>
  <c r="W47" i="52"/>
  <c r="V47" i="52"/>
  <c r="S47" i="52"/>
  <c r="Y51" i="52"/>
  <c r="U51" i="52"/>
  <c r="X51" i="52"/>
  <c r="T51" i="52"/>
  <c r="Z51" i="52"/>
  <c r="W51" i="52"/>
  <c r="V51" i="52"/>
  <c r="S51" i="52"/>
  <c r="H9" i="34"/>
  <c r="G9" i="34"/>
  <c r="H13" i="34"/>
  <c r="G13" i="34"/>
  <c r="H17" i="34"/>
  <c r="G17" i="34"/>
  <c r="H21" i="34"/>
  <c r="G21" i="34"/>
  <c r="H25" i="34"/>
  <c r="G25" i="34"/>
  <c r="H29" i="34"/>
  <c r="G29" i="34"/>
  <c r="H33" i="34"/>
  <c r="G33" i="34"/>
  <c r="H37" i="34"/>
  <c r="G37" i="34"/>
  <c r="H41" i="34"/>
  <c r="G41" i="34"/>
  <c r="H45" i="34"/>
  <c r="G45" i="34"/>
  <c r="H49" i="34"/>
  <c r="G49" i="34"/>
  <c r="H53" i="34"/>
  <c r="G53" i="34"/>
  <c r="H57" i="34"/>
  <c r="G57" i="34"/>
  <c r="H61" i="34"/>
  <c r="G61" i="34"/>
  <c r="H65" i="34"/>
  <c r="G65" i="34"/>
  <c r="H69" i="34"/>
  <c r="G69" i="34"/>
  <c r="H73" i="34"/>
  <c r="G73" i="34"/>
  <c r="H77" i="34"/>
  <c r="G77" i="34"/>
  <c r="H81" i="34"/>
  <c r="G81" i="34"/>
  <c r="H85" i="34"/>
  <c r="G85" i="34"/>
  <c r="H89" i="34"/>
  <c r="G89" i="34"/>
  <c r="H93" i="34"/>
  <c r="G93" i="34"/>
  <c r="H97" i="34"/>
  <c r="G97" i="34"/>
  <c r="H101" i="34"/>
  <c r="G101" i="34"/>
  <c r="H105" i="34"/>
  <c r="G105" i="34"/>
  <c r="H110" i="34"/>
  <c r="G110" i="34"/>
  <c r="S120" i="34"/>
  <c r="H126" i="34"/>
  <c r="G126" i="34"/>
  <c r="S136" i="34"/>
  <c r="H142" i="34"/>
  <c r="G142" i="34"/>
  <c r="S152" i="34"/>
  <c r="H158" i="34"/>
  <c r="G158" i="34"/>
  <c r="S168" i="34"/>
  <c r="H174" i="34"/>
  <c r="G174" i="34"/>
  <c r="S184" i="34"/>
  <c r="S191" i="34"/>
  <c r="S199" i="34"/>
  <c r="S207" i="34"/>
  <c r="S215" i="34"/>
  <c r="S223" i="34"/>
  <c r="S231" i="34"/>
  <c r="S239" i="34"/>
  <c r="S247" i="34"/>
  <c r="S255" i="34"/>
  <c r="S263" i="34"/>
  <c r="S271" i="34"/>
  <c r="S279" i="34"/>
  <c r="S287" i="34"/>
  <c r="H361" i="34"/>
  <c r="G361" i="34"/>
  <c r="H186" i="34"/>
  <c r="G186" i="34"/>
  <c r="H190" i="34"/>
  <c r="G190" i="34"/>
  <c r="H194" i="34"/>
  <c r="G194" i="34"/>
  <c r="H198" i="34"/>
  <c r="G198" i="34"/>
  <c r="H202" i="34"/>
  <c r="G202" i="34"/>
  <c r="H206" i="34"/>
  <c r="G206" i="34"/>
  <c r="H210" i="34"/>
  <c r="G210" i="34"/>
  <c r="H214" i="34"/>
  <c r="G214" i="34"/>
  <c r="H218" i="34"/>
  <c r="G218" i="34"/>
  <c r="H222" i="34"/>
  <c r="G222" i="34"/>
  <c r="H226" i="34"/>
  <c r="G226" i="34"/>
  <c r="H230" i="34"/>
  <c r="G230" i="34"/>
  <c r="H234" i="34"/>
  <c r="G234" i="34"/>
  <c r="H238" i="34"/>
  <c r="G238" i="34"/>
  <c r="H242" i="34"/>
  <c r="G242" i="34"/>
  <c r="H246" i="34"/>
  <c r="G246" i="34"/>
  <c r="H250" i="34"/>
  <c r="G250" i="34"/>
  <c r="H254" i="34"/>
  <c r="G254" i="34"/>
  <c r="H258" i="34"/>
  <c r="G258" i="34"/>
  <c r="H262" i="34"/>
  <c r="G262" i="34"/>
  <c r="H266" i="34"/>
  <c r="G266" i="34"/>
  <c r="H270" i="34"/>
  <c r="G270" i="34"/>
  <c r="H274" i="34"/>
  <c r="G274" i="34"/>
  <c r="H278" i="34"/>
  <c r="G278" i="34"/>
  <c r="H282" i="34"/>
  <c r="G282" i="34"/>
  <c r="H286" i="34"/>
  <c r="G286" i="34"/>
  <c r="H290" i="34"/>
  <c r="G290" i="34"/>
  <c r="H294" i="34"/>
  <c r="G294" i="34"/>
  <c r="G297" i="34"/>
  <c r="H297" i="34"/>
  <c r="T305" i="34"/>
  <c r="H385" i="34"/>
  <c r="G385" i="34"/>
  <c r="H416" i="34"/>
  <c r="G416" i="34"/>
  <c r="T232" i="34"/>
  <c r="G296" i="34"/>
  <c r="H296" i="34"/>
  <c r="S299" i="34"/>
  <c r="G307" i="34"/>
  <c r="H307" i="34"/>
  <c r="G411" i="34"/>
  <c r="H411" i="34"/>
  <c r="G491" i="34"/>
  <c r="H491" i="34"/>
  <c r="S313" i="34"/>
  <c r="S321" i="34"/>
  <c r="T329" i="34"/>
  <c r="S329" i="34"/>
  <c r="T337" i="34"/>
  <c r="S337" i="34"/>
  <c r="T345" i="34"/>
  <c r="S345" i="34"/>
  <c r="T353" i="34"/>
  <c r="S353" i="34"/>
  <c r="T362" i="34"/>
  <c r="S362" i="34"/>
  <c r="G384" i="34"/>
  <c r="H384" i="34"/>
  <c r="S404" i="34"/>
  <c r="T404" i="34"/>
  <c r="G451" i="34"/>
  <c r="H451" i="34"/>
  <c r="T461" i="34"/>
  <c r="S461" i="34"/>
  <c r="T314" i="34"/>
  <c r="H373" i="34"/>
  <c r="G373" i="34"/>
  <c r="T383" i="34"/>
  <c r="S383" i="34"/>
  <c r="G395" i="34"/>
  <c r="H395" i="34"/>
  <c r="H400" i="34"/>
  <c r="G400" i="34"/>
  <c r="T437" i="34"/>
  <c r="S437" i="34"/>
  <c r="T330" i="34"/>
  <c r="S330" i="34"/>
  <c r="T338" i="34"/>
  <c r="S338" i="34"/>
  <c r="T346" i="34"/>
  <c r="S346" i="34"/>
  <c r="T354" i="34"/>
  <c r="S354" i="34"/>
  <c r="T366" i="34"/>
  <c r="S366" i="34"/>
  <c r="G388" i="34"/>
  <c r="H388" i="34"/>
  <c r="T425" i="34"/>
  <c r="S425" i="34"/>
  <c r="T430" i="34"/>
  <c r="S430" i="34"/>
  <c r="T434" i="34"/>
  <c r="S434" i="34"/>
  <c r="H448" i="34"/>
  <c r="G448" i="34"/>
  <c r="T458" i="34"/>
  <c r="S458" i="34"/>
  <c r="H480" i="34"/>
  <c r="G480" i="34"/>
  <c r="T490" i="34"/>
  <c r="S490" i="34"/>
  <c r="S365" i="34"/>
  <c r="T365" i="34"/>
  <c r="H371" i="34"/>
  <c r="G371" i="34"/>
  <c r="S381" i="34"/>
  <c r="T381" i="34"/>
  <c r="H387" i="34"/>
  <c r="G387" i="34"/>
  <c r="G398" i="34"/>
  <c r="H398" i="34"/>
  <c r="G403" i="34"/>
  <c r="H403" i="34"/>
  <c r="H408" i="34"/>
  <c r="G408" i="34"/>
  <c r="G439" i="34"/>
  <c r="H439" i="34"/>
  <c r="T449" i="34"/>
  <c r="S449" i="34"/>
  <c r="G471" i="34"/>
  <c r="H471" i="34"/>
  <c r="T481" i="34"/>
  <c r="S481" i="34"/>
  <c r="H310" i="34"/>
  <c r="G310" i="34"/>
  <c r="H314" i="34"/>
  <c r="G314" i="34"/>
  <c r="H318" i="34"/>
  <c r="G318" i="34"/>
  <c r="H322" i="34"/>
  <c r="G322" i="34"/>
  <c r="H326" i="34"/>
  <c r="G326" i="34"/>
  <c r="H330" i="34"/>
  <c r="G330" i="34"/>
  <c r="H334" i="34"/>
  <c r="G334" i="34"/>
  <c r="H338" i="34"/>
  <c r="G338" i="34"/>
  <c r="H342" i="34"/>
  <c r="G342" i="34"/>
  <c r="H346" i="34"/>
  <c r="G346" i="34"/>
  <c r="H350" i="34"/>
  <c r="G350" i="34"/>
  <c r="H354" i="34"/>
  <c r="G354" i="34"/>
  <c r="H358" i="34"/>
  <c r="G358" i="34"/>
  <c r="T360" i="34"/>
  <c r="S360" i="34"/>
  <c r="H366" i="34"/>
  <c r="G366" i="34"/>
  <c r="T376" i="34"/>
  <c r="S376" i="34"/>
  <c r="H382" i="34"/>
  <c r="G382" i="34"/>
  <c r="T392" i="34"/>
  <c r="S392" i="34"/>
  <c r="H402" i="34"/>
  <c r="G402" i="34"/>
  <c r="G407" i="34"/>
  <c r="H407" i="34"/>
  <c r="H412" i="34"/>
  <c r="G412" i="34"/>
  <c r="T438" i="34"/>
  <c r="S438" i="34"/>
  <c r="H460" i="34"/>
  <c r="G460" i="34"/>
  <c r="T470" i="34"/>
  <c r="S470" i="34"/>
  <c r="H492" i="34"/>
  <c r="G492" i="34"/>
  <c r="S440" i="34"/>
  <c r="T440" i="34"/>
  <c r="G446" i="34"/>
  <c r="H446" i="34"/>
  <c r="S456" i="34"/>
  <c r="T456" i="34"/>
  <c r="G462" i="34"/>
  <c r="H462" i="34"/>
  <c r="S472" i="34"/>
  <c r="T472" i="34"/>
  <c r="G478" i="34"/>
  <c r="H478" i="34"/>
  <c r="S488" i="34"/>
  <c r="T488" i="34"/>
  <c r="G494" i="34"/>
  <c r="H494" i="34"/>
  <c r="T403" i="34"/>
  <c r="S403" i="34"/>
  <c r="G409" i="34"/>
  <c r="H409" i="34"/>
  <c r="T419" i="34"/>
  <c r="S419" i="34"/>
  <c r="G425" i="34"/>
  <c r="H425" i="34"/>
  <c r="T435" i="34"/>
  <c r="S435" i="34"/>
  <c r="H441" i="34"/>
  <c r="G441" i="34"/>
  <c r="T451" i="34"/>
  <c r="S451" i="34"/>
  <c r="H457" i="34"/>
  <c r="G457" i="34"/>
  <c r="T467" i="34"/>
  <c r="S467" i="34"/>
  <c r="H473" i="34"/>
  <c r="G473" i="34"/>
  <c r="T483" i="34"/>
  <c r="S483" i="34"/>
  <c r="H489" i="34"/>
  <c r="G489" i="34"/>
  <c r="O13" i="37" l="1" a="1"/>
  <c r="O13" i="37" s="1"/>
  <c r="Q13" i="37" s="1"/>
  <c r="C29" i="37" s="1"/>
  <c r="O12" i="37" a="1"/>
  <c r="O12" i="37" s="1"/>
  <c r="O15" i="37" s="1" a="1"/>
  <c r="O15" i="37" s="1"/>
  <c r="I7" i="37" a="1"/>
  <c r="I7" i="37" s="1"/>
  <c r="K7" i="37" s="1"/>
  <c r="G9" i="37"/>
  <c r="H8" i="37" a="1"/>
  <c r="H8" i="37" s="1"/>
  <c r="J8" i="37" a="1"/>
  <c r="J8" i="37" s="1"/>
  <c r="I5" i="37" a="1"/>
  <c r="I5" i="37" s="1"/>
  <c r="K5" i="37" s="1"/>
  <c r="D14" i="37" s="1"/>
  <c r="I6" i="37" a="1"/>
  <c r="I6" i="37" s="1"/>
  <c r="K6" i="37" s="1"/>
  <c r="M23" i="37"/>
  <c r="P20" i="37" a="1"/>
  <c r="P20" i="37" s="1"/>
  <c r="N20" i="37" a="1"/>
  <c r="N20" i="37" s="1"/>
  <c r="Q8" i="37"/>
  <c r="C24" i="37" s="1"/>
  <c r="Q9" i="37"/>
  <c r="C25" i="37" s="1"/>
  <c r="M25" i="37"/>
  <c r="P22" i="37" a="1"/>
  <c r="P22" i="37" s="1"/>
  <c r="N22" i="37" a="1"/>
  <c r="N22" i="37" s="1"/>
  <c r="Q11" i="37"/>
  <c r="C27" i="37" s="1"/>
  <c r="M24" i="37"/>
  <c r="P21" i="37" a="1"/>
  <c r="P21" i="37" s="1"/>
  <c r="N21" i="37" a="1"/>
  <c r="N21" i="37" s="1"/>
  <c r="Q10" i="37"/>
  <c r="C26" i="37" s="1"/>
  <c r="O14" i="37" a="1"/>
  <c r="O14" i="37" s="1"/>
  <c r="Q12" i="37" l="1"/>
  <c r="C28" i="37" s="1"/>
  <c r="O16" i="37" a="1"/>
  <c r="O16" i="37" s="1"/>
  <c r="Q16" i="37" s="1"/>
  <c r="A22" i="37"/>
  <c r="I8" i="37" a="1"/>
  <c r="I8" i="37" s="1"/>
  <c r="K8" i="37" s="1"/>
  <c r="A21" i="37"/>
  <c r="P25" i="37" a="1"/>
  <c r="P25" i="37" s="1"/>
  <c r="N25" i="37" a="1"/>
  <c r="N25" i="37" s="1"/>
  <c r="M28" i="37"/>
  <c r="P23" i="37" a="1"/>
  <c r="P23" i="37" s="1"/>
  <c r="M26" i="37"/>
  <c r="N23" i="37" a="1"/>
  <c r="N23" i="37" s="1"/>
  <c r="Q14" i="37"/>
  <c r="C30" i="37" s="1"/>
  <c r="A23" i="37"/>
  <c r="M27" i="37"/>
  <c r="P24" i="37" a="1"/>
  <c r="P24" i="37" s="1"/>
  <c r="N24" i="37" a="1"/>
  <c r="N24" i="37" s="1"/>
  <c r="G10" i="37"/>
  <c r="J9" i="37" a="1"/>
  <c r="J9" i="37" s="1"/>
  <c r="H9" i="37" a="1"/>
  <c r="H9" i="37" s="1"/>
  <c r="I9" i="37" s="1" a="1"/>
  <c r="I9" i="37" s="1"/>
  <c r="K9" i="37" s="1"/>
  <c r="O18" i="37" a="1"/>
  <c r="O18" i="37" s="1"/>
  <c r="C34" i="37" s="1"/>
  <c r="C31" i="37"/>
  <c r="Q15" i="37"/>
  <c r="O17" i="37" a="1"/>
  <c r="O17" i="37" s="1"/>
  <c r="C33" i="37" s="1"/>
  <c r="O19" i="37" l="1" a="1"/>
  <c r="O19" i="37" s="1"/>
  <c r="C35" i="37" s="1"/>
  <c r="A24" i="37"/>
  <c r="C32" i="37"/>
  <c r="Q17" i="37"/>
  <c r="O21" i="37" a="1"/>
  <c r="O21" i="37" s="1"/>
  <c r="C37" i="37" s="1"/>
  <c r="Q18" i="37"/>
  <c r="A25" i="37"/>
  <c r="M29" i="37"/>
  <c r="P26" i="37" a="1"/>
  <c r="P26" i="37" s="1"/>
  <c r="N26" i="37" a="1"/>
  <c r="N26" i="37" s="1"/>
  <c r="G11" i="37"/>
  <c r="J10" i="37" a="1"/>
  <c r="J10" i="37" s="1"/>
  <c r="H10" i="37" a="1"/>
  <c r="H10" i="37" s="1"/>
  <c r="I10" i="37" s="1" a="1"/>
  <c r="I10" i="37" s="1"/>
  <c r="M30" i="37"/>
  <c r="P27" i="37" a="1"/>
  <c r="P27" i="37" s="1"/>
  <c r="N27" i="37" a="1"/>
  <c r="N27" i="37" s="1"/>
  <c r="M31" i="37"/>
  <c r="P28" i="37" a="1"/>
  <c r="P28" i="37" s="1"/>
  <c r="N28" i="37" a="1"/>
  <c r="N28" i="37" s="1"/>
  <c r="O20" i="37" a="1"/>
  <c r="O20" i="37" s="1"/>
  <c r="C36" i="37" s="1"/>
  <c r="O22" i="37" l="1" a="1"/>
  <c r="O22" i="37" s="1"/>
  <c r="C38" i="37" s="1"/>
  <c r="Q19" i="37"/>
  <c r="K10" i="37"/>
  <c r="A26" i="37" s="1"/>
  <c r="M34" i="37"/>
  <c r="P31" i="37" a="1"/>
  <c r="P31" i="37" s="1"/>
  <c r="N31" i="37" a="1"/>
  <c r="N31" i="37" s="1"/>
  <c r="Q21" i="37"/>
  <c r="Q20" i="37"/>
  <c r="M33" i="37"/>
  <c r="P30" i="37" a="1"/>
  <c r="P30" i="37" s="1"/>
  <c r="N30" i="37" a="1"/>
  <c r="N30" i="37" s="1"/>
  <c r="G12" i="37"/>
  <c r="J11" i="37" a="1"/>
  <c r="J11" i="37" s="1"/>
  <c r="H11" i="37" a="1"/>
  <c r="H11" i="37" s="1"/>
  <c r="I11" i="37" s="1" a="1"/>
  <c r="I11" i="37" s="1"/>
  <c r="K11" i="37" s="1"/>
  <c r="O23" i="37" a="1"/>
  <c r="O23" i="37" s="1"/>
  <c r="C39" i="37" s="1"/>
  <c r="M32" i="37"/>
  <c r="N29" i="37" a="1"/>
  <c r="N29" i="37" s="1"/>
  <c r="P29" i="37" a="1"/>
  <c r="P29" i="37" s="1"/>
  <c r="O24" i="37" a="1"/>
  <c r="O24" i="37" s="1"/>
  <c r="C40" i="37" s="1"/>
  <c r="O25" i="37" l="1" a="1"/>
  <c r="O25" i="37" s="1"/>
  <c r="C41" i="37" s="1"/>
  <c r="Q22" i="37"/>
  <c r="Q23" i="37"/>
  <c r="M35" i="37"/>
  <c r="P32" i="37" a="1"/>
  <c r="P32" i="37" s="1"/>
  <c r="N32" i="37" a="1"/>
  <c r="N32" i="37" s="1"/>
  <c r="O26" i="37" a="1"/>
  <c r="O26" i="37" s="1"/>
  <c r="C42" i="37" s="1"/>
  <c r="Q24" i="37"/>
  <c r="O27" i="37" a="1"/>
  <c r="O27" i="37" s="1"/>
  <c r="C43" i="37" s="1"/>
  <c r="A27" i="37"/>
  <c r="G13" i="37"/>
  <c r="J12" i="37" a="1"/>
  <c r="J12" i="37" s="1"/>
  <c r="H12" i="37" a="1"/>
  <c r="H12" i="37" s="1"/>
  <c r="M36" i="37"/>
  <c r="P33" i="37" a="1"/>
  <c r="P33" i="37" s="1"/>
  <c r="N33" i="37" a="1"/>
  <c r="N33" i="37" s="1"/>
  <c r="M37" i="37"/>
  <c r="P34" i="37" a="1"/>
  <c r="P34" i="37" s="1"/>
  <c r="N34" i="37" a="1"/>
  <c r="N34" i="37" s="1"/>
  <c r="O28" i="37" l="1" a="1"/>
  <c r="O28" i="37" s="1"/>
  <c r="C44" i="37" s="1"/>
  <c r="Q25" i="37"/>
  <c r="Q26" i="37"/>
  <c r="M39" i="37"/>
  <c r="P36" i="37" a="1"/>
  <c r="P36" i="37" s="1"/>
  <c r="N36" i="37" a="1"/>
  <c r="N36" i="37" s="1"/>
  <c r="G14" i="37"/>
  <c r="J13" i="37" a="1"/>
  <c r="J13" i="37" s="1"/>
  <c r="H13" i="37" a="1"/>
  <c r="H13" i="37" s="1"/>
  <c r="I13" i="37" s="1" a="1"/>
  <c r="I13" i="37" s="1"/>
  <c r="K13" i="37" s="1"/>
  <c r="Q27" i="37"/>
  <c r="M40" i="37"/>
  <c r="N37" i="37" a="1"/>
  <c r="N37" i="37" s="1"/>
  <c r="P37" i="37" a="1"/>
  <c r="P37" i="37" s="1"/>
  <c r="O30" i="37" a="1"/>
  <c r="O30" i="37" s="1"/>
  <c r="C46" i="37" s="1"/>
  <c r="I12" i="37" a="1"/>
  <c r="I12" i="37" s="1"/>
  <c r="K12" i="37" s="1"/>
  <c r="M38" i="37"/>
  <c r="P35" i="37" a="1"/>
  <c r="P35" i="37" s="1"/>
  <c r="N35" i="37" a="1"/>
  <c r="N35" i="37" s="1"/>
  <c r="O29" i="37" a="1"/>
  <c r="O29" i="37" s="1"/>
  <c r="C45" i="37" s="1"/>
  <c r="O31" i="37" l="1" a="1"/>
  <c r="O31" i="37" s="1"/>
  <c r="C47" i="37" s="1"/>
  <c r="Q28" i="37"/>
  <c r="M41" i="37"/>
  <c r="P38" i="37" a="1"/>
  <c r="P38" i="37" s="1"/>
  <c r="N38" i="37" a="1"/>
  <c r="N38" i="37" s="1"/>
  <c r="P40" i="37" a="1"/>
  <c r="P40" i="37" s="1"/>
  <c r="N40" i="37" a="1"/>
  <c r="N40" i="37" s="1"/>
  <c r="G15" i="37"/>
  <c r="J14" i="37" a="1"/>
  <c r="J14" i="37" s="1"/>
  <c r="H14" i="37" a="1"/>
  <c r="H14" i="37" s="1"/>
  <c r="I14" i="37" s="1" a="1"/>
  <c r="I14" i="37" s="1"/>
  <c r="K14" i="37" s="1"/>
  <c r="M42" i="37"/>
  <c r="P39" i="37" a="1"/>
  <c r="P39" i="37" s="1"/>
  <c r="N39" i="37" a="1"/>
  <c r="N39" i="37" s="1"/>
  <c r="Q29" i="37"/>
  <c r="O32" i="37" a="1"/>
  <c r="O32" i="37" s="1"/>
  <c r="C48" i="37" s="1"/>
  <c r="Q30" i="37"/>
  <c r="O33" i="37" a="1"/>
  <c r="O33" i="37" s="1"/>
  <c r="C49" i="37" s="1"/>
  <c r="A29" i="37"/>
  <c r="A28" i="37"/>
  <c r="O34" i="37" l="1" a="1"/>
  <c r="O34" i="37" s="1"/>
  <c r="C50" i="37" s="1"/>
  <c r="Q31" i="37"/>
  <c r="Q32" i="37"/>
  <c r="A30" i="37"/>
  <c r="O36" i="37" a="1"/>
  <c r="O36" i="37" s="1"/>
  <c r="C52" i="37" s="1"/>
  <c r="P42" i="37" a="1"/>
  <c r="P42" i="37" s="1"/>
  <c r="N42" i="37" a="1"/>
  <c r="N42" i="37" s="1"/>
  <c r="Q33" i="37"/>
  <c r="O35" i="37" a="1"/>
  <c r="O35" i="37" s="1"/>
  <c r="J15" i="37" a="1"/>
  <c r="J15" i="37" s="1"/>
  <c r="H15" i="37" a="1"/>
  <c r="H15" i="37" s="1"/>
  <c r="I15" i="37" s="1" a="1"/>
  <c r="I15" i="37" s="1"/>
  <c r="K15" i="37" s="1"/>
  <c r="G16" i="37"/>
  <c r="P41" i="37" a="1"/>
  <c r="P41" i="37" s="1"/>
  <c r="N41" i="37" a="1"/>
  <c r="N41" i="37" s="1"/>
  <c r="Q34" i="37" l="1"/>
  <c r="O37" i="37" a="1"/>
  <c r="O37" i="37" s="1"/>
  <c r="C53" i="37" s="1"/>
  <c r="C51" i="37"/>
  <c r="O38" i="37" a="1"/>
  <c r="O38" i="37" s="1"/>
  <c r="A31" i="37"/>
  <c r="Q35" i="37"/>
  <c r="J16" i="37" a="1"/>
  <c r="J16" i="37" s="1"/>
  <c r="H16" i="37" a="1"/>
  <c r="H16" i="37" s="1"/>
  <c r="I16" i="37" s="1" a="1"/>
  <c r="I16" i="37" s="1"/>
  <c r="K16" i="37" s="1"/>
  <c r="G17" i="37"/>
  <c r="Q36" i="37"/>
  <c r="O39" i="37" a="1"/>
  <c r="O39" i="37" s="1"/>
  <c r="C55" i="37" s="1"/>
  <c r="Q37" i="37" l="1"/>
  <c r="O40" i="37" a="1"/>
  <c r="O40" i="37" s="1"/>
  <c r="C56" i="37" s="1"/>
  <c r="O41" i="37" a="1"/>
  <c r="O41" i="37" s="1"/>
  <c r="C57" i="37" s="1"/>
  <c r="C54" i="37"/>
  <c r="O42" i="37" a="1"/>
  <c r="O42" i="37" s="1"/>
  <c r="C58" i="37" s="1"/>
  <c r="Q39" i="37"/>
  <c r="G18" i="37"/>
  <c r="J17" i="37" a="1"/>
  <c r="J17" i="37" s="1"/>
  <c r="H17" i="37" a="1"/>
  <c r="H17" i="37" s="1"/>
  <c r="A32" i="37"/>
  <c r="Q38" i="37"/>
  <c r="Q40" i="37" l="1"/>
  <c r="Q41" i="37"/>
  <c r="Q42" i="37"/>
  <c r="I17" i="37" a="1"/>
  <c r="I17" i="37" s="1"/>
  <c r="K17" i="37" s="1"/>
  <c r="G19" i="37"/>
  <c r="J18" i="37" a="1"/>
  <c r="J18" i="37" s="1"/>
  <c r="H18" i="37" a="1"/>
  <c r="H18" i="37" s="1"/>
  <c r="I18" i="37" l="1" a="1"/>
  <c r="I18" i="37" s="1"/>
  <c r="K18" i="37" s="1"/>
  <c r="G20" i="37"/>
  <c r="J19" i="37" a="1"/>
  <c r="J19" i="37" s="1"/>
  <c r="H19" i="37" a="1"/>
  <c r="H19" i="37" s="1"/>
  <c r="I19" i="37" s="1" a="1"/>
  <c r="I19" i="37" s="1"/>
  <c r="K19" i="37" s="1"/>
  <c r="A33" i="37"/>
  <c r="A35" i="37" l="1"/>
  <c r="A34" i="37"/>
  <c r="J20" i="37" a="1"/>
  <c r="J20" i="37" s="1"/>
  <c r="H20" i="37" a="1"/>
  <c r="H20" i="37" s="1"/>
  <c r="G21" i="37"/>
  <c r="J21" i="37" l="1" a="1"/>
  <c r="J21" i="37" s="1"/>
  <c r="H21" i="37" a="1"/>
  <c r="H21" i="37" s="1"/>
  <c r="I21" i="37" s="1" a="1"/>
  <c r="I21" i="37" s="1"/>
  <c r="K21" i="37" s="1"/>
  <c r="G22" i="37"/>
  <c r="I20" i="37" a="1"/>
  <c r="I20" i="37" s="1"/>
  <c r="K20" i="37" s="1"/>
  <c r="A37" i="37" l="1"/>
  <c r="G23" i="37"/>
  <c r="J22" i="37" a="1"/>
  <c r="J22" i="37" s="1"/>
  <c r="H22" i="37" a="1"/>
  <c r="H22" i="37" s="1"/>
  <c r="I22" i="37" s="1" a="1"/>
  <c r="I22" i="37" s="1"/>
  <c r="K22" i="37" s="1"/>
  <c r="A36" i="37"/>
  <c r="G24" i="37" l="1"/>
  <c r="J23" i="37" a="1"/>
  <c r="J23" i="37" s="1"/>
  <c r="H23" i="37" a="1"/>
  <c r="H23" i="37" s="1"/>
  <c r="I23" i="37" s="1" a="1"/>
  <c r="I23" i="37" s="1"/>
  <c r="K23" i="37" s="1"/>
  <c r="A38" i="37"/>
  <c r="A39" i="37" l="1"/>
  <c r="J24" i="37" a="1"/>
  <c r="J24" i="37" s="1"/>
  <c r="H24" i="37" a="1"/>
  <c r="H24" i="37" s="1"/>
  <c r="G25" i="37"/>
  <c r="I24" i="37" l="1" a="1"/>
  <c r="I24" i="37" s="1"/>
  <c r="K24" i="37" s="1"/>
  <c r="J25" i="37" a="1"/>
  <c r="J25" i="37" s="1"/>
  <c r="H25" i="37" a="1"/>
  <c r="H25" i="37" s="1"/>
  <c r="G26" i="37"/>
  <c r="I25" i="37" l="1" a="1"/>
  <c r="I25" i="37" s="1"/>
  <c r="K25" i="37" s="1"/>
  <c r="G27" i="37"/>
  <c r="J26" i="37" a="1"/>
  <c r="J26" i="37" s="1"/>
  <c r="H26" i="37" a="1"/>
  <c r="H26" i="37" s="1"/>
  <c r="I26" i="37" s="1" a="1"/>
  <c r="I26" i="37" s="1"/>
  <c r="K26" i="37" s="1"/>
  <c r="A40" i="37"/>
  <c r="A42" i="37" l="1"/>
  <c r="G28" i="37"/>
  <c r="J27" i="37" a="1"/>
  <c r="J27" i="37" s="1"/>
  <c r="H27" i="37" a="1"/>
  <c r="H27" i="37" s="1"/>
  <c r="I27" i="37" s="1" a="1"/>
  <c r="I27" i="37" s="1"/>
  <c r="K27" i="37" s="1"/>
  <c r="A41" i="37"/>
  <c r="G29" i="37" l="1"/>
  <c r="J28" i="37" a="1"/>
  <c r="J28" i="37" s="1"/>
  <c r="H28" i="37" a="1"/>
  <c r="H28" i="37" s="1"/>
  <c r="A43" i="37"/>
  <c r="G30" i="37" l="1"/>
  <c r="J29" i="37" a="1"/>
  <c r="J29" i="37" s="1"/>
  <c r="H29" i="37" a="1"/>
  <c r="H29" i="37" s="1"/>
  <c r="I29" i="37" s="1" a="1"/>
  <c r="I29" i="37" s="1"/>
  <c r="K29" i="37" s="1"/>
  <c r="I28" i="37" a="1"/>
  <c r="I28" i="37" s="1"/>
  <c r="K28" i="37" s="1"/>
  <c r="A45" i="37" l="1"/>
  <c r="G31" i="37"/>
  <c r="J30" i="37" a="1"/>
  <c r="J30" i="37" s="1"/>
  <c r="H30" i="37" a="1"/>
  <c r="H30" i="37" s="1"/>
  <c r="A44" i="37"/>
  <c r="G32" i="37" l="1"/>
  <c r="J31" i="37" a="1"/>
  <c r="J31" i="37" s="1"/>
  <c r="H31" i="37" a="1"/>
  <c r="H31" i="37" s="1"/>
  <c r="I31" i="37" s="1" a="1"/>
  <c r="I31" i="37" s="1"/>
  <c r="K31" i="37" s="1"/>
  <c r="I30" i="37" a="1"/>
  <c r="I30" i="37" s="1"/>
  <c r="K30" i="37" s="1"/>
  <c r="A47" i="37" l="1"/>
  <c r="G33" i="37"/>
  <c r="J32" i="37" a="1"/>
  <c r="J32" i="37" s="1"/>
  <c r="H32" i="37" a="1"/>
  <c r="H32" i="37" s="1"/>
  <c r="A46" i="37"/>
  <c r="G34" i="37" l="1"/>
  <c r="H33" i="37" a="1"/>
  <c r="H33" i="37" s="1"/>
  <c r="I33" i="37" s="1" a="1"/>
  <c r="I33" i="37" s="1"/>
  <c r="K33" i="37" s="1"/>
  <c r="J33" i="37" a="1"/>
  <c r="J33" i="37" s="1"/>
  <c r="I32" i="37" a="1"/>
  <c r="I32" i="37" s="1"/>
  <c r="K32" i="37" s="1"/>
  <c r="A49" i="37" l="1"/>
  <c r="G35" i="37"/>
  <c r="J34" i="37" a="1"/>
  <c r="J34" i="37" s="1"/>
  <c r="H34" i="37" a="1"/>
  <c r="H34" i="37" s="1"/>
  <c r="A48" i="37"/>
  <c r="G36" i="37" l="1"/>
  <c r="J35" i="37" a="1"/>
  <c r="J35" i="37" s="1"/>
  <c r="H35" i="37" a="1"/>
  <c r="H35" i="37" s="1"/>
  <c r="I35" i="37" s="1" a="1"/>
  <c r="I35" i="37" s="1"/>
  <c r="K35" i="37" s="1"/>
  <c r="I34" i="37" a="1"/>
  <c r="I34" i="37" s="1"/>
  <c r="K34" i="37" s="1"/>
  <c r="A51" i="37" l="1"/>
  <c r="G37" i="37"/>
  <c r="J36" i="37" a="1"/>
  <c r="J36" i="37" s="1"/>
  <c r="H36" i="37" a="1"/>
  <c r="H36" i="37" s="1"/>
  <c r="A50" i="37"/>
  <c r="G38" i="37" l="1"/>
  <c r="J37" i="37" a="1"/>
  <c r="J37" i="37" s="1"/>
  <c r="H37" i="37" a="1"/>
  <c r="H37" i="37" s="1"/>
  <c r="I37" i="37" s="1" a="1"/>
  <c r="I37" i="37" s="1"/>
  <c r="K37" i="37" s="1"/>
  <c r="I36" i="37" a="1"/>
  <c r="I36" i="37" s="1"/>
  <c r="K36" i="37" s="1"/>
  <c r="A53" i="37" l="1"/>
  <c r="G39" i="37"/>
  <c r="J38" i="37" a="1"/>
  <c r="J38" i="37" s="1"/>
  <c r="H38" i="37" a="1"/>
  <c r="H38" i="37" s="1"/>
  <c r="A52" i="37"/>
  <c r="G40" i="37" l="1"/>
  <c r="J39" i="37" a="1"/>
  <c r="J39" i="37" s="1"/>
  <c r="H39" i="37" a="1"/>
  <c r="H39" i="37" s="1"/>
  <c r="I39" i="37" s="1" a="1"/>
  <c r="I39" i="37" s="1"/>
  <c r="K39" i="37" s="1"/>
  <c r="I38" i="37" a="1"/>
  <c r="I38" i="37" s="1"/>
  <c r="K38" i="37" s="1"/>
  <c r="A55" i="37" l="1"/>
  <c r="G41" i="37"/>
  <c r="J40" i="37" a="1"/>
  <c r="J40" i="37" s="1"/>
  <c r="H40" i="37" a="1"/>
  <c r="H40" i="37" s="1"/>
  <c r="A54" i="37"/>
  <c r="G42" i="37" l="1"/>
  <c r="H41" i="37" a="1"/>
  <c r="H41" i="37" s="1"/>
  <c r="I41" i="37" s="1" a="1"/>
  <c r="I41" i="37" s="1"/>
  <c r="K41" i="37" s="1"/>
  <c r="J41" i="37" a="1"/>
  <c r="J41" i="37" s="1"/>
  <c r="I40" i="37" a="1"/>
  <c r="I40" i="37" s="1"/>
  <c r="K40" i="37" s="1"/>
  <c r="A57" i="37" l="1"/>
  <c r="G43" i="37"/>
  <c r="J42" i="37" a="1"/>
  <c r="J42" i="37" s="1"/>
  <c r="H42" i="37" a="1"/>
  <c r="H42" i="37" s="1"/>
  <c r="A56" i="37"/>
  <c r="G44" i="37" l="1"/>
  <c r="J43" i="37" a="1"/>
  <c r="J43" i="37" s="1"/>
  <c r="H43" i="37" a="1"/>
  <c r="H43" i="37" s="1"/>
  <c r="I43" i="37" s="1" a="1"/>
  <c r="I43" i="37" s="1"/>
  <c r="K43" i="37" s="1"/>
  <c r="I42" i="37" a="1"/>
  <c r="I42" i="37" s="1"/>
  <c r="K42" i="37" s="1"/>
  <c r="A59" i="37" l="1"/>
  <c r="G45" i="37"/>
  <c r="J44" i="37" a="1"/>
  <c r="J44" i="37" s="1"/>
  <c r="H44" i="37" a="1"/>
  <c r="H44" i="37" s="1"/>
  <c r="A58" i="37"/>
  <c r="I44" i="37" l="1" a="1"/>
  <c r="I44" i="37" s="1"/>
  <c r="K44" i="37" s="1"/>
  <c r="G46" i="37"/>
  <c r="J45" i="37" a="1"/>
  <c r="J45" i="37" s="1"/>
  <c r="H45" i="37" a="1"/>
  <c r="H45" i="37" s="1"/>
  <c r="I45" i="37" s="1" a="1"/>
  <c r="I45" i="37" s="1"/>
  <c r="K45" i="37" s="1"/>
  <c r="A61" i="37" l="1"/>
  <c r="A60" i="37"/>
  <c r="G47" i="37"/>
  <c r="J46" i="37" a="1"/>
  <c r="J46" i="37" s="1"/>
  <c r="H46" i="37" a="1"/>
  <c r="H46" i="37" s="1"/>
  <c r="I46" i="37" s="1" a="1"/>
  <c r="I46" i="37" s="1"/>
  <c r="K46" i="37" s="1"/>
  <c r="A62" i="37" l="1"/>
  <c r="G48" i="37"/>
  <c r="J47" i="37" a="1"/>
  <c r="J47" i="37" s="1"/>
  <c r="H47" i="37" a="1"/>
  <c r="H47" i="37" s="1"/>
  <c r="I47" i="37" s="1" a="1"/>
  <c r="I47" i="37" s="1"/>
  <c r="K47" i="37" s="1"/>
  <c r="A63" i="37" l="1"/>
  <c r="G49" i="37"/>
  <c r="J48" i="37" a="1"/>
  <c r="J48" i="37" s="1"/>
  <c r="H48" i="37" a="1"/>
  <c r="H48" i="37" s="1"/>
  <c r="I48" i="37" s="1" a="1"/>
  <c r="I48" i="37" s="1"/>
  <c r="K48" i="37" s="1"/>
  <c r="A64" i="37" l="1"/>
  <c r="G50" i="37"/>
  <c r="H49" i="37" a="1"/>
  <c r="H49" i="37" s="1"/>
  <c r="I49" i="37" s="1" a="1"/>
  <c r="I49" i="37" s="1"/>
  <c r="K49" i="37" s="1"/>
  <c r="J49" i="37" a="1"/>
  <c r="J49" i="37" s="1"/>
  <c r="A65" i="37" l="1"/>
  <c r="G51" i="37"/>
  <c r="J50" i="37" a="1"/>
  <c r="J50" i="37" s="1"/>
  <c r="H50" i="37" a="1"/>
  <c r="H50" i="37" s="1"/>
  <c r="I50" i="37" s="1" a="1"/>
  <c r="I50" i="37" s="1"/>
  <c r="K50" i="37" s="1"/>
  <c r="A66" i="37" l="1"/>
  <c r="G52" i="37"/>
  <c r="J51" i="37" a="1"/>
  <c r="J51" i="37" s="1"/>
  <c r="H51" i="37" a="1"/>
  <c r="H51" i="37" s="1"/>
  <c r="I51" i="37" s="1" a="1"/>
  <c r="I51" i="37" s="1"/>
  <c r="K51" i="37" s="1"/>
  <c r="A67" i="37" l="1"/>
  <c r="G53" i="37"/>
  <c r="J52" i="37" a="1"/>
  <c r="J52" i="37" s="1"/>
  <c r="H52" i="37" a="1"/>
  <c r="H52" i="37" s="1"/>
  <c r="I52" i="37" s="1" a="1"/>
  <c r="I52" i="37" s="1"/>
  <c r="K52" i="37" s="1"/>
  <c r="A68" i="37" l="1"/>
  <c r="G54" i="37"/>
  <c r="J53" i="37" a="1"/>
  <c r="J53" i="37" s="1"/>
  <c r="H53" i="37" a="1"/>
  <c r="H53" i="37" s="1"/>
  <c r="I53" i="37" s="1" a="1"/>
  <c r="I53" i="37" s="1"/>
  <c r="K53" i="37" s="1"/>
  <c r="A69" i="37" l="1"/>
  <c r="G55" i="37"/>
  <c r="J54" i="37" a="1"/>
  <c r="J54" i="37" s="1"/>
  <c r="H54" i="37" a="1"/>
  <c r="H54" i="37" s="1"/>
  <c r="I54" i="37" s="1" a="1"/>
  <c r="I54" i="37" s="1"/>
  <c r="K54" i="37" s="1"/>
  <c r="A70" i="37" l="1"/>
  <c r="G56" i="37"/>
  <c r="J55" i="37" a="1"/>
  <c r="J55" i="37" s="1"/>
  <c r="H55" i="37" a="1"/>
  <c r="H55" i="37" s="1"/>
  <c r="I55" i="37" s="1" a="1"/>
  <c r="I55" i="37" s="1"/>
  <c r="K55" i="37" s="1"/>
  <c r="A71" i="37" l="1"/>
  <c r="G57" i="37"/>
  <c r="J56" i="37" a="1"/>
  <c r="J56" i="37" s="1"/>
  <c r="H56" i="37" a="1"/>
  <c r="H56" i="37" s="1"/>
  <c r="I56" i="37" s="1" a="1"/>
  <c r="I56" i="37" s="1"/>
  <c r="K56" i="37" s="1"/>
  <c r="A72" i="37" l="1"/>
  <c r="G58" i="37"/>
  <c r="H57" i="37" a="1"/>
  <c r="H57" i="37" s="1"/>
  <c r="I57" i="37" s="1" a="1"/>
  <c r="I57" i="37" s="1"/>
  <c r="K57" i="37" s="1"/>
  <c r="J57" i="37" a="1"/>
  <c r="J57" i="37" s="1"/>
  <c r="A73" i="37" l="1"/>
  <c r="G59" i="37"/>
  <c r="J58" i="37" a="1"/>
  <c r="J58" i="37" s="1"/>
  <c r="H58" i="37" a="1"/>
  <c r="H58" i="37" s="1"/>
  <c r="I58" i="37" s="1" a="1"/>
  <c r="I58" i="37" s="1"/>
  <c r="K58" i="37" s="1"/>
  <c r="A74" i="37" l="1"/>
  <c r="G60" i="37"/>
  <c r="J59" i="37" a="1"/>
  <c r="J59" i="37" s="1"/>
  <c r="H59" i="37" a="1"/>
  <c r="H59" i="37" s="1"/>
  <c r="I59" i="37" s="1" a="1"/>
  <c r="I59" i="37" s="1"/>
  <c r="K59" i="37" s="1"/>
  <c r="A75" i="37" l="1"/>
  <c r="J60" i="37" a="1"/>
  <c r="J60" i="37" s="1"/>
  <c r="H60" i="37" a="1"/>
  <c r="H60" i="37" s="1"/>
  <c r="I60" i="37" s="1" a="1"/>
  <c r="I60" i="37" s="1"/>
  <c r="K60" i="37" s="1"/>
  <c r="G61" i="37"/>
  <c r="A76" i="37" l="1"/>
  <c r="A77" i="37"/>
  <c r="G62" i="37"/>
  <c r="J61" i="37" a="1"/>
  <c r="J61" i="37" s="1"/>
  <c r="H61" i="37" a="1"/>
  <c r="H61" i="37" s="1"/>
  <c r="I61" i="37" s="1" a="1"/>
  <c r="I61" i="37" s="1"/>
  <c r="K61" i="37" s="1"/>
  <c r="G63" i="37" l="1"/>
  <c r="J62" i="37" a="1"/>
  <c r="J62" i="37" s="1"/>
  <c r="H62" i="37" a="1"/>
  <c r="H62" i="37" s="1"/>
  <c r="I62" i="37" s="1" a="1"/>
  <c r="I62" i="37" s="1"/>
  <c r="K62" i="37" s="1"/>
  <c r="A78" i="37"/>
  <c r="G64" i="37" l="1"/>
  <c r="J63" i="37" a="1"/>
  <c r="J63" i="37" s="1"/>
  <c r="H63" i="37" a="1"/>
  <c r="H63" i="37" s="1"/>
  <c r="I63" i="37" s="1" a="1"/>
  <c r="I63" i="37" s="1"/>
  <c r="K63" i="37" s="1"/>
  <c r="A79" i="37"/>
  <c r="A80" i="37" l="1"/>
  <c r="H64" i="37" a="1"/>
  <c r="H64" i="37" s="1"/>
  <c r="I64" i="37" s="1" a="1"/>
  <c r="I64" i="37" s="1"/>
  <c r="K64" i="37" s="1"/>
  <c r="J64" i="37" a="1"/>
  <c r="J64" i="37" s="1"/>
  <c r="BP2" i="66"/>
  <c r="AT5" i="66" l="1"/>
</calcChain>
</file>

<file path=xl/comments1.xml><?xml version="1.0" encoding="utf-8"?>
<comments xmlns="http://schemas.openxmlformats.org/spreadsheetml/2006/main">
  <authors>
    <author>user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Worked out from Column H. Can only be "F" or "M"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 xml:space="preserve">Enter race numbers into Column 1. Red means duplicate!
Do not edit/delete other columns in sheet (Use right click+ 'Clear Contents' on shaded columns E to K if you must)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<sst xmlns="http://schemas.openxmlformats.org/spreadsheetml/2006/main" count="6094" uniqueCount="2755">
  <si>
    <t>Introduction</t>
  </si>
  <si>
    <t>Getting started Office 2003</t>
  </si>
  <si>
    <t>Getting started Office 2013</t>
  </si>
  <si>
    <t>allow macro execution while file opening</t>
  </si>
  <si>
    <t>Rights</t>
  </si>
  <si>
    <t>Contacts</t>
  </si>
  <si>
    <t>on menu Tools, Macro, Protection, select Low as protection level (this allows VBA code to work)</t>
  </si>
  <si>
    <t>on File, Options, Protection Center, Macro settings check 'Trust access to the VBA project object model'</t>
  </si>
  <si>
    <t>on menu Tools, Macro,  Trusted Sources tab, set 'Trust access to Visual Basic Project'</t>
  </si>
  <si>
    <t>Surname</t>
  </si>
  <si>
    <t>First Name</t>
  </si>
  <si>
    <t>JM</t>
  </si>
  <si>
    <t>CAT</t>
  </si>
  <si>
    <t>DOB</t>
  </si>
  <si>
    <t>PHONE</t>
  </si>
  <si>
    <t>MM</t>
  </si>
  <si>
    <t>CAT NAME</t>
  </si>
  <si>
    <t>NB</t>
  </si>
  <si>
    <t>NG</t>
  </si>
  <si>
    <t>SB</t>
  </si>
  <si>
    <t>SG</t>
  </si>
  <si>
    <t>JG</t>
  </si>
  <si>
    <t>Junior</t>
  </si>
  <si>
    <t>Gender</t>
  </si>
  <si>
    <t>Stage 1</t>
  </si>
  <si>
    <t>Stage 2</t>
  </si>
  <si>
    <t>Stage 3</t>
  </si>
  <si>
    <t>Stage 4</t>
  </si>
  <si>
    <t>Stage 5</t>
  </si>
  <si>
    <t>Stage 6</t>
  </si>
  <si>
    <t>Sponsor</t>
  </si>
  <si>
    <t>No. Stages</t>
  </si>
  <si>
    <t>Total Time</t>
  </si>
  <si>
    <t>SS1S RAW</t>
  </si>
  <si>
    <t>SS2S RAW</t>
  </si>
  <si>
    <t>SS3S RAW</t>
  </si>
  <si>
    <t>SS4S RAW</t>
  </si>
  <si>
    <t>SS5S RAW</t>
  </si>
  <si>
    <t>SS6S RAW</t>
  </si>
  <si>
    <t>SS1E RAW</t>
  </si>
  <si>
    <t>SS2E RAW</t>
  </si>
  <si>
    <t>SS3E RAW</t>
  </si>
  <si>
    <t>SS4E RAW</t>
  </si>
  <si>
    <t>SS5E RAW</t>
  </si>
  <si>
    <t>SS6E RAW</t>
  </si>
  <si>
    <t>DISPLAYTIME SS1</t>
  </si>
  <si>
    <t>DISPLAYTIME SS2</t>
  </si>
  <si>
    <t>DISPLAYTIME SS3</t>
  </si>
  <si>
    <t>DISPLAYTIME SS4</t>
  </si>
  <si>
    <t>DISPLAYTIME SS6</t>
  </si>
  <si>
    <t>DISPLAYTIME SS5</t>
  </si>
  <si>
    <t>Rank SS1</t>
  </si>
  <si>
    <t>Rank SS2</t>
  </si>
  <si>
    <t>Rank SS3</t>
  </si>
  <si>
    <t>Rank SS4</t>
  </si>
  <si>
    <t>Rank SS5</t>
  </si>
  <si>
    <t>Rank SS6</t>
  </si>
  <si>
    <t>Write check</t>
  </si>
  <si>
    <t>Block 1 Write</t>
  </si>
  <si>
    <t>Block 2 Write</t>
  </si>
  <si>
    <t>Block 4 Write</t>
  </si>
  <si>
    <t>Wipe Card</t>
  </si>
  <si>
    <t>FName check</t>
  </si>
  <si>
    <t>SName check</t>
  </si>
  <si>
    <t>RaceNo check</t>
  </si>
  <si>
    <t>This spreadsheet allows race organisers to import race entrants details (from EntryList tab) to iTime Africa watch transponders.</t>
  </si>
  <si>
    <t>the results to the 'DownloadResults' worksheet for error checking etc</t>
  </si>
  <si>
    <t>press [CTRL][a] to link to the Race Calculator pod</t>
  </si>
  <si>
    <t>set COM number and speed as 57600</t>
  </si>
  <si>
    <t>Software is property of iTime Africa</t>
  </si>
  <si>
    <t>info@irideafrica.com</t>
  </si>
  <si>
    <t>"Age" Column is automatically calculated from Date of Birth</t>
  </si>
  <si>
    <t>Watch ID</t>
  </si>
  <si>
    <t>"Full Name" column is calculate from First Name and Surname</t>
  </si>
  <si>
    <t>"Category" column is automatically calculated on "Gender", "Date of Birth" and your "Age Categories" Worksheet columns</t>
  </si>
  <si>
    <t>After the entrant has finished the race, the Watch transponder must be scanned with the 'Race Calculator' pod, which will download</t>
  </si>
  <si>
    <t>Race organiser can then sort results in the 'SortedResults' tab by clicking on the 'Sort Results' button</t>
  </si>
  <si>
    <t>Any duplicate race numbers or calculation mistakes will be highlighted as light red cells</t>
  </si>
  <si>
    <r>
      <t xml:space="preserve">Results will show </t>
    </r>
    <r>
      <rPr>
        <b/>
        <sz val="10"/>
        <rFont val="Arial"/>
        <family val="2"/>
      </rPr>
      <t>Overall</t>
    </r>
    <r>
      <rPr>
        <sz val="10"/>
        <rFont val="Arial"/>
        <family val="2"/>
      </rPr>
      <t xml:space="preserve"> top 3 of each Special Stage as a Gold, Silver or Bronze highlighted cell</t>
    </r>
  </si>
  <si>
    <t>Column "Watch No" is watch transponder number</t>
  </si>
  <si>
    <t>Column "Race Board No" is number of entrants handlebar board (if supplied)</t>
  </si>
  <si>
    <t>Connect to "Race Calculator" pod</t>
  </si>
  <si>
    <t>if you get repeated errors from COM, restart Excel</t>
  </si>
  <si>
    <t>Write Entrylist data to watch transponder</t>
  </si>
  <si>
    <t>Go to "write2Watch' worksheet</t>
  </si>
  <si>
    <t>Input the watch ID's you want to upload in the "watch ID" column (Duplicate Watch ID's will show up as red cells)</t>
  </si>
  <si>
    <t xml:space="preserve">Press "CTRL+A", choose correct COM port and press "Connect" </t>
  </si>
  <si>
    <t>Download race results from Watch transponder</t>
  </si>
  <si>
    <t>Go to "DownloadResults" worksheet</t>
  </si>
  <si>
    <t>Hold appropriate numbered Watch transponder to face of Race Calculator pod, until all cells go green (Takes a few seconds per watch)</t>
  </si>
  <si>
    <t>Hold Watch transponder to face of Race Calculator pod (Takes a few seconds per watch)</t>
  </si>
  <si>
    <t>The Pods calculated time is checked against Excel calculated time and error will be shown as red cell</t>
  </si>
  <si>
    <t>Prepare Worksheets</t>
  </si>
  <si>
    <t>If the cell is not Red, You can assume a correct time and click on the "Print Result button" (Assuming the thermal printer USB to USB computer connection)</t>
  </si>
  <si>
    <t>Full Name</t>
  </si>
  <si>
    <t>CATEGORY CODE</t>
  </si>
  <si>
    <t>MALE</t>
  </si>
  <si>
    <t>FEMALE</t>
  </si>
  <si>
    <t>Cat Position</t>
  </si>
  <si>
    <t>Special Notes</t>
  </si>
  <si>
    <t>Populate the "EntryList"' worksheet.  Minium requirement is Watch Number</t>
  </si>
  <si>
    <t>If some cells turn red/blank/ error message appears, then write to watch was not succesful and must be done at a later stage</t>
  </si>
  <si>
    <t>Easist to go through whle list and then delete all green entries, so that errors/blanks are left (clear contents of columns E to K) , Disconnect and Reconnect and scan them in again</t>
  </si>
  <si>
    <t>IN THE HOTSEAT:</t>
  </si>
  <si>
    <t>&amp;</t>
  </si>
  <si>
    <t>(Clear other Data ONLY by deleting Watch ID's!)</t>
  </si>
  <si>
    <t>Protect Worsksheets password is teatime (only Dan can use this!!!)</t>
  </si>
  <si>
    <t>Special characters in might mean weird characters displayed like ? And @</t>
  </si>
  <si>
    <t>Overall</t>
  </si>
  <si>
    <t>Cat.</t>
  </si>
  <si>
    <t>Stages</t>
  </si>
  <si>
    <t>Notes</t>
  </si>
  <si>
    <t>Blank2</t>
  </si>
  <si>
    <t>Blank3</t>
  </si>
  <si>
    <t>Finish Position</t>
  </si>
  <si>
    <t>Points</t>
  </si>
  <si>
    <t>Split</t>
  </si>
  <si>
    <t>Gap to 1st</t>
  </si>
  <si>
    <t>Cat Pos</t>
  </si>
  <si>
    <t>Pnts</t>
  </si>
  <si>
    <t>ID No.</t>
  </si>
  <si>
    <t>Cat:</t>
  </si>
  <si>
    <t>Watch No:</t>
  </si>
  <si>
    <t>SS7S RAW</t>
  </si>
  <si>
    <t>SS7E RAW</t>
  </si>
  <si>
    <t>SS8S RAW</t>
  </si>
  <si>
    <t>SS8E RAW</t>
  </si>
  <si>
    <t>Stage 7</t>
  </si>
  <si>
    <t>Stage 8</t>
  </si>
  <si>
    <t>Rank SS7</t>
  </si>
  <si>
    <t>Rank SS8</t>
  </si>
  <si>
    <t>DISPLAYTIME SS7</t>
  </si>
  <si>
    <t>DISPLAYTIME SS8</t>
  </si>
  <si>
    <t>ID</t>
  </si>
  <si>
    <t>Cat. Pos.</t>
  </si>
  <si>
    <t>Name</t>
  </si>
  <si>
    <t>Position</t>
  </si>
  <si>
    <t>EDIT THIS SHEET FOR CHANGES ETC</t>
  </si>
  <si>
    <t>SS1</t>
  </si>
  <si>
    <t>SS2</t>
  </si>
  <si>
    <t>SS3</t>
  </si>
  <si>
    <t>SS4</t>
  </si>
  <si>
    <t>SS5</t>
  </si>
  <si>
    <t>SS6</t>
  </si>
  <si>
    <t>SS7</t>
  </si>
  <si>
    <t>SS8</t>
  </si>
  <si>
    <t/>
  </si>
  <si>
    <t>PODSS1</t>
  </si>
  <si>
    <t>PODSS2</t>
  </si>
  <si>
    <t>PODSS3</t>
  </si>
  <si>
    <t>PODSS4</t>
  </si>
  <si>
    <t>PODSS5</t>
  </si>
  <si>
    <t>PODSS6</t>
  </si>
  <si>
    <t>PODSS7</t>
  </si>
  <si>
    <t>PODSS8</t>
  </si>
  <si>
    <t>POD Total</t>
  </si>
  <si>
    <t>Total TIME</t>
  </si>
  <si>
    <t>STAGE1</t>
  </si>
  <si>
    <t>STAGE2</t>
  </si>
  <si>
    <t>STAGE3</t>
  </si>
  <si>
    <t>STAGE4</t>
  </si>
  <si>
    <t>STAGE5</t>
  </si>
  <si>
    <t>STAGE6</t>
  </si>
  <si>
    <t>STAGE7</t>
  </si>
  <si>
    <t>STAGE8</t>
  </si>
  <si>
    <t>Rider Gap</t>
  </si>
  <si>
    <t>Cat Pos.</t>
  </si>
  <si>
    <t>Category Top 3</t>
  </si>
  <si>
    <t>Overall Pos.</t>
  </si>
  <si>
    <t>Ctrl P -for time penalties/fixes</t>
  </si>
  <si>
    <t>Ctrl R -for hiding columns</t>
  </si>
  <si>
    <t>Correct Sponsor Column</t>
  </si>
  <si>
    <t>search to end of row global fixes (rather than line 252)</t>
  </si>
  <si>
    <t>graphs</t>
  </si>
  <si>
    <t>race setup? Mass start vs enduro etc</t>
  </si>
  <si>
    <t>print results to pdf button</t>
  </si>
  <si>
    <t>upload results to www. Button</t>
  </si>
  <si>
    <t>after registration-delete/update entrants that didn't pick up watch</t>
  </si>
  <si>
    <t>entrylist- pick up watch/indemnity signed/numberboard tick box</t>
  </si>
  <si>
    <t>Global change for categories, special lables(Hardails/lite etc)</t>
  </si>
  <si>
    <t>REGISTERED?</t>
  </si>
  <si>
    <t>race analyisis-error checking</t>
  </si>
  <si>
    <t>Ctrl E -for adding/editing racers</t>
  </si>
  <si>
    <t>Amnt</t>
  </si>
  <si>
    <t>Item</t>
  </si>
  <si>
    <t>17x</t>
  </si>
  <si>
    <t>Timing PODs</t>
  </si>
  <si>
    <t>2x</t>
  </si>
  <si>
    <t>Download PODS</t>
  </si>
  <si>
    <t>FTDI connectors</t>
  </si>
  <si>
    <t>20x</t>
  </si>
  <si>
    <t>18650 battereis</t>
  </si>
  <si>
    <t>Laptop</t>
  </si>
  <si>
    <t>Laptop batteries</t>
  </si>
  <si>
    <t>1x</t>
  </si>
  <si>
    <t>30m extension cord</t>
  </si>
  <si>
    <t>4x</t>
  </si>
  <si>
    <t>Battery Chargers</t>
  </si>
  <si>
    <t>micro USB cables</t>
  </si>
  <si>
    <t>mini USB cables</t>
  </si>
  <si>
    <t>logos inmport and display</t>
  </si>
  <si>
    <t>mass race start time and 'now' button</t>
  </si>
  <si>
    <t>battery spacer clips</t>
  </si>
  <si>
    <t>printer</t>
  </si>
  <si>
    <t>printer paper</t>
  </si>
  <si>
    <t>Watches!</t>
  </si>
  <si>
    <t>200-300x</t>
  </si>
  <si>
    <t>Laptop Charger</t>
  </si>
  <si>
    <t>-</t>
  </si>
  <si>
    <t>M</t>
  </si>
  <si>
    <t>F</t>
  </si>
  <si>
    <t>Team</t>
  </si>
  <si>
    <t>category changes need to be made more robust</t>
  </si>
  <si>
    <t>pens, markers,zipties</t>
  </si>
  <si>
    <t>series/points editing and calculating</t>
  </si>
  <si>
    <t>team reults macro and setting up of rules(min members,)average time,slowest time,fastest time etc</t>
  </si>
  <si>
    <t>email/sms results as soons as watch scanned?</t>
  </si>
  <si>
    <t>LITE</t>
  </si>
  <si>
    <t>MAX AGE</t>
  </si>
  <si>
    <t>MIN AGE</t>
  </si>
  <si>
    <t>(Keep Short)</t>
  </si>
  <si>
    <t>Time</t>
  </si>
  <si>
    <t>GIVEN GENDER/CAT.</t>
  </si>
  <si>
    <t>printout of top 3 overall men and women</t>
  </si>
  <si>
    <t>Edit of Categories needs check that ages don't overlap</t>
  </si>
  <si>
    <t>Overall Top 5</t>
  </si>
  <si>
    <t>Overall Results</t>
  </si>
  <si>
    <t>Category Results</t>
  </si>
  <si>
    <t>Find First name</t>
  </si>
  <si>
    <t>Find Surname</t>
  </si>
  <si>
    <t>Combined First &amp; Surname</t>
  </si>
  <si>
    <t>Abbreviated</t>
  </si>
  <si>
    <t>Mass Start</t>
  </si>
  <si>
    <t>Enduro</t>
  </si>
  <si>
    <t>WATCH ID</t>
  </si>
  <si>
    <t>FULL NAME</t>
  </si>
  <si>
    <t>FIRST NAME</t>
  </si>
  <si>
    <t>TEAM/SPONSOR</t>
  </si>
  <si>
    <t>SPECIAL CAT. CODE</t>
  </si>
  <si>
    <t>Hot keys</t>
  </si>
  <si>
    <t>cancel thermal printing of every racer checkbox</t>
  </si>
  <si>
    <t>Status</t>
  </si>
  <si>
    <t>Duplicate names</t>
  </si>
  <si>
    <t>Duplicate Watch</t>
  </si>
  <si>
    <t>kitchen gloves for yukky watches!</t>
  </si>
  <si>
    <t>SS1SRAW</t>
  </si>
  <si>
    <t>Printout data from excel</t>
  </si>
  <si>
    <t>Printout data from Arduino PODS</t>
  </si>
  <si>
    <t>Duplicate Scan</t>
  </si>
  <si>
    <t>Backup CAT. Calculator</t>
  </si>
  <si>
    <t>Nickname</t>
  </si>
  <si>
    <t>Volunteer</t>
  </si>
  <si>
    <t>I.C.E</t>
  </si>
  <si>
    <t>Ctril U -for user form</t>
  </si>
  <si>
    <t>Entry list printout</t>
  </si>
  <si>
    <t>Un-interrupted power supply/generator</t>
  </si>
  <si>
    <t>Laps</t>
  </si>
  <si>
    <t>add race logo to time slip</t>
  </si>
  <si>
    <t>need to remove positions (or mark as DNF's) for non finsihers (not all stages completed)</t>
  </si>
  <si>
    <t>Backup DOB Calculator</t>
  </si>
  <si>
    <t>Backup GENDER calculator</t>
  </si>
  <si>
    <t>Spare2</t>
  </si>
  <si>
    <t>Spare3</t>
  </si>
  <si>
    <t>TO DO:</t>
  </si>
  <si>
    <t>fix bug that replaces top line racer id when adding a new racer(or manualley enter new racer in entrylist sheet only)</t>
  </si>
  <si>
    <t>global change racer watch-needs to update new watch id on all pages and all days)</t>
  </si>
  <si>
    <t xml:space="preserve">calculate multiday results button </t>
  </si>
  <si>
    <t>calculate EWS results button</t>
  </si>
  <si>
    <t>Calulate Team Results by overall (fullresults)position?</t>
  </si>
  <si>
    <t>Add new racer</t>
  </si>
  <si>
    <t>Column1</t>
  </si>
  <si>
    <t>button initilaise new race (clear all results (not entrylist), unhide all columns and filters</t>
  </si>
  <si>
    <t>DONE:</t>
  </si>
  <si>
    <t>Stage ID and latest scan will overwrite previous times!</t>
  </si>
  <si>
    <t>To Set Stage ID:</t>
  </si>
  <si>
    <t>1)Put POD in programming mode (dipswitch 2)</t>
  </si>
  <si>
    <t>3)Put POD out of programming mode (dipswitch 2)</t>
  </si>
  <si>
    <t>race setup stages must check/match number of stages on results printout</t>
  </si>
  <si>
    <t>Press start at start of race</t>
  </si>
  <si>
    <t>Copy this epoch time (value only) to column AE (SS1S RAW)of saveddownload and sorted download for all rows</t>
  </si>
  <si>
    <t>End POD programmed as SS8End</t>
  </si>
  <si>
    <t>If going off in batches etc then POD SS1Start will be used to tag in</t>
  </si>
  <si>
    <t>Intermediate Tag point pods can be All other pods (start or finish)</t>
  </si>
  <si>
    <t>RESULTS</t>
  </si>
  <si>
    <t>Start Time</t>
  </si>
  <si>
    <t>End Time</t>
  </si>
  <si>
    <t>Tag 1</t>
  </si>
  <si>
    <t>Tag2</t>
  </si>
  <si>
    <t>Tag 3</t>
  </si>
  <si>
    <t>Tag 4</t>
  </si>
  <si>
    <t>Tag 5</t>
  </si>
  <si>
    <t>Tag 6</t>
  </si>
  <si>
    <t>Tag 7</t>
  </si>
  <si>
    <t>Tag 8</t>
  </si>
  <si>
    <t>Tag 9</t>
  </si>
  <si>
    <t>Tag 10</t>
  </si>
  <si>
    <t>Tag 11</t>
  </si>
  <si>
    <t>Tag 12</t>
  </si>
  <si>
    <t>Tag 13</t>
  </si>
  <si>
    <t>Tag 14</t>
  </si>
  <si>
    <t>No of Tags</t>
  </si>
  <si>
    <t>&lt;&lt;&lt; iTime Africa &gt;&gt;&gt;</t>
  </si>
  <si>
    <t>Province</t>
  </si>
  <si>
    <t>Start POD is not necessary if mass start is used</t>
  </si>
  <si>
    <t>MASS START SETUP</t>
  </si>
  <si>
    <t>CHECK POINT RACE SETUP</t>
  </si>
  <si>
    <t>Copy and paste this epoch time  (value only) to column AE (SS1S RAW)of saveddownload and sorted download for all rows</t>
  </si>
  <si>
    <t>SETTING POD STAGES</t>
  </si>
  <si>
    <t>POD OPERATION</t>
  </si>
  <si>
    <t>PRE-RACE CHECKLIST</t>
  </si>
  <si>
    <t>POST-RACE CHECKLIST</t>
  </si>
  <si>
    <t>TIMERS BRIEFING</t>
  </si>
  <si>
    <t>PACKING CHECKLIST</t>
  </si>
  <si>
    <t>This rights epoch time to cell E1 of Download Results</t>
  </si>
  <si>
    <t>First name AND surname must be truncated to 10 characters each!!! (not sure this is still the case?)</t>
  </si>
  <si>
    <t>Backup flash drive</t>
  </si>
  <si>
    <t>Secondary Screen&amp; HDMI connector</t>
  </si>
  <si>
    <t>Email</t>
  </si>
  <si>
    <t>rider stats -youngest/oldest/number of women age cat breakdown etc</t>
  </si>
  <si>
    <t>Backup Age @Year end</t>
  </si>
  <si>
    <t>Junior Men</t>
  </si>
  <si>
    <t>Vet Men</t>
  </si>
  <si>
    <t>EBike</t>
  </si>
  <si>
    <t>(CATPOS,CAT,NAME)</t>
  </si>
  <si>
    <t>(POS,NAME,TIME)</t>
  </si>
  <si>
    <t>NUMBER</t>
  </si>
  <si>
    <t>RETURNED</t>
  </si>
  <si>
    <t>NUMBERS</t>
  </si>
  <si>
    <t>REGISTERED</t>
  </si>
  <si>
    <t>Age categories tab shows numbers of each category and how many have returned returned (box goes green=can do prizegiving)</t>
  </si>
  <si>
    <t>Racer 'Notes' textbox goes red if text is present</t>
  </si>
  <si>
    <t xml:space="preserve">PERCENTAGE </t>
  </si>
  <si>
    <t>OF FIELD</t>
  </si>
  <si>
    <t>Youngest Rider</t>
  </si>
  <si>
    <t>Oldest Rider</t>
  </si>
  <si>
    <t>Number Women</t>
  </si>
  <si>
    <t>Number Men</t>
  </si>
  <si>
    <t>Total Entrants</t>
  </si>
  <si>
    <t>Percent Women</t>
  </si>
  <si>
    <t>Percent Men</t>
  </si>
  <si>
    <t>Race Stats</t>
  </si>
  <si>
    <t>Made Check Point Race capability (Up to 14 checkpoints)</t>
  </si>
  <si>
    <t>Display and printout race stats, youngest rider percent female etc</t>
  </si>
  <si>
    <t xml:space="preserve"> of watch near RFID.</t>
  </si>
  <si>
    <t>(useful for organisers and photographers etc)</t>
  </si>
  <si>
    <t>battery is OK and flashing fast when battery is about to die.</t>
  </si>
  <si>
    <t>light up. No sound or LEDS= no Time written to watch!</t>
  </si>
  <si>
    <t>1)Timing Pods record the Time to Racer Watches/cards upon scan</t>
  </si>
  <si>
    <t xml:space="preserve">2) The Pods also display number of tags since switch on </t>
  </si>
  <si>
    <t xml:space="preserve">4)The Status LED is solid when battery is good, flashing slowly when </t>
  </si>
  <si>
    <t xml:space="preserve">5)Upon a succesful scan POd will sound a Beep and corner LEDS will </t>
  </si>
  <si>
    <t xml:space="preserve">3)PODS also show  Temperature and battery voltage and battery </t>
  </si>
  <si>
    <t xml:space="preserve"> status - ('Good', 'OK' and 'Turn Off!')</t>
  </si>
  <si>
    <t xml:space="preserve"> have done all stages</t>
  </si>
  <si>
    <t>1)Remove all non starters</t>
  </si>
  <si>
    <t>2)Remove duplicate scans</t>
  </si>
  <si>
    <t>3)Check edited times are for correct athletes</t>
  </si>
  <si>
    <t>4)Team Results -check that only valid teams and all members</t>
  </si>
  <si>
    <t>1) This Program  has a 'Program mode' and a 'Timing mode'</t>
  </si>
  <si>
    <t>2)DipSwitch Number 2 on the PCB toggles between the 2 modes.</t>
  </si>
  <si>
    <t>3)Programming mode is used to sync the RTC time to the PC time</t>
  </si>
  <si>
    <t xml:space="preserve"> using the 'Processing' program 'SyncArduinoClock'</t>
  </si>
  <si>
    <t xml:space="preserve">4)Programming mode is also used to set the </t>
  </si>
  <si>
    <t>Stage ID (Stage 1 Start, Stage 2 Finish etc)by swiping a watch/tag during the count down</t>
  </si>
  <si>
    <t>5)Timing Mode is used to write the RTC time to racer watch/card.</t>
  </si>
  <si>
    <t xml:space="preserve">2)Turn on POD and while screen is black, scan a card/watch until </t>
  </si>
  <si>
    <t>6)Times are recorded to specific sectors on the watch according to the</t>
  </si>
  <si>
    <t>1)Check all entrants have age &amp; category</t>
  </si>
  <si>
    <t>2)Check for Duplicate Names</t>
  </si>
  <si>
    <t>3)Check for Duplicate Watch Numbers</t>
  </si>
  <si>
    <t>1)How to open and close</t>
  </si>
  <si>
    <t>2)How to remove battery</t>
  </si>
  <si>
    <t>3)How to Turn on and off and reset</t>
  </si>
  <si>
    <t>4)How to scan watch</t>
  </si>
  <si>
    <t>5)Spare tag on POD for programming</t>
  </si>
  <si>
    <t>6)How to erect tripods</t>
  </si>
  <si>
    <t>7)How to erect terahedrons</t>
  </si>
  <si>
    <t>8)Status LED conditions</t>
  </si>
  <si>
    <t>9)RTC battery importance</t>
  </si>
  <si>
    <t>10)Stage description importance</t>
  </si>
  <si>
    <t>11)How to program Stage description</t>
  </si>
  <si>
    <t>12)How to turn on and off programming mode</t>
  </si>
  <si>
    <t>13)How to scan watches/hold POD</t>
  </si>
  <si>
    <t xml:space="preserve">14)Importance of not moving from finsih line </t>
  </si>
  <si>
    <t>15)Importance of riders stopping at timer</t>
  </si>
  <si>
    <t>16)Spare timing chip on POD-can be given to riders that lose watches</t>
  </si>
  <si>
    <t>desired Stage ID is on screen  (There are a max of 8 Stages to choose from)</t>
  </si>
  <si>
    <t xml:space="preserve"> reset the arduino and carry on scanning)</t>
  </si>
  <si>
    <t xml:space="preserve"> (If you do not get to the desired Stage ID before countdown runs out,</t>
  </si>
  <si>
    <t>showing on the top line of LCD</t>
  </si>
  <si>
    <t xml:space="preserve"> 4) Turn off/on (or reset) POD and check that desired Stage is </t>
  </si>
  <si>
    <t>1)What we need from entrylist</t>
  </si>
  <si>
    <t>2)Results upload address?</t>
  </si>
  <si>
    <t>3)When are results needed?</t>
  </si>
  <si>
    <t>4)Logos for results file</t>
  </si>
  <si>
    <t>Left in Cat</t>
  </si>
  <si>
    <t>Pos in Cat</t>
  </si>
  <si>
    <t>Overall Pos</t>
  </si>
  <si>
    <t>Pos.</t>
  </si>
  <si>
    <t>SS1 Pos</t>
  </si>
  <si>
    <t>SS2 Pos</t>
  </si>
  <si>
    <t>SS3 Pos</t>
  </si>
  <si>
    <t>SS4 Pos</t>
  </si>
  <si>
    <t>SS5 Pos</t>
  </si>
  <si>
    <t>SS8 Pos</t>
  </si>
  <si>
    <t>SS7 Pos</t>
  </si>
  <si>
    <t>SS6 Pos</t>
  </si>
  <si>
    <t>Positions 101-150</t>
  </si>
  <si>
    <t>Positions 151-200</t>
  </si>
  <si>
    <t xml:space="preserve">Positions 251-300 </t>
  </si>
  <si>
    <t>Positions 301-350</t>
  </si>
  <si>
    <t>Positions 351-400</t>
  </si>
  <si>
    <t>Positions 201-250</t>
  </si>
  <si>
    <t>Positions 401-450</t>
  </si>
  <si>
    <t>Positions 451-498</t>
  </si>
  <si>
    <t>Top 50 Positions</t>
  </si>
  <si>
    <t>Positions 51-100</t>
  </si>
  <si>
    <t>Helper</t>
  </si>
  <si>
    <t>Column</t>
  </si>
  <si>
    <t>Make sure PC time is synced with POD time!</t>
  </si>
  <si>
    <t>USB multiport</t>
  </si>
  <si>
    <t>Number of Entrants</t>
  </si>
  <si>
    <t>Sport</t>
  </si>
  <si>
    <t>Ave. Stage Pos.</t>
  </si>
  <si>
    <t>SS2 ave calc</t>
  </si>
  <si>
    <t>SS3 ave calc</t>
  </si>
  <si>
    <t>SS4 ave calc</t>
  </si>
  <si>
    <t>SS5 ave calc</t>
  </si>
  <si>
    <t>SS6 ave calc</t>
  </si>
  <si>
    <t>SS7 ave calc</t>
  </si>
  <si>
    <t>SS8 ave calc</t>
  </si>
  <si>
    <t>SS1 ave calc</t>
  </si>
  <si>
    <t>Race Date</t>
  </si>
  <si>
    <t>Race Type</t>
  </si>
  <si>
    <t>Full Stages</t>
  </si>
  <si>
    <t>Lite Stages</t>
  </si>
  <si>
    <t>Custom Column 1</t>
  </si>
  <si>
    <t>Custom Column 2</t>
  </si>
  <si>
    <t>Registration Time</t>
  </si>
  <si>
    <t>Check Points</t>
  </si>
  <si>
    <t>Entrants Registered</t>
  </si>
  <si>
    <t>Entrants Returned</t>
  </si>
  <si>
    <t>Year End Date</t>
  </si>
  <si>
    <t>Logo</t>
  </si>
  <si>
    <t>Course Map</t>
  </si>
  <si>
    <t>Venue Map</t>
  </si>
  <si>
    <t>Lucky Draw Picker</t>
  </si>
  <si>
    <t>Favourite Stage</t>
  </si>
  <si>
    <t>Least Favourite Stage</t>
  </si>
  <si>
    <t>Choice 1</t>
  </si>
  <si>
    <t>Choice 2</t>
  </si>
  <si>
    <t>Choice 3</t>
  </si>
  <si>
    <t>Choice 4</t>
  </si>
  <si>
    <t>Choice 5</t>
  </si>
  <si>
    <t>Choice 6</t>
  </si>
  <si>
    <t>Choice 7</t>
  </si>
  <si>
    <t>Choice 8</t>
  </si>
  <si>
    <t>Choice 9</t>
  </si>
  <si>
    <t>Choice 10</t>
  </si>
  <si>
    <t>List of Choices</t>
  </si>
  <si>
    <t>Choice Max Size</t>
  </si>
  <si>
    <t>Special Cat 1</t>
  </si>
  <si>
    <t>Special Cat 2</t>
  </si>
  <si>
    <t>Special Cat 3</t>
  </si>
  <si>
    <t>Special Cat 4</t>
  </si>
  <si>
    <t>Special Cat Codes</t>
  </si>
  <si>
    <t>Unique Category List</t>
  </si>
  <si>
    <t>Scans at Int. 1</t>
  </si>
  <si>
    <t>Scans at Int. 2</t>
  </si>
  <si>
    <t>Scans at HQ</t>
  </si>
  <si>
    <t>Min Watch Number</t>
  </si>
  <si>
    <t>Max Watch Number</t>
  </si>
  <si>
    <t>Testshoek</t>
  </si>
  <si>
    <t>Heat Map URL</t>
  </si>
  <si>
    <t>Admin Users</t>
  </si>
  <si>
    <t>CheckPoints</t>
  </si>
  <si>
    <t>Gender Choice 1</t>
  </si>
  <si>
    <t>Gender Choice 2</t>
  </si>
  <si>
    <t>Gender Choice 3</t>
  </si>
  <si>
    <t>Video Link 1</t>
  </si>
  <si>
    <t>Video Link 2</t>
  </si>
  <si>
    <t>Video Link 3</t>
  </si>
  <si>
    <t>Video Link 4</t>
  </si>
  <si>
    <t>Video Link 5</t>
  </si>
  <si>
    <t>Video Link 6</t>
  </si>
  <si>
    <t>Custom Column 3</t>
  </si>
  <si>
    <t>Custom Column 4</t>
  </si>
  <si>
    <t>Validation Column Name</t>
  </si>
  <si>
    <t>STAGES REQUIRED(Taken from Helpers Tab)</t>
  </si>
  <si>
    <t xml:space="preserve">
&lt;3 in Cat</t>
  </si>
  <si>
    <t>&lt;5 in Cat</t>
  </si>
  <si>
    <t>Medical Aid</t>
  </si>
  <si>
    <t>DNF Checks</t>
  </si>
  <si>
    <t>STAGES REQUIRED(Can be overwitten by App)</t>
  </si>
  <si>
    <t>Gap to previous</t>
  </si>
  <si>
    <t>LAST NAME</t>
  </si>
  <si>
    <t>AGE@YEAR END</t>
  </si>
  <si>
    <t>Master Men</t>
  </si>
  <si>
    <t>Lite Sport</t>
  </si>
  <si>
    <t>CHECK POINT TIMES</t>
  </si>
  <si>
    <t>Custom 2</t>
  </si>
  <si>
    <t>Custom 3</t>
  </si>
  <si>
    <t>Custom 4</t>
  </si>
  <si>
    <t>Custom 1</t>
  </si>
  <si>
    <t>Column2</t>
  </si>
  <si>
    <t>CSA Valid?</t>
  </si>
  <si>
    <t>Watches Available</t>
  </si>
  <si>
    <t>ICE</t>
  </si>
  <si>
    <t>NOTES</t>
  </si>
  <si>
    <t>Watch Range</t>
  </si>
  <si>
    <t>Outstanding Entrants</t>
  </si>
  <si>
    <t>&lt;&lt;&lt;&lt; Custom Columns &gt;&gt;&gt;&gt;</t>
  </si>
  <si>
    <t>Improvements</t>
  </si>
  <si>
    <t>22/11/2021 -Added Validation Checkbox to entrylist and add/edit racer (column name defined in race setup)</t>
  </si>
  <si>
    <t>9/11/2021 - Defined rowheight of printedResults sheet (38.25)</t>
  </si>
  <si>
    <t xml:space="preserve">10/11/2021 - Expanded Print Area fo Top3 Cat Results to lastrow </t>
  </si>
  <si>
    <t>12/11/2021 - Added Definable Custom Column Names functionality in Race Setup/EntryList</t>
  </si>
  <si>
    <t>19/11/2021 - Sped up read time of Arduino. Turned off Formula Calculations while reading from RFID. Bug-sometimes auto calculations deons't turn back on.</t>
  </si>
  <si>
    <t>18/11/2021 - Defined Entrylist/DownloadResults last column formulas to 500. Might be a few I have missed?</t>
  </si>
  <si>
    <t>5/11/2021 - Addeed DNF functionality in OverallResults Sheet. If stages don't match number defined in AgeCategories/Helpers sheet then DNF</t>
  </si>
  <si>
    <t>4/11/2021 - Added 2 more special/open age categories so that there are 4 for each gender</t>
  </si>
  <si>
    <t>21/11/2021 - Added Outstanding dropdown menus for each age category under Categories Tab</t>
  </si>
  <si>
    <t>17/11/2021 - Added 'apply average stage times' to each stage.</t>
  </si>
  <si>
    <t>5) cost/day</t>
  </si>
  <si>
    <t>6) Registration day?</t>
  </si>
  <si>
    <t>7) Race Start time</t>
  </si>
  <si>
    <t>8) Batches? &amp; start times</t>
  </si>
  <si>
    <t>9) Registration Time</t>
  </si>
  <si>
    <t>10) Map Link</t>
  </si>
  <si>
    <t>11) Age Categories</t>
  </si>
  <si>
    <t>12) Start Venue</t>
  </si>
  <si>
    <t>Check No Cats reg (AgeCategories)</t>
  </si>
  <si>
    <t>Check No Unique Cat (PrintedResults)</t>
  </si>
  <si>
    <t>24/11/2021 - Removed Instructions sheet formulas/dependencies to Helpers</t>
  </si>
  <si>
    <t>Client Requirements</t>
  </si>
  <si>
    <t xml:space="preserve">Use CheckPointResults Worksheet (Not Printable Results)This needs to be automated </t>
  </si>
  <si>
    <t>Choose how to sort (by number of tags/Race time (with checks wrt number of tag points checked into)This needs to be automated</t>
  </si>
  <si>
    <t>Gender List</t>
  </si>
  <si>
    <t>Any stages without a succesful start or finish tag will display as "DNS/DNF" (Did not start/Finish)</t>
  </si>
  <si>
    <t>Run Device Manager to check what com Port is being used</t>
  </si>
  <si>
    <t>Start Batch</t>
  </si>
  <si>
    <t>Membership</t>
  </si>
  <si>
    <t>EWS Number</t>
  </si>
  <si>
    <t>Start Batch Choices</t>
  </si>
  <si>
    <t>Signed in</t>
  </si>
  <si>
    <t>Image</t>
  </si>
  <si>
    <t>Gender Choices</t>
  </si>
  <si>
    <t>Global Change Registrations</t>
  </si>
  <si>
    <t>Admin</t>
  </si>
  <si>
    <t>import order</t>
  </si>
  <si>
    <t>ICE Name</t>
  </si>
  <si>
    <t>Medical Aid Number</t>
  </si>
  <si>
    <t>Allergies</t>
  </si>
  <si>
    <t>Blood Type</t>
  </si>
  <si>
    <t>Extra Medical info</t>
  </si>
  <si>
    <t>CSA Valid?2</t>
  </si>
  <si>
    <t>30/11/2021- Fixed PrintedResults formulas (all formulas should go down to line 500 now)</t>
  </si>
  <si>
    <t>29/11/2021- Added 'Clear Entry List' Button to Race Setup</t>
  </si>
  <si>
    <t>1/12/2021 - Updated Edit/Add Racer to have a 'Change Race Number' button and a 'Swap Racer Watches' Button</t>
  </si>
  <si>
    <t>Sky Villa XC  Enduro</t>
  </si>
  <si>
    <t>E-Bike</t>
  </si>
  <si>
    <t>Youth</t>
  </si>
  <si>
    <t>Sub Vet Men</t>
  </si>
  <si>
    <t>7/12/2021 - Fixed code to sort results after every scan (like it used to)</t>
  </si>
  <si>
    <t>9/12/2021 - Added 'RemoveDuplicate ID' code to each watch scan so that it is uncessary in the Error Checking Tab</t>
  </si>
  <si>
    <t>8/21/2021 - Added a 'Sort &amp; View Results' Button to the Results Tab</t>
  </si>
  <si>
    <t>5/12/2021 - Fixed Add/Edit Racer Watch Number to show blank values if watch number isn't assigned any details</t>
  </si>
  <si>
    <t>4/12/2021 - Stage Results Info is updated when you click in Overall Results List</t>
  </si>
  <si>
    <t>-missing scan list between sheets and excel</t>
  </si>
  <si>
    <t>About</t>
  </si>
  <si>
    <t>10/12/2021-outstanding watches list also shows watches that were not registered but have been scanned</t>
  </si>
  <si>
    <t>10/12/2021-do Available watch numbers list under add/edit racer</t>
  </si>
  <si>
    <t>Excel Watch</t>
  </si>
  <si>
    <t>Excel Name</t>
  </si>
  <si>
    <t>Sheets Watch</t>
  </si>
  <si>
    <t>Sheets Name</t>
  </si>
  <si>
    <t>Missing from Excel</t>
  </si>
  <si>
    <t>Missing From Sheets</t>
  </si>
  <si>
    <t>E-Bike M</t>
  </si>
  <si>
    <t>E-Bike F</t>
  </si>
  <si>
    <t>Nipper</t>
  </si>
  <si>
    <t>Nipper Boys</t>
  </si>
  <si>
    <t>Sprog</t>
  </si>
  <si>
    <t>Sprog Boys</t>
  </si>
  <si>
    <t>Sub Junior</t>
  </si>
  <si>
    <t>Sub Junior Boys</t>
  </si>
  <si>
    <t>JB</t>
  </si>
  <si>
    <t>Youth Men</t>
  </si>
  <si>
    <t>YM</t>
  </si>
  <si>
    <t>Elite</t>
  </si>
  <si>
    <t>Elite Men</t>
  </si>
  <si>
    <t>EM</t>
  </si>
  <si>
    <t>Nipper Girls</t>
  </si>
  <si>
    <t>Sprog Girls</t>
  </si>
  <si>
    <t>Sub Junior Girls</t>
  </si>
  <si>
    <t>Youth Women</t>
  </si>
  <si>
    <t>YW</t>
  </si>
  <si>
    <t>JW</t>
  </si>
  <si>
    <t>E-Bike Lite</t>
  </si>
  <si>
    <t>E-Bike Lite M</t>
  </si>
  <si>
    <t>EBL-M</t>
  </si>
  <si>
    <t>E-Bike Lite F</t>
  </si>
  <si>
    <t>EBL-F</t>
  </si>
  <si>
    <t>EB-M</t>
  </si>
  <si>
    <t>EB-F</t>
  </si>
  <si>
    <t>Lite SS3</t>
  </si>
  <si>
    <t>Power Stage</t>
  </si>
  <si>
    <t>Ignatius Du Preez</t>
  </si>
  <si>
    <t>Eugene Kriek</t>
  </si>
  <si>
    <t>Lilian Baber</t>
  </si>
  <si>
    <t>Joshua West</t>
  </si>
  <si>
    <t>Irma Du Plooy</t>
  </si>
  <si>
    <t>Chris Kuun</t>
  </si>
  <si>
    <t>Nathan Kuun</t>
  </si>
  <si>
    <t>Maude  Badenhorst</t>
  </si>
  <si>
    <t>Under-23 Men</t>
  </si>
  <si>
    <t>Master</t>
  </si>
  <si>
    <t>Junior Women</t>
  </si>
  <si>
    <t>Elite Women</t>
  </si>
  <si>
    <t>EW</t>
  </si>
  <si>
    <t>Sub Vet Women</t>
  </si>
  <si>
    <t>Vet Women</t>
  </si>
  <si>
    <t>Master Women</t>
  </si>
  <si>
    <t>MW</t>
  </si>
  <si>
    <t>Paste ID Number here</t>
  </si>
  <si>
    <t>CSA Valid?3</t>
  </si>
  <si>
    <t>u</t>
  </si>
  <si>
    <t>Sports Lite M</t>
  </si>
  <si>
    <t>Sports Lite F</t>
  </si>
  <si>
    <t>M/F</t>
  </si>
  <si>
    <t>CSA Number</t>
  </si>
  <si>
    <t>Kotze</t>
  </si>
  <si>
    <t>Kyle</t>
  </si>
  <si>
    <t>Ian</t>
  </si>
  <si>
    <t>Thomas</t>
  </si>
  <si>
    <t>Coetzee</t>
  </si>
  <si>
    <t>Rupert</t>
  </si>
  <si>
    <t>Michael</t>
  </si>
  <si>
    <t>Du Plooy</t>
  </si>
  <si>
    <t>Andrew</t>
  </si>
  <si>
    <t>Justin</t>
  </si>
  <si>
    <t>Joshua</t>
  </si>
  <si>
    <t>Jaco</t>
  </si>
  <si>
    <t>Eugene</t>
  </si>
  <si>
    <t>Chris</t>
  </si>
  <si>
    <t>Lombard</t>
  </si>
  <si>
    <t>Ruan</t>
  </si>
  <si>
    <t>Robert</t>
  </si>
  <si>
    <t>Moore</t>
  </si>
  <si>
    <t>James</t>
  </si>
  <si>
    <t>Andre</t>
  </si>
  <si>
    <t>sean</t>
  </si>
  <si>
    <t>Aaron</t>
  </si>
  <si>
    <t>van der Walt</t>
  </si>
  <si>
    <t>Venter</t>
  </si>
  <si>
    <t>Jan</t>
  </si>
  <si>
    <t>Alan</t>
  </si>
  <si>
    <t>Van Niekerk</t>
  </si>
  <si>
    <t>Luan</t>
  </si>
  <si>
    <t>Liam</t>
  </si>
  <si>
    <t>Marais</t>
  </si>
  <si>
    <t>Luke</t>
  </si>
  <si>
    <t>van Niekerk</t>
  </si>
  <si>
    <t>Wbole</t>
  </si>
  <si>
    <t>Vdamilano</t>
  </si>
  <si>
    <t>Gauteng</t>
  </si>
  <si>
    <t>Limpopo</t>
  </si>
  <si>
    <t>North West</t>
  </si>
  <si>
    <t>Mpumalanga</t>
  </si>
  <si>
    <t>GC END Cup #4 - Thaba Trails</t>
  </si>
  <si>
    <t>Tkotze</t>
  </si>
  <si>
    <t>NRaphasa</t>
  </si>
  <si>
    <t>SThamane</t>
  </si>
  <si>
    <t>HVNiekerk</t>
  </si>
  <si>
    <t>Lsaunders</t>
  </si>
  <si>
    <t>Icorrie</t>
  </si>
  <si>
    <t>Wihan Van Niekerk</t>
  </si>
  <si>
    <t>DNS/DNF ()</t>
  </si>
  <si>
    <t>00:02:19.6 (79)</t>
  </si>
  <si>
    <t>00:02:32.8 (83)</t>
  </si>
  <si>
    <t>00:01:48.9 (75)</t>
  </si>
  <si>
    <t>00:02:44.7 (78)</t>
  </si>
  <si>
    <t>N/A</t>
  </si>
  <si>
    <t>Luke Stafford</t>
  </si>
  <si>
    <t>00:01:57.8 (32)</t>
  </si>
  <si>
    <t>00:01:59.0 (37)</t>
  </si>
  <si>
    <t>00:01:33.5 (33)</t>
  </si>
  <si>
    <t>00:02:05.3 (35)</t>
  </si>
  <si>
    <t>Logan Van Vuuren</t>
  </si>
  <si>
    <t>00:01:56.4 (31)</t>
  </si>
  <si>
    <t>00:01:59.5 (40)</t>
  </si>
  <si>
    <t>00:01:38.3 (46)</t>
  </si>
  <si>
    <t>00:02:06.7 (38)</t>
  </si>
  <si>
    <t>Michael Kanis</t>
  </si>
  <si>
    <t>00:02:03.1 (48)</t>
  </si>
  <si>
    <t>00:01:34.3 (36)</t>
  </si>
  <si>
    <t>00:02:01.5 (33)</t>
  </si>
  <si>
    <t>Evert Maritz</t>
  </si>
  <si>
    <t>00:02:02.7 (47)</t>
  </si>
  <si>
    <t>00:02:01.1 (44)</t>
  </si>
  <si>
    <t>00:01:41.3 (54)</t>
  </si>
  <si>
    <t>00:02:07.8 (41)</t>
  </si>
  <si>
    <t>Luan Labuschagne</t>
  </si>
  <si>
    <t>00:02:10.5 (63)</t>
  </si>
  <si>
    <t>00:02:12.3 (65)</t>
  </si>
  <si>
    <t>00:01:40.5 (53)</t>
  </si>
  <si>
    <t>00:02:17.8 (51)</t>
  </si>
  <si>
    <t>00:02:09.4 (60)</t>
  </si>
  <si>
    <t>00:02:12.7 (67)</t>
  </si>
  <si>
    <t>00:01:41.3 (55)</t>
  </si>
  <si>
    <t>00:02:21.4 (55)</t>
  </si>
  <si>
    <t>Liam Labuschagne</t>
  </si>
  <si>
    <t>00:02:16.9 (76)</t>
  </si>
  <si>
    <t>00:02:18.1 (71)</t>
  </si>
  <si>
    <t>00:01:46.7 (70)</t>
  </si>
  <si>
    <t>00:02:20.0 (54)</t>
  </si>
  <si>
    <t>Liam Saunders</t>
  </si>
  <si>
    <t>00:02:44.6 (88)</t>
  </si>
  <si>
    <t>00:02:54.1 (89)</t>
  </si>
  <si>
    <t>00:02:02.0 (89)</t>
  </si>
  <si>
    <t>00:03:14.5 (90)</t>
  </si>
  <si>
    <t>Sean Raath</t>
  </si>
  <si>
    <t>00:03:27.0 (45)</t>
  </si>
  <si>
    <t>00:03:26.0 (49)</t>
  </si>
  <si>
    <t>00:02:05.3 (52)</t>
  </si>
  <si>
    <t>00:02:03.9 (50)</t>
  </si>
  <si>
    <t>00:01:46.8 (49)</t>
  </si>
  <si>
    <t>00:01:43.1 (60)</t>
  </si>
  <si>
    <t>00:02:24.2 (58)</t>
  </si>
  <si>
    <t>Ruart Van Staden</t>
  </si>
  <si>
    <t>00:04:03.2 (61)</t>
  </si>
  <si>
    <t>00:03:40.8 (57)</t>
  </si>
  <si>
    <t>00:02:16.5 (74)</t>
  </si>
  <si>
    <t>00:02:09.2 (60)</t>
  </si>
  <si>
    <t>00:01:59.2 (60)</t>
  </si>
  <si>
    <t>00:01:49.6 (77)</t>
  </si>
  <si>
    <t>00:02:30.2 (65)</t>
  </si>
  <si>
    <t>Cruz Albano</t>
  </si>
  <si>
    <t>00:04:10.6 (65)</t>
  </si>
  <si>
    <t>00:03:36.4 (55)</t>
  </si>
  <si>
    <t>00:02:14.5 (70)</t>
  </si>
  <si>
    <t>00:02:23.2 (76)</t>
  </si>
  <si>
    <t>00:01:54.0 (56)</t>
  </si>
  <si>
    <t>00:02:22.6 (94)</t>
  </si>
  <si>
    <t>00:02:44.8 (79)</t>
  </si>
  <si>
    <t>Joshua Kanis</t>
  </si>
  <si>
    <t>00:02:45.3 (8)</t>
  </si>
  <si>
    <t>00:02:39.5 (20)</t>
  </si>
  <si>
    <t>00:01:53.6 (22)</t>
  </si>
  <si>
    <t>00:01:51.8 (16)</t>
  </si>
  <si>
    <t>00:01:23.9 (8)</t>
  </si>
  <si>
    <t>00:01:27.5 (12)</t>
  </si>
  <si>
    <t>00:01:45.1 (5)</t>
  </si>
  <si>
    <t>Henrã© Myburgh</t>
  </si>
  <si>
    <t>00:02:46.7 (11)</t>
  </si>
  <si>
    <t>00:02:35.2 (14)</t>
  </si>
  <si>
    <t>00:01:52.9 (18)</t>
  </si>
  <si>
    <t>00:01:47.7 (6)</t>
  </si>
  <si>
    <t>00:01:27.3 (17)</t>
  </si>
  <si>
    <t>00:01:27.2 (10)</t>
  </si>
  <si>
    <t>00:01:51.6 (13)</t>
  </si>
  <si>
    <t>Daniele Ambrosi</t>
  </si>
  <si>
    <t>00:02:57.4 (23)</t>
  </si>
  <si>
    <t>00:02:32.2 (11)</t>
  </si>
  <si>
    <t>00:01:52.6 (16)</t>
  </si>
  <si>
    <t>00:01:55.7 (28)</t>
  </si>
  <si>
    <t>00:01:25.9 (13)</t>
  </si>
  <si>
    <t>00:01:31.8 (27)</t>
  </si>
  <si>
    <t>00:01:48.9 (9)</t>
  </si>
  <si>
    <t>Alex Ovens</t>
  </si>
  <si>
    <t>00:02:54.7 (20)</t>
  </si>
  <si>
    <t>00:02:42.3 (23)</t>
  </si>
  <si>
    <t>00:01:45.4 (2)</t>
  </si>
  <si>
    <t>00:01:51.8 (17)</t>
  </si>
  <si>
    <t>00:01:29.7 (23)</t>
  </si>
  <si>
    <t>00:01:32.0 (28)</t>
  </si>
  <si>
    <t>00:01:56.3 (22)</t>
  </si>
  <si>
    <t>Cade Badenhorst</t>
  </si>
  <si>
    <t>00:02:54.7 (21)</t>
  </si>
  <si>
    <t>00:02:37.7 (17)</t>
  </si>
  <si>
    <t>00:01:53.2 (20)</t>
  </si>
  <si>
    <t>00:01:51.7 (15)</t>
  </si>
  <si>
    <t>00:01:29.0 (21)</t>
  </si>
  <si>
    <t>00:01:31.8 (26)</t>
  </si>
  <si>
    <t>00:01:54.4 (20)</t>
  </si>
  <si>
    <t>00:03:02.3 (27)</t>
  </si>
  <si>
    <t>00:02:55.4 (33)</t>
  </si>
  <si>
    <t>00:01:55.7 (27)</t>
  </si>
  <si>
    <t>00:01:54.5 (26)</t>
  </si>
  <si>
    <t>00:01:36.4 (32)</t>
  </si>
  <si>
    <t>00:01:27.8 (13)</t>
  </si>
  <si>
    <t>00:01:59.7 (31)</t>
  </si>
  <si>
    <t>Lance Murray</t>
  </si>
  <si>
    <t>00:03:03.9 (32)</t>
  </si>
  <si>
    <t>00:02:57.5 (36)</t>
  </si>
  <si>
    <t>00:02:02.5 (46)</t>
  </si>
  <si>
    <t>00:01:54.5 (27)</t>
  </si>
  <si>
    <t>00:01:38.2 (36)</t>
  </si>
  <si>
    <t>00:01:34.2 (35)</t>
  </si>
  <si>
    <t>00:01:58.6 (28)</t>
  </si>
  <si>
    <t>Thomas Carter-Brown</t>
  </si>
  <si>
    <t>00:03:16.0 (39)</t>
  </si>
  <si>
    <t>00:03:07.1 (41)</t>
  </si>
  <si>
    <t>00:01:54.2 (24)</t>
  </si>
  <si>
    <t>00:01:56.7 (31)</t>
  </si>
  <si>
    <t>00:01:38.8 (38)</t>
  </si>
  <si>
    <t>00:01:33.0 (32)</t>
  </si>
  <si>
    <t>00:02:05.9 (37)</t>
  </si>
  <si>
    <t>Keegan Teague</t>
  </si>
  <si>
    <t>00:03:17.9 (40)</t>
  </si>
  <si>
    <t>00:03:02.6 (38)</t>
  </si>
  <si>
    <t>00:01:59.2 (36)</t>
  </si>
  <si>
    <t>00:01:57.8 (33)</t>
  </si>
  <si>
    <t>00:01:38.9 (39)</t>
  </si>
  <si>
    <t>00:01:32.8 (30)</t>
  </si>
  <si>
    <t>00:02:05.8 (36)</t>
  </si>
  <si>
    <t>Connor Storm</t>
  </si>
  <si>
    <t>00:03:21.1 (41)</t>
  </si>
  <si>
    <t>00:02:51.1 (30)</t>
  </si>
  <si>
    <t>00:01:59.8 (42)</t>
  </si>
  <si>
    <t>00:02:02.2 (47)</t>
  </si>
  <si>
    <t>00:01:35.0 (29)</t>
  </si>
  <si>
    <t>00:01:39.2 (50)</t>
  </si>
  <si>
    <t>00:02:08.8 (43)</t>
  </si>
  <si>
    <t>Diego Albano</t>
  </si>
  <si>
    <t>00:03:49.4 (56)</t>
  </si>
  <si>
    <t>00:03:16.0 (45)</t>
  </si>
  <si>
    <t>00:02:08.2 (58)</t>
  </si>
  <si>
    <t>00:02:08.8 (57)</t>
  </si>
  <si>
    <t>00:01:48.8 (51)</t>
  </si>
  <si>
    <t>00:01:37.6 (45)</t>
  </si>
  <si>
    <t>00:02:18.5 (52)</t>
  </si>
  <si>
    <t>Merrick John Rossiter</t>
  </si>
  <si>
    <t>00:03:38.8 (52)</t>
  </si>
  <si>
    <t>00:03:22.9 (48)</t>
  </si>
  <si>
    <t>00:02:08.0 (57)</t>
  </si>
  <si>
    <t>00:02:13.2 (69)</t>
  </si>
  <si>
    <t>00:01:54.3 (58)</t>
  </si>
  <si>
    <t>00:01:41.9 (57)</t>
  </si>
  <si>
    <t>00:02:17.4 (50)</t>
  </si>
  <si>
    <t>Dirk Fouche</t>
  </si>
  <si>
    <t>00:03:41.9 (53)</t>
  </si>
  <si>
    <t>00:03:34.9 (52)</t>
  </si>
  <si>
    <t>00:02:07.9 (56)</t>
  </si>
  <si>
    <t>00:02:07.8 (56)</t>
  </si>
  <si>
    <t>00:01:56.7 (59)</t>
  </si>
  <si>
    <t>00:01:46.4 (69)</t>
  </si>
  <si>
    <t>00:02:29.1 (62)</t>
  </si>
  <si>
    <t>Kyle Bezuidenhout</t>
  </si>
  <si>
    <t>00:03:50.0 (57)</t>
  </si>
  <si>
    <t>00:03:50.7 (59)</t>
  </si>
  <si>
    <t>00:02:15.6 (72)</t>
  </si>
  <si>
    <t>00:02:09.9 (61)</t>
  </si>
  <si>
    <t>00:01:48.3 (50)</t>
  </si>
  <si>
    <t>00:01:42.5 (59)</t>
  </si>
  <si>
    <t>00:02:43.5 (76)</t>
  </si>
  <si>
    <t>Massimiliano Ambrosi</t>
  </si>
  <si>
    <t>00:02:44.4 (7)</t>
  </si>
  <si>
    <t>00:02:29.0 (7)</t>
  </si>
  <si>
    <t>00:01:50.6 (13)</t>
  </si>
  <si>
    <t>00:01:48.3 (7)</t>
  </si>
  <si>
    <t>00:01:21.2 (4)</t>
  </si>
  <si>
    <t>00:01:26.1 (5)</t>
  </si>
  <si>
    <t>00:01:48.4 (8)</t>
  </si>
  <si>
    <t>00:02:42.6 (6)</t>
  </si>
  <si>
    <t>00:02:30.5 (8)</t>
  </si>
  <si>
    <t>00:01:50.3 (11)</t>
  </si>
  <si>
    <t>00:01:48.8 (8)</t>
  </si>
  <si>
    <t>00:01:26.0 (15)</t>
  </si>
  <si>
    <t>00:01:26.3 (7)</t>
  </si>
  <si>
    <t>00:01:46.8 (7)</t>
  </si>
  <si>
    <t>Wyatt Botes</t>
  </si>
  <si>
    <t>00:02:41.5 (5)</t>
  </si>
  <si>
    <t>00:02:37.8 (18)</t>
  </si>
  <si>
    <t>00:01:49.8 (9)</t>
  </si>
  <si>
    <t>00:01:49.3 (10)</t>
  </si>
  <si>
    <t>00:01:24.2 (9)</t>
  </si>
  <si>
    <t>00:01:28.2 (15)</t>
  </si>
  <si>
    <t>00:01:49.5 (11)</t>
  </si>
  <si>
    <t>Divan Van Straaten</t>
  </si>
  <si>
    <t>00:02:47.8 (12)</t>
  </si>
  <si>
    <t>00:02:36.7 (16)</t>
  </si>
  <si>
    <t>00:01:48.0 (6)</t>
  </si>
  <si>
    <t>00:01:49.1 (9)</t>
  </si>
  <si>
    <t>00:01:27.8 (20)</t>
  </si>
  <si>
    <t>00:01:28.5 (16)</t>
  </si>
  <si>
    <t>00:01:53.2 (17)</t>
  </si>
  <si>
    <t>DNF</t>
  </si>
  <si>
    <t>Wiehan Nagel</t>
  </si>
  <si>
    <t>00:02:39.2 (2)</t>
  </si>
  <si>
    <t>00:02:20.5 (4)</t>
  </si>
  <si>
    <t>00:01:47.1 (4)</t>
  </si>
  <si>
    <t>00:01:42.3 (2)</t>
  </si>
  <si>
    <t>00:01:20.2 (3)</t>
  </si>
  <si>
    <t>00:01:26.1 (6)</t>
  </si>
  <si>
    <t>00:01:41.1 (3)</t>
  </si>
  <si>
    <t>Matteo Damilano</t>
  </si>
  <si>
    <t>00:02:41.5 (4)</t>
  </si>
  <si>
    <t>00:02:30.6 (9)</t>
  </si>
  <si>
    <t>00:01:48.5 (7)</t>
  </si>
  <si>
    <t>00:01:43.6 (3)</t>
  </si>
  <si>
    <t>00:01:22.9 (7)</t>
  </si>
  <si>
    <t>00:01:23.9 (3)</t>
  </si>
  <si>
    <t>00:01:45.7 (6)</t>
  </si>
  <si>
    <t>Andrew Hill</t>
  </si>
  <si>
    <t>00:02:51.4 (15)</t>
  </si>
  <si>
    <t>00:02:36.1 (15)</t>
  </si>
  <si>
    <t>00:01:50.4 (12)</t>
  </si>
  <si>
    <t>00:01:53.8 (24)</t>
  </si>
  <si>
    <t>00:01:26.5 (16)</t>
  </si>
  <si>
    <t>00:01:30.8 (24)</t>
  </si>
  <si>
    <t>00:01:52.2 (14)</t>
  </si>
  <si>
    <t>Ruben Fitton</t>
  </si>
  <si>
    <t>00:03:11.0 (35)</t>
  </si>
  <si>
    <t>00:02:55.8 (34)</t>
  </si>
  <si>
    <t>00:02:00.4 (45)</t>
  </si>
  <si>
    <t>00:01:59.5 (39)</t>
  </si>
  <si>
    <t>00:01:36.4 (33)</t>
  </si>
  <si>
    <t>00:01:35.6 (42)</t>
  </si>
  <si>
    <t>00:02:14.0 (49)</t>
  </si>
  <si>
    <t>Aaron Stadler</t>
  </si>
  <si>
    <t>00:03:22.1 (42)</t>
  </si>
  <si>
    <t>00:03:08.2 (42)</t>
  </si>
  <si>
    <t>00:02:03.9 (49)</t>
  </si>
  <si>
    <t>00:02:00.7 (43)</t>
  </si>
  <si>
    <t>00:01:38.0 (35)</t>
  </si>
  <si>
    <t>00:01:30.6 (22)</t>
  </si>
  <si>
    <t>00:02:06.9 (39)</t>
  </si>
  <si>
    <t>Wade-Patrick Prinsloo</t>
  </si>
  <si>
    <t>00:02:39.4 (3)</t>
  </si>
  <si>
    <t>00:02:16.7 (3)</t>
  </si>
  <si>
    <t>00:01:47.3 (5)</t>
  </si>
  <si>
    <t>00:01:44.2 (5)</t>
  </si>
  <si>
    <t>00:01:21.6 (5)</t>
  </si>
  <si>
    <t>00:01:25.0 (4)</t>
  </si>
  <si>
    <t>00:01:44.7 (4)</t>
  </si>
  <si>
    <t>Bradon Webster</t>
  </si>
  <si>
    <t>00:02:53.0 (19)</t>
  </si>
  <si>
    <t>00:02:28.0 (6)</t>
  </si>
  <si>
    <t>00:01:49.5 (8)</t>
  </si>
  <si>
    <t>00:01:49.3 (12)</t>
  </si>
  <si>
    <t>00:01:24.7 (11)</t>
  </si>
  <si>
    <t>00:01:26.8 (8)</t>
  </si>
  <si>
    <t>00:01:49.0 (10)</t>
  </si>
  <si>
    <t>Josef Bester</t>
  </si>
  <si>
    <t>00:02:46.3 (9)</t>
  </si>
  <si>
    <t>00:02:31.0 (10)</t>
  </si>
  <si>
    <t>00:01:58.0 (34)</t>
  </si>
  <si>
    <t>00:01:50.4 (14)</t>
  </si>
  <si>
    <t>00:01:25.9 (14)</t>
  </si>
  <si>
    <t>00:01:27.5 (11)</t>
  </si>
  <si>
    <t>00:01:57.6 (27)</t>
  </si>
  <si>
    <t>Jaco Nel</t>
  </si>
  <si>
    <t>00:03:34.5 (49)</t>
  </si>
  <si>
    <t>00:03:27.6 (50)</t>
  </si>
  <si>
    <t>00:02:13.2 (67)</t>
  </si>
  <si>
    <t>00:02:12.3 (66)</t>
  </si>
  <si>
    <t>00:01:51.1 (52)</t>
  </si>
  <si>
    <t>00:01:46.2 (68)</t>
  </si>
  <si>
    <t>00:02:25.1 (59)</t>
  </si>
  <si>
    <t>Frank Meyer</t>
  </si>
  <si>
    <t>00:02:35.5 (1)</t>
  </si>
  <si>
    <t>00:02:14.6 (1)</t>
  </si>
  <si>
    <t>00:01:44.6 (1)</t>
  </si>
  <si>
    <t>00:01:37.8 (1)</t>
  </si>
  <si>
    <t>00:01:16.0 (1)</t>
  </si>
  <si>
    <t>00:01:23.0 (1)</t>
  </si>
  <si>
    <t>00:01:37.4 (1)</t>
  </si>
  <si>
    <t>Bryce Munro</t>
  </si>
  <si>
    <t>00:02:46.6 (10)</t>
  </si>
  <si>
    <t>00:02:16.7 (2)</t>
  </si>
  <si>
    <t>00:01:46.8 (3)</t>
  </si>
  <si>
    <t>00:01:43.8 (4)</t>
  </si>
  <si>
    <t>00:01:19.2 (2)</t>
  </si>
  <si>
    <t>00:01:23.2 (2)</t>
  </si>
  <si>
    <t>00:01:39.3 (2)</t>
  </si>
  <si>
    <t>Dana Coetzee</t>
  </si>
  <si>
    <t>00:02:48.8 (13)</t>
  </si>
  <si>
    <t>00:02:23.2 (5)</t>
  </si>
  <si>
    <t>00:01:53.3 (21)</t>
  </si>
  <si>
    <t>00:01:52.9 (21)</t>
  </si>
  <si>
    <t>00:01:22.6 (6)</t>
  </si>
  <si>
    <t>00:01:27.1 (9)</t>
  </si>
  <si>
    <t>00:01:54.3 (19)</t>
  </si>
  <si>
    <t>Ricky Tomaselli</t>
  </si>
  <si>
    <t>00:02:52.3 (17)</t>
  </si>
  <si>
    <t>00:02:33.9 (12)</t>
  </si>
  <si>
    <t>00:01:53.0 (19)</t>
  </si>
  <si>
    <t>00:01:49.3 (11)</t>
  </si>
  <si>
    <t>00:01:25.5 (12)</t>
  </si>
  <si>
    <t>00:01:28.7 (17)</t>
  </si>
  <si>
    <t>00:01:52.8 (15)</t>
  </si>
  <si>
    <t>00:02:52.2 (16)</t>
  </si>
  <si>
    <t>00:02:48.6 (27)</t>
  </si>
  <si>
    <t>00:01:52.0 (14)</t>
  </si>
  <si>
    <t>00:01:52.3 (19)</t>
  </si>
  <si>
    <t>00:01:29.1 (19)</t>
  </si>
  <si>
    <t>00:01:56.9 (25)</t>
  </si>
  <si>
    <t>Rob Keen</t>
  </si>
  <si>
    <t>00:03:02.4 (28)</t>
  </si>
  <si>
    <t>00:02:57.3 (35)</t>
  </si>
  <si>
    <t>00:01:55.3 (25)</t>
  </si>
  <si>
    <t>00:02:05.1 (53)</t>
  </si>
  <si>
    <t>00:01:35.3 (31)</t>
  </si>
  <si>
    <t>00:01:34.5 (37)</t>
  </si>
  <si>
    <t>00:01:59.3 (30)</t>
  </si>
  <si>
    <t>Ruan Louw</t>
  </si>
  <si>
    <t>00:03:01.4 (26)</t>
  </si>
  <si>
    <t>00:03:06.4 (40)</t>
  </si>
  <si>
    <t>00:01:59.5 (38)</t>
  </si>
  <si>
    <t>00:01:58.7 (36)</t>
  </si>
  <si>
    <t>00:01:41.6 (45)</t>
  </si>
  <si>
    <t>00:01:34.6 (38)</t>
  </si>
  <si>
    <t>00:02:00.2 (32)</t>
  </si>
  <si>
    <t>Andries Spies</t>
  </si>
  <si>
    <t>00:03:14.0 (38)</t>
  </si>
  <si>
    <t>00:03:02.5 (37)</t>
  </si>
  <si>
    <t>00:01:58.5 (35)</t>
  </si>
  <si>
    <t>00:01:59.2 (38)</t>
  </si>
  <si>
    <t>00:01:40.5 (42)</t>
  </si>
  <si>
    <t>00:01:37.3 (43)</t>
  </si>
  <si>
    <t>00:02:12.5 (48)</t>
  </si>
  <si>
    <t>Martin Kerr</t>
  </si>
  <si>
    <t>00:03:13.8 (37)</t>
  </si>
  <si>
    <t>00:03:35.6 (53)</t>
  </si>
  <si>
    <t>00:01:59.8 (41)</t>
  </si>
  <si>
    <t>00:02:02.1 (45)</t>
  </si>
  <si>
    <t>00:01:40.2 (41)</t>
  </si>
  <si>
    <t>00:01:39.0 (49)</t>
  </si>
  <si>
    <t>00:02:29.4 (63)</t>
  </si>
  <si>
    <t>Michael Van Der Westhuizen</t>
  </si>
  <si>
    <t>00:03:30.4 (47)</t>
  </si>
  <si>
    <t>00:03:17.1 (46)</t>
  </si>
  <si>
    <t>00:02:06.6 (54)</t>
  </si>
  <si>
    <t>00:02:10.1 (62)</t>
  </si>
  <si>
    <t>00:01:45.6 (47)</t>
  </si>
  <si>
    <t>00:01:41.9 (56)</t>
  </si>
  <si>
    <t>00:02:22.4 (56)</t>
  </si>
  <si>
    <t>Nick Pluck</t>
  </si>
  <si>
    <t>00:03:36.0 (50)</t>
  </si>
  <si>
    <t>00:03:37.5 (56)</t>
  </si>
  <si>
    <t>00:02:07.9 (55)</t>
  </si>
  <si>
    <t>00:02:04.8 (51)</t>
  </si>
  <si>
    <t>00:01:42.3 (46)</t>
  </si>
  <si>
    <t>00:01:43.9 (61)</t>
  </si>
  <si>
    <t>00:02:22.6 (57)</t>
  </si>
  <si>
    <t>Gert Lombard</t>
  </si>
  <si>
    <t>00:04:04.7 (63)</t>
  </si>
  <si>
    <t>00:05:15.3 (66)</t>
  </si>
  <si>
    <t>00:02:16.6 (75)</t>
  </si>
  <si>
    <t>00:02:20.5 (73)</t>
  </si>
  <si>
    <t>00:02:23.8 (66)</t>
  </si>
  <si>
    <t>00:01:51.3 (82)</t>
  </si>
  <si>
    <t>00:02:42.6 (73)</t>
  </si>
  <si>
    <t>Tyron Behenna</t>
  </si>
  <si>
    <t>00:01:39.3 (51)</t>
  </si>
  <si>
    <t>00:02:47.3 (81)</t>
  </si>
  <si>
    <t>Michael Dobson</t>
  </si>
  <si>
    <t>00:05:16.0 (68)</t>
  </si>
  <si>
    <t>Carl Deary</t>
  </si>
  <si>
    <t>00:02:49.2 (14)</t>
  </si>
  <si>
    <t>00:02:44.1 (24)</t>
  </si>
  <si>
    <t>00:01:50.1 (10)</t>
  </si>
  <si>
    <t>00:01:50.2 (13)</t>
  </si>
  <si>
    <t>00:01:24.3 (10)</t>
  </si>
  <si>
    <t>00:01:30.7 (23)</t>
  </si>
  <si>
    <t>00:01:53.1 (16)</t>
  </si>
  <si>
    <t>Justin Joubert</t>
  </si>
  <si>
    <t>00:02:59.4 (25)</t>
  </si>
  <si>
    <t>00:02:48.6 (28)</t>
  </si>
  <si>
    <t>00:01:54.1 (23)</t>
  </si>
  <si>
    <t>00:01:52.5 (20)</t>
  </si>
  <si>
    <t>00:01:29.2 (22)</t>
  </si>
  <si>
    <t>00:01:29.9 (20)</t>
  </si>
  <si>
    <t>00:01:51.5 (12)</t>
  </si>
  <si>
    <t>Chris Stafford</t>
  </si>
  <si>
    <t>00:03:03.6 (30)</t>
  </si>
  <si>
    <t>00:02:46.1 (26)</t>
  </si>
  <si>
    <t>00:01:55.3 (26)</t>
  </si>
  <si>
    <t>00:01:53.3 (22)</t>
  </si>
  <si>
    <t>00:01:27.6 (18)</t>
  </si>
  <si>
    <t>00:01:29.0 (18)</t>
  </si>
  <si>
    <t>00:01:55.7 (21)</t>
  </si>
  <si>
    <t>Robert Moore</t>
  </si>
  <si>
    <t>00:03:04.9 (33)</t>
  </si>
  <si>
    <t>00:02:50.0 (29)</t>
  </si>
  <si>
    <t>00:01:58.0 (33)</t>
  </si>
  <si>
    <t>00:01:58.4 (34)</t>
  </si>
  <si>
    <t>00:01:35.1 (30)</t>
  </si>
  <si>
    <t>00:01:35.3 (40)</t>
  </si>
  <si>
    <t>00:02:03.5 (34)</t>
  </si>
  <si>
    <t>Andre Nel</t>
  </si>
  <si>
    <t>00:03:26.4 (44)</t>
  </si>
  <si>
    <t>00:02:52.1 (31)</t>
  </si>
  <si>
    <t>00:01:59.2 (37)</t>
  </si>
  <si>
    <t>00:01:57.6 (32)</t>
  </si>
  <si>
    <t>00:01:36.4 (34)</t>
  </si>
  <si>
    <t>00:01:34.1 (34)</t>
  </si>
  <si>
    <t>00:02:07.3 (40)</t>
  </si>
  <si>
    <t>Clinton Carter-Brown</t>
  </si>
  <si>
    <t>00:03:24.5 (43)</t>
  </si>
  <si>
    <t>00:03:03.1 (39)</t>
  </si>
  <si>
    <t>00:01:59.6 (40)</t>
  </si>
  <si>
    <t>00:02:00.2 (42)</t>
  </si>
  <si>
    <t>00:01:41.0 (44)</t>
  </si>
  <si>
    <t>00:01:35.2 (39)</t>
  </si>
  <si>
    <t>00:02:09.0 (44)</t>
  </si>
  <si>
    <t>Rupert De Beer</t>
  </si>
  <si>
    <t>00:03:59.4 (60)</t>
  </si>
  <si>
    <t>00:03:35.8 (54)</t>
  </si>
  <si>
    <t>00:02:10.6 (64)</t>
  </si>
  <si>
    <t>00:02:50.8 (88)</t>
  </si>
  <si>
    <t>00:01:46.1 (48)</t>
  </si>
  <si>
    <t>00:01:45.1 (63)</t>
  </si>
  <si>
    <t>00:02:41.6 (70)</t>
  </si>
  <si>
    <t>Jan Venter</t>
  </si>
  <si>
    <t>00:03:53.0 (58)</t>
  </si>
  <si>
    <t>00:04:16.6 (64)</t>
  </si>
  <si>
    <t>00:02:12.5 (66)</t>
  </si>
  <si>
    <t>00:02:20.5 (74)</t>
  </si>
  <si>
    <t>00:02:02.9 (62)</t>
  </si>
  <si>
    <t>00:01:45.3 (65)</t>
  </si>
  <si>
    <t>00:02:41.7 (71)</t>
  </si>
  <si>
    <t>Riaan Hornsveld</t>
  </si>
  <si>
    <t>00:04:33.9 (67)</t>
  </si>
  <si>
    <t>00:04:53.4 (65)</t>
  </si>
  <si>
    <t>00:02:21.4 (81)</t>
  </si>
  <si>
    <t>00:02:23.9 (78)</t>
  </si>
  <si>
    <t>00:02:06.3 (65)</t>
  </si>
  <si>
    <t>00:01:59.9 (88)</t>
  </si>
  <si>
    <t>00:03:44.6 (92)</t>
  </si>
  <si>
    <t>Jaco Kofman</t>
  </si>
  <si>
    <t>00:04:21.5 (66)</t>
  </si>
  <si>
    <t>00:05:25.5 (67)</t>
  </si>
  <si>
    <t>00:02:26.2 (82)</t>
  </si>
  <si>
    <t>00:02:33.4 (84)</t>
  </si>
  <si>
    <t>00:02:40.4 (67)</t>
  </si>
  <si>
    <t>00:02:05.2 (90)</t>
  </si>
  <si>
    <t>00:06:07.0 (94)</t>
  </si>
  <si>
    <t>Ian Corrie</t>
  </si>
  <si>
    <t>00:02:28.1 (83)</t>
  </si>
  <si>
    <t>00:02:26.5 (79)</t>
  </si>
  <si>
    <t>00:01:49.8 (79)</t>
  </si>
  <si>
    <t>00:03:11.4 (87)</t>
  </si>
  <si>
    <t>Sean O'Flynn-Madden</t>
  </si>
  <si>
    <t>00:02:57.0 (22)</t>
  </si>
  <si>
    <t>00:02:35.0 (13)</t>
  </si>
  <si>
    <t>00:01:52.8 (17)</t>
  </si>
  <si>
    <t>00:01:53.3 (23)</t>
  </si>
  <si>
    <t>00:01:27.8 (19)</t>
  </si>
  <si>
    <t>00:01:30.2 (21)</t>
  </si>
  <si>
    <t>00:01:58.8 (29)</t>
  </si>
  <si>
    <t>James Morland</t>
  </si>
  <si>
    <t>00:02:59.2 (24)</t>
  </si>
  <si>
    <t>00:02:41.4 (22)</t>
  </si>
  <si>
    <t>00:01:52.4 (15)</t>
  </si>
  <si>
    <t>00:01:52.0 (18)</t>
  </si>
  <si>
    <t>00:01:32.1 (25)</t>
  </si>
  <si>
    <t>00:01:28.0 (14)</t>
  </si>
  <si>
    <t>00:01:56.4 (23)</t>
  </si>
  <si>
    <t>Barry Crouse</t>
  </si>
  <si>
    <t>00:03:03.7 (31)</t>
  </si>
  <si>
    <t>00:02:45.3 (25)</t>
  </si>
  <si>
    <t>00:01:56.3 (29)</t>
  </si>
  <si>
    <t>00:01:54.1 (25)</t>
  </si>
  <si>
    <t>00:01:34.5 (27)</t>
  </si>
  <si>
    <t>00:01:31.3 (25)</t>
  </si>
  <si>
    <t>00:01:57.4 (26)</t>
  </si>
  <si>
    <t>Ian Bryan</t>
  </si>
  <si>
    <t>00:03:02.8 (29)</t>
  </si>
  <si>
    <t>00:02:40.8 (21)</t>
  </si>
  <si>
    <t>00:01:56.3 (30)</t>
  </si>
  <si>
    <t>00:01:56.5 (29)</t>
  </si>
  <si>
    <t>00:01:39.5 (40)</t>
  </si>
  <si>
    <t>00:01:32.5 (29)</t>
  </si>
  <si>
    <t>00:01:56.4 (24)</t>
  </si>
  <si>
    <t>Olivia Marais</t>
  </si>
  <si>
    <t>00:02:50.5 (91)</t>
  </si>
  <si>
    <t>00:03:03.4 (91)</t>
  </si>
  <si>
    <t>00:02:13.4 (92)</t>
  </si>
  <si>
    <t>00:03:57.5 (93)</t>
  </si>
  <si>
    <t>00:03:12.2 (36)</t>
  </si>
  <si>
    <t>00:02:54.8 (32)</t>
  </si>
  <si>
    <t>00:02:04.5 (51)</t>
  </si>
  <si>
    <t>00:01:58.6 (35)</t>
  </si>
  <si>
    <t>00:01:38.2 (37)</t>
  </si>
  <si>
    <t>00:01:39.9 (52)</t>
  </si>
  <si>
    <t>00:02:11.2 (47)</t>
  </si>
  <si>
    <t>Cameron Capon</t>
  </si>
  <si>
    <t>00:03:43.8 (54)</t>
  </si>
  <si>
    <t>00:03:52.5 (60)</t>
  </si>
  <si>
    <t>00:02:13.6 (68)</t>
  </si>
  <si>
    <t>00:02:12.7 (68)</t>
  </si>
  <si>
    <t>00:02:03.2 (63)</t>
  </si>
  <si>
    <t>00:01:51.0 (80)</t>
  </si>
  <si>
    <t>00:02:35.6 (68)</t>
  </si>
  <si>
    <t>Philippa Spies</t>
  </si>
  <si>
    <t>00:03:30.2 (46)</t>
  </si>
  <si>
    <t>00:03:17.4 (47)</t>
  </si>
  <si>
    <t>00:02:15.1 (71)</t>
  </si>
  <si>
    <t>00:02:08.9 (59)</t>
  </si>
  <si>
    <t>00:01:51.7 (53)</t>
  </si>
  <si>
    <t>00:01:45.9 (67)</t>
  </si>
  <si>
    <t>00:02:29.6 (64)</t>
  </si>
  <si>
    <t>00:03:45.3 (55)</t>
  </si>
  <si>
    <t>00:03:33.7 (51)</t>
  </si>
  <si>
    <t>00:02:11.2 (65)</t>
  </si>
  <si>
    <t>00:02:11.2 (64)</t>
  </si>
  <si>
    <t>00:01:54.3 (57)</t>
  </si>
  <si>
    <t>00:01:47.1 (71)</t>
  </si>
  <si>
    <t>00:02:42.4 (72)</t>
  </si>
  <si>
    <t>Amanda Keen</t>
  </si>
  <si>
    <t>00:04:06.5 (64)</t>
  </si>
  <si>
    <t>00:04:03.2 (62)</t>
  </si>
  <si>
    <t>00:02:13.8 (69)</t>
  </si>
  <si>
    <t>00:02:10.4 (63)</t>
  </si>
  <si>
    <t>00:02:05.5 (64)</t>
  </si>
  <si>
    <t>00:01:48.0 (74)</t>
  </si>
  <si>
    <t>00:02:45.0 (80)</t>
  </si>
  <si>
    <t>Madelle Venter</t>
  </si>
  <si>
    <t>00:04:04.5 (62)</t>
  </si>
  <si>
    <t>00:04:06.9 (63)</t>
  </si>
  <si>
    <t>00:02:16.5 (70)</t>
  </si>
  <si>
    <t>00:02:00.3 (61)</t>
  </si>
  <si>
    <t>00:01:47.5 (72)</t>
  </si>
  <si>
    <t>00:02:52.7 (85)</t>
  </si>
  <si>
    <t>Mattie Viviers</t>
  </si>
  <si>
    <t>00:03:37.7 (51)</t>
  </si>
  <si>
    <t>00:04:01.4 (61)</t>
  </si>
  <si>
    <t>00:02:09.7 (61)</t>
  </si>
  <si>
    <t>00:02:06.1 (55)</t>
  </si>
  <si>
    <t>00:01:53.7 (55)</t>
  </si>
  <si>
    <t>00:01:42.5 (58)</t>
  </si>
  <si>
    <t>00:02:25.7 (60)</t>
  </si>
  <si>
    <t>00:03:56.3 (59)</t>
  </si>
  <si>
    <t>00:03:42.0 (58)</t>
  </si>
  <si>
    <t>00:02:09.9 (62)</t>
  </si>
  <si>
    <t>00:02:08.9 (58)</t>
  </si>
  <si>
    <t>00:01:53.2 (54)</t>
  </si>
  <si>
    <t>00:01:49.7 (78)</t>
  </si>
  <si>
    <t>00:02:36.9 (69)</t>
  </si>
  <si>
    <t>Monica Glover</t>
  </si>
  <si>
    <t>00:03:33.3 (48)</t>
  </si>
  <si>
    <t>00:03:09.2 (44)</t>
  </si>
  <si>
    <t>00:02:08.6 (59)</t>
  </si>
  <si>
    <t>00:02:31.6 (82)</t>
  </si>
  <si>
    <t>00:01:40.8 (43)</t>
  </si>
  <si>
    <t>00:01:44.6 (62)</t>
  </si>
  <si>
    <t>00:02:10.0 (45)</t>
  </si>
  <si>
    <t>Sean Badenhorst</t>
  </si>
  <si>
    <t>00:02:52.5 (18)</t>
  </si>
  <si>
    <t>00:02:38.3 (19)</t>
  </si>
  <si>
    <t>00:01:56.0 (28)</t>
  </si>
  <si>
    <t>00:01:56.5 (30)</t>
  </si>
  <si>
    <t>00:01:32.5 (26)</t>
  </si>
  <si>
    <t>00:01:33.0 (31)</t>
  </si>
  <si>
    <t>00:01:53.2 (18)</t>
  </si>
  <si>
    <t>Kalvin Christie</t>
  </si>
  <si>
    <t>00:03:07.4 (34)</t>
  </si>
  <si>
    <t>00:03:08.4 (43)</t>
  </si>
  <si>
    <t>00:02:00.3 (44)</t>
  </si>
  <si>
    <t>00:02:03.2 (49)</t>
  </si>
  <si>
    <t>00:01:34.7 (28)</t>
  </si>
  <si>
    <t>00:01:38.7 (47)</t>
  </si>
  <si>
    <t>00:02:10.6 (46)</t>
  </si>
  <si>
    <t>Tinus Kotze</t>
  </si>
  <si>
    <t>00:02:30.7 (85)</t>
  </si>
  <si>
    <t>00:02:28.4 (80)</t>
  </si>
  <si>
    <t>00:01:51.2 (81)</t>
  </si>
  <si>
    <t>00:02:47.5 (82)</t>
  </si>
  <si>
    <t>Wendell Bole</t>
  </si>
  <si>
    <t>00:02:35.0 (87)</t>
  </si>
  <si>
    <t>00:02:36.4 (85)</t>
  </si>
  <si>
    <t>00:01:52.7 (83)</t>
  </si>
  <si>
    <t>00:02:43.1 (74)</t>
  </si>
  <si>
    <t>Vivaldo Damilano</t>
  </si>
  <si>
    <t>00:02:50.8 (92)</t>
  </si>
  <si>
    <t>00:02:39.2 (86)</t>
  </si>
  <si>
    <t>00:01:58.5 (86)</t>
  </si>
  <si>
    <t>00:02:43.5 (75)</t>
  </si>
  <si>
    <t>Ngwako Raphasa</t>
  </si>
  <si>
    <t>00:04:05.6 (94)</t>
  </si>
  <si>
    <t>00:04:28.5 (95)</t>
  </si>
  <si>
    <t>00:05:15.7 (68)</t>
  </si>
  <si>
    <t>00:03:16.8 (95)</t>
  </si>
  <si>
    <t>00:07:42.0 (95)</t>
  </si>
  <si>
    <t>Alan Todd</t>
  </si>
  <si>
    <t>00:02:05.8 (53)</t>
  </si>
  <si>
    <t>00:02:02.1 (46)</t>
  </si>
  <si>
    <t>00:01:45.2 (64)</t>
  </si>
  <si>
    <t>00:02:19.8 (53)</t>
  </si>
  <si>
    <t>Sean Labuschagne</t>
  </si>
  <si>
    <t>00:02:04.4 (50)</t>
  </si>
  <si>
    <t>00:02:05.5 (54)</t>
  </si>
  <si>
    <t>00:01:38.8 (48)</t>
  </si>
  <si>
    <t>00:02:27.5 (61)</t>
  </si>
  <si>
    <t>Vincent Rodgers</t>
  </si>
  <si>
    <t>00:01:59.9 (43)</t>
  </si>
  <si>
    <t>00:02:04.9 (52)</t>
  </si>
  <si>
    <t>00:01:37.4 (44)</t>
  </si>
  <si>
    <t>00:02:35.6 (67)</t>
  </si>
  <si>
    <t>Martin Alvarez</t>
  </si>
  <si>
    <t>00:02:20.1 (80)</t>
  </si>
  <si>
    <t>00:02:23.7 (77)</t>
  </si>
  <si>
    <t>00:01:45.5 (66)</t>
  </si>
  <si>
    <t>00:03:09.9 (86)</t>
  </si>
  <si>
    <t>Johan Marais</t>
  </si>
  <si>
    <t>00:02:44.8 (89)</t>
  </si>
  <si>
    <t>00:02:50.2 (87)</t>
  </si>
  <si>
    <t>00:01:56.5 (85)</t>
  </si>
  <si>
    <t>00:03:11.9 (88)</t>
  </si>
  <si>
    <t>Sihle Skhosana</t>
  </si>
  <si>
    <t>00:02:45.3 (90)</t>
  </si>
  <si>
    <t>00:03:02.3 (90)</t>
  </si>
  <si>
    <t>00:02:09.8 (91)</t>
  </si>
  <si>
    <t>00:03:24.5 (91)</t>
  </si>
  <si>
    <t>Harold Van Niekerk</t>
  </si>
  <si>
    <t>00:02:18.2 (77)</t>
  </si>
  <si>
    <t>00:01:54.4 (84)</t>
  </si>
  <si>
    <t>00:02:50.8 (84)</t>
  </si>
  <si>
    <t>Dumisani Magagula</t>
  </si>
  <si>
    <t>00:03:16.1 (92)</t>
  </si>
  <si>
    <t>00:02:15.0 (93)</t>
  </si>
  <si>
    <t>00:02:50.0 (83)</t>
  </si>
  <si>
    <t>Sandile Thamane</t>
  </si>
  <si>
    <t>00:03:33.9 (93)</t>
  </si>
  <si>
    <t>00:03:42.5 (94)</t>
  </si>
  <si>
    <t>Sibonakaliso Mbatha</t>
  </si>
  <si>
    <t>00:03:34.3 (93)</t>
  </si>
  <si>
    <t>Siyabonga Vuko</t>
  </si>
  <si>
    <t>Julia  Kotze</t>
  </si>
  <si>
    <t>00:01:59.6 (39)</t>
  </si>
  <si>
    <t>00:02:00.1 (41)</t>
  </si>
  <si>
    <t>00:01:35.6 (41)</t>
  </si>
  <si>
    <t>00:02:08.1 (42)</t>
  </si>
  <si>
    <t>Giulia Damilano</t>
  </si>
  <si>
    <t>00:02:19.4 (78)</t>
  </si>
  <si>
    <t>00:02:19.7 (72)</t>
  </si>
  <si>
    <t>00:01:49.4 (76)</t>
  </si>
  <si>
    <t>00:02:34.6 (66)</t>
  </si>
  <si>
    <t>Candice Stafford Stafford</t>
  </si>
  <si>
    <t>00:02:32.0 (86)</t>
  </si>
  <si>
    <t>00:02:22.8 (75)</t>
  </si>
  <si>
    <t>00:01:47.7 (73)</t>
  </si>
  <si>
    <t>00:02:44.0 (77)</t>
  </si>
  <si>
    <t>Marlene Kotze</t>
  </si>
  <si>
    <t>00:02:29.1 (84)</t>
  </si>
  <si>
    <t>00:02:29.0 (81)</t>
  </si>
  <si>
    <t>00:01:59.2 (87)</t>
  </si>
  <si>
    <t>00:03:12.8 (89)</t>
  </si>
  <si>
    <t>CSA ID</t>
  </si>
  <si>
    <t>PROVINCE</t>
  </si>
  <si>
    <t>Warren</t>
  </si>
  <si>
    <t>Lawrence</t>
  </si>
  <si>
    <t>Isabel</t>
  </si>
  <si>
    <t>de Kock</t>
  </si>
  <si>
    <t>Kevin</t>
  </si>
  <si>
    <t>Eatwell</t>
  </si>
  <si>
    <t>Charl</t>
  </si>
  <si>
    <t>du Plessis</t>
  </si>
  <si>
    <t>Collins</t>
  </si>
  <si>
    <t>Stéphen</t>
  </si>
  <si>
    <t>Du Toit</t>
  </si>
  <si>
    <t>Myles</t>
  </si>
  <si>
    <t>Kelsey</t>
  </si>
  <si>
    <t>Charlie</t>
  </si>
  <si>
    <t>Thiry</t>
  </si>
  <si>
    <t>Morrison</t>
  </si>
  <si>
    <t>Spencer</t>
  </si>
  <si>
    <t>van Zyl</t>
  </si>
  <si>
    <t>Dylan</t>
  </si>
  <si>
    <t>Wiggill</t>
  </si>
  <si>
    <t>Stephen</t>
  </si>
  <si>
    <t>wiggill</t>
  </si>
  <si>
    <t>Beavin</t>
  </si>
  <si>
    <t>Dale</t>
  </si>
  <si>
    <t>Barnard</t>
  </si>
  <si>
    <t>Seth</t>
  </si>
  <si>
    <t>Alexander</t>
  </si>
  <si>
    <t>Jonker</t>
  </si>
  <si>
    <t>Jayden</t>
  </si>
  <si>
    <t>Lang</t>
  </si>
  <si>
    <t>Isabella</t>
  </si>
  <si>
    <t>Stermin</t>
  </si>
  <si>
    <t>Luca</t>
  </si>
  <si>
    <t>Zietsman</t>
  </si>
  <si>
    <t>Adam</t>
  </si>
  <si>
    <t>Bethlehem</t>
  </si>
  <si>
    <t>Annemi</t>
  </si>
  <si>
    <t>Pfister</t>
  </si>
  <si>
    <t>Sven</t>
  </si>
  <si>
    <t>DUNCKER</t>
  </si>
  <si>
    <t>Enrique</t>
  </si>
  <si>
    <t>Julyan</t>
  </si>
  <si>
    <t>Stirling</t>
  </si>
  <si>
    <t>Taun</t>
  </si>
  <si>
    <t>Bewsher</t>
  </si>
  <si>
    <t>Tim</t>
  </si>
  <si>
    <t>Price</t>
  </si>
  <si>
    <t>Ridoh</t>
  </si>
  <si>
    <t>Gamildien</t>
  </si>
  <si>
    <t>Adeeb</t>
  </si>
  <si>
    <t>Said</t>
  </si>
  <si>
    <t>Hector</t>
  </si>
  <si>
    <t>Hewetson</t>
  </si>
  <si>
    <t>Igshaan</t>
  </si>
  <si>
    <t>Noordien</t>
  </si>
  <si>
    <t>Rameez</t>
  </si>
  <si>
    <t>Abrahams</t>
  </si>
  <si>
    <t>Luc Riley</t>
  </si>
  <si>
    <t>Rossouw</t>
  </si>
  <si>
    <t>Corbin</t>
  </si>
  <si>
    <t>Mann</t>
  </si>
  <si>
    <t>Alisha</t>
  </si>
  <si>
    <t>Myers</t>
  </si>
  <si>
    <t>van Schalkwyk</t>
  </si>
  <si>
    <t>Bradley</t>
  </si>
  <si>
    <t>Stow</t>
  </si>
  <si>
    <t>Taljaard</t>
  </si>
  <si>
    <t>Elliott</t>
  </si>
  <si>
    <t>Ridge</t>
  </si>
  <si>
    <t>Jones</t>
  </si>
  <si>
    <t>Nigel</t>
  </si>
  <si>
    <t>Basel</t>
  </si>
  <si>
    <t>Rory</t>
  </si>
  <si>
    <t>Butler</t>
  </si>
  <si>
    <t>Tomlinson</t>
  </si>
  <si>
    <t>Ozair</t>
  </si>
  <si>
    <t>Hanware</t>
  </si>
  <si>
    <t>Rushdie</t>
  </si>
  <si>
    <t>Lagardien</t>
  </si>
  <si>
    <t>Francois</t>
  </si>
  <si>
    <t>Dreyer</t>
  </si>
  <si>
    <t>Chait</t>
  </si>
  <si>
    <t>Edwin</t>
  </si>
  <si>
    <t>De Swardt</t>
  </si>
  <si>
    <t>Brett</t>
  </si>
  <si>
    <t>Hayward</t>
  </si>
  <si>
    <t>Paul</t>
  </si>
  <si>
    <t>Combrinck</t>
  </si>
  <si>
    <t>Galley</t>
  </si>
  <si>
    <t>Nic</t>
  </si>
  <si>
    <t>Rezelman</t>
  </si>
  <si>
    <t>Myndert</t>
  </si>
  <si>
    <t>Laubscher</t>
  </si>
  <si>
    <t>Hendre</t>
  </si>
  <si>
    <t>De Villiers</t>
  </si>
  <si>
    <t>Craig</t>
  </si>
  <si>
    <t>Fussell</t>
  </si>
  <si>
    <t>Collair</t>
  </si>
  <si>
    <t>Christiaan</t>
  </si>
  <si>
    <t>Steffens</t>
  </si>
  <si>
    <t>Marcel</t>
  </si>
  <si>
    <t>Fourie</t>
  </si>
  <si>
    <t>Wienburg</t>
  </si>
  <si>
    <t>Baptie</t>
  </si>
  <si>
    <t>Samantha</t>
  </si>
  <si>
    <t>Sharp</t>
  </si>
  <si>
    <t>Matt</t>
  </si>
  <si>
    <t>Nicholson</t>
  </si>
  <si>
    <t>Neo</t>
  </si>
  <si>
    <t>Dekker</t>
  </si>
  <si>
    <t>Ebrahiem</t>
  </si>
  <si>
    <t>Van Der Schyff</t>
  </si>
  <si>
    <t>THOMAS</t>
  </si>
  <si>
    <t>DAWSON</t>
  </si>
  <si>
    <t>Dawson</t>
  </si>
  <si>
    <t>MARC</t>
  </si>
  <si>
    <t>Romano</t>
  </si>
  <si>
    <t>Simpson</t>
  </si>
  <si>
    <t>Jean-Pierre</t>
  </si>
  <si>
    <t>Whitfield</t>
  </si>
  <si>
    <t>Franco</t>
  </si>
  <si>
    <t>Pretorius</t>
  </si>
  <si>
    <t>Morgan</t>
  </si>
  <si>
    <t>Carter</t>
  </si>
  <si>
    <t>Spolander</t>
  </si>
  <si>
    <t>Pieter</t>
  </si>
  <si>
    <t>Berner</t>
  </si>
  <si>
    <t>Dacre</t>
  </si>
  <si>
    <t>Ewan</t>
  </si>
  <si>
    <t>Nico</t>
  </si>
  <si>
    <t>De Nysschen</t>
  </si>
  <si>
    <t>Matthias</t>
  </si>
  <si>
    <t>Christen</t>
  </si>
  <si>
    <t>Rood</t>
  </si>
  <si>
    <t>Jean</t>
  </si>
  <si>
    <t>Ehlers</t>
  </si>
  <si>
    <t>Stefan</t>
  </si>
  <si>
    <t>Boshoff</t>
  </si>
  <si>
    <t>Alec</t>
  </si>
  <si>
    <t>Retief</t>
  </si>
  <si>
    <t>Julian</t>
  </si>
  <si>
    <t>Burke</t>
  </si>
  <si>
    <t>Schalk</t>
  </si>
  <si>
    <t>Duvenage</t>
  </si>
  <si>
    <t>John</t>
  </si>
  <si>
    <t>Dalton</t>
  </si>
  <si>
    <t>Nicholas</t>
  </si>
  <si>
    <t>Thompson</t>
  </si>
  <si>
    <t>Jedri</t>
  </si>
  <si>
    <t>Visser</t>
  </si>
  <si>
    <t>Grant</t>
  </si>
  <si>
    <t>Morris</t>
  </si>
  <si>
    <t>Van der Linde</t>
  </si>
  <si>
    <t>Christo</t>
  </si>
  <si>
    <t>van den Heever</t>
  </si>
  <si>
    <t>Daniel</t>
  </si>
  <si>
    <t>Franken</t>
  </si>
  <si>
    <t>Etsebeth</t>
  </si>
  <si>
    <t>Amy</t>
  </si>
  <si>
    <t>Burton</t>
  </si>
  <si>
    <t>Chrisman</t>
  </si>
  <si>
    <t>De Jager</t>
  </si>
  <si>
    <t>Lian</t>
  </si>
  <si>
    <t>de Jager</t>
  </si>
  <si>
    <t>Cilliers</t>
  </si>
  <si>
    <t>Samuel</t>
  </si>
  <si>
    <t>Courts</t>
  </si>
  <si>
    <t>Altus</t>
  </si>
  <si>
    <t>Angus</t>
  </si>
  <si>
    <t>Fergusson</t>
  </si>
  <si>
    <t>Ryan</t>
  </si>
  <si>
    <t>Liversage</t>
  </si>
  <si>
    <t>Jacobus Johannes</t>
  </si>
  <si>
    <t>Veldsman</t>
  </si>
  <si>
    <t>Rezah</t>
  </si>
  <si>
    <t>Levy</t>
  </si>
  <si>
    <t>Shaun</t>
  </si>
  <si>
    <t>Fuller</t>
  </si>
  <si>
    <t>Schalk Willem</t>
  </si>
  <si>
    <t>Vorster</t>
  </si>
  <si>
    <t>stephens</t>
  </si>
  <si>
    <t>Carlo</t>
  </si>
  <si>
    <t>Stephens</t>
  </si>
  <si>
    <t>Brian</t>
  </si>
  <si>
    <t>America</t>
  </si>
  <si>
    <t>Yaseen</t>
  </si>
  <si>
    <t>Enos</t>
  </si>
  <si>
    <t>Gerhard</t>
  </si>
  <si>
    <t>Sevenster</t>
  </si>
  <si>
    <t>Sebastiaan</t>
  </si>
  <si>
    <t>Gustav</t>
  </si>
  <si>
    <t>Dean</t>
  </si>
  <si>
    <t>Mario</t>
  </si>
  <si>
    <t>Robin</t>
  </si>
  <si>
    <t>Williams</t>
  </si>
  <si>
    <t>Gregg</t>
  </si>
  <si>
    <t>Blomeyer</t>
  </si>
  <si>
    <t>Gabriel</t>
  </si>
  <si>
    <t>Cohn</t>
  </si>
  <si>
    <t>Juri</t>
  </si>
  <si>
    <t>De Bruyn</t>
  </si>
  <si>
    <t>Dane</t>
  </si>
  <si>
    <t>Clifton</t>
  </si>
  <si>
    <t>Matthew</t>
  </si>
  <si>
    <t>Halbert</t>
  </si>
  <si>
    <t>Kenny</t>
  </si>
  <si>
    <t>Moir</t>
  </si>
  <si>
    <t>Max</t>
  </si>
  <si>
    <t>Sullivan</t>
  </si>
  <si>
    <t>Tiaan</t>
  </si>
  <si>
    <t>Van de Merwe</t>
  </si>
  <si>
    <t>Evan</t>
  </si>
  <si>
    <t>Lategan</t>
  </si>
  <si>
    <t>Jano</t>
  </si>
  <si>
    <t>Gildenhuys</t>
  </si>
  <si>
    <t>Olsen</t>
  </si>
  <si>
    <t>Warwick</t>
  </si>
  <si>
    <t>Davison</t>
  </si>
  <si>
    <t>de Villiers</t>
  </si>
  <si>
    <t>Van Wyk</t>
  </si>
  <si>
    <t>Gerrit</t>
  </si>
  <si>
    <t>Rousseau</t>
  </si>
  <si>
    <t>Ben</t>
  </si>
  <si>
    <t>Kroukamp</t>
  </si>
  <si>
    <t>Heinrich</t>
  </si>
  <si>
    <t>Vreken</t>
  </si>
  <si>
    <t>Gavin</t>
  </si>
  <si>
    <t>Dingley</t>
  </si>
  <si>
    <t>Philip</t>
  </si>
  <si>
    <t>McCann</t>
  </si>
  <si>
    <t>DR</t>
  </si>
  <si>
    <t>KATZEN</t>
  </si>
  <si>
    <t>Van Zyl Smit</t>
  </si>
  <si>
    <t>Hugo</t>
  </si>
  <si>
    <t>Tristan</t>
  </si>
  <si>
    <t>Harley</t>
  </si>
  <si>
    <t>Coenie</t>
  </si>
  <si>
    <t>Kabalin</t>
  </si>
  <si>
    <t>Jacques</t>
  </si>
  <si>
    <t>Geoff</t>
  </si>
  <si>
    <t>Dye</t>
  </si>
  <si>
    <t>Hulley</t>
  </si>
  <si>
    <t>Harry</t>
  </si>
  <si>
    <t>Millar</t>
  </si>
  <si>
    <t>Viljoen</t>
  </si>
  <si>
    <t>Ashley</t>
  </si>
  <si>
    <t>Smit</t>
  </si>
  <si>
    <t>Gary</t>
  </si>
  <si>
    <t>Xander</t>
  </si>
  <si>
    <t>Morne</t>
  </si>
  <si>
    <t>Share</t>
  </si>
  <si>
    <t>Ridha</t>
  </si>
  <si>
    <t>Davids</t>
  </si>
  <si>
    <t>Henk</t>
  </si>
  <si>
    <t>Fritz</t>
  </si>
  <si>
    <t>Kolb</t>
  </si>
  <si>
    <t>Ethan</t>
  </si>
  <si>
    <t>Paton</t>
  </si>
  <si>
    <t>Joffre</t>
  </si>
  <si>
    <t>Christian</t>
  </si>
  <si>
    <t>Mocke'</t>
  </si>
  <si>
    <t>Zivan</t>
  </si>
  <si>
    <t>Stephan</t>
  </si>
  <si>
    <t>Terblanche</t>
  </si>
  <si>
    <t>Geldenhuys</t>
  </si>
  <si>
    <t>Cleary</t>
  </si>
  <si>
    <t>Ezra</t>
  </si>
  <si>
    <t>Evans</t>
  </si>
  <si>
    <t>Jean-Luc</t>
  </si>
  <si>
    <t>Roux</t>
  </si>
  <si>
    <t>Hewitson</t>
  </si>
  <si>
    <t>Kistner</t>
  </si>
  <si>
    <t>Shane</t>
  </si>
  <si>
    <t>Mike</t>
  </si>
  <si>
    <t>Fairbrother</t>
  </si>
  <si>
    <t>Raubenheimer</t>
  </si>
  <si>
    <t>Jacobs</t>
  </si>
  <si>
    <t>Robyn</t>
  </si>
  <si>
    <t>Emslie</t>
  </si>
  <si>
    <t>Budke</t>
  </si>
  <si>
    <t>Sutton</t>
  </si>
  <si>
    <t>Leon</t>
  </si>
  <si>
    <t>Bartel</t>
  </si>
  <si>
    <t>Clyde</t>
  </si>
  <si>
    <t>Jake</t>
  </si>
  <si>
    <t>Owen</t>
  </si>
  <si>
    <t>Adrian</t>
  </si>
  <si>
    <t>Kritzinger</t>
  </si>
  <si>
    <t>Duncan</t>
  </si>
  <si>
    <t>SEPHTON</t>
  </si>
  <si>
    <t>THEUNS</t>
  </si>
  <si>
    <t>LOUW</t>
  </si>
  <si>
    <t>Heyns</t>
  </si>
  <si>
    <t>Duran</t>
  </si>
  <si>
    <t>Van Eeden</t>
  </si>
  <si>
    <t>Novella</t>
  </si>
  <si>
    <t>Hanru</t>
  </si>
  <si>
    <t>van Heyningen</t>
  </si>
  <si>
    <t>Karl</t>
  </si>
  <si>
    <t>Daryn</t>
  </si>
  <si>
    <t>Clark</t>
  </si>
  <si>
    <t>Van den Berg</t>
  </si>
  <si>
    <t>Rostance</t>
  </si>
  <si>
    <t>Frankie</t>
  </si>
  <si>
    <t>Lombardi</t>
  </si>
  <si>
    <t>Jordan</t>
  </si>
  <si>
    <t>De goede</t>
  </si>
  <si>
    <t>Van Zyl</t>
  </si>
  <si>
    <t>Tyler Pearce</t>
  </si>
  <si>
    <t>Denovan</t>
  </si>
  <si>
    <t>Johmar</t>
  </si>
  <si>
    <t>loubser</t>
  </si>
  <si>
    <t>Waldo</t>
  </si>
  <si>
    <t>De Wet</t>
  </si>
  <si>
    <t>Roxy</t>
  </si>
  <si>
    <t>Baynes</t>
  </si>
  <si>
    <t>Lood</t>
  </si>
  <si>
    <t>Jack</t>
  </si>
  <si>
    <t>Goosen</t>
  </si>
  <si>
    <t>Dunkley</t>
  </si>
  <si>
    <t>Jonathan</t>
  </si>
  <si>
    <t>Zander</t>
  </si>
  <si>
    <t>Ettienne</t>
  </si>
  <si>
    <t>van Biljon</t>
  </si>
  <si>
    <t>Benjamin</t>
  </si>
  <si>
    <t>Johan</t>
  </si>
  <si>
    <t>Frans</t>
  </si>
  <si>
    <t>Simone</t>
  </si>
  <si>
    <t>Griessel</t>
  </si>
  <si>
    <t>Ham</t>
  </si>
  <si>
    <t>Mackinley</t>
  </si>
  <si>
    <t>Daly</t>
  </si>
  <si>
    <t>Groeneveld</t>
  </si>
  <si>
    <t>Shandri</t>
  </si>
  <si>
    <t>Erasmus</t>
  </si>
  <si>
    <t>Megan</t>
  </si>
  <si>
    <t>van der Helm</t>
  </si>
  <si>
    <t>Dj</t>
  </si>
  <si>
    <t>Oosthuizen</t>
  </si>
  <si>
    <t>lance</t>
  </si>
  <si>
    <t>morris</t>
  </si>
  <si>
    <t>Adriaan</t>
  </si>
  <si>
    <t>De Lange</t>
  </si>
  <si>
    <t>Rigardt</t>
  </si>
  <si>
    <t>Fred</t>
  </si>
  <si>
    <t>Lowe</t>
  </si>
  <si>
    <t>Mark</t>
  </si>
  <si>
    <t>Minter</t>
  </si>
  <si>
    <t>de Waard</t>
  </si>
  <si>
    <t>Pierre</t>
  </si>
  <si>
    <t>Evard</t>
  </si>
  <si>
    <t>Jordon</t>
  </si>
  <si>
    <t>Devon</t>
  </si>
  <si>
    <t>Coombe</t>
  </si>
  <si>
    <t>Bjorn</t>
  </si>
  <si>
    <t>Train</t>
  </si>
  <si>
    <t>Marc</t>
  </si>
  <si>
    <t>Carr</t>
  </si>
  <si>
    <t>Eryn</t>
  </si>
  <si>
    <t>Louis</t>
  </si>
  <si>
    <t>Mattijs</t>
  </si>
  <si>
    <t>Machtelinckx</t>
  </si>
  <si>
    <t>Du Preez</t>
  </si>
  <si>
    <t>Wareing</t>
  </si>
  <si>
    <t>van der Meer</t>
  </si>
  <si>
    <t>van Straten</t>
  </si>
  <si>
    <t>Miles</t>
  </si>
  <si>
    <t>Henebrey</t>
  </si>
  <si>
    <t>Michard</t>
  </si>
  <si>
    <t>Meets</t>
  </si>
  <si>
    <t>Henning</t>
  </si>
  <si>
    <t>Johann</t>
  </si>
  <si>
    <t>Potgieter</t>
  </si>
  <si>
    <t>Lineke</t>
  </si>
  <si>
    <t>Groenewald</t>
  </si>
  <si>
    <t>Brandon</t>
  </si>
  <si>
    <t>Willcocks</t>
  </si>
  <si>
    <t>Hunter</t>
  </si>
  <si>
    <t>Jadon</t>
  </si>
  <si>
    <t>Steven</t>
  </si>
  <si>
    <t>Yeates</t>
  </si>
  <si>
    <t>David B</t>
  </si>
  <si>
    <t>Hartley</t>
  </si>
  <si>
    <t>Roger</t>
  </si>
  <si>
    <t>Henlu</t>
  </si>
  <si>
    <t>Starke</t>
  </si>
  <si>
    <t>Jessi</t>
  </si>
  <si>
    <t>Nixon</t>
  </si>
  <si>
    <t>Dillan</t>
  </si>
  <si>
    <t>Rix</t>
  </si>
  <si>
    <t>Gina</t>
  </si>
  <si>
    <t>Julian Peter</t>
  </si>
  <si>
    <t>Julian Robin</t>
  </si>
  <si>
    <t>JEANIE</t>
  </si>
  <si>
    <t>DE VILLIERS</t>
  </si>
  <si>
    <t>Phil</t>
  </si>
  <si>
    <t>Hulse</t>
  </si>
  <si>
    <t>Calum</t>
  </si>
  <si>
    <t>Marriott</t>
  </si>
  <si>
    <t>Boetie</t>
  </si>
  <si>
    <t>Dean Van Niekerk</t>
  </si>
  <si>
    <t>Taegan</t>
  </si>
  <si>
    <t>Felton</t>
  </si>
  <si>
    <t>Kylie</t>
  </si>
  <si>
    <t>Hanekom</t>
  </si>
  <si>
    <t>Ruwiel</t>
  </si>
  <si>
    <t>Ord</t>
  </si>
  <si>
    <t>Melanie</t>
  </si>
  <si>
    <t>7808295031081</t>
  </si>
  <si>
    <t>7604260041084</t>
  </si>
  <si>
    <t>0411205175085</t>
  </si>
  <si>
    <t>7703035046087</t>
  </si>
  <si>
    <t>7511015066086</t>
  </si>
  <si>
    <t>0508265334088</t>
  </si>
  <si>
    <t>0401235326089</t>
  </si>
  <si>
    <t>7201255009083</t>
  </si>
  <si>
    <t>9703046583183</t>
  </si>
  <si>
    <t>7201185458087</t>
  </si>
  <si>
    <t>3801975714021</t>
  </si>
  <si>
    <t>1111215527080</t>
  </si>
  <si>
    <t>7606055122086</t>
  </si>
  <si>
    <t>8309125003084</t>
  </si>
  <si>
    <t>6604135033085</t>
  </si>
  <si>
    <t>06061655220810606</t>
  </si>
  <si>
    <t>0706085097089</t>
  </si>
  <si>
    <t>0105215255081</t>
  </si>
  <si>
    <t>1202280312084</t>
  </si>
  <si>
    <t>0704135168083</t>
  </si>
  <si>
    <t>8601175002085</t>
  </si>
  <si>
    <t>8505160258083</t>
  </si>
  <si>
    <t>8101175075082</t>
  </si>
  <si>
    <t>8809165047081</t>
  </si>
  <si>
    <t>8401065251086</t>
  </si>
  <si>
    <t>8806135164087</t>
  </si>
  <si>
    <t>6608135262081</t>
  </si>
  <si>
    <t>7811025224083</t>
  </si>
  <si>
    <t>8307145194081</t>
  </si>
  <si>
    <t>8307215038085</t>
  </si>
  <si>
    <t>08226385085</t>
  </si>
  <si>
    <t>7009165240080</t>
  </si>
  <si>
    <t>8710165147089</t>
  </si>
  <si>
    <t>1103095085081</t>
  </si>
  <si>
    <t>9602115186086</t>
  </si>
  <si>
    <t>710674358</t>
  </si>
  <si>
    <t>0202225097083</t>
  </si>
  <si>
    <t>8401095078087</t>
  </si>
  <si>
    <t>1210166218085</t>
  </si>
  <si>
    <t>0609275625083</t>
  </si>
  <si>
    <t>9104155059083</t>
  </si>
  <si>
    <t>0309165098083</t>
  </si>
  <si>
    <t>8708065023087</t>
  </si>
  <si>
    <t>7106165240084</t>
  </si>
  <si>
    <t>6511155073083</t>
  </si>
  <si>
    <t>970417624908</t>
  </si>
  <si>
    <t>0906085437083</t>
  </si>
  <si>
    <t>9404215142089</t>
  </si>
  <si>
    <t>7304165053082</t>
  </si>
  <si>
    <t>7708165281081</t>
  </si>
  <si>
    <t>5804165056085</t>
  </si>
  <si>
    <t>8312305147085</t>
  </si>
  <si>
    <t>8902275209087</t>
  </si>
  <si>
    <t>7304215013086</t>
  </si>
  <si>
    <t>9007055022087</t>
  </si>
  <si>
    <t>9201035088082</t>
  </si>
  <si>
    <t>070325525234089</t>
  </si>
  <si>
    <t>0508085327080</t>
  </si>
  <si>
    <t>6506025046087</t>
  </si>
  <si>
    <t>8306225017089</t>
  </si>
  <si>
    <t>8209185079083</t>
  </si>
  <si>
    <t>0701125203086</t>
  </si>
  <si>
    <t>7703225058082</t>
  </si>
  <si>
    <t>9212065054084</t>
  </si>
  <si>
    <t>9201240011085</t>
  </si>
  <si>
    <t>8206245064089</t>
  </si>
  <si>
    <t>0405195196085</t>
  </si>
  <si>
    <t>7108035303084</t>
  </si>
  <si>
    <t>0301275270082</t>
  </si>
  <si>
    <t>0803035442083</t>
  </si>
  <si>
    <t>6709245117080</t>
  </si>
  <si>
    <t>8806275630087</t>
  </si>
  <si>
    <t>9502085070080</t>
  </si>
  <si>
    <t>0105235588081</t>
  </si>
  <si>
    <t>7211035260088</t>
  </si>
  <si>
    <t>0804055262088</t>
  </si>
  <si>
    <t>8502085188081</t>
  </si>
  <si>
    <t>9110035021086</t>
  </si>
  <si>
    <t>X1778974</t>
  </si>
  <si>
    <t>7905205157087</t>
  </si>
  <si>
    <t>7304045090080</t>
  </si>
  <si>
    <t>7809295115080</t>
  </si>
  <si>
    <t>8112095099086</t>
  </si>
  <si>
    <t>0901125157080</t>
  </si>
  <si>
    <t>8107295292085</t>
  </si>
  <si>
    <t>7007115223081</t>
  </si>
  <si>
    <t>8304265168086</t>
  </si>
  <si>
    <t>8908235008089</t>
  </si>
  <si>
    <t>8903075231081</t>
  </si>
  <si>
    <t>9510015036089</t>
  </si>
  <si>
    <t>8408065187087</t>
  </si>
  <si>
    <t>0710075177083</t>
  </si>
  <si>
    <t>6509035007081</t>
  </si>
  <si>
    <t>1009225188085</t>
  </si>
  <si>
    <t>8702050238081</t>
  </si>
  <si>
    <t>8003145023087</t>
  </si>
  <si>
    <t>1011155133081</t>
  </si>
  <si>
    <t>0702045233088</t>
  </si>
  <si>
    <t>9910186174083</t>
  </si>
  <si>
    <t>0406195234082</t>
  </si>
  <si>
    <t>FN153515</t>
  </si>
  <si>
    <t>8108275169087</t>
  </si>
  <si>
    <t>8102235186083</t>
  </si>
  <si>
    <t>8512085116081</t>
  </si>
  <si>
    <t>8608115022081</t>
  </si>
  <si>
    <t>0907095359085</t>
  </si>
  <si>
    <t>8610095237085</t>
  </si>
  <si>
    <t>8401065197081</t>
  </si>
  <si>
    <t>8207295059086</t>
  </si>
  <si>
    <t>8511255293084</t>
  </si>
  <si>
    <t>6712165128087</t>
  </si>
  <si>
    <t>0807285147086</t>
  </si>
  <si>
    <t>0807285143085</t>
  </si>
  <si>
    <t>9006235102082</t>
  </si>
  <si>
    <t>880112505208</t>
  </si>
  <si>
    <t>8611265132080</t>
  </si>
  <si>
    <t>7901305129084</t>
  </si>
  <si>
    <t>8711075052088</t>
  </si>
  <si>
    <t>0810165497084</t>
  </si>
  <si>
    <t>9709085198080</t>
  </si>
  <si>
    <t>9204095172085</t>
  </si>
  <si>
    <t>0505136173083</t>
  </si>
  <si>
    <t>0505305352088</t>
  </si>
  <si>
    <t>0212205231088</t>
  </si>
  <si>
    <t>9406155056088</t>
  </si>
  <si>
    <t>9407185184080</t>
  </si>
  <si>
    <t>0704045507081</t>
  </si>
  <si>
    <t>0705125239081</t>
  </si>
  <si>
    <t>9006225193083</t>
  </si>
  <si>
    <t>8608155096086</t>
  </si>
  <si>
    <t>7508145221086</t>
  </si>
  <si>
    <t>0801275789080</t>
  </si>
  <si>
    <t>0705065123089</t>
  </si>
  <si>
    <t>9202065256086</t>
  </si>
  <si>
    <t>0804115793080</t>
  </si>
  <si>
    <t>0707075303081</t>
  </si>
  <si>
    <t>0512105881084</t>
  </si>
  <si>
    <t>0601305553088</t>
  </si>
  <si>
    <t>8310075086087</t>
  </si>
  <si>
    <t>1012025151089</t>
  </si>
  <si>
    <t>7610295031081</t>
  </si>
  <si>
    <t>0625045474081</t>
  </si>
  <si>
    <t>7001125171083</t>
  </si>
  <si>
    <t>8510235231081</t>
  </si>
  <si>
    <t>0507205452083</t>
  </si>
  <si>
    <t>6608185088089</t>
  </si>
  <si>
    <t>8206195017087</t>
  </si>
  <si>
    <t>5706235153183</t>
  </si>
  <si>
    <t>7405095094086</t>
  </si>
  <si>
    <t>7804285173082</t>
  </si>
  <si>
    <t>8611185133085</t>
  </si>
  <si>
    <t>8802165125080</t>
  </si>
  <si>
    <t>7005265035081</t>
  </si>
  <si>
    <t>9407205083080</t>
  </si>
  <si>
    <t>8305055987080</t>
  </si>
  <si>
    <t>8707195095080</t>
  </si>
  <si>
    <t>9702055236089</t>
  </si>
  <si>
    <t>9305265066088</t>
  </si>
  <si>
    <t>0206055105087</t>
  </si>
  <si>
    <t>0705135233082</t>
  </si>
  <si>
    <t>0601185609083</t>
  </si>
  <si>
    <t>0608226574085</t>
  </si>
  <si>
    <t>0904065178082</t>
  </si>
  <si>
    <t>7605175093086</t>
  </si>
  <si>
    <t>0809146118082</t>
  </si>
  <si>
    <t>0706095202083</t>
  </si>
  <si>
    <t>0712086036084</t>
  </si>
  <si>
    <t>060320 5591 085</t>
  </si>
  <si>
    <t>0001085265088</t>
  </si>
  <si>
    <t>8605085059085</t>
  </si>
  <si>
    <t>0312215155085</t>
  </si>
  <si>
    <t>6911085293084</t>
  </si>
  <si>
    <t>0601275580087</t>
  </si>
  <si>
    <t>8406045148088</t>
  </si>
  <si>
    <t>0008160247089</t>
  </si>
  <si>
    <t>0201290113087</t>
  </si>
  <si>
    <t>0102265280085</t>
  </si>
  <si>
    <t>9712255188089</t>
  </si>
  <si>
    <t>9410245080082</t>
  </si>
  <si>
    <t>7403155253080</t>
  </si>
  <si>
    <t>jakeshayward@gmail.com</t>
  </si>
  <si>
    <t>9212105070082</t>
  </si>
  <si>
    <t>9103215043087</t>
  </si>
  <si>
    <t>0007315093083</t>
  </si>
  <si>
    <t>8909125064083</t>
  </si>
  <si>
    <t>0509015217086</t>
  </si>
  <si>
    <t>9207095229086</t>
  </si>
  <si>
    <t>8903105162082</t>
  </si>
  <si>
    <t>0804075398086</t>
  </si>
  <si>
    <t>7607075060082</t>
  </si>
  <si>
    <t>8202135014087</t>
  </si>
  <si>
    <t>0903115718087</t>
  </si>
  <si>
    <t>7803155040082</t>
  </si>
  <si>
    <t>9709020080088</t>
  </si>
  <si>
    <t>9705075211081</t>
  </si>
  <si>
    <t>9809025205084</t>
  </si>
  <si>
    <t>0702095268083</t>
  </si>
  <si>
    <t>0812156447086</t>
  </si>
  <si>
    <t>0604185803086</t>
  </si>
  <si>
    <t>0404055111086</t>
  </si>
  <si>
    <t>9109025124082</t>
  </si>
  <si>
    <t>9005220197081</t>
  </si>
  <si>
    <t>050906</t>
  </si>
  <si>
    <t>0802185375085</t>
  </si>
  <si>
    <t>0701246411099</t>
  </si>
  <si>
    <t>8804145905060</t>
  </si>
  <si>
    <t>0601305554086</t>
  </si>
  <si>
    <t>0805205669080</t>
  </si>
  <si>
    <t>6911295227088</t>
  </si>
  <si>
    <t>9102130043081</t>
  </si>
  <si>
    <t>940315508008</t>
  </si>
  <si>
    <t>0304275232086</t>
  </si>
  <si>
    <t>0808125540084</t>
  </si>
  <si>
    <t>9707040052087</t>
  </si>
  <si>
    <t>8512280258084</t>
  </si>
  <si>
    <t>8807145101085</t>
  </si>
  <si>
    <t>8704185194080</t>
  </si>
  <si>
    <t>0212235234086</t>
  </si>
  <si>
    <t>9111125154084</t>
  </si>
  <si>
    <t>8409285105081</t>
  </si>
  <si>
    <t>5704165095086</t>
  </si>
  <si>
    <t>0706255233084</t>
  </si>
  <si>
    <t>6802055220084</t>
  </si>
  <si>
    <t>0312245056089</t>
  </si>
  <si>
    <t>9510185078085</t>
  </si>
  <si>
    <t>8808115020081</t>
  </si>
  <si>
    <t>9403035042081</t>
  </si>
  <si>
    <t>5723082</t>
  </si>
  <si>
    <t>9003065133089</t>
  </si>
  <si>
    <t>0907295969089</t>
  </si>
  <si>
    <t>9312035308089</t>
  </si>
  <si>
    <t>9705295087089</t>
  </si>
  <si>
    <t>9707265081084</t>
  </si>
  <si>
    <t>9111095111080</t>
  </si>
  <si>
    <t>0001275031084</t>
  </si>
  <si>
    <t>7003285037088</t>
  </si>
  <si>
    <t>0706085115089</t>
  </si>
  <si>
    <t>0411065165085</t>
  </si>
  <si>
    <t>8701065011087</t>
  </si>
  <si>
    <t>0508280052087</t>
  </si>
  <si>
    <t>9408105267088</t>
  </si>
  <si>
    <t>0608296347081</t>
  </si>
  <si>
    <t>0809255771085</t>
  </si>
  <si>
    <t>7606075071081</t>
  </si>
  <si>
    <t>0905265374082</t>
  </si>
  <si>
    <t>6703225011082</t>
  </si>
  <si>
    <t>8702035061087</t>
  </si>
  <si>
    <t>9912010224084</t>
  </si>
  <si>
    <t>0201020152086</t>
  </si>
  <si>
    <t>7204160131083</t>
  </si>
  <si>
    <t>7208145133080</t>
  </si>
  <si>
    <t>8101060011085</t>
  </si>
  <si>
    <t>8509275283085</t>
  </si>
  <si>
    <t>6904255010081</t>
  </si>
  <si>
    <t>0404166221089</t>
  </si>
  <si>
    <t>7209285031084</t>
  </si>
  <si>
    <t>8607080158086</t>
  </si>
  <si>
    <t>6511085023083</t>
  </si>
  <si>
    <t>0303175204088</t>
  </si>
  <si>
    <t>0605JOSHUA</t>
  </si>
  <si>
    <t>7009260130087</t>
  </si>
  <si>
    <t>warrenl.cpt@gmail.com</t>
  </si>
  <si>
    <t>dekockisabel@gmail.com</t>
  </si>
  <si>
    <t>jameseatwell@gmail.com</t>
  </si>
  <si>
    <t>charl@charlduplessis.co.za</t>
  </si>
  <si>
    <t>james.collins.20005@gmail.com</t>
  </si>
  <si>
    <t>dutoit.stephen9@gmail.com</t>
  </si>
  <si>
    <t>myles@bikenetwork.co.za</t>
  </si>
  <si>
    <t>charliethiry1@gmail.com</t>
  </si>
  <si>
    <t>Andrewm@qualisafe.co.za</t>
  </si>
  <si>
    <t>deon@madbrick.co.za</t>
  </si>
  <si>
    <t>tlwiggill@gmail.com</t>
  </si>
  <si>
    <t>stephen@ybike.co.za</t>
  </si>
  <si>
    <t>beavin.de@eoh.com</t>
  </si>
  <si>
    <t>scaladale@icon.co.za</t>
  </si>
  <si>
    <t>ilse.jonker1@gmail.com</t>
  </si>
  <si>
    <t>jaydenlang28@gmail.com</t>
  </si>
  <si>
    <t>Izzyd.stermin@gmail.com</t>
  </si>
  <si>
    <t>jacques.zietsman@gmail.com</t>
  </si>
  <si>
    <t>adam.bethlehem1@gmail.com</t>
  </si>
  <si>
    <t>ami.pfister@gmail.com</t>
  </si>
  <si>
    <t>svenduncker@gmail.com</t>
  </si>
  <si>
    <t>julyan.enrique@gmail.com</t>
  </si>
  <si>
    <t>sj@revolutioncycles.co.za</t>
  </si>
  <si>
    <t>taun@africranks.com</t>
  </si>
  <si>
    <t>ijajino1@gmail.com</t>
  </si>
  <si>
    <t>ridohg@gmail.com</t>
  </si>
  <si>
    <t>addeb.said@gmail.com</t>
  </si>
  <si>
    <t>nils@woodstockcycleworks.com</t>
  </si>
  <si>
    <t>hewetson.r@pg.com</t>
  </si>
  <si>
    <t>igshaan.n@gmail.com</t>
  </si>
  <si>
    <t>meezo1@gmail.com</t>
  </si>
  <si>
    <t>morne@encodepro.co.za</t>
  </si>
  <si>
    <t>corbz34@gmail.com</t>
  </si>
  <si>
    <t>alishamyers@yahoo.com</t>
  </si>
  <si>
    <t>adelevanschalkwyk@gmail.com</t>
  </si>
  <si>
    <t>bradstow33@gmail.com</t>
  </si>
  <si>
    <t>schalk.marais@aecom.com</t>
  </si>
  <si>
    <t>taljaardlm@gmail.com</t>
  </si>
  <si>
    <t>eugene.elliott11@gmail.com</t>
  </si>
  <si>
    <t>freshkingobigair@gmail.com</t>
  </si>
  <si>
    <t>dylanwyndhamjones@gmail.com</t>
  </si>
  <si>
    <t>thaabit.toefy1@gmail.com</t>
  </si>
  <si>
    <t>nigel@baselfamily.net</t>
  </si>
  <si>
    <t>rory.butler97@gmail.com</t>
  </si>
  <si>
    <t>sigrid.tomlinson7@gmail.com</t>
  </si>
  <si>
    <t>ozairh@ohattorneys.co.za</t>
  </si>
  <si>
    <t>nailahv@gmail.com</t>
  </si>
  <si>
    <t>francious.dreyer@gmail.com</t>
  </si>
  <si>
    <t>alanchaitsa@gmail.com</t>
  </si>
  <si>
    <t>woepies6@gmail.com</t>
  </si>
  <si>
    <t>bretthayward067@gmail.com</t>
  </si>
  <si>
    <t>paul619@gmail.com</t>
  </si>
  <si>
    <t>warrengalley@gmail.com</t>
  </si>
  <si>
    <t>nicrezelman@icloud.com</t>
  </si>
  <si>
    <t>jana@hexvallei.co.za</t>
  </si>
  <si>
    <t>adelle@peppydesigns.co.za</t>
  </si>
  <si>
    <t>craig@datlink.co.za</t>
  </si>
  <si>
    <t>kcollair@gmail.com</t>
  </si>
  <si>
    <t>christiaansteffens@gmail.com</t>
  </si>
  <si>
    <t>marlifourie22@gmail.com</t>
  </si>
  <si>
    <t>brettwienburg1977@gmail.com</t>
  </si>
  <si>
    <t>baptiejosh@gmail.com</t>
  </si>
  <si>
    <t>samsharp00@gmail.com</t>
  </si>
  <si>
    <t>matt@khz.co.za</t>
  </si>
  <si>
    <t>neodekker@icloud.com</t>
  </si>
  <si>
    <t>ebrahiem@ayebuilding.co.za</t>
  </si>
  <si>
    <t>coetzeenadine1978@gmail.com</t>
  </si>
  <si>
    <t>fridhemfarm@vodamail.co.za</t>
  </si>
  <si>
    <t>dawson@fridhem.co.za</t>
  </si>
  <si>
    <t>romano@upstreamconnect.co.za</t>
  </si>
  <si>
    <t>info@jeanpierrewhitfield.com</t>
  </si>
  <si>
    <t>Francomtbsa@gmail.com</t>
  </si>
  <si>
    <t>aladdin.morgan@gmail.com</t>
  </si>
  <si>
    <t>r.spolander@seldenrod.com</t>
  </si>
  <si>
    <t>pieter.berner@gmail.com</t>
  </si>
  <si>
    <t>ewandacre@yahoo.com</t>
  </si>
  <si>
    <t>andredenysschen@gmail.com</t>
  </si>
  <si>
    <t>matthias.christen@outlook.com</t>
  </si>
  <si>
    <t>thomasrood1@gmail.com</t>
  </si>
  <si>
    <t>mikeeemike2004@yahoo.com</t>
  </si>
  <si>
    <t>jean@devmark.co.za</t>
  </si>
  <si>
    <t>bosdesigner@gmail.com</t>
  </si>
  <si>
    <t>ronelretief@gmail.com</t>
  </si>
  <si>
    <t>burke297@yahoo.com</t>
  </si>
  <si>
    <t>schalkd@emenes.co.za</t>
  </si>
  <si>
    <t>jcdalton@gmail.com</t>
  </si>
  <si>
    <t>bikes@hoekwil.com</t>
  </si>
  <si>
    <t>entryninja@jedrivisser.com</t>
  </si>
  <si>
    <t>morrisgrant18@gmail.com</t>
  </si>
  <si>
    <t>jaco@pedalproject.co.za</t>
  </si>
  <si>
    <t>mdm.eleventh@gmail.com</t>
  </si>
  <si>
    <t>christo.vdheever1@gmail.com</t>
  </si>
  <si>
    <t>lrf@sun.ac.za</t>
  </si>
  <si>
    <t>e.etsebeth@gmail.com</t>
  </si>
  <si>
    <t>aimzgburton@hotmail.com</t>
  </si>
  <si>
    <t>chrisman.dejager@gmail.com</t>
  </si>
  <si>
    <t>marian.cilliers@gmail.com</t>
  </si>
  <si>
    <t>mule1456@gmail.com</t>
  </si>
  <si>
    <t>altusrossouw2@gmail.com</t>
  </si>
  <si>
    <t>fergusson313@gmail.com</t>
  </si>
  <si>
    <t>ryanmarc.liversage@gmail.com</t>
  </si>
  <si>
    <t>jjveldsman@gmail.com</t>
  </si>
  <si>
    <t>levyspraypaint@yahoo.com</t>
  </si>
  <si>
    <t>shaunpatrickfuller@icloud.com</t>
  </si>
  <si>
    <t>schalkievorster@gmail.com</t>
  </si>
  <si>
    <t>seancole2008@gmail.com</t>
  </si>
  <si>
    <t>sean.stephens@ardaghgroup.com</t>
  </si>
  <si>
    <t>b.america@icloud.com</t>
  </si>
  <si>
    <t>yaseenenos@gmail.com</t>
  </si>
  <si>
    <t>gerhard@sevenster.co.za</t>
  </si>
  <si>
    <t>dduplooy@uwc.ac.za</t>
  </si>
  <si>
    <t>marioabrahams1201@gmail.com</t>
  </si>
  <si>
    <t>robin.moore@bmc-switzerland.com</t>
  </si>
  <si>
    <t>ian@capecycles.co.za</t>
  </si>
  <si>
    <t>gregg.blomeyer@gmail.com</t>
  </si>
  <si>
    <t>lauren@buyingservice.co.za</t>
  </si>
  <si>
    <t>juridb@gmail.com</t>
  </si>
  <si>
    <t>daneclifton@gmail.com</t>
  </si>
  <si>
    <t>lauren@currencypartners.co.za</t>
  </si>
  <si>
    <t>nic.kenny2005@gmail.com</t>
  </si>
  <si>
    <t>mark@beanstalk.co.za</t>
  </si>
  <si>
    <t>maxsullivanmtb@gmail.com</t>
  </si>
  <si>
    <t>tiaan196@gmail.com</t>
  </si>
  <si>
    <t>lategan.home@gmail.com</t>
  </si>
  <si>
    <t>anton.gildenhuys@outlook.com</t>
  </si>
  <si>
    <t>danejohnolsen@gmail.com</t>
  </si>
  <si>
    <t>wcdavison@gmail.com</t>
  </si>
  <si>
    <t>christiaan@devilliersconsult.co.za</t>
  </si>
  <si>
    <t>elsabevw@icloud.com</t>
  </si>
  <si>
    <t>gvgerritv@gmail.com</t>
  </si>
  <si>
    <t>malinda.rousseau@gmail.com</t>
  </si>
  <si>
    <t>benkroukamp@icloud.com</t>
  </si>
  <si>
    <t>heinrich.vreken@gmail.com</t>
  </si>
  <si>
    <t>gavin.dingley@bishops.org.za</t>
  </si>
  <si>
    <t>philipmccann011@gmail.com</t>
  </si>
  <si>
    <t>drkatzen13@gmail.com</t>
  </si>
  <si>
    <t>deirdrevzs@gmail.com</t>
  </si>
  <si>
    <t>info@pieterhugo.com</t>
  </si>
  <si>
    <t>michelle@trickyt.co.za</t>
  </si>
  <si>
    <t>andrewkenny40@gmail.com</t>
  </si>
  <si>
    <t>cjvanniekerk@outlook.com</t>
  </si>
  <si>
    <t>thomas@kabalin.com</t>
  </si>
  <si>
    <t>john@kabalin.com</t>
  </si>
  <si>
    <t>gjvanzyl@gmail.com</t>
  </si>
  <si>
    <t>geoff@controlpro.co.za</t>
  </si>
  <si>
    <t>grant@pyranhastunts.co.za</t>
  </si>
  <si>
    <t>harry@irideafrica.com</t>
  </si>
  <si>
    <t>pwviljoen@gmail.com</t>
  </si>
  <si>
    <t>ashley060@gmail.com</t>
  </si>
  <si>
    <t>garykroukamp@iafrica.com</t>
  </si>
  <si>
    <t>elsabedippenaar70@yahoo.com</t>
  </si>
  <si>
    <t>morneshare@icloud.com</t>
  </si>
  <si>
    <t>ridhadavids19@gmail.com</t>
  </si>
  <si>
    <t>francoisvnschlkwk@gmail.com</t>
  </si>
  <si>
    <t>henkgdekock@gmail.com</t>
  </si>
  <si>
    <t>anton@mountainshadows.co.za</t>
  </si>
  <si>
    <t>ethanpaton@gmail.com</t>
  </si>
  <si>
    <t>Joffreventer@gmail.co</t>
  </si>
  <si>
    <t>chrdmocke@gmail.com</t>
  </si>
  <si>
    <t>lanie@atlp.co.za</t>
  </si>
  <si>
    <t>et.cellar@la-motte.co.za</t>
  </si>
  <si>
    <t>garybarnard@gmail.com</t>
  </si>
  <si>
    <t>geldenhuysmarietta@gmail.com</t>
  </si>
  <si>
    <t>melanie@melaniephoto.com</t>
  </si>
  <si>
    <t>nelle.evans@icloud.com</t>
  </si>
  <si>
    <t>jean-lucroux20@gmail.com</t>
  </si>
  <si>
    <t>lucahewitson@gmail.com</t>
  </si>
  <si>
    <t>entryninja@pada.za.net</t>
  </si>
  <si>
    <t>shanerobert2003@gmail.com</t>
  </si>
  <si>
    <t>mike@fairbrotherconstruction.co.za</t>
  </si>
  <si>
    <t>gerhardraubenheimer@gmail.com</t>
  </si>
  <si>
    <t>dab.jacobs@gmail.com</t>
  </si>
  <si>
    <t>robyn@redbaron.co.za</t>
  </si>
  <si>
    <t>karlastumpf911@gmail.com</t>
  </si>
  <si>
    <t>aaronbudke99@gmail.com</t>
  </si>
  <si>
    <t>michaelsutton115@gmail.com</t>
  </si>
  <si>
    <t>lb@komasyn.com</t>
  </si>
  <si>
    <t>clydehayward@hotmail.com</t>
  </si>
  <si>
    <t>jakeshayward@hotmail.com</t>
  </si>
  <si>
    <t>jamesmichaelowen@yahoo.com</t>
  </si>
  <si>
    <t>adriankritzinger@gmail.com</t>
  </si>
  <si>
    <t>duncan@barkly.co.za</t>
  </si>
  <si>
    <t>theunslouw@gmail.com</t>
  </si>
  <si>
    <t>pieterwsm9@icloud.com</t>
  </si>
  <si>
    <t>s.stache@ymail.com</t>
  </si>
  <si>
    <t>justin.novella@gmail.com</t>
  </si>
  <si>
    <t>hanruvanheyningen@gmail.com</t>
  </si>
  <si>
    <t>ksvn76@gmail.com</t>
  </si>
  <si>
    <t>ddclark31@gmail.com</t>
  </si>
  <si>
    <t>cvdberg.sa@gmail.com</t>
  </si>
  <si>
    <t>john@sunflex.co.za</t>
  </si>
  <si>
    <t>frankiejdutoit@gmail.com</t>
  </si>
  <si>
    <t>lombardi.rn.matt@gmail.com</t>
  </si>
  <si>
    <t>jordandegoede@gmail.com</t>
  </si>
  <si>
    <t>appel@irricheck.co.za</t>
  </si>
  <si>
    <t>antoinebadenhorst@gmail.com</t>
  </si>
  <si>
    <t>teampirana@gmail.com</t>
  </si>
  <si>
    <t>jomieloubser@gmail.com</t>
  </si>
  <si>
    <t>dewetwaldo@yahoo.com</t>
  </si>
  <si>
    <t>roxybaynes777@gmail.com</t>
  </si>
  <si>
    <t>bubbiesgoosen@icloud.com</t>
  </si>
  <si>
    <t>n.goosen@wellingtonprep.college</t>
  </si>
  <si>
    <t>ardunkley@icloud.com</t>
  </si>
  <si>
    <t>duplessisam@hotmail.com</t>
  </si>
  <si>
    <t>juanitavb68@gmail.com</t>
  </si>
  <si>
    <t>Jamesmccann162@gmail.com</t>
  </si>
  <si>
    <t>benjaminfourie471@gmail.com</t>
  </si>
  <si>
    <t>fransduplessis@gmail.com</t>
  </si>
  <si>
    <t>griesselsimone@gmail.com</t>
  </si>
  <si>
    <t>aham1203@gmail.com</t>
  </si>
  <si>
    <t>mackdaly2704@gmail.com</t>
  </si>
  <si>
    <t>org@groeneveld.za.com</t>
  </si>
  <si>
    <t>shan3.e@gmail.com</t>
  </si>
  <si>
    <t>megan.vdhelm@yahoo.com</t>
  </si>
  <si>
    <t>dj.oosth@gmail.com</t>
  </si>
  <si>
    <t>aries87nator@gmail.com</t>
  </si>
  <si>
    <t>adriaanjdelange01@gmail.com</t>
  </si>
  <si>
    <t>rigardtg@gmail.com</t>
  </si>
  <si>
    <t>fred@velvetorange.net</t>
  </si>
  <si>
    <t>mark@digitalview.co.za</t>
  </si>
  <si>
    <t>adriaanpeterdw@gmail.com</t>
  </si>
  <si>
    <t>Pierre.evard@gmail.com</t>
  </si>
  <si>
    <t>devoncoombe@gmail.com</t>
  </si>
  <si>
    <t>bjorntrain@gmail.com</t>
  </si>
  <si>
    <t>marc@eastcitycycles.com</t>
  </si>
  <si>
    <t>sharyn@intensebb.co.za</t>
  </si>
  <si>
    <t>louisvdwalt1@gmail.com</t>
  </si>
  <si>
    <t>mattijsmachtelinckx07@gmail.com</t>
  </si>
  <si>
    <t>robertdupreez29@gmail.com</t>
  </si>
  <si>
    <t>heidi.proplus@gmail.com</t>
  </si>
  <si>
    <t>jonowareing@gmail.com</t>
  </si>
  <si>
    <t>marc.eevandermeer@gmail.com</t>
  </si>
  <si>
    <t>Devonvs@gmail.com</t>
  </si>
  <si>
    <t>Mileshenebrey@gmail.com</t>
  </si>
  <si>
    <t>michardmeets@gmail.com</t>
  </si>
  <si>
    <t>pieter@hahn.co.za</t>
  </si>
  <si>
    <t>pottie87@hotmail.com</t>
  </si>
  <si>
    <t>linekegroenewald05@gmail.com</t>
  </si>
  <si>
    <t>b.willcocks94@gmail.com</t>
  </si>
  <si>
    <t>k@thehunters.co.za</t>
  </si>
  <si>
    <t>stevenyeates76@gmail.com</t>
  </si>
  <si>
    <t>dave@actionframes.co.za</t>
  </si>
  <si>
    <t>henlu.starke@gmail.com</t>
  </si>
  <si>
    <t>jessinxn@gmail.com</t>
  </si>
  <si>
    <t>julianp.oosthuizen@gmail.com</t>
  </si>
  <si>
    <t>jeaniedevilliers@gmail.com</t>
  </si>
  <si>
    <t>philjhulse@gmail.com</t>
  </si>
  <si>
    <t>vanschalkwykphilip@gmail.com</t>
  </si>
  <si>
    <t>marriottcalum@gmail.com</t>
  </si>
  <si>
    <t>bvn990@gmail.com</t>
  </si>
  <si>
    <t>liesl_bones@hotmail.com</t>
  </si>
  <si>
    <t>kylie.shan.h@gmail.com</t>
  </si>
  <si>
    <t>marc@ideso.co.za</t>
  </si>
  <si>
    <t>rolsta74@gmail.com</t>
  </si>
  <si>
    <t>407707111</t>
  </si>
  <si>
    <t>009425730</t>
  </si>
  <si>
    <t>None</t>
  </si>
  <si>
    <t>409707661</t>
  </si>
  <si>
    <t>069232620</t>
  </si>
  <si>
    <t>144396811</t>
  </si>
  <si>
    <t>133000330</t>
  </si>
  <si>
    <t>728415960</t>
  </si>
  <si>
    <t>079024060</t>
  </si>
  <si>
    <t>248298141</t>
  </si>
  <si>
    <t>05112693</t>
  </si>
  <si>
    <t>212992921</t>
  </si>
  <si>
    <t>293147050</t>
  </si>
  <si>
    <t>266840011</t>
  </si>
  <si>
    <t>455360670</t>
  </si>
  <si>
    <t>430357160</t>
  </si>
  <si>
    <t>165923051</t>
  </si>
  <si>
    <t>455888781</t>
  </si>
  <si>
    <t>568397640</t>
  </si>
  <si>
    <t>421582202</t>
  </si>
  <si>
    <t>45380960</t>
  </si>
  <si>
    <t>089501070</t>
  </si>
  <si>
    <t>268642314</t>
  </si>
  <si>
    <t>038659610</t>
  </si>
  <si>
    <t>264317670</t>
  </si>
  <si>
    <t>305332360</t>
  </si>
  <si>
    <t>133360110</t>
  </si>
  <si>
    <t>164588870</t>
  </si>
  <si>
    <t>956898745 Group ID 743553</t>
  </si>
  <si>
    <t>83700025412</t>
  </si>
  <si>
    <t>37720</t>
  </si>
  <si>
    <t>088199480</t>
  </si>
  <si>
    <t>349589670</t>
  </si>
  <si>
    <t>19116383</t>
  </si>
  <si>
    <t>602095091</t>
  </si>
  <si>
    <t>12020937</t>
  </si>
  <si>
    <t>026304990</t>
  </si>
  <si>
    <t>303836650</t>
  </si>
  <si>
    <t>912916281</t>
  </si>
  <si>
    <t>023427150</t>
  </si>
  <si>
    <t>910348773</t>
  </si>
  <si>
    <t>467722082</t>
  </si>
  <si>
    <t>160191431</t>
  </si>
  <si>
    <t>1558637</t>
  </si>
  <si>
    <t>621267760</t>
  </si>
  <si>
    <t>80100246557</t>
  </si>
  <si>
    <t>164765330</t>
  </si>
  <si>
    <t>145793790</t>
  </si>
  <si>
    <t>323501181</t>
  </si>
  <si>
    <t>232012211</t>
  </si>
  <si>
    <t>083774180</t>
  </si>
  <si>
    <t>915002481</t>
  </si>
  <si>
    <t>05223094</t>
  </si>
  <si>
    <t>915100437</t>
  </si>
  <si>
    <t>10056935</t>
  </si>
  <si>
    <t>349026353</t>
  </si>
  <si>
    <t>99652257</t>
  </si>
  <si>
    <t>05200492289</t>
  </si>
  <si>
    <t>086081190</t>
  </si>
  <si>
    <t>377245720</t>
  </si>
  <si>
    <t>640274280</t>
  </si>
  <si>
    <t>169400821</t>
  </si>
  <si>
    <t>7008633</t>
  </si>
  <si>
    <t>911413182</t>
  </si>
  <si>
    <t>077719340</t>
  </si>
  <si>
    <t>MI1103168523</t>
  </si>
  <si>
    <t>526335670</t>
  </si>
  <si>
    <t>516462710</t>
  </si>
  <si>
    <t>137334230</t>
  </si>
  <si>
    <t>912479521</t>
  </si>
  <si>
    <t>553225151</t>
  </si>
  <si>
    <t>779709372</t>
  </si>
  <si>
    <t>455847030</t>
  </si>
  <si>
    <t>628984571</t>
  </si>
  <si>
    <t>915464711</t>
  </si>
  <si>
    <t>01673581</t>
  </si>
  <si>
    <t>232911490</t>
  </si>
  <si>
    <t>93700086PE</t>
  </si>
  <si>
    <t>586782440</t>
  </si>
  <si>
    <t>450657780</t>
  </si>
  <si>
    <t>609312501</t>
  </si>
  <si>
    <t>256740601</t>
  </si>
  <si>
    <t>066566980</t>
  </si>
  <si>
    <t>915200788</t>
  </si>
  <si>
    <t>373783950</t>
  </si>
  <si>
    <t>137007860</t>
  </si>
  <si>
    <t>598535640</t>
  </si>
  <si>
    <t>293642391</t>
  </si>
  <si>
    <t>05288890986</t>
  </si>
  <si>
    <t>04921003</t>
  </si>
  <si>
    <t>231429121</t>
  </si>
  <si>
    <t>022601980</t>
  </si>
  <si>
    <t>917546959</t>
  </si>
  <si>
    <t>671116410</t>
  </si>
  <si>
    <t>188550151</t>
  </si>
  <si>
    <t>4505065620</t>
  </si>
  <si>
    <t>036666580</t>
  </si>
  <si>
    <t>52943920</t>
  </si>
  <si>
    <t>18301407</t>
  </si>
  <si>
    <t>598131211</t>
  </si>
  <si>
    <t>47900945651</t>
  </si>
  <si>
    <t>441042550</t>
  </si>
  <si>
    <t>357644630</t>
  </si>
  <si>
    <t>149670790</t>
  </si>
  <si>
    <t>034817770</t>
  </si>
  <si>
    <t>508239471</t>
  </si>
  <si>
    <t>043944330</t>
  </si>
  <si>
    <t>064753210</t>
  </si>
  <si>
    <t>176524210</t>
  </si>
  <si>
    <t>468141821</t>
  </si>
  <si>
    <t>285231080</t>
  </si>
  <si>
    <t>189436880</t>
  </si>
  <si>
    <t>917473700</t>
  </si>
  <si>
    <t>450406562</t>
  </si>
  <si>
    <t>415186063</t>
  </si>
  <si>
    <t>222252390</t>
  </si>
  <si>
    <t>910053210</t>
  </si>
  <si>
    <t>82500072257</t>
  </si>
  <si>
    <t>7713177</t>
  </si>
  <si>
    <t>408256972</t>
  </si>
  <si>
    <t>398169962</t>
  </si>
  <si>
    <t>10521287</t>
  </si>
  <si>
    <t>64004487665</t>
  </si>
  <si>
    <t>463325651</t>
  </si>
  <si>
    <t>587709001</t>
  </si>
  <si>
    <t>613773391</t>
  </si>
  <si>
    <t>316570751</t>
  </si>
  <si>
    <t>2863867493</t>
  </si>
  <si>
    <t>162219210</t>
  </si>
  <si>
    <t>092801240</t>
  </si>
  <si>
    <t>97855</t>
  </si>
  <si>
    <t>8688001</t>
  </si>
  <si>
    <t>93400005605</t>
  </si>
  <si>
    <t>124936151</t>
  </si>
  <si>
    <t>446538890</t>
  </si>
  <si>
    <t>80500033494</t>
  </si>
  <si>
    <t>6894552</t>
  </si>
  <si>
    <t>149371480</t>
  </si>
  <si>
    <t>4375291</t>
  </si>
  <si>
    <t>282130313</t>
  </si>
  <si>
    <t>083113000</t>
  </si>
  <si>
    <t>508437960</t>
  </si>
  <si>
    <t>1088498</t>
  </si>
  <si>
    <t>726674391</t>
  </si>
  <si>
    <t>012695470</t>
  </si>
  <si>
    <t>149850971</t>
  </si>
  <si>
    <t>692945691</t>
  </si>
  <si>
    <t>7197157</t>
  </si>
  <si>
    <t>060637880</t>
  </si>
  <si>
    <t>480829290</t>
  </si>
  <si>
    <t>27704759082</t>
  </si>
  <si>
    <t>24002596165</t>
  </si>
  <si>
    <t>291831341</t>
  </si>
  <si>
    <t>293250571</t>
  </si>
  <si>
    <t>916450906</t>
  </si>
  <si>
    <t>1590824270</t>
  </si>
  <si>
    <t>420253951</t>
  </si>
  <si>
    <t>554213090</t>
  </si>
  <si>
    <t>681226621</t>
  </si>
  <si>
    <t>698909111</t>
  </si>
  <si>
    <t>078569250</t>
  </si>
  <si>
    <t>184860680</t>
  </si>
  <si>
    <t>810559720</t>
  </si>
  <si>
    <t>791828611</t>
  </si>
  <si>
    <t>209286461</t>
  </si>
  <si>
    <t>036679040</t>
  </si>
  <si>
    <t>595657500</t>
  </si>
  <si>
    <t>1823737</t>
  </si>
  <si>
    <t>137602021</t>
  </si>
  <si>
    <t>134795</t>
  </si>
  <si>
    <t>343460981</t>
  </si>
  <si>
    <t>27705342008</t>
  </si>
  <si>
    <t>668153250</t>
  </si>
  <si>
    <t>029590880</t>
  </si>
  <si>
    <t>494657500</t>
  </si>
  <si>
    <t>195580060</t>
  </si>
  <si>
    <t>450543012</t>
  </si>
  <si>
    <t>215114561</t>
  </si>
  <si>
    <t>225604600</t>
  </si>
  <si>
    <t>10152698</t>
  </si>
  <si>
    <t>472386050</t>
  </si>
  <si>
    <t>729653870</t>
  </si>
  <si>
    <t>138299812</t>
  </si>
  <si>
    <t>501439080</t>
  </si>
  <si>
    <t>117981540</t>
  </si>
  <si>
    <t>912958538</t>
  </si>
  <si>
    <t>418885200</t>
  </si>
  <si>
    <t>7971637</t>
  </si>
  <si>
    <t>29550780</t>
  </si>
  <si>
    <t>067470260</t>
  </si>
  <si>
    <t>040513890</t>
  </si>
  <si>
    <t>028978250</t>
  </si>
  <si>
    <t>6483071</t>
  </si>
  <si>
    <t>060721063</t>
  </si>
  <si>
    <t>357678391</t>
  </si>
  <si>
    <t>370586330</t>
  </si>
  <si>
    <t>516507600</t>
  </si>
  <si>
    <t>0844772823</t>
  </si>
  <si>
    <t>911319250</t>
  </si>
  <si>
    <t>05021910</t>
  </si>
  <si>
    <t>720004740</t>
  </si>
  <si>
    <t>080189960</t>
  </si>
  <si>
    <t>366554391</t>
  </si>
  <si>
    <t>Discovery</t>
  </si>
  <si>
    <t>Discovery Health</t>
  </si>
  <si>
    <t>Discovery Coastal Core</t>
  </si>
  <si>
    <t>Genesis</t>
  </si>
  <si>
    <t xml:space="preserve">Discovery </t>
  </si>
  <si>
    <t>DISCOVERY</t>
  </si>
  <si>
    <t>UnitedHealthCare Global</t>
  </si>
  <si>
    <t>Fedhealth</t>
  </si>
  <si>
    <t>BPSA</t>
  </si>
  <si>
    <t>LA Health</t>
  </si>
  <si>
    <t>Resolution Health</t>
  </si>
  <si>
    <t>Bestmed</t>
  </si>
  <si>
    <t>Discovery Hospital plan</t>
  </si>
  <si>
    <t>Momentum</t>
  </si>
  <si>
    <t>momentun</t>
  </si>
  <si>
    <t>Doscovery</t>
  </si>
  <si>
    <t xml:space="preserve">Momentum </t>
  </si>
  <si>
    <t>Gems</t>
  </si>
  <si>
    <t>Momentum Hospital Plan</t>
  </si>
  <si>
    <t>Mo</t>
  </si>
  <si>
    <t>profmed</t>
  </si>
  <si>
    <t>Key Health</t>
  </si>
  <si>
    <t>Sizwe</t>
  </si>
  <si>
    <t>Swica</t>
  </si>
  <si>
    <t>discovery</t>
  </si>
  <si>
    <t xml:space="preserve">Bonitas </t>
  </si>
  <si>
    <t>Bankmed</t>
  </si>
  <si>
    <t>Momentum Custom</t>
  </si>
  <si>
    <t>Momentum Health</t>
  </si>
  <si>
    <t>SANDF</t>
  </si>
  <si>
    <t>Discovery Medical Aid</t>
  </si>
  <si>
    <t>Momentum health</t>
  </si>
  <si>
    <t xml:space="preserve">Sizwe Hosmed </t>
  </si>
  <si>
    <t>Bonitas</t>
  </si>
  <si>
    <t>Cape Medical Plan</t>
  </si>
  <si>
    <t xml:space="preserve">Discovery health </t>
  </si>
  <si>
    <t>MediHelp</t>
  </si>
  <si>
    <t>Cape Med Plan</t>
  </si>
  <si>
    <t>polmed</t>
  </si>
  <si>
    <t xml:space="preserve">Affinity health </t>
  </si>
  <si>
    <t>Discovery Costal</t>
  </si>
  <si>
    <t>Profmed</t>
  </si>
  <si>
    <t>Wooltru</t>
  </si>
  <si>
    <t>Bonita</t>
  </si>
  <si>
    <t>Discovery hospital plan</t>
  </si>
  <si>
    <t>Remedi</t>
  </si>
  <si>
    <t>Maxima Plus</t>
  </si>
  <si>
    <t>Anglo</t>
  </si>
  <si>
    <t>Momentum Health Extender</t>
  </si>
  <si>
    <t>liberty medical scheme</t>
  </si>
  <si>
    <t>Discovery Retail</t>
  </si>
  <si>
    <t>Discover</t>
  </si>
  <si>
    <t>Sarel Albertus De Lange</t>
  </si>
  <si>
    <t>Discovery Health (Classic Smart)</t>
  </si>
  <si>
    <t>CAMAF</t>
  </si>
  <si>
    <t xml:space="preserve">discovery </t>
  </si>
  <si>
    <t>Medihelp</t>
  </si>
  <si>
    <t>NA</t>
  </si>
  <si>
    <t xml:space="preserve">Momentum Health </t>
  </si>
  <si>
    <t>unknown</t>
  </si>
  <si>
    <t>O+</t>
  </si>
  <si>
    <t>A+</t>
  </si>
  <si>
    <t>B+</t>
  </si>
  <si>
    <t>O-</t>
  </si>
  <si>
    <t>B-</t>
  </si>
  <si>
    <t>AB+</t>
  </si>
  <si>
    <t>A-</t>
  </si>
  <si>
    <t>AB-</t>
  </si>
  <si>
    <t>Aspirin</t>
  </si>
  <si>
    <t>none</t>
  </si>
  <si>
    <t>No</t>
  </si>
  <si>
    <t>no</t>
  </si>
  <si>
    <t>NONE</t>
  </si>
  <si>
    <t>penicillin</t>
  </si>
  <si>
    <t xml:space="preserve">Tapioca </t>
  </si>
  <si>
    <t>Non</t>
  </si>
  <si>
    <t>Penecillin</t>
  </si>
  <si>
    <t>Almonds</t>
  </si>
  <si>
    <t>Nope</t>
  </si>
  <si>
    <t>Bee sting</t>
  </si>
  <si>
    <t>Bees</t>
  </si>
  <si>
    <t>Na</t>
  </si>
  <si>
    <t>Asthma</t>
  </si>
  <si>
    <t>not that im aware of</t>
  </si>
  <si>
    <t>NO</t>
  </si>
  <si>
    <t>Penicillin</t>
  </si>
  <si>
    <t>Peanut</t>
  </si>
  <si>
    <t>Fish</t>
  </si>
  <si>
    <t>lactose</t>
  </si>
  <si>
    <t>Tree Nuts, Seeds</t>
  </si>
  <si>
    <t>Allergic to bee</t>
  </si>
  <si>
    <t>non</t>
  </si>
  <si>
    <t>bee sting</t>
  </si>
  <si>
    <t xml:space="preserve">No </t>
  </si>
  <si>
    <t>None.</t>
  </si>
  <si>
    <t>Sulfa drugs</t>
  </si>
  <si>
    <t xml:space="preserve">Penicilline </t>
  </si>
  <si>
    <t>None known</t>
  </si>
  <si>
    <t>No.</t>
  </si>
  <si>
    <t>sulphites</t>
  </si>
  <si>
    <t xml:space="preserve">Pethidine </t>
  </si>
  <si>
    <t>Nil</t>
  </si>
  <si>
    <t>n/a</t>
  </si>
  <si>
    <t>Aspirin&amp;Paracetemol</t>
  </si>
  <si>
    <t>streptomicin</t>
  </si>
  <si>
    <t>Hey fever</t>
  </si>
  <si>
    <t>Penicillen</t>
  </si>
  <si>
    <t>No chronic illnesses</t>
  </si>
  <si>
    <t>Heart Condition</t>
  </si>
  <si>
    <t xml:space="preserve">
</t>
  </si>
  <si>
    <t xml:space="preserve">asthma </t>
  </si>
  <si>
    <t>Mother blood type A+</t>
  </si>
  <si>
    <t>Have asthma and allergies</t>
  </si>
  <si>
    <t>Borderline fused right wrist</t>
  </si>
  <si>
    <t xml:space="preserve">Cardiac patient </t>
  </si>
  <si>
    <t xml:space="preserve">Diabetic Type 1
Insulin dependant </t>
  </si>
  <si>
    <t xml:space="preserve">Broke c5 vertebra twice can not be put in Anastasia must be kept awake </t>
  </si>
  <si>
    <t>Gabriel wears contact lenses</t>
  </si>
  <si>
    <t>If my husband is not available my mother is contactable on 084 761 6500 - Ally van Oordt</t>
  </si>
  <si>
    <t>Penicillin sensitivity</t>
  </si>
  <si>
    <t>Current medication-straterra</t>
  </si>
  <si>
    <t xml:space="preserve">If i die, give my bike a good life please. </t>
  </si>
  <si>
    <t xml:space="preserve">Ambulance service:The unlimited </t>
  </si>
  <si>
    <t>Lite</t>
  </si>
  <si>
    <t>Lite M</t>
  </si>
  <si>
    <t>Lite F</t>
  </si>
  <si>
    <t>L-M</t>
  </si>
  <si>
    <t>L-F</t>
  </si>
  <si>
    <t>RETURNED?</t>
  </si>
  <si>
    <t>080226385085</t>
  </si>
  <si>
    <t>060707</t>
  </si>
  <si>
    <t>090505</t>
  </si>
  <si>
    <t>870505</t>
  </si>
  <si>
    <t>100505</t>
  </si>
  <si>
    <t>060505</t>
  </si>
  <si>
    <t>070505</t>
  </si>
  <si>
    <t>060505045474081</t>
  </si>
  <si>
    <t>010505</t>
  </si>
  <si>
    <t>0305054</t>
  </si>
  <si>
    <t>640505</t>
  </si>
  <si>
    <t>040505</t>
  </si>
  <si>
    <t>080505</t>
  </si>
  <si>
    <t>770505</t>
  </si>
  <si>
    <t>560505</t>
  </si>
  <si>
    <t>750505</t>
  </si>
  <si>
    <t>De Villiers Snr</t>
  </si>
  <si>
    <t>Venter Snr</t>
  </si>
  <si>
    <t>25-09-22</t>
  </si>
  <si>
    <t>https://www.google.com/maps/search/?api=1&amp;query=-33.967243900769,18.933290363477</t>
  </si>
  <si>
    <t>https://www.youtube.com/watch?v=17OzYHcupLE&amp;t=1s</t>
  </si>
  <si>
    <t>Jonkershoek Enduro</t>
  </si>
  <si>
    <t>0603205591085</t>
  </si>
  <si>
    <t>Batch 1 &amp; E-Bikes (08:00)</t>
  </si>
  <si>
    <t>Batch 2 (08:10)</t>
  </si>
  <si>
    <t>Batch 3 (08:20)</t>
  </si>
  <si>
    <t>Lite (08:30)</t>
  </si>
  <si>
    <t>Thaabit</t>
  </si>
  <si>
    <t>Toefy</t>
  </si>
  <si>
    <t>Freddie</t>
  </si>
  <si>
    <t>Michelle</t>
  </si>
  <si>
    <t>George</t>
  </si>
  <si>
    <t>Robert-John</t>
  </si>
  <si>
    <t>Behan</t>
  </si>
  <si>
    <t>Witteven</t>
  </si>
  <si>
    <t>Dobinson</t>
  </si>
  <si>
    <t>Darryn</t>
  </si>
  <si>
    <t>Piet</t>
  </si>
  <si>
    <t>Brummer</t>
  </si>
  <si>
    <t>Not on system before change</t>
  </si>
  <si>
    <t>Basson</t>
  </si>
  <si>
    <t>Dewald</t>
  </si>
  <si>
    <t>(82) 388-2212</t>
  </si>
  <si>
    <t>(60) 651-6440</t>
  </si>
  <si>
    <t>(79) 120-1815</t>
  </si>
  <si>
    <t>(82) 821-2676</t>
  </si>
  <si>
    <t>(73) 839-8748</t>
  </si>
  <si>
    <t>(83) 463-5147</t>
  </si>
  <si>
    <t>(82) 613-8498</t>
  </si>
  <si>
    <t>(76) 531-3368</t>
  </si>
  <si>
    <t>(82) 467-4085</t>
  </si>
  <si>
    <t>(76) 811-9421</t>
  </si>
  <si>
    <t>(83) 412-0380</t>
  </si>
  <si>
    <t>(83) 308-0527</t>
  </si>
  <si>
    <t>(84) 499-7668</t>
  </si>
  <si>
    <t>(82) 779-4219</t>
  </si>
  <si>
    <t>(83) 457-6095</t>
  </si>
  <si>
    <t>(82) 314-6461</t>
  </si>
  <si>
    <t>(82) 490-0579</t>
  </si>
  <si>
    <t>(83) 647-0231</t>
  </si>
  <si>
    <t>(82) 955-4334</t>
  </si>
  <si>
    <t>(82) 788-9560</t>
  </si>
  <si>
    <t>(2772) 877-1824</t>
  </si>
  <si>
    <t>(84) 581-2100</t>
  </si>
  <si>
    <t>(83) 590-3356</t>
  </si>
  <si>
    <t>(2779) 115-9456</t>
  </si>
  <si>
    <t>(83) 456-2930</t>
  </si>
  <si>
    <t>(82) 749-8743</t>
  </si>
  <si>
    <t>(83) 379-9713</t>
  </si>
  <si>
    <t>(82) 538-2101</t>
  </si>
  <si>
    <t>(82) 426-4002</t>
  </si>
  <si>
    <t>(82) 551-7102</t>
  </si>
  <si>
    <t>(71) 885-4556</t>
  </si>
  <si>
    <t>(82) 576-9104</t>
  </si>
  <si>
    <t>(76) 792-9753</t>
  </si>
  <si>
    <t>(83) 357-0992</t>
  </si>
  <si>
    <t>(76) 885-0169</t>
  </si>
  <si>
    <t>(84) 511-1237</t>
  </si>
  <si>
    <t>(83) 231-7498</t>
  </si>
  <si>
    <t>(82) 561-6643</t>
  </si>
  <si>
    <t>(83) 975-4556</t>
  </si>
  <si>
    <t>(84) 299-5284</t>
  </si>
  <si>
    <t>(81) 047-9846</t>
  </si>
  <si>
    <t>(74) 508-7650</t>
  </si>
  <si>
    <t>(60) 945-1333</t>
  </si>
  <si>
    <t>(84) 599-3136</t>
  </si>
  <si>
    <t>(82) 609-2542</t>
  </si>
  <si>
    <t>(82) 371-8387</t>
  </si>
  <si>
    <t>(84) 041-5874</t>
  </si>
  <si>
    <t>(78) 430-3131</t>
  </si>
  <si>
    <t>(82) 929-2406</t>
  </si>
  <si>
    <t>(61) 520-2636</t>
  </si>
  <si>
    <t>(78) 969-2905</t>
  </si>
  <si>
    <t>(83) 700-2490</t>
  </si>
  <si>
    <t>(83) 407-1373</t>
  </si>
  <si>
    <t>(84) 697-5491</t>
  </si>
  <si>
    <t>(72) 903-6536</t>
  </si>
  <si>
    <t>(83) 442-8538</t>
  </si>
  <si>
    <t>(67) 091-5696</t>
  </si>
  <si>
    <t>(83) 748-3720</t>
  </si>
  <si>
    <t>(82) 058-9867</t>
  </si>
  <si>
    <t>(82) 065-0547</t>
  </si>
  <si>
    <t>(71) 173-8669</t>
  </si>
  <si>
    <t>(66) 220-5889</t>
  </si>
  <si>
    <t>(82) 673-4505</t>
  </si>
  <si>
    <t>(67) 055-4074</t>
  </si>
  <si>
    <t>(71) 143-0159</t>
  </si>
  <si>
    <t>(64) 907-2071</t>
  </si>
  <si>
    <t>(82) 804-2241</t>
  </si>
  <si>
    <t>(72) 433-2591</t>
  </si>
  <si>
    <t>(44738) 457-9255</t>
  </si>
  <si>
    <t>(83) 927-9634</t>
  </si>
  <si>
    <t>(83) 302-5530</t>
  </si>
  <si>
    <t>(73) 167-0352</t>
  </si>
  <si>
    <t>(79) 072-1854</t>
  </si>
  <si>
    <t>(76) 161-1909</t>
  </si>
  <si>
    <t>(78) 441-8397</t>
  </si>
  <si>
    <t>(72) 336-8673</t>
  </si>
  <si>
    <t>(83) 608-3723</t>
  </si>
  <si>
    <t>(83) 703-5002</t>
  </si>
  <si>
    <t>Lite E-Bikes (8:30)</t>
  </si>
  <si>
    <t>Batch 1 (08:00)</t>
  </si>
  <si>
    <t>Full E-Bikes (8:00)</t>
  </si>
  <si>
    <t>651115</t>
  </si>
  <si>
    <t>010928</t>
  </si>
  <si>
    <t>130621</t>
  </si>
  <si>
    <t>van Schalkwyk Snr</t>
  </si>
  <si>
    <t>Conner</t>
  </si>
  <si>
    <t>Devin</t>
  </si>
  <si>
    <t>Toselli</t>
  </si>
  <si>
    <t>Gean</t>
  </si>
  <si>
    <t>Boegman</t>
  </si>
  <si>
    <t>Turvey</t>
  </si>
  <si>
    <t>Not on entrylist</t>
  </si>
  <si>
    <t>Joe</t>
  </si>
  <si>
    <t>Nesbitt</t>
  </si>
  <si>
    <t>Henwood</t>
  </si>
  <si>
    <t>Gert</t>
  </si>
  <si>
    <t>Wynand</t>
  </si>
  <si>
    <t>Mostert</t>
  </si>
  <si>
    <t>Not on entry list</t>
  </si>
  <si>
    <t>041001</t>
  </si>
  <si>
    <t>8005100081083</t>
  </si>
  <si>
    <t>606582675</t>
  </si>
  <si>
    <t>813844554</t>
  </si>
  <si>
    <t>835151943</t>
  </si>
  <si>
    <t>796408641</t>
  </si>
  <si>
    <t>0502225097083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</si>
</sst>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h:mm:ss\ AM/PM;@"/>
    <numFmt numFmtId="165" formatCode="[$-409]d/mmm/yyyy;@"/>
    <numFmt numFmtId="166" formatCode="[hh]:mm:ss"/>
    <numFmt numFmtId="167" formatCode="[hh]:mm:ss\(\)"/>
    <numFmt numFmtId="168" formatCode="[hh]:mm:ss.000"/>
    <numFmt numFmtId="169" formatCode="[$-409]mmmm\ d\,\ yyyy;@"/>
    <numFmt numFmtId="170" formatCode="yyyy/mm/dd;@"/>
    <numFmt numFmtId="171" formatCode=";;;"/>
    <numFmt numFmtId="172" formatCode="[&lt;=9999999]###\-####;\(###\)\ ###\-####"/>
    <numFmt numFmtId="173" formatCode="[$-1C09]dd\ mmmm\ yyyy;@"/>
    <numFmt numFmtId="174" formatCode="h:mm:ss;@"/>
    <numFmt numFmtId="175" formatCode="dd\/mm\/yyyy"/>
    <numFmt numFmtId="176" formatCode="0.0%"/>
    <numFmt numFmtId="177" formatCode="yyyy"/>
    <numFmt numFmtId="178" formatCode="0000000000000"/>
  </numFmts>
  <fonts count="40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Arial"/>
      <family val="2"/>
    </font>
    <font>
      <sz val="12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color theme="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0"/>
      <name val="Arial"/>
      <family val="2"/>
    </font>
    <font>
      <sz val="10"/>
      <color theme="0" tint="-4.9989318521683403E-2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b/>
      <i/>
      <sz val="10"/>
      <color theme="1"/>
      <name val="Arial"/>
      <family val="2"/>
    </font>
    <font>
      <sz val="11"/>
      <color indexed="8"/>
      <name val="Calibri"/>
      <family val="2"/>
      <charset val="1"/>
    </font>
    <font>
      <i/>
      <sz val="8"/>
      <name val="Arial"/>
      <family val="2"/>
    </font>
    <font>
      <sz val="10"/>
      <color rgb="FF242729"/>
      <name val="Arial"/>
      <family val="2"/>
    </font>
    <font>
      <u/>
      <sz val="10"/>
      <name val="Arial"/>
      <family val="2"/>
    </font>
    <font>
      <sz val="8"/>
      <color theme="1"/>
      <name val="Arial"/>
      <family val="2"/>
    </font>
    <font>
      <b/>
      <i/>
      <sz val="8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trike/>
      <sz val="10"/>
      <name val="Arial"/>
      <family val="2"/>
    </font>
    <font>
      <b/>
      <strike/>
      <sz val="10"/>
      <name val="Arial"/>
      <family val="2"/>
    </font>
    <font>
      <sz val="11"/>
      <color rgb="FF000000"/>
      <name val="Arial"/>
      <family val="2"/>
    </font>
    <font>
      <sz val="10"/>
      <name val="Calibri"/>
      <family val="2"/>
    </font>
    <font>
      <sz val="10"/>
      <name val="Nunito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4"/>
        <bgColor theme="4"/>
      </patternFill>
    </fill>
    <fill>
      <patternFill patternType="solid">
        <fgColor rgb="FFB7E1C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 style="thin">
        <color theme="8" tint="0.39997558519241921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8" tint="0.39997558519241921"/>
      </left>
      <right/>
      <top style="thin">
        <color theme="4" tint="0.39997558519241921"/>
      </top>
      <bottom/>
      <diagonal/>
    </border>
    <border>
      <left style="thin">
        <color theme="8" tint="0.39997558519241921"/>
      </left>
      <right style="thin">
        <color theme="8" tint="0.39997558519241921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8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8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8" tint="0.39997558519241921"/>
      </right>
      <top/>
      <bottom/>
      <diagonal/>
    </border>
    <border>
      <left/>
      <right style="medium">
        <color rgb="FFCCCCCC"/>
      </right>
      <top style="thin">
        <color theme="4" tint="0.39997558519241921"/>
      </top>
      <bottom/>
      <diagonal/>
    </border>
    <border>
      <left style="medium">
        <color rgb="FFCCCCCC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rgb="FFCCCCCC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medium">
        <color rgb="FFCCCCCC"/>
      </left>
      <right style="thin">
        <color theme="8" tint="0.39997558519241921"/>
      </right>
      <top style="medium">
        <color rgb="FFCCCCCC"/>
      </top>
      <bottom style="medium">
        <color rgb="FFCCCCCC"/>
      </bottom>
      <diagonal/>
    </border>
  </borders>
  <cellStyleXfs count="9">
    <xf numFmtId="0" fontId="0" fillId="0" borderId="0"/>
    <xf numFmtId="0" fontId="9" fillId="0" borderId="0" applyNumberFormat="0" applyFill="0" applyBorder="0" applyAlignment="0" applyProtection="0"/>
    <xf numFmtId="0" fontId="3" fillId="0" borderId="0"/>
    <xf numFmtId="0" fontId="25" fillId="0" borderId="0"/>
    <xf numFmtId="0" fontId="31" fillId="0" borderId="0"/>
    <xf numFmtId="0" fontId="32" fillId="11" borderId="0" applyNumberFormat="0" applyBorder="0" applyAlignment="0" applyProtection="0"/>
    <xf numFmtId="0" fontId="33" fillId="0" borderId="0"/>
    <xf numFmtId="0" fontId="1" fillId="0" borderId="0"/>
    <xf numFmtId="0" fontId="34" fillId="0" borderId="0" applyNumberFormat="0" applyFill="0" applyBorder="0" applyAlignment="0" applyProtection="0"/>
  </cellStyleXfs>
  <cellXfs count="391">
    <xf numFmtId="0" fontId="0" fillId="0" borderId="0" xfId="0"/>
    <xf numFmtId="0" fontId="0" fillId="0" borderId="0" xfId="0" applyAlignment="1">
      <alignment vertical="top" wrapText="1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0" fillId="2" borderId="0" xfId="0" applyFill="1"/>
    <xf numFmtId="0" fontId="2" fillId="0" borderId="0" xfId="0" applyFont="1"/>
    <xf numFmtId="0" fontId="0" fillId="0" borderId="0" xfId="0" applyNumberFormat="1"/>
    <xf numFmtId="0" fontId="3" fillId="0" borderId="0" xfId="0" applyFont="1" applyBorder="1"/>
    <xf numFmtId="1" fontId="3" fillId="0" borderId="0" xfId="0" applyNumberFormat="1" applyFont="1" applyBorder="1" applyAlignment="1">
      <alignment horizontal="right"/>
    </xf>
    <xf numFmtId="0" fontId="3" fillId="0" borderId="0" xfId="0" applyNumberFormat="1" applyFont="1" applyBorder="1"/>
    <xf numFmtId="1" fontId="3" fillId="0" borderId="0" xfId="0" applyNumberFormat="1" applyFont="1" applyBorder="1"/>
    <xf numFmtId="0" fontId="3" fillId="0" borderId="0" xfId="0" applyFont="1" applyBorder="1" applyAlignment="1"/>
    <xf numFmtId="1" fontId="3" fillId="0" borderId="0" xfId="0" applyNumberFormat="1" applyFont="1" applyBorder="1" applyAlignment="1"/>
    <xf numFmtId="0" fontId="10" fillId="0" borderId="0" xfId="0" applyFont="1" applyBorder="1" applyAlignment="1"/>
    <xf numFmtId="0" fontId="3" fillId="0" borderId="0" xfId="0" applyFont="1" applyFill="1" applyBorder="1" applyAlignment="1"/>
    <xf numFmtId="0" fontId="3" fillId="0" borderId="0" xfId="0" applyFont="1" applyBorder="1" applyAlignment="1" applyProtection="1"/>
    <xf numFmtId="1" fontId="3" fillId="0" borderId="0" xfId="0" applyNumberFormat="1" applyFont="1" applyBorder="1" applyAlignment="1" applyProtection="1"/>
    <xf numFmtId="0" fontId="11" fillId="0" borderId="0" xfId="0" applyFont="1" applyBorder="1" applyAlignment="1"/>
    <xf numFmtId="0" fontId="3" fillId="0" borderId="0" xfId="0" applyFont="1" applyAlignment="1">
      <alignment vertical="top" wrapText="1"/>
    </xf>
    <xf numFmtId="0" fontId="3" fillId="0" borderId="0" xfId="0" applyFont="1" applyAlignment="1">
      <alignment vertical="top"/>
    </xf>
    <xf numFmtId="0" fontId="3" fillId="0" borderId="0" xfId="0" applyFont="1"/>
    <xf numFmtId="168" fontId="0" fillId="0" borderId="0" xfId="0" applyNumberFormat="1"/>
    <xf numFmtId="0" fontId="0" fillId="0" borderId="0" xfId="0" applyAlignment="1">
      <alignment horizontal="center" vertical="center"/>
    </xf>
    <xf numFmtId="0" fontId="8" fillId="3" borderId="0" xfId="0" applyFont="1" applyFill="1" applyBorder="1" applyAlignment="1">
      <alignment horizontal="left" vertical="center"/>
    </xf>
    <xf numFmtId="1" fontId="13" fillId="4" borderId="0" xfId="0" applyNumberFormat="1" applyFont="1" applyFill="1" applyBorder="1" applyAlignment="1">
      <alignment horizontal="center" vertical="center"/>
    </xf>
    <xf numFmtId="1" fontId="13" fillId="4" borderId="0" xfId="0" applyNumberFormat="1" applyFont="1" applyFill="1" applyBorder="1" applyAlignment="1">
      <alignment horizontal="left" vertical="center"/>
    </xf>
    <xf numFmtId="1" fontId="13" fillId="4" borderId="0" xfId="0" applyNumberFormat="1" applyFont="1" applyFill="1" applyBorder="1" applyAlignment="1" applyProtection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4" borderId="0" xfId="0" applyFont="1" applyFill="1" applyBorder="1"/>
    <xf numFmtId="0" fontId="15" fillId="4" borderId="0" xfId="0" applyFont="1" applyFill="1" applyBorder="1"/>
    <xf numFmtId="0" fontId="13" fillId="4" borderId="0" xfId="0" applyFont="1" applyFill="1" applyBorder="1" applyAlignment="1" applyProtection="1">
      <alignment horizontal="left" vertical="center"/>
    </xf>
    <xf numFmtId="165" fontId="13" fillId="4" borderId="0" xfId="0" applyNumberFormat="1" applyFont="1" applyFill="1" applyBorder="1" applyAlignment="1">
      <alignment horizontal="center" vertical="center"/>
    </xf>
    <xf numFmtId="1" fontId="13" fillId="4" borderId="0" xfId="0" applyNumberFormat="1" applyFont="1" applyFill="1" applyBorder="1" applyAlignment="1">
      <alignment vertical="center"/>
    </xf>
    <xf numFmtId="169" fontId="13" fillId="4" borderId="0" xfId="0" applyNumberFormat="1" applyFont="1" applyFill="1" applyBorder="1" applyAlignment="1">
      <alignment vertical="center"/>
    </xf>
    <xf numFmtId="0" fontId="13" fillId="4" borderId="0" xfId="0" applyFont="1" applyFill="1" applyBorder="1" applyAlignment="1">
      <alignment vertical="center"/>
    </xf>
    <xf numFmtId="0" fontId="13" fillId="4" borderId="0" xfId="0" applyNumberFormat="1" applyFont="1" applyFill="1" applyBorder="1" applyAlignment="1">
      <alignment vertical="center"/>
    </xf>
    <xf numFmtId="1" fontId="13" fillId="4" borderId="0" xfId="0" applyNumberFormat="1" applyFont="1" applyFill="1" applyBorder="1" applyAlignment="1" applyProtection="1">
      <alignment horizontal="center" vertical="center"/>
    </xf>
    <xf numFmtId="0" fontId="17" fillId="3" borderId="4" xfId="0" applyNumberFormat="1" applyFont="1" applyFill="1" applyBorder="1"/>
    <xf numFmtId="0" fontId="17" fillId="3" borderId="4" xfId="0" applyNumberFormat="1" applyFont="1" applyFill="1" applyBorder="1" applyAlignment="1">
      <alignment horizontal="center" vertical="center"/>
    </xf>
    <xf numFmtId="0" fontId="13" fillId="4" borderId="0" xfId="0" applyNumberFormat="1" applyFont="1" applyFill="1" applyBorder="1" applyAlignment="1">
      <alignment horizontal="center" vertical="center"/>
    </xf>
    <xf numFmtId="165" fontId="13" fillId="4" borderId="0" xfId="0" applyNumberFormat="1" applyFont="1" applyFill="1" applyBorder="1" applyAlignment="1">
      <alignment vertical="center"/>
    </xf>
    <xf numFmtId="0" fontId="11" fillId="0" borderId="5" xfId="0" applyNumberFormat="1" applyFont="1" applyFill="1" applyBorder="1"/>
    <xf numFmtId="0" fontId="0" fillId="0" borderId="0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170" fontId="3" fillId="0" borderId="0" xfId="0" applyNumberFormat="1" applyFont="1" applyBorder="1"/>
    <xf numFmtId="1" fontId="13" fillId="3" borderId="0" xfId="0" applyNumberFormat="1" applyFont="1" applyFill="1" applyBorder="1" applyAlignment="1">
      <alignment vertical="center"/>
    </xf>
    <xf numFmtId="0" fontId="13" fillId="3" borderId="0" xfId="0" applyFont="1" applyFill="1" applyBorder="1" applyAlignment="1" applyProtection="1">
      <alignment horizontal="left" vertical="center"/>
    </xf>
    <xf numFmtId="1" fontId="13" fillId="3" borderId="0" xfId="0" applyNumberFormat="1" applyFont="1" applyFill="1" applyBorder="1" applyAlignment="1" applyProtection="1">
      <alignment vertical="center"/>
    </xf>
    <xf numFmtId="0" fontId="13" fillId="3" borderId="0" xfId="0" applyFont="1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vertical="center"/>
    </xf>
    <xf numFmtId="0" fontId="17" fillId="3" borderId="0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0" fontId="11" fillId="0" borderId="0" xfId="0" applyNumberFormat="1" applyFont="1" applyFill="1" applyBorder="1"/>
    <xf numFmtId="0" fontId="11" fillId="0" borderId="0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/>
    <xf numFmtId="168" fontId="11" fillId="0" borderId="0" xfId="0" applyNumberFormat="1" applyFont="1" applyFill="1" applyBorder="1" applyAlignment="1"/>
    <xf numFmtId="168" fontId="11" fillId="0" borderId="0" xfId="0" applyNumberFormat="1" applyFont="1" applyFill="1" applyAlignment="1"/>
    <xf numFmtId="0" fontId="11" fillId="0" borderId="0" xfId="0" applyNumberFormat="1" applyFont="1" applyFill="1" applyBorder="1" applyAlignment="1">
      <alignment horizontal="center"/>
    </xf>
    <xf numFmtId="0" fontId="17" fillId="3" borderId="5" xfId="0" applyNumberFormat="1" applyFont="1" applyFill="1" applyBorder="1"/>
    <xf numFmtId="168" fontId="12" fillId="4" borderId="0" xfId="0" applyNumberFormat="1" applyFont="1" applyFill="1" applyBorder="1" applyAlignment="1">
      <alignment vertical="center"/>
    </xf>
    <xf numFmtId="168" fontId="11" fillId="0" borderId="0" xfId="0" applyNumberFormat="1" applyFont="1" applyFill="1" applyBorder="1" applyAlignment="1">
      <alignment horizontal="center"/>
    </xf>
    <xf numFmtId="168" fontId="0" fillId="0" borderId="0" xfId="0" applyNumberFormat="1" applyBorder="1"/>
    <xf numFmtId="0" fontId="0" fillId="0" borderId="0" xfId="0" applyNumberFormat="1" applyBorder="1"/>
    <xf numFmtId="0" fontId="2" fillId="0" borderId="0" xfId="0" applyNumberFormat="1" applyFont="1" applyBorder="1"/>
    <xf numFmtId="168" fontId="14" fillId="4" borderId="0" xfId="0" applyNumberFormat="1" applyFont="1" applyFill="1" applyBorder="1" applyAlignment="1">
      <alignment horizontal="left" vertical="center"/>
    </xf>
    <xf numFmtId="168" fontId="15" fillId="4" borderId="0" xfId="0" applyNumberFormat="1" applyFont="1" applyFill="1" applyBorder="1" applyAlignment="1">
      <alignment horizontal="center" vertical="center"/>
    </xf>
    <xf numFmtId="0" fontId="14" fillId="4" borderId="0" xfId="0" applyNumberFormat="1" applyFont="1" applyFill="1" applyBorder="1" applyAlignment="1">
      <alignment horizontal="left" vertical="center"/>
    </xf>
    <xf numFmtId="0" fontId="15" fillId="4" borderId="0" xfId="0" applyNumberFormat="1" applyFont="1" applyFill="1" applyBorder="1" applyAlignment="1">
      <alignment horizontal="left" vertical="center"/>
    </xf>
    <xf numFmtId="0" fontId="17" fillId="3" borderId="0" xfId="0" applyFont="1" applyFill="1" applyBorder="1" applyAlignment="1">
      <alignment horizontal="center"/>
    </xf>
    <xf numFmtId="0" fontId="17" fillId="3" borderId="0" xfId="0" applyFont="1" applyFill="1" applyBorder="1" applyAlignment="1">
      <alignment horizontal="left" vertical="center"/>
    </xf>
    <xf numFmtId="168" fontId="17" fillId="3" borderId="0" xfId="0" applyNumberFormat="1" applyFont="1" applyFill="1" applyBorder="1" applyAlignment="1">
      <alignment horizontal="center"/>
    </xf>
    <xf numFmtId="0" fontId="17" fillId="3" borderId="0" xfId="0" applyNumberFormat="1" applyFont="1" applyFill="1" applyBorder="1" applyAlignment="1">
      <alignment horizontal="center"/>
    </xf>
    <xf numFmtId="0" fontId="11" fillId="0" borderId="0" xfId="0" applyFont="1" applyFill="1" applyBorder="1"/>
    <xf numFmtId="0" fontId="0" fillId="0" borderId="0" xfId="0" applyBorder="1"/>
    <xf numFmtId="0" fontId="0" fillId="0" borderId="0" xfId="0" applyBorder="1" applyAlignment="1">
      <alignment horizontal="center"/>
    </xf>
    <xf numFmtId="168" fontId="14" fillId="4" borderId="0" xfId="0" applyNumberFormat="1" applyFont="1" applyFill="1" applyBorder="1" applyAlignment="1">
      <alignment horizontal="center"/>
    </xf>
    <xf numFmtId="168" fontId="15" fillId="4" borderId="0" xfId="0" applyNumberFormat="1" applyFont="1" applyFill="1" applyBorder="1" applyAlignment="1">
      <alignment horizontal="center"/>
    </xf>
    <xf numFmtId="0" fontId="15" fillId="4" borderId="0" xfId="0" applyNumberFormat="1" applyFont="1" applyFill="1" applyBorder="1" applyAlignment="1">
      <alignment horizontal="left"/>
    </xf>
    <xf numFmtId="0" fontId="12" fillId="4" borderId="0" xfId="0" applyFont="1" applyFill="1" applyBorder="1" applyAlignment="1">
      <alignment horizontal="center" vertical="center"/>
    </xf>
    <xf numFmtId="0" fontId="0" fillId="0" borderId="0" xfId="0" applyFill="1" applyBorder="1"/>
    <xf numFmtId="168" fontId="14" fillId="4" borderId="0" xfId="0" applyNumberFormat="1" applyFont="1" applyFill="1" applyBorder="1" applyAlignment="1">
      <alignment horizontal="center" vertical="center"/>
    </xf>
    <xf numFmtId="168" fontId="0" fillId="0" borderId="0" xfId="0" applyNumberFormat="1" applyBorder="1" applyAlignment="1">
      <alignment horizontal="center"/>
    </xf>
    <xf numFmtId="0" fontId="18" fillId="0" borderId="1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0" fontId="12" fillId="0" borderId="0" xfId="0" applyFont="1" applyFill="1" applyBorder="1"/>
    <xf numFmtId="0" fontId="3" fillId="0" borderId="0" xfId="0" applyFon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71" fontId="13" fillId="4" borderId="0" xfId="0" applyNumberFormat="1" applyFont="1" applyFill="1" applyBorder="1" applyAlignment="1">
      <alignment vertical="center"/>
    </xf>
    <xf numFmtId="171" fontId="14" fillId="4" borderId="0" xfId="0" applyNumberFormat="1" applyFont="1" applyFill="1" applyBorder="1" applyAlignment="1">
      <alignment horizontal="left" vertical="center"/>
    </xf>
    <xf numFmtId="171" fontId="15" fillId="4" borderId="0" xfId="0" applyNumberFormat="1" applyFont="1" applyFill="1" applyBorder="1" applyAlignment="1">
      <alignment horizontal="center" vertical="center"/>
    </xf>
    <xf numFmtId="171" fontId="13" fillId="4" borderId="0" xfId="0" applyNumberFormat="1" applyFont="1" applyFill="1" applyBorder="1" applyAlignment="1">
      <alignment horizontal="center" vertical="center"/>
    </xf>
    <xf numFmtId="171" fontId="13" fillId="4" borderId="0" xfId="0" applyNumberFormat="1" applyFont="1" applyFill="1" applyBorder="1" applyAlignment="1">
      <alignment horizontal="left" vertical="center"/>
    </xf>
    <xf numFmtId="171" fontId="13" fillId="4" borderId="0" xfId="0" applyNumberFormat="1" applyFont="1" applyFill="1" applyBorder="1" applyAlignment="1" applyProtection="1">
      <alignment horizontal="left" vertical="center"/>
    </xf>
    <xf numFmtId="0" fontId="3" fillId="0" borderId="0" xfId="2"/>
    <xf numFmtId="172" fontId="3" fillId="0" borderId="0" xfId="0" applyNumberFormat="1" applyFont="1" applyBorder="1"/>
    <xf numFmtId="0" fontId="0" fillId="0" borderId="0" xfId="0" applyNumberFormat="1" applyFont="1" applyBorder="1" applyAlignment="1" applyProtection="1">
      <alignment horizontal="left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68" fontId="17" fillId="3" borderId="8" xfId="0" applyNumberFormat="1" applyFont="1" applyFill="1" applyBorder="1"/>
    <xf numFmtId="1" fontId="14" fillId="5" borderId="0" xfId="2" applyNumberFormat="1" applyFont="1" applyFill="1" applyBorder="1" applyAlignment="1">
      <alignment vertical="center"/>
    </xf>
    <xf numFmtId="1" fontId="13" fillId="0" borderId="0" xfId="0" applyNumberFormat="1" applyFont="1" applyFill="1" applyBorder="1" applyAlignment="1">
      <alignment vertical="center"/>
    </xf>
    <xf numFmtId="0" fontId="13" fillId="0" borderId="5" xfId="0" applyFont="1" applyFill="1" applyBorder="1"/>
    <xf numFmtId="0" fontId="13" fillId="0" borderId="5" xfId="0" applyFont="1" applyFill="1" applyBorder="1" applyAlignment="1">
      <alignment horizontal="left" vertical="center"/>
    </xf>
    <xf numFmtId="1" fontId="13" fillId="0" borderId="5" xfId="0" applyNumberFormat="1" applyFont="1" applyFill="1" applyBorder="1"/>
    <xf numFmtId="0" fontId="13" fillId="0" borderId="5" xfId="0" applyNumberFormat="1" applyFont="1" applyFill="1" applyBorder="1"/>
    <xf numFmtId="170" fontId="13" fillId="0" borderId="5" xfId="0" applyNumberFormat="1" applyFont="1" applyFill="1" applyBorder="1"/>
    <xf numFmtId="172" fontId="13" fillId="0" borderId="5" xfId="0" applyNumberFormat="1" applyFont="1" applyFill="1" applyBorder="1"/>
    <xf numFmtId="1" fontId="11" fillId="0" borderId="6" xfId="0" applyNumberFormat="1" applyFont="1" applyFill="1" applyBorder="1" applyAlignment="1">
      <alignment horizontal="right"/>
    </xf>
    <xf numFmtId="0" fontId="11" fillId="0" borderId="7" xfId="0" applyNumberFormat="1" applyFont="1" applyFill="1" applyBorder="1"/>
    <xf numFmtId="0" fontId="0" fillId="0" borderId="0" xfId="0" applyFill="1"/>
    <xf numFmtId="0" fontId="17" fillId="0" borderId="0" xfId="0" applyNumberFormat="1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3" fillId="0" borderId="0" xfId="0" applyNumberFormat="1" applyFont="1" applyFill="1" applyBorder="1"/>
    <xf numFmtId="0" fontId="3" fillId="0" borderId="0" xfId="0" applyFont="1" applyFill="1" applyAlignment="1">
      <alignment vertical="top"/>
    </xf>
    <xf numFmtId="0" fontId="13" fillId="0" borderId="8" xfId="0" applyNumberFormat="1" applyFont="1" applyFill="1" applyBorder="1"/>
    <xf numFmtId="0" fontId="2" fillId="0" borderId="0" xfId="0" applyFont="1" applyFill="1"/>
    <xf numFmtId="0" fontId="2" fillId="0" borderId="2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13" fillId="4" borderId="0" xfId="0" applyNumberFormat="1" applyFont="1" applyFill="1" applyBorder="1" applyAlignment="1">
      <alignment horizontal="left" vertical="center"/>
    </xf>
    <xf numFmtId="0" fontId="13" fillId="0" borderId="5" xfId="0" applyNumberFormat="1" applyFont="1" applyFill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49" fontId="2" fillId="0" borderId="2" xfId="0" applyNumberFormat="1" applyFont="1" applyFill="1" applyBorder="1"/>
    <xf numFmtId="0" fontId="2" fillId="0" borderId="3" xfId="0" applyFont="1" applyFill="1" applyBorder="1" applyAlignment="1"/>
    <xf numFmtId="0" fontId="2" fillId="0" borderId="0" xfId="0" applyFont="1" applyFill="1" applyBorder="1" applyAlignment="1"/>
    <xf numFmtId="0" fontId="0" fillId="6" borderId="0" xfId="0" applyNumberFormat="1" applyFill="1"/>
    <xf numFmtId="0" fontId="17" fillId="6" borderId="0" xfId="0" applyNumberFormat="1" applyFont="1" applyFill="1" applyBorder="1" applyAlignment="1">
      <alignment vertical="center"/>
    </xf>
    <xf numFmtId="0" fontId="0" fillId="6" borderId="0" xfId="0" applyFill="1"/>
    <xf numFmtId="0" fontId="11" fillId="6" borderId="0" xfId="0" applyFont="1" applyFill="1" applyBorder="1" applyAlignment="1">
      <alignment vertical="center"/>
    </xf>
    <xf numFmtId="0" fontId="11" fillId="6" borderId="0" xfId="0" applyNumberFormat="1" applyFont="1" applyFill="1" applyBorder="1"/>
    <xf numFmtId="168" fontId="11" fillId="6" borderId="0" xfId="0" applyNumberFormat="1" applyFont="1" applyFill="1" applyBorder="1"/>
    <xf numFmtId="0" fontId="0" fillId="5" borderId="0" xfId="0" applyFill="1" applyAlignment="1">
      <alignment horizontal="center"/>
    </xf>
    <xf numFmtId="0" fontId="17" fillId="6" borderId="0" xfId="0" applyNumberFormat="1" applyFont="1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11" fillId="6" borderId="0" xfId="0" applyNumberFormat="1" applyFont="1" applyFill="1" applyBorder="1" applyAlignment="1">
      <alignment horizontal="left" vertical="top"/>
    </xf>
    <xf numFmtId="0" fontId="3" fillId="0" borderId="0" xfId="0" applyFont="1" applyFill="1"/>
    <xf numFmtId="0" fontId="3" fillId="0" borderId="0" xfId="0" applyFont="1" applyFill="1" applyAlignment="1">
      <alignment horizontal="left" vertical="top"/>
    </xf>
    <xf numFmtId="168" fontId="3" fillId="0" borderId="0" xfId="0" applyNumberFormat="1" applyFont="1" applyFill="1" applyBorder="1"/>
    <xf numFmtId="0" fontId="13" fillId="4" borderId="0" xfId="0" applyFont="1" applyFill="1" applyBorder="1" applyAlignment="1">
      <alignment horizontal="right" vertical="center"/>
    </xf>
    <xf numFmtId="174" fontId="13" fillId="4" borderId="0" xfId="0" applyNumberFormat="1" applyFont="1" applyFill="1" applyBorder="1" applyAlignment="1">
      <alignment horizontal="left" vertical="center"/>
    </xf>
    <xf numFmtId="0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/>
    <xf numFmtId="0" fontId="11" fillId="0" borderId="0" xfId="0" applyNumberFormat="1" applyFont="1" applyFill="1"/>
    <xf numFmtId="0" fontId="7" fillId="3" borderId="0" xfId="0" applyFont="1" applyFill="1" applyBorder="1" applyAlignment="1">
      <alignment horizontal="left" vertical="center"/>
    </xf>
    <xf numFmtId="0" fontId="0" fillId="0" borderId="0" xfId="0" applyNumberFormat="1" applyFont="1" applyFill="1" applyAlignment="1">
      <alignment horizontal="center" vertical="center"/>
    </xf>
    <xf numFmtId="0" fontId="0" fillId="0" borderId="0" xfId="0" applyNumberFormat="1" applyFont="1" applyFill="1"/>
    <xf numFmtId="0" fontId="0" fillId="0" borderId="0" xfId="0" applyNumberFormat="1" applyFont="1" applyFill="1" applyAlignment="1">
      <alignment vertical="center"/>
    </xf>
    <xf numFmtId="0" fontId="14" fillId="4" borderId="0" xfId="0" applyFont="1" applyFill="1" applyBorder="1" applyAlignment="1">
      <alignment horizontal="center" vertical="center"/>
    </xf>
    <xf numFmtId="0" fontId="14" fillId="4" borderId="0" xfId="0" applyNumberFormat="1" applyFont="1" applyFill="1" applyBorder="1" applyAlignment="1">
      <alignment horizontal="center" vertical="center"/>
    </xf>
    <xf numFmtId="0" fontId="15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2" fontId="14" fillId="4" borderId="0" xfId="0" applyNumberFormat="1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9" fillId="4" borderId="0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167" fontId="14" fillId="4" borderId="0" xfId="0" applyNumberFormat="1" applyFont="1" applyFill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" fontId="20" fillId="4" borderId="0" xfId="0" applyNumberFormat="1" applyFont="1" applyFill="1" applyBorder="1" applyAlignment="1">
      <alignment horizontal="center" vertical="center"/>
    </xf>
    <xf numFmtId="168" fontId="11" fillId="2" borderId="0" xfId="0" applyNumberFormat="1" applyFont="1" applyFill="1" applyBorder="1"/>
    <xf numFmtId="168" fontId="17" fillId="0" borderId="9" xfId="0" applyNumberFormat="1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/>
    </xf>
    <xf numFmtId="1" fontId="17" fillId="5" borderId="0" xfId="0" applyNumberFormat="1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172" fontId="11" fillId="0" borderId="0" xfId="0" applyNumberFormat="1" applyFont="1" applyFill="1" applyBorder="1"/>
    <xf numFmtId="0" fontId="12" fillId="4" borderId="0" xfId="0" applyNumberFormat="1" applyFont="1" applyFill="1" applyBorder="1" applyAlignment="1">
      <alignment horizontal="center" vertical="center"/>
    </xf>
    <xf numFmtId="1" fontId="14" fillId="5" borderId="0" xfId="2" applyNumberFormat="1" applyFont="1" applyFill="1" applyBorder="1" applyAlignment="1">
      <alignment horizontal="center"/>
    </xf>
    <xf numFmtId="168" fontId="11" fillId="0" borderId="0" xfId="0" applyNumberFormat="1" applyFont="1" applyFill="1" applyAlignment="1">
      <alignment horizontal="center"/>
    </xf>
    <xf numFmtId="168" fontId="0" fillId="0" borderId="0" xfId="0" applyNumberFormat="1" applyAlignment="1">
      <alignment horizontal="center"/>
    </xf>
    <xf numFmtId="168" fontId="17" fillId="3" borderId="8" xfId="0" applyNumberFormat="1" applyFont="1" applyFill="1" applyBorder="1" applyAlignment="1">
      <alignment horizontal="left"/>
    </xf>
    <xf numFmtId="0" fontId="8" fillId="3" borderId="0" xfId="0" applyNumberFormat="1" applyFont="1" applyFill="1" applyBorder="1" applyAlignment="1">
      <alignment vertical="top"/>
    </xf>
    <xf numFmtId="0" fontId="17" fillId="3" borderId="0" xfId="0" applyNumberFormat="1" applyFont="1" applyFill="1" applyBorder="1" applyAlignment="1">
      <alignment horizontal="center" vertical="top" textRotation="180"/>
    </xf>
    <xf numFmtId="170" fontId="3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8" fontId="14" fillId="5" borderId="0" xfId="2" applyNumberFormat="1" applyFont="1" applyFill="1" applyBorder="1" applyAlignment="1">
      <alignment vertical="center"/>
    </xf>
    <xf numFmtId="168" fontId="17" fillId="3" borderId="4" xfId="0" applyNumberFormat="1" applyFont="1" applyFill="1" applyBorder="1"/>
    <xf numFmtId="0" fontId="14" fillId="5" borderId="0" xfId="2" applyNumberFormat="1" applyFont="1" applyFill="1" applyBorder="1" applyAlignment="1">
      <alignment vertical="center"/>
    </xf>
    <xf numFmtId="1" fontId="17" fillId="0" borderId="0" xfId="0" applyNumberFormat="1" applyFont="1" applyFill="1" applyBorder="1" applyAlignment="1">
      <alignment horizontal="center" vertical="center" wrapText="1"/>
    </xf>
    <xf numFmtId="1" fontId="17" fillId="5" borderId="0" xfId="0" applyNumberFormat="1" applyFont="1" applyFill="1" applyBorder="1" applyAlignment="1">
      <alignment horizontal="center" vertical="center" wrapText="1"/>
    </xf>
    <xf numFmtId="0" fontId="2" fillId="5" borderId="0" xfId="0" applyFont="1" applyFill="1" applyBorder="1" applyAlignment="1">
      <alignment horizontal="center" vertical="center" wrapText="1"/>
    </xf>
    <xf numFmtId="0" fontId="22" fillId="5" borderId="0" xfId="0" applyFont="1" applyFill="1" applyBorder="1" applyAlignment="1">
      <alignment horizontal="center" vertical="center" wrapText="1"/>
    </xf>
    <xf numFmtId="0" fontId="24" fillId="7" borderId="0" xfId="0" applyFont="1" applyFill="1" applyBorder="1" applyAlignment="1">
      <alignment horizontal="center" vertical="center" wrapText="1"/>
    </xf>
    <xf numFmtId="1" fontId="0" fillId="5" borderId="0" xfId="0" applyNumberFormat="1" applyFill="1" applyBorder="1" applyAlignment="1">
      <alignment horizontal="center" vertical="center" wrapText="1"/>
    </xf>
    <xf numFmtId="0" fontId="11" fillId="7" borderId="0" xfId="0" applyFont="1" applyFill="1" applyBorder="1" applyAlignment="1">
      <alignment horizontal="center" vertical="center" wrapText="1"/>
    </xf>
    <xf numFmtId="0" fontId="0" fillId="7" borderId="0" xfId="0" applyFont="1" applyFill="1" applyBorder="1" applyAlignment="1">
      <alignment horizontal="center" vertical="center" wrapText="1"/>
    </xf>
    <xf numFmtId="168" fontId="11" fillId="7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27" fillId="0" borderId="7" xfId="0" applyNumberFormat="1" applyFont="1" applyFill="1" applyBorder="1"/>
    <xf numFmtId="175" fontId="13" fillId="4" borderId="0" xfId="0" applyNumberFormat="1" applyFont="1" applyFill="1" applyBorder="1" applyAlignment="1">
      <alignment vertical="center"/>
    </xf>
    <xf numFmtId="175" fontId="13" fillId="0" borderId="8" xfId="0" applyNumberFormat="1" applyFont="1" applyFill="1" applyBorder="1"/>
    <xf numFmtId="175" fontId="3" fillId="0" borderId="0" xfId="0" applyNumberFormat="1" applyFont="1" applyBorder="1"/>
    <xf numFmtId="0" fontId="3" fillId="5" borderId="0" xfId="0" applyFont="1" applyFill="1" applyBorder="1" applyAlignment="1">
      <alignment horizontal="left" vertical="center" wrapText="1"/>
    </xf>
    <xf numFmtId="0" fontId="22" fillId="5" borderId="1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4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 vertical="center"/>
    </xf>
    <xf numFmtId="9" fontId="0" fillId="0" borderId="0" xfId="0" applyNumberFormat="1"/>
    <xf numFmtId="176" fontId="0" fillId="0" borderId="0" xfId="0" applyNumberFormat="1" applyFill="1" applyBorder="1"/>
    <xf numFmtId="0" fontId="3" fillId="5" borderId="0" xfId="0" applyFont="1" applyFill="1" applyBorder="1" applyAlignment="1">
      <alignment horizontal="left" wrapText="1"/>
    </xf>
    <xf numFmtId="0" fontId="3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3" fillId="0" borderId="0" xfId="0" applyFont="1" applyAlignment="1"/>
    <xf numFmtId="0" fontId="0" fillId="0" borderId="0" xfId="0" applyFill="1" applyAlignment="1"/>
    <xf numFmtId="0" fontId="2" fillId="0" borderId="0" xfId="0" applyFont="1" applyAlignment="1">
      <alignment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3" fillId="0" borderId="0" xfId="0" quotePrefix="1" applyFont="1" applyAlignment="1">
      <alignment vertical="top" wrapText="1"/>
    </xf>
    <xf numFmtId="0" fontId="9" fillId="2" borderId="0" xfId="1" applyFill="1" applyAlignment="1">
      <alignment vertical="top" wrapText="1"/>
    </xf>
    <xf numFmtId="49" fontId="3" fillId="0" borderId="0" xfId="0" applyNumberFormat="1" applyFont="1" applyBorder="1" applyAlignment="1">
      <alignment wrapText="1"/>
    </xf>
    <xf numFmtId="47" fontId="0" fillId="0" borderId="0" xfId="0" applyNumberFormat="1"/>
    <xf numFmtId="20" fontId="0" fillId="0" borderId="0" xfId="0" applyNumberFormat="1"/>
    <xf numFmtId="0" fontId="11" fillId="0" borderId="0" xfId="0" applyNumberFormat="1" applyFont="1" applyFill="1" applyAlignment="1"/>
    <xf numFmtId="0" fontId="3" fillId="5" borderId="0" xfId="0" applyFont="1" applyFill="1" applyAlignment="1">
      <alignment horizontal="left"/>
    </xf>
    <xf numFmtId="0" fontId="13" fillId="4" borderId="0" xfId="0" applyFont="1" applyFill="1" applyBorder="1" applyAlignment="1">
      <alignment horizontal="left" vertical="center"/>
    </xf>
    <xf numFmtId="165" fontId="13" fillId="4" borderId="0" xfId="0" applyNumberFormat="1" applyFont="1" applyFill="1" applyBorder="1" applyAlignment="1">
      <alignment horizontal="left" vertical="center"/>
    </xf>
    <xf numFmtId="0" fontId="0" fillId="5" borderId="1" xfId="0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/>
    <xf numFmtId="15" fontId="12" fillId="4" borderId="0" xfId="0" applyNumberFormat="1" applyFont="1" applyFill="1" applyBorder="1" applyAlignment="1">
      <alignment vertical="center"/>
    </xf>
    <xf numFmtId="0" fontId="11" fillId="0" borderId="0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textRotation="90"/>
    </xf>
    <xf numFmtId="0" fontId="29" fillId="0" borderId="0" xfId="0" applyFont="1" applyFill="1" applyBorder="1" applyAlignment="1">
      <alignment horizontal="center"/>
    </xf>
    <xf numFmtId="0" fontId="26" fillId="0" borderId="0" xfId="0" applyFont="1" applyAlignment="1">
      <alignment horizontal="center" wrapText="1"/>
    </xf>
    <xf numFmtId="0" fontId="22" fillId="0" borderId="0" xfId="0" applyFont="1" applyAlignment="1">
      <alignment horizontal="center" wrapText="1"/>
    </xf>
    <xf numFmtId="1" fontId="30" fillId="5" borderId="0" xfId="0" applyNumberFormat="1" applyFont="1" applyFill="1" applyBorder="1" applyAlignment="1">
      <alignment horizontal="center"/>
    </xf>
    <xf numFmtId="1" fontId="14" fillId="5" borderId="0" xfId="2" applyNumberFormat="1" applyFont="1" applyFill="1" applyBorder="1" applyAlignment="1">
      <alignment horizontal="center" vertical="center"/>
    </xf>
    <xf numFmtId="0" fontId="11" fillId="0" borderId="7" xfId="0" applyFont="1" applyFill="1" applyBorder="1"/>
    <xf numFmtId="172" fontId="11" fillId="0" borderId="6" xfId="0" applyNumberFormat="1" applyFont="1" applyFill="1" applyBorder="1"/>
    <xf numFmtId="1" fontId="17" fillId="0" borderId="0" xfId="0" applyNumberFormat="1" applyFont="1" applyFill="1" applyBorder="1" applyAlignment="1">
      <alignment horizontal="center" vertical="center"/>
    </xf>
    <xf numFmtId="1" fontId="0" fillId="5" borderId="0" xfId="0" applyNumberFormat="1" applyFill="1" applyBorder="1" applyAlignment="1">
      <alignment horizontal="center"/>
    </xf>
    <xf numFmtId="0" fontId="2" fillId="5" borderId="0" xfId="0" applyFont="1" applyFill="1" applyBorder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7" fillId="0" borderId="6" xfId="0" applyNumberFormat="1" applyFont="1" applyFill="1" applyBorder="1"/>
    <xf numFmtId="0" fontId="13" fillId="12" borderId="12" xfId="0" applyNumberFormat="1" applyFont="1" applyFill="1" applyBorder="1" applyAlignment="1">
      <alignment horizontal="left"/>
    </xf>
    <xf numFmtId="0" fontId="13" fillId="12" borderId="7" xfId="0" applyNumberFormat="1" applyFont="1" applyFill="1" applyBorder="1" applyAlignment="1">
      <alignment horizontal="left"/>
    </xf>
    <xf numFmtId="0" fontId="0" fillId="0" borderId="13" xfId="0" applyBorder="1"/>
    <xf numFmtId="14" fontId="0" fillId="0" borderId="13" xfId="0" applyNumberFormat="1" applyBorder="1"/>
    <xf numFmtId="20" fontId="0" fillId="0" borderId="13" xfId="0" applyNumberFormat="1" applyBorder="1"/>
    <xf numFmtId="10" fontId="0" fillId="0" borderId="13" xfId="0" applyNumberFormat="1" applyBorder="1"/>
    <xf numFmtId="0" fontId="3" fillId="0" borderId="13" xfId="0" applyFont="1" applyBorder="1"/>
    <xf numFmtId="0" fontId="2" fillId="0" borderId="0" xfId="0" applyFont="1" applyFill="1" applyAlignment="1">
      <alignment wrapText="1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" fillId="9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/>
    </xf>
    <xf numFmtId="1" fontId="0" fillId="0" borderId="13" xfId="0" applyNumberFormat="1" applyBorder="1"/>
    <xf numFmtId="0" fontId="35" fillId="0" borderId="0" xfId="0" applyFont="1" applyAlignment="1">
      <alignment wrapText="1"/>
    </xf>
    <xf numFmtId="0" fontId="2" fillId="0" borderId="16" xfId="0" applyFont="1" applyFill="1" applyBorder="1" applyAlignment="1"/>
    <xf numFmtId="0" fontId="2" fillId="0" borderId="2" xfId="0" applyFont="1" applyFill="1" applyBorder="1" applyAlignment="1"/>
    <xf numFmtId="0" fontId="2" fillId="0" borderId="17" xfId="0" applyFont="1" applyFill="1" applyBorder="1" applyAlignment="1"/>
    <xf numFmtId="0" fontId="0" fillId="0" borderId="3" xfId="0" applyFill="1" applyBorder="1" applyAlignment="1"/>
    <xf numFmtId="0" fontId="3" fillId="0" borderId="18" xfId="0" applyFont="1" applyFill="1" applyBorder="1" applyAlignment="1"/>
    <xf numFmtId="0" fontId="2" fillId="0" borderId="18" xfId="0" applyFont="1" applyFill="1" applyBorder="1" applyAlignment="1"/>
    <xf numFmtId="0" fontId="0" fillId="0" borderId="18" xfId="0" applyFill="1" applyBorder="1" applyAlignment="1"/>
    <xf numFmtId="0" fontId="0" fillId="0" borderId="0" xfId="0" applyFill="1" applyBorder="1" applyAlignment="1"/>
    <xf numFmtId="0" fontId="0" fillId="0" borderId="19" xfId="0" applyFill="1" applyBorder="1" applyAlignment="1"/>
    <xf numFmtId="0" fontId="0" fillId="0" borderId="20" xfId="0" applyFill="1" applyBorder="1" applyAlignment="1"/>
    <xf numFmtId="0" fontId="0" fillId="0" borderId="21" xfId="0" applyFill="1" applyBorder="1" applyAlignment="1"/>
    <xf numFmtId="0" fontId="3" fillId="0" borderId="22" xfId="0" applyNumberFormat="1" applyFont="1" applyFill="1" applyBorder="1" applyAlignment="1"/>
    <xf numFmtId="0" fontId="3" fillId="0" borderId="23" xfId="0" applyNumberFormat="1" applyFont="1" applyFill="1" applyBorder="1" applyAlignment="1"/>
    <xf numFmtId="0" fontId="0" fillId="0" borderId="23" xfId="0" applyFill="1" applyBorder="1" applyAlignment="1"/>
    <xf numFmtId="164" fontId="0" fillId="0" borderId="23" xfId="0" applyNumberFormat="1" applyFill="1" applyBorder="1" applyAlignment="1"/>
    <xf numFmtId="166" fontId="0" fillId="0" borderId="23" xfId="0" applyNumberFormat="1" applyFill="1" applyBorder="1" applyAlignment="1"/>
    <xf numFmtId="0" fontId="0" fillId="0" borderId="24" xfId="0" applyFill="1" applyBorder="1" applyAlignment="1"/>
    <xf numFmtId="0" fontId="13" fillId="12" borderId="7" xfId="0" applyNumberFormat="1" applyFont="1" applyFill="1" applyBorder="1" applyAlignment="1"/>
    <xf numFmtId="0" fontId="0" fillId="0" borderId="23" xfId="0" applyNumberFormat="1" applyFill="1" applyBorder="1" applyAlignment="1"/>
    <xf numFmtId="0" fontId="0" fillId="0" borderId="24" xfId="0" applyNumberFormat="1" applyFill="1" applyBorder="1" applyAlignment="1"/>
    <xf numFmtId="0" fontId="3" fillId="0" borderId="16" xfId="0" applyNumberFormat="1" applyFont="1" applyFill="1" applyBorder="1" applyAlignment="1"/>
    <xf numFmtId="0" fontId="3" fillId="0" borderId="3" xfId="0" applyNumberFormat="1" applyFont="1" applyFill="1" applyBorder="1" applyAlignment="1"/>
    <xf numFmtId="0" fontId="0" fillId="0" borderId="3" xfId="0" applyNumberFormat="1" applyFill="1" applyBorder="1" applyAlignment="1"/>
    <xf numFmtId="0" fontId="0" fillId="0" borderId="19" xfId="0" applyNumberFormat="1" applyFill="1" applyBorder="1" applyAlignment="1"/>
    <xf numFmtId="0" fontId="3" fillId="0" borderId="22" xfId="0" applyFont="1" applyFill="1" applyBorder="1" applyAlignment="1"/>
    <xf numFmtId="0" fontId="3" fillId="0" borderId="23" xfId="0" applyFont="1" applyFill="1" applyBorder="1" applyAlignment="1"/>
    <xf numFmtId="0" fontId="28" fillId="0" borderId="23" xfId="0" applyNumberFormat="1" applyFont="1" applyFill="1" applyBorder="1" applyAlignment="1"/>
    <xf numFmtId="0" fontId="3" fillId="0" borderId="24" xfId="0" applyNumberFormat="1" applyFont="1" applyFill="1" applyBorder="1" applyAlignment="1"/>
    <xf numFmtId="0" fontId="3" fillId="0" borderId="23" xfId="0" applyFont="1" applyFill="1" applyBorder="1" applyAlignment="1">
      <alignment vertical="top"/>
    </xf>
    <xf numFmtId="0" fontId="0" fillId="0" borderId="23" xfId="0" applyFill="1" applyBorder="1"/>
    <xf numFmtId="0" fontId="0" fillId="0" borderId="24" xfId="0" applyFill="1" applyBorder="1"/>
    <xf numFmtId="0" fontId="0" fillId="0" borderId="22" xfId="0" applyNumberFormat="1" applyFill="1" applyBorder="1" applyAlignment="1"/>
    <xf numFmtId="0" fontId="0" fillId="0" borderId="22" xfId="0" applyFill="1" applyBorder="1"/>
    <xf numFmtId="0" fontId="35" fillId="0" borderId="0" xfId="0" applyFont="1" applyAlignment="1">
      <alignment vertical="top" wrapText="1"/>
    </xf>
    <xf numFmtId="0" fontId="36" fillId="0" borderId="0" xfId="0" applyFont="1" applyAlignment="1">
      <alignment vertical="top" wrapText="1"/>
    </xf>
    <xf numFmtId="0" fontId="37" fillId="0" borderId="0" xfId="0" applyFont="1"/>
    <xf numFmtId="0" fontId="13" fillId="0" borderId="8" xfId="0" applyNumberFormat="1" applyFont="1" applyFill="1" applyBorder="1" applyAlignment="1"/>
    <xf numFmtId="0" fontId="13" fillId="0" borderId="5" xfId="0" applyNumberFormat="1" applyFont="1" applyFill="1" applyBorder="1" applyAlignment="1"/>
    <xf numFmtId="0" fontId="13" fillId="0" borderId="0" xfId="0" applyNumberFormat="1" applyFont="1" applyFill="1" applyBorder="1" applyAlignment="1"/>
    <xf numFmtId="0" fontId="13" fillId="0" borderId="25" xfId="0" applyNumberFormat="1" applyFont="1" applyFill="1" applyBorder="1" applyAlignment="1"/>
    <xf numFmtId="0" fontId="11" fillId="0" borderId="7" xfId="0" applyNumberFormat="1" applyFont="1" applyFill="1" applyBorder="1" applyAlignment="1"/>
    <xf numFmtId="49" fontId="11" fillId="0" borderId="7" xfId="0" applyNumberFormat="1" applyFont="1" applyFill="1" applyBorder="1"/>
    <xf numFmtId="172" fontId="11" fillId="0" borderId="26" xfId="0" applyNumberFormat="1" applyFont="1" applyFill="1" applyBorder="1"/>
    <xf numFmtId="0" fontId="3" fillId="0" borderId="0" xfId="0" applyNumberFormat="1" applyFont="1" applyFill="1"/>
    <xf numFmtId="170" fontId="3" fillId="0" borderId="0" xfId="0" applyNumberFormat="1" applyFont="1" applyFill="1"/>
    <xf numFmtId="0" fontId="3" fillId="0" borderId="0" xfId="0" quotePrefix="1" applyFont="1"/>
    <xf numFmtId="10" fontId="3" fillId="5" borderId="0" xfId="0" applyNumberFormat="1" applyFont="1" applyFill="1" applyBorder="1" applyAlignment="1">
      <alignment horizontal="left" wrapText="1"/>
    </xf>
    <xf numFmtId="0" fontId="38" fillId="0" borderId="0" xfId="0" applyFont="1"/>
    <xf numFmtId="177" fontId="0" fillId="0" borderId="0" xfId="0" applyNumberFormat="1"/>
    <xf numFmtId="0" fontId="3" fillId="0" borderId="0" xfId="0" applyNumberFormat="1" applyFont="1" applyFill="1" applyBorder="1" applyAlignment="1">
      <alignment wrapText="1"/>
    </xf>
    <xf numFmtId="0" fontId="3" fillId="13" borderId="29" xfId="0" applyFont="1" applyFill="1" applyBorder="1" applyAlignment="1">
      <alignment vertical="center" wrapText="1"/>
    </xf>
    <xf numFmtId="0" fontId="11" fillId="0" borderId="0" xfId="0" applyFont="1" applyBorder="1" applyAlignment="1">
      <alignment wrapText="1"/>
    </xf>
    <xf numFmtId="0" fontId="11" fillId="0" borderId="29" xfId="0" applyFont="1" applyBorder="1" applyAlignment="1">
      <alignment wrapText="1"/>
    </xf>
    <xf numFmtId="0" fontId="0" fillId="0" borderId="29" xfId="0" applyBorder="1"/>
    <xf numFmtId="0" fontId="3" fillId="8" borderId="0" xfId="0" applyFont="1" applyFill="1" applyAlignment="1">
      <alignment horizontal="center"/>
    </xf>
    <xf numFmtId="0" fontId="11" fillId="0" borderId="30" xfId="3" applyFont="1" applyFill="1" applyBorder="1"/>
    <xf numFmtId="0" fontId="11" fillId="0" borderId="30" xfId="0" applyNumberFormat="1" applyFont="1" applyFill="1" applyBorder="1"/>
    <xf numFmtId="14" fontId="13" fillId="4" borderId="0" xfId="0" applyNumberFormat="1" applyFont="1" applyFill="1" applyBorder="1" applyAlignment="1">
      <alignment horizontal="right" vertical="center"/>
    </xf>
    <xf numFmtId="14" fontId="3" fillId="0" borderId="13" xfId="0" applyNumberFormat="1" applyFont="1" applyBorder="1"/>
    <xf numFmtId="49" fontId="13" fillId="12" borderId="12" xfId="0" applyNumberFormat="1" applyFont="1" applyFill="1" applyBorder="1"/>
    <xf numFmtId="1" fontId="13" fillId="4" borderId="0" xfId="0" applyNumberFormat="1" applyFont="1" applyFill="1" applyBorder="1" applyAlignment="1">
      <alignment horizontal="right" vertical="center"/>
    </xf>
    <xf numFmtId="1" fontId="3" fillId="0" borderId="0" xfId="0" applyNumberFormat="1" applyFont="1"/>
    <xf numFmtId="21" fontId="3" fillId="0" borderId="13" xfId="0" applyNumberFormat="1" applyFont="1" applyBorder="1"/>
    <xf numFmtId="178" fontId="0" fillId="0" borderId="0" xfId="0" applyNumberFormat="1"/>
    <xf numFmtId="0" fontId="9" fillId="0" borderId="13" xfId="1" applyBorder="1"/>
    <xf numFmtId="0" fontId="0" fillId="0" borderId="6" xfId="0" applyBorder="1"/>
    <xf numFmtId="1" fontId="11" fillId="0" borderId="0" xfId="0" applyNumberFormat="1" applyFont="1" applyFill="1" applyBorder="1" applyAlignment="1">
      <alignment horizontal="right"/>
    </xf>
    <xf numFmtId="0" fontId="11" fillId="0" borderId="0" xfId="3" applyFont="1" applyFill="1" applyBorder="1"/>
    <xf numFmtId="0" fontId="0" fillId="0" borderId="30" xfId="0" applyBorder="1"/>
    <xf numFmtId="0" fontId="11" fillId="0" borderId="30" xfId="0" applyFont="1" applyBorder="1" applyAlignment="1">
      <alignment wrapText="1"/>
    </xf>
    <xf numFmtId="49" fontId="11" fillId="0" borderId="0" xfId="0" applyNumberFormat="1" applyFont="1" applyFill="1" applyBorder="1"/>
    <xf numFmtId="0" fontId="0" fillId="0" borderId="7" xfId="0" applyBorder="1"/>
    <xf numFmtId="0" fontId="17" fillId="3" borderId="4" xfId="0" applyNumberFormat="1" applyFont="1" applyFill="1" applyBorder="1" applyAlignment="1">
      <alignment horizontal="center"/>
    </xf>
    <xf numFmtId="0" fontId="11" fillId="0" borderId="0" xfId="0" applyNumberFormat="1" applyFont="1" applyFill="1" applyAlignment="1">
      <alignment horizontal="center"/>
    </xf>
    <xf numFmtId="0" fontId="13" fillId="0" borderId="8" xfId="0" applyNumberFormat="1" applyFont="1" applyFill="1" applyBorder="1" applyAlignment="1">
      <alignment horizontal="center"/>
    </xf>
    <xf numFmtId="0" fontId="11" fillId="0" borderId="0" xfId="0" applyNumberFormat="1" applyFont="1" applyFill="1" applyAlignment="1">
      <alignment horizontal="center" vertical="center"/>
    </xf>
    <xf numFmtId="0" fontId="11" fillId="14" borderId="0" xfId="0" applyNumberFormat="1" applyFont="1" applyFill="1" applyBorder="1" applyAlignment="1">
      <alignment horizontal="left"/>
    </xf>
    <xf numFmtId="0" fontId="11" fillId="14" borderId="6" xfId="0" applyNumberFormat="1" applyFont="1" applyFill="1" applyBorder="1" applyAlignment="1">
      <alignment horizontal="left"/>
    </xf>
    <xf numFmtId="0" fontId="11" fillId="14" borderId="0" xfId="0" applyNumberFormat="1" applyFont="1" applyFill="1" applyBorder="1"/>
    <xf numFmtId="0" fontId="11" fillId="14" borderId="7" xfId="0" applyNumberFormat="1" applyFont="1" applyFill="1" applyBorder="1"/>
    <xf numFmtId="175" fontId="11" fillId="14" borderId="0" xfId="0" applyNumberFormat="1" applyFont="1" applyFill="1" applyBorder="1"/>
    <xf numFmtId="1" fontId="11" fillId="14" borderId="0" xfId="0" applyNumberFormat="1" applyFont="1" applyFill="1" applyBorder="1"/>
    <xf numFmtId="1" fontId="11" fillId="14" borderId="7" xfId="0" applyNumberFormat="1" applyFont="1" applyFill="1" applyBorder="1"/>
    <xf numFmtId="0" fontId="11" fillId="14" borderId="10" xfId="0" applyFont="1" applyFill="1" applyBorder="1" applyAlignment="1">
      <alignment horizontal="center" vertical="center"/>
    </xf>
    <xf numFmtId="0" fontId="11" fillId="14" borderId="28" xfId="0" applyFont="1" applyFill="1" applyBorder="1" applyAlignment="1">
      <alignment horizontal="center" vertical="center"/>
    </xf>
    <xf numFmtId="0" fontId="11" fillId="14" borderId="27" xfId="0" applyFont="1" applyFill="1" applyBorder="1" applyAlignment="1">
      <alignment horizontal="center" vertical="center"/>
    </xf>
    <xf numFmtId="0" fontId="11" fillId="14" borderId="5" xfId="0" applyNumberFormat="1" applyFont="1" applyFill="1" applyBorder="1"/>
    <xf numFmtId="0" fontId="11" fillId="14" borderId="6" xfId="0" applyNumberFormat="1" applyFont="1" applyFill="1" applyBorder="1"/>
    <xf numFmtId="0" fontId="0" fillId="14" borderId="5" xfId="0" applyNumberFormat="1" applyFont="1" applyFill="1" applyBorder="1"/>
    <xf numFmtId="175" fontId="11" fillId="14" borderId="5" xfId="0" applyNumberFormat="1" applyFont="1" applyFill="1" applyBorder="1"/>
    <xf numFmtId="1" fontId="11" fillId="14" borderId="5" xfId="0" applyNumberFormat="1" applyFont="1" applyFill="1" applyBorder="1"/>
    <xf numFmtId="0" fontId="0" fillId="14" borderId="7" xfId="0" applyNumberFormat="1" applyFont="1" applyFill="1" applyBorder="1"/>
    <xf numFmtId="175" fontId="11" fillId="14" borderId="7" xfId="0" applyNumberFormat="1" applyFont="1" applyFill="1" applyBorder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1" fontId="3" fillId="0" borderId="0" xfId="0" applyNumberFormat="1" applyFont="1" applyAlignment="1">
      <alignment horizontal="left"/>
    </xf>
    <xf numFmtId="0" fontId="3" fillId="0" borderId="29" xfId="0" applyFont="1" applyBorder="1"/>
    <xf numFmtId="1" fontId="3" fillId="2" borderId="0" xfId="0" applyNumberFormat="1" applyFont="1" applyFill="1" applyAlignment="1">
      <alignment horizontal="left"/>
    </xf>
    <xf numFmtId="1" fontId="3" fillId="0" borderId="0" xfId="0" applyNumberFormat="1" applyFont="1" applyFill="1" applyAlignment="1">
      <alignment horizontal="left"/>
    </xf>
    <xf numFmtId="49" fontId="3" fillId="0" borderId="0" xfId="2" applyNumberFormat="1"/>
    <xf numFmtId="49" fontId="17" fillId="3" borderId="8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Alignment="1"/>
    <xf numFmtId="49" fontId="0" fillId="0" borderId="0" xfId="0" applyNumberFormat="1" applyAlignment="1">
      <alignment horizontal="center"/>
    </xf>
    <xf numFmtId="1" fontId="0" fillId="0" borderId="0" xfId="0" applyNumberFormat="1" applyFont="1" applyFill="1" applyAlignment="1"/>
    <xf numFmtId="0" fontId="39" fillId="15" borderId="29" xfId="0" applyFont="1" applyFill="1" applyBorder="1" applyAlignment="1">
      <alignment wrapText="1"/>
    </xf>
    <xf numFmtId="0" fontId="11" fillId="14" borderId="25" xfId="0" applyNumberFormat="1" applyFont="1" applyFill="1" applyBorder="1"/>
    <xf numFmtId="1" fontId="11" fillId="14" borderId="6" xfId="0" applyNumberFormat="1" applyFont="1" applyFill="1" applyBorder="1"/>
    <xf numFmtId="1" fontId="11" fillId="0" borderId="29" xfId="0" applyNumberFormat="1" applyFont="1" applyFill="1" applyBorder="1" applyAlignment="1">
      <alignment horizontal="left" vertical="center"/>
    </xf>
    <xf numFmtId="0" fontId="11" fillId="14" borderId="31" xfId="0" applyFont="1" applyFill="1" applyBorder="1" applyAlignment="1">
      <alignment horizontal="center" vertical="center"/>
    </xf>
    <xf numFmtId="0" fontId="3" fillId="13" borderId="32" xfId="0" applyFont="1" applyFill="1" applyBorder="1" applyAlignment="1">
      <alignment vertical="center" wrapText="1"/>
    </xf>
    <xf numFmtId="0" fontId="11" fillId="0" borderId="29" xfId="3" applyFont="1" applyFill="1" applyBorder="1"/>
    <xf numFmtId="0" fontId="11" fillId="0" borderId="33" xfId="0" applyNumberFormat="1" applyFont="1" applyFill="1" applyBorder="1"/>
    <xf numFmtId="175" fontId="11" fillId="14" borderId="6" xfId="0" applyNumberFormat="1" applyFont="1" applyFill="1" applyBorder="1"/>
    <xf numFmtId="0" fontId="11" fillId="0" borderId="6" xfId="0" applyNumberFormat="1" applyFont="1" applyFill="1" applyBorder="1"/>
    <xf numFmtId="1" fontId="3" fillId="0" borderId="0" xfId="0" quotePrefix="1" applyNumberFormat="1" applyFont="1" applyAlignment="1">
      <alignment horizontal="left"/>
    </xf>
    <xf numFmtId="0" fontId="3" fillId="0" borderId="10" xfId="5" applyNumberFormat="1" applyFont="1" applyFill="1" applyBorder="1" applyAlignment="1">
      <alignment horizontal="left" vertical="center"/>
    </xf>
    <xf numFmtId="0" fontId="3" fillId="0" borderId="11" xfId="5" applyNumberFormat="1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1" fontId="3" fillId="0" borderId="0" xfId="0" quotePrefix="1" applyNumberFormat="1" applyFont="1"/>
    <xf numFmtId="1" fontId="11" fillId="0" borderId="29" xfId="0" quotePrefix="1" applyNumberFormat="1" applyFont="1" applyFill="1" applyBorder="1" applyAlignment="1">
      <alignment horizontal="left" vertical="center"/>
    </xf>
    <xf numFmtId="0" fontId="0" fillId="14" borderId="6" xfId="0" applyNumberFormat="1" applyFont="1" applyFill="1" applyBorder="1"/>
    <xf numFmtId="1" fontId="11" fillId="0" borderId="0" xfId="0" applyNumberFormat="1" applyFont="1" applyFill="1"/>
    <xf numFmtId="0" fontId="13" fillId="12" borderId="7" xfId="0" applyNumberFormat="1" applyFont="1" applyFill="1" applyBorder="1" applyAlignment="1">
      <alignment horizontal="center"/>
    </xf>
    <xf numFmtId="0" fontId="13" fillId="12" borderId="6" xfId="0" applyNumberFormat="1" applyFont="1" applyFill="1" applyBorder="1" applyAlignment="1">
      <alignment horizontal="center"/>
    </xf>
    <xf numFmtId="0" fontId="13" fillId="12" borderId="15" xfId="0" applyNumberFormat="1" applyFont="1" applyFill="1" applyBorder="1" applyAlignment="1">
      <alignment horizontal="center"/>
    </xf>
    <xf numFmtId="0" fontId="13" fillId="12" borderId="12" xfId="0" applyNumberFormat="1" applyFont="1" applyFill="1" applyBorder="1" applyAlignment="1">
      <alignment horizontal="center" vertical="center"/>
    </xf>
    <xf numFmtId="0" fontId="13" fillId="12" borderId="14" xfId="0" applyNumberFormat="1" applyFont="1" applyFill="1" applyBorder="1" applyAlignment="1">
      <alignment horizontal="center" vertical="center"/>
    </xf>
    <xf numFmtId="0" fontId="17" fillId="6" borderId="0" xfId="0" applyNumberFormat="1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/>
    </xf>
    <xf numFmtId="0" fontId="7" fillId="10" borderId="0" xfId="0" applyFont="1" applyFill="1" applyAlignment="1">
      <alignment horizontal="center"/>
    </xf>
    <xf numFmtId="1" fontId="7" fillId="5" borderId="0" xfId="2" applyNumberFormat="1" applyFont="1" applyFill="1" applyBorder="1" applyAlignment="1">
      <alignment horizontal="center" vertical="center"/>
    </xf>
    <xf numFmtId="173" fontId="3" fillId="5" borderId="0" xfId="2" applyNumberFormat="1" applyFill="1" applyBorder="1" applyAlignment="1">
      <alignment horizontal="center" vertical="center"/>
    </xf>
    <xf numFmtId="0" fontId="7" fillId="5" borderId="0" xfId="2" applyFont="1" applyFill="1" applyBorder="1" applyAlignment="1">
      <alignment horizontal="center" vertical="center"/>
    </xf>
  </cellXfs>
  <cellStyles count="9">
    <cellStyle name="Excel Built-in Normal" xfId="3"/>
    <cellStyle name="Good" xfId="5" builtinId="26"/>
    <cellStyle name="Hyperlink" xfId="1" builtinId="8"/>
    <cellStyle name="Hyperlink 2" xfId="8"/>
    <cellStyle name="Normal" xfId="0" builtinId="0"/>
    <cellStyle name="Normal 2" xfId="2"/>
    <cellStyle name="Normal 2 2" xfId="7"/>
    <cellStyle name="Normal 3" xfId="4"/>
    <cellStyle name="Normal 4" xfId="6"/>
  </cellStyles>
  <dxfs count="18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solid">
          <fgColor indexed="64"/>
          <bgColor theme="3" tint="0.39997558519241921"/>
        </patternFill>
      </fill>
      <border diagonalUp="0" diagonalDown="0" outline="0">
        <left style="thin">
          <color theme="8" tint="0.39997558519241921"/>
        </left>
        <right style="thin">
          <color theme="8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hh]:mm:ss.0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solid">
          <fgColor indexed="64"/>
          <bgColor theme="3" tint="0.39997558519241921"/>
        </patternFill>
      </fill>
      <border diagonalUp="0" diagonalDown="0" outline="0">
        <left style="thin">
          <color theme="8" tint="0.39997558519241921"/>
        </left>
        <right style="thin">
          <color theme="8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90" wrapText="0" indent="0" justifyLastLine="0" shrinkToFit="0" readingOrder="0"/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font>
        <color rgb="FF006100"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gradientFill type="path" left="0.5" right="0.5" top="0.5" bottom="0.5">
          <stop position="0">
            <color theme="2" tint="-0.25098422193060094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0"/>
          </stop>
        </gradient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left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left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left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solid">
          <fgColor indexed="64"/>
          <bgColor theme="3" tint="0.39997558519241921"/>
        </patternFill>
      </fill>
      <alignment horizontal="left" vertical="center" textRotation="0" wrapText="0" 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  <border diagonalUp="0" diagonalDown="0" outline="0">
        <left style="thin">
          <color theme="8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theme="8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2" formatCode="[&lt;=9999999]###\-####;\(###\)\ ###\-####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 style="thin">
          <color theme="8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8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dd\/mm\/yyyy"/>
      <fill>
        <patternFill patternType="solid">
          <fgColor indexed="64"/>
          <bgColor theme="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solid"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 style="thin">
          <color theme="8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medium">
          <color rgb="FFCCCCCC"/>
        </left>
        <right style="thin">
          <color theme="8" tint="0.39997558519241921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8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8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2729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0" tint="-0.249977111117893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2" formatCode="[&lt;=9999999]###\-####;\(###\)\ ###\-####"/>
      <fill>
        <patternFill patternType="none">
          <fgColor indexed="64"/>
          <bgColor auto="1"/>
        </patternFill>
      </fill>
      <border diagonalUp="0" diagonalDown="0" outline="0">
        <left/>
        <right style="medium">
          <color rgb="FFCCCCCC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solid">
          <fgColor indexed="64"/>
          <bgColor theme="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dd\/mm\/yyyy"/>
      <fill>
        <patternFill patternType="solid">
          <fgColor indexed="64"/>
          <bgColor theme="5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70" formatCode="yyyy/mm/dd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border outline="0">
        <right style="thin">
          <color theme="8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8" tint="0.39997558519241921"/>
        </left>
        <right style="thin">
          <color theme="8" tint="0.39997558519241921"/>
        </right>
        <top/>
        <bottom/>
      </border>
    </dxf>
    <dxf>
      <font>
        <condense val="0"/>
        <extend val="0"/>
        <color rgb="FF9C0006"/>
      </font>
      <fill>
        <patternFill>
          <bgColor rgb="FFFF9999"/>
        </patternFill>
      </fill>
    </dxf>
    <dxf>
      <font>
        <condense val="0"/>
        <extend val="0"/>
        <color rgb="FF9C0006"/>
      </font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</dxfs>
  <tableStyles count="0" defaultTableStyle="TableStyleMedium27" defaultPivotStyle="PivotStyleLight16"/>
  <colors>
    <mruColors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file:///D:\Documents\Logo\Thaba%20Trails%20new.jpg" TargetMode="External"/><Relationship Id="rId2" Type="http://schemas.openxmlformats.org/officeDocument/2006/relationships/image" Target="file:///D:\Documents\Logo\Suzuki\S_SUZUKI_vertical1.jpg" TargetMode="External"/><Relationship Id="rId1" Type="http://schemas.openxmlformats.org/officeDocument/2006/relationships/image" Target="file:///D:\Pictures\Gauteng%20Cycling%20pics\Enduro\Gauteng%20Enduro%20Series%20(transparent).jpeg" TargetMode="External"/><Relationship Id="rId4" Type="http://schemas.openxmlformats.org/officeDocument/2006/relationships/image" Target="file:///D:\Documents\Logo\Gauteng%20logo.jpg" TargetMode="Externa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152400</xdr:colOff>
          <xdr:row>1</xdr:row>
          <xdr:rowOff>9525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Entries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561975</xdr:colOff>
          <xdr:row>0</xdr:row>
          <xdr:rowOff>0</xdr:rowOff>
        </xdr:from>
        <xdr:to>
          <xdr:col>14</xdr:col>
          <xdr:colOff>19050</xdr:colOff>
          <xdr:row>1</xdr:row>
          <xdr:rowOff>123825</xdr:rowOff>
        </xdr:to>
        <xdr:sp macro="" textlink="">
          <xdr:nvSpPr>
            <xdr:cNvPr id="2055" name="CommandButton1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0</xdr:row>
          <xdr:rowOff>9525</xdr:rowOff>
        </xdr:from>
        <xdr:to>
          <xdr:col>5</xdr:col>
          <xdr:colOff>114300</xdr:colOff>
          <xdr:row>1</xdr:row>
          <xdr:rowOff>161925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28575</xdr:rowOff>
        </xdr:from>
        <xdr:to>
          <xdr:col>13</xdr:col>
          <xdr:colOff>1114425</xdr:colOff>
          <xdr:row>0</xdr:row>
          <xdr:rowOff>323850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Entries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523875</xdr:colOff>
          <xdr:row>0</xdr:row>
          <xdr:rowOff>19050</xdr:rowOff>
        </xdr:from>
        <xdr:to>
          <xdr:col>14</xdr:col>
          <xdr:colOff>238125</xdr:colOff>
          <xdr:row>0</xdr:row>
          <xdr:rowOff>333375</xdr:rowOff>
        </xdr:to>
        <xdr:sp macro="" textlink="">
          <xdr:nvSpPr>
            <xdr:cNvPr id="14363" name="Button 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19050</xdr:rowOff>
        </xdr:from>
        <xdr:to>
          <xdr:col>8</xdr:col>
          <xdr:colOff>781050</xdr:colOff>
          <xdr:row>0</xdr:row>
          <xdr:rowOff>333375</xdr:rowOff>
        </xdr:to>
        <xdr:sp macro="" textlink="">
          <xdr:nvSpPr>
            <xdr:cNvPr id="14364" name="Button 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Duplicates (Removes 2nd Duplicate)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19050</xdr:rowOff>
        </xdr:from>
        <xdr:to>
          <xdr:col>5</xdr:col>
          <xdr:colOff>123825</xdr:colOff>
          <xdr:row>0</xdr:row>
          <xdr:rowOff>342900</xdr:rowOff>
        </xdr:to>
        <xdr:sp macro="" textlink="">
          <xdr:nvSpPr>
            <xdr:cNvPr id="14365" name="Button 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Re-Sort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28575</xdr:rowOff>
        </xdr:from>
        <xdr:to>
          <xdr:col>5</xdr:col>
          <xdr:colOff>123825</xdr:colOff>
          <xdr:row>0</xdr:row>
          <xdr:rowOff>342900</xdr:rowOff>
        </xdr:to>
        <xdr:sp macro="" textlink="">
          <xdr:nvSpPr>
            <xdr:cNvPr id="14368" name="Button 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Penalty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19050</xdr:rowOff>
        </xdr:from>
        <xdr:to>
          <xdr:col>5</xdr:col>
          <xdr:colOff>304800</xdr:colOff>
          <xdr:row>0</xdr:row>
          <xdr:rowOff>342900</xdr:rowOff>
        </xdr:to>
        <xdr:sp macro="" textlink="">
          <xdr:nvSpPr>
            <xdr:cNvPr id="14369" name="Button 33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Outliers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266700</xdr:colOff>
          <xdr:row>0</xdr:row>
          <xdr:rowOff>19050</xdr:rowOff>
        </xdr:from>
        <xdr:to>
          <xdr:col>16</xdr:col>
          <xdr:colOff>133350</xdr:colOff>
          <xdr:row>0</xdr:row>
          <xdr:rowOff>333375</xdr:rowOff>
        </xdr:to>
        <xdr:sp macro="" textlink="">
          <xdr:nvSpPr>
            <xdr:cNvPr id="14375" name="Button 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Category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0</xdr:row>
          <xdr:rowOff>19050</xdr:rowOff>
        </xdr:from>
        <xdr:to>
          <xdr:col>18</xdr:col>
          <xdr:colOff>95250</xdr:colOff>
          <xdr:row>0</xdr:row>
          <xdr:rowOff>333375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(not working)</a:t>
              </a:r>
            </a:p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Seperate Category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438150</xdr:colOff>
          <xdr:row>0</xdr:row>
          <xdr:rowOff>19050</xdr:rowOff>
        </xdr:from>
        <xdr:to>
          <xdr:col>20</xdr:col>
          <xdr:colOff>361950</xdr:colOff>
          <xdr:row>0</xdr:row>
          <xdr:rowOff>333375</xdr:rowOff>
        </xdr:to>
        <xdr:sp macro="" textlink="">
          <xdr:nvSpPr>
            <xdr:cNvPr id="14378" name="Button 4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Team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981075</xdr:colOff>
          <xdr:row>0</xdr:row>
          <xdr:rowOff>9525</xdr:rowOff>
        </xdr:from>
        <xdr:to>
          <xdr:col>2</xdr:col>
          <xdr:colOff>1019175</xdr:colOff>
          <xdr:row>0</xdr:row>
          <xdr:rowOff>295275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Entries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0</xdr:row>
          <xdr:rowOff>9525</xdr:rowOff>
        </xdr:from>
        <xdr:to>
          <xdr:col>3</xdr:col>
          <xdr:colOff>1352550</xdr:colOff>
          <xdr:row>1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Entries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74386</xdr:colOff>
      <xdr:row>0</xdr:row>
      <xdr:rowOff>74385</xdr:rowOff>
    </xdr:from>
    <xdr:to>
      <xdr:col>3</xdr:col>
      <xdr:colOff>532794</xdr:colOff>
      <xdr:row>4</xdr:row>
      <xdr:rowOff>18505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843" y="74385"/>
          <a:ext cx="1917094" cy="902063"/>
        </a:xfrm>
        <a:prstGeom prst="rect">
          <a:avLst/>
        </a:prstGeom>
      </xdr:spPr>
    </xdr:pic>
    <xdr:clientData/>
  </xdr:twoCellAnchor>
  <xdr:twoCellAnchor editAs="oneCell">
    <xdr:from>
      <xdr:col>9</xdr:col>
      <xdr:colOff>144782</xdr:colOff>
      <xdr:row>0</xdr:row>
      <xdr:rowOff>63500</xdr:rowOff>
    </xdr:from>
    <xdr:to>
      <xdr:col>10</xdr:col>
      <xdr:colOff>314326</xdr:colOff>
      <xdr:row>3</xdr:row>
      <xdr:rowOff>201481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40882" y="63500"/>
          <a:ext cx="1293494" cy="852356"/>
        </a:xfrm>
        <a:prstGeom prst="rect">
          <a:avLst/>
        </a:prstGeom>
      </xdr:spPr>
    </xdr:pic>
    <xdr:clientData/>
  </xdr:twoCellAnchor>
  <xdr:twoCellAnchor editAs="oneCell">
    <xdr:from>
      <xdr:col>15</xdr:col>
      <xdr:colOff>140162</xdr:colOff>
      <xdr:row>0</xdr:row>
      <xdr:rowOff>44450</xdr:rowOff>
    </xdr:from>
    <xdr:to>
      <xdr:col>20</xdr:col>
      <xdr:colOff>170516</xdr:colOff>
      <xdr:row>3</xdr:row>
      <xdr:rowOff>180975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962" y="44450"/>
          <a:ext cx="3199466" cy="850900"/>
        </a:xfrm>
        <a:prstGeom prst="rect">
          <a:avLst/>
        </a:prstGeom>
      </xdr:spPr>
    </xdr:pic>
    <xdr:clientData/>
  </xdr:twoCellAnchor>
  <xdr:twoCellAnchor editAs="oneCell">
    <xdr:from>
      <xdr:col>4</xdr:col>
      <xdr:colOff>44451</xdr:colOff>
      <xdr:row>0</xdr:row>
      <xdr:rowOff>34925</xdr:rowOff>
    </xdr:from>
    <xdr:to>
      <xdr:col>6</xdr:col>
      <xdr:colOff>86031</xdr:colOff>
      <xdr:row>3</xdr:row>
      <xdr:rowOff>217170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97276" y="34925"/>
          <a:ext cx="1022655" cy="8966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45" name="tblEntryList" displayName="tblEntryList" ref="A2:BA291" totalsRowShown="0" headerRowDxfId="1875" dataDxfId="1874" tableBorderDxfId="1873">
  <autoFilter ref="A2:BA291"/>
  <sortState ref="A3:BA153">
    <sortCondition ref="D2:D153"/>
  </sortState>
  <tableColumns count="53">
    <tableColumn id="1" name="WATCH ID" dataDxfId="1872"/>
    <tableColumn id="2" name="FULL NAME" dataDxfId="1871">
      <calculatedColumnFormula>PROPER($C3&amp;" "&amp;$D3)</calculatedColumnFormula>
    </tableColumn>
    <tableColumn id="3" name="FIRST NAME" dataDxfId="1870"/>
    <tableColumn id="4" name="LAST NAME" dataDxfId="1869"/>
    <tableColumn id="5" name="NOTES" dataDxfId="1868"/>
    <tableColumn id="6" name="M/F" dataDxfId="1867">
      <calculatedColumnFormula>IF(SUM(COUNTIF(H3,{"*Girl*","*Women*","*Woman*","*Female*","*Wo*","*Fe*","*F*"})),"F","M")</calculatedColumnFormula>
    </tableColumn>
    <tableColumn id="7" name="CAT" dataDxfId="1866">
      <calculatedColumnFormula>IFERROR(IF(ISNUMBER(SEARCH("*",N3)),N3&amp;" "&amp;F3,IF(F3="M",LOOKUP(J3,AgeCategories!$A$3:$D$13),LOOKUP(J3,AgeCategories!$A$14:$D$24))),"Invalid Age")</calculatedColumnFormula>
    </tableColumn>
    <tableColumn id="8" name="GIVEN GENDER/CAT." dataDxfId="1865"/>
    <tableColumn id="9" name="DOB" dataDxfId="1864">
      <calculatedColumnFormula>IFERROR(--TEXT(IF((--LEFT($M3,2))&lt;30,"20","19")&amp;LEFT($M3,6),"0000\-00\-00"),"ID No. needed")</calculatedColumnFormula>
    </tableColumn>
    <tableColumn id="10" name="AGE@YEAR END" dataDxfId="1863">
      <calculatedColumnFormula>IFERROR(DATEDIF($I3,Helpers!$O$2,"y"),"ID No. needed")</calculatedColumnFormula>
    </tableColumn>
    <tableColumn id="11" name="TEAM/SPONSOR" dataDxfId="1862"/>
    <tableColumn id="12" name="PHONE" dataDxfId="1861"/>
    <tableColumn id="13" name="ID No." dataDxfId="1860"/>
    <tableColumn id="14" name="SPECIAL CAT. CODE" dataDxfId="1859"/>
    <tableColumn id="22" name="REGISTERED?" dataDxfId="1858"/>
    <tableColumn id="15" name="RETURNED?" dataDxfId="1857">
      <calculatedColumnFormula>NOT(ISNA(VLOOKUP(A3,SortedDownload!A:A,1,FALSE)))</calculatedColumnFormula>
    </tableColumn>
    <tableColumn id="16" name="Start Batch" dataDxfId="1856" dataCellStyle="Good"/>
    <tableColumn id="17" name="Province" dataDxfId="1855" dataCellStyle="Excel Built-in Normal"/>
    <tableColumn id="20" name="Membership" dataDxfId="1854"/>
    <tableColumn id="18" name="EWS Number" dataDxfId="1853"/>
    <tableColumn id="19" name="Email" dataDxfId="1852"/>
    <tableColumn id="21" name="Correct Sponsor Column" dataDxfId="1851">
      <calculatedColumnFormula>IF(K3="", "-", K3)</calculatedColumnFormula>
    </tableColumn>
    <tableColumn id="25" name="Combined First &amp; Surname" dataDxfId="1850">
      <calculatedColumnFormula>B3</calculatedColumnFormula>
    </tableColumn>
    <tableColumn id="23" name="Find First name" dataDxfId="1849">
      <calculatedColumnFormula>LEFT($W3, SEARCH(" ", $W3) - 1)</calculatedColumnFormula>
    </tableColumn>
    <tableColumn id="24" name="Find Surname" dataDxfId="1848">
      <calculatedColumnFormula>RIGHT($W3, LEN($W3) - SEARCH(" ", $W3))</calculatedColumnFormula>
    </tableColumn>
    <tableColumn id="26" name="Abbreviated" dataDxfId="1847">
      <calculatedColumnFormula>CONCATENATE(LEFT($X3,1),".",$Y3)</calculatedColumnFormula>
    </tableColumn>
    <tableColumn id="27" name="Duplicate names" dataDxfId="1846">
      <calculatedColumnFormula>IF(COUNTIF($B$3:$B$291, $B3)&gt;1, "Duplicate", "")</calculatedColumnFormula>
    </tableColumn>
    <tableColumn id="28" name="Duplicate Watch" dataDxfId="1845">
      <calculatedColumnFormula>IF( COUNTIF($A$3:$A$291,$A3)&gt;1, "Duplicate", "")</calculatedColumnFormula>
    </tableColumn>
    <tableColumn id="29" name="Backup CAT. Calculator" dataDxfId="1844">
      <calculatedColumnFormula>IFERROR(IF(ISNUMBER(SEARCH("*",N3)),N3&amp;" "&amp;F3,IF(F3="M",LOOKUP(J3,AgeCategories!$A$3:$F$11),LOOKUP(J3,AgeCategories!$A$14:$F$22))),"")</calculatedColumnFormula>
    </tableColumn>
    <tableColumn id="30" name="Backup DOB Calculator" dataDxfId="1843">
      <calculatedColumnFormula>--TEXT(IF((--LEFT($M3,2))&lt;30,"20","19")&amp;LEFT($M3,6),"0000\-00\-00")</calculatedColumnFormula>
    </tableColumn>
    <tableColumn id="31" name="Backup Age @Year end" dataDxfId="1842">
      <calculatedColumnFormula>DATEDIF($I3,$V$1,"y")</calculatedColumnFormula>
    </tableColumn>
    <tableColumn id="32" name="Backup GENDER calculator" dataDxfId="1841">
      <calculatedColumnFormula>IF(SUM(COUNTIF(H3,{"*Girl*","*Women*","*Woman*","*Female*","*Wo*","*Fe*","*F*"})),"F","M")</calculatedColumnFormula>
    </tableColumn>
    <tableColumn id="33" name="Column1" dataDxfId="1840"/>
    <tableColumn id="34" name="Column2" dataDxfId="1839"/>
    <tableColumn id="35" name="Watches Available" dataDxfId="1838">
      <calculatedColumnFormula array="1">(SMALL(IF(ISERROR(MATCH($AJ$3+ROW(OFFSET($A$3, 0,0, $AJ$4-$AJ$3+1))-2, $A$3:$A649,0)), $AJ$3+ROW(OFFSET($A$2,0, 0, $AJ$4-$AJ$3+1))-1), ROW(A2)))</calculatedColumnFormula>
    </tableColumn>
    <tableColumn id="40" name="Watch Range" dataDxfId="1837">
      <calculatedColumnFormula>Helpers!AY2</calculatedColumnFormula>
    </tableColumn>
    <tableColumn id="41" name="Start Batch Choices" dataDxfId="1836"/>
    <tableColumn id="39" name="CSA Valid?" dataDxfId="1835"/>
    <tableColumn id="43" name="CSA Valid?3" dataDxfId="1834"/>
    <tableColumn id="42" name="CSA Valid?2" dataDxfId="1833"/>
    <tableColumn id="47" name="Signed in" dataDxfId="1832"/>
    <tableColumn id="48" name="Image" dataDxfId="1831"/>
    <tableColumn id="49" name="Gender Choices" dataDxfId="1830"/>
    <tableColumn id="44" name="Global Change Registrations" dataDxfId="1829"/>
    <tableColumn id="45" name="Admin" dataDxfId="1828"/>
    <tableColumn id="46" name="import order" dataDxfId="1827"/>
    <tableColumn id="36" name="ICE" dataDxfId="1826"/>
    <tableColumn id="37" name="ICE Name" dataDxfId="1825"/>
    <tableColumn id="38" name="Medical Aid Number" dataDxfId="1824"/>
    <tableColumn id="50" name="Medical Aid" dataDxfId="1823"/>
    <tableColumn id="51" name="Allergies" dataDxfId="1822"/>
    <tableColumn id="52" name="Blood Type" dataDxfId="1821"/>
    <tableColumn id="53" name="Extra Medical info" dataDxfId="18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2:N250" totalsRowShown="0" headerRowDxfId="1805" dataDxfId="1804">
  <autoFilter ref="A2:N250"/>
  <tableColumns count="14">
    <tableColumn id="1" name="Column1" dataDxfId="1803"/>
    <tableColumn id="2" name="First Name" dataDxfId="1802">
      <calculatedColumnFormula>IFERROR(IF($A3="","&lt;-- Enter Race Number",(VLOOKUP($A3,EntryList!$A$3:$H$291,3,FALSE))),"ERROR - No Name with this number in Entry List")</calculatedColumnFormula>
    </tableColumn>
    <tableColumn id="3" name="Surname" dataDxfId="1801">
      <calculatedColumnFormula>IFERROR(IF($A3="","",(VLOOKUP($A3,EntryList!$A$3:$H$291,4,FALSE))),"ERROR - No Name with this number in Master List")</calculatedColumnFormula>
    </tableColumn>
    <tableColumn id="4" name="Notes" dataDxfId="1800">
      <calculatedColumnFormula>IFERROR(IF($A3="","",(VLOOKUP($A3,EntryList!$A$3:$H$291,5,FALSE))),"ERROR - No Name with this number in Master List")</calculatedColumnFormula>
    </tableColumn>
    <tableColumn id="5" name="FName check" dataDxfId="1799"/>
    <tableColumn id="6" name="SName check" dataDxfId="1798"/>
    <tableColumn id="7" name="RaceNo check" dataDxfId="1797"/>
    <tableColumn id="8" name="Write check" dataDxfId="1796"/>
    <tableColumn id="9" name="Wipe Card" dataDxfId="1795"/>
    <tableColumn id="10" name="Block 1 Write" dataDxfId="1794"/>
    <tableColumn id="11" name="Block 2 Write" dataDxfId="1793"/>
    <tableColumn id="12" name="Block 4 Write" dataDxfId="1792"/>
    <tableColumn id="13" name="Blank2" dataDxfId="1791"/>
    <tableColumn id="14" name="Blank3" dataDxfId="179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B3:M53" totalsRowShown="0" headerRowDxfId="187" dataDxfId="186">
  <tableColumns count="12">
    <tableColumn id="2" name="Pos."/>
    <tableColumn id="3" name="Cat. Pos." dataDxfId="185">
      <calculatedColumnFormula>IFERROR(VLOOKUP($B4,OverallResults!$B$3:$Z$508,2,FALSE),"")</calculatedColumnFormula>
    </tableColumn>
    <tableColumn id="4" name="Name" dataDxfId="184">
      <calculatedColumnFormula>IFERROR(VLOOKUP($B4,OverallResults!$B$3:$Z$508,3,FALSE),"")</calculatedColumnFormula>
    </tableColumn>
    <tableColumn id="5" name="Time" dataDxfId="183">
      <calculatedColumnFormula>IFERROR(TEXT(VLOOKUP($B4,OverallResults!$B$3:$Z$489,17,FALSE),"[h]:mm:ss.0"),"")</calculatedColumnFormula>
    </tableColumn>
    <tableColumn id="6" name="SS1 Pos" dataDxfId="182">
      <calculatedColumnFormula>IFERROR(VLOOKUP($D4,SortedDownload!$B$3:$Z$489,14,FALSE),"")</calculatedColumnFormula>
    </tableColumn>
    <tableColumn id="7" name="SS2 Pos" dataDxfId="181">
      <calculatedColumnFormula>IFERROR(VLOOKUP($D4,SortedDownload!$B$3:$Z$489,15,FALSE),"")</calculatedColumnFormula>
    </tableColumn>
    <tableColumn id="8" name="SS3 Pos" dataDxfId="180">
      <calculatedColumnFormula>IFERROR(VLOOKUP($D4,SortedDownload!$B$3:$Z$489,16,FALSE),"")</calculatedColumnFormula>
    </tableColumn>
    <tableColumn id="9" name="SS4 Pos" dataDxfId="179">
      <calculatedColumnFormula>IFERROR(VLOOKUP($D4,SortedDownload!$B$3:$Z$489,17,FALSE),"")</calculatedColumnFormula>
    </tableColumn>
    <tableColumn id="10" name="SS5 Pos" dataDxfId="178">
      <calculatedColumnFormula>IFERROR(VLOOKUP($D4,SortedDownload!$B$3:$Z$489,18,FALSE),"")</calculatedColumnFormula>
    </tableColumn>
    <tableColumn id="11" name="SS6 Pos" dataDxfId="177">
      <calculatedColumnFormula>IFERROR(VLOOKUP($D4,SortedDownload!$B$3:$Z$489,19,FALSE),"")</calculatedColumnFormula>
    </tableColumn>
    <tableColumn id="12" name="SS7 Pos" dataDxfId="176">
      <calculatedColumnFormula>IFERROR(VLOOKUP($D4,SortedDownload!$B$3:$Z$489,20,FALSE),"")</calculatedColumnFormula>
    </tableColumn>
    <tableColumn id="13" name="SS8 Pos" dataDxfId="175">
      <calculatedColumnFormula>IFERROR(VLOOKUP($D4,SortedDownload!$B$3:$Z$489,21,FALSE),"")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O3:Z53" totalsRowShown="0" headerRowDxfId="174" dataDxfId="173">
  <tableColumns count="12">
    <tableColumn id="2" name="Pos."/>
    <tableColumn id="3" name="Cat. Pos." dataDxfId="172">
      <calculatedColumnFormula>IFERROR(VLOOKUP($O4,OverallResults!$B$3:$Z$508,2,FALSE),"")</calculatedColumnFormula>
    </tableColumn>
    <tableColumn id="4" name="Name">
      <calculatedColumnFormula>IFERROR(VLOOKUP($O4,OverallResults!$B$3:$Z$508,3,FALSE),"")</calculatedColumnFormula>
    </tableColumn>
    <tableColumn id="5" name="Time" dataDxfId="171">
      <calculatedColumnFormula>IFERROR(TEXT(VLOOKUP($O4,OverallResults!$B$3:$Z$489,17,FALSE),"[h]:mm:ss.0"),"")</calculatedColumnFormula>
    </tableColumn>
    <tableColumn id="6" name="SS1 Pos" dataDxfId="170">
      <calculatedColumnFormula>IFERROR(VLOOKUP($Q4,SortedDownload!$B$3:$Z$489,14,FALSE),"")</calculatedColumnFormula>
    </tableColumn>
    <tableColumn id="7" name="SS2 Pos" dataDxfId="169">
      <calculatedColumnFormula>IFERROR(VLOOKUP($Q4,SortedDownload!$B$3:$Z$489,15,FALSE),"")</calculatedColumnFormula>
    </tableColumn>
    <tableColumn id="8" name="SS3 Pos" dataDxfId="168">
      <calculatedColumnFormula>IFERROR(VLOOKUP($Q4,SortedDownload!$B$3:$Z$489,16,FALSE),"")</calculatedColumnFormula>
    </tableColumn>
    <tableColumn id="9" name="SS4 Pos" dataDxfId="167">
      <calculatedColumnFormula>IFERROR(VLOOKUP($Q4,SortedDownload!$B$3:$Z$489,17,FALSE),"")</calculatedColumnFormula>
    </tableColumn>
    <tableColumn id="10" name="SS5 Pos" dataDxfId="166">
      <calculatedColumnFormula>IFERROR(VLOOKUP($Q4,SortedDownload!$B$3:$Z$489,18,FALSE),"")</calculatedColumnFormula>
    </tableColumn>
    <tableColumn id="11" name="SS6 Pos" dataDxfId="165">
      <calculatedColumnFormula>IFERROR(VLOOKUP($Q4,SortedDownload!$B$3:$Z$489,19,FALSE),"")</calculatedColumnFormula>
    </tableColumn>
    <tableColumn id="12" name="SS7 Pos" dataDxfId="164">
      <calculatedColumnFormula>IFERROR(VLOOKUP($Q4,SortedDownload!$B$3:$Z$489,20,FALSE),"")</calculatedColumnFormula>
    </tableColumn>
    <tableColumn id="13" name="SS8 Pos" dataDxfId="163">
      <calculatedColumnFormula>IFERROR(VLOOKUP($Q4,SortedDownload!$B$3:$Z$489,21,FALSE),"")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0" name="Table811" displayName="Table811" ref="AB3:AM53" totalsRowShown="0" headerRowDxfId="162" dataDxfId="161">
  <tableColumns count="12">
    <tableColumn id="2" name="Pos."/>
    <tableColumn id="3" name="Cat. Pos." dataDxfId="160">
      <calculatedColumnFormula>IFERROR(VLOOKUP($AB4,OverallResults!$B$3:$Z$508,2,FALSE),"")</calculatedColumnFormula>
    </tableColumn>
    <tableColumn id="4" name="Name" dataDxfId="159">
      <calculatedColumnFormula>IFERROR(VLOOKUP($AB4,OverallResults!$B$3:$Z$508,3,FALSE),"")</calculatedColumnFormula>
    </tableColumn>
    <tableColumn id="5" name="Time" dataDxfId="158">
      <calculatedColumnFormula>IFERROR(TEXT(VLOOKUP($AB4,OverallResults!$B$3:$Z$489,17,FALSE),"[h]:mm:ss.0"),"")</calculatedColumnFormula>
    </tableColumn>
    <tableColumn id="6" name="SS1 Pos" dataDxfId="157">
      <calculatedColumnFormula>IFERROR(VLOOKUP($AD4,SortedDownload!$B$3:$Z$489,14,FALSE),"")</calculatedColumnFormula>
    </tableColumn>
    <tableColumn id="7" name="SS2 Pos" dataDxfId="156">
      <calculatedColumnFormula>IFERROR(VLOOKUP($AD4,SortedDownload!$B$3:$Z$489,15,FALSE),"")</calculatedColumnFormula>
    </tableColumn>
    <tableColumn id="8" name="SS3 Pos" dataDxfId="155">
      <calculatedColumnFormula>IFERROR(VLOOKUP($AD4,SortedDownload!$B$3:$Z$489,16,FALSE),"")</calculatedColumnFormula>
    </tableColumn>
    <tableColumn id="9" name="SS4 Pos" dataDxfId="154">
      <calculatedColumnFormula>IFERROR(VLOOKUP($AD4,SortedDownload!$B$3:$Z$489,17,FALSE),"")</calculatedColumnFormula>
    </tableColumn>
    <tableColumn id="10" name="SS5 Pos" dataDxfId="153">
      <calculatedColumnFormula>IFERROR(VLOOKUP($AD4,SortedDownload!$B$3:$Z$489,18,FALSE),"")</calculatedColumnFormula>
    </tableColumn>
    <tableColumn id="11" name="SS6 Pos" dataDxfId="152">
      <calculatedColumnFormula>IFERROR(VLOOKUP($AD4,SortedDownload!$B$3:$Z$489,19,FALSE),"")</calculatedColumnFormula>
    </tableColumn>
    <tableColumn id="12" name="SS7 Pos" dataDxfId="151">
      <calculatedColumnFormula>IFERROR(VLOOKUP($AD4,SortedDownload!$B$3:$Z$489,20,FALSE),"")</calculatedColumnFormula>
    </tableColumn>
    <tableColumn id="13" name="SS8 Pos" dataDxfId="150">
      <calculatedColumnFormula>IFERROR(VLOOKUP($AD4,SortedDownload!$B$3:$Z$489,21,FALSE),"")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1" name="Table81112" displayName="Table81112" ref="AO3:AZ53" totalsRowShown="0" headerRowDxfId="149" dataDxfId="148">
  <tableColumns count="12">
    <tableColumn id="2" name="Pos."/>
    <tableColumn id="3" name="Cat. Pos." dataDxfId="147">
      <calculatedColumnFormula>IFERROR(VLOOKUP($AO4,OverallResults!$B$3:$Z$508,2,FALSE),"")</calculatedColumnFormula>
    </tableColumn>
    <tableColumn id="4" name="Name" dataDxfId="146">
      <calculatedColumnFormula>IFERROR(VLOOKUP($AO4,OverallResults!$B$3:$Z$508,3,FALSE),"")</calculatedColumnFormula>
    </tableColumn>
    <tableColumn id="5" name="Time" dataDxfId="145">
      <calculatedColumnFormula>IFERROR(TEXT(VLOOKUP($AO4,OverallResults!$B$3:$Z$489,17,FALSE),"[h]:mm:ss.0"),"")</calculatedColumnFormula>
    </tableColumn>
    <tableColumn id="6" name="SS1 Pos" dataDxfId="144">
      <calculatedColumnFormula>IFERROR(VLOOKUP($AQ4,SortedDownload!$B$3:$Z$489,14,FALSE),"")</calculatedColumnFormula>
    </tableColumn>
    <tableColumn id="7" name="SS2 Pos" dataDxfId="143">
      <calculatedColumnFormula>IFERROR(VLOOKUP($AQ4,SortedDownload!$B$3:$Z$489,15,FALSE),"")</calculatedColumnFormula>
    </tableColumn>
    <tableColumn id="8" name="SS3 Pos" dataDxfId="142">
      <calculatedColumnFormula>IFERROR(VLOOKUP($AQ4,SortedDownload!$B$3:$Z$489,16,FALSE),"")</calculatedColumnFormula>
    </tableColumn>
    <tableColumn id="9" name="SS4 Pos" dataDxfId="141">
      <calculatedColumnFormula>IFERROR(VLOOKUP($AQ4,SortedDownload!$B$3:$Z$489,17,FALSE),"")</calculatedColumnFormula>
    </tableColumn>
    <tableColumn id="10" name="SS5 Pos" dataDxfId="140">
      <calculatedColumnFormula>IFERROR(VLOOKUP($AQ4,SortedDownload!$B$3:$Z$489,18,FALSE),"")</calculatedColumnFormula>
    </tableColumn>
    <tableColumn id="11" name="SS6 Pos" dataDxfId="139">
      <calculatedColumnFormula>IFERROR(VLOOKUP($AQ4,SortedDownload!$B$3:$Z$489,19,FALSE),"")</calculatedColumnFormula>
    </tableColumn>
    <tableColumn id="12" name="SS7 Pos" dataDxfId="138">
      <calculatedColumnFormula>IFERROR(VLOOKUP($AQ4,SortedDownload!$B$3:$Z$489,20,FALSE),"")</calculatedColumnFormula>
    </tableColumn>
    <tableColumn id="13" name="SS8 Pos" dataDxfId="137">
      <calculatedColumnFormula>IFERROR(VLOOKUP($AQ4,SortedDownload!$B$3:$Z$489,21,FALSE),"")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5" name="Table7316" displayName="Table7316" ref="BB3:BM53" totalsRowShown="0" headerRowDxfId="136" dataDxfId="135">
  <tableColumns count="12">
    <tableColumn id="2" name="Pos."/>
    <tableColumn id="3" name="Cat. Pos." dataDxfId="134">
      <calculatedColumnFormula>IFERROR(VLOOKUP($BB4,OverallResults!$B$3:$Z$508,2,FALSE),"")</calculatedColumnFormula>
    </tableColumn>
    <tableColumn id="4" name="Name" dataDxfId="133">
      <calculatedColumnFormula>IFERROR(VLOOKUP($BB4,OverallResults!$B$3:$Z$508,3,FALSE),"")</calculatedColumnFormula>
    </tableColumn>
    <tableColumn id="5" name="Time" dataDxfId="132">
      <calculatedColumnFormula>IFERROR(TEXT(VLOOKUP($BB4,OverallResults!$B$3:$Z$489,17,FALSE),"[h]:mm:ss.0"),"")</calculatedColumnFormula>
    </tableColumn>
    <tableColumn id="6" name="SS1 Pos" dataDxfId="131">
      <calculatedColumnFormula>IFERROR(VLOOKUP($BD4,SortedDownload!$B$3:$Z$489,14,FALSE),"")</calculatedColumnFormula>
    </tableColumn>
    <tableColumn id="7" name="SS2 Pos" dataDxfId="130">
      <calculatedColumnFormula>IFERROR(VLOOKUP($BD4,SortedDownload!$B$3:$Z$489,15,FALSE),"")</calculatedColumnFormula>
    </tableColumn>
    <tableColumn id="8" name="SS3 Pos" dataDxfId="129">
      <calculatedColumnFormula>IFERROR(VLOOKUP($BD4,SortedDownload!$B$3:$Z$489,16,FALSE),"")</calculatedColumnFormula>
    </tableColumn>
    <tableColumn id="9" name="SS4 Pos" dataDxfId="128">
      <calculatedColumnFormula>IFERROR(VLOOKUP($BD4,SortedDownload!$B$3:$Z$489,17,FALSE),"")</calculatedColumnFormula>
    </tableColumn>
    <tableColumn id="10" name="SS5 Pos" dataDxfId="127">
      <calculatedColumnFormula>IFERROR(VLOOKUP($BD4,SortedDownload!$B$3:$Z$489,18,FALSE),"")</calculatedColumnFormula>
    </tableColumn>
    <tableColumn id="11" name="SS6 Pos" dataDxfId="126">
      <calculatedColumnFormula>IFERROR(VLOOKUP($BD4,SortedDownload!$B$3:$Z$489,19,FALSE),"")</calculatedColumnFormula>
    </tableColumn>
    <tableColumn id="12" name="SS7 Pos" dataDxfId="125">
      <calculatedColumnFormula>IFERROR(VLOOKUP($BD4,SortedDownload!$B$3:$Z$489,20,FALSE),"")</calculatedColumnFormula>
    </tableColumn>
    <tableColumn id="13" name="SS8 Pos" dataDxfId="124">
      <calculatedColumnFormula>IFERROR(VLOOKUP($BD4,SortedDownload!$B$3:$Z$489,21,FALSE),"")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2" name="Table7283" displayName="Table7283" ref="BO3:BZ53" totalsRowShown="0" headerRowDxfId="123" dataDxfId="122">
  <tableColumns count="12">
    <tableColumn id="2" name="Pos."/>
    <tableColumn id="3" name="Cat. Pos.">
      <calculatedColumnFormula>IFERROR(VLOOKUP($B4,OverallResults!$B$3:$Z$508,2,FALSE),"")</calculatedColumnFormula>
    </tableColumn>
    <tableColumn id="4" name="Name">
      <calculatedColumnFormula>IFERROR(VLOOKUP($B4,OverallResults!$B$3:$Z$508,3,FALSE),"")</calculatedColumnFormula>
    </tableColumn>
    <tableColumn id="5" name="Time">
      <calculatedColumnFormula>IFERROR(TEXT(VLOOKUP($B4,OverallResults!$B$3:$Z$489,17,FALSE),"[h]:mm:ss.0"),"")</calculatedColumnFormula>
    </tableColumn>
    <tableColumn id="6" name="SS1 Pos" dataDxfId="121">
      <calculatedColumnFormula>IFERROR(VLOOKUP($D4,SortedDownload!$B$3:$Z$489,14,FALSE),"")</calculatedColumnFormula>
    </tableColumn>
    <tableColumn id="7" name="SS2 Pos" dataDxfId="120">
      <calculatedColumnFormula>IFERROR(VLOOKUP($D4,SortedDownload!$B$3:$Z$489,15,FALSE),"")</calculatedColumnFormula>
    </tableColumn>
    <tableColumn id="8" name="SS3 Pos" dataDxfId="119">
      <calculatedColumnFormula>IFERROR(VLOOKUP($D4,SortedDownload!$B$3:$Z$489,16,FALSE),"")</calculatedColumnFormula>
    </tableColumn>
    <tableColumn id="9" name="SS4 Pos" dataDxfId="118">
      <calculatedColumnFormula>IFERROR(VLOOKUP($D4,SortedDownload!$B$3:$Z$489,17,FALSE),"")</calculatedColumnFormula>
    </tableColumn>
    <tableColumn id="10" name="SS5 Pos" dataDxfId="117">
      <calculatedColumnFormula>IFERROR(VLOOKUP($BQ4,SortedDownload!$B$3:$Z$489,18,FALSE),"")</calculatedColumnFormula>
    </tableColumn>
    <tableColumn id="11" name="SS6 Pos" dataDxfId="116">
      <calculatedColumnFormula>IFERROR(VLOOKUP($BQ4,SortedDownload!$B$3:$Z$489,19,FALSE),"")</calculatedColumnFormula>
    </tableColumn>
    <tableColumn id="12" name="SS7 Pos" dataDxfId="115">
      <calculatedColumnFormula>IFERROR(VLOOKUP($BQ4,SortedDownload!$B$3:$Z$489,20,FALSE),"")</calculatedColumnFormula>
    </tableColumn>
    <tableColumn id="13" name="SS8 Pos" dataDxfId="114">
      <calculatedColumnFormula>IFERROR(VLOOKUP($BQ4,SortedDownload!$B$3:$Z$489,21,FALSE),"")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27" name="Table728" displayName="Table728" ref="B3:M53" totalsRowShown="0" headerRowDxfId="113" dataDxfId="112">
  <tableColumns count="12">
    <tableColumn id="2" name="Pos."/>
    <tableColumn id="3" name="Cat. Pos.">
      <calculatedColumnFormula>IFERROR(VLOOKUP($B4,OverallResults!$B$3:$Z$508,2,FALSE),"")</calculatedColumnFormula>
    </tableColumn>
    <tableColumn id="4" name="Name">
      <calculatedColumnFormula>IFERROR(VLOOKUP($B4,OverallResults!$B$3:$Z$508,3,FALSE),"")</calculatedColumnFormula>
    </tableColumn>
    <tableColumn id="5" name="Time">
      <calculatedColumnFormula>IFERROR(TEXT(VLOOKUP($B4,OverallResults!$B$3:$Z$489,17,FALSE),"[h]:mm:ss.0"),"")</calculatedColumnFormula>
    </tableColumn>
    <tableColumn id="6" name="SS1 Pos" dataDxfId="111">
      <calculatedColumnFormula>IFERROR(VLOOKUP($D4,SortedDownload!$B$3:$Z$489,14,FALSE),"")</calculatedColumnFormula>
    </tableColumn>
    <tableColumn id="7" name="SS2 Pos" dataDxfId="110">
      <calculatedColumnFormula>IFERROR(VLOOKUP($D4,SortedDownload!$B$3:$Z$489,15,FALSE),"")</calculatedColumnFormula>
    </tableColumn>
    <tableColumn id="8" name="SS3 Pos" dataDxfId="109">
      <calculatedColumnFormula>IFERROR(VLOOKUP($D4,SortedDownload!$B$3:$Z$489,16,FALSE),"")</calculatedColumnFormula>
    </tableColumn>
    <tableColumn id="9" name="SS4 Pos" dataDxfId="108">
      <calculatedColumnFormula>IFERROR(VLOOKUP($D4,SortedDownload!$B$3:$Z$489,17,FALSE),"")</calculatedColumnFormula>
    </tableColumn>
    <tableColumn id="10" name="SS5 Pos" dataDxfId="107">
      <calculatedColumnFormula>IFERROR(VLOOKUP($D4,SortedDownload!$B$3:$Z$489,18,FALSE),"")</calculatedColumnFormula>
    </tableColumn>
    <tableColumn id="11" name="SS6 Pos" dataDxfId="106">
      <calculatedColumnFormula>IFERROR(VLOOKUP($D4,SortedDownload!$B$3:$Z$489,19,FALSE),"")</calculatedColumnFormula>
    </tableColumn>
    <tableColumn id="12" name="SS7 Pos" dataDxfId="105">
      <calculatedColumnFormula>IFERROR(VLOOKUP($D4,SortedDownload!$B$3:$Z$489,20,FALSE),"")</calculatedColumnFormula>
    </tableColumn>
    <tableColumn id="13" name="SS8 Pos" dataDxfId="104">
      <calculatedColumnFormula>IFERROR(VLOOKUP($D4,SortedDownload!$B$3:$Z$489,21,FALSE),"")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28" name="Table829" displayName="Table829" ref="O3:Z53" totalsRowShown="0" headerRowDxfId="103" dataDxfId="102">
  <tableColumns count="12">
    <tableColumn id="2" name="Pos."/>
    <tableColumn id="3" name="Cat. Pos." dataDxfId="101">
      <calculatedColumnFormula>IFERROR(VLOOKUP($O4,OverallResults!$B$3:$Z$508,2,FALSE),"")</calculatedColumnFormula>
    </tableColumn>
    <tableColumn id="4" name="Name">
      <calculatedColumnFormula>IFERROR(VLOOKUP($O4,OverallResults!$B$3:$Z$508,3,FALSE),"")</calculatedColumnFormula>
    </tableColumn>
    <tableColumn id="5" name="Time">
      <calculatedColumnFormula>IFERROR(TEXT(VLOOKUP($O4,OverallResults!$B$3:$Z$489,17,FALSE),"[h]:mm:ss.0"),"")</calculatedColumnFormula>
    </tableColumn>
    <tableColumn id="6" name="SS1 Pos" dataDxfId="100">
      <calculatedColumnFormula>IFERROR(VLOOKUP($Q4,SortedDownload!$B$3:$Z$489,14,FALSE),"")</calculatedColumnFormula>
    </tableColumn>
    <tableColumn id="7" name="SS2 Pos" dataDxfId="99">
      <calculatedColumnFormula>IFERROR(VLOOKUP($Q4,SortedDownload!$B$3:$Z$489,15,FALSE),"")</calculatedColumnFormula>
    </tableColumn>
    <tableColumn id="8" name="SS3 Pos" dataDxfId="98">
      <calculatedColumnFormula>IFERROR(VLOOKUP($Q4,SortedDownload!$B$3:$Z$489,16,FALSE),"")</calculatedColumnFormula>
    </tableColumn>
    <tableColumn id="9" name="SS4 Pos" dataDxfId="97">
      <calculatedColumnFormula>IFERROR(VLOOKUP($Q4,SortedDownload!$B$3:$Z$489,17,FALSE),"")</calculatedColumnFormula>
    </tableColumn>
    <tableColumn id="10" name="SS5 Pos" dataDxfId="96">
      <calculatedColumnFormula>IFERROR(VLOOKUP($Q4,SortedDownload!$B$3:$Z$489,18,FALSE),"")</calculatedColumnFormula>
    </tableColumn>
    <tableColumn id="11" name="SS6 Pos" dataDxfId="95">
      <calculatedColumnFormula>IFERROR(VLOOKUP($Q4,SortedDownload!$B$3:$Z$489,19,FALSE),"")</calculatedColumnFormula>
    </tableColumn>
    <tableColumn id="12" name="SS7 Pos" dataDxfId="94">
      <calculatedColumnFormula>IFERROR(VLOOKUP($Q4,SortedDownload!$B$3:$Z$489,20,FALSE),"")</calculatedColumnFormula>
    </tableColumn>
    <tableColumn id="13" name="SS8 Pos" dataDxfId="93">
      <calculatedColumnFormula>IFERROR(VLOOKUP($Q4,SortedDownload!$B$3:$Z$489,21,FALSE),"")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9" name="Table81130" displayName="Table81130" ref="AB3:AM53" totalsRowShown="0" headerRowDxfId="92" dataDxfId="91">
  <tableColumns count="12">
    <tableColumn id="2" name="Pos."/>
    <tableColumn id="3" name="Cat. Pos." dataDxfId="90">
      <calculatedColumnFormula>IFERROR(VLOOKUP($AB4,OverallResults!$B$3:$Z$508,2,FALSE),"")</calculatedColumnFormula>
    </tableColumn>
    <tableColumn id="4" name="Name" dataDxfId="89">
      <calculatedColumnFormula>IFERROR(VLOOKUP($AB4,OverallResults!$B$3:$Z$508,3,FALSE),"")</calculatedColumnFormula>
    </tableColumn>
    <tableColumn id="5" name="Time" dataDxfId="88">
      <calculatedColumnFormula>IFERROR(TEXT(VLOOKUP($AB4,OverallResults!$B$3:$Z$489,17,FALSE),"[h]:mm:ss.0"),"")</calculatedColumnFormula>
    </tableColumn>
    <tableColumn id="6" name="SS1 Pos" dataDxfId="87">
      <calculatedColumnFormula>IFERROR(VLOOKUP($AD4,SortedDownload!$B$3:$Z$489,14,FALSE),"")</calculatedColumnFormula>
    </tableColumn>
    <tableColumn id="7" name="SS2 Pos" dataDxfId="86">
      <calculatedColumnFormula>IFERROR(VLOOKUP($AD4,SortedDownload!$B$3:$Z$489,15,FALSE),"")</calculatedColumnFormula>
    </tableColumn>
    <tableColumn id="8" name="SS3 Pos" dataDxfId="85">
      <calculatedColumnFormula>IFERROR(VLOOKUP($AD4,SortedDownload!$B$3:$Z$489,16,FALSE),"")</calculatedColumnFormula>
    </tableColumn>
    <tableColumn id="9" name="SS4 Pos" dataDxfId="84">
      <calculatedColumnFormula>IFERROR(VLOOKUP($AD4,SortedDownload!$B$3:$Z$489,17,FALSE),"")</calculatedColumnFormula>
    </tableColumn>
    <tableColumn id="10" name="SS5 Pos" dataDxfId="83">
      <calculatedColumnFormula>IFERROR(VLOOKUP($AD4,SortedDownload!$B$3:$Z$489,18,FALSE),"")</calculatedColumnFormula>
    </tableColumn>
    <tableColumn id="11" name="SS6 Pos" dataDxfId="82">
      <calculatedColumnFormula>IFERROR(VLOOKUP($AD4,SortedDownload!$B$3:$Z$489,19,FALSE),"")</calculatedColumnFormula>
    </tableColumn>
    <tableColumn id="12" name="SS7 Pos" dataDxfId="81">
      <calculatedColumnFormula>IFERROR(VLOOKUP($AD4,SortedDownload!$B$3:$Z$489,20,FALSE),"")</calculatedColumnFormula>
    </tableColumn>
    <tableColumn id="13" name="SS8 Pos" dataDxfId="80">
      <calculatedColumnFormula>IFERROR(VLOOKUP($AD4,SortedDownload!$B$3:$Z$489,21,FALSE),"")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30" name="Table8111231" displayName="Table8111231" ref="AO3:AZ53" totalsRowShown="0" headerRowDxfId="79" dataDxfId="78">
  <tableColumns count="12">
    <tableColumn id="2" name="Pos."/>
    <tableColumn id="3" name="Cat. Pos." dataDxfId="77">
      <calculatedColumnFormula>IFERROR(VLOOKUP(#REF!,OverallResults!$A$3:$Z$489,3,FALSE),"")</calculatedColumnFormula>
    </tableColumn>
    <tableColumn id="4" name="Name" dataDxfId="76">
      <calculatedColumnFormula>IFERROR(VLOOKUP(#REF!,EntryList!$A$3:$Z$291,26,FALSE),"")</calculatedColumnFormula>
    </tableColumn>
    <tableColumn id="5" name="Time" dataDxfId="75">
      <calculatedColumnFormula>IFERROR(TEXT(VLOOKUP(#REF!,SortedDownload!$A$3:$Z$489,14,FALSE),"[h]:mm:ss.0"),"")</calculatedColumnFormula>
    </tableColumn>
    <tableColumn id="6" name="SS1 Pos" dataDxfId="74">
      <calculatedColumnFormula>IFERROR(VLOOKUP(#REF!,SortedDownload!$A$3:$Z$489,15,FALSE),"")</calculatedColumnFormula>
    </tableColumn>
    <tableColumn id="7" name="SS2 Pos" dataDxfId="73">
      <calculatedColumnFormula>IFERROR(VLOOKUP(#REF!,SortedDownload!$A$3:$Z$489,16,FALSE),"")</calculatedColumnFormula>
    </tableColumn>
    <tableColumn id="8" name="SS3 Pos" dataDxfId="72">
      <calculatedColumnFormula>IFERROR(VLOOKUP(#REF!,SortedDownload!$A$3:$Z$489,17,FALSE),"")</calculatedColumnFormula>
    </tableColumn>
    <tableColumn id="9" name="SS4 Pos" dataDxfId="71">
      <calculatedColumnFormula>IFERROR(VLOOKUP(#REF!,SortedDownload!$A$3:$Z$489,18,FALSE),"")</calculatedColumnFormula>
    </tableColumn>
    <tableColumn id="10" name="SS5 Pos" dataDxfId="70">
      <calculatedColumnFormula>IFERROR(VLOOKUP(#REF!,SortedDownload!$A$3:$Z$489,19,FALSE),"")</calculatedColumnFormula>
    </tableColumn>
    <tableColumn id="11" name="SS6 Pos" dataDxfId="69">
      <calculatedColumnFormula>IFERROR(VLOOKUP(#REF!,SortedDownload!$A$3:$Z$489,20,FALSE),"")</calculatedColumnFormula>
    </tableColumn>
    <tableColumn id="12" name="SS7 Pos" dataDxfId="68">
      <calculatedColumnFormula>IFERROR(VLOOKUP(#REF!,SortedDownload!$A$3:$Z$489,21,FALSE),"")</calculatedColumnFormula>
    </tableColumn>
    <tableColumn id="13" name="SS8 Pos" dataDxfId="67">
      <calculatedColumnFormula>IFERROR(VLOOKUP(#REF!,SortedDownload!$A$3:$Z$489,22,FALSE),"")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31" name="Table731632" displayName="Table731632" ref="BB3:BM53" totalsRowShown="0" headerRowDxfId="66" dataDxfId="65">
  <tableColumns count="12">
    <tableColumn id="2" name="Pos."/>
    <tableColumn id="3" name="Cat. Pos." dataDxfId="64">
      <calculatedColumnFormula>IFERROR(VLOOKUP(#REF!,OverallResults!$A$3:$Z$489,3,FALSE),"")</calculatedColumnFormula>
    </tableColumn>
    <tableColumn id="4" name="Name" dataDxfId="63">
      <calculatedColumnFormula>IFERROR(VLOOKUP(#REF!,EntryList!$A$3:$Z$291,26,FALSE),"")</calculatedColumnFormula>
    </tableColumn>
    <tableColumn id="5" name="Time" dataDxfId="62">
      <calculatedColumnFormula>IFERROR(TEXT(VLOOKUP(#REF!,SortedDownload!$A$3:$Z$489,14,FALSE),"[h]:mm:ss.0"),"")</calculatedColumnFormula>
    </tableColumn>
    <tableColumn id="6" name="SS1 Pos" dataDxfId="61">
      <calculatedColumnFormula>IFERROR(VLOOKUP(#REF!,SortedDownload!$A$3:$Z$489,15,FALSE),"")</calculatedColumnFormula>
    </tableColumn>
    <tableColumn id="7" name="SS2 Pos" dataDxfId="60">
      <calculatedColumnFormula>IFERROR(VLOOKUP(#REF!,SortedDownload!$A$3:$Z$489,16,FALSE),"")</calculatedColumnFormula>
    </tableColumn>
    <tableColumn id="8" name="SS3 Pos" dataDxfId="59">
      <calculatedColumnFormula>IFERROR(VLOOKUP(#REF!,SortedDownload!$A$3:$Z$489,17,FALSE),"")</calculatedColumnFormula>
    </tableColumn>
    <tableColumn id="9" name="SS4 Pos" dataDxfId="58">
      <calculatedColumnFormula>IFERROR(VLOOKUP(#REF!,SortedDownload!$A$3:$Z$489,18,FALSE),"")</calculatedColumnFormula>
    </tableColumn>
    <tableColumn id="10" name="SS5 Pos" dataDxfId="57">
      <calculatedColumnFormula>IFERROR(VLOOKUP(#REF!,SortedDownload!$A$3:$Z$489,19,FALSE),"")</calculatedColumnFormula>
    </tableColumn>
    <tableColumn id="11" name="SS6 Pos" dataDxfId="56">
      <calculatedColumnFormula>IFERROR(VLOOKUP(#REF!,SortedDownload!$A$3:$Z$489,20,FALSE),"")</calculatedColumnFormula>
    </tableColumn>
    <tableColumn id="12" name="SS7 Pos" dataDxfId="55">
      <calculatedColumnFormula>IFERROR(VLOOKUP(#REF!,SortedDownload!$A$3:$Z$489,21,FALSE),"")</calculatedColumnFormula>
    </tableColumn>
    <tableColumn id="13" name="SS8 Pos" dataDxfId="54">
      <calculatedColumnFormula>IFERROR(VLOOKUP(#REF!,SortedDownload!$A$3:$Z$489,22,FALSE),"")</calculatedColumnFormula>
    </tableColumn>
  </tableColumns>
  <tableStyleInfo name="TableStyleMedium23" showFirstColumn="0" showLastColumn="0" showRowStripes="1" showColumnStripes="0"/>
</table>
</file>

<file path=xl/tables/table14.xml><?xml version="1.0" encoding="utf-8"?>
<table xmlns="http://schemas.openxmlformats.org/spreadsheetml/2006/main" id="93" name="tblPrintableResults" displayName="tblPrintableResults" ref="B5:V505" totalsRowShown="0" headerRowDxfId="53" dataDxfId="52">
  <autoFilter ref="B5:V505"/>
  <tableColumns count="21">
    <tableColumn id="2" name="Position" dataDxfId="51">
      <calculatedColumnFormula>IF(#REF!="","",ROW()-5)</calculatedColumnFormula>
    </tableColumn>
    <tableColumn id="3" name="Cat. Pos." dataDxfId="50">
      <calculatedColumnFormula>IFERROR(VLOOKUP($B6,OverallResults!$B$3:$Z$508,2,FALSE),"")</calculatedColumnFormula>
    </tableColumn>
    <tableColumn id="5" name="Name" dataDxfId="49">
      <calculatedColumnFormula>IFERROR(VLOOKUP($B6,OverallResults!$B$3:$Z$508,3,FALSE),"")</calculatedColumnFormula>
    </tableColumn>
    <tableColumn id="4" name="Pnts" dataDxfId="48">
      <calculatedColumnFormula>IFERROR(VLOOKUP(C6,SeriesPoints!$A$2:$B$51,2,FALSE),"")</calculatedColumnFormula>
    </tableColumn>
    <tableColumn id="6" name="Team" dataDxfId="47">
      <calculatedColumnFormula>IFERROR(VLOOKUP($D6,EntryList!$B$3:$V$291,21,FALSE),"")</calculatedColumnFormula>
    </tableColumn>
    <tableColumn id="7" name="Gender" dataDxfId="46">
      <calculatedColumnFormula>IFERROR(VLOOKUP($D6,EntryList!$B$3:$N$596,5,FALSE),"")</calculatedColumnFormula>
    </tableColumn>
    <tableColumn id="8" name="Cat." dataDxfId="45">
      <calculatedColumnFormula>IFERROR(VLOOKUP($D6,EntryList!$B$3:$N$596,6,FALSE),"")</calculatedColumnFormula>
    </tableColumn>
    <tableColumn id="9" name="Laps" dataDxfId="44">
      <calculatedColumnFormula>IFERROR(VLOOKUP($B6,OverallResults!$B$3:$Z$492,8,FALSE),"")</calculatedColumnFormula>
    </tableColumn>
    <tableColumn id="10" name="Stage 1" dataDxfId="43">
      <calculatedColumnFormula>IFERROR(VLOOKUP($B6,OverallResults!$B$3:$BB$492,9,FALSE),"")</calculatedColumnFormula>
    </tableColumn>
    <tableColumn id="11" name="Stage 2" dataDxfId="42">
      <calculatedColumnFormula>IFERROR(VLOOKUP($B6,OverallResults!$B$3:$BB$492,10,FALSE),"")</calculatedColumnFormula>
    </tableColumn>
    <tableColumn id="12" name="Stage 3" dataDxfId="41">
      <calculatedColumnFormula>IFERROR(VLOOKUP($B6,OverallResults!$B$3:$BB$492,11,FALSE),"")</calculatedColumnFormula>
    </tableColumn>
    <tableColumn id="14" name="Stage 4" dataDxfId="40">
      <calculatedColumnFormula>IFERROR(VLOOKUP($B6,OverallResults!$B$3:$BB$492,12,FALSE),"")</calculatedColumnFormula>
    </tableColumn>
    <tableColumn id="15" name="Stage 5" dataDxfId="39">
      <calculatedColumnFormula>IFERROR(VLOOKUP($B6,OverallResults!$B$3:$BB$492,13,FALSE),"")</calculatedColumnFormula>
    </tableColumn>
    <tableColumn id="16" name="Stage 6" dataDxfId="38">
      <calculatedColumnFormula>IFERROR(VLOOKUP($B6,OverallResults!$B$3:$BB$492,14,FALSE),"")</calculatedColumnFormula>
    </tableColumn>
    <tableColumn id="17" name="Stage 7" dataDxfId="37">
      <calculatedColumnFormula>IFERROR(VLOOKUP($B6,OverallResults!$B$3:$BB$492,15,FALSE),"")</calculatedColumnFormula>
    </tableColumn>
    <tableColumn id="19" name="Stage 8" dataDxfId="36">
      <calculatedColumnFormula>IFERROR(VLOOKUP($B6,OverallResults!$B$3:$BB$492,16,FALSE),"")</calculatedColumnFormula>
    </tableColumn>
    <tableColumn id="20" name="Total Time" dataDxfId="35">
      <calculatedColumnFormula>IFERROR(VLOOKUP($B6,OverallResults!$B$3:$BB$492,17,FALSE),"")</calculatedColumnFormula>
    </tableColumn>
    <tableColumn id="13" name="Rider Gap" dataDxfId="34">
      <calculatedColumnFormula>R6-R5</calculatedColumnFormula>
    </tableColumn>
    <tableColumn id="18" name="Gap to 1st" dataDxfId="33">
      <calculatedColumnFormula>R6-R$6</calculatedColumnFormula>
    </tableColumn>
    <tableColumn id="1" name="CSA ID" dataDxfId="32">
      <calculatedColumnFormula>IFERROR(VLOOKUP($D6,EntryList!$B$3:$S$291,18,FALSE),"")</calculatedColumnFormula>
    </tableColumn>
    <tableColumn id="22" name="PROVINCE" dataDxfId="31">
      <calculatedColumnFormula>IFERROR(VLOOKUP($D6,EntryList!$B$3:$S$291,17,FALSE),"")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" name="Table932" displayName="Table932" ref="A5:AC321" totalsRowShown="0" headerRowDxfId="30" dataDxfId="29">
  <sortState ref="A6:AC323">
    <sortCondition descending="1" ref="I6:I155"/>
    <sortCondition ref="Z6:Z155"/>
  </sortState>
  <tableColumns count="29">
    <tableColumn id="1" name="ID" dataDxfId="28">
      <calculatedColumnFormula>IF(SortedDownload!#REF! &lt; 1,"",SortedDownload!#REF!)</calculatedColumnFormula>
    </tableColumn>
    <tableColumn id="2" name="Position" dataDxfId="27">
      <calculatedColumnFormula>IF(A6="","",ROW()-5)</calculatedColumnFormula>
    </tableColumn>
    <tableColumn id="3" name="Cat. Pos." dataDxfId="26">
      <calculatedColumnFormula>IFERROR(VLOOKUP($A6,CategoryResults!$A$3:$X$252,3,FALSE),"")</calculatedColumnFormula>
    </tableColumn>
    <tableColumn id="5" name="Name" dataDxfId="25">
      <calculatedColumnFormula>IFERROR(VLOOKUP($A6,EntryList!$A$3:$N$291,2,FALSE),"")</calculatedColumnFormula>
    </tableColumn>
    <tableColumn id="4" name="Pnts" dataDxfId="24">
      <calculatedColumnFormula>IFERROR(VLOOKUP(C6,SeriesPoints!$A$2:$B$51,2,FALSE),"")</calculatedColumnFormula>
    </tableColumn>
    <tableColumn id="6" name="Team" dataDxfId="23">
      <calculatedColumnFormula>IFERROR(VLOOKUP($A6,EntryList!$A$3:$V$291,22,FALSE),"")</calculatedColumnFormula>
    </tableColumn>
    <tableColumn id="7" name="Gender" dataDxfId="22">
      <calculatedColumnFormula>IFERROR(VLOOKUP($A6,EntryList!$A$3:$N$291,6,FALSE),"")</calculatedColumnFormula>
    </tableColumn>
    <tableColumn id="8" name="Cat." dataDxfId="21">
      <calculatedColumnFormula>IFERROR(VLOOKUP($A6,EntryList!$A$3:$N$291,7,FALSE),"")</calculatedColumnFormula>
    </tableColumn>
    <tableColumn id="9" name="No of Tags" dataDxfId="20">
      <calculatedColumnFormula>COUNTIF(K6:X6,"&lt;&gt;"&amp;"-")</calculatedColumnFormula>
    </tableColumn>
    <tableColumn id="10" name="Start Time" dataDxfId="19">
      <calculatedColumnFormula>IFERROR(VLOOKUP($A6,SortedDownload!$A$3:$BB$219,31,FALSE)/86400000,"")</calculatedColumnFormula>
    </tableColumn>
    <tableColumn id="11" name="Tag 1" dataDxfId="18">
      <calculatedColumnFormula>IFERROR(IF(VLOOKUP($A6,SortedDownload!$A$3:$BB$219,32,FALSE)=0,"-",VLOOKUP($A6,SortedDownload!$A$3:$BB$219,32,FALSE)/86400000),"-")</calculatedColumnFormula>
    </tableColumn>
    <tableColumn id="12" name="Tag2" dataDxfId="17">
      <calculatedColumnFormula>IFERROR(IF(VLOOKUP($A6,SortedDownload!$A$3:$BB$219,33,FALSE)=0,"-",VLOOKUP($A6,SortedDownload!$A$3:$BB$219,33,FALSE)/86400000),"-")</calculatedColumnFormula>
    </tableColumn>
    <tableColumn id="14" name="Tag 3" dataDxfId="16">
      <calculatedColumnFormula>IFERROR(IF(VLOOKUP($A6,SortedDownload!$A$3:$BB$219,34,FALSE)=0,"-",VLOOKUP($A6,SortedDownload!$A$3:$BB$219,34,FALSE)/86400000),"-")</calculatedColumnFormula>
    </tableColumn>
    <tableColumn id="15" name="Tag 4" dataDxfId="15">
      <calculatedColumnFormula>IFERROR(IF(VLOOKUP($A6,SortedDownload!$A$3:$BB$219,35,FALSE)=0,"-",VLOOKUP($A6,SortedDownload!$A$3:$BB$219,35,FALSE)/86400000),"-")</calculatedColumnFormula>
    </tableColumn>
    <tableColumn id="16" name="Tag 5" dataDxfId="14">
      <calculatedColumnFormula>IFERROR(IF(VLOOKUP($A6,SortedDownload!$A$3:$BB$219,36,FALSE)=0,"-",VLOOKUP($A6,SortedDownload!$A$3:$BB$219,36,FALSE)/86400000),"-")</calculatedColumnFormula>
    </tableColumn>
    <tableColumn id="17" name="Tag 6" dataDxfId="13">
      <calculatedColumnFormula>IFERROR(IF(VLOOKUP($A6,SortedDownload!$A$3:$BB$219,37,FALSE)=0,"-",VLOOKUP($A6,SortedDownload!$A$3:$BB$219,37,FALSE)/86400000),"-")</calculatedColumnFormula>
    </tableColumn>
    <tableColumn id="22" name="Tag 7" dataDxfId="12">
      <calculatedColumnFormula>IFERROR(IF(VLOOKUP($A6,SortedDownload!$A$3:$BB$219,38,FALSE)=0,"-",VLOOKUP($A6,SortedDownload!$A$3:$BB$219,38,FALSE)/86400000),"-")</calculatedColumnFormula>
    </tableColumn>
    <tableColumn id="23" name="Tag 8" dataDxfId="11">
      <calculatedColumnFormula>IFERROR(IF(VLOOKUP($A6,SortedDownload!$A$3:$BB$219,39,FALSE)=0,"-",VLOOKUP($A6,SortedDownload!$A$3:$BB$219,39,FALSE)/86400000),"-")</calculatedColumnFormula>
    </tableColumn>
    <tableColumn id="24" name="Tag 9" dataDxfId="10">
      <calculatedColumnFormula>IFERROR(IF(VLOOKUP($A6,SortedDownload!$A$3:$BB$219,40,FALSE)=0,"-",VLOOKUP($A6,SortedDownload!$A$3:$BB$219,40,FALSE)/86400000),"-")</calculatedColumnFormula>
    </tableColumn>
    <tableColumn id="25" name="Tag 10" dataDxfId="9">
      <calculatedColumnFormula>IFERROR(IF(VLOOKUP($A6,SortedDownload!$A$3:$BB$219,41,FALSE)=0,"-",VLOOKUP($A6,SortedDownload!$A$3:$BB$219,41,FALSE)/86400000),"-")</calculatedColumnFormula>
    </tableColumn>
    <tableColumn id="26" name="Tag 11" dataDxfId="8">
      <calculatedColumnFormula>IFERROR(IF(VLOOKUP($A6,SortedDownload!$A$3:$BB$219,42,FALSE)=0,"-",VLOOKUP($A6,SortedDownload!$A$3:$BB$219,42,FALSE)/86400000),"-")</calculatedColumnFormula>
    </tableColumn>
    <tableColumn id="28" name="Tag 12" dataDxfId="7">
      <calculatedColumnFormula>IFERROR(IF(VLOOKUP($A6,SortedDownload!$A$3:$BB$219,43,FALSE)=0,"-",VLOOKUP($A6,SortedDownload!$A$3:$BB$219,43,FALSE)/86400000),"-")</calculatedColumnFormula>
    </tableColumn>
    <tableColumn id="31" name="Tag 13" dataDxfId="6">
      <calculatedColumnFormula>IFERROR(IF(VLOOKUP($A6,SortedDownload!$A$3:$BB$219,44,FALSE)=0,"-",VLOOKUP($A6,SortedDownload!$A$3:$BB$219,44,FALSE)/86400000),"-")</calculatedColumnFormula>
    </tableColumn>
    <tableColumn id="30" name="Tag 14" dataDxfId="5">
      <calculatedColumnFormula>IFERROR(IF(VLOOKUP($A6,SortedDownload!$A$3:$BB$219,45,FALSE)=0,"-",VLOOKUP($A6,SortedDownload!$A$3:$BB$219,45,FALSE)/86400000),"-")</calculatedColumnFormula>
    </tableColumn>
    <tableColumn id="19" name="End Time" dataDxfId="4">
      <calculatedColumnFormula>IFERROR(VLOOKUP($A6,SortedDownload!$A$3:$BB$219,46,FALSE)/86400000,"")</calculatedColumnFormula>
    </tableColumn>
    <tableColumn id="20" name="Total Time" dataDxfId="3">
      <calculatedColumnFormula>IFERROR(Table932[[#This Row],[End Time]]-Table932[[#This Row],[Start Time]],"")</calculatedColumnFormula>
    </tableColumn>
    <tableColumn id="21" name="Column1" dataDxfId="2"/>
    <tableColumn id="13" name="Rider Gap" dataDxfId="1">
      <calculatedColumnFormula>Z6-Z5</calculatedColumnFormula>
    </tableColumn>
    <tableColumn id="18" name="Gap to 1st" dataDxfId="0">
      <calculatedColumnFormula>Z6-Z$6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info@irideafrica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watch?v=17OzYHcupLE&amp;t=1s" TargetMode="External"/><Relationship Id="rId1" Type="http://schemas.openxmlformats.org/officeDocument/2006/relationships/hyperlink" Target="https://www.google.com/maps/search/?api=1&amp;query=-33.967243900769,18.933290363477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5"/>
  <sheetViews>
    <sheetView tabSelected="1" topLeftCell="A43" workbookViewId="0">
      <selection activeCell="A9" sqref="A9"/>
    </sheetView>
  </sheetViews>
  <sheetFormatPr defaultRowHeight="12.75"/>
  <cols>
    <col min="1" max="1" width="52.5703125" customWidth="1"/>
    <col min="4" max="4" width="74.5703125" customWidth="1"/>
  </cols>
  <sheetData>
    <row r="1" spans="1:4">
      <c r="A1" s="3" t="s">
        <v>239</v>
      </c>
      <c r="D1" s="211" t="s">
        <v>263</v>
      </c>
    </row>
    <row r="2" spans="1:4">
      <c r="A2" s="117" t="s">
        <v>253</v>
      </c>
      <c r="D2" s="212" t="s">
        <v>266</v>
      </c>
    </row>
    <row r="3" spans="1:4">
      <c r="A3" s="19" t="s">
        <v>169</v>
      </c>
      <c r="D3" s="212" t="s">
        <v>267</v>
      </c>
    </row>
    <row r="4" spans="1:4">
      <c r="A4" s="19" t="s">
        <v>170</v>
      </c>
      <c r="D4" s="212"/>
    </row>
    <row r="5" spans="1:4">
      <c r="A5" s="19" t="s">
        <v>182</v>
      </c>
      <c r="D5" s="212" t="s">
        <v>268</v>
      </c>
    </row>
    <row r="6" spans="1:4">
      <c r="D6" s="213" t="s">
        <v>172</v>
      </c>
    </row>
    <row r="7" spans="1:4">
      <c r="A7" s="2" t="s">
        <v>0</v>
      </c>
      <c r="D7" s="213" t="s">
        <v>173</v>
      </c>
    </row>
    <row r="8" spans="1:4" ht="38.25">
      <c r="A8" s="18" t="s">
        <v>65</v>
      </c>
      <c r="D8" s="213" t="s">
        <v>175</v>
      </c>
    </row>
    <row r="9" spans="1:4" ht="38.25">
      <c r="A9" s="18" t="s">
        <v>75</v>
      </c>
      <c r="D9" s="213" t="s">
        <v>176</v>
      </c>
    </row>
    <row r="10" spans="1:4" ht="25.5">
      <c r="A10" s="18" t="s">
        <v>66</v>
      </c>
      <c r="D10" s="213" t="s">
        <v>177</v>
      </c>
    </row>
    <row r="11" spans="1:4" ht="25.5">
      <c r="A11" s="18" t="s">
        <v>76</v>
      </c>
      <c r="D11" s="257" t="s">
        <v>277</v>
      </c>
    </row>
    <row r="12" spans="1:4" ht="25.5">
      <c r="A12" s="18" t="s">
        <v>77</v>
      </c>
      <c r="D12" s="213" t="s">
        <v>215</v>
      </c>
    </row>
    <row r="13" spans="1:4" ht="25.5">
      <c r="A13" s="18" t="s">
        <v>78</v>
      </c>
      <c r="D13" s="213" t="s">
        <v>214</v>
      </c>
    </row>
    <row r="14" spans="1:4">
      <c r="A14" s="1"/>
      <c r="D14" s="213" t="s">
        <v>216</v>
      </c>
    </row>
    <row r="15" spans="1:4">
      <c r="A15" s="2" t="s">
        <v>1</v>
      </c>
      <c r="D15" s="213" t="s">
        <v>224</v>
      </c>
    </row>
    <row r="16" spans="1:4" ht="25.5">
      <c r="A16" s="1" t="s">
        <v>6</v>
      </c>
      <c r="D16" s="206" t="s">
        <v>240</v>
      </c>
    </row>
    <row r="17" spans="1:4" ht="25.5">
      <c r="A17" s="1" t="s">
        <v>8</v>
      </c>
      <c r="D17" s="206" t="s">
        <v>257</v>
      </c>
    </row>
    <row r="18" spans="1:4">
      <c r="A18" s="18" t="s">
        <v>3</v>
      </c>
      <c r="D18" s="207"/>
    </row>
    <row r="19" spans="1:4">
      <c r="A19" s="2" t="s">
        <v>2</v>
      </c>
      <c r="D19" s="207"/>
    </row>
    <row r="20" spans="1:4">
      <c r="A20" s="214" t="s">
        <v>3</v>
      </c>
      <c r="D20" s="207"/>
    </row>
    <row r="21" spans="1:4" ht="25.5">
      <c r="A21" s="214" t="s">
        <v>7</v>
      </c>
      <c r="D21" s="211" t="s">
        <v>272</v>
      </c>
    </row>
    <row r="22" spans="1:4" ht="25.5">
      <c r="A22" s="214"/>
      <c r="D22" s="217" t="s">
        <v>264</v>
      </c>
    </row>
    <row r="23" spans="1:4">
      <c r="A23" s="2" t="s">
        <v>92</v>
      </c>
      <c r="D23" s="212" t="s">
        <v>265</v>
      </c>
    </row>
    <row r="24" spans="1:4" ht="25.5">
      <c r="A24" s="18" t="s">
        <v>100</v>
      </c>
      <c r="D24" s="217" t="s">
        <v>269</v>
      </c>
    </row>
    <row r="25" spans="1:4" ht="25.5">
      <c r="A25" s="18" t="s">
        <v>73</v>
      </c>
      <c r="D25" s="213" t="s">
        <v>181</v>
      </c>
    </row>
    <row r="26" spans="1:4">
      <c r="A26" s="18" t="s">
        <v>79</v>
      </c>
      <c r="D26" s="213" t="s">
        <v>179</v>
      </c>
    </row>
    <row r="27" spans="1:4" ht="25.5">
      <c r="A27" s="18" t="s">
        <v>80</v>
      </c>
      <c r="D27" s="213" t="s">
        <v>178</v>
      </c>
    </row>
    <row r="28" spans="1:4" ht="38.25">
      <c r="A28" s="215" t="s">
        <v>74</v>
      </c>
      <c r="D28" s="213" t="s">
        <v>200</v>
      </c>
    </row>
    <row r="29" spans="1:4">
      <c r="A29" s="215" t="s">
        <v>71</v>
      </c>
      <c r="D29" s="213" t="s">
        <v>201</v>
      </c>
    </row>
    <row r="30" spans="1:4">
      <c r="A30" s="18"/>
      <c r="D30" s="213" t="s">
        <v>212</v>
      </c>
    </row>
    <row r="31" spans="1:4">
      <c r="A31" s="2" t="s">
        <v>81</v>
      </c>
      <c r="D31" s="213" t="s">
        <v>223</v>
      </c>
    </row>
    <row r="32" spans="1:4" ht="25.5">
      <c r="A32" s="18" t="s">
        <v>539</v>
      </c>
      <c r="D32" s="213" t="s">
        <v>258</v>
      </c>
    </row>
    <row r="33" spans="1:4">
      <c r="A33" s="18" t="s">
        <v>67</v>
      </c>
      <c r="D33" s="212" t="s">
        <v>174</v>
      </c>
    </row>
    <row r="34" spans="1:4">
      <c r="A34" s="18" t="s">
        <v>68</v>
      </c>
      <c r="D34" s="213" t="s">
        <v>271</v>
      </c>
    </row>
    <row r="35" spans="1:4" ht="25.5">
      <c r="A35" s="18" t="s">
        <v>82</v>
      </c>
      <c r="D35" s="213" t="s">
        <v>329</v>
      </c>
    </row>
    <row r="36" spans="1:4">
      <c r="A36" s="18"/>
      <c r="D36" s="213" t="s">
        <v>330</v>
      </c>
    </row>
    <row r="37" spans="1:4">
      <c r="A37" s="292" t="s">
        <v>83</v>
      </c>
      <c r="D37" s="213" t="s">
        <v>318</v>
      </c>
    </row>
    <row r="38" spans="1:4">
      <c r="A38" s="291" t="s">
        <v>84</v>
      </c>
      <c r="D38" s="213" t="s">
        <v>341</v>
      </c>
    </row>
    <row r="39" spans="1:4" ht="25.5">
      <c r="A39" s="291" t="s">
        <v>85</v>
      </c>
      <c r="D39" s="213" t="s">
        <v>342</v>
      </c>
    </row>
    <row r="40" spans="1:4" ht="25.5">
      <c r="A40" s="291" t="s">
        <v>86</v>
      </c>
    </row>
    <row r="41" spans="1:4" ht="38.25">
      <c r="A41" s="291" t="s">
        <v>89</v>
      </c>
    </row>
    <row r="42" spans="1:4" ht="38.25">
      <c r="A42" s="291" t="s">
        <v>101</v>
      </c>
    </row>
    <row r="43" spans="1:4" ht="51">
      <c r="A43" s="291" t="s">
        <v>102</v>
      </c>
    </row>
    <row r="44" spans="1:4">
      <c r="A44" s="18"/>
    </row>
    <row r="45" spans="1:4">
      <c r="A45" s="2" t="s">
        <v>87</v>
      </c>
    </row>
    <row r="46" spans="1:4">
      <c r="A46" s="18" t="s">
        <v>88</v>
      </c>
    </row>
    <row r="47" spans="1:4" ht="25.5">
      <c r="A47" s="18" t="s">
        <v>86</v>
      </c>
    </row>
    <row r="48" spans="1:4" ht="25.5">
      <c r="A48" s="18" t="s">
        <v>90</v>
      </c>
    </row>
    <row r="49" spans="1:1" ht="25.5">
      <c r="A49" s="18" t="s">
        <v>538</v>
      </c>
    </row>
    <row r="50" spans="1:1" ht="25.5">
      <c r="A50" s="18" t="s">
        <v>91</v>
      </c>
    </row>
    <row r="51" spans="1:1" ht="38.25">
      <c r="A51" s="18" t="s">
        <v>93</v>
      </c>
    </row>
    <row r="52" spans="1:1">
      <c r="A52" s="18"/>
    </row>
    <row r="53" spans="1:1">
      <c r="A53" s="2" t="s">
        <v>99</v>
      </c>
    </row>
    <row r="54" spans="1:1" ht="25.5">
      <c r="A54" s="291" t="s">
        <v>314</v>
      </c>
    </row>
    <row r="55" spans="1:1" ht="25.5">
      <c r="A55" s="18" t="s">
        <v>107</v>
      </c>
    </row>
    <row r="56" spans="1:1">
      <c r="A56" s="18"/>
    </row>
    <row r="57" spans="1:1">
      <c r="A57" s="18"/>
    </row>
    <row r="58" spans="1:1">
      <c r="A58" s="18"/>
    </row>
    <row r="59" spans="1:1">
      <c r="A59" s="2" t="s">
        <v>4</v>
      </c>
    </row>
    <row r="60" spans="1:1">
      <c r="A60" s="18" t="s">
        <v>69</v>
      </c>
    </row>
    <row r="61" spans="1:1">
      <c r="A61" s="1"/>
    </row>
    <row r="62" spans="1:1">
      <c r="A62" s="2" t="s">
        <v>5</v>
      </c>
    </row>
    <row r="63" spans="1:1">
      <c r="A63" s="216" t="s">
        <v>70</v>
      </c>
    </row>
    <row r="64" spans="1:1">
      <c r="A64" s="207"/>
    </row>
    <row r="65" spans="1:1" ht="25.5">
      <c r="A65" s="213" t="s">
        <v>106</v>
      </c>
    </row>
  </sheetData>
  <hyperlinks>
    <hyperlink ref="A63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D43"/>
  <sheetViews>
    <sheetView topLeftCell="AY1" workbookViewId="0">
      <selection activeCell="BD2" sqref="BD2"/>
    </sheetView>
  </sheetViews>
  <sheetFormatPr defaultRowHeight="12.75"/>
  <cols>
    <col min="1" max="1" width="16.140625" bestFit="1" customWidth="1"/>
    <col min="2" max="2" width="15" customWidth="1"/>
    <col min="3" max="3" width="12.85546875" bestFit="1" customWidth="1"/>
    <col min="4" max="5" width="13.5703125" bestFit="1" customWidth="1"/>
    <col min="6" max="7" width="21.140625" bestFit="1" customWidth="1"/>
    <col min="8" max="8" width="20.7109375" bestFit="1" customWidth="1"/>
    <col min="9" max="9" width="12.28515625" bestFit="1" customWidth="1"/>
    <col min="10" max="10" width="16" bestFit="1" customWidth="1"/>
    <col min="11" max="11" width="23" bestFit="1" customWidth="1"/>
    <col min="12" max="12" width="23.42578125" bestFit="1" customWidth="1"/>
    <col min="13" max="13" width="21.7109375" bestFit="1" customWidth="1"/>
    <col min="14" max="14" width="25" bestFit="1" customWidth="1"/>
    <col min="15" max="15" width="16.85546875" bestFit="1" customWidth="1"/>
    <col min="16" max="16" width="37.140625" bestFit="1" customWidth="1"/>
    <col min="17" max="17" width="13.140625" bestFit="1" customWidth="1"/>
    <col min="18" max="18" width="14.5703125" bestFit="1" customWidth="1"/>
    <col min="19" max="19" width="16.85546875" customWidth="1"/>
    <col min="20" max="20" width="22.140625" bestFit="1" customWidth="1"/>
    <col min="21" max="21" width="18.7109375" bestFit="1" customWidth="1"/>
    <col min="22" max="22" width="25.42578125" bestFit="1" customWidth="1"/>
    <col min="23" max="23" width="18.42578125" bestFit="1" customWidth="1"/>
    <col min="24" max="24" width="14.85546875" bestFit="1" customWidth="1"/>
    <col min="25" max="25" width="15.28515625" bestFit="1" customWidth="1"/>
    <col min="26" max="26" width="19.140625" bestFit="1" customWidth="1"/>
    <col min="27" max="27" width="16.7109375" bestFit="1" customWidth="1"/>
    <col min="28" max="28" width="18.85546875" bestFit="1" customWidth="1"/>
    <col min="29" max="29" width="15" bestFit="1" customWidth="1"/>
    <col min="30" max="37" width="10.85546875" bestFit="1" customWidth="1"/>
    <col min="38" max="38" width="12" bestFit="1" customWidth="1"/>
    <col min="39" max="39" width="12.140625" bestFit="1" customWidth="1"/>
    <col min="40" max="40" width="17.85546875" bestFit="1" customWidth="1"/>
    <col min="41" max="41" width="19.5703125" bestFit="1" customWidth="1"/>
    <col min="42" max="45" width="15.5703125" bestFit="1" customWidth="1"/>
    <col min="46" max="46" width="21.7109375" bestFit="1" customWidth="1"/>
    <col min="47" max="47" width="24.7109375" bestFit="1" customWidth="1"/>
    <col min="48" max="49" width="16.5703125" bestFit="1" customWidth="1"/>
    <col min="50" max="50" width="14.85546875" bestFit="1" customWidth="1"/>
    <col min="51" max="51" width="22.28515625" bestFit="1" customWidth="1"/>
    <col min="52" max="52" width="22.85546875" bestFit="1" customWidth="1"/>
    <col min="55" max="55" width="10.85546875" customWidth="1"/>
    <col min="56" max="56" width="14.85546875" bestFit="1" customWidth="1"/>
    <col min="62" max="62" width="21.140625" bestFit="1" customWidth="1"/>
    <col min="63" max="63" width="33.140625" bestFit="1" customWidth="1"/>
    <col min="64" max="64" width="72.7109375" customWidth="1"/>
    <col min="65" max="65" width="21.140625" bestFit="1" customWidth="1"/>
    <col min="66" max="66" width="28.7109375" bestFit="1" customWidth="1"/>
    <col min="67" max="70" width="28.7109375" customWidth="1"/>
    <col min="71" max="71" width="134" bestFit="1" customWidth="1"/>
    <col min="72" max="72" width="26.28515625" bestFit="1" customWidth="1"/>
    <col min="76" max="76" width="53.42578125" bestFit="1" customWidth="1"/>
    <col min="77" max="77" width="35.85546875" bestFit="1" customWidth="1"/>
    <col min="78" max="78" width="60.140625" bestFit="1" customWidth="1"/>
    <col min="79" max="79" width="61" bestFit="1" customWidth="1"/>
    <col min="80" max="80" width="77" bestFit="1" customWidth="1"/>
    <col min="81" max="81" width="96.28515625" bestFit="1" customWidth="1"/>
    <col min="82" max="82" width="105.85546875" bestFit="1" customWidth="1"/>
  </cols>
  <sheetData>
    <row r="1" spans="1:82" s="242" customFormat="1" ht="16.5" thickBot="1">
      <c r="A1" s="242" t="s">
        <v>472</v>
      </c>
      <c r="B1" s="242" t="s">
        <v>432</v>
      </c>
      <c r="C1" s="242" t="s">
        <v>433</v>
      </c>
      <c r="D1" s="242" t="s">
        <v>434</v>
      </c>
      <c r="E1" s="242" t="s">
        <v>435</v>
      </c>
      <c r="F1" s="242" t="s">
        <v>473</v>
      </c>
      <c r="G1" s="243" t="s">
        <v>474</v>
      </c>
      <c r="H1" s="242" t="s">
        <v>438</v>
      </c>
      <c r="I1" s="242" t="s">
        <v>284</v>
      </c>
      <c r="J1" s="242" t="s">
        <v>475</v>
      </c>
      <c r="K1" s="242" t="s">
        <v>421</v>
      </c>
      <c r="L1" s="242" t="s">
        <v>440</v>
      </c>
      <c r="M1" s="242" t="s">
        <v>441</v>
      </c>
      <c r="N1" s="242" t="s">
        <v>510</v>
      </c>
      <c r="O1" s="242" t="s">
        <v>442</v>
      </c>
      <c r="Q1" s="242" t="s">
        <v>443</v>
      </c>
      <c r="R1" s="242" t="s">
        <v>444</v>
      </c>
      <c r="S1" s="242" t="s">
        <v>445</v>
      </c>
      <c r="T1" s="242" t="s">
        <v>446</v>
      </c>
      <c r="U1" s="242" t="s">
        <v>447</v>
      </c>
      <c r="V1" s="242" t="s">
        <v>448</v>
      </c>
      <c r="W1" s="242" t="s">
        <v>333</v>
      </c>
      <c r="X1" s="242" t="s">
        <v>334</v>
      </c>
      <c r="Y1" s="242" t="s">
        <v>336</v>
      </c>
      <c r="Z1" s="242" t="s">
        <v>335</v>
      </c>
      <c r="AA1" s="242" t="s">
        <v>337</v>
      </c>
      <c r="AB1" s="242" t="s">
        <v>338</v>
      </c>
      <c r="AC1" s="242" t="s">
        <v>339</v>
      </c>
      <c r="AD1" s="242" t="s">
        <v>449</v>
      </c>
      <c r="AE1" s="242" t="s">
        <v>450</v>
      </c>
      <c r="AF1" s="242" t="s">
        <v>451</v>
      </c>
      <c r="AG1" s="242" t="s">
        <v>452</v>
      </c>
      <c r="AH1" s="242" t="s">
        <v>453</v>
      </c>
      <c r="AI1" s="242" t="s">
        <v>454</v>
      </c>
      <c r="AJ1" s="242" t="s">
        <v>455</v>
      </c>
      <c r="AK1" s="242" t="s">
        <v>456</v>
      </c>
      <c r="AL1" s="242" t="s">
        <v>457</v>
      </c>
      <c r="AM1" s="242" t="s">
        <v>458</v>
      </c>
      <c r="AN1" s="243" t="s">
        <v>459</v>
      </c>
      <c r="AO1" s="242" t="s">
        <v>460</v>
      </c>
      <c r="AP1" s="242" t="s">
        <v>461</v>
      </c>
      <c r="AQ1" s="242" t="s">
        <v>462</v>
      </c>
      <c r="AR1" s="242" t="s">
        <v>463</v>
      </c>
      <c r="AS1" s="242" t="s">
        <v>464</v>
      </c>
      <c r="AT1" s="243" t="s">
        <v>465</v>
      </c>
      <c r="AU1" s="243" t="s">
        <v>466</v>
      </c>
      <c r="AV1" s="242" t="s">
        <v>467</v>
      </c>
      <c r="AW1" s="242" t="s">
        <v>468</v>
      </c>
      <c r="AX1" s="242" t="s">
        <v>469</v>
      </c>
      <c r="AY1" s="242" t="s">
        <v>470</v>
      </c>
      <c r="AZ1" s="242" t="s">
        <v>471</v>
      </c>
      <c r="BA1" s="242" t="s">
        <v>476</v>
      </c>
      <c r="BB1" s="242" t="s">
        <v>477</v>
      </c>
      <c r="BC1" s="242" t="s">
        <v>478</v>
      </c>
      <c r="BD1" s="242" t="s">
        <v>479</v>
      </c>
      <c r="BE1" s="242" t="s">
        <v>480</v>
      </c>
      <c r="BF1" s="242" t="s">
        <v>481</v>
      </c>
      <c r="BG1" s="242" t="s">
        <v>482</v>
      </c>
      <c r="BH1" s="242" t="s">
        <v>483</v>
      </c>
      <c r="BI1" s="242" t="s">
        <v>484</v>
      </c>
      <c r="BJ1" s="242" t="s">
        <v>436</v>
      </c>
      <c r="BK1" s="242" t="s">
        <v>437</v>
      </c>
      <c r="BL1" s="242" t="s">
        <v>485</v>
      </c>
      <c r="BM1" s="242" t="s">
        <v>486</v>
      </c>
      <c r="BN1" s="242" t="s">
        <v>487</v>
      </c>
      <c r="BO1" s="242" t="s">
        <v>531</v>
      </c>
      <c r="BP1" s="242" t="s">
        <v>532</v>
      </c>
      <c r="BQ1" s="243" t="s">
        <v>537</v>
      </c>
      <c r="BR1" s="242" t="s">
        <v>569</v>
      </c>
      <c r="BS1" s="242" t="s">
        <v>512</v>
      </c>
      <c r="BT1" s="242" t="s">
        <v>534</v>
      </c>
      <c r="BU1" s="380" t="s">
        <v>312</v>
      </c>
      <c r="BV1" s="381"/>
      <c r="BW1" s="382"/>
      <c r="BX1" s="275" t="s">
        <v>310</v>
      </c>
      <c r="BY1" s="275" t="s">
        <v>309</v>
      </c>
      <c r="BZ1" s="275" t="s">
        <v>311</v>
      </c>
      <c r="CA1" s="275" t="s">
        <v>308</v>
      </c>
      <c r="CB1" s="275" t="s">
        <v>307</v>
      </c>
      <c r="CC1" s="275" t="s">
        <v>305</v>
      </c>
      <c r="CD1" s="275" t="s">
        <v>304</v>
      </c>
    </row>
    <row r="2" spans="1:82" s="244" customFormat="1" ht="13.5" thickBot="1">
      <c r="A2" s="248" t="s">
        <v>2628</v>
      </c>
      <c r="B2" s="316" t="s">
        <v>2625</v>
      </c>
      <c r="C2" s="244" t="s">
        <v>233</v>
      </c>
      <c r="D2" s="244">
        <v>5</v>
      </c>
      <c r="E2" s="244">
        <v>3</v>
      </c>
      <c r="F2" s="322"/>
      <c r="G2" s="75"/>
      <c r="H2" s="246">
        <v>0.3125</v>
      </c>
      <c r="I2" s="320">
        <v>0.3125</v>
      </c>
      <c r="J2" s="244">
        <v>13</v>
      </c>
      <c r="K2" s="244">
        <f>COUNTA(EntryList!A3:A645)</f>
        <v>289</v>
      </c>
      <c r="L2" s="244">
        <f>COUNTIF(EntryList!O3:O645,TRUE)</f>
        <v>258</v>
      </c>
      <c r="M2" s="244">
        <f>COUNTIF(EntryList!P3:P645,TRUE)</f>
        <v>260</v>
      </c>
      <c r="N2" s="244">
        <f>L2-M2</f>
        <v>-2</v>
      </c>
      <c r="O2" s="245">
        <f>DATE(YEAR(B2),12,31)</f>
        <v>44926</v>
      </c>
      <c r="Q2" s="244" t="s">
        <v>503</v>
      </c>
      <c r="R2" s="244" t="s">
        <v>500</v>
      </c>
      <c r="S2" s="322" t="s">
        <v>2626</v>
      </c>
      <c r="T2" s="244" t="str">
        <f t="array" aca="1" ref="T2" ca="1">INDEX(EntryList!B3:B291,INDEX(_xlfn.MODE.MULT(IF(EntryList!B3:B291&lt;&gt;{0,0},ROW(EntryList!B3:B291))),RANDBETWEEN(1,SUM(N(LEN(EntryList!B3:B291)&gt;0)))))</f>
        <v>Stéphen Du Toit</v>
      </c>
      <c r="U2" s="244">
        <v>2</v>
      </c>
      <c r="W2" s="256">
        <f>MIN(EntryList!J3:J645)</f>
        <v>9</v>
      </c>
      <c r="X2" s="256">
        <f>MAX(EntryList!J3:J645)</f>
        <v>780115</v>
      </c>
      <c r="Y2" s="244">
        <f>COUNTIF(EntryList!F:F,"M")</f>
        <v>269</v>
      </c>
      <c r="Z2" s="244">
        <f>COUNTIF(EntryList!F:F,"F")</f>
        <v>20</v>
      </c>
      <c r="AA2" s="244">
        <f>COUNTA(EntryList!C3:C653)</f>
        <v>289</v>
      </c>
      <c r="AB2" s="247">
        <f>Z2/AA2</f>
        <v>6.9204152249134954E-2</v>
      </c>
      <c r="AC2" s="247">
        <f>Y2/AA2</f>
        <v>0.9307958477508651</v>
      </c>
      <c r="AD2" s="248" t="s">
        <v>2630</v>
      </c>
      <c r="AE2" s="248" t="s">
        <v>2631</v>
      </c>
      <c r="AF2" s="248" t="s">
        <v>2632</v>
      </c>
      <c r="AG2" s="244" t="s">
        <v>2633</v>
      </c>
      <c r="AH2" s="248" t="s">
        <v>208</v>
      </c>
      <c r="AI2" s="248" t="s">
        <v>208</v>
      </c>
      <c r="AJ2" s="248" t="s">
        <v>208</v>
      </c>
      <c r="AK2" s="248" t="s">
        <v>208</v>
      </c>
      <c r="AL2" s="248" t="s">
        <v>208</v>
      </c>
      <c r="AM2" s="248" t="s">
        <v>208</v>
      </c>
      <c r="AN2" s="75" t="str">
        <f>AD2</f>
        <v>Batch 1 &amp; E-Bikes (08:00)</v>
      </c>
      <c r="AO2" s="244">
        <v>30</v>
      </c>
      <c r="AP2" s="248" t="s">
        <v>560</v>
      </c>
      <c r="AQ2" s="244" t="s">
        <v>598</v>
      </c>
      <c r="AR2" s="248" t="s">
        <v>2601</v>
      </c>
      <c r="AS2" s="248" t="s">
        <v>208</v>
      </c>
      <c r="AT2" s="75" t="str">
        <f>AP2</f>
        <v>E-Bike</v>
      </c>
      <c r="AU2" s="75" t="str">
        <f>IF(AgeCategories!G3="-","",AgeCategories!D3)</f>
        <v>Nipper Boys</v>
      </c>
      <c r="AY2" s="244">
        <v>1</v>
      </c>
      <c r="AZ2" s="244">
        <v>300</v>
      </c>
      <c r="BA2" s="244" t="s">
        <v>209</v>
      </c>
      <c r="BB2" s="244" t="s">
        <v>210</v>
      </c>
      <c r="BC2" s="248" t="s">
        <v>208</v>
      </c>
      <c r="BD2" s="322" t="s">
        <v>2627</v>
      </c>
      <c r="BJ2" s="248" t="s">
        <v>540</v>
      </c>
      <c r="BK2" s="248" t="s">
        <v>302</v>
      </c>
      <c r="BL2" s="248" t="s">
        <v>541</v>
      </c>
      <c r="BM2" s="248" t="s">
        <v>542</v>
      </c>
      <c r="BN2" s="248" t="s">
        <v>505</v>
      </c>
      <c r="BO2" s="244">
        <f>COUNT(AgeCategories!G3:G32)</f>
        <v>16</v>
      </c>
      <c r="BP2">
        <f>SUMPRODUCT((PrintedResults!G3:G500&lt;&gt;"")/COUNTIF(PrintedResults!G3:G500,PrintedResults!G3:G500&amp;""))</f>
        <v>16.000000000000007</v>
      </c>
      <c r="BQ2" s="290" t="str">
        <f>BA2</f>
        <v>M</v>
      </c>
      <c r="BR2" s="306" t="str">
        <f>CONCATENATE("© iRide Africa"&amp;" "&amp;(TEXT(O2,"yyyy")))</f>
        <v>© iRide Africa 2022</v>
      </c>
      <c r="BT2" t="s">
        <v>391</v>
      </c>
      <c r="BU2" s="258" t="s">
        <v>241</v>
      </c>
      <c r="BV2" s="259" t="s">
        <v>184</v>
      </c>
      <c r="BW2" s="260" t="s">
        <v>183</v>
      </c>
      <c r="BX2" s="269" t="s">
        <v>354</v>
      </c>
      <c r="BY2" s="278" t="s">
        <v>367</v>
      </c>
      <c r="BZ2" s="282" t="s">
        <v>370</v>
      </c>
      <c r="CA2" s="282" t="s">
        <v>347</v>
      </c>
      <c r="CB2" s="269" t="s">
        <v>358</v>
      </c>
      <c r="CC2" s="269" t="s">
        <v>303</v>
      </c>
      <c r="CD2" s="289" t="s">
        <v>419</v>
      </c>
    </row>
    <row r="3" spans="1:82" ht="13.5" thickBot="1">
      <c r="C3" t="s">
        <v>233</v>
      </c>
      <c r="D3">
        <v>1</v>
      </c>
      <c r="E3">
        <v>1</v>
      </c>
      <c r="J3">
        <v>1</v>
      </c>
      <c r="U3">
        <v>1</v>
      </c>
      <c r="V3">
        <v>1</v>
      </c>
      <c r="AN3" s="75" t="str">
        <f>AE2</f>
        <v>Batch 2 (08:10)</v>
      </c>
      <c r="AT3" t="str">
        <f>AQ2</f>
        <v>E-Bike Lite</v>
      </c>
      <c r="AU3" s="75" t="str">
        <f>IF(AgeCategories!G4="-","",AgeCategories!D4)</f>
        <v>Sprog Boys</v>
      </c>
      <c r="BQ3" s="288" t="str">
        <f>BB2</f>
        <v>F</v>
      </c>
      <c r="BS3" s="88" t="s">
        <v>520</v>
      </c>
      <c r="BT3" t="s">
        <v>392</v>
      </c>
      <c r="BU3" s="261" t="b">
        <v>0</v>
      </c>
      <c r="BV3" s="14" t="s">
        <v>186</v>
      </c>
      <c r="BW3" s="262" t="s">
        <v>185</v>
      </c>
      <c r="BX3" s="270" t="s">
        <v>355</v>
      </c>
      <c r="BY3" s="279" t="s">
        <v>368</v>
      </c>
      <c r="BZ3" s="270" t="s">
        <v>371</v>
      </c>
      <c r="CA3" s="271" t="s">
        <v>343</v>
      </c>
      <c r="CB3" s="270" t="s">
        <v>359</v>
      </c>
      <c r="CC3" s="270" t="s">
        <v>281</v>
      </c>
      <c r="CD3" s="271" t="s">
        <v>303</v>
      </c>
    </row>
    <row r="4" spans="1:82" ht="14.25">
      <c r="C4" s="20" t="s">
        <v>439</v>
      </c>
      <c r="D4">
        <v>2</v>
      </c>
      <c r="E4">
        <v>2</v>
      </c>
      <c r="J4">
        <v>2</v>
      </c>
      <c r="U4">
        <v>2</v>
      </c>
      <c r="V4">
        <v>2</v>
      </c>
      <c r="AN4" s="75" t="str">
        <f>AF2</f>
        <v>Batch 3 (08:20)</v>
      </c>
      <c r="AT4" t="str">
        <f>AR2</f>
        <v>Lite</v>
      </c>
      <c r="AU4" s="75" t="str">
        <f>IF(AgeCategories!G5="-","",AgeCategories!D5)</f>
        <v>Sub Junior Boys</v>
      </c>
      <c r="BQ4" s="293" t="str">
        <f>BC2</f>
        <v>-</v>
      </c>
      <c r="BS4" s="88" t="s">
        <v>519</v>
      </c>
      <c r="BT4" t="s">
        <v>393</v>
      </c>
      <c r="BU4" s="261" t="b">
        <v>0</v>
      </c>
      <c r="BV4" s="14" t="s">
        <v>188</v>
      </c>
      <c r="BW4" s="262" t="s">
        <v>187</v>
      </c>
      <c r="BX4" s="270" t="s">
        <v>356</v>
      </c>
      <c r="BY4" s="279" t="s">
        <v>369</v>
      </c>
      <c r="BZ4" s="270" t="s">
        <v>372</v>
      </c>
      <c r="CA4" s="283" t="s">
        <v>348</v>
      </c>
      <c r="CB4" s="270" t="s">
        <v>360</v>
      </c>
      <c r="CC4" s="270" t="s">
        <v>280</v>
      </c>
      <c r="CD4" s="276" t="s">
        <v>278</v>
      </c>
    </row>
    <row r="5" spans="1:82">
      <c r="C5" t="s">
        <v>232</v>
      </c>
      <c r="D5">
        <v>3</v>
      </c>
      <c r="E5">
        <v>3</v>
      </c>
      <c r="J5">
        <v>3</v>
      </c>
      <c r="U5">
        <v>3</v>
      </c>
      <c r="V5">
        <v>3</v>
      </c>
      <c r="AN5" s="75" t="str">
        <f>AG2</f>
        <v>Lite (08:30)</v>
      </c>
      <c r="AT5" t="str">
        <f>AS2</f>
        <v>-</v>
      </c>
      <c r="AU5" s="75" t="str">
        <f>IF(AgeCategories!G6="-","",AgeCategories!D6)</f>
        <v>Youth Men</v>
      </c>
      <c r="BS5" s="88" t="s">
        <v>514</v>
      </c>
      <c r="BT5" t="s">
        <v>394</v>
      </c>
      <c r="BU5" s="261" t="b">
        <v>0</v>
      </c>
      <c r="BV5" s="14" t="s">
        <v>189</v>
      </c>
      <c r="BW5" s="262" t="s">
        <v>187</v>
      </c>
      <c r="BX5" s="270" t="s">
        <v>357</v>
      </c>
      <c r="BY5" s="280"/>
      <c r="BZ5" s="270" t="s">
        <v>373</v>
      </c>
      <c r="CA5" s="271" t="s">
        <v>344</v>
      </c>
      <c r="CB5" s="270" t="s">
        <v>361</v>
      </c>
      <c r="CC5" s="270" t="s">
        <v>282</v>
      </c>
      <c r="CD5" s="270" t="s">
        <v>313</v>
      </c>
    </row>
    <row r="6" spans="1:82">
      <c r="D6">
        <v>4</v>
      </c>
      <c r="E6">
        <v>4</v>
      </c>
      <c r="J6">
        <v>4</v>
      </c>
      <c r="U6">
        <v>4</v>
      </c>
      <c r="V6">
        <v>4</v>
      </c>
      <c r="AN6" s="75" t="str">
        <f>AH2</f>
        <v>-</v>
      </c>
      <c r="AU6" s="75" t="str">
        <f>IF(AgeCategories!G7="-","",AgeCategories!D7)</f>
        <v>Junior Men</v>
      </c>
      <c r="BS6" s="88" t="s">
        <v>515</v>
      </c>
      <c r="BT6" s="20" t="s">
        <v>523</v>
      </c>
      <c r="BU6" s="261" t="b">
        <v>0</v>
      </c>
      <c r="BV6" s="14" t="s">
        <v>191</v>
      </c>
      <c r="BW6" s="262" t="s">
        <v>190</v>
      </c>
      <c r="BX6" s="271" t="s">
        <v>353</v>
      </c>
      <c r="BY6" s="280"/>
      <c r="BZ6" s="270" t="s">
        <v>374</v>
      </c>
      <c r="CA6" s="283" t="s">
        <v>351</v>
      </c>
      <c r="CB6" s="270" t="s">
        <v>362</v>
      </c>
      <c r="CC6" s="270"/>
      <c r="CD6" s="270" t="s">
        <v>306</v>
      </c>
    </row>
    <row r="7" spans="1:82">
      <c r="D7">
        <v>5</v>
      </c>
      <c r="E7">
        <v>5</v>
      </c>
      <c r="J7">
        <v>5</v>
      </c>
      <c r="U7">
        <v>5</v>
      </c>
      <c r="V7">
        <v>5</v>
      </c>
      <c r="AN7" s="75" t="str">
        <f>AI2</f>
        <v>-</v>
      </c>
      <c r="AU7" s="75" t="str">
        <f>IF(AgeCategories!G8="-","",AgeCategories!#REF!)</f>
        <v/>
      </c>
      <c r="BS7" s="88" t="s">
        <v>516</v>
      </c>
      <c r="BT7" s="20" t="s">
        <v>524</v>
      </c>
      <c r="BU7" s="261" t="b">
        <v>0</v>
      </c>
      <c r="BV7" s="14" t="s">
        <v>192</v>
      </c>
      <c r="BW7" s="262" t="s">
        <v>187</v>
      </c>
      <c r="BX7" s="271"/>
      <c r="BY7" s="280"/>
      <c r="BZ7" s="270" t="s">
        <v>375</v>
      </c>
      <c r="CA7" s="283" t="s">
        <v>352</v>
      </c>
      <c r="CB7" s="270" t="s">
        <v>363</v>
      </c>
      <c r="CC7" s="270"/>
      <c r="CD7" s="271"/>
    </row>
    <row r="8" spans="1:82">
      <c r="D8">
        <v>6</v>
      </c>
      <c r="E8">
        <v>6</v>
      </c>
      <c r="J8">
        <v>6</v>
      </c>
      <c r="U8">
        <v>6</v>
      </c>
      <c r="V8">
        <v>6</v>
      </c>
      <c r="AN8" s="75" t="str">
        <f>AJ2</f>
        <v>-</v>
      </c>
      <c r="AU8" s="75" t="str">
        <f>IF(AgeCategories!G9="-","",AgeCategories!D8)</f>
        <v>Elite Men</v>
      </c>
      <c r="BS8" s="88" t="s">
        <v>522</v>
      </c>
      <c r="BT8" s="20" t="s">
        <v>525</v>
      </c>
      <c r="BU8" s="261" t="b">
        <v>0</v>
      </c>
      <c r="BV8" s="14" t="s">
        <v>315</v>
      </c>
      <c r="BW8" s="262" t="s">
        <v>187</v>
      </c>
      <c r="BX8" s="271"/>
      <c r="BY8" s="280"/>
      <c r="BZ8" s="270" t="s">
        <v>376</v>
      </c>
      <c r="CA8" s="283" t="s">
        <v>349</v>
      </c>
      <c r="CB8" s="270" t="s">
        <v>364</v>
      </c>
      <c r="CC8" s="270" t="s">
        <v>278</v>
      </c>
      <c r="CD8" s="271"/>
    </row>
    <row r="9" spans="1:82">
      <c r="D9">
        <v>7</v>
      </c>
      <c r="E9">
        <v>7</v>
      </c>
      <c r="J9">
        <v>7</v>
      </c>
      <c r="U9">
        <v>7</v>
      </c>
      <c r="V9">
        <v>7</v>
      </c>
      <c r="AN9" s="75" t="str">
        <f>AK2</f>
        <v>-</v>
      </c>
      <c r="AU9" s="75" t="str">
        <f>IF(AgeCategories!G10="-","",AgeCategories!D10)</f>
        <v/>
      </c>
      <c r="BS9" s="88" t="s">
        <v>518</v>
      </c>
      <c r="BT9" s="20" t="s">
        <v>526</v>
      </c>
      <c r="BU9" s="261" t="b">
        <v>0</v>
      </c>
      <c r="BV9" s="14" t="s">
        <v>207</v>
      </c>
      <c r="BW9" s="262" t="s">
        <v>194</v>
      </c>
      <c r="BX9" s="271"/>
      <c r="BY9" s="280"/>
      <c r="BZ9" s="270" t="s">
        <v>377</v>
      </c>
      <c r="CA9" s="271" t="s">
        <v>345</v>
      </c>
      <c r="CB9" s="270" t="s">
        <v>366</v>
      </c>
      <c r="CC9" s="270" t="s">
        <v>313</v>
      </c>
      <c r="CD9" s="271"/>
    </row>
    <row r="10" spans="1:82">
      <c r="D10">
        <v>8</v>
      </c>
      <c r="E10">
        <v>8</v>
      </c>
      <c r="J10">
        <v>8</v>
      </c>
      <c r="U10">
        <v>8</v>
      </c>
      <c r="V10">
        <v>8</v>
      </c>
      <c r="AN10" s="75" t="str">
        <f>AL2</f>
        <v>-</v>
      </c>
      <c r="AU10" s="75" t="str">
        <f>IF(AgeCategories!G11="-","",AgeCategories!D11)</f>
        <v/>
      </c>
      <c r="BS10" s="88" t="s">
        <v>517</v>
      </c>
      <c r="BT10" s="20" t="s">
        <v>527</v>
      </c>
      <c r="BU10" s="261" t="b">
        <v>0</v>
      </c>
      <c r="BV10" s="14" t="s">
        <v>193</v>
      </c>
      <c r="BW10" s="262" t="s">
        <v>187</v>
      </c>
      <c r="BX10" s="271"/>
      <c r="BY10" s="280"/>
      <c r="BZ10" s="270" t="s">
        <v>378</v>
      </c>
      <c r="CA10" s="283" t="s">
        <v>350</v>
      </c>
      <c r="CB10" s="270" t="s">
        <v>273</v>
      </c>
      <c r="CC10" s="286" t="s">
        <v>279</v>
      </c>
      <c r="CD10" s="271"/>
    </row>
    <row r="11" spans="1:82">
      <c r="J11">
        <v>9</v>
      </c>
      <c r="AN11" s="75" t="str">
        <f>AM2</f>
        <v>-</v>
      </c>
      <c r="AU11" s="75" t="str">
        <f>IF(AgeCategories!G12="-","",AgeCategories!D9)</f>
        <v>Master Men</v>
      </c>
      <c r="BR11" s="305"/>
      <c r="BS11" s="20" t="s">
        <v>521</v>
      </c>
      <c r="BT11" s="20" t="s">
        <v>528</v>
      </c>
      <c r="BU11" s="261" t="b">
        <v>0</v>
      </c>
      <c r="BV11" s="14" t="s">
        <v>195</v>
      </c>
      <c r="BW11" s="262" t="s">
        <v>194</v>
      </c>
      <c r="BX11" s="272"/>
      <c r="BY11" s="280"/>
      <c r="BZ11" s="270" t="s">
        <v>379</v>
      </c>
      <c r="CA11" s="271" t="s">
        <v>346</v>
      </c>
      <c r="CB11" s="270"/>
      <c r="CC11" s="286" t="s">
        <v>536</v>
      </c>
      <c r="CD11" s="276"/>
    </row>
    <row r="12" spans="1:82">
      <c r="J12">
        <v>10</v>
      </c>
      <c r="AN12" s="75"/>
      <c r="AU12" s="75" t="str">
        <f>IF(AgeCategories!G13="-","",AgeCategories!D13)</f>
        <v/>
      </c>
      <c r="BS12" s="20" t="s">
        <v>513</v>
      </c>
      <c r="BT12" s="20" t="s">
        <v>529</v>
      </c>
      <c r="BU12" s="261" t="b">
        <v>0</v>
      </c>
      <c r="BV12" s="14" t="s">
        <v>316</v>
      </c>
      <c r="BW12" s="262" t="s">
        <v>194</v>
      </c>
      <c r="BX12" s="273"/>
      <c r="BY12" s="280"/>
      <c r="BZ12" s="270" t="s">
        <v>380</v>
      </c>
      <c r="CA12" s="271"/>
      <c r="CB12" s="284" t="s">
        <v>274</v>
      </c>
      <c r="CC12" s="276"/>
      <c r="CD12" s="276"/>
    </row>
    <row r="13" spans="1:82" ht="13.5" thickBot="1">
      <c r="J13">
        <v>11</v>
      </c>
      <c r="AN13" s="75"/>
      <c r="AU13" s="75" t="str">
        <f>IF(AgeCategories!G14="-","",AgeCategories!D14)</f>
        <v>Nipper Girls</v>
      </c>
      <c r="BS13" s="20" t="s">
        <v>533</v>
      </c>
      <c r="BT13" s="20" t="s">
        <v>530</v>
      </c>
      <c r="BU13" s="261" t="b">
        <v>0</v>
      </c>
      <c r="BV13" s="14" t="s">
        <v>197</v>
      </c>
      <c r="BW13" s="262" t="s">
        <v>196</v>
      </c>
      <c r="BX13" s="274"/>
      <c r="BY13" s="281"/>
      <c r="BZ13" s="270" t="s">
        <v>381</v>
      </c>
      <c r="CA13" s="271"/>
      <c r="CB13" s="270" t="s">
        <v>275</v>
      </c>
      <c r="CC13" s="270" t="s">
        <v>535</v>
      </c>
      <c r="CD13" s="276"/>
    </row>
    <row r="14" spans="1:82">
      <c r="J14">
        <v>12</v>
      </c>
      <c r="AN14" s="75"/>
      <c r="AU14" s="75" t="str">
        <f>IF(AgeCategories!G15="-","",AgeCategories!D15)</f>
        <v/>
      </c>
      <c r="BO14" s="20"/>
      <c r="BS14" s="20" t="s">
        <v>557</v>
      </c>
      <c r="BU14" s="261" t="b">
        <v>0</v>
      </c>
      <c r="BV14" s="14" t="s">
        <v>198</v>
      </c>
      <c r="BW14" s="262" t="s">
        <v>196</v>
      </c>
      <c r="BZ14" s="270" t="s">
        <v>382</v>
      </c>
      <c r="CA14" s="271"/>
      <c r="CB14" s="270" t="s">
        <v>365</v>
      </c>
      <c r="CC14" s="276"/>
      <c r="CD14" s="276"/>
    </row>
    <row r="15" spans="1:82">
      <c r="J15">
        <v>13</v>
      </c>
      <c r="AU15" s="75" t="str">
        <f>IF(AgeCategories!G16="-","",AgeCategories!D16)</f>
        <v>Sub Junior Girls</v>
      </c>
      <c r="BS15" s="20" t="s">
        <v>556</v>
      </c>
      <c r="BU15" s="261" t="b">
        <v>0</v>
      </c>
      <c r="BV15" s="14" t="s">
        <v>199</v>
      </c>
      <c r="BW15" s="262" t="s">
        <v>187</v>
      </c>
      <c r="BZ15" s="270" t="s">
        <v>383</v>
      </c>
      <c r="CA15" s="271"/>
      <c r="CB15" s="270" t="s">
        <v>386</v>
      </c>
      <c r="CC15" s="276"/>
      <c r="CD15" s="276"/>
    </row>
    <row r="16" spans="1:82">
      <c r="J16">
        <v>14</v>
      </c>
      <c r="AU16" s="75" t="str">
        <f>IF(AgeCategories!G17="-","",AgeCategories!D17)</f>
        <v/>
      </c>
      <c r="BS16" s="20" t="s">
        <v>558</v>
      </c>
      <c r="BU16" s="261" t="b">
        <v>0</v>
      </c>
      <c r="BV16" s="14" t="s">
        <v>202</v>
      </c>
      <c r="BW16" s="262" t="s">
        <v>190</v>
      </c>
      <c r="BZ16" s="270" t="s">
        <v>384</v>
      </c>
      <c r="CA16" s="271"/>
      <c r="CB16" s="270" t="s">
        <v>388</v>
      </c>
      <c r="CC16" s="276"/>
      <c r="CD16" s="276"/>
    </row>
    <row r="17" spans="10:82">
      <c r="J17">
        <v>15</v>
      </c>
      <c r="AU17" s="75" t="str">
        <f>IF(AgeCategories!G18="-","",AgeCategories!D18)</f>
        <v/>
      </c>
      <c r="BS17" s="20" t="s">
        <v>567</v>
      </c>
      <c r="BU17" s="261" t="b">
        <v>0</v>
      </c>
      <c r="BV17" s="14" t="s">
        <v>203</v>
      </c>
      <c r="BW17" s="262" t="s">
        <v>194</v>
      </c>
      <c r="BZ17" s="270" t="s">
        <v>385</v>
      </c>
      <c r="CA17" s="271"/>
      <c r="CB17" s="270" t="s">
        <v>387</v>
      </c>
      <c r="CC17" s="276"/>
      <c r="CD17" s="276"/>
    </row>
    <row r="18" spans="10:82">
      <c r="J18">
        <v>16</v>
      </c>
      <c r="AU18" s="75" t="str">
        <f>IF(AgeCategories!G19="-","",AgeCategories!#REF!)</f>
        <v/>
      </c>
      <c r="BS18" s="20" t="s">
        <v>566</v>
      </c>
      <c r="BU18" s="261" t="b">
        <v>0</v>
      </c>
      <c r="BV18" s="14" t="s">
        <v>204</v>
      </c>
      <c r="BW18" s="262" t="s">
        <v>187</v>
      </c>
      <c r="BZ18" s="276"/>
      <c r="CA18" s="271"/>
      <c r="CB18" s="270" t="s">
        <v>276</v>
      </c>
      <c r="CC18" s="276"/>
      <c r="CD18" s="276"/>
    </row>
    <row r="19" spans="10:82">
      <c r="AU19" s="75" t="str">
        <f>IF(AgeCategories!G20="-","",AgeCategories!D19)</f>
        <v>Elite Women</v>
      </c>
      <c r="BS19" s="20" t="s">
        <v>563</v>
      </c>
      <c r="BU19" s="261" t="b">
        <v>0</v>
      </c>
      <c r="BV19" s="128" t="s">
        <v>205</v>
      </c>
      <c r="BW19" s="263" t="s">
        <v>206</v>
      </c>
      <c r="BZ19" s="276"/>
      <c r="CA19" s="271"/>
      <c r="CB19" s="270" t="s">
        <v>390</v>
      </c>
      <c r="CC19" s="276"/>
      <c r="CD19" s="276"/>
    </row>
    <row r="20" spans="10:82">
      <c r="AU20" s="75" t="str">
        <f>IF(AgeCategories!G21="-","",AgeCategories!D21)</f>
        <v/>
      </c>
      <c r="BS20" s="20" t="s">
        <v>565</v>
      </c>
      <c r="BU20" s="261" t="b">
        <v>0</v>
      </c>
      <c r="BV20" s="14" t="s">
        <v>255</v>
      </c>
      <c r="BW20" s="262" t="s">
        <v>194</v>
      </c>
      <c r="BZ20" s="276"/>
      <c r="CA20" s="271"/>
      <c r="CB20" s="270" t="s">
        <v>389</v>
      </c>
      <c r="CC20" s="276"/>
      <c r="CD20" s="276"/>
    </row>
    <row r="21" spans="10:82">
      <c r="AU21" s="75" t="str">
        <f>IF(AgeCategories!G22="-","",AgeCategories!D22)</f>
        <v/>
      </c>
      <c r="BS21" s="20" t="s">
        <v>564</v>
      </c>
      <c r="BU21" s="261" t="b">
        <v>0</v>
      </c>
      <c r="BV21" s="14" t="s">
        <v>213</v>
      </c>
      <c r="BW21" s="264"/>
      <c r="BZ21" s="276"/>
      <c r="CA21" s="271"/>
      <c r="CB21" s="270"/>
      <c r="CC21" s="276"/>
      <c r="CD21" s="276"/>
    </row>
    <row r="22" spans="10:82">
      <c r="AU22" s="75" t="str">
        <f>IF(AgeCategories!G23="-","",AgeCategories!D20)</f>
        <v>Master Women</v>
      </c>
      <c r="BS22" s="303" t="s">
        <v>571</v>
      </c>
      <c r="BU22" s="261" t="b">
        <v>0</v>
      </c>
      <c r="BV22" s="14" t="s">
        <v>244</v>
      </c>
      <c r="BW22" s="262" t="s">
        <v>187</v>
      </c>
      <c r="BZ22" s="276"/>
      <c r="CA22" s="271"/>
      <c r="CB22" s="270"/>
      <c r="CC22" s="287"/>
      <c r="CD22" s="287"/>
    </row>
    <row r="23" spans="10:82">
      <c r="AU23" s="75" t="str">
        <f>IF(AgeCategories!G24="-","",AgeCategories!D24)</f>
        <v/>
      </c>
      <c r="BS23" s="303" t="s">
        <v>570</v>
      </c>
      <c r="BU23" s="261" t="b">
        <v>0</v>
      </c>
      <c r="BV23" s="14" t="s">
        <v>254</v>
      </c>
      <c r="BW23" s="262" t="s">
        <v>194</v>
      </c>
      <c r="BZ23" s="276"/>
      <c r="CA23" s="271"/>
      <c r="CB23" s="270"/>
      <c r="CC23" s="287"/>
      <c r="CD23" s="287"/>
    </row>
    <row r="24" spans="10:82" ht="13.5" thickBot="1">
      <c r="AU24" s="75" t="str">
        <f>IF(AgeCategories!G25="-","",AgeCategories!D25)</f>
        <v>E-Bike M</v>
      </c>
      <c r="BS24" s="303" t="s">
        <v>568</v>
      </c>
      <c r="BU24" s="261" t="b">
        <v>0</v>
      </c>
      <c r="BV24" s="14" t="s">
        <v>420</v>
      </c>
      <c r="BW24" s="262" t="s">
        <v>194</v>
      </c>
      <c r="BZ24" s="277"/>
      <c r="CA24" s="274"/>
      <c r="CB24" s="285"/>
      <c r="CC24" s="288"/>
      <c r="CD24" s="288"/>
    </row>
    <row r="25" spans="10:82">
      <c r="AU25" s="75" t="str">
        <f>IF(AgeCategories!G26="-","",AgeCategories!D26)</f>
        <v>E-Bike F</v>
      </c>
      <c r="BU25" s="261"/>
      <c r="BV25" s="265"/>
      <c r="BW25" s="264"/>
    </row>
    <row r="26" spans="10:82">
      <c r="AU26" s="75"/>
      <c r="BU26" s="261"/>
      <c r="BV26" s="265"/>
      <c r="BW26" s="264"/>
    </row>
    <row r="27" spans="10:82">
      <c r="AU27" s="75"/>
      <c r="BU27" s="261"/>
      <c r="BV27" s="265"/>
      <c r="BW27" s="264"/>
    </row>
    <row r="28" spans="10:82">
      <c r="AU28" s="75"/>
      <c r="BU28" s="261"/>
      <c r="BV28" s="265"/>
      <c r="BW28" s="264"/>
    </row>
    <row r="29" spans="10:82">
      <c r="AU29" s="75"/>
      <c r="BU29" s="261"/>
      <c r="BV29" s="265"/>
      <c r="BW29" s="264"/>
    </row>
    <row r="30" spans="10:82">
      <c r="AU30" s="75"/>
      <c r="BU30" s="261"/>
      <c r="BV30" s="265"/>
      <c r="BW30" s="264"/>
    </row>
    <row r="31" spans="10:82" ht="13.5" thickBot="1">
      <c r="AU31" s="75"/>
      <c r="BU31" s="266"/>
      <c r="BV31" s="267"/>
      <c r="BW31" s="268"/>
    </row>
    <row r="32" spans="10:82">
      <c r="AU32" s="75"/>
      <c r="BU32" s="210"/>
      <c r="BV32" s="210"/>
      <c r="BW32" s="210"/>
    </row>
    <row r="33" spans="47:75">
      <c r="AU33" s="75"/>
      <c r="BU33" s="210"/>
      <c r="BV33" s="210"/>
      <c r="BW33" s="210"/>
    </row>
    <row r="34" spans="47:75">
      <c r="AU34" s="75"/>
      <c r="BU34" s="210"/>
      <c r="BV34" s="210"/>
      <c r="BW34" s="210"/>
    </row>
    <row r="35" spans="47:75">
      <c r="AU35" s="75"/>
      <c r="BU35" s="210"/>
      <c r="BV35" s="210"/>
      <c r="BW35" s="210"/>
    </row>
    <row r="36" spans="47:75">
      <c r="AU36" s="75"/>
    </row>
    <row r="37" spans="47:75">
      <c r="AU37" s="75"/>
    </row>
    <row r="38" spans="47:75">
      <c r="AU38" s="75"/>
    </row>
    <row r="39" spans="47:75">
      <c r="AU39" s="75"/>
    </row>
    <row r="40" spans="47:75">
      <c r="AU40" s="75"/>
    </row>
    <row r="41" spans="47:75">
      <c r="AU41" s="75"/>
    </row>
    <row r="42" spans="47:75">
      <c r="AU42" s="75"/>
    </row>
    <row r="43" spans="47:75">
      <c r="AU43" s="75"/>
    </row>
  </sheetData>
  <mergeCells count="1">
    <mergeCell ref="BU1:BW1"/>
  </mergeCells>
  <conditionalFormatting sqref="BP1 BT1">
    <cfRule type="duplicateValues" dxfId="1893" priority="10" stopIfTrue="1"/>
  </conditionalFormatting>
  <conditionalFormatting sqref="A1:O1 BR1:BS1 Q1:BO1 CE1:XFD1">
    <cfRule type="duplicateValues" dxfId="1892" priority="10742" stopIfTrue="1"/>
  </conditionalFormatting>
  <conditionalFormatting sqref="BU1">
    <cfRule type="duplicateValues" dxfId="1891" priority="8" stopIfTrue="1"/>
  </conditionalFormatting>
  <conditionalFormatting sqref="BX1">
    <cfRule type="duplicateValues" dxfId="1890" priority="7" stopIfTrue="1"/>
  </conditionalFormatting>
  <conditionalFormatting sqref="BY1">
    <cfRule type="duplicateValues" dxfId="1889" priority="6" stopIfTrue="1"/>
  </conditionalFormatting>
  <conditionalFormatting sqref="BZ1">
    <cfRule type="duplicateValues" dxfId="1888" priority="5" stopIfTrue="1"/>
  </conditionalFormatting>
  <conditionalFormatting sqref="CA1">
    <cfRule type="duplicateValues" dxfId="1887" priority="4" stopIfTrue="1"/>
  </conditionalFormatting>
  <conditionalFormatting sqref="CB1">
    <cfRule type="duplicateValues" dxfId="1886" priority="3" stopIfTrue="1"/>
  </conditionalFormatting>
  <conditionalFormatting sqref="CC1">
    <cfRule type="duplicateValues" dxfId="1885" priority="2" stopIfTrue="1"/>
  </conditionalFormatting>
  <conditionalFormatting sqref="CD1">
    <cfRule type="duplicateValues" dxfId="1884" priority="1" stopIfTrue="1"/>
  </conditionalFormatting>
  <hyperlinks>
    <hyperlink ref="S2" r:id="rId1"/>
    <hyperlink ref="BD2" r:id="rId2"/>
  </hyperlinks>
  <pageMargins left="0.7" right="0.7" top="0.75" bottom="0.75" header="0.3" footer="0.3"/>
  <pageSetup paperSize="0" orientation="portrait" horizontalDpi="203" verticalDpi="203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autoPageBreaks="0" fitToPage="1"/>
  </sheetPr>
  <dimension ref="A1:BX291"/>
  <sheetViews>
    <sheetView topLeftCell="C1" zoomScale="90" zoomScaleNormal="90" workbookViewId="0">
      <selection activeCell="F31" sqref="F31"/>
    </sheetView>
  </sheetViews>
  <sheetFormatPr defaultColWidth="9.140625" defaultRowHeight="12.75"/>
  <cols>
    <col min="1" max="1" width="9.42578125" style="20" customWidth="1"/>
    <col min="2" max="2" width="27.140625" style="125" customWidth="1"/>
    <col min="3" max="3" width="27.28515625" style="9" customWidth="1"/>
    <col min="4" max="4" width="19.5703125" style="9" customWidth="1"/>
    <col min="5" max="5" width="28.7109375" style="10" bestFit="1" customWidth="1"/>
    <col min="6" max="6" width="13.5703125" style="9" bestFit="1" customWidth="1"/>
    <col min="7" max="7" width="20.85546875" style="9" customWidth="1"/>
    <col min="8" max="8" width="15.140625" style="44" customWidth="1"/>
    <col min="9" max="9" width="13.7109375" style="44" customWidth="1"/>
    <col min="10" max="10" width="25" style="10" customWidth="1"/>
    <col min="11" max="11" width="19.85546875" style="9" customWidth="1"/>
    <col min="12" max="12" width="15.42578125" style="98" customWidth="1"/>
    <col min="13" max="13" width="23.7109375" style="319" customWidth="1"/>
    <col min="14" max="14" width="25.7109375" style="7" customWidth="1"/>
    <col min="15" max="15" width="20.42578125" style="7" bestFit="1" customWidth="1"/>
    <col min="16" max="16" width="28.140625" style="7" customWidth="1"/>
    <col min="17" max="17" width="24.140625" style="375" customWidth="1"/>
    <col min="18" max="18" width="18.7109375" style="7" customWidth="1"/>
    <col min="19" max="19" width="17" style="7" customWidth="1"/>
    <col min="20" max="20" width="24.7109375" style="7" customWidth="1"/>
    <col min="21" max="21" width="32.5703125" style="7" customWidth="1"/>
    <col min="22" max="22" width="33.7109375" style="7" customWidth="1"/>
    <col min="23" max="23" width="39.85546875" style="7" customWidth="1"/>
    <col min="24" max="24" width="20.7109375" style="7" bestFit="1" customWidth="1"/>
    <col min="25" max="25" width="19" style="7" bestFit="1" customWidth="1"/>
    <col min="26" max="26" width="16.85546875" style="7" bestFit="1" customWidth="1"/>
    <col min="27" max="27" width="22" style="7" bestFit="1" customWidth="1"/>
    <col min="28" max="28" width="21.5703125" style="7" bestFit="1" customWidth="1"/>
    <col min="29" max="29" width="29" style="7" bestFit="1" customWidth="1"/>
    <col min="30" max="30" width="29" style="195" customWidth="1"/>
    <col min="31" max="31" width="24.140625" style="7" customWidth="1"/>
    <col min="32" max="32" width="34.5703125" style="7" bestFit="1" customWidth="1"/>
    <col min="33" max="33" width="24.7109375" style="7" bestFit="1" customWidth="1"/>
    <col min="34" max="34" width="17.7109375" style="7" bestFit="1" customWidth="1"/>
    <col min="35" max="35" width="30.7109375" style="7" bestFit="1" customWidth="1"/>
    <col min="36" max="46" width="30.7109375" style="7" customWidth="1"/>
    <col min="47" max="47" width="20.28515625" style="7" customWidth="1"/>
    <col min="48" max="48" width="16.140625" style="7" bestFit="1" customWidth="1"/>
    <col min="49" max="49" width="25.7109375" style="11" bestFit="1" customWidth="1"/>
    <col min="50" max="50" width="16.140625" style="11" bestFit="1" customWidth="1"/>
    <col min="51" max="51" width="13" style="11" bestFit="1" customWidth="1"/>
    <col min="52" max="52" width="16.28515625" style="11" bestFit="1" customWidth="1"/>
    <col min="53" max="53" width="23.140625" style="11" bestFit="1" customWidth="1"/>
    <col min="54" max="16384" width="9.140625" style="7"/>
  </cols>
  <sheetData>
    <row r="1" spans="1:76" s="34" customFormat="1" ht="24" customHeight="1">
      <c r="A1" s="32"/>
      <c r="B1" s="39" t="str">
        <f ca="1">RIGHT(CELL("filename",D2),LEN(CELL("filename",D2))-FIND("]",CELL("filename",D2)))</f>
        <v>EntryList</v>
      </c>
      <c r="C1" s="223"/>
      <c r="D1" s="142"/>
      <c r="E1" s="222"/>
      <c r="F1" s="142"/>
      <c r="G1" s="123"/>
      <c r="H1" s="35"/>
      <c r="I1" s="142"/>
      <c r="J1" s="25"/>
      <c r="K1" s="142"/>
      <c r="L1" s="143"/>
      <c r="M1" s="318"/>
      <c r="N1" s="222"/>
      <c r="O1" s="166"/>
      <c r="P1" s="166"/>
      <c r="Q1" s="383" t="s">
        <v>511</v>
      </c>
      <c r="R1" s="384"/>
      <c r="S1" s="384"/>
      <c r="T1" s="384"/>
      <c r="U1" s="142"/>
      <c r="V1" s="315">
        <f>Helpers!O2</f>
        <v>44926</v>
      </c>
      <c r="W1" s="142"/>
      <c r="X1" s="222"/>
      <c r="AD1" s="193"/>
    </row>
    <row r="2" spans="1:76" s="87" customFormat="1" ht="16.5" thickBot="1">
      <c r="A2" s="104" t="s">
        <v>234</v>
      </c>
      <c r="B2" s="124" t="s">
        <v>235</v>
      </c>
      <c r="C2" s="106" t="s">
        <v>236</v>
      </c>
      <c r="D2" s="106" t="s">
        <v>495</v>
      </c>
      <c r="E2" s="107" t="s">
        <v>508</v>
      </c>
      <c r="F2" s="332" t="s">
        <v>629</v>
      </c>
      <c r="G2" s="108" t="s">
        <v>12</v>
      </c>
      <c r="H2" s="109" t="s">
        <v>222</v>
      </c>
      <c r="I2" s="109" t="s">
        <v>13</v>
      </c>
      <c r="J2" s="109" t="s">
        <v>496</v>
      </c>
      <c r="K2" s="107" t="s">
        <v>237</v>
      </c>
      <c r="L2" s="110" t="s">
        <v>14</v>
      </c>
      <c r="M2" s="107" t="s">
        <v>120</v>
      </c>
      <c r="N2" s="105" t="s">
        <v>238</v>
      </c>
      <c r="O2" s="105" t="s">
        <v>180</v>
      </c>
      <c r="P2" s="105" t="s">
        <v>2606</v>
      </c>
      <c r="Q2" s="124" t="s">
        <v>540</v>
      </c>
      <c r="R2" s="108" t="s">
        <v>302</v>
      </c>
      <c r="S2" s="108" t="s">
        <v>541</v>
      </c>
      <c r="T2" s="108" t="s">
        <v>542</v>
      </c>
      <c r="U2" s="118" t="s">
        <v>317</v>
      </c>
      <c r="V2" s="118" t="s">
        <v>171</v>
      </c>
      <c r="W2" s="118" t="s">
        <v>230</v>
      </c>
      <c r="X2" s="118" t="s">
        <v>228</v>
      </c>
      <c r="Y2" s="118" t="s">
        <v>229</v>
      </c>
      <c r="Z2" s="118" t="s">
        <v>231</v>
      </c>
      <c r="AA2" s="118" t="s">
        <v>242</v>
      </c>
      <c r="AB2" s="118" t="s">
        <v>243</v>
      </c>
      <c r="AC2" s="118" t="s">
        <v>249</v>
      </c>
      <c r="AD2" s="194" t="s">
        <v>259</v>
      </c>
      <c r="AE2" s="118" t="s">
        <v>319</v>
      </c>
      <c r="AF2" s="118" t="s">
        <v>260</v>
      </c>
      <c r="AG2" s="118" t="s">
        <v>270</v>
      </c>
      <c r="AH2" s="118" t="s">
        <v>504</v>
      </c>
      <c r="AI2" s="118" t="s">
        <v>506</v>
      </c>
      <c r="AJ2" s="118" t="s">
        <v>509</v>
      </c>
      <c r="AK2" s="118" t="s">
        <v>543</v>
      </c>
      <c r="AL2" s="118" t="s">
        <v>505</v>
      </c>
      <c r="AM2" s="118" t="s">
        <v>625</v>
      </c>
      <c r="AN2" s="118" t="s">
        <v>555</v>
      </c>
      <c r="AO2" s="118" t="s">
        <v>544</v>
      </c>
      <c r="AP2" s="118" t="s">
        <v>545</v>
      </c>
      <c r="AQ2" s="118" t="s">
        <v>546</v>
      </c>
      <c r="AR2" s="118" t="s">
        <v>547</v>
      </c>
      <c r="AS2" s="118" t="s">
        <v>548</v>
      </c>
      <c r="AT2" s="118" t="s">
        <v>549</v>
      </c>
      <c r="AU2" s="118" t="s">
        <v>507</v>
      </c>
      <c r="AV2" s="118" t="s">
        <v>550</v>
      </c>
      <c r="AW2" s="294" t="s">
        <v>551</v>
      </c>
      <c r="AX2" s="295" t="s">
        <v>491</v>
      </c>
      <c r="AY2" s="296" t="s">
        <v>552</v>
      </c>
      <c r="AZ2" s="297" t="s">
        <v>553</v>
      </c>
      <c r="BA2" s="294" t="s">
        <v>554</v>
      </c>
      <c r="BT2" s="87" t="s">
        <v>503</v>
      </c>
      <c r="BU2" s="87" t="s">
        <v>500</v>
      </c>
      <c r="BV2" s="87" t="s">
        <v>501</v>
      </c>
      <c r="BW2" s="87" t="s">
        <v>502</v>
      </c>
      <c r="BX2" s="87" t="s">
        <v>505</v>
      </c>
    </row>
    <row r="3" spans="1:76" s="88" customFormat="1" ht="12.75" customHeight="1" thickBot="1">
      <c r="A3" s="111">
        <v>1</v>
      </c>
      <c r="B3" s="334" t="str">
        <f t="shared" ref="B3:B34" si="0">PROPER($C3&amp;" "&amp;$D3)</f>
        <v>Warren Lawrence</v>
      </c>
      <c r="C3" s="116" t="s">
        <v>1352</v>
      </c>
      <c r="D3" s="116" t="s">
        <v>1353</v>
      </c>
      <c r="E3"/>
      <c r="F3" s="336" t="str">
        <f>IF(SUM(COUNTIF(H3,{"*Girl*","*Women*","*Woman*","*Female*","*Wo*","*Fe*","*F*"})),"F","M")</f>
        <v>M</v>
      </c>
      <c r="G3" s="337" t="str">
        <f>IFERROR(IF(ISNUMBER(SEARCH("*",N3)),N3&amp;" "&amp;F3,IF(F3="M",LOOKUP(J3,AgeCategories!$A$3:$D$13),LOOKUP(J3,AgeCategories!$A$14:$D$24))),"Invalid Age")</f>
        <v>E-Bike Lite M</v>
      </c>
      <c r="H3" s="175" t="s">
        <v>209</v>
      </c>
      <c r="I3" s="338">
        <f t="shared" ref="I3:I34" si="1">IFERROR(--TEXT(IF((--LEFT($M3,2))&lt;30,"20","19")&amp;LEFT($M3,6),"0000\-00\-00"),"ID No. needed")</f>
        <v>28731</v>
      </c>
      <c r="J3" s="339">
        <f>IFERROR(DATEDIF($I3,Helpers!$O$2,"y"),"ID No. needed")</f>
        <v>44</v>
      </c>
      <c r="K3" s="324"/>
      <c r="L3" s="167">
        <v>794910028</v>
      </c>
      <c r="M3" s="353" t="s">
        <v>1760</v>
      </c>
      <c r="N3" s="341" t="s">
        <v>598</v>
      </c>
      <c r="O3" s="308" t="b">
        <v>1</v>
      </c>
      <c r="P3" s="192" t="b">
        <f>NOT(ISNA(VLOOKUP(A3,SortedDownload!A:A,1,FALSE)))</f>
        <v>1</v>
      </c>
      <c r="Q3" s="373" t="s">
        <v>2727</v>
      </c>
      <c r="R3" s="325"/>
      <c r="S3" s="74"/>
      <c r="T3" s="74"/>
      <c r="U3" s="54" t="s">
        <v>2021</v>
      </c>
      <c r="V3" s="344" t="str">
        <f t="shared" ref="V3:V34" si="2">IF(K3="", "-", K3)</f>
        <v>-</v>
      </c>
      <c r="W3" s="339" t="str">
        <f t="shared" ref="W3:W34" si="3">B3</f>
        <v>Warren Lawrence</v>
      </c>
      <c r="X3" s="344" t="str">
        <f t="shared" ref="X3:X34" si="4">LEFT($W3, SEARCH(" ", $W3) - 1)</f>
        <v>Warren</v>
      </c>
      <c r="Y3" s="344" t="str">
        <f t="shared" ref="Y3:Y34" si="5">RIGHT($W3, LEN($W3) - SEARCH(" ", $W3))</f>
        <v>Lawrence</v>
      </c>
      <c r="Z3" s="344" t="str">
        <f t="shared" ref="Z3:Z34" si="6">CONCATENATE(LEFT($X3,1),".",$Y3)</f>
        <v>W.Lawrence</v>
      </c>
      <c r="AA3" s="346" t="str">
        <f t="shared" ref="AA3:AA66" si="7">IF(COUNTIF($B$3:$B$291, $B3)&gt;1, "Duplicate", "")</f>
        <v/>
      </c>
      <c r="AB3" s="346" t="str">
        <f t="shared" ref="AB3:AB66" si="8">IF( COUNTIF($A$3:$A$291,$A3)&gt;1, "Duplicate", "")</f>
        <v/>
      </c>
      <c r="AC3" s="344" t="str">
        <f>IFERROR(IF(ISNUMBER(SEARCH("*",N3)),N3&amp;" "&amp;F3,IF(F3="M",LOOKUP(J3,AgeCategories!$A$3:$F$11),LOOKUP(J3,AgeCategories!$A$14:$F$22))),"")</f>
        <v>E-Bike Lite M</v>
      </c>
      <c r="AD3" s="347">
        <f t="shared" ref="AD3:AD34" si="9">--TEXT(IF((--LEFT($M3,2))&lt;30,"20","19")&amp;LEFT($M3,6),"0000\-00\-00")</f>
        <v>28731</v>
      </c>
      <c r="AE3" s="344">
        <f t="shared" ref="AE3:AE34" si="10">DATEDIF($I3,$V$1,"y")</f>
        <v>44</v>
      </c>
      <c r="AF3" s="337" t="str">
        <f>IF(SUM(COUNTIF(H3,{"*Girl*","*Women*","*Woman*","*Female*","*Wo*","*Fe*","*F*"})),"F","M")</f>
        <v>M</v>
      </c>
      <c r="AG3" s="41"/>
      <c r="AH3" s="41"/>
      <c r="AI3" s="344" t="e">
        <f t="array" aca="1" ref="AI3" ca="1">(SMALL(IF(ISERROR(MATCH($AJ$3+ROW(OFFSET($A$3, 0,0, $AJ$4-$AJ$3+1))-2, $A$3:$A651,0)), $AJ$3+ROW(OFFSET($A$2,0, 0, $AJ$4-$AJ$3+1))-1), ROW(A2)))</f>
        <v>#NUM!</v>
      </c>
      <c r="AJ3" s="336">
        <f>Helpers!AY145</f>
        <v>0</v>
      </c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167"/>
      <c r="AV3" s="328"/>
      <c r="AW3" s="56" t="s">
        <v>2275</v>
      </c>
      <c r="AX3" s="56" t="s">
        <v>2478</v>
      </c>
      <c r="AY3" s="56"/>
      <c r="AZ3" s="56" t="s">
        <v>2537</v>
      </c>
      <c r="BA3" s="56"/>
    </row>
    <row r="4" spans="1:76" ht="13.5" customHeight="1" thickBot="1">
      <c r="A4" s="111">
        <v>2</v>
      </c>
      <c r="B4" s="335" t="str">
        <f t="shared" si="0"/>
        <v>Isabel De Kock</v>
      </c>
      <c r="C4" s="116" t="s">
        <v>1354</v>
      </c>
      <c r="D4" s="116" t="s">
        <v>1355</v>
      </c>
      <c r="E4"/>
      <c r="F4" s="336" t="str">
        <f>IF(SUM(COUNTIF(H4,{"*Girl*","*Women*","*Woman*","*Female*","*Wo*","*Fe*","*F*"})),"F","M")</f>
        <v>M</v>
      </c>
      <c r="G4" s="337" t="str">
        <f>IFERROR(IF(ISNUMBER(SEARCH("*",N4)),N4&amp;" "&amp;F4,IF(F4="M",LOOKUP(J4,AgeCategories!$A$3:$D$13),LOOKUP(J4,AgeCategories!$A$14:$D$24))),"Invalid Age")</f>
        <v>Master Men</v>
      </c>
      <c r="H4" s="175" t="s">
        <v>209</v>
      </c>
      <c r="I4" s="338">
        <f t="shared" si="1"/>
        <v>27876</v>
      </c>
      <c r="J4" s="340">
        <f>IFERROR(DATEDIF($I4,Helpers!$O$2,"y"),"ID No. needed")</f>
        <v>46</v>
      </c>
      <c r="K4" s="324"/>
      <c r="L4" s="300" t="s">
        <v>2649</v>
      </c>
      <c r="M4" s="353" t="s">
        <v>1761</v>
      </c>
      <c r="N4" s="341"/>
      <c r="O4" s="308" t="b">
        <v>0</v>
      </c>
      <c r="P4" s="192" t="b">
        <f>NOT(ISNA(VLOOKUP(A4,SortedDownload!A:A,1,FALSE)))</f>
        <v>0</v>
      </c>
      <c r="Q4" s="374" t="s">
        <v>2728</v>
      </c>
      <c r="R4" s="325"/>
      <c r="S4" s="235"/>
      <c r="T4" s="235"/>
      <c r="U4" s="54" t="s">
        <v>2022</v>
      </c>
      <c r="V4" s="337" t="str">
        <f t="shared" si="2"/>
        <v>-</v>
      </c>
      <c r="W4" s="348" t="str">
        <f t="shared" si="3"/>
        <v>Isabel De Kock</v>
      </c>
      <c r="X4" s="337" t="str">
        <f t="shared" si="4"/>
        <v>Isabel</v>
      </c>
      <c r="Y4" s="337" t="str">
        <f t="shared" si="5"/>
        <v>De Kock</v>
      </c>
      <c r="Z4" s="337" t="str">
        <f t="shared" si="6"/>
        <v>I.De Kock</v>
      </c>
      <c r="AA4" s="349" t="str">
        <f t="shared" si="7"/>
        <v/>
      </c>
      <c r="AB4" s="349" t="str">
        <f t="shared" si="8"/>
        <v/>
      </c>
      <c r="AC4" s="337" t="str">
        <f>IFERROR(IF(ISNUMBER(SEARCH("*",N4)),N4&amp;" "&amp;F4,IF(F4="M",LOOKUP(J4,AgeCategories!$A$3:$F$11),LOOKUP(J4,AgeCategories!$A$14:$F$22))),"")</f>
        <v>MM</v>
      </c>
      <c r="AD4" s="350">
        <f t="shared" si="9"/>
        <v>27876</v>
      </c>
      <c r="AE4" s="337">
        <f t="shared" si="10"/>
        <v>46</v>
      </c>
      <c r="AF4" s="337" t="str">
        <f>IF(SUM(COUNTIF(H4,{"*Girl*","*Women*","*Woman*","*Female*","*Wo*","*Fe*","*F*"})),"F","M")</f>
        <v>M</v>
      </c>
      <c r="AG4" s="112"/>
      <c r="AH4" s="112"/>
      <c r="AI4" s="344" t="e">
        <f t="array" aca="1" ref="AI4" ca="1">(SMALL(IF(ISERROR(MATCH($AJ$3+ROW(OFFSET($A$3, 0,0, $AJ$4-$AJ$3+1))-2, $A$3:$A652,0)), $AJ$3+ROW(OFFSET($A$2,0, 0, $AJ$4-$AJ$3+1))-1), ROW(A3)))</f>
        <v>#NUM!</v>
      </c>
      <c r="AJ4" s="336">
        <f>Helpers!AY144</f>
        <v>0</v>
      </c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167"/>
      <c r="AV4" s="328"/>
      <c r="AW4" s="56" t="s">
        <v>2276</v>
      </c>
      <c r="AX4" s="56" t="s">
        <v>2479</v>
      </c>
      <c r="AY4" s="56" t="s">
        <v>2277</v>
      </c>
      <c r="AZ4" s="56" t="s">
        <v>2537</v>
      </c>
      <c r="BA4" s="56"/>
    </row>
    <row r="5" spans="1:76" ht="13.5" thickBot="1">
      <c r="A5" s="111">
        <v>3</v>
      </c>
      <c r="B5" s="335" t="str">
        <f t="shared" si="0"/>
        <v>Kevin De Kock</v>
      </c>
      <c r="C5" s="20" t="s">
        <v>1356</v>
      </c>
      <c r="D5" s="20" t="s">
        <v>1355</v>
      </c>
      <c r="E5" t="s">
        <v>146</v>
      </c>
      <c r="F5" s="336" t="s">
        <v>209</v>
      </c>
      <c r="G5" s="337" t="str">
        <f>IFERROR(IF(ISNUMBER(SEARCH("*",N5)),N5&amp;" "&amp;F5,IF(F5="M",LOOKUP(J5,AgeCategories!$A$3:$D$13),LOOKUP(J5,AgeCategories!$A$14:$D$24))),"Invalid Age")</f>
        <v>Junior Men</v>
      </c>
      <c r="H5" s="20" t="s">
        <v>209</v>
      </c>
      <c r="I5" s="338">
        <f t="shared" si="1"/>
        <v>38311</v>
      </c>
      <c r="J5" s="340">
        <f>IFERROR(DATEDIF($I5,Helpers!$O$2,"y"),"ID No. needed")</f>
        <v>18</v>
      </c>
      <c r="K5" t="s">
        <v>146</v>
      </c>
      <c r="L5" s="300" t="s">
        <v>2650</v>
      </c>
      <c r="M5" s="319" t="s">
        <v>1762</v>
      </c>
      <c r="N5" s="341" t="s">
        <v>146</v>
      </c>
      <c r="O5" s="308" t="b">
        <v>1</v>
      </c>
      <c r="P5" s="192" t="b">
        <f>NOT(ISNA(VLOOKUP(A5,SortedDownload!A:A,1,FALSE)))</f>
        <v>1</v>
      </c>
      <c r="Q5" s="373" t="s">
        <v>2729</v>
      </c>
      <c r="R5" s="7" t="s">
        <v>146</v>
      </c>
      <c r="S5" s="235" t="s">
        <v>146</v>
      </c>
      <c r="T5" s="235" t="s">
        <v>146</v>
      </c>
      <c r="U5" s="75" t="s">
        <v>2022</v>
      </c>
      <c r="V5" s="337" t="str">
        <f t="shared" si="2"/>
        <v>-</v>
      </c>
      <c r="W5" s="348" t="str">
        <f t="shared" si="3"/>
        <v>Kevin De Kock</v>
      </c>
      <c r="X5" s="337" t="str">
        <f t="shared" si="4"/>
        <v>Kevin</v>
      </c>
      <c r="Y5" s="337" t="str">
        <f t="shared" si="5"/>
        <v>De Kock</v>
      </c>
      <c r="Z5" s="337" t="str">
        <f t="shared" si="6"/>
        <v>K.De Kock</v>
      </c>
      <c r="AA5" s="349" t="str">
        <f t="shared" si="7"/>
        <v/>
      </c>
      <c r="AB5" s="349" t="str">
        <f t="shared" si="8"/>
        <v/>
      </c>
      <c r="AC5" s="337" t="str">
        <f>IFERROR(IF(ISNUMBER(SEARCH("*",N5)),N5&amp;" "&amp;F5,IF(F5="M",LOOKUP(J5,AgeCategories!$A$3:$F$11),LOOKUP(J5,AgeCategories!$A$14:$F$22))),"")</f>
        <v>JM</v>
      </c>
      <c r="AD5" s="350">
        <f t="shared" si="9"/>
        <v>38311</v>
      </c>
      <c r="AE5" s="337">
        <f t="shared" si="10"/>
        <v>18</v>
      </c>
      <c r="AF5" s="337" t="str">
        <f>IF(SUM(COUNTIF(H5,{"*Girl*","*Women*","*Woman*","*Female*","*Wo*","*Fe*","*F*"})),"F","M")</f>
        <v>M</v>
      </c>
      <c r="AG5" s="112"/>
      <c r="AH5" s="112"/>
      <c r="AI5" s="344" t="e">
        <f t="array" aca="1" ref="AI5" ca="1">(SMALL(IF(ISERROR(MATCH($AJ$3+ROW(OFFSET($A$3, 0,0, $AJ$4-$AJ$3+1))-2, $A$3:$A653,0)), $AJ$3+ROW(OFFSET($A$2,0, 0, $AJ$4-$AJ$3+1))-1), ROW(A4)))</f>
        <v>#NUM!</v>
      </c>
      <c r="AJ5" s="336">
        <f>Helpers!AY47</f>
        <v>0</v>
      </c>
      <c r="AK5" s="54"/>
      <c r="AL5" s="54"/>
      <c r="AM5" s="54"/>
      <c r="AN5" s="54"/>
      <c r="AO5" s="54"/>
      <c r="AP5" s="54"/>
      <c r="AQ5" s="54"/>
      <c r="AR5" s="54"/>
      <c r="AS5" s="54"/>
      <c r="AT5" s="54"/>
      <c r="AU5"/>
      <c r="AV5"/>
      <c r="AW5" t="s">
        <v>2276</v>
      </c>
      <c r="AX5" s="56" t="s">
        <v>2479</v>
      </c>
      <c r="AY5" t="s">
        <v>2277</v>
      </c>
      <c r="AZ5" s="56" t="s">
        <v>2537</v>
      </c>
      <c r="BA5" s="56"/>
    </row>
    <row r="6" spans="1:76" ht="13.5" customHeight="1" thickBot="1">
      <c r="A6" s="111">
        <v>4</v>
      </c>
      <c r="B6" s="335" t="str">
        <f t="shared" si="0"/>
        <v>James Eatwell</v>
      </c>
      <c r="C6" s="116" t="s">
        <v>649</v>
      </c>
      <c r="D6" s="116" t="s">
        <v>1357</v>
      </c>
      <c r="E6"/>
      <c r="F6" s="336" t="str">
        <f>IF(SUM(COUNTIF(H6,{"*Girl*","*Women*","*Woman*","*Female*","*Wo*","*Fe*","*F*"})),"F","M")</f>
        <v>M</v>
      </c>
      <c r="G6" s="337" t="str">
        <f>IFERROR(IF(ISNUMBER(SEARCH("*",N6)),N6&amp;" "&amp;F6,IF(F6="M",LOOKUP(J6,AgeCategories!$A$3:$D$13),LOOKUP(J6,AgeCategories!$A$14:$D$24))),"Invalid Age")</f>
        <v>Master Men</v>
      </c>
      <c r="H6" s="175" t="s">
        <v>209</v>
      </c>
      <c r="I6" s="338">
        <f t="shared" si="1"/>
        <v>28187</v>
      </c>
      <c r="J6" s="340">
        <f>IFERROR(DATEDIF($I6,Helpers!$O$2,"y"),"ID No. needed")</f>
        <v>45</v>
      </c>
      <c r="K6" s="324"/>
      <c r="L6" s="300" t="s">
        <v>2651</v>
      </c>
      <c r="M6" s="353" t="s">
        <v>1763</v>
      </c>
      <c r="N6" s="341"/>
      <c r="O6" s="308" t="b">
        <v>1</v>
      </c>
      <c r="P6" s="192" t="b">
        <f>NOT(ISNA(VLOOKUP(A6,SortedDownload!A:A,1,FALSE)))</f>
        <v>1</v>
      </c>
      <c r="Q6" s="373" t="s">
        <v>2728</v>
      </c>
      <c r="R6" s="325"/>
      <c r="S6" s="235"/>
      <c r="T6" s="235"/>
      <c r="U6" s="54" t="s">
        <v>2023</v>
      </c>
      <c r="V6" s="337" t="str">
        <f t="shared" si="2"/>
        <v>-</v>
      </c>
      <c r="W6" s="348" t="str">
        <f t="shared" si="3"/>
        <v>James Eatwell</v>
      </c>
      <c r="X6" s="337" t="str">
        <f t="shared" si="4"/>
        <v>James</v>
      </c>
      <c r="Y6" s="337" t="str">
        <f t="shared" si="5"/>
        <v>Eatwell</v>
      </c>
      <c r="Z6" s="337" t="str">
        <f t="shared" si="6"/>
        <v>J.Eatwell</v>
      </c>
      <c r="AA6" s="349" t="str">
        <f t="shared" si="7"/>
        <v/>
      </c>
      <c r="AB6" s="349" t="str">
        <f t="shared" si="8"/>
        <v/>
      </c>
      <c r="AC6" s="337" t="str">
        <f>IFERROR(IF(ISNUMBER(SEARCH("*",N6)),N6&amp;" "&amp;F6,IF(F6="M",LOOKUP(J6,AgeCategories!$A$3:$F$11),LOOKUP(J6,AgeCategories!$A$14:$F$22))),"")</f>
        <v>MM</v>
      </c>
      <c r="AD6" s="350">
        <f t="shared" si="9"/>
        <v>28187</v>
      </c>
      <c r="AE6" s="337">
        <f t="shared" si="10"/>
        <v>45</v>
      </c>
      <c r="AF6" s="337" t="str">
        <f>IF(SUM(COUNTIF(H6,{"*Girl*","*Women*","*Woman*","*Female*","*Wo*","*Fe*","*F*"})),"F","M")</f>
        <v>M</v>
      </c>
      <c r="AG6" s="112"/>
      <c r="AH6" s="112"/>
      <c r="AI6" s="344" t="e">
        <f t="array" aca="1" ref="AI6" ca="1">(SMALL(IF(ISERROR(MATCH($AJ$3+ROW(OFFSET($A$3, 0,0, $AJ$4-$AJ$3+1))-2, $A$3:$A654,0)), $AJ$3+ROW(OFFSET($A$2,0, 0, $AJ$4-$AJ$3+1))-1), ROW(A5)))</f>
        <v>#NUM!</v>
      </c>
      <c r="AJ6" s="336">
        <f>Helpers!AY143</f>
        <v>0</v>
      </c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167"/>
      <c r="AV6" s="328"/>
      <c r="AW6" s="56" t="s">
        <v>2277</v>
      </c>
      <c r="AX6" s="56" t="s">
        <v>2277</v>
      </c>
      <c r="AY6" s="56" t="s">
        <v>2546</v>
      </c>
      <c r="AZ6" s="56" t="s">
        <v>2537</v>
      </c>
      <c r="BA6" s="56"/>
    </row>
    <row r="7" spans="1:76" ht="13.5" customHeight="1" thickBot="1">
      <c r="A7" s="111">
        <v>5</v>
      </c>
      <c r="B7" s="335" t="str">
        <f t="shared" si="0"/>
        <v>Charl Du Plessis</v>
      </c>
      <c r="C7" s="116" t="s">
        <v>1358</v>
      </c>
      <c r="D7" s="116" t="s">
        <v>1359</v>
      </c>
      <c r="E7"/>
      <c r="F7" s="336" t="str">
        <f>IF(SUM(COUNTIF(H7,{"*Girl*","*Women*","*Woman*","*Female*","*Wo*","*Fe*","*F*"})),"F","M")</f>
        <v>M</v>
      </c>
      <c r="G7" s="337" t="str">
        <f>IFERROR(IF(ISNUMBER(SEARCH("*",N7)),N7&amp;" "&amp;F7,IF(F7="M",LOOKUP(J7,AgeCategories!$A$3:$D$13),LOOKUP(J7,AgeCategories!$A$14:$D$24))),"Invalid Age")</f>
        <v>E-Bike Lite M</v>
      </c>
      <c r="H7" s="175" t="s">
        <v>209</v>
      </c>
      <c r="I7" s="338">
        <f t="shared" si="1"/>
        <v>27699</v>
      </c>
      <c r="J7" s="340">
        <f>IFERROR(DATEDIF($I7,Helpers!$O$2,"y"),"ID No. needed")</f>
        <v>47</v>
      </c>
      <c r="K7" s="324"/>
      <c r="L7" s="300" t="s">
        <v>2652</v>
      </c>
      <c r="M7" s="353" t="s">
        <v>1764</v>
      </c>
      <c r="N7" s="341" t="s">
        <v>598</v>
      </c>
      <c r="O7" s="308" t="b">
        <v>1</v>
      </c>
      <c r="P7" s="192" t="b">
        <f>NOT(ISNA(VLOOKUP(A7,SortedDownload!A:A,1,FALSE)))</f>
        <v>1</v>
      </c>
      <c r="Q7" s="373" t="s">
        <v>2727</v>
      </c>
      <c r="R7" s="325"/>
      <c r="S7" s="235"/>
      <c r="T7" s="235"/>
      <c r="U7" s="54" t="s">
        <v>2024</v>
      </c>
      <c r="V7" s="337" t="str">
        <f t="shared" si="2"/>
        <v>-</v>
      </c>
      <c r="W7" s="348" t="str">
        <f t="shared" si="3"/>
        <v>Charl Du Plessis</v>
      </c>
      <c r="X7" s="337" t="str">
        <f t="shared" si="4"/>
        <v>Charl</v>
      </c>
      <c r="Y7" s="337" t="str">
        <f t="shared" si="5"/>
        <v>Du Plessis</v>
      </c>
      <c r="Z7" s="337" t="str">
        <f t="shared" si="6"/>
        <v>C.Du Plessis</v>
      </c>
      <c r="AA7" s="349" t="str">
        <f t="shared" si="7"/>
        <v/>
      </c>
      <c r="AB7" s="349" t="str">
        <f t="shared" si="8"/>
        <v/>
      </c>
      <c r="AC7" s="337" t="str">
        <f>IFERROR(IF(ISNUMBER(SEARCH("*",N7)),N7&amp;" "&amp;F7,IF(F7="M",LOOKUP(J7,AgeCategories!$A$3:$F$11),LOOKUP(J7,AgeCategories!$A$14:$F$22))),"")</f>
        <v>E-Bike Lite M</v>
      </c>
      <c r="AD7" s="350">
        <f t="shared" si="9"/>
        <v>27699</v>
      </c>
      <c r="AE7" s="337">
        <f t="shared" si="10"/>
        <v>47</v>
      </c>
      <c r="AF7" s="337" t="str">
        <f>IF(SUM(COUNTIF(H7,{"*Girl*","*Women*","*Woman*","*Female*","*Wo*","*Fe*","*F*"})),"F","M")</f>
        <v>M</v>
      </c>
      <c r="AG7" s="112"/>
      <c r="AH7" s="112"/>
      <c r="AI7" s="344" t="e">
        <f t="array" aca="1" ref="AI7" ca="1">(SMALL(IF(ISERROR(MATCH($AJ$3+ROW(OFFSET($A$3, 0,0, $AJ$4-$AJ$3+1))-2, $A$3:$A655,0)), $AJ$3+ROW(OFFSET($A$2,0, 0, $AJ$4-$AJ$3+1))-1), ROW(A6)))</f>
        <v>#NUM!</v>
      </c>
      <c r="AJ7" s="336">
        <f>Helpers!AY142</f>
        <v>0</v>
      </c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167"/>
      <c r="AV7" s="328"/>
      <c r="AW7" s="56" t="s">
        <v>2278</v>
      </c>
      <c r="AX7" s="56" t="s">
        <v>2478</v>
      </c>
      <c r="AY7" s="56"/>
      <c r="AZ7" s="56" t="s">
        <v>2538</v>
      </c>
      <c r="BA7" s="56"/>
    </row>
    <row r="8" spans="1:76" ht="13.5" customHeight="1" thickBot="1">
      <c r="A8" s="111">
        <v>6</v>
      </c>
      <c r="B8" s="335" t="str">
        <f t="shared" si="0"/>
        <v>James Collins</v>
      </c>
      <c r="C8" s="116" t="s">
        <v>649</v>
      </c>
      <c r="D8" s="116" t="s">
        <v>1360</v>
      </c>
      <c r="E8"/>
      <c r="F8" s="336" t="str">
        <f>IF(SUM(COUNTIF(H8,{"*Girl*","*Women*","*Woman*","*Female*","*Wo*","*Fe*","*F*"})),"F","M")</f>
        <v>M</v>
      </c>
      <c r="G8" s="337" t="str">
        <f>IFERROR(IF(ISNUMBER(SEARCH("*",N8)),N8&amp;" "&amp;F8,IF(F8="M",LOOKUP(J8,AgeCategories!$A$3:$D$13),LOOKUP(J8,AgeCategories!$A$14:$D$24))),"Invalid Age")</f>
        <v>Lite M</v>
      </c>
      <c r="H8" s="175" t="s">
        <v>209</v>
      </c>
      <c r="I8" s="338">
        <f t="shared" si="1"/>
        <v>38590</v>
      </c>
      <c r="J8" s="340">
        <f>IFERROR(DATEDIF($I8,Helpers!$O$2,"y"),"ID No. needed")</f>
        <v>17</v>
      </c>
      <c r="K8" s="324"/>
      <c r="L8" s="300" t="s">
        <v>2653</v>
      </c>
      <c r="M8" s="353" t="s">
        <v>1765</v>
      </c>
      <c r="N8" s="341" t="s">
        <v>2601</v>
      </c>
      <c r="O8" s="308" t="b">
        <v>1</v>
      </c>
      <c r="P8" s="192" t="b">
        <f>NOT(ISNA(VLOOKUP(A8,SortedDownload!A:A,1,FALSE)))</f>
        <v>1</v>
      </c>
      <c r="Q8" s="373" t="s">
        <v>2601</v>
      </c>
      <c r="R8" s="325"/>
      <c r="S8" s="235"/>
      <c r="T8" s="235"/>
      <c r="U8" s="54" t="s">
        <v>2025</v>
      </c>
      <c r="V8" s="337" t="str">
        <f t="shared" si="2"/>
        <v>-</v>
      </c>
      <c r="W8" s="348" t="str">
        <f t="shared" si="3"/>
        <v>James Collins</v>
      </c>
      <c r="X8" s="337" t="str">
        <f t="shared" si="4"/>
        <v>James</v>
      </c>
      <c r="Y8" s="337" t="str">
        <f t="shared" si="5"/>
        <v>Collins</v>
      </c>
      <c r="Z8" s="337" t="str">
        <f t="shared" si="6"/>
        <v>J.Collins</v>
      </c>
      <c r="AA8" s="349" t="str">
        <f t="shared" si="7"/>
        <v/>
      </c>
      <c r="AB8" s="349" t="str">
        <f t="shared" si="8"/>
        <v/>
      </c>
      <c r="AC8" s="337" t="str">
        <f>IFERROR(IF(ISNUMBER(SEARCH("*",N8)),N8&amp;" "&amp;F8,IF(F8="M",LOOKUP(J8,AgeCategories!$A$3:$F$11),LOOKUP(J8,AgeCategories!$A$14:$F$22))),"")</f>
        <v>Lite M</v>
      </c>
      <c r="AD8" s="350">
        <f t="shared" si="9"/>
        <v>38590</v>
      </c>
      <c r="AE8" s="337">
        <f t="shared" si="10"/>
        <v>17</v>
      </c>
      <c r="AF8" s="337" t="str">
        <f>IF(SUM(COUNTIF(H8,{"*Girl*","*Women*","*Woman*","*Female*","*Wo*","*Fe*","*F*"})),"F","M")</f>
        <v>M</v>
      </c>
      <c r="AG8" s="112"/>
      <c r="AH8" s="112"/>
      <c r="AI8" s="344" t="e">
        <f t="array" aca="1" ref="AI8" ca="1">(SMALL(IF(ISERROR(MATCH($AJ$3+ROW(OFFSET($A$3, 0,0, $AJ$4-$AJ$3+1))-2, $A$3:$A656,0)), $AJ$3+ROW(OFFSET($A$2,0, 0, $AJ$4-$AJ$3+1))-1), ROW(A7)))</f>
        <v>#NUM!</v>
      </c>
      <c r="AJ8" s="336">
        <f>Helpers!AY141</f>
        <v>0</v>
      </c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167"/>
      <c r="AV8" s="328"/>
      <c r="AW8" s="56" t="s">
        <v>2279</v>
      </c>
      <c r="AX8" s="56" t="s">
        <v>2480</v>
      </c>
      <c r="AY8" s="56" t="s">
        <v>2277</v>
      </c>
      <c r="AZ8" s="56" t="s">
        <v>2537</v>
      </c>
      <c r="BA8" s="56"/>
    </row>
    <row r="9" spans="1:76" ht="13.5" thickBot="1">
      <c r="A9" s="111">
        <v>7</v>
      </c>
      <c r="B9" s="335" t="str">
        <f t="shared" si="0"/>
        <v>Stéphen Du Toit</v>
      </c>
      <c r="C9" s="20" t="s">
        <v>1361</v>
      </c>
      <c r="D9" s="20" t="s">
        <v>1362</v>
      </c>
      <c r="E9"/>
      <c r="F9" s="336" t="str">
        <f>IF(SUM(COUNTIF(H9,{"*Girl*","*Women*","*Woman*","*Female*","*Wo*","*Fe*","*F*"})),"F","M")</f>
        <v>M</v>
      </c>
      <c r="G9" s="337" t="str">
        <f>IFERROR(IF(ISNUMBER(SEARCH("*",N9)),N9&amp;" "&amp;F9,IF(F9="M",LOOKUP(J9,AgeCategories!$A$3:$D$13),LOOKUP(J9,AgeCategories!$A$14:$D$24))),"Invalid Age")</f>
        <v>Lite M</v>
      </c>
      <c r="H9" s="20" t="s">
        <v>209</v>
      </c>
      <c r="I9" s="338">
        <f t="shared" si="1"/>
        <v>38009</v>
      </c>
      <c r="J9" s="340">
        <f>IFERROR(DATEDIF($I9,Helpers!$O$2,"y"),"ID No. needed")</f>
        <v>18</v>
      </c>
      <c r="K9"/>
      <c r="L9" s="300" t="s">
        <v>2654</v>
      </c>
      <c r="M9" s="353" t="s">
        <v>1766</v>
      </c>
      <c r="N9" s="341" t="s">
        <v>2601</v>
      </c>
      <c r="O9" s="308" t="b">
        <v>1</v>
      </c>
      <c r="P9" s="192" t="b">
        <f>NOT(ISNA(VLOOKUP(A9,SortedDownload!A:A,1,FALSE)))</f>
        <v>1</v>
      </c>
      <c r="Q9" s="373" t="s">
        <v>2601</v>
      </c>
      <c r="R9"/>
      <c r="S9" s="235"/>
      <c r="T9" s="235"/>
      <c r="U9" t="s">
        <v>2026</v>
      </c>
      <c r="V9" s="337" t="str">
        <f t="shared" si="2"/>
        <v>-</v>
      </c>
      <c r="W9" s="348" t="str">
        <f t="shared" si="3"/>
        <v>Stéphen Du Toit</v>
      </c>
      <c r="X9" s="337" t="str">
        <f t="shared" si="4"/>
        <v>Stéphen</v>
      </c>
      <c r="Y9" s="337" t="str">
        <f t="shared" si="5"/>
        <v>Du Toit</v>
      </c>
      <c r="Z9" s="337" t="str">
        <f t="shared" si="6"/>
        <v>S.Du Toit</v>
      </c>
      <c r="AA9" s="349" t="str">
        <f t="shared" si="7"/>
        <v/>
      </c>
      <c r="AB9" s="349" t="str">
        <f t="shared" si="8"/>
        <v/>
      </c>
      <c r="AC9" s="337" t="str">
        <f>IFERROR(IF(ISNUMBER(SEARCH("*",N9)),N9&amp;" "&amp;F9,IF(F9="M",LOOKUP(J9,AgeCategories!$A$3:$F$11),LOOKUP(J9,AgeCategories!$A$14:$F$22))),"")</f>
        <v>Lite M</v>
      </c>
      <c r="AD9" s="350">
        <f t="shared" si="9"/>
        <v>38009</v>
      </c>
      <c r="AE9" s="337">
        <f t="shared" si="10"/>
        <v>18</v>
      </c>
      <c r="AF9" s="337" t="str">
        <f>IF(SUM(COUNTIF(H9,{"*Girl*","*Women*","*Woman*","*Female*","*Wo*","*Fe*","*F*"})),"F","M")</f>
        <v>M</v>
      </c>
      <c r="AG9" s="112"/>
      <c r="AH9" s="112"/>
      <c r="AI9" s="344" t="e">
        <f t="array" aca="1" ref="AI9" ca="1">(SMALL(IF(ISERROR(MATCH($AJ$3+ROW(OFFSET($A$3, 0,0, $AJ$4-$AJ$3+1))-2, $A$3:$A655,0)), $AJ$3+ROW(OFFSET($A$2,0, 0, $AJ$4-$AJ$3+1))-1), ROW(A8)))</f>
        <v>#NUM!</v>
      </c>
      <c r="AJ9" s="336">
        <f>Helpers!AY36</f>
        <v>0</v>
      </c>
      <c r="AK9" s="54"/>
      <c r="AL9" s="54"/>
      <c r="AM9" s="54"/>
      <c r="AN9" s="54"/>
      <c r="AO9" s="54"/>
      <c r="AP9" s="54"/>
      <c r="AQ9" s="54"/>
      <c r="AR9" s="54"/>
      <c r="AS9" s="54"/>
      <c r="AT9" s="54"/>
      <c r="AU9"/>
      <c r="AV9"/>
      <c r="AW9" t="s">
        <v>2280</v>
      </c>
      <c r="AX9" s="56" t="s">
        <v>2478</v>
      </c>
      <c r="AY9" t="s">
        <v>2277</v>
      </c>
      <c r="AZ9" s="56" t="s">
        <v>2537</v>
      </c>
      <c r="BA9" s="56"/>
    </row>
    <row r="10" spans="1:76" ht="13.5" customHeight="1" thickBot="1">
      <c r="A10" s="111">
        <v>8</v>
      </c>
      <c r="B10" s="335" t="str">
        <f t="shared" si="0"/>
        <v>Myles Kelsey</v>
      </c>
      <c r="C10" s="116" t="s">
        <v>1363</v>
      </c>
      <c r="D10" s="116" t="s">
        <v>1364</v>
      </c>
      <c r="E10"/>
      <c r="F10" s="336" t="str">
        <f>IF(SUM(COUNTIF(H10,{"*Girl*","*Women*","*Woman*","*Female*","*Wo*","*Fe*","*F*"})),"F","M")</f>
        <v>M</v>
      </c>
      <c r="G10" s="337" t="str">
        <f>IFERROR(IF(ISNUMBER(SEARCH("*",N10)),N10&amp;" "&amp;F10,IF(F10="M",LOOKUP(J10,AgeCategories!$A$3:$D$13),LOOKUP(J10,AgeCategories!$A$14:$D$24))),"Invalid Age")</f>
        <v>E-Bike M</v>
      </c>
      <c r="H10" s="175" t="s">
        <v>209</v>
      </c>
      <c r="I10" s="338">
        <f t="shared" si="1"/>
        <v>26323</v>
      </c>
      <c r="J10" s="340">
        <f>IFERROR(DATEDIF($I10,Helpers!$O$2,"y"),"ID No. needed")</f>
        <v>50</v>
      </c>
      <c r="K10" s="324"/>
      <c r="L10" s="300" t="s">
        <v>2655</v>
      </c>
      <c r="M10" s="353" t="s">
        <v>1767</v>
      </c>
      <c r="N10" s="342" t="s">
        <v>560</v>
      </c>
      <c r="O10" s="308" t="b">
        <v>1</v>
      </c>
      <c r="P10" s="192" t="b">
        <f>NOT(ISNA(VLOOKUP(A10,SortedDownload!A:A,1,FALSE)))</f>
        <v>1</v>
      </c>
      <c r="Q10" s="373" t="s">
        <v>2729</v>
      </c>
      <c r="R10" s="325"/>
      <c r="S10" s="235"/>
      <c r="T10" s="235"/>
      <c r="U10" s="54" t="s">
        <v>2027</v>
      </c>
      <c r="V10" s="337" t="str">
        <f t="shared" si="2"/>
        <v>-</v>
      </c>
      <c r="W10" s="348" t="str">
        <f t="shared" si="3"/>
        <v>Myles Kelsey</v>
      </c>
      <c r="X10" s="337" t="str">
        <f t="shared" si="4"/>
        <v>Myles</v>
      </c>
      <c r="Y10" s="337" t="str">
        <f t="shared" si="5"/>
        <v>Kelsey</v>
      </c>
      <c r="Z10" s="337" t="str">
        <f t="shared" si="6"/>
        <v>M.Kelsey</v>
      </c>
      <c r="AA10" s="349" t="str">
        <f t="shared" si="7"/>
        <v/>
      </c>
      <c r="AB10" s="349" t="str">
        <f t="shared" si="8"/>
        <v/>
      </c>
      <c r="AC10" s="337" t="str">
        <f>IFERROR(IF(ISNUMBER(SEARCH("*",N10)),N10&amp;" "&amp;F10,IF(F10="M",LOOKUP(J10,AgeCategories!$A$3:$F$11),LOOKUP(J10,AgeCategories!$A$14:$F$22))),"")</f>
        <v>E-Bike M</v>
      </c>
      <c r="AD10" s="350">
        <f t="shared" si="9"/>
        <v>26323</v>
      </c>
      <c r="AE10" s="337">
        <f t="shared" si="10"/>
        <v>50</v>
      </c>
      <c r="AF10" s="337" t="str">
        <f>IF(SUM(COUNTIF(H10,{"*Girl*","*Women*","*Woman*","*Female*","*Wo*","*Fe*","*F*"})),"F","M")</f>
        <v>M</v>
      </c>
      <c r="AG10" s="112"/>
      <c r="AH10" s="112"/>
      <c r="AI10" s="344" t="e">
        <f t="array" aca="1" ref="AI10" ca="1">(SMALL(IF(ISERROR(MATCH($AJ$3+ROW(OFFSET($A$3, 0,0, $AJ$4-$AJ$3+1))-2, $A$3:$A658,0)), $AJ$3+ROW(OFFSET($A$2,0, 0, $AJ$4-$AJ$3+1))-1), ROW(A9)))</f>
        <v>#NUM!</v>
      </c>
      <c r="AJ10" s="336">
        <f>Helpers!AY140</f>
        <v>0</v>
      </c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167"/>
      <c r="AV10" s="328"/>
      <c r="AW10" s="56" t="s">
        <v>2281</v>
      </c>
      <c r="AX10" s="56" t="s">
        <v>2478</v>
      </c>
      <c r="AY10" s="56" t="s">
        <v>2547</v>
      </c>
      <c r="AZ10" s="56" t="s">
        <v>2537</v>
      </c>
      <c r="BA10" s="56"/>
    </row>
    <row r="11" spans="1:76" ht="13.5" customHeight="1" thickBot="1">
      <c r="A11" s="111">
        <v>9</v>
      </c>
      <c r="B11" s="335" t="str">
        <f t="shared" si="0"/>
        <v>Charlie Thiry</v>
      </c>
      <c r="C11" s="116" t="s">
        <v>1365</v>
      </c>
      <c r="D11" s="116" t="s">
        <v>1366</v>
      </c>
      <c r="E11"/>
      <c r="F11" s="336" t="str">
        <f>IF(SUM(COUNTIF(H11,{"*Girl*","*Women*","*Woman*","*Female*","*Wo*","*Fe*","*F*"})),"F","M")</f>
        <v>M</v>
      </c>
      <c r="G11" s="337" t="str">
        <f>IFERROR(IF(ISNUMBER(SEARCH("*",N11)),N11&amp;" "&amp;F11,IF(F11="M",LOOKUP(J11,AgeCategories!$A$3:$D$13),LOOKUP(J11,AgeCategories!$A$14:$D$24))),"Invalid Age")</f>
        <v>Elite Men</v>
      </c>
      <c r="H11" s="175" t="s">
        <v>209</v>
      </c>
      <c r="I11" s="338">
        <f t="shared" si="1"/>
        <v>35493</v>
      </c>
      <c r="J11" s="340">
        <f>IFERROR(DATEDIF($I11,Helpers!$O$2,"y"),"ID No. needed")</f>
        <v>25</v>
      </c>
      <c r="K11" s="324"/>
      <c r="L11" s="300" t="s">
        <v>2656</v>
      </c>
      <c r="M11" s="353" t="s">
        <v>1768</v>
      </c>
      <c r="N11" s="342"/>
      <c r="O11" s="308" t="b">
        <v>1</v>
      </c>
      <c r="P11" s="192" t="b">
        <f>NOT(ISNA(VLOOKUP(A11,SortedDownload!A:A,1,FALSE)))</f>
        <v>1</v>
      </c>
      <c r="Q11" s="373" t="s">
        <v>2728</v>
      </c>
      <c r="R11" s="325"/>
      <c r="S11" s="235"/>
      <c r="T11" s="235"/>
      <c r="U11" s="54" t="s">
        <v>2028</v>
      </c>
      <c r="V11" s="337" t="str">
        <f t="shared" si="2"/>
        <v>-</v>
      </c>
      <c r="W11" s="348" t="str">
        <f t="shared" si="3"/>
        <v>Charlie Thiry</v>
      </c>
      <c r="X11" s="337" t="str">
        <f t="shared" si="4"/>
        <v>Charlie</v>
      </c>
      <c r="Y11" s="337" t="str">
        <f t="shared" si="5"/>
        <v>Thiry</v>
      </c>
      <c r="Z11" s="337" t="str">
        <f t="shared" si="6"/>
        <v>C.Thiry</v>
      </c>
      <c r="AA11" s="349" t="str">
        <f t="shared" si="7"/>
        <v/>
      </c>
      <c r="AB11" s="349" t="str">
        <f t="shared" si="8"/>
        <v/>
      </c>
      <c r="AC11" s="337" t="str">
        <f>IFERROR(IF(ISNUMBER(SEARCH("*",N11)),N11&amp;" "&amp;F11,IF(F11="M",LOOKUP(J11,AgeCategories!$A$3:$F$11),LOOKUP(J11,AgeCategories!$A$14:$F$22))),"")</f>
        <v>EM</v>
      </c>
      <c r="AD11" s="350">
        <f t="shared" si="9"/>
        <v>35493</v>
      </c>
      <c r="AE11" s="337">
        <f t="shared" si="10"/>
        <v>25</v>
      </c>
      <c r="AF11" s="337" t="str">
        <f>IF(SUM(COUNTIF(H11,{"*Girl*","*Women*","*Woman*","*Female*","*Wo*","*Fe*","*F*"})),"F","M")</f>
        <v>M</v>
      </c>
      <c r="AG11" s="112"/>
      <c r="AH11" s="112"/>
      <c r="AI11" s="344" t="e">
        <f t="array" aca="1" ref="AI11" ca="1">(SMALL(IF(ISERROR(MATCH($AJ$3+ROW(OFFSET($A$3, 0,0, $AJ$4-$AJ$3+1))-2, $A$3:$A659,0)), $AJ$3+ROW(OFFSET($A$2,0, 0, $AJ$4-$AJ$3+1))-1), ROW(A10)))</f>
        <v>#NUM!</v>
      </c>
      <c r="AJ11" s="336">
        <f>Helpers!AY139</f>
        <v>0</v>
      </c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167"/>
      <c r="AV11" s="328"/>
      <c r="AW11" s="56" t="s">
        <v>2282</v>
      </c>
      <c r="AX11" s="56" t="s">
        <v>2478</v>
      </c>
      <c r="AY11" s="56" t="s">
        <v>2548</v>
      </c>
      <c r="AZ11" s="56" t="s">
        <v>2537</v>
      </c>
      <c r="BA11" s="56" t="s">
        <v>2585</v>
      </c>
    </row>
    <row r="12" spans="1:76" ht="13.5" customHeight="1" thickBot="1">
      <c r="A12" s="111">
        <v>10</v>
      </c>
      <c r="B12" s="335" t="str">
        <f t="shared" si="0"/>
        <v>Conner Morrison</v>
      </c>
      <c r="C12" s="116" t="s">
        <v>2734</v>
      </c>
      <c r="D12" s="116" t="s">
        <v>1367</v>
      </c>
      <c r="E12"/>
      <c r="F12" s="336" t="str">
        <f>IF(SUM(COUNTIF(H12,{"*Girl*","*Women*","*Woman*","*Female*","*Wo*","*Fe*","*F*"})),"F","M")</f>
        <v>M</v>
      </c>
      <c r="G12" s="337" t="str">
        <f>IFERROR(IF(ISNUMBER(SEARCH("*",N12)),N12&amp;" "&amp;F12,IF(F12="M",LOOKUP(J12,AgeCategories!$A$3:$D$13),LOOKUP(J12,AgeCategories!$A$14:$D$24))),"Invalid Age")</f>
        <v>E-Bike M</v>
      </c>
      <c r="H12" s="175" t="s">
        <v>209</v>
      </c>
      <c r="I12" s="338">
        <f t="shared" si="1"/>
        <v>26316</v>
      </c>
      <c r="J12" s="340">
        <f>IFERROR(DATEDIF($I12,Helpers!$O$2,"y"),"ID No. needed")</f>
        <v>50</v>
      </c>
      <c r="K12" s="324"/>
      <c r="L12" s="300" t="s">
        <v>2657</v>
      </c>
      <c r="M12" s="353" t="s">
        <v>1769</v>
      </c>
      <c r="N12" s="342" t="s">
        <v>560</v>
      </c>
      <c r="O12" s="308" t="b">
        <v>1</v>
      </c>
      <c r="P12" s="192" t="b">
        <f>NOT(ISNA(VLOOKUP(A12,SortedDownload!A:A,1,FALSE)))</f>
        <v>1</v>
      </c>
      <c r="Q12" s="373" t="s">
        <v>2729</v>
      </c>
      <c r="R12" s="325"/>
      <c r="S12" s="235"/>
      <c r="T12" s="235"/>
      <c r="U12" s="54" t="s">
        <v>2029</v>
      </c>
      <c r="V12" s="337" t="str">
        <f t="shared" si="2"/>
        <v>-</v>
      </c>
      <c r="W12" s="348" t="str">
        <f t="shared" si="3"/>
        <v>Conner Morrison</v>
      </c>
      <c r="X12" s="337" t="str">
        <f t="shared" si="4"/>
        <v>Conner</v>
      </c>
      <c r="Y12" s="337" t="str">
        <f t="shared" si="5"/>
        <v>Morrison</v>
      </c>
      <c r="Z12" s="337" t="str">
        <f t="shared" si="6"/>
        <v>C.Morrison</v>
      </c>
      <c r="AA12" s="349" t="str">
        <f t="shared" si="7"/>
        <v/>
      </c>
      <c r="AB12" s="349" t="str">
        <f t="shared" si="8"/>
        <v/>
      </c>
      <c r="AC12" s="337" t="str">
        <f>IFERROR(IF(ISNUMBER(SEARCH("*",N12)),N12&amp;" "&amp;F12,IF(F12="M",LOOKUP(J12,AgeCategories!$A$3:$F$11),LOOKUP(J12,AgeCategories!$A$14:$F$22))),"")</f>
        <v>E-Bike M</v>
      </c>
      <c r="AD12" s="350">
        <f t="shared" si="9"/>
        <v>26316</v>
      </c>
      <c r="AE12" s="337">
        <f t="shared" si="10"/>
        <v>50</v>
      </c>
      <c r="AF12" s="337" t="str">
        <f>IF(SUM(COUNTIF(H12,{"*Girl*","*Women*","*Woman*","*Female*","*Wo*","*Fe*","*F*"})),"F","M")</f>
        <v>M</v>
      </c>
      <c r="AG12" s="112"/>
      <c r="AH12" s="112"/>
      <c r="AI12" s="344" t="e">
        <f t="array" aca="1" ref="AI12" ca="1">(SMALL(IF(ISERROR(MATCH($AJ$3+ROW(OFFSET($A$3, 0,0, $AJ$4-$AJ$3+1))-2, $A$3:$A660,0)), $AJ$3+ROW(OFFSET($A$2,0, 0, $AJ$4-$AJ$3+1))-1), ROW(A11)))</f>
        <v>#NUM!</v>
      </c>
      <c r="AJ12" s="336">
        <f>Helpers!AY138</f>
        <v>0</v>
      </c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167"/>
      <c r="AV12" s="328"/>
      <c r="AW12" s="56"/>
      <c r="AX12" s="56"/>
      <c r="AY12" s="56" t="s">
        <v>2549</v>
      </c>
      <c r="AZ12" s="56" t="s">
        <v>2537</v>
      </c>
      <c r="BA12" s="56"/>
    </row>
    <row r="13" spans="1:76" ht="13.5" thickBot="1">
      <c r="A13" s="111">
        <v>11</v>
      </c>
      <c r="B13" s="335" t="str">
        <f t="shared" si="0"/>
        <v>Spencer Van Zyl</v>
      </c>
      <c r="C13" s="116" t="s">
        <v>1368</v>
      </c>
      <c r="D13" s="116" t="s">
        <v>1369</v>
      </c>
      <c r="E13"/>
      <c r="F13" s="336" t="str">
        <f>IF(SUM(COUNTIF(H13,{"*Girl*","*Women*","*Woman*","*Female*","*Wo*","*Fe*","*F*"})),"F","M")</f>
        <v>M</v>
      </c>
      <c r="G13" s="337" t="str">
        <f>IFERROR(IF(ISNUMBER(SEARCH("*",N13)),N13&amp;" "&amp;F13,IF(F13="M",LOOKUP(J13,AgeCategories!$A$3:$D$13),LOOKUP(J13,AgeCategories!$A$14:$D$24))),"Invalid Age")</f>
        <v>Nipper Boys</v>
      </c>
      <c r="H13" s="175" t="s">
        <v>209</v>
      </c>
      <c r="I13" s="338">
        <f t="shared" si="1"/>
        <v>41122</v>
      </c>
      <c r="J13" s="340">
        <f>IFERROR(DATEDIF($I13,Helpers!$O$2,"y"),"ID No. needed")</f>
        <v>10</v>
      </c>
      <c r="K13" s="324"/>
      <c r="L13" s="300" t="s">
        <v>2658</v>
      </c>
      <c r="M13" s="372">
        <v>120801975714021</v>
      </c>
      <c r="N13" s="341"/>
      <c r="O13" s="308" t="b">
        <v>1</v>
      </c>
      <c r="P13" s="192" t="b">
        <f>NOT(ISNA(VLOOKUP(A13,SortedDownload!A:A,1,FALSE)))</f>
        <v>1</v>
      </c>
      <c r="Q13" s="373" t="s">
        <v>2601</v>
      </c>
      <c r="R13" s="325"/>
      <c r="S13" s="235"/>
      <c r="T13" s="235"/>
      <c r="U13" s="54" t="s">
        <v>2030</v>
      </c>
      <c r="V13" s="337" t="str">
        <f t="shared" si="2"/>
        <v>-</v>
      </c>
      <c r="W13" s="348" t="str">
        <f t="shared" si="3"/>
        <v>Spencer Van Zyl</v>
      </c>
      <c r="X13" s="337" t="str">
        <f t="shared" si="4"/>
        <v>Spencer</v>
      </c>
      <c r="Y13" s="337" t="str">
        <f t="shared" si="5"/>
        <v>Van Zyl</v>
      </c>
      <c r="Z13" s="337" t="str">
        <f t="shared" si="6"/>
        <v>S.Van Zyl</v>
      </c>
      <c r="AA13" s="349" t="str">
        <f t="shared" si="7"/>
        <v/>
      </c>
      <c r="AB13" s="349" t="str">
        <f t="shared" si="8"/>
        <v/>
      </c>
      <c r="AC13" s="337" t="str">
        <f>IFERROR(IF(ISNUMBER(SEARCH("*",N13)),N13&amp;" "&amp;F13,IF(F13="M",LOOKUP(J13,AgeCategories!$A$3:$F$11),LOOKUP(J13,AgeCategories!$A$14:$F$22))),"")</f>
        <v>NB</v>
      </c>
      <c r="AD13" s="350">
        <f t="shared" si="9"/>
        <v>41122</v>
      </c>
      <c r="AE13" s="337">
        <f t="shared" si="10"/>
        <v>10</v>
      </c>
      <c r="AF13" s="337" t="str">
        <f>IF(SUM(COUNTIF(H13,{"*Girl*","*Women*","*Woman*","*Female*","*Wo*","*Fe*","*F*"})),"F","M")</f>
        <v>M</v>
      </c>
      <c r="AG13" s="112"/>
      <c r="AH13" s="112"/>
      <c r="AI13" s="344" t="e">
        <f t="array" aca="1" ref="AI13" ca="1">(SMALL(IF(ISERROR(MATCH($AJ$3+ROW(OFFSET($A$3, 0,0, $AJ$4-$AJ$3+1))-2, $A$3:$A661,0)), $AJ$3+ROW(OFFSET($A$2,0, 0, $AJ$4-$AJ$3+1))-1), ROW(A12)))</f>
        <v>#NUM!</v>
      </c>
      <c r="AJ13" s="336">
        <f>Helpers!AY137</f>
        <v>0</v>
      </c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167"/>
      <c r="AV13" s="328"/>
      <c r="AW13" s="56"/>
      <c r="AX13" s="56"/>
      <c r="AY13" s="56"/>
      <c r="AZ13" s="56" t="s">
        <v>2537</v>
      </c>
      <c r="BA13" s="56"/>
    </row>
    <row r="14" spans="1:76" ht="13.5" thickBot="1">
      <c r="A14" s="111">
        <v>12</v>
      </c>
      <c r="B14" s="335" t="str">
        <f t="shared" si="0"/>
        <v>Dylan Wiggill</v>
      </c>
      <c r="C14" s="116" t="s">
        <v>1370</v>
      </c>
      <c r="D14" s="116" t="s">
        <v>1371</v>
      </c>
      <c r="E14"/>
      <c r="F14" s="336" t="str">
        <f>IF(SUM(COUNTIF(H14,{"*Girl*","*Women*","*Woman*","*Female*","*Wo*","*Fe*","*F*"})),"F","M")</f>
        <v>M</v>
      </c>
      <c r="G14" s="337" t="str">
        <f>IFERROR(IF(ISNUMBER(SEARCH("*",N14)),N14&amp;" "&amp;F14,IF(F14="M",LOOKUP(J14,AgeCategories!$A$3:$D$13),LOOKUP(J14,AgeCategories!$A$14:$D$24))),"Invalid Age")</f>
        <v>Sprog Boys</v>
      </c>
      <c r="H14" s="175" t="s">
        <v>209</v>
      </c>
      <c r="I14" s="338">
        <f t="shared" si="1"/>
        <v>40868</v>
      </c>
      <c r="J14" s="340">
        <f>IFERROR(DATEDIF($I14,Helpers!$O$2,"y"),"ID No. needed")</f>
        <v>11</v>
      </c>
      <c r="K14" s="324"/>
      <c r="L14" s="300" t="s">
        <v>2659</v>
      </c>
      <c r="M14" s="353" t="s">
        <v>1771</v>
      </c>
      <c r="N14" s="341"/>
      <c r="O14" s="308" t="b">
        <v>1</v>
      </c>
      <c r="P14" s="192" t="b">
        <f>NOT(ISNA(VLOOKUP(A14,SortedDownload!A:A,1,FALSE)))</f>
        <v>1</v>
      </c>
      <c r="Q14" s="373" t="s">
        <v>2601</v>
      </c>
      <c r="R14" s="325"/>
      <c r="S14" s="235"/>
      <c r="T14" s="235"/>
      <c r="U14" s="54" t="s">
        <v>2031</v>
      </c>
      <c r="V14" s="337" t="str">
        <f t="shared" si="2"/>
        <v>-</v>
      </c>
      <c r="W14" s="348" t="str">
        <f t="shared" si="3"/>
        <v>Dylan Wiggill</v>
      </c>
      <c r="X14" s="337" t="str">
        <f t="shared" si="4"/>
        <v>Dylan</v>
      </c>
      <c r="Y14" s="337" t="str">
        <f t="shared" si="5"/>
        <v>Wiggill</v>
      </c>
      <c r="Z14" s="337" t="str">
        <f t="shared" si="6"/>
        <v>D.Wiggill</v>
      </c>
      <c r="AA14" s="349" t="str">
        <f t="shared" si="7"/>
        <v/>
      </c>
      <c r="AB14" s="349" t="str">
        <f t="shared" si="8"/>
        <v/>
      </c>
      <c r="AC14" s="337" t="str">
        <f>IFERROR(IF(ISNUMBER(SEARCH("*",N14)),N14&amp;" "&amp;F14,IF(F14="M",LOOKUP(J14,AgeCategories!$A$3:$F$11),LOOKUP(J14,AgeCategories!$A$14:$F$22))),"")</f>
        <v>SB</v>
      </c>
      <c r="AD14" s="350">
        <f t="shared" si="9"/>
        <v>40868</v>
      </c>
      <c r="AE14" s="337">
        <f t="shared" si="10"/>
        <v>11</v>
      </c>
      <c r="AF14" s="337" t="str">
        <f>IF(SUM(COUNTIF(H14,{"*Girl*","*Women*","*Woman*","*Female*","*Wo*","*Fe*","*F*"})),"F","M")</f>
        <v>M</v>
      </c>
      <c r="AG14" s="112"/>
      <c r="AH14" s="112"/>
      <c r="AI14" s="344" t="e">
        <f t="array" aca="1" ref="AI14" ca="1">(SMALL(IF(ISERROR(MATCH($AJ$3+ROW(OFFSET($A$3, 0,0, $AJ$4-$AJ$3+1))-2, $A$3:$A662,0)), $AJ$3+ROW(OFFSET($A$2,0, 0, $AJ$4-$AJ$3+1))-1), ROW(A13)))</f>
        <v>#NUM!</v>
      </c>
      <c r="AJ14" s="336">
        <f>Helpers!AY136</f>
        <v>0</v>
      </c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167"/>
      <c r="AV14" s="328"/>
      <c r="AW14" s="56" t="s">
        <v>2283</v>
      </c>
      <c r="AX14" s="56" t="s">
        <v>2478</v>
      </c>
      <c r="AY14" s="56" t="s">
        <v>2548</v>
      </c>
      <c r="AZ14" s="56" t="s">
        <v>2537</v>
      </c>
      <c r="BA14" s="56"/>
    </row>
    <row r="15" spans="1:76" ht="13.5" customHeight="1" thickBot="1">
      <c r="A15" s="111">
        <v>277</v>
      </c>
      <c r="B15" s="335" t="str">
        <f t="shared" si="0"/>
        <v>Stephen Wiggill</v>
      </c>
      <c r="C15" t="s">
        <v>1372</v>
      </c>
      <c r="D15" t="s">
        <v>1373</v>
      </c>
      <c r="E15"/>
      <c r="F15" s="336" t="str">
        <f>IF(SUM(COUNTIF(H15,{"*Girl*","*Women*","*Woman*","*Female*","*Wo*","*Fe*","*F*"})),"F","M")</f>
        <v>M</v>
      </c>
      <c r="G15" s="337" t="str">
        <f>IFERROR(IF(ISNUMBER(SEARCH("*",N15)),N15&amp;" "&amp;F15,IF(F15="M",LOOKUP(J15,AgeCategories!$A$3:$D$13),LOOKUP(J15,AgeCategories!$A$14:$D$24))),"Invalid Age")</f>
        <v>E-Bike M</v>
      </c>
      <c r="H15" t="s">
        <v>209</v>
      </c>
      <c r="I15" s="338">
        <f t="shared" si="1"/>
        <v>27916</v>
      </c>
      <c r="J15" s="340">
        <f>IFERROR(DATEDIF($I15,Helpers!$O$2,"y"),"ID No. needed")</f>
        <v>46</v>
      </c>
      <c r="K15"/>
      <c r="L15" s="300" t="s">
        <v>2660</v>
      </c>
      <c r="M15" s="353" t="s">
        <v>1772</v>
      </c>
      <c r="N15" s="342" t="s">
        <v>560</v>
      </c>
      <c r="O15" s="308" t="b">
        <v>1</v>
      </c>
      <c r="P15" s="192" t="b">
        <f>NOT(ISNA(VLOOKUP(A15,SortedDownload!A:A,1,FALSE)))</f>
        <v>1</v>
      </c>
      <c r="Q15" s="373" t="s">
        <v>2729</v>
      </c>
      <c r="R15"/>
      <c r="S15" s="235"/>
      <c r="T15" s="235"/>
      <c r="U15" t="s">
        <v>2032</v>
      </c>
      <c r="V15" s="337" t="str">
        <f t="shared" si="2"/>
        <v>-</v>
      </c>
      <c r="W15" s="348" t="str">
        <f t="shared" si="3"/>
        <v>Stephen Wiggill</v>
      </c>
      <c r="X15" s="337" t="str">
        <f t="shared" si="4"/>
        <v>Stephen</v>
      </c>
      <c r="Y15" s="337" t="str">
        <f t="shared" si="5"/>
        <v>Wiggill</v>
      </c>
      <c r="Z15" s="337" t="str">
        <f t="shared" si="6"/>
        <v>S.Wiggill</v>
      </c>
      <c r="AA15" s="349" t="str">
        <f t="shared" si="7"/>
        <v/>
      </c>
      <c r="AB15" s="349" t="str">
        <f t="shared" si="8"/>
        <v/>
      </c>
      <c r="AC15" s="337" t="str">
        <f>IFERROR(IF(ISNUMBER(SEARCH("*",N15)),N15&amp;" "&amp;F15,IF(F15="M",LOOKUP(J15,AgeCategories!$A$3:$F$11),LOOKUP(J15,AgeCategories!$A$14:$F$22))),"")</f>
        <v>E-Bike M</v>
      </c>
      <c r="AD15" s="350">
        <f t="shared" si="9"/>
        <v>27916</v>
      </c>
      <c r="AE15" s="337">
        <f t="shared" si="10"/>
        <v>46</v>
      </c>
      <c r="AF15" s="337" t="str">
        <f>IF(SUM(COUNTIF(H15,{"*Girl*","*Women*","*Woman*","*Female*","*Wo*","*Fe*","*F*"})),"F","M")</f>
        <v>M</v>
      </c>
      <c r="AG15" s="112"/>
      <c r="AH15" s="112"/>
      <c r="AI15" s="344" t="e">
        <f t="array" aca="1" ref="AI15" ca="1">(SMALL(IF(ISERROR(MATCH($AJ$3+ROW(OFFSET($A$3, 0,0, $AJ$4-$AJ$3+1))-2, $A$3:$A661,0)), $AJ$3+ROW(OFFSET($A$2,0, 0, $AJ$4-$AJ$3+1))-1), ROW(A14)))</f>
        <v>#NUM!</v>
      </c>
      <c r="AJ15" s="336">
        <f>Helpers!AY35</f>
        <v>0</v>
      </c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/>
      <c r="AV15"/>
      <c r="AW15" t="s">
        <v>2283</v>
      </c>
      <c r="AX15" s="56" t="s">
        <v>2478</v>
      </c>
      <c r="AY15" t="s">
        <v>2547</v>
      </c>
      <c r="AZ15" s="56" t="s">
        <v>2539</v>
      </c>
      <c r="BA15" s="56" t="s">
        <v>2586</v>
      </c>
    </row>
    <row r="16" spans="1:76" ht="13.5" customHeight="1" thickBot="1">
      <c r="A16" s="111">
        <v>14</v>
      </c>
      <c r="B16" s="335" t="str">
        <f t="shared" si="0"/>
        <v>Beavin De Kock</v>
      </c>
      <c r="C16" s="116" t="s">
        <v>1374</v>
      </c>
      <c r="D16" s="116" t="s">
        <v>1355</v>
      </c>
      <c r="E16"/>
      <c r="F16" s="336" t="str">
        <f>IF(SUM(COUNTIF(H16,{"*Girl*","*Women*","*Woman*","*Female*","*Wo*","*Fe*","*F*"})),"F","M")</f>
        <v>M</v>
      </c>
      <c r="G16" s="337" t="str">
        <f>IFERROR(IF(ISNUMBER(SEARCH("*",N16)),N16&amp;" "&amp;F16,IF(F16="M",LOOKUP(J16,AgeCategories!$A$3:$D$13),LOOKUP(J16,AgeCategories!$A$14:$D$24))),"Invalid Age")</f>
        <v>Master Men</v>
      </c>
      <c r="H16" s="175" t="s">
        <v>209</v>
      </c>
      <c r="I16" s="338">
        <f t="shared" si="1"/>
        <v>30571</v>
      </c>
      <c r="J16" s="340">
        <f>IFERROR(DATEDIF($I16,Helpers!$O$2,"y"),"ID No. needed")</f>
        <v>39</v>
      </c>
      <c r="K16" s="324"/>
      <c r="L16" s="300" t="s">
        <v>2661</v>
      </c>
      <c r="M16" s="353" t="s">
        <v>1773</v>
      </c>
      <c r="N16" s="342"/>
      <c r="O16" s="308" t="b">
        <v>0</v>
      </c>
      <c r="P16" s="192" t="b">
        <f>NOT(ISNA(VLOOKUP(A16,SortedDownload!A:A,1,FALSE)))</f>
        <v>0</v>
      </c>
      <c r="Q16" s="373" t="s">
        <v>2728</v>
      </c>
      <c r="R16" s="325"/>
      <c r="S16" s="235"/>
      <c r="T16" s="235"/>
      <c r="U16" s="54" t="s">
        <v>2033</v>
      </c>
      <c r="V16" s="337" t="str">
        <f t="shared" si="2"/>
        <v>-</v>
      </c>
      <c r="W16" s="348" t="str">
        <f t="shared" si="3"/>
        <v>Beavin De Kock</v>
      </c>
      <c r="X16" s="337" t="str">
        <f t="shared" si="4"/>
        <v>Beavin</v>
      </c>
      <c r="Y16" s="337" t="str">
        <f t="shared" si="5"/>
        <v>De Kock</v>
      </c>
      <c r="Z16" s="337" t="str">
        <f t="shared" si="6"/>
        <v>B.De Kock</v>
      </c>
      <c r="AA16" s="349" t="str">
        <f t="shared" si="7"/>
        <v/>
      </c>
      <c r="AB16" s="349" t="str">
        <f t="shared" si="8"/>
        <v/>
      </c>
      <c r="AC16" s="337" t="str">
        <f>IFERROR(IF(ISNUMBER(SEARCH("*",N16)),N16&amp;" "&amp;F16,IF(F16="M",LOOKUP(J16,AgeCategories!$A$3:$F$11),LOOKUP(J16,AgeCategories!$A$14:$F$22))),"")</f>
        <v>MM</v>
      </c>
      <c r="AD16" s="350">
        <f t="shared" si="9"/>
        <v>30571</v>
      </c>
      <c r="AE16" s="337">
        <f t="shared" si="10"/>
        <v>39</v>
      </c>
      <c r="AF16" s="337" t="str">
        <f>IF(SUM(COUNTIF(H16,{"*Girl*","*Women*","*Woman*","*Female*","*Wo*","*Fe*","*F*"})),"F","M")</f>
        <v>M</v>
      </c>
      <c r="AG16" s="112"/>
      <c r="AH16" s="112"/>
      <c r="AI16" s="344" t="e">
        <f t="array" aca="1" ref="AI16" ca="1">(SMALL(IF(ISERROR(MATCH($AJ$3+ROW(OFFSET($A$3, 0,0, $AJ$4-$AJ$3+1))-2, $A$3:$A664,0)), $AJ$3+ROW(OFFSET($A$2,0, 0, $AJ$4-$AJ$3+1))-1), ROW(A15)))</f>
        <v>#NUM!</v>
      </c>
      <c r="AJ16" s="336">
        <f>Helpers!AY135</f>
        <v>0</v>
      </c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167"/>
      <c r="AV16" s="328"/>
      <c r="AW16" s="56" t="s">
        <v>2284</v>
      </c>
      <c r="AX16" s="56" t="s">
        <v>2478</v>
      </c>
      <c r="AY16" s="56"/>
      <c r="AZ16" s="56" t="s">
        <v>2537</v>
      </c>
      <c r="BA16" s="56"/>
    </row>
    <row r="17" spans="1:53" ht="13.5" customHeight="1" thickBot="1">
      <c r="A17" s="111">
        <v>15</v>
      </c>
      <c r="B17" s="335" t="str">
        <f t="shared" si="0"/>
        <v>Dale Barnard</v>
      </c>
      <c r="C17" s="116" t="s">
        <v>1375</v>
      </c>
      <c r="D17" s="116" t="s">
        <v>1376</v>
      </c>
      <c r="E17"/>
      <c r="F17" s="336" t="str">
        <f>IF(SUM(COUNTIF(H17,{"*Girl*","*Women*","*Woman*","*Female*","*Wo*","*Fe*","*F*"})),"F","M")</f>
        <v>M</v>
      </c>
      <c r="G17" s="337" t="str">
        <f>IFERROR(IF(ISNUMBER(SEARCH("*",N17)),N17&amp;" "&amp;F17,IF(F17="M",LOOKUP(J17,AgeCategories!$A$3:$D$13),LOOKUP(J17,AgeCategories!$A$14:$D$24))),"Invalid Age")</f>
        <v>Master Men</v>
      </c>
      <c r="H17" s="175" t="s">
        <v>209</v>
      </c>
      <c r="I17" s="338">
        <f t="shared" si="1"/>
        <v>24210</v>
      </c>
      <c r="J17" s="340">
        <f>IFERROR(DATEDIF($I17,Helpers!$O$2,"y"),"ID No. needed")</f>
        <v>56</v>
      </c>
      <c r="K17" s="324"/>
      <c r="L17" s="300" t="s">
        <v>2662</v>
      </c>
      <c r="M17" s="353" t="s">
        <v>1774</v>
      </c>
      <c r="N17" s="342"/>
      <c r="O17" s="308" t="b">
        <v>1</v>
      </c>
      <c r="P17" s="192" t="b">
        <f>NOT(ISNA(VLOOKUP(A17,SortedDownload!A:A,1,FALSE)))</f>
        <v>1</v>
      </c>
      <c r="Q17" s="373" t="s">
        <v>2728</v>
      </c>
      <c r="R17" s="325"/>
      <c r="S17" s="235"/>
      <c r="T17" s="235"/>
      <c r="U17" s="54" t="s">
        <v>2034</v>
      </c>
      <c r="V17" s="337" t="str">
        <f t="shared" si="2"/>
        <v>-</v>
      </c>
      <c r="W17" s="348" t="str">
        <f t="shared" si="3"/>
        <v>Dale Barnard</v>
      </c>
      <c r="X17" s="337" t="str">
        <f t="shared" si="4"/>
        <v>Dale</v>
      </c>
      <c r="Y17" s="337" t="str">
        <f t="shared" si="5"/>
        <v>Barnard</v>
      </c>
      <c r="Z17" s="337" t="str">
        <f t="shared" si="6"/>
        <v>D.Barnard</v>
      </c>
      <c r="AA17" s="349" t="str">
        <f t="shared" si="7"/>
        <v/>
      </c>
      <c r="AB17" s="349" t="str">
        <f t="shared" si="8"/>
        <v/>
      </c>
      <c r="AC17" s="337" t="str">
        <f>IFERROR(IF(ISNUMBER(SEARCH("*",N17)),N17&amp;" "&amp;F17,IF(F17="M",LOOKUP(J17,AgeCategories!$A$3:$F$11),LOOKUP(J17,AgeCategories!$A$14:$F$22))),"")</f>
        <v>MM</v>
      </c>
      <c r="AD17" s="350">
        <f t="shared" si="9"/>
        <v>24210</v>
      </c>
      <c r="AE17" s="337">
        <f t="shared" si="10"/>
        <v>56</v>
      </c>
      <c r="AF17" s="337" t="str">
        <f>IF(SUM(COUNTIF(H17,{"*Girl*","*Women*","*Woman*","*Female*","*Wo*","*Fe*","*F*"})),"F","M")</f>
        <v>M</v>
      </c>
      <c r="AG17" s="112"/>
      <c r="AH17" s="112"/>
      <c r="AI17" s="344" t="e">
        <f t="array" aca="1" ref="AI17" ca="1">(SMALL(IF(ISERROR(MATCH($AJ$3+ROW(OFFSET($A$3, 0,0, $AJ$4-$AJ$3+1))-2, $A$3:$A665,0)), $AJ$3+ROW(OFFSET($A$2,0, 0, $AJ$4-$AJ$3+1))-1), ROW(A16)))</f>
        <v>#NUM!</v>
      </c>
      <c r="AJ17" s="336">
        <f>Helpers!AY134</f>
        <v>0</v>
      </c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167"/>
      <c r="AV17" s="328"/>
      <c r="AW17" s="56"/>
      <c r="AX17" s="56"/>
      <c r="AY17" s="56"/>
      <c r="AZ17" s="56" t="s">
        <v>2537</v>
      </c>
      <c r="BA17" s="56"/>
    </row>
    <row r="18" spans="1:53" ht="13.5" customHeight="1" thickBot="1">
      <c r="A18" s="111">
        <v>16</v>
      </c>
      <c r="B18" s="335" t="str">
        <f t="shared" si="0"/>
        <v>Seth Barnard</v>
      </c>
      <c r="C18" s="116" t="s">
        <v>1377</v>
      </c>
      <c r="D18" s="116" t="s">
        <v>1376</v>
      </c>
      <c r="E18"/>
      <c r="F18" s="336" t="str">
        <f>IF(SUM(COUNTIF(H18,{"*Girl*","*Women*","*Woman*","*Female*","*Wo*","*Fe*","*F*"})),"F","M")</f>
        <v>M</v>
      </c>
      <c r="G18" s="337" t="str">
        <f>IFERROR(IF(ISNUMBER(SEARCH("*",N18)),N18&amp;" "&amp;F18,IF(F18="M",LOOKUP(J18,AgeCategories!$A$3:$D$13),LOOKUP(J18,AgeCategories!$A$14:$D$24))),"Invalid Age")</f>
        <v>Youth Men</v>
      </c>
      <c r="H18" s="175" t="s">
        <v>209</v>
      </c>
      <c r="I18" s="338">
        <f t="shared" si="1"/>
        <v>38884</v>
      </c>
      <c r="J18" s="340">
        <f>IFERROR(DATEDIF($I18,Helpers!$O$2,"y"),"ID No. needed")</f>
        <v>16</v>
      </c>
      <c r="K18" s="324"/>
      <c r="L18" s="300" t="s">
        <v>2662</v>
      </c>
      <c r="M18" s="353" t="s">
        <v>1775</v>
      </c>
      <c r="N18" s="342"/>
      <c r="O18" s="308" t="b">
        <v>1</v>
      </c>
      <c r="P18" s="192" t="b">
        <f>NOT(ISNA(VLOOKUP(A18,SortedDownload!A:A,1,FALSE)))</f>
        <v>1</v>
      </c>
      <c r="Q18" s="373" t="s">
        <v>2728</v>
      </c>
      <c r="R18" s="325"/>
      <c r="S18" s="235"/>
      <c r="T18" s="235"/>
      <c r="U18" s="54" t="s">
        <v>2034</v>
      </c>
      <c r="V18" s="337" t="str">
        <f t="shared" si="2"/>
        <v>-</v>
      </c>
      <c r="W18" s="348" t="str">
        <f t="shared" si="3"/>
        <v>Seth Barnard</v>
      </c>
      <c r="X18" s="337" t="str">
        <f t="shared" si="4"/>
        <v>Seth</v>
      </c>
      <c r="Y18" s="337" t="str">
        <f t="shared" si="5"/>
        <v>Barnard</v>
      </c>
      <c r="Z18" s="337" t="str">
        <f t="shared" si="6"/>
        <v>S.Barnard</v>
      </c>
      <c r="AA18" s="349" t="str">
        <f t="shared" si="7"/>
        <v/>
      </c>
      <c r="AB18" s="349" t="str">
        <f t="shared" si="8"/>
        <v/>
      </c>
      <c r="AC18" s="337" t="str">
        <f>IFERROR(IF(ISNUMBER(SEARCH("*",N18)),N18&amp;" "&amp;F18,IF(F18="M",LOOKUP(J18,AgeCategories!$A$3:$F$11),LOOKUP(J18,AgeCategories!$A$14:$F$22))),"")</f>
        <v>YM</v>
      </c>
      <c r="AD18" s="350">
        <f t="shared" si="9"/>
        <v>38884</v>
      </c>
      <c r="AE18" s="337">
        <f t="shared" si="10"/>
        <v>16</v>
      </c>
      <c r="AF18" s="337" t="str">
        <f>IF(SUM(COUNTIF(H18,{"*Girl*","*Women*","*Woman*","*Female*","*Wo*","*Fe*","*F*"})),"F","M")</f>
        <v>M</v>
      </c>
      <c r="AG18" s="112"/>
      <c r="AH18" s="112"/>
      <c r="AI18" s="344" t="e">
        <f t="array" aca="1" ref="AI18" ca="1">(SMALL(IF(ISERROR(MATCH($AJ$3+ROW(OFFSET($A$3, 0,0, $AJ$4-$AJ$3+1))-2, $A$3:$A666,0)), $AJ$3+ROW(OFFSET($A$2,0, 0, $AJ$4-$AJ$3+1))-1), ROW(A17)))</f>
        <v>#NUM!</v>
      </c>
      <c r="AJ18" s="336">
        <f>Helpers!AY133</f>
        <v>0</v>
      </c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167"/>
      <c r="AV18" s="328"/>
      <c r="AW18" s="56"/>
      <c r="AX18" s="56"/>
      <c r="AY18" s="56"/>
      <c r="AZ18" s="56" t="s">
        <v>2537</v>
      </c>
      <c r="BA18" s="56"/>
    </row>
    <row r="19" spans="1:53" ht="13.5" customHeight="1" thickBot="1">
      <c r="A19" s="111">
        <v>17</v>
      </c>
      <c r="B19" s="335" t="str">
        <f t="shared" si="0"/>
        <v>Alexander Jonker</v>
      </c>
      <c r="C19" s="116" t="s">
        <v>1378</v>
      </c>
      <c r="D19" s="116" t="s">
        <v>1379</v>
      </c>
      <c r="E19"/>
      <c r="F19" s="336" t="str">
        <f>IF(SUM(COUNTIF(H19,{"*Girl*","*Women*","*Woman*","*Female*","*Wo*","*Fe*","*F*"})),"F","M")</f>
        <v>M</v>
      </c>
      <c r="G19" s="337" t="str">
        <f>IFERROR(IF(ISNUMBER(SEARCH("*",N19)),N19&amp;" "&amp;F19,IF(F19="M",LOOKUP(J19,AgeCategories!$A$3:$D$13),LOOKUP(J19,AgeCategories!$A$14:$D$24))),"Invalid Age")</f>
        <v>Youth Men</v>
      </c>
      <c r="H19" s="175" t="s">
        <v>209</v>
      </c>
      <c r="I19" s="338">
        <f t="shared" si="1"/>
        <v>39241</v>
      </c>
      <c r="J19" s="340">
        <f>IFERROR(DATEDIF($I19,Helpers!$O$2,"y"),"ID No. needed")</f>
        <v>15</v>
      </c>
      <c r="K19" s="324"/>
      <c r="L19" s="300" t="s">
        <v>2663</v>
      </c>
      <c r="M19" s="353" t="s">
        <v>1776</v>
      </c>
      <c r="N19" s="342"/>
      <c r="O19" s="308" t="b">
        <v>1</v>
      </c>
      <c r="P19" s="192" t="b">
        <f>NOT(ISNA(VLOOKUP(A19,SortedDownload!A:A,1,FALSE)))</f>
        <v>1</v>
      </c>
      <c r="Q19" s="373" t="s">
        <v>2728</v>
      </c>
      <c r="R19" s="325"/>
      <c r="S19" s="235"/>
      <c r="T19" s="235"/>
      <c r="U19" s="54" t="s">
        <v>2035</v>
      </c>
      <c r="V19" s="337" t="str">
        <f t="shared" si="2"/>
        <v>-</v>
      </c>
      <c r="W19" s="348" t="str">
        <f t="shared" si="3"/>
        <v>Alexander Jonker</v>
      </c>
      <c r="X19" s="337" t="str">
        <f t="shared" si="4"/>
        <v>Alexander</v>
      </c>
      <c r="Y19" s="337" t="str">
        <f t="shared" si="5"/>
        <v>Jonker</v>
      </c>
      <c r="Z19" s="337" t="str">
        <f t="shared" si="6"/>
        <v>A.Jonker</v>
      </c>
      <c r="AA19" s="349" t="str">
        <f t="shared" si="7"/>
        <v/>
      </c>
      <c r="AB19" s="349" t="str">
        <f t="shared" si="8"/>
        <v/>
      </c>
      <c r="AC19" s="337" t="str">
        <f>IFERROR(IF(ISNUMBER(SEARCH("*",N19)),N19&amp;" "&amp;F19,IF(F19="M",LOOKUP(J19,AgeCategories!$A$3:$F$11),LOOKUP(J19,AgeCategories!$A$14:$F$22))),"")</f>
        <v>YM</v>
      </c>
      <c r="AD19" s="350">
        <f t="shared" si="9"/>
        <v>39241</v>
      </c>
      <c r="AE19" s="337">
        <f t="shared" si="10"/>
        <v>15</v>
      </c>
      <c r="AF19" s="337" t="str">
        <f>IF(SUM(COUNTIF(H19,{"*Girl*","*Women*","*Woman*","*Female*","*Wo*","*Fe*","*F*"})),"F","M")</f>
        <v>M</v>
      </c>
      <c r="AG19" s="112"/>
      <c r="AH19" s="112"/>
      <c r="AI19" s="344" t="e">
        <f t="array" aca="1" ref="AI19" ca="1">(SMALL(IF(ISERROR(MATCH($AJ$3+ROW(OFFSET($A$3, 0,0, $AJ$4-$AJ$3+1))-2, $A$3:$A667,0)), $AJ$3+ROW(OFFSET($A$2,0, 0, $AJ$4-$AJ$3+1))-1), ROW(A18)))</f>
        <v>#NUM!</v>
      </c>
      <c r="AJ19" s="336">
        <f>Helpers!AY132</f>
        <v>0</v>
      </c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167"/>
      <c r="AV19" s="328"/>
      <c r="AW19" s="56" t="s">
        <v>2285</v>
      </c>
      <c r="AX19" s="56" t="s">
        <v>2481</v>
      </c>
      <c r="AY19" s="56" t="s">
        <v>2277</v>
      </c>
      <c r="AZ19" s="56" t="s">
        <v>2540</v>
      </c>
      <c r="BA19" s="56"/>
    </row>
    <row r="20" spans="1:53" ht="13.5" customHeight="1" thickBot="1">
      <c r="A20" s="111">
        <v>18</v>
      </c>
      <c r="B20" s="335" t="str">
        <f t="shared" si="0"/>
        <v>Jayden Lang</v>
      </c>
      <c r="C20" s="116" t="s">
        <v>1380</v>
      </c>
      <c r="D20" s="116" t="s">
        <v>1381</v>
      </c>
      <c r="E20"/>
      <c r="F20" s="336" t="str">
        <f>IF(SUM(COUNTIF(H20,{"*Girl*","*Women*","*Woman*","*Female*","*Wo*","*Fe*","*F*"})),"F","M")</f>
        <v>M</v>
      </c>
      <c r="G20" s="337" t="str">
        <f>IFERROR(IF(ISNUMBER(SEARCH("*",N20)),N20&amp;" "&amp;F20,IF(F20="M",LOOKUP(J20,AgeCategories!$A$3:$D$13),LOOKUP(J20,AgeCategories!$A$14:$D$24))),"Invalid Age")</f>
        <v>Elite Men</v>
      </c>
      <c r="H20" s="175" t="s">
        <v>209</v>
      </c>
      <c r="I20" s="338">
        <f t="shared" si="1"/>
        <v>37032</v>
      </c>
      <c r="J20" s="340">
        <f>IFERROR(DATEDIF($I20,Helpers!$O$2,"y"),"ID No. needed")</f>
        <v>21</v>
      </c>
      <c r="K20" s="324"/>
      <c r="L20" s="300" t="s">
        <v>2664</v>
      </c>
      <c r="M20" s="353" t="s">
        <v>1777</v>
      </c>
      <c r="N20" s="342"/>
      <c r="O20" s="308" t="b">
        <v>1</v>
      </c>
      <c r="P20" s="192" t="b">
        <f>NOT(ISNA(VLOOKUP(A20,SortedDownload!A:A,1,FALSE)))</f>
        <v>1</v>
      </c>
      <c r="Q20" s="373" t="s">
        <v>2728</v>
      </c>
      <c r="R20" s="325"/>
      <c r="S20" s="235"/>
      <c r="T20" s="235"/>
      <c r="U20" s="54" t="s">
        <v>2036</v>
      </c>
      <c r="V20" s="337" t="str">
        <f t="shared" si="2"/>
        <v>-</v>
      </c>
      <c r="W20" s="348" t="str">
        <f t="shared" si="3"/>
        <v>Jayden Lang</v>
      </c>
      <c r="X20" s="337" t="str">
        <f t="shared" si="4"/>
        <v>Jayden</v>
      </c>
      <c r="Y20" s="337" t="str">
        <f t="shared" si="5"/>
        <v>Lang</v>
      </c>
      <c r="Z20" s="337" t="str">
        <f t="shared" si="6"/>
        <v>J.Lang</v>
      </c>
      <c r="AA20" s="349" t="str">
        <f t="shared" si="7"/>
        <v/>
      </c>
      <c r="AB20" s="349" t="str">
        <f t="shared" si="8"/>
        <v/>
      </c>
      <c r="AC20" s="337" t="str">
        <f>IFERROR(IF(ISNUMBER(SEARCH("*",N20)),N20&amp;" "&amp;F20,IF(F20="M",LOOKUP(J20,AgeCategories!$A$3:$F$11),LOOKUP(J20,AgeCategories!$A$14:$F$22))),"")</f>
        <v>EM</v>
      </c>
      <c r="AD20" s="350">
        <f t="shared" si="9"/>
        <v>37032</v>
      </c>
      <c r="AE20" s="337">
        <f t="shared" si="10"/>
        <v>21</v>
      </c>
      <c r="AF20" s="337" t="str">
        <f>IF(SUM(COUNTIF(H20,{"*Girl*","*Women*","*Woman*","*Female*","*Wo*","*Fe*","*F*"})),"F","M")</f>
        <v>M</v>
      </c>
      <c r="AG20" s="112"/>
      <c r="AH20" s="112"/>
      <c r="AI20" s="344" t="e">
        <f t="array" aca="1" ref="AI20" ca="1">(SMALL(IF(ISERROR(MATCH($AJ$3+ROW(OFFSET($A$3, 0,0, $AJ$4-$AJ$3+1))-2, $A$3:$A668,0)), $AJ$3+ROW(OFFSET($A$2,0, 0, $AJ$4-$AJ$3+1))-1), ROW(A19)))</f>
        <v>#NUM!</v>
      </c>
      <c r="AJ20" s="336">
        <f>Helpers!AY131</f>
        <v>0</v>
      </c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167"/>
      <c r="AV20" s="328"/>
      <c r="AW20" s="56" t="s">
        <v>2286</v>
      </c>
      <c r="AX20" s="56" t="s">
        <v>2482</v>
      </c>
      <c r="AY20" s="56" t="s">
        <v>2277</v>
      </c>
      <c r="AZ20" s="56" t="s">
        <v>2539</v>
      </c>
      <c r="BA20" s="56"/>
    </row>
    <row r="21" spans="1:53" ht="13.5" thickBot="1">
      <c r="A21" s="111">
        <v>19</v>
      </c>
      <c r="B21" s="335" t="str">
        <f t="shared" si="0"/>
        <v>Isabella Stermin</v>
      </c>
      <c r="C21" s="116" t="s">
        <v>1382</v>
      </c>
      <c r="D21" s="116" t="s">
        <v>1383</v>
      </c>
      <c r="E21"/>
      <c r="F21" s="336" t="str">
        <f>IF(SUM(COUNTIF(H21,{"*Girl*","*Women*","*Woman*","*Female*","*Wo*","*Fe*","*F*"})),"F","M")</f>
        <v>F</v>
      </c>
      <c r="G21" s="337" t="str">
        <f>IFERROR(IF(ISNUMBER(SEARCH("*",N21)),N21&amp;" "&amp;F21,IF(F21="M",LOOKUP(J21,AgeCategories!$A$3:$D$13),LOOKUP(J21,AgeCategories!$A$14:$D$24))),"Invalid Age")</f>
        <v>Nipper Girls</v>
      </c>
      <c r="H21" s="175" t="s">
        <v>210</v>
      </c>
      <c r="I21" s="338">
        <f t="shared" si="1"/>
        <v>40967</v>
      </c>
      <c r="J21" s="340">
        <f>IFERROR(DATEDIF($I21,Helpers!$O$2,"y"),"ID No. needed")</f>
        <v>10</v>
      </c>
      <c r="K21" s="324"/>
      <c r="L21" s="300" t="s">
        <v>2665</v>
      </c>
      <c r="M21" s="353" t="s">
        <v>1778</v>
      </c>
      <c r="N21" s="341"/>
      <c r="O21" s="308" t="b">
        <v>1</v>
      </c>
      <c r="P21" s="192" t="b">
        <f>NOT(ISNA(VLOOKUP(A21,SortedDownload!A:A,1,FALSE)))</f>
        <v>1</v>
      </c>
      <c r="Q21" s="373" t="s">
        <v>2601</v>
      </c>
      <c r="R21" s="325"/>
      <c r="S21" s="235"/>
      <c r="T21" s="235"/>
      <c r="U21" s="54" t="s">
        <v>2037</v>
      </c>
      <c r="V21" s="337" t="str">
        <f t="shared" si="2"/>
        <v>-</v>
      </c>
      <c r="W21" s="348" t="str">
        <f t="shared" si="3"/>
        <v>Isabella Stermin</v>
      </c>
      <c r="X21" s="337" t="str">
        <f t="shared" si="4"/>
        <v>Isabella</v>
      </c>
      <c r="Y21" s="337" t="str">
        <f t="shared" si="5"/>
        <v>Stermin</v>
      </c>
      <c r="Z21" s="337" t="str">
        <f t="shared" si="6"/>
        <v>I.Stermin</v>
      </c>
      <c r="AA21" s="349" t="str">
        <f t="shared" si="7"/>
        <v/>
      </c>
      <c r="AB21" s="349" t="str">
        <f t="shared" si="8"/>
        <v/>
      </c>
      <c r="AC21" s="337" t="str">
        <f>IFERROR(IF(ISNUMBER(SEARCH("*",N21)),N21&amp;" "&amp;F21,IF(F21="M",LOOKUP(J21,AgeCategories!$A$3:$F$11),LOOKUP(J21,AgeCategories!$A$14:$F$22))),"")</f>
        <v>NG</v>
      </c>
      <c r="AD21" s="350">
        <f t="shared" si="9"/>
        <v>40967</v>
      </c>
      <c r="AE21" s="337">
        <f t="shared" si="10"/>
        <v>10</v>
      </c>
      <c r="AF21" s="337" t="str">
        <f>IF(SUM(COUNTIF(H21,{"*Girl*","*Women*","*Woman*","*Female*","*Wo*","*Fe*","*F*"})),"F","M")</f>
        <v>F</v>
      </c>
      <c r="AG21" s="112"/>
      <c r="AH21" s="112"/>
      <c r="AI21" s="344" t="e">
        <f t="array" aca="1" ref="AI21" ca="1">(SMALL(IF(ISERROR(MATCH($AJ$3+ROW(OFFSET($A$3, 0,0, $AJ$4-$AJ$3+1))-2, $A$3:$A669,0)), $AJ$3+ROW(OFFSET($A$2,0, 0, $AJ$4-$AJ$3+1))-1), ROW(A20)))</f>
        <v>#NUM!</v>
      </c>
      <c r="AJ21" s="336">
        <f>Helpers!AY130</f>
        <v>0</v>
      </c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167"/>
      <c r="AV21" s="328"/>
      <c r="AW21" s="56" t="s">
        <v>2287</v>
      </c>
      <c r="AX21" s="56" t="s">
        <v>2478</v>
      </c>
      <c r="AY21" s="56"/>
      <c r="AZ21" s="56" t="s">
        <v>2539</v>
      </c>
      <c r="BA21" s="56"/>
    </row>
    <row r="22" spans="1:53" ht="13.5" customHeight="1" thickBot="1">
      <c r="A22" s="111">
        <v>20</v>
      </c>
      <c r="B22" s="335" t="str">
        <f t="shared" si="0"/>
        <v>Luca Zietsman</v>
      </c>
      <c r="C22" s="116" t="s">
        <v>1384</v>
      </c>
      <c r="D22" s="116" t="s">
        <v>1385</v>
      </c>
      <c r="E22"/>
      <c r="F22" s="336" t="str">
        <f>IF(SUM(COUNTIF(H22,{"*Girl*","*Women*","*Woman*","*Female*","*Wo*","*Fe*","*F*"})),"F","M")</f>
        <v>M</v>
      </c>
      <c r="G22" s="337" t="str">
        <f>IFERROR(IF(ISNUMBER(SEARCH("*",N22)),N22&amp;" "&amp;F22,IF(F22="M",LOOKUP(J22,AgeCategories!$A$3:$D$13),LOOKUP(J22,AgeCategories!$A$14:$D$24))),"Invalid Age")</f>
        <v>Youth Men</v>
      </c>
      <c r="H22" s="175" t="s">
        <v>209</v>
      </c>
      <c r="I22" s="338">
        <f t="shared" si="1"/>
        <v>39185</v>
      </c>
      <c r="J22" s="340">
        <f>IFERROR(DATEDIF($I22,Helpers!$O$2,"y"),"ID No. needed")</f>
        <v>15</v>
      </c>
      <c r="K22" s="324"/>
      <c r="L22" s="300" t="s">
        <v>2666</v>
      </c>
      <c r="M22" s="353" t="s">
        <v>1779</v>
      </c>
      <c r="N22" s="342"/>
      <c r="O22" s="308" t="b">
        <v>1</v>
      </c>
      <c r="P22" s="192" t="b">
        <f>NOT(ISNA(VLOOKUP(A22,SortedDownload!A:A,1,FALSE)))</f>
        <v>1</v>
      </c>
      <c r="Q22" s="373" t="s">
        <v>2728</v>
      </c>
      <c r="R22" s="325"/>
      <c r="S22" s="235"/>
      <c r="T22" s="235"/>
      <c r="U22" s="54" t="s">
        <v>2038</v>
      </c>
      <c r="V22" s="337" t="str">
        <f t="shared" si="2"/>
        <v>-</v>
      </c>
      <c r="W22" s="348" t="str">
        <f t="shared" si="3"/>
        <v>Luca Zietsman</v>
      </c>
      <c r="X22" s="337" t="str">
        <f t="shared" si="4"/>
        <v>Luca</v>
      </c>
      <c r="Y22" s="337" t="str">
        <f t="shared" si="5"/>
        <v>Zietsman</v>
      </c>
      <c r="Z22" s="337" t="str">
        <f t="shared" si="6"/>
        <v>L.Zietsman</v>
      </c>
      <c r="AA22" s="349" t="str">
        <f t="shared" si="7"/>
        <v/>
      </c>
      <c r="AB22" s="349" t="str">
        <f t="shared" si="8"/>
        <v/>
      </c>
      <c r="AC22" s="337" t="str">
        <f>IFERROR(IF(ISNUMBER(SEARCH("*",N22)),N22&amp;" "&amp;F22,IF(F22="M",LOOKUP(J22,AgeCategories!$A$3:$F$11),LOOKUP(J22,AgeCategories!$A$14:$F$22))),"")</f>
        <v>YM</v>
      </c>
      <c r="AD22" s="350">
        <f t="shared" si="9"/>
        <v>39185</v>
      </c>
      <c r="AE22" s="337">
        <f t="shared" si="10"/>
        <v>15</v>
      </c>
      <c r="AF22" s="337" t="str">
        <f>IF(SUM(COUNTIF(H22,{"*Girl*","*Women*","*Woman*","*Female*","*Wo*","*Fe*","*F*"})),"F","M")</f>
        <v>M</v>
      </c>
      <c r="AG22" s="112"/>
      <c r="AH22" s="112"/>
      <c r="AI22" s="344" t="e">
        <f t="array" aca="1" ref="AI22" ca="1">(SMALL(IF(ISERROR(MATCH($AJ$3+ROW(OFFSET($A$3, 0,0, $AJ$4-$AJ$3+1))-2, $A$3:$A670,0)), $AJ$3+ROW(OFFSET($A$2,0, 0, $AJ$4-$AJ$3+1))-1), ROW(A21)))</f>
        <v>#NUM!</v>
      </c>
      <c r="AJ22" s="336">
        <f>Helpers!AY129</f>
        <v>0</v>
      </c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167"/>
      <c r="AV22" s="328"/>
      <c r="AW22" s="56" t="s">
        <v>2288</v>
      </c>
      <c r="AX22" s="56" t="s">
        <v>2482</v>
      </c>
      <c r="AY22" s="56"/>
      <c r="AZ22" s="56" t="s">
        <v>2537</v>
      </c>
      <c r="BA22" s="56"/>
    </row>
    <row r="23" spans="1:53" ht="13.5" customHeight="1" thickBot="1">
      <c r="A23" s="111">
        <v>21</v>
      </c>
      <c r="B23" s="335" t="str">
        <f t="shared" si="0"/>
        <v>Adam Bethlehem</v>
      </c>
      <c r="C23" s="307" t="s">
        <v>1386</v>
      </c>
      <c r="D23" s="307" t="s">
        <v>1387</v>
      </c>
      <c r="E23"/>
      <c r="F23" s="336" t="str">
        <f>IF(SUM(COUNTIF(H23,{"*Girl*","*Women*","*Woman*","*Female*","*Wo*","*Fe*","*F*"})),"F","M")</f>
        <v>M</v>
      </c>
      <c r="G23" s="337" t="str">
        <f>IFERROR(IF(ISNUMBER(SEARCH("*",N23)),N23&amp;" "&amp;F23,IF(F23="M",LOOKUP(J23,AgeCategories!$A$3:$D$13),LOOKUP(J23,AgeCategories!$A$14:$D$24))),"Invalid Age")</f>
        <v>Lite M</v>
      </c>
      <c r="H23" s="175" t="s">
        <v>209</v>
      </c>
      <c r="I23" s="338">
        <f t="shared" si="1"/>
        <v>31429</v>
      </c>
      <c r="J23" s="340">
        <f>IFERROR(DATEDIF($I23,Helpers!$O$2,"y"),"ID No. needed")</f>
        <v>36</v>
      </c>
      <c r="K23" s="324"/>
      <c r="L23" s="300" t="s">
        <v>2667</v>
      </c>
      <c r="M23" s="353" t="s">
        <v>1780</v>
      </c>
      <c r="N23" s="342" t="s">
        <v>2601</v>
      </c>
      <c r="O23" s="308" t="b">
        <v>1</v>
      </c>
      <c r="P23" s="192" t="b">
        <f>NOT(ISNA(VLOOKUP(A23,SortedDownload!A:A,1,FALSE)))</f>
        <v>1</v>
      </c>
      <c r="Q23" s="373" t="s">
        <v>2727</v>
      </c>
      <c r="R23" s="325"/>
      <c r="S23" s="235"/>
      <c r="T23" s="235"/>
      <c r="U23" s="54" t="s">
        <v>2039</v>
      </c>
      <c r="V23" s="337" t="str">
        <f t="shared" si="2"/>
        <v>-</v>
      </c>
      <c r="W23" s="348" t="str">
        <f t="shared" si="3"/>
        <v>Adam Bethlehem</v>
      </c>
      <c r="X23" s="337" t="str">
        <f t="shared" si="4"/>
        <v>Adam</v>
      </c>
      <c r="Y23" s="337" t="str">
        <f t="shared" si="5"/>
        <v>Bethlehem</v>
      </c>
      <c r="Z23" s="337" t="str">
        <f t="shared" si="6"/>
        <v>A.Bethlehem</v>
      </c>
      <c r="AA23" s="349" t="str">
        <f t="shared" si="7"/>
        <v/>
      </c>
      <c r="AB23" s="349" t="str">
        <f t="shared" si="8"/>
        <v/>
      </c>
      <c r="AC23" s="337" t="str">
        <f>IFERROR(IF(ISNUMBER(SEARCH("*",N23)),N23&amp;" "&amp;F23,IF(F23="M",LOOKUP(J23,AgeCategories!$A$3:$F$11),LOOKUP(J23,AgeCategories!$A$14:$F$22))),"")</f>
        <v>Lite M</v>
      </c>
      <c r="AD23" s="350">
        <f t="shared" si="9"/>
        <v>31429</v>
      </c>
      <c r="AE23" s="337">
        <f t="shared" si="10"/>
        <v>36</v>
      </c>
      <c r="AF23" s="337" t="str">
        <f>IF(SUM(COUNTIF(H23,{"*Girl*","*Women*","*Woman*","*Female*","*Wo*","*Fe*","*F*"})),"F","M")</f>
        <v>M</v>
      </c>
      <c r="AG23" s="112"/>
      <c r="AH23" s="112"/>
      <c r="AI23" s="344" t="e">
        <f t="array" aca="1" ref="AI23" ca="1">(SMALL(IF(ISERROR(MATCH($AJ$3+ROW(OFFSET($A$3, 0,0, $AJ$4-$AJ$3+1))-2, $A$3:$A671,0)), $AJ$3+ROW(OFFSET($A$2,0, 0, $AJ$4-$AJ$3+1))-1), ROW(A22)))</f>
        <v>#NUM!</v>
      </c>
      <c r="AJ23" s="336">
        <f>Helpers!AY128</f>
        <v>0</v>
      </c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167"/>
      <c r="AV23" s="328"/>
      <c r="AW23" s="56" t="s">
        <v>2289</v>
      </c>
      <c r="AX23" s="56" t="s">
        <v>2478</v>
      </c>
      <c r="AY23" s="220"/>
      <c r="AZ23" s="56" t="s">
        <v>2541</v>
      </c>
      <c r="BA23" s="56"/>
    </row>
    <row r="24" spans="1:53" ht="13.5" customHeight="1" thickBot="1">
      <c r="A24" s="111">
        <v>22</v>
      </c>
      <c r="B24" s="335" t="str">
        <f t="shared" si="0"/>
        <v>Annemi Pfister</v>
      </c>
      <c r="C24" s="116" t="s">
        <v>1388</v>
      </c>
      <c r="D24" s="116" t="s">
        <v>1389</v>
      </c>
      <c r="E24"/>
      <c r="F24" s="336" t="str">
        <f>IF(SUM(COUNTIF(H24,{"*Girl*","*Women*","*Woman*","*Female*","*Wo*","*Fe*","*F*"})),"F","M")</f>
        <v>F</v>
      </c>
      <c r="G24" s="337" t="str">
        <f>IFERROR(IF(ISNUMBER(SEARCH("*",N24)),N24&amp;" "&amp;F24,IF(F24="M",LOOKUP(J24,AgeCategories!$A$3:$D$13),LOOKUP(J24,AgeCategories!$A$14:$D$24))),"Invalid Age")</f>
        <v>Master Women</v>
      </c>
      <c r="H24" s="175" t="s">
        <v>210</v>
      </c>
      <c r="I24" s="338">
        <f t="shared" si="1"/>
        <v>31183</v>
      </c>
      <c r="J24" s="340">
        <f>IFERROR(DATEDIF($I24,Helpers!$O$2,"y"),"ID No. needed")</f>
        <v>37</v>
      </c>
      <c r="K24" s="324"/>
      <c r="L24" s="300" t="s">
        <v>2668</v>
      </c>
      <c r="M24" s="353" t="s">
        <v>1781</v>
      </c>
      <c r="N24" s="342"/>
      <c r="O24" s="308" t="b">
        <v>1</v>
      </c>
      <c r="P24" s="192" t="b">
        <f>NOT(ISNA(VLOOKUP(A24,SortedDownload!A:A,1,FALSE)))</f>
        <v>1</v>
      </c>
      <c r="Q24" s="373" t="s">
        <v>2728</v>
      </c>
      <c r="R24" s="325"/>
      <c r="S24" s="235"/>
      <c r="T24" s="235"/>
      <c r="U24" s="54" t="s">
        <v>2040</v>
      </c>
      <c r="V24" s="337" t="str">
        <f t="shared" si="2"/>
        <v>-</v>
      </c>
      <c r="W24" s="348" t="str">
        <f t="shared" si="3"/>
        <v>Annemi Pfister</v>
      </c>
      <c r="X24" s="337" t="str">
        <f t="shared" si="4"/>
        <v>Annemi</v>
      </c>
      <c r="Y24" s="337" t="str">
        <f t="shared" si="5"/>
        <v>Pfister</v>
      </c>
      <c r="Z24" s="337" t="str">
        <f t="shared" si="6"/>
        <v>A.Pfister</v>
      </c>
      <c r="AA24" s="349" t="str">
        <f t="shared" si="7"/>
        <v/>
      </c>
      <c r="AB24" s="349" t="str">
        <f t="shared" si="8"/>
        <v/>
      </c>
      <c r="AC24" s="337" t="str">
        <f>IFERROR(IF(ISNUMBER(SEARCH("*",N24)),N24&amp;" "&amp;F24,IF(F24="M",LOOKUP(J24,AgeCategories!$A$3:$F$11),LOOKUP(J24,AgeCategories!$A$14:$F$22))),"")</f>
        <v>MW</v>
      </c>
      <c r="AD24" s="350">
        <f t="shared" si="9"/>
        <v>31183</v>
      </c>
      <c r="AE24" s="337">
        <f t="shared" si="10"/>
        <v>37</v>
      </c>
      <c r="AF24" s="337" t="str">
        <f>IF(SUM(COUNTIF(H24,{"*Girl*","*Women*","*Woman*","*Female*","*Wo*","*Fe*","*F*"})),"F","M")</f>
        <v>F</v>
      </c>
      <c r="AG24" s="112"/>
      <c r="AH24" s="112"/>
      <c r="AI24" s="344" t="e">
        <f t="array" aca="1" ref="AI24" ca="1">(SMALL(IF(ISERROR(MATCH($AJ$3+ROW(OFFSET($A$3, 0,0, $AJ$4-$AJ$3+1))-2, $A$3:$A671,0)), $AJ$3+ROW(OFFSET($A$2,0, 0, $AJ$4-$AJ$3+1))-1), ROW(A23)))</f>
        <v>#NUM!</v>
      </c>
      <c r="AJ24" s="336">
        <f>Helpers!AY148</f>
        <v>0</v>
      </c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167"/>
      <c r="AV24" s="328"/>
      <c r="AW24" s="56" t="s">
        <v>2290</v>
      </c>
      <c r="AX24" s="56" t="s">
        <v>2478</v>
      </c>
      <c r="AY24" s="56" t="s">
        <v>2277</v>
      </c>
      <c r="AZ24" s="56" t="s">
        <v>2537</v>
      </c>
      <c r="BA24" s="56"/>
    </row>
    <row r="25" spans="1:53" ht="13.5" customHeight="1" thickBot="1">
      <c r="A25" s="111">
        <v>23</v>
      </c>
      <c r="B25" s="335" t="str">
        <f t="shared" si="0"/>
        <v>Sven Duncker</v>
      </c>
      <c r="C25" s="307" t="s">
        <v>1390</v>
      </c>
      <c r="D25" s="307" t="s">
        <v>1391</v>
      </c>
      <c r="E25"/>
      <c r="F25" s="336" t="str">
        <f>IF(SUM(COUNTIF(H25,{"*Girl*","*Women*","*Woman*","*Female*","*Wo*","*Fe*","*F*"})),"F","M")</f>
        <v>M</v>
      </c>
      <c r="G25" s="337" t="str">
        <f>IFERROR(IF(ISNUMBER(SEARCH("*",N25)),N25&amp;" "&amp;F25,IF(F25="M",LOOKUP(J25,AgeCategories!$A$3:$D$13),LOOKUP(J25,AgeCategories!$A$14:$D$24))),"Invalid Age")</f>
        <v>Master Men</v>
      </c>
      <c r="H25" s="175" t="s">
        <v>209</v>
      </c>
      <c r="I25" s="338">
        <f t="shared" si="1"/>
        <v>29603</v>
      </c>
      <c r="J25" s="340">
        <f>IFERROR(DATEDIF($I25,Helpers!$O$2,"y"),"ID No. needed")</f>
        <v>41</v>
      </c>
      <c r="K25" s="324"/>
      <c r="L25" s="300" t="s">
        <v>2669</v>
      </c>
      <c r="M25" s="353" t="s">
        <v>1782</v>
      </c>
      <c r="N25" s="342"/>
      <c r="O25" s="308" t="b">
        <v>0</v>
      </c>
      <c r="P25" s="192" t="b">
        <f>NOT(ISNA(VLOOKUP(A25,SortedDownload!A:A,1,FALSE)))</f>
        <v>0</v>
      </c>
      <c r="Q25" s="373" t="s">
        <v>2728</v>
      </c>
      <c r="R25" s="325"/>
      <c r="S25" s="235"/>
      <c r="T25" s="235"/>
      <c r="U25" s="54" t="s">
        <v>2041</v>
      </c>
      <c r="V25" s="337" t="str">
        <f t="shared" si="2"/>
        <v>-</v>
      </c>
      <c r="W25" s="348" t="str">
        <f t="shared" si="3"/>
        <v>Sven Duncker</v>
      </c>
      <c r="X25" s="337" t="str">
        <f t="shared" si="4"/>
        <v>Sven</v>
      </c>
      <c r="Y25" s="337" t="str">
        <f t="shared" si="5"/>
        <v>Duncker</v>
      </c>
      <c r="Z25" s="337" t="str">
        <f t="shared" si="6"/>
        <v>S.Duncker</v>
      </c>
      <c r="AA25" s="349" t="str">
        <f t="shared" si="7"/>
        <v/>
      </c>
      <c r="AB25" s="349" t="str">
        <f t="shared" si="8"/>
        <v/>
      </c>
      <c r="AC25" s="337" t="str">
        <f>IFERROR(IF(ISNUMBER(SEARCH("*",N25)),N25&amp;" "&amp;F25,IF(F25="M",LOOKUP(J25,AgeCategories!$A$3:$F$11),LOOKUP(J25,AgeCategories!$A$14:$F$22))),"")</f>
        <v>MM</v>
      </c>
      <c r="AD25" s="350">
        <f t="shared" si="9"/>
        <v>29603</v>
      </c>
      <c r="AE25" s="337">
        <f t="shared" si="10"/>
        <v>41</v>
      </c>
      <c r="AF25" s="337" t="str">
        <f>IF(SUM(COUNTIF(H25,{"*Girl*","*Women*","*Woman*","*Female*","*Wo*","*Fe*","*F*"})),"F","M")</f>
        <v>M</v>
      </c>
      <c r="AG25" s="112"/>
      <c r="AH25" s="112"/>
      <c r="AI25" s="344" t="e">
        <f t="array" aca="1" ref="AI25" ca="1">(SMALL(IF(ISERROR(MATCH($AJ$3+ROW(OFFSET($A$3, 0,0, $AJ$4-$AJ$3+1))-2, $A$3:$A673,0)), $AJ$3+ROW(OFFSET($A$2,0, 0, $AJ$4-$AJ$3+1))-1), ROW(A24)))</f>
        <v>#NUM!</v>
      </c>
      <c r="AJ25" s="336">
        <f>Helpers!AY127</f>
        <v>0</v>
      </c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167"/>
      <c r="AV25" s="328"/>
      <c r="AW25" s="56" t="s">
        <v>2291</v>
      </c>
      <c r="AX25" s="56" t="s">
        <v>2478</v>
      </c>
      <c r="AY25" s="220" t="s">
        <v>2547</v>
      </c>
      <c r="AZ25" s="56" t="s">
        <v>2538</v>
      </c>
      <c r="BA25" s="56"/>
    </row>
    <row r="26" spans="1:53" ht="13.5" customHeight="1" thickBot="1">
      <c r="A26" s="111">
        <v>24</v>
      </c>
      <c r="B26" s="335" t="str">
        <f t="shared" si="0"/>
        <v>Enrique Julyan</v>
      </c>
      <c r="C26" s="301" t="s">
        <v>1392</v>
      </c>
      <c r="D26" s="301" t="s">
        <v>1393</v>
      </c>
      <c r="E26"/>
      <c r="F26" s="336" t="str">
        <f>IF(SUM(COUNTIF(H26,{"*Girl*","*Women*","*Woman*","*Female*","*Wo*","*Fe*","*F*"})),"F","M")</f>
        <v>M</v>
      </c>
      <c r="G26" s="337" t="str">
        <f>IFERROR(IF(ISNUMBER(SEARCH("*",N26)),N26&amp;" "&amp;F26,IF(F26="M",LOOKUP(J26,AgeCategories!$A$3:$D$13),LOOKUP(J26,AgeCategories!$A$14:$D$24))),"Invalid Age")</f>
        <v>Master Men</v>
      </c>
      <c r="H26" s="302" t="s">
        <v>209</v>
      </c>
      <c r="I26" s="338">
        <f t="shared" si="1"/>
        <v>32402</v>
      </c>
      <c r="J26" s="340">
        <f>IFERROR(DATEDIF($I26,Helpers!$O$2,"y"),"ID No. needed")</f>
        <v>34</v>
      </c>
      <c r="K26"/>
      <c r="L26" s="300" t="s">
        <v>2670</v>
      </c>
      <c r="M26" s="353" t="s">
        <v>1783</v>
      </c>
      <c r="N26" s="342"/>
      <c r="O26" s="308" t="b">
        <v>1</v>
      </c>
      <c r="P26" s="192" t="b">
        <f>NOT(ISNA(VLOOKUP(A26,SortedDownload!A:A,1,FALSE)))</f>
        <v>1</v>
      </c>
      <c r="Q26" s="373" t="s">
        <v>2728</v>
      </c>
      <c r="R26"/>
      <c r="S26" s="235"/>
      <c r="T26" s="235"/>
      <c r="U26" t="s">
        <v>2042</v>
      </c>
      <c r="V26" s="337" t="str">
        <f t="shared" si="2"/>
        <v>-</v>
      </c>
      <c r="W26" s="348" t="str">
        <f t="shared" si="3"/>
        <v>Enrique Julyan</v>
      </c>
      <c r="X26" s="337" t="str">
        <f t="shared" si="4"/>
        <v>Enrique</v>
      </c>
      <c r="Y26" s="337" t="str">
        <f t="shared" si="5"/>
        <v>Julyan</v>
      </c>
      <c r="Z26" s="337" t="str">
        <f t="shared" si="6"/>
        <v>E.Julyan</v>
      </c>
      <c r="AA26" s="349" t="str">
        <f t="shared" si="7"/>
        <v/>
      </c>
      <c r="AB26" s="349" t="str">
        <f t="shared" si="8"/>
        <v/>
      </c>
      <c r="AC26" s="337" t="str">
        <f>IFERROR(IF(ISNUMBER(SEARCH("*",N26)),N26&amp;" "&amp;F26,IF(F26="M",LOOKUP(J26,AgeCategories!$A$3:$F$11),LOOKUP(J26,AgeCategories!$A$14:$F$22))),"")</f>
        <v>MM</v>
      </c>
      <c r="AD26" s="350">
        <f t="shared" si="9"/>
        <v>32402</v>
      </c>
      <c r="AE26" s="337">
        <f t="shared" si="10"/>
        <v>34</v>
      </c>
      <c r="AF26" s="337" t="str">
        <f>IF(SUM(COUNTIF(H26,{"*Girl*","*Women*","*Woman*","*Female*","*Wo*","*Fe*","*F*"})),"F","M")</f>
        <v>M</v>
      </c>
      <c r="AG26" s="112"/>
      <c r="AH26" s="112"/>
      <c r="AI26" s="344" t="e">
        <f t="array" aca="1" ref="AI26" ca="1">(SMALL(IF(ISERROR(MATCH($AJ$3+ROW(OFFSET($A$3, 0,0, $AJ$4-$AJ$3+1))-2, $A$3:$A673,0)), $AJ$3+ROW(OFFSET($A$2,0, 0, $AJ$4-$AJ$3+1))-1), ROW(A25)))</f>
        <v>#NUM!</v>
      </c>
      <c r="AJ26" s="336">
        <f>Helpers!AY71</f>
        <v>0</v>
      </c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/>
      <c r="AV26"/>
      <c r="AW26" t="s">
        <v>2292</v>
      </c>
      <c r="AX26" s="56" t="s">
        <v>2478</v>
      </c>
      <c r="AY26"/>
      <c r="AZ26" s="56" t="s">
        <v>2537</v>
      </c>
      <c r="BA26" s="56"/>
    </row>
    <row r="27" spans="1:53" ht="13.5" customHeight="1" thickBot="1">
      <c r="A27" s="111">
        <v>25</v>
      </c>
      <c r="B27" s="335" t="str">
        <f t="shared" si="0"/>
        <v>Stirling Kotze</v>
      </c>
      <c r="C27" s="307" t="s">
        <v>1394</v>
      </c>
      <c r="D27" s="307" t="s">
        <v>631</v>
      </c>
      <c r="E27"/>
      <c r="F27" s="336" t="str">
        <f>IF(SUM(COUNTIF(H27,{"*Girl*","*Women*","*Woman*","*Female*","*Wo*","*Fe*","*F*"})),"F","M")</f>
        <v>M</v>
      </c>
      <c r="G27" s="337" t="str">
        <f>IFERROR(IF(ISNUMBER(SEARCH("*",N27)),N27&amp;" "&amp;F27,IF(F27="M",LOOKUP(J27,AgeCategories!$A$3:$D$13),LOOKUP(J27,AgeCategories!$A$14:$D$24))),"Invalid Age")</f>
        <v>E-Bike M</v>
      </c>
      <c r="H27" s="175" t="s">
        <v>209</v>
      </c>
      <c r="I27" s="338">
        <f t="shared" si="1"/>
        <v>30687</v>
      </c>
      <c r="J27" s="340">
        <f>IFERROR(DATEDIF($I27,Helpers!$O$2,"y"),"ID No. needed")</f>
        <v>38</v>
      </c>
      <c r="K27" s="324"/>
      <c r="L27" s="300" t="s">
        <v>2671</v>
      </c>
      <c r="M27" s="353" t="s">
        <v>1784</v>
      </c>
      <c r="N27" s="342" t="s">
        <v>560</v>
      </c>
      <c r="O27" s="308" t="b">
        <v>1</v>
      </c>
      <c r="P27" s="192" t="b">
        <f>NOT(ISNA(VLOOKUP(A27,SortedDownload!A:A,1,FALSE)))</f>
        <v>1</v>
      </c>
      <c r="Q27" s="373" t="s">
        <v>2729</v>
      </c>
      <c r="R27" s="325"/>
      <c r="S27" s="235"/>
      <c r="T27" s="235"/>
      <c r="U27" s="54" t="s">
        <v>2043</v>
      </c>
      <c r="V27" s="337" t="str">
        <f t="shared" si="2"/>
        <v>-</v>
      </c>
      <c r="W27" s="348" t="str">
        <f t="shared" si="3"/>
        <v>Stirling Kotze</v>
      </c>
      <c r="X27" s="337" t="str">
        <f t="shared" si="4"/>
        <v>Stirling</v>
      </c>
      <c r="Y27" s="337" t="str">
        <f t="shared" si="5"/>
        <v>Kotze</v>
      </c>
      <c r="Z27" s="337" t="str">
        <f t="shared" si="6"/>
        <v>S.Kotze</v>
      </c>
      <c r="AA27" s="349" t="str">
        <f t="shared" si="7"/>
        <v/>
      </c>
      <c r="AB27" s="349" t="str">
        <f t="shared" si="8"/>
        <v/>
      </c>
      <c r="AC27" s="337" t="str">
        <f>IFERROR(IF(ISNUMBER(SEARCH("*",N27)),N27&amp;" "&amp;F27,IF(F27="M",LOOKUP(J27,AgeCategories!$A$3:$F$11),LOOKUP(J27,AgeCategories!$A$14:$F$22))),"")</f>
        <v>E-Bike M</v>
      </c>
      <c r="AD27" s="350">
        <f t="shared" si="9"/>
        <v>30687</v>
      </c>
      <c r="AE27" s="337">
        <f t="shared" si="10"/>
        <v>38</v>
      </c>
      <c r="AF27" s="337" t="str">
        <f>IF(SUM(COUNTIF(H27,{"*Girl*","*Women*","*Woman*","*Female*","*Wo*","*Fe*","*F*"})),"F","M")</f>
        <v>M</v>
      </c>
      <c r="AG27" s="112"/>
      <c r="AH27" s="112"/>
      <c r="AI27" s="344" t="e">
        <f t="array" aca="1" ref="AI27" ca="1">(SMALL(IF(ISERROR(MATCH($AJ$3+ROW(OFFSET($A$3, 0,0, $AJ$4-$AJ$3+1))-2, $A$3:$A675,0)), $AJ$3+ROW(OFFSET($A$2,0, 0, $AJ$4-$AJ$3+1))-1), ROW(A26)))</f>
        <v>#NUM!</v>
      </c>
      <c r="AJ27" s="336">
        <f>Helpers!AY126</f>
        <v>0</v>
      </c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167"/>
      <c r="AV27" s="328"/>
      <c r="AW27" s="56" t="s">
        <v>2293</v>
      </c>
      <c r="AX27" s="56" t="s">
        <v>2483</v>
      </c>
      <c r="AY27" s="220" t="s">
        <v>2550</v>
      </c>
      <c r="AZ27" s="56" t="s">
        <v>2537</v>
      </c>
      <c r="BA27" s="56"/>
    </row>
    <row r="28" spans="1:53" ht="13.5" customHeight="1" thickBot="1">
      <c r="A28" s="111">
        <v>26</v>
      </c>
      <c r="B28" s="335" t="str">
        <f t="shared" si="0"/>
        <v>Taun Bewsher</v>
      </c>
      <c r="C28" s="307" t="s">
        <v>1395</v>
      </c>
      <c r="D28" s="307" t="s">
        <v>1396</v>
      </c>
      <c r="E28"/>
      <c r="F28" s="336" t="str">
        <f>IF(SUM(COUNTIF(H28,{"*Girl*","*Women*","*Woman*","*Female*","*Wo*","*Fe*","*F*"})),"F","M")</f>
        <v>M</v>
      </c>
      <c r="G28" s="337" t="str">
        <f>IFERROR(IF(ISNUMBER(SEARCH("*",N28)),N28&amp;" "&amp;F28,IF(F28="M",LOOKUP(J28,AgeCategories!$A$3:$D$13),LOOKUP(J28,AgeCategories!$A$14:$D$24))),"Invalid Age")</f>
        <v>Master Men</v>
      </c>
      <c r="H28" s="175" t="s">
        <v>209</v>
      </c>
      <c r="I28" s="338">
        <f t="shared" si="1"/>
        <v>32307</v>
      </c>
      <c r="J28" s="340">
        <f>IFERROR(DATEDIF($I28,Helpers!$O$2,"y"),"ID No. needed")</f>
        <v>34</v>
      </c>
      <c r="K28"/>
      <c r="L28" s="300" t="s">
        <v>2672</v>
      </c>
      <c r="M28" s="353" t="s">
        <v>1785</v>
      </c>
      <c r="N28" s="342"/>
      <c r="O28" s="308" t="b">
        <v>0</v>
      </c>
      <c r="P28" s="192" t="b">
        <f>NOT(ISNA(VLOOKUP(A28,SortedDownload!A:A,1,FALSE)))</f>
        <v>0</v>
      </c>
      <c r="Q28" s="373" t="s">
        <v>2631</v>
      </c>
      <c r="R28" s="75"/>
      <c r="S28" s="235"/>
      <c r="T28" s="235"/>
      <c r="U28" s="75" t="s">
        <v>2044</v>
      </c>
      <c r="V28" s="337" t="str">
        <f t="shared" si="2"/>
        <v>-</v>
      </c>
      <c r="W28" s="348" t="str">
        <f t="shared" si="3"/>
        <v>Taun Bewsher</v>
      </c>
      <c r="X28" s="337" t="str">
        <f t="shared" si="4"/>
        <v>Taun</v>
      </c>
      <c r="Y28" s="337" t="str">
        <f t="shared" si="5"/>
        <v>Bewsher</v>
      </c>
      <c r="Z28" s="337" t="str">
        <f t="shared" si="6"/>
        <v>T.Bewsher</v>
      </c>
      <c r="AA28" s="349" t="str">
        <f t="shared" si="7"/>
        <v/>
      </c>
      <c r="AB28" s="349" t="str">
        <f t="shared" si="8"/>
        <v/>
      </c>
      <c r="AC28" s="337" t="str">
        <f>IFERROR(IF(ISNUMBER(SEARCH("*",N28)),N28&amp;" "&amp;F28,IF(F28="M",LOOKUP(J28,AgeCategories!$A$3:$F$11),LOOKUP(J28,AgeCategories!$A$14:$F$22))),"")</f>
        <v>MM</v>
      </c>
      <c r="AD28" s="350">
        <f t="shared" si="9"/>
        <v>32307</v>
      </c>
      <c r="AE28" s="337">
        <f t="shared" si="10"/>
        <v>34</v>
      </c>
      <c r="AF28" s="337" t="str">
        <f>IF(SUM(COUNTIF(H28,{"*Girl*","*Women*","*Woman*","*Female*","*Wo*","*Fe*","*F*"})),"F","M")</f>
        <v>M</v>
      </c>
      <c r="AG28" s="112"/>
      <c r="AH28" s="112"/>
      <c r="AI28" s="344" t="e">
        <f t="array" aca="1" ref="AI28" ca="1">(SMALL(IF(ISERROR(MATCH($AJ$3+ROW(OFFSET($A$3, 0,0, $AJ$4-$AJ$3+1))-2, $A$3:$A676,0)), $AJ$3+ROW(OFFSET($A$2,0, 0, $AJ$4-$AJ$3+1))-1), ROW(A27)))</f>
        <v>#NUM!</v>
      </c>
      <c r="AJ28" s="336">
        <f>Helpers!AY125</f>
        <v>0</v>
      </c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/>
      <c r="AV28"/>
      <c r="AW28" t="s">
        <v>2294</v>
      </c>
      <c r="AX28" s="56" t="s">
        <v>2478</v>
      </c>
      <c r="AY28" t="s">
        <v>2547</v>
      </c>
      <c r="AZ28" s="56" t="s">
        <v>2538</v>
      </c>
      <c r="BA28" s="56" t="s">
        <v>2547</v>
      </c>
    </row>
    <row r="29" spans="1:53" ht="13.5" customHeight="1" thickBot="1">
      <c r="A29" s="111">
        <v>27</v>
      </c>
      <c r="B29" s="335" t="str">
        <f t="shared" si="0"/>
        <v>Tim Price</v>
      </c>
      <c r="C29" s="307" t="s">
        <v>1397</v>
      </c>
      <c r="D29" s="307" t="s">
        <v>1398</v>
      </c>
      <c r="E29"/>
      <c r="F29" s="336" t="str">
        <f>IF(SUM(COUNTIF(H29,{"*Girl*","*Women*","*Woman*","*Female*","*Wo*","*Fe*","*F*"})),"F","M")</f>
        <v>M</v>
      </c>
      <c r="G29" s="337" t="str">
        <f>IFERROR(IF(ISNUMBER(SEARCH("*",N29)),N29&amp;" "&amp;F29,IF(F29="M",LOOKUP(J29,AgeCategories!$A$3:$D$13),LOOKUP(J29,AgeCategories!$A$14:$D$24))),"Invalid Age")</f>
        <v>Master Men</v>
      </c>
      <c r="H29" s="175" t="s">
        <v>209</v>
      </c>
      <c r="I29" s="338">
        <f t="shared" si="1"/>
        <v>24332</v>
      </c>
      <c r="J29" s="340">
        <f>IFERROR(DATEDIF($I29,Helpers!$O$2,"y"),"ID No. needed")</f>
        <v>56</v>
      </c>
      <c r="K29"/>
      <c r="L29" s="300" t="s">
        <v>2673</v>
      </c>
      <c r="M29" s="353" t="s">
        <v>1786</v>
      </c>
      <c r="N29" s="342"/>
      <c r="O29" s="308" t="b">
        <v>0</v>
      </c>
      <c r="P29" s="192" t="b">
        <f>NOT(ISNA(VLOOKUP(A29,SortedDownload!A:A,1,FALSE)))</f>
        <v>0</v>
      </c>
      <c r="Q29" s="373" t="s">
        <v>2632</v>
      </c>
      <c r="R29" s="309"/>
      <c r="S29" s="235"/>
      <c r="T29" s="235"/>
      <c r="U29" s="309" t="s">
        <v>2045</v>
      </c>
      <c r="V29" s="337" t="str">
        <f t="shared" si="2"/>
        <v>-</v>
      </c>
      <c r="W29" s="348" t="str">
        <f t="shared" si="3"/>
        <v>Tim Price</v>
      </c>
      <c r="X29" s="337" t="str">
        <f t="shared" si="4"/>
        <v>Tim</v>
      </c>
      <c r="Y29" s="337" t="str">
        <f t="shared" si="5"/>
        <v>Price</v>
      </c>
      <c r="Z29" s="337" t="str">
        <f t="shared" si="6"/>
        <v>T.Price</v>
      </c>
      <c r="AA29" s="349" t="str">
        <f t="shared" si="7"/>
        <v/>
      </c>
      <c r="AB29" s="349" t="str">
        <f t="shared" si="8"/>
        <v/>
      </c>
      <c r="AC29" s="337" t="str">
        <f>IFERROR(IF(ISNUMBER(SEARCH("*",N29)),N29&amp;" "&amp;F29,IF(F29="M",LOOKUP(J29,AgeCategories!$A$3:$F$11),LOOKUP(J29,AgeCategories!$A$14:$F$22))),"")</f>
        <v>MM</v>
      </c>
      <c r="AD29" s="350">
        <f t="shared" si="9"/>
        <v>24332</v>
      </c>
      <c r="AE29" s="337">
        <f t="shared" si="10"/>
        <v>56</v>
      </c>
      <c r="AF29" s="337" t="str">
        <f>IF(SUM(COUNTIF(H29,{"*Girl*","*Women*","*Woman*","*Female*","*Wo*","*Fe*","*F*"})),"F","M")</f>
        <v>M</v>
      </c>
      <c r="AG29" s="112"/>
      <c r="AH29" s="112"/>
      <c r="AI29" s="344" t="e">
        <f t="array" aca="1" ref="AI29" ca="1">(SMALL(IF(ISERROR(MATCH($AJ$3+ROW(OFFSET($A$3, 0,0, $AJ$4-$AJ$3+1))-2, $A$3:$A677,0)), $AJ$3+ROW(OFFSET($A$2,0, 0, $AJ$4-$AJ$3+1))-1), ROW(A28)))</f>
        <v>#NUM!</v>
      </c>
      <c r="AJ29" s="336">
        <f>Helpers!AY124</f>
        <v>0</v>
      </c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/>
      <c r="AV29"/>
      <c r="AW29" t="s">
        <v>2295</v>
      </c>
      <c r="AX29" s="56" t="s">
        <v>2478</v>
      </c>
      <c r="AY29" t="s">
        <v>2548</v>
      </c>
      <c r="AZ29" s="56" t="s">
        <v>2537</v>
      </c>
      <c r="BA29" s="56" t="s">
        <v>2587</v>
      </c>
    </row>
    <row r="30" spans="1:53" ht="13.5" thickBot="1">
      <c r="A30" s="111">
        <v>28</v>
      </c>
      <c r="B30" s="335" t="str">
        <f t="shared" si="0"/>
        <v>Ridoh Gamildien</v>
      </c>
      <c r="C30" s="307" t="s">
        <v>1399</v>
      </c>
      <c r="D30" s="307" t="s">
        <v>1400</v>
      </c>
      <c r="E30"/>
      <c r="F30" s="336" t="str">
        <f>IF(SUM(COUNTIF(H30,{"*Girl*","*Women*","*Woman*","*Female*","*Wo*","*Fe*","*F*"})),"F","M")</f>
        <v>M</v>
      </c>
      <c r="G30" s="337" t="str">
        <f>IFERROR(IF(ISNUMBER(SEARCH("*",N30)),N30&amp;" "&amp;F30,IF(F30="M",LOOKUP(J30,AgeCategories!$A$3:$D$13),LOOKUP(J30,AgeCategories!$A$14:$D$24))),"Invalid Age")</f>
        <v>Lite M</v>
      </c>
      <c r="H30" s="175" t="s">
        <v>209</v>
      </c>
      <c r="I30" s="338">
        <f t="shared" si="1"/>
        <v>28796</v>
      </c>
      <c r="J30" s="340">
        <f>IFERROR(DATEDIF($I30,Helpers!$O$2,"y"),"ID No. needed")</f>
        <v>44</v>
      </c>
      <c r="K30"/>
      <c r="L30" s="300" t="s">
        <v>2674</v>
      </c>
      <c r="M30" s="353" t="s">
        <v>1787</v>
      </c>
      <c r="N30" s="341" t="s">
        <v>2601</v>
      </c>
      <c r="O30" s="308" t="b">
        <v>1</v>
      </c>
      <c r="P30" s="192" t="b">
        <f>NOT(ISNA(VLOOKUP(A30,SortedDownload!A:A,1,FALSE)))</f>
        <v>1</v>
      </c>
      <c r="Q30" s="373" t="s">
        <v>2601</v>
      </c>
      <c r="R30" s="75"/>
      <c r="S30" s="235"/>
      <c r="T30" s="235"/>
      <c r="U30" s="75" t="s">
        <v>2046</v>
      </c>
      <c r="V30" s="337" t="str">
        <f t="shared" si="2"/>
        <v>-</v>
      </c>
      <c r="W30" s="348" t="str">
        <f t="shared" si="3"/>
        <v>Ridoh Gamildien</v>
      </c>
      <c r="X30" s="337" t="str">
        <f t="shared" si="4"/>
        <v>Ridoh</v>
      </c>
      <c r="Y30" s="337" t="str">
        <f t="shared" si="5"/>
        <v>Gamildien</v>
      </c>
      <c r="Z30" s="337" t="str">
        <f t="shared" si="6"/>
        <v>R.Gamildien</v>
      </c>
      <c r="AA30" s="349" t="str">
        <f t="shared" si="7"/>
        <v/>
      </c>
      <c r="AB30" s="349" t="str">
        <f t="shared" si="8"/>
        <v/>
      </c>
      <c r="AC30" s="337" t="str">
        <f>IFERROR(IF(ISNUMBER(SEARCH("*",N30)),N30&amp;" "&amp;F30,IF(F30="M",LOOKUP(J30,AgeCategories!$A$3:$F$11),LOOKUP(J30,AgeCategories!$A$14:$F$22))),"")</f>
        <v>Lite M</v>
      </c>
      <c r="AD30" s="350">
        <f t="shared" si="9"/>
        <v>28796</v>
      </c>
      <c r="AE30" s="337">
        <f t="shared" si="10"/>
        <v>44</v>
      </c>
      <c r="AF30" s="337" t="str">
        <f>IF(SUM(COUNTIF(H30,{"*Girl*","*Women*","*Woman*","*Female*","*Wo*","*Fe*","*F*"})),"F","M")</f>
        <v>M</v>
      </c>
      <c r="AG30" s="112"/>
      <c r="AH30" s="112"/>
      <c r="AI30" s="344" t="e">
        <f t="array" aca="1" ref="AI30" ca="1">(SMALL(IF(ISERROR(MATCH($AJ$3+ROW(OFFSET($A$3, 0,0, $AJ$4-$AJ$3+1))-2, $A$3:$A678,0)), $AJ$3+ROW(OFFSET($A$2,0, 0, $AJ$4-$AJ$3+1))-1), ROW(A29)))</f>
        <v>#NUM!</v>
      </c>
      <c r="AJ30" s="336">
        <f>Helpers!AY123</f>
        <v>0</v>
      </c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/>
      <c r="AV30"/>
      <c r="AW30" t="s">
        <v>2296</v>
      </c>
      <c r="AX30" s="56" t="s">
        <v>2479</v>
      </c>
      <c r="AY30" t="s">
        <v>2551</v>
      </c>
      <c r="AZ30" s="56" t="s">
        <v>2542</v>
      </c>
      <c r="BA30" s="56" t="s">
        <v>2588</v>
      </c>
    </row>
    <row r="31" spans="1:53" ht="13.5" thickBot="1">
      <c r="A31" s="111">
        <v>29</v>
      </c>
      <c r="B31" s="335" t="str">
        <f t="shared" si="0"/>
        <v>Adeeb Said</v>
      </c>
      <c r="C31" s="307" t="s">
        <v>1401</v>
      </c>
      <c r="D31" s="307" t="s">
        <v>1402</v>
      </c>
      <c r="E31"/>
      <c r="F31" s="336" t="str">
        <f>IF(SUM(COUNTIF(H31,{"*Girl*","*Women*","*Woman*","*Female*","*Wo*","*Fe*","*F*"})),"F","M")</f>
        <v>M</v>
      </c>
      <c r="G31" s="337" t="str">
        <f>IFERROR(IF(ISNUMBER(SEARCH("*",N31)),N31&amp;" "&amp;F31,IF(F31="M",LOOKUP(J31,AgeCategories!$A$3:$D$13),LOOKUP(J31,AgeCategories!$A$14:$D$24))),"Invalid Age")</f>
        <v>Lite M</v>
      </c>
      <c r="H31" s="175" t="s">
        <v>209</v>
      </c>
      <c r="I31" s="338">
        <f t="shared" si="1"/>
        <v>30511</v>
      </c>
      <c r="J31" s="340">
        <f>IFERROR(DATEDIF($I31,Helpers!$O$2,"y"),"ID No. needed")</f>
        <v>39</v>
      </c>
      <c r="K31"/>
      <c r="L31" s="300" t="s">
        <v>2675</v>
      </c>
      <c r="M31" s="353" t="s">
        <v>1788</v>
      </c>
      <c r="N31" s="341" t="s">
        <v>2601</v>
      </c>
      <c r="O31" s="308" t="b">
        <v>1</v>
      </c>
      <c r="P31" s="192" t="b">
        <f>NOT(ISNA(VLOOKUP(A31,SortedDownload!A:A,1,FALSE)))</f>
        <v>1</v>
      </c>
      <c r="Q31" s="373" t="s">
        <v>2601</v>
      </c>
      <c r="R31" s="75"/>
      <c r="S31" s="235"/>
      <c r="T31" s="235"/>
      <c r="U31" s="75" t="s">
        <v>2047</v>
      </c>
      <c r="V31" s="337" t="str">
        <f t="shared" si="2"/>
        <v>-</v>
      </c>
      <c r="W31" s="348" t="str">
        <f t="shared" si="3"/>
        <v>Adeeb Said</v>
      </c>
      <c r="X31" s="337" t="str">
        <f t="shared" si="4"/>
        <v>Adeeb</v>
      </c>
      <c r="Y31" s="337" t="str">
        <f t="shared" si="5"/>
        <v>Said</v>
      </c>
      <c r="Z31" s="337" t="str">
        <f t="shared" si="6"/>
        <v>A.Said</v>
      </c>
      <c r="AA31" s="349" t="str">
        <f t="shared" si="7"/>
        <v/>
      </c>
      <c r="AB31" s="349" t="str">
        <f t="shared" si="8"/>
        <v/>
      </c>
      <c r="AC31" s="337" t="str">
        <f>IFERROR(IF(ISNUMBER(SEARCH("*",N31)),N31&amp;" "&amp;F31,IF(F31="M",LOOKUP(J31,AgeCategories!$A$3:$F$11),LOOKUP(J31,AgeCategories!$A$14:$F$22))),"")</f>
        <v>Lite M</v>
      </c>
      <c r="AD31" s="350">
        <f t="shared" si="9"/>
        <v>30511</v>
      </c>
      <c r="AE31" s="337">
        <f t="shared" si="10"/>
        <v>39</v>
      </c>
      <c r="AF31" s="337" t="str">
        <f>IF(SUM(COUNTIF(H31,{"*Girl*","*Women*","*Woman*","*Female*","*Wo*","*Fe*","*F*"})),"F","M")</f>
        <v>M</v>
      </c>
      <c r="AG31" s="112"/>
      <c r="AH31" s="112"/>
      <c r="AI31" s="344" t="e">
        <f t="array" aca="1" ref="AI31" ca="1">(SMALL(IF(ISERROR(MATCH($AJ$3+ROW(OFFSET($A$3, 0,0, $AJ$4-$AJ$3+1))-2, $A$3:$A679,0)), $AJ$3+ROW(OFFSET($A$2,0, 0, $AJ$4-$AJ$3+1))-1), ROW(A30)))</f>
        <v>#NUM!</v>
      </c>
      <c r="AJ31" s="336">
        <f>Helpers!AY122</f>
        <v>0</v>
      </c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/>
      <c r="AV31"/>
      <c r="AW31"/>
      <c r="AX31" s="56"/>
      <c r="AY31"/>
      <c r="AZ31" s="56" t="s">
        <v>2537</v>
      </c>
      <c r="BA31" s="56"/>
    </row>
    <row r="32" spans="1:53" ht="13.5" customHeight="1" thickBot="1">
      <c r="A32" s="111">
        <v>30</v>
      </c>
      <c r="B32" s="335" t="str">
        <f t="shared" si="0"/>
        <v>Devin Toselli</v>
      </c>
      <c r="C32" s="307" t="s">
        <v>2735</v>
      </c>
      <c r="D32" s="307" t="s">
        <v>2736</v>
      </c>
      <c r="E32"/>
      <c r="F32" s="336" t="str">
        <f>IF(SUM(COUNTIF(H32,{"*Girl*","*Women*","*Woman*","*Female*","*Wo*","*Fe*","*F*"})),"F","M")</f>
        <v>M</v>
      </c>
      <c r="G32" s="337" t="str">
        <f>IFERROR(IF(ISNUMBER(SEARCH("*",N32)),N32&amp;" "&amp;F32,IF(F32="M",LOOKUP(J32,AgeCategories!$A$3:$D$13),LOOKUP(J32,AgeCategories!$A$14:$D$24))),"Invalid Age")</f>
        <v>Master Men</v>
      </c>
      <c r="H32" s="175" t="s">
        <v>209</v>
      </c>
      <c r="I32" s="338">
        <f t="shared" si="1"/>
        <v>30518</v>
      </c>
      <c r="J32" s="340">
        <f>IFERROR(DATEDIF($I32,Helpers!$O$2,"y"),"ID No. needed")</f>
        <v>39</v>
      </c>
      <c r="K32"/>
      <c r="L32" s="300" t="s">
        <v>2676</v>
      </c>
      <c r="M32" s="353" t="s">
        <v>1789</v>
      </c>
      <c r="N32" s="342"/>
      <c r="O32" s="308" t="b">
        <v>1</v>
      </c>
      <c r="P32" s="192" t="b">
        <f>NOT(ISNA(VLOOKUP(A32,SortedDownload!A:A,1,FALSE)))</f>
        <v>1</v>
      </c>
      <c r="Q32" s="373" t="s">
        <v>2728</v>
      </c>
      <c r="R32" s="75"/>
      <c r="S32" s="235"/>
      <c r="T32" s="235"/>
      <c r="U32" s="75" t="s">
        <v>2048</v>
      </c>
      <c r="V32" s="337" t="str">
        <f t="shared" si="2"/>
        <v>-</v>
      </c>
      <c r="W32" s="348" t="str">
        <f t="shared" si="3"/>
        <v>Devin Toselli</v>
      </c>
      <c r="X32" s="337" t="str">
        <f t="shared" si="4"/>
        <v>Devin</v>
      </c>
      <c r="Y32" s="337" t="str">
        <f t="shared" si="5"/>
        <v>Toselli</v>
      </c>
      <c r="Z32" s="337" t="str">
        <f t="shared" si="6"/>
        <v>D.Toselli</v>
      </c>
      <c r="AA32" s="349" t="str">
        <f t="shared" si="7"/>
        <v/>
      </c>
      <c r="AB32" s="349" t="str">
        <f t="shared" si="8"/>
        <v/>
      </c>
      <c r="AC32" s="337" t="str">
        <f>IFERROR(IF(ISNUMBER(SEARCH("*",N32)),N32&amp;" "&amp;F32,IF(F32="M",LOOKUP(J32,AgeCategories!$A$3:$F$11),LOOKUP(J32,AgeCategories!$A$14:$F$22))),"")</f>
        <v>MM</v>
      </c>
      <c r="AD32" s="350">
        <f t="shared" si="9"/>
        <v>30518</v>
      </c>
      <c r="AE32" s="337">
        <f t="shared" si="10"/>
        <v>39</v>
      </c>
      <c r="AF32" s="337" t="str">
        <f>IF(SUM(COUNTIF(H32,{"*Girl*","*Women*","*Woman*","*Female*","*Wo*","*Fe*","*F*"})),"F","M")</f>
        <v>M</v>
      </c>
      <c r="AG32" s="112"/>
      <c r="AH32" s="112"/>
      <c r="AI32" s="344" t="e">
        <f t="array" aca="1" ref="AI32" ca="1">(SMALL(IF(ISERROR(MATCH($AJ$3+ROW(OFFSET($A$3, 0,0, $AJ$4-$AJ$3+1))-2, $A$3:$A680,0)), $AJ$3+ROW(OFFSET($A$2,0, 0, $AJ$4-$AJ$3+1))-1), ROW(A31)))</f>
        <v>#NUM!</v>
      </c>
      <c r="AJ32" s="336">
        <f>Helpers!AY121</f>
        <v>0</v>
      </c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/>
      <c r="AV32"/>
      <c r="AW32" t="s">
        <v>2297</v>
      </c>
      <c r="AX32" s="56" t="s">
        <v>2478</v>
      </c>
      <c r="AY32" t="s">
        <v>2549</v>
      </c>
      <c r="AZ32" s="56" t="s">
        <v>2537</v>
      </c>
      <c r="BA32" s="56"/>
    </row>
    <row r="33" spans="1:53" ht="13.5" thickBot="1">
      <c r="A33" s="111">
        <v>31</v>
      </c>
      <c r="B33" s="335" t="str">
        <f t="shared" si="0"/>
        <v>Hector Hewetson</v>
      </c>
      <c r="C33" s="307" t="s">
        <v>1403</v>
      </c>
      <c r="D33" s="307" t="s">
        <v>1404</v>
      </c>
      <c r="E33"/>
      <c r="F33" s="336" t="str">
        <f>IF(SUM(COUNTIF(H33,{"*Girl*","*Women*","*Woman*","*Female*","*Wo*","*Fe*","*F*"})),"F","M")</f>
        <v>M</v>
      </c>
      <c r="G33" s="337" t="str">
        <f>IFERROR(IF(ISNUMBER(SEARCH("*",N33)),N33&amp;" "&amp;F33,IF(F33="M",LOOKUP(J33,AgeCategories!$A$3:$D$13),LOOKUP(J33,AgeCategories!$A$14:$D$24))),"Invalid Age")</f>
        <v>Sub Junior Boys</v>
      </c>
      <c r="H33" s="175" t="s">
        <v>209</v>
      </c>
      <c r="I33" s="338">
        <f t="shared" si="1"/>
        <v>39504</v>
      </c>
      <c r="J33" s="340">
        <f>IFERROR(DATEDIF($I33,Helpers!$O$2,"y"),"ID No. needed")</f>
        <v>14</v>
      </c>
      <c r="K33"/>
      <c r="L33" s="300" t="s">
        <v>2677</v>
      </c>
      <c r="M33" s="372" t="s">
        <v>2607</v>
      </c>
      <c r="N33" s="341"/>
      <c r="O33" s="308" t="b">
        <v>0</v>
      </c>
      <c r="P33" s="192" t="b">
        <f>NOT(ISNA(VLOOKUP(A33,SortedDownload!A:A,1,FALSE)))</f>
        <v>0</v>
      </c>
      <c r="Q33" s="373" t="s">
        <v>2601</v>
      </c>
      <c r="R33" s="75"/>
      <c r="S33" s="235"/>
      <c r="T33" s="235"/>
      <c r="U33" s="75" t="s">
        <v>2049</v>
      </c>
      <c r="V33" s="337" t="str">
        <f t="shared" si="2"/>
        <v>-</v>
      </c>
      <c r="W33" s="348" t="str">
        <f t="shared" si="3"/>
        <v>Hector Hewetson</v>
      </c>
      <c r="X33" s="337" t="str">
        <f t="shared" si="4"/>
        <v>Hector</v>
      </c>
      <c r="Y33" s="337" t="str">
        <f t="shared" si="5"/>
        <v>Hewetson</v>
      </c>
      <c r="Z33" s="337" t="str">
        <f t="shared" si="6"/>
        <v>H.Hewetson</v>
      </c>
      <c r="AA33" s="349" t="str">
        <f t="shared" si="7"/>
        <v/>
      </c>
      <c r="AB33" s="349" t="str">
        <f t="shared" si="8"/>
        <v/>
      </c>
      <c r="AC33" s="337" t="str">
        <f>IFERROR(IF(ISNUMBER(SEARCH("*",N33)),N33&amp;" "&amp;F33,IF(F33="M",LOOKUP(J33,AgeCategories!$A$3:$F$11),LOOKUP(J33,AgeCategories!$A$14:$F$22))),"")</f>
        <v>JB</v>
      </c>
      <c r="AD33" s="350">
        <f t="shared" si="9"/>
        <v>39504</v>
      </c>
      <c r="AE33" s="337">
        <f t="shared" si="10"/>
        <v>14</v>
      </c>
      <c r="AF33" s="337" t="str">
        <f>IF(SUM(COUNTIF(H33,{"*Girl*","*Women*","*Woman*","*Female*","*Wo*","*Fe*","*F*"})),"F","M")</f>
        <v>M</v>
      </c>
      <c r="AG33" s="112"/>
      <c r="AH33" s="112"/>
      <c r="AI33" s="344" t="e">
        <f t="array" aca="1" ref="AI33" ca="1">(SMALL(IF(ISERROR(MATCH($AJ$3+ROW(OFFSET($A$3, 0,0, $AJ$4-$AJ$3+1))-2, $A$3:$A681,0)), $AJ$3+ROW(OFFSET($A$2,0, 0, $AJ$4-$AJ$3+1))-1), ROW(A32)))</f>
        <v>#NUM!</v>
      </c>
      <c r="AJ33" s="336">
        <f>Helpers!AY120</f>
        <v>0</v>
      </c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/>
      <c r="AV33"/>
      <c r="AW33" t="s">
        <v>2298</v>
      </c>
      <c r="AX33" s="56" t="s">
        <v>2478</v>
      </c>
      <c r="AY33" t="s">
        <v>2552</v>
      </c>
      <c r="AZ33" s="56" t="s">
        <v>2537</v>
      </c>
      <c r="BA33" s="56"/>
    </row>
    <row r="34" spans="1:53" ht="13.5" customHeight="1" thickBot="1">
      <c r="A34" s="111">
        <v>32</v>
      </c>
      <c r="B34" s="335" t="str">
        <f t="shared" si="0"/>
        <v>Igshaan Noordien</v>
      </c>
      <c r="C34" s="307" t="s">
        <v>1405</v>
      </c>
      <c r="D34" s="307" t="s">
        <v>1406</v>
      </c>
      <c r="E34"/>
      <c r="F34" s="336" t="str">
        <f>IF(SUM(COUNTIF(H34,{"*Girl*","*Women*","*Woman*","*Female*","*Wo*","*Fe*","*F*"})),"F","M")</f>
        <v>M</v>
      </c>
      <c r="G34" s="337" t="str">
        <f>IFERROR(IF(ISNUMBER(SEARCH("*",N34)),N34&amp;" "&amp;F34,IF(F34="M",LOOKUP(J34,AgeCategories!$A$3:$D$13),LOOKUP(J34,AgeCategories!$A$14:$D$24))),"Invalid Age")</f>
        <v>Master Men</v>
      </c>
      <c r="H34" s="175" t="s">
        <v>209</v>
      </c>
      <c r="I34" s="338">
        <f t="shared" si="1"/>
        <v>25827</v>
      </c>
      <c r="J34" s="340">
        <f>IFERROR(DATEDIF($I34,Helpers!$O$2,"y"),"ID No. needed")</f>
        <v>52</v>
      </c>
      <c r="K34"/>
      <c r="L34" s="300" t="s">
        <v>2678</v>
      </c>
      <c r="M34" s="353" t="s">
        <v>1791</v>
      </c>
      <c r="N34" s="342"/>
      <c r="O34" s="308" t="b">
        <v>0</v>
      </c>
      <c r="P34" s="192" t="b">
        <f>NOT(ISNA(VLOOKUP(A34,SortedDownload!A:A,1,FALSE)))</f>
        <v>0</v>
      </c>
      <c r="Q34" s="373" t="s">
        <v>2728</v>
      </c>
      <c r="R34" s="75"/>
      <c r="S34" s="235"/>
      <c r="T34" s="235"/>
      <c r="U34" s="75" t="s">
        <v>2050</v>
      </c>
      <c r="V34" s="337" t="str">
        <f t="shared" si="2"/>
        <v>-</v>
      </c>
      <c r="W34" s="348" t="str">
        <f t="shared" si="3"/>
        <v>Igshaan Noordien</v>
      </c>
      <c r="X34" s="337" t="str">
        <f t="shared" si="4"/>
        <v>Igshaan</v>
      </c>
      <c r="Y34" s="337" t="str">
        <f t="shared" si="5"/>
        <v>Noordien</v>
      </c>
      <c r="Z34" s="337" t="str">
        <f t="shared" si="6"/>
        <v>I.Noordien</v>
      </c>
      <c r="AA34" s="349" t="str">
        <f t="shared" si="7"/>
        <v/>
      </c>
      <c r="AB34" s="349" t="str">
        <f t="shared" si="8"/>
        <v/>
      </c>
      <c r="AC34" s="337" t="str">
        <f>IFERROR(IF(ISNUMBER(SEARCH("*",N34)),N34&amp;" "&amp;F34,IF(F34="M",LOOKUP(J34,AgeCategories!$A$3:$F$11),LOOKUP(J34,AgeCategories!$A$14:$F$22))),"")</f>
        <v>MM</v>
      </c>
      <c r="AD34" s="350">
        <f t="shared" si="9"/>
        <v>25827</v>
      </c>
      <c r="AE34" s="337">
        <f t="shared" si="10"/>
        <v>52</v>
      </c>
      <c r="AF34" s="337" t="str">
        <f>IF(SUM(COUNTIF(H34,{"*Girl*","*Women*","*Woman*","*Female*","*Wo*","*Fe*","*F*"})),"F","M")</f>
        <v>M</v>
      </c>
      <c r="AG34" s="112"/>
      <c r="AH34" s="112"/>
      <c r="AI34" s="344" t="e">
        <f t="array" aca="1" ref="AI34" ca="1">(SMALL(IF(ISERROR(MATCH($AJ$3+ROW(OFFSET($A$3, 0,0, $AJ$4-$AJ$3+1))-2, $A$3:$A682,0)), $AJ$3+ROW(OFFSET($A$2,0, 0, $AJ$4-$AJ$3+1))-1), ROW(A33)))</f>
        <v>#NUM!</v>
      </c>
      <c r="AJ34" s="336">
        <f>Helpers!AY119</f>
        <v>0</v>
      </c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/>
      <c r="AV34"/>
      <c r="AW34" t="s">
        <v>2299</v>
      </c>
      <c r="AX34" s="56" t="s">
        <v>2478</v>
      </c>
      <c r="AY34"/>
      <c r="AZ34" s="56" t="s">
        <v>2537</v>
      </c>
      <c r="BA34" s="56"/>
    </row>
    <row r="35" spans="1:53" ht="13.5" customHeight="1" thickBot="1">
      <c r="A35" s="111">
        <v>33</v>
      </c>
      <c r="B35" s="335" t="str">
        <f t="shared" ref="B35:B65" si="11">PROPER($C35&amp;" "&amp;$D35)</f>
        <v>Rameez Abrahams</v>
      </c>
      <c r="C35" s="307" t="s">
        <v>1407</v>
      </c>
      <c r="D35" s="307" t="s">
        <v>1408</v>
      </c>
      <c r="E35"/>
      <c r="F35" s="336" t="str">
        <f>IF(SUM(COUNTIF(H35,{"*Girl*","*Women*","*Woman*","*Female*","*Wo*","*Fe*","*F*"})),"F","M")</f>
        <v>M</v>
      </c>
      <c r="G35" s="337" t="str">
        <f>IFERROR(IF(ISNUMBER(SEARCH("*",N35)),N35&amp;" "&amp;F35,IF(F35="M",LOOKUP(J35,AgeCategories!$A$3:$D$13),LOOKUP(J35,AgeCategories!$A$14:$D$24))),"Invalid Age")</f>
        <v>Master Men</v>
      </c>
      <c r="H35" s="175" t="s">
        <v>209</v>
      </c>
      <c r="I35" s="338">
        <f t="shared" ref="I35:I65" si="12">IFERROR(--TEXT(IF((--LEFT($M35,2))&lt;30,"20","19")&amp;LEFT($M35,6),"0000\-00\-00"),"ID No. needed")</f>
        <v>32066</v>
      </c>
      <c r="J35" s="340">
        <f>IFERROR(DATEDIF($I35,Helpers!$O$2,"y"),"ID No. needed")</f>
        <v>35</v>
      </c>
      <c r="K35"/>
      <c r="L35" s="300" t="s">
        <v>2679</v>
      </c>
      <c r="M35" s="353" t="s">
        <v>1792</v>
      </c>
      <c r="N35" s="342"/>
      <c r="O35" s="308" t="b">
        <v>1</v>
      </c>
      <c r="P35" s="192" t="b">
        <f>NOT(ISNA(VLOOKUP(A35,SortedDownload!A:A,1,FALSE)))</f>
        <v>1</v>
      </c>
      <c r="Q35" s="373" t="s">
        <v>2728</v>
      </c>
      <c r="R35" s="75"/>
      <c r="S35" s="235"/>
      <c r="T35" s="235"/>
      <c r="U35" s="75" t="s">
        <v>2051</v>
      </c>
      <c r="V35" s="337" t="str">
        <f t="shared" ref="V35:V65" si="13">IF(K35="", "-", K35)</f>
        <v>-</v>
      </c>
      <c r="W35" s="348" t="str">
        <f t="shared" ref="W35:W65" si="14">B35</f>
        <v>Rameez Abrahams</v>
      </c>
      <c r="X35" s="337" t="str">
        <f t="shared" ref="X35:X65" si="15">LEFT($W35, SEARCH(" ", $W35) - 1)</f>
        <v>Rameez</v>
      </c>
      <c r="Y35" s="337" t="str">
        <f t="shared" ref="Y35:Y65" si="16">RIGHT($W35, LEN($W35) - SEARCH(" ", $W35))</f>
        <v>Abrahams</v>
      </c>
      <c r="Z35" s="337" t="str">
        <f t="shared" ref="Z35:Z65" si="17">CONCATENATE(LEFT($X35,1),".",$Y35)</f>
        <v>R.Abrahams</v>
      </c>
      <c r="AA35" s="349" t="str">
        <f t="shared" si="7"/>
        <v/>
      </c>
      <c r="AB35" s="349" t="str">
        <f t="shared" si="8"/>
        <v/>
      </c>
      <c r="AC35" s="337" t="str">
        <f>IFERROR(IF(ISNUMBER(SEARCH("*",N35)),N35&amp;" "&amp;F35,IF(F35="M",LOOKUP(J35,AgeCategories!$A$3:$F$11),LOOKUP(J35,AgeCategories!$A$14:$F$22))),"")</f>
        <v>MM</v>
      </c>
      <c r="AD35" s="350">
        <f t="shared" ref="AD35:AD65" si="18">--TEXT(IF((--LEFT($M35,2))&lt;30,"20","19")&amp;LEFT($M35,6),"0000\-00\-00")</f>
        <v>32066</v>
      </c>
      <c r="AE35" s="337">
        <f t="shared" ref="AE35:AE65" si="19">DATEDIF($I35,$V$1,"y")</f>
        <v>35</v>
      </c>
      <c r="AF35" s="337" t="str">
        <f>IF(SUM(COUNTIF(H35,{"*Girl*","*Women*","*Woman*","*Female*","*Wo*","*Fe*","*F*"})),"F","M")</f>
        <v>M</v>
      </c>
      <c r="AG35" s="112"/>
      <c r="AH35" s="112"/>
      <c r="AI35" s="344" t="e">
        <f t="array" aca="1" ref="AI35" ca="1">(SMALL(IF(ISERROR(MATCH($AJ$3+ROW(OFFSET($A$3, 0,0, $AJ$4-$AJ$3+1))-2, $A$3:$A683,0)), $AJ$3+ROW(OFFSET($A$2,0, 0, $AJ$4-$AJ$3+1))-1), ROW(A34)))</f>
        <v>#NUM!</v>
      </c>
      <c r="AJ35" s="336">
        <f>Helpers!AY118</f>
        <v>0</v>
      </c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/>
      <c r="AV35"/>
      <c r="AW35" t="s">
        <v>2300</v>
      </c>
      <c r="AX35" s="56" t="s">
        <v>2478</v>
      </c>
      <c r="AY35" t="s">
        <v>2547</v>
      </c>
      <c r="AZ35" s="56" t="s">
        <v>2537</v>
      </c>
      <c r="BA35" s="56"/>
    </row>
    <row r="36" spans="1:53" ht="13.5" thickBot="1">
      <c r="A36" s="111">
        <v>34</v>
      </c>
      <c r="B36" s="335" t="str">
        <f t="shared" si="11"/>
        <v>Luc Riley Rossouw</v>
      </c>
      <c r="C36" s="307" t="s">
        <v>1409</v>
      </c>
      <c r="D36" s="307" t="s">
        <v>1410</v>
      </c>
      <c r="E36"/>
      <c r="F36" s="336" t="str">
        <f>IF(SUM(COUNTIF(H36,{"*Girl*","*Women*","*Woman*","*Female*","*Wo*","*Fe*","*F*"})),"F","M")</f>
        <v>M</v>
      </c>
      <c r="G36" s="337" t="str">
        <f>IFERROR(IF(ISNUMBER(SEARCH("*",N36)),N36&amp;" "&amp;F36,IF(F36="M",LOOKUP(J36,AgeCategories!$A$3:$D$13),LOOKUP(J36,AgeCategories!$A$14:$D$24))),"Invalid Age")</f>
        <v>Sprog Boys</v>
      </c>
      <c r="H36" s="175" t="s">
        <v>209</v>
      </c>
      <c r="I36" s="338">
        <f t="shared" si="12"/>
        <v>40611</v>
      </c>
      <c r="J36" s="340">
        <f>IFERROR(DATEDIF($I36,Helpers!$O$2,"y"),"ID No. needed")</f>
        <v>11</v>
      </c>
      <c r="K36"/>
      <c r="L36" s="300" t="s">
        <v>2680</v>
      </c>
      <c r="M36" s="353" t="s">
        <v>1793</v>
      </c>
      <c r="N36" s="341"/>
      <c r="O36" s="308" t="b">
        <v>1</v>
      </c>
      <c r="P36" s="192" t="b">
        <f>NOT(ISNA(VLOOKUP(A36,SortedDownload!A:A,1,FALSE)))</f>
        <v>1</v>
      </c>
      <c r="Q36" s="373" t="s">
        <v>2601</v>
      </c>
      <c r="R36" s="75"/>
      <c r="S36" s="235"/>
      <c r="T36" s="235"/>
      <c r="U36" s="75" t="s">
        <v>2052</v>
      </c>
      <c r="V36" s="337" t="str">
        <f t="shared" si="13"/>
        <v>-</v>
      </c>
      <c r="W36" s="348" t="str">
        <f t="shared" si="14"/>
        <v>Luc Riley Rossouw</v>
      </c>
      <c r="X36" s="337" t="str">
        <f t="shared" si="15"/>
        <v>Luc</v>
      </c>
      <c r="Y36" s="337" t="str">
        <f t="shared" si="16"/>
        <v>Riley Rossouw</v>
      </c>
      <c r="Z36" s="337" t="str">
        <f t="shared" si="17"/>
        <v>L.Riley Rossouw</v>
      </c>
      <c r="AA36" s="349" t="str">
        <f t="shared" si="7"/>
        <v/>
      </c>
      <c r="AB36" s="349" t="str">
        <f t="shared" si="8"/>
        <v/>
      </c>
      <c r="AC36" s="337" t="str">
        <f>IFERROR(IF(ISNUMBER(SEARCH("*",N36)),N36&amp;" "&amp;F36,IF(F36="M",LOOKUP(J36,AgeCategories!$A$3:$F$11),LOOKUP(J36,AgeCategories!$A$14:$F$22))),"")</f>
        <v>SB</v>
      </c>
      <c r="AD36" s="350">
        <f t="shared" si="18"/>
        <v>40611</v>
      </c>
      <c r="AE36" s="337">
        <f t="shared" si="19"/>
        <v>11</v>
      </c>
      <c r="AF36" s="337" t="str">
        <f>IF(SUM(COUNTIF(H36,{"*Girl*","*Women*","*Woman*","*Female*","*Wo*","*Fe*","*F*"})),"F","M")</f>
        <v>M</v>
      </c>
      <c r="AG36" s="112"/>
      <c r="AH36" s="112"/>
      <c r="AI36" s="344" t="e">
        <f t="array" aca="1" ref="AI36" ca="1">(SMALL(IF(ISERROR(MATCH($AJ$3+ROW(OFFSET($A$3, 0,0, $AJ$4-$AJ$3+1))-2, $A$3:$A684,0)), $AJ$3+ROW(OFFSET($A$2,0, 0, $AJ$4-$AJ$3+1))-1), ROW(A35)))</f>
        <v>#NUM!</v>
      </c>
      <c r="AJ36" s="336">
        <f>Helpers!AY117</f>
        <v>0</v>
      </c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/>
      <c r="AV36"/>
      <c r="AW36" t="s">
        <v>2301</v>
      </c>
      <c r="AX36" s="56" t="s">
        <v>2478</v>
      </c>
      <c r="AY36" t="s">
        <v>2553</v>
      </c>
      <c r="AZ36" s="56" t="s">
        <v>2537</v>
      </c>
      <c r="BA36" s="56" t="s">
        <v>2589</v>
      </c>
    </row>
    <row r="37" spans="1:53" ht="13.5" customHeight="1" thickBot="1">
      <c r="A37" s="111">
        <v>35</v>
      </c>
      <c r="B37" s="335" t="str">
        <f t="shared" si="11"/>
        <v>Corbin Mann</v>
      </c>
      <c r="C37" s="307" t="s">
        <v>1411</v>
      </c>
      <c r="D37" s="307" t="s">
        <v>1412</v>
      </c>
      <c r="E37"/>
      <c r="F37" s="336" t="str">
        <f>IF(SUM(COUNTIF(H37,{"*Girl*","*Women*","*Woman*","*Female*","*Wo*","*Fe*","*F*"})),"F","M")</f>
        <v>M</v>
      </c>
      <c r="G37" s="337" t="str">
        <f>IFERROR(IF(ISNUMBER(SEARCH("*",N37)),N37&amp;" "&amp;F37,IF(F37="M",LOOKUP(J37,AgeCategories!$A$3:$D$13),LOOKUP(J37,AgeCategories!$A$14:$D$24))),"Invalid Age")</f>
        <v>Elite Men</v>
      </c>
      <c r="H37" s="175" t="s">
        <v>209</v>
      </c>
      <c r="I37" s="338">
        <f t="shared" si="12"/>
        <v>35106</v>
      </c>
      <c r="J37" s="340">
        <f>IFERROR(DATEDIF($I37,Helpers!$O$2,"y"),"ID No. needed")</f>
        <v>26</v>
      </c>
      <c r="K37"/>
      <c r="L37" s="300" t="s">
        <v>2681</v>
      </c>
      <c r="M37" s="353" t="s">
        <v>1794</v>
      </c>
      <c r="N37" s="342"/>
      <c r="O37" s="308" t="b">
        <v>1</v>
      </c>
      <c r="P37" s="192" t="b">
        <f>NOT(ISNA(VLOOKUP(A37,SortedDownload!A:A,1,FALSE)))</f>
        <v>1</v>
      </c>
      <c r="Q37" s="373" t="s">
        <v>2728</v>
      </c>
      <c r="R37" s="309"/>
      <c r="S37" s="235"/>
      <c r="T37" s="235"/>
      <c r="U37" s="309" t="s">
        <v>2053</v>
      </c>
      <c r="V37" s="337" t="str">
        <f t="shared" si="13"/>
        <v>-</v>
      </c>
      <c r="W37" s="348" t="str">
        <f t="shared" si="14"/>
        <v>Corbin Mann</v>
      </c>
      <c r="X37" s="337" t="str">
        <f t="shared" si="15"/>
        <v>Corbin</v>
      </c>
      <c r="Y37" s="337" t="str">
        <f t="shared" si="16"/>
        <v>Mann</v>
      </c>
      <c r="Z37" s="337" t="str">
        <f t="shared" si="17"/>
        <v>C.Mann</v>
      </c>
      <c r="AA37" s="349" t="str">
        <f t="shared" si="7"/>
        <v/>
      </c>
      <c r="AB37" s="349" t="str">
        <f t="shared" si="8"/>
        <v/>
      </c>
      <c r="AC37" s="337" t="str">
        <f>IFERROR(IF(ISNUMBER(SEARCH("*",N37)),N37&amp;" "&amp;F37,IF(F37="M",LOOKUP(J37,AgeCategories!$A$3:$F$11),LOOKUP(J37,AgeCategories!$A$14:$F$22))),"")</f>
        <v>EM</v>
      </c>
      <c r="AD37" s="350">
        <f t="shared" si="18"/>
        <v>35106</v>
      </c>
      <c r="AE37" s="337">
        <f t="shared" si="19"/>
        <v>26</v>
      </c>
      <c r="AF37" s="337" t="str">
        <f>IF(SUM(COUNTIF(H37,{"*Girl*","*Women*","*Woman*","*Female*","*Wo*","*Fe*","*F*"})),"F","M")</f>
        <v>M</v>
      </c>
      <c r="AG37" s="112"/>
      <c r="AH37" s="112"/>
      <c r="AI37" s="344" t="e">
        <f t="array" aca="1" ref="AI37" ca="1">(SMALL(IF(ISERROR(MATCH($AJ$3+ROW(OFFSET($A$3, 0,0, $AJ$4-$AJ$3+1))-2, $A$3:$A685,0)), $AJ$3+ROW(OFFSET($A$2,0, 0, $AJ$4-$AJ$3+1))-1), ROW(A36)))</f>
        <v>#NUM!</v>
      </c>
      <c r="AJ37" s="336">
        <f>Helpers!AY116</f>
        <v>0</v>
      </c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/>
      <c r="AV37"/>
      <c r="AW37" t="s">
        <v>2302</v>
      </c>
      <c r="AX37" s="56" t="s">
        <v>2478</v>
      </c>
      <c r="AY37"/>
      <c r="AZ37" s="56" t="s">
        <v>2537</v>
      </c>
      <c r="BA37" s="56"/>
    </row>
    <row r="38" spans="1:53" ht="13.5" customHeight="1" thickBot="1">
      <c r="A38" s="111">
        <v>36</v>
      </c>
      <c r="B38" s="335" t="str">
        <f t="shared" si="11"/>
        <v>Philip Van Schalkwyk</v>
      </c>
      <c r="C38" t="s">
        <v>1580</v>
      </c>
      <c r="D38" t="s">
        <v>1415</v>
      </c>
      <c r="E38" t="s">
        <v>146</v>
      </c>
      <c r="F38" s="336" t="s">
        <v>209</v>
      </c>
      <c r="G38" s="337" t="str">
        <f>IFERROR(IF(ISNUMBER(SEARCH("*",N38)),N38&amp;" "&amp;F38,IF(F38="M",LOOKUP(J38,AgeCategories!$A$3:$D$13),LOOKUP(J38,AgeCategories!$A$14:$D$24))),"Invalid Age")</f>
        <v>Junior Men</v>
      </c>
      <c r="H38" t="s">
        <v>209</v>
      </c>
      <c r="I38" s="338">
        <f t="shared" si="12"/>
        <v>38405</v>
      </c>
      <c r="J38" s="340">
        <f>IFERROR(DATEDIF($I38,Helpers!$O$2,"y"),"ID No. needed")</f>
        <v>17</v>
      </c>
      <c r="K38" t="s">
        <v>146</v>
      </c>
      <c r="L38" s="300" t="s">
        <v>2682</v>
      </c>
      <c r="M38" s="353" t="s">
        <v>2754</v>
      </c>
      <c r="N38" s="342" t="s">
        <v>146</v>
      </c>
      <c r="O38" s="308" t="b">
        <v>1</v>
      </c>
      <c r="P38" s="192" t="b">
        <f>NOT(ISNA(VLOOKUP(A38,SortedDownload!A:A,1,FALSE)))</f>
        <v>1</v>
      </c>
      <c r="Q38" s="373" t="s">
        <v>2728</v>
      </c>
      <c r="R38" t="s">
        <v>146</v>
      </c>
      <c r="S38" s="235" t="s">
        <v>146</v>
      </c>
      <c r="T38" s="235" t="s">
        <v>146</v>
      </c>
      <c r="U38" t="s">
        <v>2055</v>
      </c>
      <c r="V38" s="337" t="str">
        <f t="shared" si="13"/>
        <v>-</v>
      </c>
      <c r="W38" s="348" t="str">
        <f t="shared" si="14"/>
        <v>Philip Van Schalkwyk</v>
      </c>
      <c r="X38" s="337" t="str">
        <f t="shared" si="15"/>
        <v>Philip</v>
      </c>
      <c r="Y38" s="337" t="str">
        <f t="shared" si="16"/>
        <v>Van Schalkwyk</v>
      </c>
      <c r="Z38" s="337" t="str">
        <f t="shared" si="17"/>
        <v>P.Van Schalkwyk</v>
      </c>
      <c r="AA38" s="349" t="str">
        <f t="shared" si="7"/>
        <v/>
      </c>
      <c r="AB38" s="349" t="str">
        <f t="shared" si="8"/>
        <v/>
      </c>
      <c r="AC38" s="337" t="str">
        <f>IFERROR(IF(ISNUMBER(SEARCH("*",N38)),N38&amp;" "&amp;F38,IF(F38="M",LOOKUP(J38,AgeCategories!$A$3:$F$11),LOOKUP(J38,AgeCategories!$A$14:$F$22))),"")</f>
        <v>JM</v>
      </c>
      <c r="AD38" s="350">
        <f t="shared" si="18"/>
        <v>38405</v>
      </c>
      <c r="AE38" s="337">
        <f t="shared" si="19"/>
        <v>17</v>
      </c>
      <c r="AF38" s="337" t="str">
        <f>IF(SUM(COUNTIF(H38,{"*Girl*","*Women*","*Woman*","*Female*","*Wo*","*Fe*","*F*"})),"F","M")</f>
        <v>M</v>
      </c>
      <c r="AG38" s="112"/>
      <c r="AH38" s="112"/>
      <c r="AI38" s="344" t="e">
        <f t="array" aca="1" ref="AI38" ca="1">(SMALL(IF(ISERROR(MATCH($AJ$3+ROW(OFFSET($A$3, 0,0, $AJ$4-$AJ$3+1))-2, $A$3:$A687,0)), $AJ$3+ROW(OFFSET($A$2,0, 0, $AJ$4-$AJ$3+1))-1), ROW(#REF!)))</f>
        <v>#REF!</v>
      </c>
      <c r="AJ38" s="336">
        <f>Helpers!AY56</f>
        <v>0</v>
      </c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/>
      <c r="AV38"/>
      <c r="AW38" t="s">
        <v>2304</v>
      </c>
      <c r="AX38" s="56" t="s">
        <v>2485</v>
      </c>
      <c r="AY38" t="s">
        <v>2277</v>
      </c>
      <c r="AZ38" s="56" t="s">
        <v>2538</v>
      </c>
      <c r="BA38" s="56"/>
    </row>
    <row r="39" spans="1:53" ht="13.5" thickBot="1">
      <c r="A39" s="111">
        <v>37</v>
      </c>
      <c r="B39" s="335" t="str">
        <f t="shared" si="11"/>
        <v>Bradley Stow</v>
      </c>
      <c r="C39" s="307" t="s">
        <v>1416</v>
      </c>
      <c r="D39" s="307" t="s">
        <v>1417</v>
      </c>
      <c r="E39"/>
      <c r="F39" s="336" t="str">
        <f>IF(SUM(COUNTIF(H39,{"*Girl*","*Women*","*Woman*","*Female*","*Wo*","*Fe*","*F*"})),"F","M")</f>
        <v>M</v>
      </c>
      <c r="G39" s="337" t="str">
        <f>IFERROR(IF(ISNUMBER(SEARCH("*",N39)),N39&amp;" "&amp;F39,IF(F39="M",LOOKUP(J39,AgeCategories!$A$3:$D$13),LOOKUP(J39,AgeCategories!$A$14:$D$24))),"Invalid Age")</f>
        <v>Lite M</v>
      </c>
      <c r="H39" s="175" t="s">
        <v>209</v>
      </c>
      <c r="I39" s="338">
        <f t="shared" si="12"/>
        <v>30690</v>
      </c>
      <c r="J39" s="340">
        <f>IFERROR(DATEDIF($I39,Helpers!$O$2,"y"),"ID No. needed")</f>
        <v>38</v>
      </c>
      <c r="K39"/>
      <c r="L39" s="300" t="s">
        <v>2683</v>
      </c>
      <c r="M39" s="353" t="s">
        <v>1797</v>
      </c>
      <c r="N39" s="341" t="s">
        <v>2601</v>
      </c>
      <c r="O39" s="308" t="b">
        <v>1</v>
      </c>
      <c r="P39" s="192" t="b">
        <f>NOT(ISNA(VLOOKUP(A39,SortedDownload!A:A,1,FALSE)))</f>
        <v>1</v>
      </c>
      <c r="Q39" s="373" t="s">
        <v>2601</v>
      </c>
      <c r="R39" s="75"/>
      <c r="S39" s="235"/>
      <c r="T39" s="235"/>
      <c r="U39" s="75" t="s">
        <v>2056</v>
      </c>
      <c r="V39" s="337" t="str">
        <f t="shared" si="13"/>
        <v>-</v>
      </c>
      <c r="W39" s="348" t="str">
        <f t="shared" si="14"/>
        <v>Bradley Stow</v>
      </c>
      <c r="X39" s="337" t="str">
        <f t="shared" si="15"/>
        <v>Bradley</v>
      </c>
      <c r="Y39" s="337" t="str">
        <f t="shared" si="16"/>
        <v>Stow</v>
      </c>
      <c r="Z39" s="337" t="str">
        <f t="shared" si="17"/>
        <v>B.Stow</v>
      </c>
      <c r="AA39" s="349" t="str">
        <f t="shared" si="7"/>
        <v/>
      </c>
      <c r="AB39" s="349" t="str">
        <f t="shared" si="8"/>
        <v/>
      </c>
      <c r="AC39" s="337" t="str">
        <f>IFERROR(IF(ISNUMBER(SEARCH("*",N39)),N39&amp;" "&amp;F39,IF(F39="M",LOOKUP(J39,AgeCategories!$A$3:$F$11),LOOKUP(J39,AgeCategories!$A$14:$F$22))),"")</f>
        <v>Lite M</v>
      </c>
      <c r="AD39" s="350">
        <f t="shared" si="18"/>
        <v>30690</v>
      </c>
      <c r="AE39" s="337">
        <f t="shared" si="19"/>
        <v>38</v>
      </c>
      <c r="AF39" s="337" t="str">
        <f>IF(SUM(COUNTIF(H39,{"*Girl*","*Women*","*Woman*","*Female*","*Wo*","*Fe*","*F*"})),"F","M")</f>
        <v>M</v>
      </c>
      <c r="AG39" s="112"/>
      <c r="AH39" s="112"/>
      <c r="AI39" s="344" t="e">
        <f t="array" aca="1" ref="AI39" ca="1">(SMALL(IF(ISERROR(MATCH($AJ$3+ROW(OFFSET($A$3, 0,0, $AJ$4-$AJ$3+1))-2, $A$3:$A688,0)), $AJ$3+ROW(OFFSET($A$2,0, 0, $AJ$4-$AJ$3+1))-1), ROW(A38)))</f>
        <v>#NUM!</v>
      </c>
      <c r="AJ39" s="336">
        <f>Helpers!AY114</f>
        <v>0</v>
      </c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/>
      <c r="AV39"/>
      <c r="AW39" t="s">
        <v>2305</v>
      </c>
      <c r="AX39" s="56" t="s">
        <v>2486</v>
      </c>
      <c r="AY39"/>
      <c r="AZ39" s="56" t="s">
        <v>2539</v>
      </c>
      <c r="BA39" s="56"/>
    </row>
    <row r="40" spans="1:53" ht="13.5" thickBot="1">
      <c r="A40" s="111">
        <v>38</v>
      </c>
      <c r="B40" s="335" t="str">
        <f t="shared" si="11"/>
        <v>James Marais</v>
      </c>
      <c r="C40" s="307" t="s">
        <v>649</v>
      </c>
      <c r="D40" s="307" t="s">
        <v>660</v>
      </c>
      <c r="E40"/>
      <c r="F40" s="336" t="str">
        <f>IF(SUM(COUNTIF(H40,{"*Girl*","*Women*","*Woman*","*Female*","*Wo*","*Fe*","*F*"})),"F","M")</f>
        <v>M</v>
      </c>
      <c r="G40" s="337" t="str">
        <f>IFERROR(IF(ISNUMBER(SEARCH("*",N40)),N40&amp;" "&amp;F40,IF(F40="M",LOOKUP(J40,AgeCategories!$A$3:$D$13),LOOKUP(J40,AgeCategories!$A$14:$D$24))),"Invalid Age")</f>
        <v>Nipper Boys</v>
      </c>
      <c r="H40" s="175" t="s">
        <v>209</v>
      </c>
      <c r="I40" s="338">
        <f t="shared" si="12"/>
        <v>41198</v>
      </c>
      <c r="J40" s="340">
        <f>IFERROR(DATEDIF($I40,Helpers!$O$2,"y"),"ID No. needed")</f>
        <v>10</v>
      </c>
      <c r="K40"/>
      <c r="L40" s="300" t="s">
        <v>2684</v>
      </c>
      <c r="M40" s="353" t="s">
        <v>1798</v>
      </c>
      <c r="N40" s="341"/>
      <c r="O40" s="308" t="b">
        <v>1</v>
      </c>
      <c r="P40" s="192" t="b">
        <f>NOT(ISNA(VLOOKUP(A40,SortedDownload!A:A,1,FALSE)))</f>
        <v>1</v>
      </c>
      <c r="Q40" s="373" t="s">
        <v>2601</v>
      </c>
      <c r="R40" s="75"/>
      <c r="S40" s="235"/>
      <c r="T40" s="235"/>
      <c r="U40" s="75" t="s">
        <v>2057</v>
      </c>
      <c r="V40" s="337" t="str">
        <f t="shared" si="13"/>
        <v>-</v>
      </c>
      <c r="W40" s="348" t="str">
        <f t="shared" si="14"/>
        <v>James Marais</v>
      </c>
      <c r="X40" s="337" t="str">
        <f t="shared" si="15"/>
        <v>James</v>
      </c>
      <c r="Y40" s="337" t="str">
        <f t="shared" si="16"/>
        <v>Marais</v>
      </c>
      <c r="Z40" s="337" t="str">
        <f t="shared" si="17"/>
        <v>J.Marais</v>
      </c>
      <c r="AA40" s="349" t="str">
        <f t="shared" si="7"/>
        <v/>
      </c>
      <c r="AB40" s="349" t="str">
        <f t="shared" si="8"/>
        <v/>
      </c>
      <c r="AC40" s="337" t="str">
        <f>IFERROR(IF(ISNUMBER(SEARCH("*",N40)),N40&amp;" "&amp;F40,IF(F40="M",LOOKUP(J40,AgeCategories!$A$3:$F$11),LOOKUP(J40,AgeCategories!$A$14:$F$22))),"")</f>
        <v>NB</v>
      </c>
      <c r="AD40" s="350">
        <f t="shared" si="18"/>
        <v>41198</v>
      </c>
      <c r="AE40" s="337">
        <f t="shared" si="19"/>
        <v>10</v>
      </c>
      <c r="AF40" s="337" t="str">
        <f>IF(SUM(COUNTIF(H40,{"*Girl*","*Women*","*Woman*","*Female*","*Wo*","*Fe*","*F*"})),"F","M")</f>
        <v>M</v>
      </c>
      <c r="AG40" s="112"/>
      <c r="AH40" s="112"/>
      <c r="AI40" s="344" t="e">
        <f t="array" aca="1" ref="AI40" ca="1">(SMALL(IF(ISERROR(MATCH($AJ$3+ROW(OFFSET($A$3, 0,0, $AJ$4-$AJ$3+1))-2, $A$3:$A689,0)), $AJ$3+ROW(OFFSET($A$2,0, 0, $AJ$4-$AJ$3+1))-1), ROW(A39)))</f>
        <v>#NUM!</v>
      </c>
      <c r="AJ40" s="336">
        <f>Helpers!AY113</f>
        <v>0</v>
      </c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/>
      <c r="AV40"/>
      <c r="AW40" t="s">
        <v>2306</v>
      </c>
      <c r="AX40" s="56" t="s">
        <v>2478</v>
      </c>
      <c r="AY40" t="s">
        <v>2555</v>
      </c>
      <c r="AZ40" s="56" t="s">
        <v>2537</v>
      </c>
      <c r="BA40" s="56"/>
    </row>
    <row r="41" spans="1:53" ht="13.5" customHeight="1" thickBot="1">
      <c r="A41" s="111">
        <v>39</v>
      </c>
      <c r="B41" s="335" t="str">
        <f t="shared" si="11"/>
        <v>Rupert Taljaard</v>
      </c>
      <c r="C41" s="307" t="s">
        <v>636</v>
      </c>
      <c r="D41" s="307" t="s">
        <v>1418</v>
      </c>
      <c r="E41"/>
      <c r="F41" s="336" t="str">
        <f>IF(SUM(COUNTIF(H41,{"*Girl*","*Women*","*Woman*","*Female*","*Wo*","*Fe*","*F*"})),"F","M")</f>
        <v>M</v>
      </c>
      <c r="G41" s="337" t="str">
        <f>IFERROR(IF(ISNUMBER(SEARCH("*",N41)),N41&amp;" "&amp;F41,IF(F41="M",LOOKUP(J41,AgeCategories!$A$3:$D$13),LOOKUP(J41,AgeCategories!$A$14:$D$24))),"Invalid Age")</f>
        <v>Youth Men</v>
      </c>
      <c r="H41" s="175" t="s">
        <v>209</v>
      </c>
      <c r="I41" s="338">
        <f t="shared" si="12"/>
        <v>38987</v>
      </c>
      <c r="J41" s="340">
        <f>IFERROR(DATEDIF($I41,Helpers!$O$2,"y"),"ID No. needed")</f>
        <v>16</v>
      </c>
      <c r="K41"/>
      <c r="L41" s="300" t="s">
        <v>2685</v>
      </c>
      <c r="M41" s="353" t="s">
        <v>1799</v>
      </c>
      <c r="N41" s="342"/>
      <c r="O41" s="308" t="b">
        <v>1</v>
      </c>
      <c r="P41" s="192" t="b">
        <f>NOT(ISNA(VLOOKUP(A41,SortedDownload!A:A,1,FALSE)))</f>
        <v>1</v>
      </c>
      <c r="Q41" s="373" t="s">
        <v>2728</v>
      </c>
      <c r="R41" s="75"/>
      <c r="S41" s="235"/>
      <c r="T41" s="235"/>
      <c r="U41" s="75" t="s">
        <v>2058</v>
      </c>
      <c r="V41" s="337" t="str">
        <f t="shared" si="13"/>
        <v>-</v>
      </c>
      <c r="W41" s="348" t="str">
        <f t="shared" si="14"/>
        <v>Rupert Taljaard</v>
      </c>
      <c r="X41" s="337" t="str">
        <f t="shared" si="15"/>
        <v>Rupert</v>
      </c>
      <c r="Y41" s="337" t="str">
        <f t="shared" si="16"/>
        <v>Taljaard</v>
      </c>
      <c r="Z41" s="337" t="str">
        <f t="shared" si="17"/>
        <v>R.Taljaard</v>
      </c>
      <c r="AA41" s="349" t="str">
        <f t="shared" si="7"/>
        <v/>
      </c>
      <c r="AB41" s="349" t="str">
        <f t="shared" si="8"/>
        <v/>
      </c>
      <c r="AC41" s="337" t="str">
        <f>IFERROR(IF(ISNUMBER(SEARCH("*",N41)),N41&amp;" "&amp;F41,IF(F41="M",LOOKUP(J41,AgeCategories!$A$3:$F$11),LOOKUP(J41,AgeCategories!$A$14:$F$22))),"")</f>
        <v>YM</v>
      </c>
      <c r="AD41" s="350">
        <f t="shared" si="18"/>
        <v>38987</v>
      </c>
      <c r="AE41" s="337">
        <f t="shared" si="19"/>
        <v>16</v>
      </c>
      <c r="AF41" s="337" t="str">
        <f>IF(SUM(COUNTIF(H41,{"*Girl*","*Women*","*Woman*","*Female*","*Wo*","*Fe*","*F*"})),"F","M")</f>
        <v>M</v>
      </c>
      <c r="AG41" s="112"/>
      <c r="AH41" s="112"/>
      <c r="AI41" s="344" t="e">
        <f t="array" aca="1" ref="AI41" ca="1">(SMALL(IF(ISERROR(MATCH($AJ$3+ROW(OFFSET($A$3, 0,0, $AJ$4-$AJ$3+1))-2, $A$3:$A690,0)), $AJ$3+ROW(OFFSET($A$2,0, 0, $AJ$4-$AJ$3+1))-1), ROW(A40)))</f>
        <v>#NUM!</v>
      </c>
      <c r="AJ41" s="336">
        <f>Helpers!AY112</f>
        <v>0</v>
      </c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/>
      <c r="AV41"/>
      <c r="AW41" t="s">
        <v>2307</v>
      </c>
      <c r="AX41" s="56" t="s">
        <v>2487</v>
      </c>
      <c r="AY41" t="s">
        <v>2548</v>
      </c>
      <c r="AZ41" s="56" t="s">
        <v>2541</v>
      </c>
      <c r="BA41" s="56"/>
    </row>
    <row r="42" spans="1:53" ht="13.5" customHeight="1" thickBot="1">
      <c r="A42" s="111">
        <v>40</v>
      </c>
      <c r="B42" s="335" t="str">
        <f t="shared" si="11"/>
        <v>Eugene Elliott</v>
      </c>
      <c r="C42" s="307" t="s">
        <v>643</v>
      </c>
      <c r="D42" s="307" t="s">
        <v>1419</v>
      </c>
      <c r="E42"/>
      <c r="F42" s="336" t="str">
        <f>IF(SUM(COUNTIF(H42,{"*Girl*","*Women*","*Woman*","*Female*","*Wo*","*Fe*","*F*"})),"F","M")</f>
        <v>M</v>
      </c>
      <c r="G42" s="337" t="str">
        <f>IFERROR(IF(ISNUMBER(SEARCH("*",N42)),N42&amp;" "&amp;F42,IF(F42="M",LOOKUP(J42,AgeCategories!$A$3:$D$13),LOOKUP(J42,AgeCategories!$A$14:$D$24))),"Invalid Age")</f>
        <v>Master Men</v>
      </c>
      <c r="H42" s="175" t="s">
        <v>209</v>
      </c>
      <c r="I42" s="338">
        <f t="shared" si="12"/>
        <v>33343</v>
      </c>
      <c r="J42" s="340">
        <f>IFERROR(DATEDIF($I42,Helpers!$O$2,"y"),"ID No. needed")</f>
        <v>31</v>
      </c>
      <c r="K42"/>
      <c r="L42" s="300" t="s">
        <v>2686</v>
      </c>
      <c r="M42" s="353" t="s">
        <v>1800</v>
      </c>
      <c r="N42" s="342"/>
      <c r="O42" s="308" t="b">
        <v>1</v>
      </c>
      <c r="P42" s="192" t="b">
        <f>NOT(ISNA(VLOOKUP(A42,SortedDownload!A:A,1,FALSE)))</f>
        <v>1</v>
      </c>
      <c r="Q42" s="373" t="s">
        <v>2728</v>
      </c>
      <c r="R42" s="75"/>
      <c r="S42" s="235"/>
      <c r="T42" s="235"/>
      <c r="U42" s="75" t="s">
        <v>2059</v>
      </c>
      <c r="V42" s="337" t="str">
        <f t="shared" si="13"/>
        <v>-</v>
      </c>
      <c r="W42" s="348" t="str">
        <f t="shared" si="14"/>
        <v>Eugene Elliott</v>
      </c>
      <c r="X42" s="337" t="str">
        <f t="shared" si="15"/>
        <v>Eugene</v>
      </c>
      <c r="Y42" s="337" t="str">
        <f t="shared" si="16"/>
        <v>Elliott</v>
      </c>
      <c r="Z42" s="337" t="str">
        <f t="shared" si="17"/>
        <v>E.Elliott</v>
      </c>
      <c r="AA42" s="349" t="str">
        <f t="shared" si="7"/>
        <v/>
      </c>
      <c r="AB42" s="349" t="str">
        <f t="shared" si="8"/>
        <v/>
      </c>
      <c r="AC42" s="337" t="str">
        <f>IFERROR(IF(ISNUMBER(SEARCH("*",N42)),N42&amp;" "&amp;F42,IF(F42="M",LOOKUP(J42,AgeCategories!$A$3:$F$11),LOOKUP(J42,AgeCategories!$A$14:$F$22))),"")</f>
        <v>MM</v>
      </c>
      <c r="AD42" s="350">
        <f t="shared" si="18"/>
        <v>33343</v>
      </c>
      <c r="AE42" s="337">
        <f t="shared" si="19"/>
        <v>31</v>
      </c>
      <c r="AF42" s="337" t="str">
        <f>IF(SUM(COUNTIF(H42,{"*Girl*","*Women*","*Woman*","*Female*","*Wo*","*Fe*","*F*"})),"F","M")</f>
        <v>M</v>
      </c>
      <c r="AG42" s="112"/>
      <c r="AH42" s="112"/>
      <c r="AI42" s="344" t="e">
        <f t="array" aca="1" ref="AI42" ca="1">(SMALL(IF(ISERROR(MATCH($AJ$3+ROW(OFFSET($A$3, 0,0, $AJ$4-$AJ$3+1))-2, $A$3:$A691,0)), $AJ$3+ROW(OFFSET($A$2,0, 0, $AJ$4-$AJ$3+1))-1), ROW(A41)))</f>
        <v>#NUM!</v>
      </c>
      <c r="AJ42" s="336">
        <f>Helpers!AY111</f>
        <v>0</v>
      </c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/>
      <c r="AV42"/>
      <c r="AW42" t="s">
        <v>2308</v>
      </c>
      <c r="AX42" s="56" t="s">
        <v>2488</v>
      </c>
      <c r="AY42"/>
      <c r="AZ42" s="56" t="s">
        <v>2540</v>
      </c>
      <c r="BA42" s="56"/>
    </row>
    <row r="43" spans="1:53" ht="13.5" customHeight="1" thickBot="1">
      <c r="A43" s="111">
        <v>41</v>
      </c>
      <c r="B43" s="335" t="str">
        <f t="shared" si="11"/>
        <v>Kyle Ridge</v>
      </c>
      <c r="C43" s="116" t="s">
        <v>632</v>
      </c>
      <c r="D43" s="116" t="s">
        <v>1420</v>
      </c>
      <c r="E43"/>
      <c r="F43" s="336" t="str">
        <f>IF(SUM(COUNTIF(H43,{"*Girl*","*Women*","*Woman*","*Female*","*Wo*","*Fe*","*F*"})),"F","M")</f>
        <v>M</v>
      </c>
      <c r="G43" s="337" t="str">
        <f>IFERROR(IF(ISNUMBER(SEARCH("*",N43)),N43&amp;" "&amp;F43,IF(F43="M",LOOKUP(J43,AgeCategories!$A$3:$D$13),LOOKUP(J43,AgeCategories!$A$14:$D$24))),"Invalid Age")</f>
        <v>Elite Men</v>
      </c>
      <c r="H43" s="175" t="s">
        <v>209</v>
      </c>
      <c r="I43" s="338">
        <f t="shared" si="12"/>
        <v>37880</v>
      </c>
      <c r="J43" s="340">
        <f>IFERROR(DATEDIF($I43,Helpers!$O$2,"y"),"ID No. needed")</f>
        <v>19</v>
      </c>
      <c r="K43" s="324"/>
      <c r="L43" s="300" t="s">
        <v>2687</v>
      </c>
      <c r="M43" s="353" t="s">
        <v>1801</v>
      </c>
      <c r="N43" s="342"/>
      <c r="O43" s="308" t="b">
        <v>1</v>
      </c>
      <c r="P43" s="192" t="b">
        <f>NOT(ISNA(VLOOKUP(A43,SortedDownload!A:A,1,FALSE)))</f>
        <v>1</v>
      </c>
      <c r="Q43" s="373" t="s">
        <v>2631</v>
      </c>
      <c r="R43" s="325"/>
      <c r="S43" s="235"/>
      <c r="T43" s="235"/>
      <c r="U43" s="54" t="s">
        <v>2060</v>
      </c>
      <c r="V43" s="337" t="str">
        <f t="shared" si="13"/>
        <v>-</v>
      </c>
      <c r="W43" s="348" t="str">
        <f t="shared" si="14"/>
        <v>Kyle Ridge</v>
      </c>
      <c r="X43" s="337" t="str">
        <f t="shared" si="15"/>
        <v>Kyle</v>
      </c>
      <c r="Y43" s="337" t="str">
        <f t="shared" si="16"/>
        <v>Ridge</v>
      </c>
      <c r="Z43" s="337" t="str">
        <f t="shared" si="17"/>
        <v>K.Ridge</v>
      </c>
      <c r="AA43" s="349" t="str">
        <f t="shared" si="7"/>
        <v/>
      </c>
      <c r="AB43" s="349" t="str">
        <f t="shared" si="8"/>
        <v/>
      </c>
      <c r="AC43" s="337" t="str">
        <f>IFERROR(IF(ISNUMBER(SEARCH("*",N43)),N43&amp;" "&amp;F43,IF(F43="M",LOOKUP(J43,AgeCategories!$A$3:$F$11),LOOKUP(J43,AgeCategories!$A$14:$F$22))),"")</f>
        <v>EM</v>
      </c>
      <c r="AD43" s="350">
        <f t="shared" si="18"/>
        <v>37880</v>
      </c>
      <c r="AE43" s="337">
        <f t="shared" si="19"/>
        <v>19</v>
      </c>
      <c r="AF43" s="337" t="str">
        <f>IF(SUM(COUNTIF(H43,{"*Girl*","*Women*","*Woman*","*Female*","*Wo*","*Fe*","*F*"})),"F","M")</f>
        <v>M</v>
      </c>
      <c r="AG43" s="112"/>
      <c r="AH43" s="112"/>
      <c r="AI43" s="344" t="e">
        <f t="array" aca="1" ref="AI43" ca="1">(SMALL(IF(ISERROR(MATCH($AJ$3+ROW(OFFSET($A$3, 0,0, $AJ$4-$AJ$3+1))-2, $A$3:$A692,0)), $AJ$3+ROW(OFFSET($A$2,0, 0, $AJ$4-$AJ$3+1))-1), ROW(#REF!)))</f>
        <v>#REF!</v>
      </c>
      <c r="AJ43" s="336">
        <f>Helpers!AY146</f>
        <v>0</v>
      </c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167"/>
      <c r="AV43" s="328"/>
      <c r="AW43" s="56"/>
      <c r="AX43" s="56"/>
      <c r="AY43" s="56" t="s">
        <v>682</v>
      </c>
      <c r="AZ43" s="56" t="s">
        <v>2537</v>
      </c>
      <c r="BA43" s="56" t="s">
        <v>2591</v>
      </c>
    </row>
    <row r="44" spans="1:53" ht="13.5" customHeight="1" thickBot="1">
      <c r="A44" s="111">
        <v>42</v>
      </c>
      <c r="B44" s="335" t="str">
        <f t="shared" si="11"/>
        <v>Dylan Jones</v>
      </c>
      <c r="C44" s="307" t="s">
        <v>1370</v>
      </c>
      <c r="D44" s="307" t="s">
        <v>1421</v>
      </c>
      <c r="E44"/>
      <c r="F44" s="336" t="str">
        <f>IF(SUM(COUNTIF(H44,{"*Girl*","*Women*","*Woman*","*Female*","*Wo*","*Fe*","*F*"})),"F","M")</f>
        <v>M</v>
      </c>
      <c r="G44" s="337" t="str">
        <f>IFERROR(IF(ISNUMBER(SEARCH("*",N44)),N44&amp;" "&amp;F44,IF(F44="M",LOOKUP(J44,AgeCategories!$A$3:$D$13),LOOKUP(J44,AgeCategories!$A$14:$D$24))),"Invalid Age")</f>
        <v>Master Men</v>
      </c>
      <c r="H44" s="175" t="s">
        <v>209</v>
      </c>
      <c r="I44" s="338">
        <f t="shared" si="12"/>
        <v>31995</v>
      </c>
      <c r="J44" s="340">
        <f>IFERROR(DATEDIF($I44,Helpers!$O$2,"y"),"ID No. needed")</f>
        <v>35</v>
      </c>
      <c r="K44"/>
      <c r="L44" s="300" t="s">
        <v>2688</v>
      </c>
      <c r="M44" s="353" t="s">
        <v>1802</v>
      </c>
      <c r="N44" s="342"/>
      <c r="O44" s="308" t="b">
        <v>1</v>
      </c>
      <c r="P44" s="192" t="b">
        <f>NOT(ISNA(VLOOKUP(A44,SortedDownload!A:A,1,FALSE)))</f>
        <v>1</v>
      </c>
      <c r="Q44" s="373" t="s">
        <v>2631</v>
      </c>
      <c r="R44" s="75"/>
      <c r="S44" s="235"/>
      <c r="T44" s="235"/>
      <c r="U44" s="75" t="s">
        <v>2061</v>
      </c>
      <c r="V44" s="337" t="str">
        <f t="shared" si="13"/>
        <v>-</v>
      </c>
      <c r="W44" s="348" t="str">
        <f t="shared" si="14"/>
        <v>Dylan Jones</v>
      </c>
      <c r="X44" s="337" t="str">
        <f t="shared" si="15"/>
        <v>Dylan</v>
      </c>
      <c r="Y44" s="337" t="str">
        <f t="shared" si="16"/>
        <v>Jones</v>
      </c>
      <c r="Z44" s="337" t="str">
        <f t="shared" si="17"/>
        <v>D.Jones</v>
      </c>
      <c r="AA44" s="349" t="str">
        <f t="shared" si="7"/>
        <v/>
      </c>
      <c r="AB44" s="349" t="str">
        <f t="shared" si="8"/>
        <v/>
      </c>
      <c r="AC44" s="337" t="str">
        <f>IFERROR(IF(ISNUMBER(SEARCH("*",N44)),N44&amp;" "&amp;F44,IF(F44="M",LOOKUP(J44,AgeCategories!$A$3:$F$11),LOOKUP(J44,AgeCategories!$A$14:$F$22))),"")</f>
        <v>MM</v>
      </c>
      <c r="AD44" s="350">
        <f t="shared" si="18"/>
        <v>31995</v>
      </c>
      <c r="AE44" s="337">
        <f t="shared" si="19"/>
        <v>35</v>
      </c>
      <c r="AF44" s="337" t="str">
        <f>IF(SUM(COUNTIF(H44,{"*Girl*","*Women*","*Woman*","*Female*","*Wo*","*Fe*","*F*"})),"F","M")</f>
        <v>M</v>
      </c>
      <c r="AG44" s="112"/>
      <c r="AH44" s="112"/>
      <c r="AI44" s="344" t="e">
        <f t="array" aca="1" ref="AI44" ca="1">(SMALL(IF(ISERROR(MATCH($AJ$3+ROW(OFFSET($A$3, 0,0, $AJ$4-$AJ$3+1))-2, $A$3:$A693,0)), $AJ$3+ROW(OFFSET($A$2,0, 0, $AJ$4-$AJ$3+1))-1), ROW(A43)))</f>
        <v>#NUM!</v>
      </c>
      <c r="AJ44" s="336">
        <f>Helpers!AY110</f>
        <v>0</v>
      </c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/>
      <c r="AV44"/>
      <c r="AW44" t="s">
        <v>2309</v>
      </c>
      <c r="AX44" s="56" t="s">
        <v>2479</v>
      </c>
      <c r="AY44" t="s">
        <v>2556</v>
      </c>
      <c r="AZ44" s="56" t="s">
        <v>2537</v>
      </c>
      <c r="BA44" s="56"/>
    </row>
    <row r="45" spans="1:53" ht="13.5" thickBot="1">
      <c r="A45" s="111">
        <v>43</v>
      </c>
      <c r="B45" s="335" t="str">
        <f t="shared" si="11"/>
        <v>Thaabit Toefy</v>
      </c>
      <c r="C45" s="301" t="s">
        <v>2634</v>
      </c>
      <c r="D45" s="301" t="s">
        <v>2635</v>
      </c>
      <c r="E45"/>
      <c r="F45" s="336" t="str">
        <f>IF(SUM(COUNTIF(H45,{"*Girl*","*Women*","*Woman*","*Female*","*Wo*","*Fe*","*F*"})),"F","M")</f>
        <v>M</v>
      </c>
      <c r="G45" s="337" t="str">
        <f>IFERROR(IF(ISNUMBER(SEARCH("*",N45)),N45&amp;" "&amp;F45,IF(F45="M",LOOKUP(J45,AgeCategories!$A$3:$D$13),LOOKUP(J45,AgeCategories!$A$14:$D$24))),"Invalid Age")</f>
        <v>E-Bike Lite M</v>
      </c>
      <c r="H45" s="302" t="s">
        <v>209</v>
      </c>
      <c r="I45" s="338">
        <f t="shared" si="12"/>
        <v>26100</v>
      </c>
      <c r="J45" s="340">
        <f>IFERROR(DATEDIF($I45,Helpers!$O$2,"y"),"ID No. needed")</f>
        <v>51</v>
      </c>
      <c r="K45"/>
      <c r="L45" s="300" t="s">
        <v>2689</v>
      </c>
      <c r="M45" s="353" t="s">
        <v>1803</v>
      </c>
      <c r="N45" s="341" t="s">
        <v>598</v>
      </c>
      <c r="O45" s="308" t="b">
        <v>1</v>
      </c>
      <c r="P45" s="192" t="b">
        <f>NOT(ISNA(VLOOKUP(A45,SortedDownload!A:A,1,FALSE)))</f>
        <v>1</v>
      </c>
      <c r="Q45" s="373" t="s">
        <v>2727</v>
      </c>
      <c r="R45"/>
      <c r="S45" s="235"/>
      <c r="T45" s="235"/>
      <c r="U45" t="s">
        <v>2062</v>
      </c>
      <c r="V45" s="337" t="str">
        <f t="shared" si="13"/>
        <v>-</v>
      </c>
      <c r="W45" s="348" t="str">
        <f t="shared" si="14"/>
        <v>Thaabit Toefy</v>
      </c>
      <c r="X45" s="337" t="str">
        <f t="shared" si="15"/>
        <v>Thaabit</v>
      </c>
      <c r="Y45" s="337" t="str">
        <f t="shared" si="16"/>
        <v>Toefy</v>
      </c>
      <c r="Z45" s="337" t="str">
        <f t="shared" si="17"/>
        <v>T.Toefy</v>
      </c>
      <c r="AA45" s="349" t="str">
        <f t="shared" si="7"/>
        <v/>
      </c>
      <c r="AB45" s="349" t="str">
        <f t="shared" si="8"/>
        <v/>
      </c>
      <c r="AC45" s="337" t="str">
        <f>IFERROR(IF(ISNUMBER(SEARCH("*",N45)),N45&amp;" "&amp;F45,IF(F45="M",LOOKUP(J45,AgeCategories!$A$3:$F$11),LOOKUP(J45,AgeCategories!$A$14:$F$22))),"")</f>
        <v>E-Bike Lite M</v>
      </c>
      <c r="AD45" s="350">
        <f t="shared" si="18"/>
        <v>26100</v>
      </c>
      <c r="AE45" s="337">
        <f t="shared" si="19"/>
        <v>51</v>
      </c>
      <c r="AF45" s="337" t="str">
        <f>IF(SUM(COUNTIF(H45,{"*Girl*","*Women*","*Woman*","*Female*","*Wo*","*Fe*","*F*"})),"F","M")</f>
        <v>M</v>
      </c>
      <c r="AG45" s="112"/>
      <c r="AH45" s="112"/>
      <c r="AI45" s="344" t="e">
        <f t="array" aca="1" ref="AI45" ca="1">(SMALL(IF(ISERROR(MATCH($AJ$3+ROW(OFFSET($A$3, 0,0, $AJ$4-$AJ$3+1))-2, $A$3:$A694,0)), $AJ$3+ROW(OFFSET($A$2,0, 0, $AJ$4-$AJ$3+1))-1), ROW(#REF!)))</f>
        <v>#REF!</v>
      </c>
      <c r="AJ45" s="336">
        <f>Helpers!AY69</f>
        <v>0</v>
      </c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/>
      <c r="AV45"/>
      <c r="AW45" t="s">
        <v>2310</v>
      </c>
      <c r="AX45" s="56" t="s">
        <v>2489</v>
      </c>
      <c r="AY45"/>
      <c r="AZ45" s="56" t="s">
        <v>2537</v>
      </c>
      <c r="BA45" s="56" t="s">
        <v>2592</v>
      </c>
    </row>
    <row r="46" spans="1:53" ht="13.5" customHeight="1" thickBot="1">
      <c r="A46" s="111">
        <v>44</v>
      </c>
      <c r="B46" s="335" t="str">
        <f t="shared" si="11"/>
        <v>Nigel Basel</v>
      </c>
      <c r="C46" s="116" t="s">
        <v>1422</v>
      </c>
      <c r="D46" s="116" t="s">
        <v>1423</v>
      </c>
      <c r="E46"/>
      <c r="F46" s="336" t="str">
        <f>IF(SUM(COUNTIF(H46,{"*Girl*","*Women*","*Woman*","*Female*","*Wo*","*Fe*","*F*"})),"F","M")</f>
        <v>M</v>
      </c>
      <c r="G46" s="337" t="str">
        <f>IFERROR(IF(ISNUMBER(SEARCH("*",N46)),N46&amp;" "&amp;F46,IF(F46="M",LOOKUP(J46,AgeCategories!$A$3:$D$13),LOOKUP(J46,AgeCategories!$A$14:$D$24))),"Invalid Age")</f>
        <v>Master Men</v>
      </c>
      <c r="H46" s="175" t="s">
        <v>209</v>
      </c>
      <c r="I46" s="338">
        <f t="shared" si="12"/>
        <v>24061</v>
      </c>
      <c r="J46" s="340">
        <f>IFERROR(DATEDIF($I46,Helpers!$O$2,"y"),"ID No. needed")</f>
        <v>57</v>
      </c>
      <c r="K46"/>
      <c r="L46" s="300">
        <v>827293612</v>
      </c>
      <c r="M46" s="353" t="s">
        <v>1804</v>
      </c>
      <c r="N46" s="342"/>
      <c r="O46" s="308" t="b">
        <v>1</v>
      </c>
      <c r="P46" s="192" t="b">
        <f>NOT(ISNA(VLOOKUP(A46,SortedDownload!A:A,1,FALSE)))</f>
        <v>1</v>
      </c>
      <c r="Q46" s="373" t="s">
        <v>2632</v>
      </c>
      <c r="R46" s="75"/>
      <c r="S46" s="235"/>
      <c r="T46" s="235"/>
      <c r="U46" s="75" t="s">
        <v>2063</v>
      </c>
      <c r="V46" s="337" t="str">
        <f t="shared" si="13"/>
        <v>-</v>
      </c>
      <c r="W46" s="348" t="str">
        <f t="shared" si="14"/>
        <v>Nigel Basel</v>
      </c>
      <c r="X46" s="337" t="str">
        <f t="shared" si="15"/>
        <v>Nigel</v>
      </c>
      <c r="Y46" s="337" t="str">
        <f t="shared" si="16"/>
        <v>Basel</v>
      </c>
      <c r="Z46" s="337" t="str">
        <f t="shared" si="17"/>
        <v>N.Basel</v>
      </c>
      <c r="AA46" s="349" t="str">
        <f t="shared" si="7"/>
        <v/>
      </c>
      <c r="AB46" s="349" t="str">
        <f t="shared" si="8"/>
        <v/>
      </c>
      <c r="AC46" s="337" t="str">
        <f>IFERROR(IF(ISNUMBER(SEARCH("*",N46)),N46&amp;" "&amp;F46,IF(F46="M",LOOKUP(J46,AgeCategories!$A$3:$F$11),LOOKUP(J46,AgeCategories!$A$14:$F$22))),"")</f>
        <v>MM</v>
      </c>
      <c r="AD46" s="350">
        <f t="shared" si="18"/>
        <v>24061</v>
      </c>
      <c r="AE46" s="337">
        <f t="shared" si="19"/>
        <v>57</v>
      </c>
      <c r="AF46" s="337" t="str">
        <f>IF(SUM(COUNTIF(H46,{"*Girl*","*Women*","*Woman*","*Female*","*Wo*","*Fe*","*F*"})),"F","M")</f>
        <v>M</v>
      </c>
      <c r="AG46" s="112"/>
      <c r="AH46" s="112"/>
      <c r="AI46" s="344" t="e">
        <f t="array" aca="1" ref="AI46" ca="1">(SMALL(IF(ISERROR(MATCH($AJ$3+ROW(OFFSET($A$3, 0,0, $AJ$4-$AJ$3+1))-2, $A$3:$A695,0)), $AJ$3+ROW(OFFSET($A$2,0, 0, $AJ$4-$AJ$3+1))-1), ROW(A45)))</f>
        <v>#NUM!</v>
      </c>
      <c r="AJ46" s="336">
        <f>Helpers!AY109</f>
        <v>0</v>
      </c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/>
      <c r="AV46"/>
      <c r="AW46" t="s">
        <v>2311</v>
      </c>
      <c r="AX46" s="56" t="s">
        <v>2478</v>
      </c>
      <c r="AY46"/>
      <c r="AZ46" s="56" t="s">
        <v>2539</v>
      </c>
      <c r="BA46" s="56"/>
    </row>
    <row r="47" spans="1:53" ht="13.5" customHeight="1" thickBot="1">
      <c r="A47" s="111">
        <v>45</v>
      </c>
      <c r="B47" s="335" t="str">
        <f t="shared" si="11"/>
        <v>Rory Butler</v>
      </c>
      <c r="C47" s="116" t="s">
        <v>1424</v>
      </c>
      <c r="D47" s="116" t="s">
        <v>1425</v>
      </c>
      <c r="E47"/>
      <c r="F47" s="336" t="str">
        <f>IF(SUM(COUNTIF(H47,{"*Girl*","*Women*","*Woman*","*Female*","*Wo*","*Fe*","*F*"})),"F","M")</f>
        <v>M</v>
      </c>
      <c r="G47" s="337" t="str">
        <f>IFERROR(IF(ISNUMBER(SEARCH("*",N47)),N47&amp;" "&amp;F47,IF(F47="M",LOOKUP(J47,AgeCategories!$A$3:$D$13),LOOKUP(J47,AgeCategories!$A$14:$D$24))),"Invalid Age")</f>
        <v>Elite Men</v>
      </c>
      <c r="H47" s="175" t="s">
        <v>209</v>
      </c>
      <c r="I47" s="338">
        <f t="shared" si="12"/>
        <v>35537</v>
      </c>
      <c r="J47" s="340">
        <f>IFERROR(DATEDIF($I47,Helpers!$O$2,"y"),"ID No. needed")</f>
        <v>25</v>
      </c>
      <c r="K47"/>
      <c r="L47" s="300" t="s">
        <v>2690</v>
      </c>
      <c r="M47" s="353" t="s">
        <v>1805</v>
      </c>
      <c r="N47" s="342"/>
      <c r="O47" s="308" t="b">
        <v>1</v>
      </c>
      <c r="P47" s="192" t="b">
        <f>NOT(ISNA(VLOOKUP(A47,SortedDownload!A:A,1,FALSE)))</f>
        <v>1</v>
      </c>
      <c r="Q47" s="373" t="s">
        <v>2631</v>
      </c>
      <c r="R47" s="309"/>
      <c r="S47" s="235"/>
      <c r="T47" s="235"/>
      <c r="U47" s="309" t="s">
        <v>2064</v>
      </c>
      <c r="V47" s="337" t="str">
        <f t="shared" si="13"/>
        <v>-</v>
      </c>
      <c r="W47" s="348" t="str">
        <f t="shared" si="14"/>
        <v>Rory Butler</v>
      </c>
      <c r="X47" s="337" t="str">
        <f t="shared" si="15"/>
        <v>Rory</v>
      </c>
      <c r="Y47" s="337" t="str">
        <f t="shared" si="16"/>
        <v>Butler</v>
      </c>
      <c r="Z47" s="337" t="str">
        <f t="shared" si="17"/>
        <v>R.Butler</v>
      </c>
      <c r="AA47" s="349" t="str">
        <f t="shared" si="7"/>
        <v/>
      </c>
      <c r="AB47" s="349" t="str">
        <f t="shared" si="8"/>
        <v/>
      </c>
      <c r="AC47" s="337" t="str">
        <f>IFERROR(IF(ISNUMBER(SEARCH("*",N47)),N47&amp;" "&amp;F47,IF(F47="M",LOOKUP(J47,AgeCategories!$A$3:$F$11),LOOKUP(J47,AgeCategories!$A$14:$F$22))),"")</f>
        <v>EM</v>
      </c>
      <c r="AD47" s="350">
        <f t="shared" si="18"/>
        <v>35537</v>
      </c>
      <c r="AE47" s="337">
        <f t="shared" si="19"/>
        <v>25</v>
      </c>
      <c r="AF47" s="337" t="str">
        <f>IF(SUM(COUNTIF(H47,{"*Girl*","*Women*","*Woman*","*Female*","*Wo*","*Fe*","*F*"})),"F","M")</f>
        <v>M</v>
      </c>
      <c r="AG47" s="112"/>
      <c r="AH47" s="112"/>
      <c r="AI47" s="344" t="e">
        <f t="array" aca="1" ref="AI47" ca="1">(SMALL(IF(ISERROR(MATCH($AJ$3+ROW(OFFSET($A$3, 0,0, $AJ$4-$AJ$3+1))-2, $A$3:$A696,0)), $AJ$3+ROW(OFFSET($A$2,0, 0, $AJ$4-$AJ$3+1))-1), ROW(A46)))</f>
        <v>#NUM!</v>
      </c>
      <c r="AJ47" s="336">
        <f>Helpers!AY108</f>
        <v>0</v>
      </c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/>
      <c r="AV47"/>
      <c r="AW47"/>
      <c r="AX47" s="56"/>
      <c r="AY47" t="s">
        <v>2548</v>
      </c>
      <c r="AZ47" s="56" t="s">
        <v>2539</v>
      </c>
      <c r="BA47" s="56"/>
    </row>
    <row r="48" spans="1:53" ht="13.5" thickBot="1">
      <c r="A48" s="111">
        <v>46</v>
      </c>
      <c r="B48" s="335" t="str">
        <f t="shared" si="11"/>
        <v>Freddie Tomlinson</v>
      </c>
      <c r="C48" t="s">
        <v>2636</v>
      </c>
      <c r="D48" t="s">
        <v>1426</v>
      </c>
      <c r="E48"/>
      <c r="F48" s="336" t="str">
        <f>IF(SUM(COUNTIF(H48,{"*Girl*","*Women*","*Woman*","*Female*","*Wo*","*Fe*","*F*"})),"F","M")</f>
        <v>M</v>
      </c>
      <c r="G48" s="337" t="str">
        <f>IFERROR(IF(ISNUMBER(SEARCH("*",N48)),N48&amp;" "&amp;F48,IF(F48="M",LOOKUP(J48,AgeCategories!$A$3:$D$13),LOOKUP(J48,AgeCategories!$A$14:$D$24))),"Invalid Age")</f>
        <v>Sub Junior Boys</v>
      </c>
      <c r="H48" t="s">
        <v>209</v>
      </c>
      <c r="I48" s="338">
        <f t="shared" si="12"/>
        <v>39972</v>
      </c>
      <c r="J48" s="340">
        <f>IFERROR(DATEDIF($I48,Helpers!$O$2,"y"),"ID No. needed")</f>
        <v>13</v>
      </c>
      <c r="K48"/>
      <c r="L48" s="300" t="s">
        <v>2691</v>
      </c>
      <c r="M48" s="353" t="s">
        <v>1806</v>
      </c>
      <c r="N48" s="341"/>
      <c r="O48" s="308" t="b">
        <v>1</v>
      </c>
      <c r="P48" s="192" t="b">
        <f>NOT(ISNA(VLOOKUP(A48,SortedDownload!A:A,1,FALSE)))</f>
        <v>1</v>
      </c>
      <c r="Q48" s="373" t="s">
        <v>2601</v>
      </c>
      <c r="R48"/>
      <c r="S48" s="235"/>
      <c r="T48" s="235"/>
      <c r="U48" t="s">
        <v>2065</v>
      </c>
      <c r="V48" s="337" t="str">
        <f t="shared" si="13"/>
        <v>-</v>
      </c>
      <c r="W48" s="348" t="str">
        <f t="shared" si="14"/>
        <v>Freddie Tomlinson</v>
      </c>
      <c r="X48" s="337" t="str">
        <f t="shared" si="15"/>
        <v>Freddie</v>
      </c>
      <c r="Y48" s="337" t="str">
        <f t="shared" si="16"/>
        <v>Tomlinson</v>
      </c>
      <c r="Z48" s="337" t="str">
        <f t="shared" si="17"/>
        <v>F.Tomlinson</v>
      </c>
      <c r="AA48" s="349" t="str">
        <f t="shared" si="7"/>
        <v/>
      </c>
      <c r="AB48" s="349" t="str">
        <f t="shared" si="8"/>
        <v/>
      </c>
      <c r="AC48" s="337" t="str">
        <f>IFERROR(IF(ISNUMBER(SEARCH("*",N48)),N48&amp;" "&amp;F48,IF(F48="M",LOOKUP(J48,AgeCategories!$A$3:$F$11),LOOKUP(J48,AgeCategories!$A$14:$F$22))),"")</f>
        <v>JB</v>
      </c>
      <c r="AD48" s="350">
        <f t="shared" si="18"/>
        <v>39972</v>
      </c>
      <c r="AE48" s="337">
        <f t="shared" si="19"/>
        <v>13</v>
      </c>
      <c r="AF48" s="337" t="str">
        <f>IF(SUM(COUNTIF(H48,{"*Girl*","*Women*","*Woman*","*Female*","*Wo*","*Fe*","*F*"})),"F","M")</f>
        <v>M</v>
      </c>
      <c r="AG48" s="112"/>
      <c r="AH48" s="112"/>
      <c r="AI48" s="344" t="e">
        <f t="array" aca="1" ref="AI48" ca="1">(SMALL(IF(ISERROR(MATCH($AJ$3+ROW(OFFSET($A$3, 0,0, $AJ$4-$AJ$3+1))-2, $A$3:$A697,0)), $AJ$3+ROW(OFFSET($A$2,0, 0, $AJ$4-$AJ$3+1))-1), ROW(A47)))</f>
        <v>#NUM!</v>
      </c>
      <c r="AJ48" s="336">
        <f>Helpers!AY55</f>
        <v>0</v>
      </c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/>
      <c r="AV48"/>
      <c r="AW48" t="s">
        <v>2312</v>
      </c>
      <c r="AX48" s="56" t="s">
        <v>2490</v>
      </c>
      <c r="AY48" t="s">
        <v>2277</v>
      </c>
      <c r="AZ48" s="56" t="s">
        <v>2538</v>
      </c>
      <c r="BA48" s="56" t="s">
        <v>2277</v>
      </c>
    </row>
    <row r="49" spans="1:53" ht="13.5" thickBot="1">
      <c r="A49" s="111">
        <v>47</v>
      </c>
      <c r="B49" s="335" t="str">
        <f t="shared" si="11"/>
        <v>Ozair Hanware</v>
      </c>
      <c r="C49" s="301" t="s">
        <v>1427</v>
      </c>
      <c r="D49" s="301" t="s">
        <v>1428</v>
      </c>
      <c r="E49"/>
      <c r="F49" s="336" t="str">
        <f>IF(SUM(COUNTIF(H49,{"*Girl*","*Women*","*Woman*","*Female*","*Wo*","*Fe*","*F*"})),"F","M")</f>
        <v>M</v>
      </c>
      <c r="G49" s="337" t="str">
        <f>IFERROR(IF(ISNUMBER(SEARCH("*",N49)),N49&amp;" "&amp;F49,IF(F49="M",LOOKUP(J49,AgeCategories!$A$3:$D$13),LOOKUP(J49,AgeCategories!$A$14:$D$24))),"Invalid Age")</f>
        <v>Lite M</v>
      </c>
      <c r="H49" s="302" t="s">
        <v>209</v>
      </c>
      <c r="I49" s="338">
        <f t="shared" si="12"/>
        <v>34445</v>
      </c>
      <c r="J49" s="340">
        <f>IFERROR(DATEDIF($I49,Helpers!$O$2,"y"),"ID No. needed")</f>
        <v>28</v>
      </c>
      <c r="K49"/>
      <c r="L49" s="300" t="s">
        <v>2692</v>
      </c>
      <c r="M49" s="353" t="s">
        <v>1807</v>
      </c>
      <c r="N49" s="341" t="s">
        <v>2601</v>
      </c>
      <c r="O49" s="308" t="b">
        <v>1</v>
      </c>
      <c r="P49" s="192" t="b">
        <f>NOT(ISNA(VLOOKUP(A49,SortedDownload!A:A,1,FALSE)))</f>
        <v>1</v>
      </c>
      <c r="Q49" s="373" t="s">
        <v>2601</v>
      </c>
      <c r="R49" s="309"/>
      <c r="S49" s="235"/>
      <c r="T49" s="235"/>
      <c r="U49" s="309" t="s">
        <v>2066</v>
      </c>
      <c r="V49" s="337" t="str">
        <f t="shared" si="13"/>
        <v>-</v>
      </c>
      <c r="W49" s="348" t="str">
        <f t="shared" si="14"/>
        <v>Ozair Hanware</v>
      </c>
      <c r="X49" s="337" t="str">
        <f t="shared" si="15"/>
        <v>Ozair</v>
      </c>
      <c r="Y49" s="337" t="str">
        <f t="shared" si="16"/>
        <v>Hanware</v>
      </c>
      <c r="Z49" s="337" t="str">
        <f t="shared" si="17"/>
        <v>O.Hanware</v>
      </c>
      <c r="AA49" s="349" t="str">
        <f t="shared" si="7"/>
        <v/>
      </c>
      <c r="AB49" s="349" t="str">
        <f t="shared" si="8"/>
        <v/>
      </c>
      <c r="AC49" s="337" t="str">
        <f>IFERROR(IF(ISNUMBER(SEARCH("*",N49)),N49&amp;" "&amp;F49,IF(F49="M",LOOKUP(J49,AgeCategories!$A$3:$F$11),LOOKUP(J49,AgeCategories!$A$14:$F$22))),"")</f>
        <v>Lite M</v>
      </c>
      <c r="AD49" s="350">
        <f t="shared" si="18"/>
        <v>34445</v>
      </c>
      <c r="AE49" s="337">
        <f t="shared" si="19"/>
        <v>28</v>
      </c>
      <c r="AF49" s="337" t="str">
        <f>IF(SUM(COUNTIF(H49,{"*Girl*","*Women*","*Woman*","*Female*","*Wo*","*Fe*","*F*"})),"F","M")</f>
        <v>M</v>
      </c>
      <c r="AG49" s="112"/>
      <c r="AH49" s="112"/>
      <c r="AI49" s="344" t="e">
        <f t="array" aca="1" ref="AI49" ca="1">(SMALL(IF(ISERROR(MATCH($AJ$3+ROW(OFFSET($A$3, 0,0, $AJ$4-$AJ$3+1))-2, $A$3:$A698,0)), $AJ$3+ROW(OFFSET($A$2,0, 0, $AJ$4-$AJ$3+1))-1), ROW(A48)))</f>
        <v>#NUM!</v>
      </c>
      <c r="AJ49" s="336">
        <f>Helpers!AY68</f>
        <v>0</v>
      </c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/>
      <c r="AV49"/>
      <c r="AW49"/>
      <c r="AX49" s="56"/>
      <c r="AY49"/>
      <c r="AZ49" s="56" t="s">
        <v>2537</v>
      </c>
      <c r="BA49" s="56"/>
    </row>
    <row r="50" spans="1:53" ht="13.5" thickBot="1">
      <c r="A50" s="111">
        <v>48</v>
      </c>
      <c r="B50" s="335" t="str">
        <f t="shared" si="11"/>
        <v>Rushdie Lagardien</v>
      </c>
      <c r="C50" t="s">
        <v>1429</v>
      </c>
      <c r="D50" t="s">
        <v>1430</v>
      </c>
      <c r="E50"/>
      <c r="F50" s="336" t="str">
        <f>IF(SUM(COUNTIF(H50,{"*Girl*","*Women*","*Woman*","*Female*","*Wo*","*Fe*","*F*"})),"F","M")</f>
        <v>M</v>
      </c>
      <c r="G50" s="337" t="str">
        <f>IFERROR(IF(ISNUMBER(SEARCH("*",N50)),N50&amp;" "&amp;F50,IF(F50="M",LOOKUP(J50,AgeCategories!$A$3:$D$13),LOOKUP(J50,AgeCategories!$A$14:$D$24))),"Invalid Age")</f>
        <v>Lite M</v>
      </c>
      <c r="H50" t="s">
        <v>209</v>
      </c>
      <c r="I50" s="338">
        <f t="shared" si="12"/>
        <v>26770</v>
      </c>
      <c r="J50" s="340">
        <f>IFERROR(DATEDIF($I50,Helpers!$O$2,"y"),"ID No. needed")</f>
        <v>49</v>
      </c>
      <c r="K50"/>
      <c r="L50" s="300" t="s">
        <v>2693</v>
      </c>
      <c r="M50" s="353" t="s">
        <v>1808</v>
      </c>
      <c r="N50" s="341" t="s">
        <v>2601</v>
      </c>
      <c r="O50" s="308" t="b">
        <v>1</v>
      </c>
      <c r="P50" s="192" t="b">
        <f>NOT(ISNA(VLOOKUP(A50,SortedDownload!A:A,1,FALSE)))</f>
        <v>1</v>
      </c>
      <c r="Q50" s="373" t="s">
        <v>2601</v>
      </c>
      <c r="R50"/>
      <c r="S50" s="235"/>
      <c r="T50" s="235"/>
      <c r="U50" t="s">
        <v>2067</v>
      </c>
      <c r="V50" s="337" t="str">
        <f t="shared" si="13"/>
        <v>-</v>
      </c>
      <c r="W50" s="348" t="str">
        <f t="shared" si="14"/>
        <v>Rushdie Lagardien</v>
      </c>
      <c r="X50" s="337" t="str">
        <f t="shared" si="15"/>
        <v>Rushdie</v>
      </c>
      <c r="Y50" s="337" t="str">
        <f t="shared" si="16"/>
        <v>Lagardien</v>
      </c>
      <c r="Z50" s="337" t="str">
        <f t="shared" si="17"/>
        <v>R.Lagardien</v>
      </c>
      <c r="AA50" s="349" t="str">
        <f t="shared" si="7"/>
        <v/>
      </c>
      <c r="AB50" s="349" t="str">
        <f t="shared" si="8"/>
        <v/>
      </c>
      <c r="AC50" s="337" t="str">
        <f>IFERROR(IF(ISNUMBER(SEARCH("*",N50)),N50&amp;" "&amp;F50,IF(F50="M",LOOKUP(J50,AgeCategories!$A$3:$F$11),LOOKUP(J50,AgeCategories!$A$14:$F$22))),"")</f>
        <v>Lite M</v>
      </c>
      <c r="AD50" s="350">
        <f t="shared" si="18"/>
        <v>26770</v>
      </c>
      <c r="AE50" s="337">
        <f t="shared" si="19"/>
        <v>49</v>
      </c>
      <c r="AF50" s="337" t="str">
        <f>IF(SUM(COUNTIF(H50,{"*Girl*","*Women*","*Woman*","*Female*","*Wo*","*Fe*","*F*"})),"F","M")</f>
        <v>M</v>
      </c>
      <c r="AG50" s="112"/>
      <c r="AH50" s="112"/>
      <c r="AI50" s="344" t="e">
        <f t="array" aca="1" ref="AI50" ca="1">(SMALL(IF(ISERROR(MATCH($AJ$3+ROW(OFFSET($A$3, 0,0, $AJ$4-$AJ$3+1))-2, $A$3:$A699,0)), $AJ$3+ROW(OFFSET($A$2,0, 0, $AJ$4-$AJ$3+1))-1), ROW(A49)))</f>
        <v>#NUM!</v>
      </c>
      <c r="AJ50" s="336">
        <f>Helpers!AY54</f>
        <v>0</v>
      </c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/>
      <c r="AV50"/>
      <c r="AW50" t="s">
        <v>2313</v>
      </c>
      <c r="AX50" s="56" t="s">
        <v>2491</v>
      </c>
      <c r="AY50"/>
      <c r="AZ50" s="56" t="s">
        <v>2537</v>
      </c>
      <c r="BA50" s="56"/>
    </row>
    <row r="51" spans="1:53" ht="13.5" thickBot="1">
      <c r="A51" s="111">
        <v>49</v>
      </c>
      <c r="B51" s="335" t="str">
        <f t="shared" si="11"/>
        <v>Francois Dreyer</v>
      </c>
      <c r="C51" t="s">
        <v>1431</v>
      </c>
      <c r="D51" t="s">
        <v>1432</v>
      </c>
      <c r="E51"/>
      <c r="F51" s="336" t="str">
        <f>IF(SUM(COUNTIF(H51,{"*Girl*","*Women*","*Woman*","*Female*","*Wo*","*Fe*","*F*"})),"F","M")</f>
        <v>M</v>
      </c>
      <c r="G51" s="337" t="str">
        <f>IFERROR(IF(ISNUMBER(SEARCH("*",N51)),N51&amp;" "&amp;F51,IF(F51="M",LOOKUP(J51,AgeCategories!$A$3:$D$13),LOOKUP(J51,AgeCategories!$A$14:$D$24))),"Invalid Age")</f>
        <v>Lite M</v>
      </c>
      <c r="H51" t="s">
        <v>209</v>
      </c>
      <c r="I51" s="338">
        <f t="shared" si="12"/>
        <v>28353</v>
      </c>
      <c r="J51" s="340">
        <f>IFERROR(DATEDIF($I51,Helpers!$O$2,"y"),"ID No. needed")</f>
        <v>45</v>
      </c>
      <c r="K51"/>
      <c r="L51" s="300" t="s">
        <v>2694</v>
      </c>
      <c r="M51" s="353" t="s">
        <v>1809</v>
      </c>
      <c r="N51" s="341" t="s">
        <v>2601</v>
      </c>
      <c r="O51" s="308" t="b">
        <v>1</v>
      </c>
      <c r="P51" s="192" t="b">
        <f>NOT(ISNA(VLOOKUP(A51,SortedDownload!A:A,1,FALSE)))</f>
        <v>1</v>
      </c>
      <c r="Q51" s="373" t="s">
        <v>2601</v>
      </c>
      <c r="R51"/>
      <c r="S51" s="235"/>
      <c r="T51" s="235"/>
      <c r="U51" t="s">
        <v>2068</v>
      </c>
      <c r="V51" s="337" t="str">
        <f t="shared" si="13"/>
        <v>-</v>
      </c>
      <c r="W51" s="348" t="str">
        <f t="shared" si="14"/>
        <v>Francois Dreyer</v>
      </c>
      <c r="X51" s="337" t="str">
        <f t="shared" si="15"/>
        <v>Francois</v>
      </c>
      <c r="Y51" s="337" t="str">
        <f t="shared" si="16"/>
        <v>Dreyer</v>
      </c>
      <c r="Z51" s="337" t="str">
        <f t="shared" si="17"/>
        <v>F.Dreyer</v>
      </c>
      <c r="AA51" s="349" t="str">
        <f t="shared" si="7"/>
        <v/>
      </c>
      <c r="AB51" s="349" t="str">
        <f t="shared" si="8"/>
        <v/>
      </c>
      <c r="AC51" s="337" t="str">
        <f>IFERROR(IF(ISNUMBER(SEARCH("*",N51)),N51&amp;" "&amp;F51,IF(F51="M",LOOKUP(J51,AgeCategories!$A$3:$F$11),LOOKUP(J51,AgeCategories!$A$14:$F$22))),"")</f>
        <v>Lite M</v>
      </c>
      <c r="AD51" s="350">
        <f t="shared" si="18"/>
        <v>28353</v>
      </c>
      <c r="AE51" s="337">
        <f t="shared" si="19"/>
        <v>45</v>
      </c>
      <c r="AF51" s="337" t="str">
        <f>IF(SUM(COUNTIF(H51,{"*Girl*","*Women*","*Woman*","*Female*","*Wo*","*Fe*","*F*"})),"F","M")</f>
        <v>M</v>
      </c>
      <c r="AG51" s="112"/>
      <c r="AH51" s="112"/>
      <c r="AI51" s="344" t="e">
        <f t="array" aca="1" ref="AI51" ca="1">(SMALL(IF(ISERROR(MATCH($AJ$3+ROW(OFFSET($A$3, 0,0, $AJ$4-$AJ$3+1))-2, $A$3:$A700,0)), $AJ$3+ROW(OFFSET($A$2,0, 0, $AJ$4-$AJ$3+1))-1), ROW(A50)))</f>
        <v>#NUM!</v>
      </c>
      <c r="AJ51" s="336">
        <f>Helpers!AY53</f>
        <v>0</v>
      </c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/>
      <c r="AV51"/>
      <c r="AW51" t="s">
        <v>2314</v>
      </c>
      <c r="AX51" s="56" t="s">
        <v>2478</v>
      </c>
      <c r="AY51" t="s">
        <v>2548</v>
      </c>
      <c r="AZ51" s="56" t="s">
        <v>2537</v>
      </c>
      <c r="BA51" s="56"/>
    </row>
    <row r="52" spans="1:53" ht="13.5" thickBot="1">
      <c r="A52" s="111">
        <v>50</v>
      </c>
      <c r="B52" s="335" t="str">
        <f t="shared" si="11"/>
        <v>Alan Chait</v>
      </c>
      <c r="C52" s="116" t="s">
        <v>656</v>
      </c>
      <c r="D52" s="116" t="s">
        <v>1433</v>
      </c>
      <c r="E52"/>
      <c r="F52" s="336" t="str">
        <f>IF(SUM(COUNTIF(H52,{"*Girl*","*Women*","*Woman*","*Female*","*Wo*","*Fe*","*F*"})),"F","M")</f>
        <v>M</v>
      </c>
      <c r="G52" s="337" t="str">
        <f>IFERROR(IF(ISNUMBER(SEARCH("*",N52)),N52&amp;" "&amp;F52,IF(F52="M",LOOKUP(J52,AgeCategories!$A$3:$D$13),LOOKUP(J52,AgeCategories!$A$14:$D$24))),"Invalid Age")</f>
        <v>Lite M</v>
      </c>
      <c r="H52" s="175" t="s">
        <v>209</v>
      </c>
      <c r="I52" s="338">
        <f t="shared" si="12"/>
        <v>21291</v>
      </c>
      <c r="J52" s="340">
        <f>IFERROR(DATEDIF($I52,Helpers!$O$2,"y"),"ID No. needed")</f>
        <v>64</v>
      </c>
      <c r="K52"/>
      <c r="L52" s="300" t="s">
        <v>2695</v>
      </c>
      <c r="M52" s="353" t="s">
        <v>1810</v>
      </c>
      <c r="N52" s="341" t="s">
        <v>2601</v>
      </c>
      <c r="O52" s="308" t="b">
        <v>1</v>
      </c>
      <c r="P52" s="192" t="b">
        <f>NOT(ISNA(VLOOKUP(A52,SortedDownload!A:A,1,FALSE)))</f>
        <v>1</v>
      </c>
      <c r="Q52" s="373" t="s">
        <v>2727</v>
      </c>
      <c r="R52" s="75"/>
      <c r="S52" s="235"/>
      <c r="T52" s="235"/>
      <c r="U52" s="75" t="s">
        <v>2069</v>
      </c>
      <c r="V52" s="337" t="str">
        <f t="shared" si="13"/>
        <v>-</v>
      </c>
      <c r="W52" s="348" t="str">
        <f t="shared" si="14"/>
        <v>Alan Chait</v>
      </c>
      <c r="X52" s="337" t="str">
        <f t="shared" si="15"/>
        <v>Alan</v>
      </c>
      <c r="Y52" s="337" t="str">
        <f t="shared" si="16"/>
        <v>Chait</v>
      </c>
      <c r="Z52" s="337" t="str">
        <f t="shared" si="17"/>
        <v>A.Chait</v>
      </c>
      <c r="AA52" s="349" t="str">
        <f t="shared" si="7"/>
        <v/>
      </c>
      <c r="AB52" s="349" t="str">
        <f t="shared" si="8"/>
        <v/>
      </c>
      <c r="AC52" s="337" t="str">
        <f>IFERROR(IF(ISNUMBER(SEARCH("*",N52)),N52&amp;" "&amp;F52,IF(F52="M",LOOKUP(J52,AgeCategories!$A$3:$F$11),LOOKUP(J52,AgeCategories!$A$14:$F$22))),"")</f>
        <v>Lite M</v>
      </c>
      <c r="AD52" s="350">
        <f t="shared" si="18"/>
        <v>21291</v>
      </c>
      <c r="AE52" s="337">
        <f t="shared" si="19"/>
        <v>64</v>
      </c>
      <c r="AF52" s="337" t="str">
        <f>IF(SUM(COUNTIF(H52,{"*Girl*","*Women*","*Woman*","*Female*","*Wo*","*Fe*","*F*"})),"F","M")</f>
        <v>M</v>
      </c>
      <c r="AG52" s="112"/>
      <c r="AH52" s="112"/>
      <c r="AI52" s="344" t="e">
        <f t="array" aca="1" ref="AI52" ca="1">(SMALL(IF(ISERROR(MATCH($AJ$3+ROW(OFFSET($A$3, 0,0, $AJ$4-$AJ$3+1))-2, $A$3:$A701,0)), $AJ$3+ROW(OFFSET($A$2,0, 0, $AJ$4-$AJ$3+1))-1), ROW(A51)))</f>
        <v>#NUM!</v>
      </c>
      <c r="AJ52" s="336">
        <f>Helpers!AY107</f>
        <v>0</v>
      </c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/>
      <c r="AV52"/>
      <c r="AW52" t="s">
        <v>2315</v>
      </c>
      <c r="AX52" s="56" t="s">
        <v>2492</v>
      </c>
      <c r="AY52"/>
      <c r="AZ52" s="56" t="s">
        <v>2540</v>
      </c>
      <c r="BA52" s="56"/>
    </row>
    <row r="53" spans="1:53" ht="13.5" customHeight="1" thickBot="1">
      <c r="A53" s="111">
        <v>51</v>
      </c>
      <c r="B53" s="335" t="str">
        <f t="shared" si="11"/>
        <v>Edwin De Swardt</v>
      </c>
      <c r="C53" s="116" t="s">
        <v>1434</v>
      </c>
      <c r="D53" s="116" t="s">
        <v>1435</v>
      </c>
      <c r="E53"/>
      <c r="F53" s="336" t="str">
        <f>IF(SUM(COUNTIF(H53,{"*Girl*","*Women*","*Woman*","*Female*","*Wo*","*Fe*","*F*"})),"F","M")</f>
        <v>M</v>
      </c>
      <c r="G53" s="337" t="str">
        <f>IFERROR(IF(ISNUMBER(SEARCH("*",N53)),N53&amp;" "&amp;F53,IF(F53="M",LOOKUP(J53,AgeCategories!$A$3:$D$13),LOOKUP(J53,AgeCategories!$A$14:$D$24))),"Invalid Age")</f>
        <v>Master Men</v>
      </c>
      <c r="H53" s="175" t="s">
        <v>209</v>
      </c>
      <c r="I53" s="338">
        <f t="shared" si="12"/>
        <v>30680</v>
      </c>
      <c r="J53" s="340">
        <f>IFERROR(DATEDIF($I53,Helpers!$O$2,"y"),"ID No. needed")</f>
        <v>39</v>
      </c>
      <c r="K53"/>
      <c r="L53" s="300" t="s">
        <v>2696</v>
      </c>
      <c r="M53" s="353" t="s">
        <v>1811</v>
      </c>
      <c r="N53" s="342"/>
      <c r="O53" s="308" t="b">
        <v>1</v>
      </c>
      <c r="P53" s="192" t="b">
        <f>NOT(ISNA(VLOOKUP(A53,SortedDownload!A:A,1,FALSE)))</f>
        <v>1</v>
      </c>
      <c r="Q53" s="373" t="s">
        <v>2728</v>
      </c>
      <c r="R53" s="75"/>
      <c r="S53" s="235"/>
      <c r="T53" s="235"/>
      <c r="U53" s="75" t="s">
        <v>2070</v>
      </c>
      <c r="V53" s="337" t="str">
        <f t="shared" si="13"/>
        <v>-</v>
      </c>
      <c r="W53" s="348" t="str">
        <f t="shared" si="14"/>
        <v>Edwin De Swardt</v>
      </c>
      <c r="X53" s="337" t="str">
        <f t="shared" si="15"/>
        <v>Edwin</v>
      </c>
      <c r="Y53" s="337" t="str">
        <f t="shared" si="16"/>
        <v>De Swardt</v>
      </c>
      <c r="Z53" s="337" t="str">
        <f t="shared" si="17"/>
        <v>E.De Swardt</v>
      </c>
      <c r="AA53" s="349" t="str">
        <f t="shared" si="7"/>
        <v/>
      </c>
      <c r="AB53" s="349" t="str">
        <f t="shared" si="8"/>
        <v/>
      </c>
      <c r="AC53" s="337" t="str">
        <f>IFERROR(IF(ISNUMBER(SEARCH("*",N53)),N53&amp;" "&amp;F53,IF(F53="M",LOOKUP(J53,AgeCategories!$A$3:$F$11),LOOKUP(J53,AgeCategories!$A$14:$F$22))),"")</f>
        <v>MM</v>
      </c>
      <c r="AD53" s="350">
        <f t="shared" si="18"/>
        <v>30680</v>
      </c>
      <c r="AE53" s="337">
        <f t="shared" si="19"/>
        <v>39</v>
      </c>
      <c r="AF53" s="337" t="str">
        <f>IF(SUM(COUNTIF(H53,{"*Girl*","*Women*","*Woman*","*Female*","*Wo*","*Fe*","*F*"})),"F","M")</f>
        <v>M</v>
      </c>
      <c r="AG53" s="112"/>
      <c r="AH53" s="112"/>
      <c r="AI53" s="344" t="e">
        <f t="array" aca="1" ref="AI53" ca="1">(SMALL(IF(ISERROR(MATCH($AJ$3+ROW(OFFSET($A$3, 0,0, $AJ$4-$AJ$3+1))-2, $A$3:$A702,0)), $AJ$3+ROW(OFFSET($A$2,0, 0, $AJ$4-$AJ$3+1))-1), ROW(A52)))</f>
        <v>#NUM!</v>
      </c>
      <c r="AJ53" s="336">
        <f>Helpers!AY106</f>
        <v>0</v>
      </c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/>
      <c r="AV53"/>
      <c r="AW53" t="s">
        <v>2316</v>
      </c>
      <c r="AX53" s="56" t="s">
        <v>2493</v>
      </c>
      <c r="AY53" t="s">
        <v>2557</v>
      </c>
      <c r="AZ53" s="56" t="s">
        <v>2537</v>
      </c>
      <c r="BA53" s="56"/>
    </row>
    <row r="54" spans="1:53" ht="13.5" thickBot="1">
      <c r="A54" s="111">
        <v>52</v>
      </c>
      <c r="B54" s="335" t="str">
        <f t="shared" si="11"/>
        <v>Brett Hayward</v>
      </c>
      <c r="C54" s="301" t="s">
        <v>1436</v>
      </c>
      <c r="D54" s="301" t="s">
        <v>1437</v>
      </c>
      <c r="E54"/>
      <c r="F54" s="336" t="str">
        <f>IF(SUM(COUNTIF(H54,{"*Girl*","*Women*","*Woman*","*Female*","*Wo*","*Fe*","*F*"})),"F","M")</f>
        <v>M</v>
      </c>
      <c r="G54" s="337" t="str">
        <f>IFERROR(IF(ISNUMBER(SEARCH("*",N54)),N54&amp;" "&amp;F54,IF(F54="M",LOOKUP(J54,AgeCategories!$A$3:$D$13),LOOKUP(J54,AgeCategories!$A$14:$D$24))),"Invalid Age")</f>
        <v>Lite M</v>
      </c>
      <c r="H54" s="302" t="s">
        <v>209</v>
      </c>
      <c r="I54" s="338">
        <f t="shared" si="12"/>
        <v>32566</v>
      </c>
      <c r="J54" s="340">
        <f>IFERROR(DATEDIF($I54,Helpers!$O$2,"y"),"ID No. needed")</f>
        <v>33</v>
      </c>
      <c r="K54"/>
      <c r="L54" s="300" t="s">
        <v>2697</v>
      </c>
      <c r="M54" s="353" t="s">
        <v>1812</v>
      </c>
      <c r="N54" s="341" t="s">
        <v>2601</v>
      </c>
      <c r="O54" s="308" t="b">
        <v>0</v>
      </c>
      <c r="P54" s="192" t="b">
        <f>NOT(ISNA(VLOOKUP(A54,SortedDownload!A:A,1,FALSE)))</f>
        <v>0</v>
      </c>
      <c r="Q54" s="373" t="s">
        <v>2601</v>
      </c>
      <c r="R54" s="309"/>
      <c r="S54" s="235"/>
      <c r="T54" s="235"/>
      <c r="U54" s="309" t="s">
        <v>2071</v>
      </c>
      <c r="V54" s="337" t="str">
        <f t="shared" si="13"/>
        <v>-</v>
      </c>
      <c r="W54" s="348" t="str">
        <f t="shared" si="14"/>
        <v>Brett Hayward</v>
      </c>
      <c r="X54" s="337" t="str">
        <f t="shared" si="15"/>
        <v>Brett</v>
      </c>
      <c r="Y54" s="337" t="str">
        <f t="shared" si="16"/>
        <v>Hayward</v>
      </c>
      <c r="Z54" s="337" t="str">
        <f t="shared" si="17"/>
        <v>B.Hayward</v>
      </c>
      <c r="AA54" s="349" t="str">
        <f t="shared" si="7"/>
        <v/>
      </c>
      <c r="AB54" s="349" t="str">
        <f t="shared" si="8"/>
        <v/>
      </c>
      <c r="AC54" s="337" t="str">
        <f>IFERROR(IF(ISNUMBER(SEARCH("*",N54)),N54&amp;" "&amp;F54,IF(F54="M",LOOKUP(J54,AgeCategories!$A$3:$F$11),LOOKUP(J54,AgeCategories!$A$14:$F$22))),"")</f>
        <v>Lite M</v>
      </c>
      <c r="AD54" s="350">
        <f t="shared" si="18"/>
        <v>32566</v>
      </c>
      <c r="AE54" s="337">
        <f t="shared" si="19"/>
        <v>33</v>
      </c>
      <c r="AF54" s="337" t="str">
        <f>IF(SUM(COUNTIF(H54,{"*Girl*","*Women*","*Woman*","*Female*","*Wo*","*Fe*","*F*"})),"F","M")</f>
        <v>M</v>
      </c>
      <c r="AG54" s="112"/>
      <c r="AH54" s="112"/>
      <c r="AI54" s="344" t="e">
        <f t="array" aca="1" ref="AI54" ca="1">(SMALL(IF(ISERROR(MATCH($AJ$3+ROW(OFFSET($A$3, 0,0, $AJ$4-$AJ$3+1))-2, $A$3:$A703,0)), $AJ$3+ROW(OFFSET($A$2,0, 0, $AJ$4-$AJ$3+1))-1), ROW(A53)))</f>
        <v>#NUM!</v>
      </c>
      <c r="AJ54" s="336">
        <f>Helpers!AY67</f>
        <v>0</v>
      </c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/>
      <c r="AV54"/>
      <c r="AW54"/>
      <c r="AX54" s="56" t="s">
        <v>2494</v>
      </c>
      <c r="AY54"/>
      <c r="AZ54" s="56" t="s">
        <v>2537</v>
      </c>
      <c r="BA54" s="56"/>
    </row>
    <row r="55" spans="1:53" ht="13.5" thickBot="1">
      <c r="A55" s="111">
        <v>53</v>
      </c>
      <c r="B55" s="335" t="str">
        <f t="shared" si="11"/>
        <v>Paul Combrinck</v>
      </c>
      <c r="C55" s="301" t="s">
        <v>1438</v>
      </c>
      <c r="D55" s="301" t="s">
        <v>1439</v>
      </c>
      <c r="E55"/>
      <c r="F55" s="336" t="str">
        <f>IF(SUM(COUNTIF(H55,{"*Girl*","*Women*","*Woman*","*Female*","*Wo*","*Fe*","*F*"})),"F","M")</f>
        <v>M</v>
      </c>
      <c r="G55" s="337" t="str">
        <f>IFERROR(IF(ISNUMBER(SEARCH("*",N55)),N55&amp;" "&amp;F55,IF(F55="M",LOOKUP(J55,AgeCategories!$A$3:$D$13),LOOKUP(J55,AgeCategories!$A$14:$D$24))),"Invalid Age")</f>
        <v>E-Bike Lite M</v>
      </c>
      <c r="H55" s="302" t="s">
        <v>209</v>
      </c>
      <c r="I55" s="338">
        <f t="shared" si="12"/>
        <v>26775</v>
      </c>
      <c r="J55" s="340">
        <f>IFERROR(DATEDIF($I55,Helpers!$O$2,"y"),"ID No. needed")</f>
        <v>49</v>
      </c>
      <c r="K55"/>
      <c r="L55" s="300" t="s">
        <v>2698</v>
      </c>
      <c r="M55" s="353" t="s">
        <v>1813</v>
      </c>
      <c r="N55" s="341" t="s">
        <v>598</v>
      </c>
      <c r="O55" s="308" t="b">
        <v>1</v>
      </c>
      <c r="P55" s="192" t="b">
        <f>NOT(ISNA(VLOOKUP(A55,SortedDownload!A:A,1,FALSE)))</f>
        <v>1</v>
      </c>
      <c r="Q55" s="373" t="s">
        <v>2727</v>
      </c>
      <c r="R55" s="309"/>
      <c r="S55" s="235"/>
      <c r="T55" s="235"/>
      <c r="U55" s="309" t="s">
        <v>2072</v>
      </c>
      <c r="V55" s="337" t="str">
        <f t="shared" si="13"/>
        <v>-</v>
      </c>
      <c r="W55" s="348" t="str">
        <f t="shared" si="14"/>
        <v>Paul Combrinck</v>
      </c>
      <c r="X55" s="337" t="str">
        <f t="shared" si="15"/>
        <v>Paul</v>
      </c>
      <c r="Y55" s="337" t="str">
        <f t="shared" si="16"/>
        <v>Combrinck</v>
      </c>
      <c r="Z55" s="337" t="str">
        <f t="shared" si="17"/>
        <v>P.Combrinck</v>
      </c>
      <c r="AA55" s="349" t="str">
        <f t="shared" si="7"/>
        <v/>
      </c>
      <c r="AB55" s="349" t="str">
        <f t="shared" si="8"/>
        <v/>
      </c>
      <c r="AC55" s="337" t="str">
        <f>IFERROR(IF(ISNUMBER(SEARCH("*",N55)),N55&amp;" "&amp;F55,IF(F55="M",LOOKUP(J55,AgeCategories!$A$3:$F$11),LOOKUP(J55,AgeCategories!$A$14:$F$22))),"")</f>
        <v>E-Bike Lite M</v>
      </c>
      <c r="AD55" s="350">
        <f t="shared" si="18"/>
        <v>26775</v>
      </c>
      <c r="AE55" s="337">
        <f t="shared" si="19"/>
        <v>49</v>
      </c>
      <c r="AF55" s="337" t="str">
        <f>IF(SUM(COUNTIF(H55,{"*Girl*","*Women*","*Woman*","*Female*","*Wo*","*Fe*","*F*"})),"F","M")</f>
        <v>M</v>
      </c>
      <c r="AG55" s="112"/>
      <c r="AH55" s="112"/>
      <c r="AI55" s="344" t="e">
        <f t="array" aca="1" ref="AI55" ca="1">(SMALL(IF(ISERROR(MATCH($AJ$3+ROW(OFFSET($A$3, 0,0, $AJ$4-$AJ$3+1))-2, $A$3:$A704,0)), $AJ$3+ROW(OFFSET($A$2,0, 0, $AJ$4-$AJ$3+1))-1), ROW(A54)))</f>
        <v>#NUM!</v>
      </c>
      <c r="AJ55" s="336">
        <f>Helpers!AY66</f>
        <v>0</v>
      </c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/>
      <c r="AV55"/>
      <c r="AW55" t="s">
        <v>2317</v>
      </c>
      <c r="AX55" s="56" t="s">
        <v>2478</v>
      </c>
      <c r="AY55" t="s">
        <v>2277</v>
      </c>
      <c r="AZ55" s="56" t="s">
        <v>2538</v>
      </c>
      <c r="BA55" s="56"/>
    </row>
    <row r="56" spans="1:53" ht="13.5" customHeight="1" thickBot="1">
      <c r="A56" s="111">
        <v>54</v>
      </c>
      <c r="B56" s="335" t="str">
        <f t="shared" si="11"/>
        <v>Warren Galley</v>
      </c>
      <c r="C56" t="s">
        <v>1352</v>
      </c>
      <c r="D56" t="s">
        <v>1440</v>
      </c>
      <c r="E56"/>
      <c r="F56" s="336" t="str">
        <f>IF(SUM(COUNTIF(H56,{"*Girl*","*Women*","*Woman*","*Female*","*Wo*","*Fe*","*F*"})),"F","M")</f>
        <v>M</v>
      </c>
      <c r="G56" s="337" t="str">
        <f>IFERROR(IF(ISNUMBER(SEARCH("*",N56)),N56&amp;" "&amp;F56,IF(F56="M",LOOKUP(J56,AgeCategories!$A$3:$D$13),LOOKUP(J56,AgeCategories!$A$14:$D$24))),"Invalid Age")</f>
        <v>Master Men</v>
      </c>
      <c r="H56" t="s">
        <v>209</v>
      </c>
      <c r="I56" s="338">
        <f t="shared" si="12"/>
        <v>33059</v>
      </c>
      <c r="J56" s="340">
        <f>IFERROR(DATEDIF($I56,Helpers!$O$2,"y"),"ID No. needed")</f>
        <v>32</v>
      </c>
      <c r="K56"/>
      <c r="L56" s="300" t="s">
        <v>2699</v>
      </c>
      <c r="M56" s="353" t="s">
        <v>1814</v>
      </c>
      <c r="N56" s="342"/>
      <c r="O56" s="308" t="b">
        <v>1</v>
      </c>
      <c r="P56" s="192" t="b">
        <f>NOT(ISNA(VLOOKUP(A56,SortedDownload!A:A,1,FALSE)))</f>
        <v>1</v>
      </c>
      <c r="Q56" s="373" t="s">
        <v>2631</v>
      </c>
      <c r="R56"/>
      <c r="S56" s="235"/>
      <c r="T56" s="235"/>
      <c r="U56" t="s">
        <v>2073</v>
      </c>
      <c r="V56" s="337" t="str">
        <f t="shared" si="13"/>
        <v>-</v>
      </c>
      <c r="W56" s="348" t="str">
        <f t="shared" si="14"/>
        <v>Warren Galley</v>
      </c>
      <c r="X56" s="337" t="str">
        <f t="shared" si="15"/>
        <v>Warren</v>
      </c>
      <c r="Y56" s="337" t="str">
        <f t="shared" si="16"/>
        <v>Galley</v>
      </c>
      <c r="Z56" s="337" t="str">
        <f t="shared" si="17"/>
        <v>W.Galley</v>
      </c>
      <c r="AA56" s="349" t="str">
        <f t="shared" si="7"/>
        <v/>
      </c>
      <c r="AB56" s="349" t="str">
        <f t="shared" si="8"/>
        <v/>
      </c>
      <c r="AC56" s="337" t="str">
        <f>IFERROR(IF(ISNUMBER(SEARCH("*",N56)),N56&amp;" "&amp;F56,IF(F56="M",LOOKUP(J56,AgeCategories!$A$3:$F$11),LOOKUP(J56,AgeCategories!$A$14:$F$22))),"")</f>
        <v>MM</v>
      </c>
      <c r="AD56" s="350">
        <f t="shared" si="18"/>
        <v>33059</v>
      </c>
      <c r="AE56" s="337">
        <f t="shared" si="19"/>
        <v>32</v>
      </c>
      <c r="AF56" s="337" t="str">
        <f>IF(SUM(COUNTIF(H56,{"*Girl*","*Women*","*Woman*","*Female*","*Wo*","*Fe*","*F*"})),"F","M")</f>
        <v>M</v>
      </c>
      <c r="AG56" s="112"/>
      <c r="AH56" s="112"/>
      <c r="AI56" s="344" t="e">
        <f t="array" aca="1" ref="AI56" ca="1">(SMALL(IF(ISERROR(MATCH($AJ$3+ROW(OFFSET($A$3, 0,0, $AJ$4-$AJ$3+1))-2, $A$3:$A705,0)), $AJ$3+ROW(OFFSET($A$2,0, 0, $AJ$4-$AJ$3+1))-1), ROW(A55)))</f>
        <v>#NUM!</v>
      </c>
      <c r="AJ56" s="336">
        <f>Helpers!AY52</f>
        <v>0</v>
      </c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/>
      <c r="AV56"/>
      <c r="AW56" t="s">
        <v>2318</v>
      </c>
      <c r="AX56" s="56" t="s">
        <v>2495</v>
      </c>
      <c r="AY56" t="s">
        <v>2558</v>
      </c>
      <c r="AZ56" s="56" t="s">
        <v>2537</v>
      </c>
      <c r="BA56" s="56"/>
    </row>
    <row r="57" spans="1:53" ht="13.5" customHeight="1" thickBot="1">
      <c r="A57" s="111">
        <v>55</v>
      </c>
      <c r="B57" s="335" t="str">
        <f t="shared" si="11"/>
        <v>Nic Rezelman</v>
      </c>
      <c r="C57" t="s">
        <v>1441</v>
      </c>
      <c r="D57" t="s">
        <v>1442</v>
      </c>
      <c r="E57"/>
      <c r="F57" s="336" t="str">
        <f>IF(SUM(COUNTIF(H57,{"*Girl*","*Women*","*Woman*","*Female*","*Wo*","*Fe*","*F*"})),"F","M")</f>
        <v>M</v>
      </c>
      <c r="G57" s="337" t="str">
        <f>IFERROR(IF(ISNUMBER(SEARCH("*",N57)),N57&amp;" "&amp;F57,IF(F57="M",LOOKUP(J57,AgeCategories!$A$3:$D$13),LOOKUP(J57,AgeCategories!$A$14:$D$24))),"Invalid Age")</f>
        <v>E-Bike M</v>
      </c>
      <c r="H57" t="s">
        <v>209</v>
      </c>
      <c r="I57" s="338">
        <f t="shared" si="12"/>
        <v>33606</v>
      </c>
      <c r="J57" s="340">
        <f>IFERROR(DATEDIF($I57,Helpers!$O$2,"y"),"ID No. needed")</f>
        <v>30</v>
      </c>
      <c r="K57"/>
      <c r="L57" s="300" t="s">
        <v>2700</v>
      </c>
      <c r="M57" s="353" t="s">
        <v>1815</v>
      </c>
      <c r="N57" s="342" t="s">
        <v>560</v>
      </c>
      <c r="O57" s="308" t="b">
        <v>1</v>
      </c>
      <c r="P57" s="192" t="b">
        <f>NOT(ISNA(VLOOKUP(A57,SortedDownload!A:A,1,FALSE)))</f>
        <v>1</v>
      </c>
      <c r="Q57" s="373" t="s">
        <v>2729</v>
      </c>
      <c r="R57"/>
      <c r="S57" s="235"/>
      <c r="T57" s="235"/>
      <c r="U57" t="s">
        <v>2074</v>
      </c>
      <c r="V57" s="337" t="str">
        <f t="shared" si="13"/>
        <v>-</v>
      </c>
      <c r="W57" s="348" t="str">
        <f t="shared" si="14"/>
        <v>Nic Rezelman</v>
      </c>
      <c r="X57" s="337" t="str">
        <f t="shared" si="15"/>
        <v>Nic</v>
      </c>
      <c r="Y57" s="337" t="str">
        <f t="shared" si="16"/>
        <v>Rezelman</v>
      </c>
      <c r="Z57" s="337" t="str">
        <f t="shared" si="17"/>
        <v>N.Rezelman</v>
      </c>
      <c r="AA57" s="349" t="str">
        <f t="shared" si="7"/>
        <v/>
      </c>
      <c r="AB57" s="349" t="str">
        <f t="shared" si="8"/>
        <v/>
      </c>
      <c r="AC57" s="337" t="str">
        <f>IFERROR(IF(ISNUMBER(SEARCH("*",N57)),N57&amp;" "&amp;F57,IF(F57="M",LOOKUP(J57,AgeCategories!$A$3:$F$11),LOOKUP(J57,AgeCategories!$A$14:$F$22))),"")</f>
        <v>E-Bike M</v>
      </c>
      <c r="AD57" s="350">
        <f t="shared" si="18"/>
        <v>33606</v>
      </c>
      <c r="AE57" s="337">
        <f t="shared" si="19"/>
        <v>30</v>
      </c>
      <c r="AF57" s="337" t="str">
        <f>IF(SUM(COUNTIF(H57,{"*Girl*","*Women*","*Woman*","*Female*","*Wo*","*Fe*","*F*"})),"F","M")</f>
        <v>M</v>
      </c>
      <c r="AG57" s="112"/>
      <c r="AH57" s="112"/>
      <c r="AI57" s="344" t="e">
        <f t="array" aca="1" ref="AI57" ca="1">(SMALL(IF(ISERROR(MATCH($AJ$3+ROW(OFFSET($A$3, 0,0, $AJ$4-$AJ$3+1))-2, $A$3:$A706,0)), $AJ$3+ROW(OFFSET($A$2,0, 0, $AJ$4-$AJ$3+1))-1), ROW(A56)))</f>
        <v>#NUM!</v>
      </c>
      <c r="AJ57" s="336">
        <f>Helpers!AY51</f>
        <v>0</v>
      </c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/>
      <c r="AV57"/>
      <c r="AW57" t="s">
        <v>2319</v>
      </c>
      <c r="AX57" s="56" t="s">
        <v>2478</v>
      </c>
      <c r="AY57" t="s">
        <v>2559</v>
      </c>
      <c r="AZ57" s="56" t="s">
        <v>2537</v>
      </c>
      <c r="BA57" s="56"/>
    </row>
    <row r="58" spans="1:53" ht="13.5" customHeight="1" thickBot="1">
      <c r="A58" s="111">
        <v>56</v>
      </c>
      <c r="B58" s="335" t="str">
        <f t="shared" si="11"/>
        <v>Myndert Laubscher</v>
      </c>
      <c r="C58" s="301" t="s">
        <v>1443</v>
      </c>
      <c r="D58" s="301" t="s">
        <v>1444</v>
      </c>
      <c r="E58"/>
      <c r="F58" s="336" t="str">
        <f>IF(SUM(COUNTIF(H58,{"*Girl*","*Women*","*Woman*","*Female*","*Wo*","*Fe*","*F*"})),"F","M")</f>
        <v>M</v>
      </c>
      <c r="G58" s="337" t="str">
        <f>IFERROR(IF(ISNUMBER(SEARCH("*",N58)),N58&amp;" "&amp;F58,IF(F58="M",LOOKUP(J58,AgeCategories!$A$3:$D$13),LOOKUP(J58,AgeCategories!$A$14:$D$24))),"Invalid Age")</f>
        <v>Youth Men</v>
      </c>
      <c r="H58" s="302" t="s">
        <v>209</v>
      </c>
      <c r="I58" s="338">
        <f t="shared" si="12"/>
        <v>39166</v>
      </c>
      <c r="J58" s="340">
        <f>IFERROR(DATEDIF($I58,Helpers!$O$2,"y"),"ID No. needed")</f>
        <v>15</v>
      </c>
      <c r="K58"/>
      <c r="L58" s="300" t="s">
        <v>2701</v>
      </c>
      <c r="M58" s="353" t="s">
        <v>1816</v>
      </c>
      <c r="N58" s="342"/>
      <c r="O58" s="308" t="b">
        <v>1</v>
      </c>
      <c r="P58" s="192" t="b">
        <f>NOT(ISNA(VLOOKUP(A58,SortedDownload!A:A,1,FALSE)))</f>
        <v>1</v>
      </c>
      <c r="Q58" s="373" t="s">
        <v>2728</v>
      </c>
      <c r="R58" s="309"/>
      <c r="S58" s="235"/>
      <c r="T58" s="235"/>
      <c r="U58" s="309" t="s">
        <v>2075</v>
      </c>
      <c r="V58" s="337" t="str">
        <f t="shared" si="13"/>
        <v>-</v>
      </c>
      <c r="W58" s="348" t="str">
        <f t="shared" si="14"/>
        <v>Myndert Laubscher</v>
      </c>
      <c r="X58" s="337" t="str">
        <f t="shared" si="15"/>
        <v>Myndert</v>
      </c>
      <c r="Y58" s="337" t="str">
        <f t="shared" si="16"/>
        <v>Laubscher</v>
      </c>
      <c r="Z58" s="337" t="str">
        <f t="shared" si="17"/>
        <v>M.Laubscher</v>
      </c>
      <c r="AA58" s="349" t="str">
        <f t="shared" si="7"/>
        <v/>
      </c>
      <c r="AB58" s="349" t="str">
        <f t="shared" si="8"/>
        <v/>
      </c>
      <c r="AC58" s="337" t="str">
        <f>IFERROR(IF(ISNUMBER(SEARCH("*",N58)),N58&amp;" "&amp;F58,IF(F58="M",LOOKUP(J58,AgeCategories!$A$3:$F$11),LOOKUP(J58,AgeCategories!$A$14:$F$22))),"")</f>
        <v>YM</v>
      </c>
      <c r="AD58" s="350">
        <f t="shared" si="18"/>
        <v>39166</v>
      </c>
      <c r="AE58" s="337">
        <f t="shared" si="19"/>
        <v>15</v>
      </c>
      <c r="AF58" s="337" t="str">
        <f>IF(SUM(COUNTIF(H58,{"*Girl*","*Women*","*Woman*","*Female*","*Wo*","*Fe*","*F*"})),"F","M")</f>
        <v>M</v>
      </c>
      <c r="AG58" s="112"/>
      <c r="AH58" s="112"/>
      <c r="AI58" s="344" t="e">
        <f t="array" aca="1" ref="AI58" ca="1">(SMALL(IF(ISERROR(MATCH($AJ$3+ROW(OFFSET($A$3, 0,0, $AJ$4-$AJ$3+1))-2, $A$3:$A707,0)), $AJ$3+ROW(OFFSET($A$2,0, 0, $AJ$4-$AJ$3+1))-1), ROW(A57)))</f>
        <v>#NUM!</v>
      </c>
      <c r="AJ58" s="336">
        <f>Helpers!AY65</f>
        <v>0</v>
      </c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/>
      <c r="AV58"/>
      <c r="AW58" t="s">
        <v>2320</v>
      </c>
      <c r="AX58" s="56" t="s">
        <v>2485</v>
      </c>
      <c r="AY58"/>
      <c r="AZ58" s="56" t="s">
        <v>2539</v>
      </c>
      <c r="BA58" s="56"/>
    </row>
    <row r="59" spans="1:53" ht="13.5" customHeight="1" thickBot="1">
      <c r="A59" s="111">
        <v>57</v>
      </c>
      <c r="B59" s="335" t="str">
        <f t="shared" si="11"/>
        <v>Hendre De Villiers</v>
      </c>
      <c r="C59" s="116" t="s">
        <v>1445</v>
      </c>
      <c r="D59" s="116" t="s">
        <v>1446</v>
      </c>
      <c r="E59"/>
      <c r="F59" s="336" t="str">
        <f>IF(SUM(COUNTIF(H59,{"*Girl*","*Women*","*Woman*","*Female*","*Wo*","*Fe*","*F*"})),"F","M")</f>
        <v>M</v>
      </c>
      <c r="G59" s="337" t="str">
        <f>IFERROR(IF(ISNUMBER(SEARCH("*",N59)),N59&amp;" "&amp;F59,IF(F59="M",LOOKUP(J59,AgeCategories!$A$3:$D$13),LOOKUP(J59,AgeCategories!$A$14:$D$24))),"Invalid Age")</f>
        <v>Junior Men</v>
      </c>
      <c r="H59" s="175" t="s">
        <v>209</v>
      </c>
      <c r="I59" s="338">
        <f t="shared" si="12"/>
        <v>38572</v>
      </c>
      <c r="J59" s="340">
        <f>IFERROR(DATEDIF($I59,Helpers!$O$2,"y"),"ID No. needed")</f>
        <v>17</v>
      </c>
      <c r="K59"/>
      <c r="L59" s="300" t="s">
        <v>2702</v>
      </c>
      <c r="M59" s="353" t="s">
        <v>1817</v>
      </c>
      <c r="N59" s="342"/>
      <c r="O59" s="308" t="b">
        <v>1</v>
      </c>
      <c r="P59" s="192" t="b">
        <f>NOT(ISNA(VLOOKUP(A59,SortedDownload!A:A,1,FALSE)))</f>
        <v>1</v>
      </c>
      <c r="Q59" s="373" t="s">
        <v>2728</v>
      </c>
      <c r="R59" s="309"/>
      <c r="S59" s="235"/>
      <c r="T59" s="235"/>
      <c r="U59" s="309" t="s">
        <v>2076</v>
      </c>
      <c r="V59" s="337" t="str">
        <f t="shared" si="13"/>
        <v>-</v>
      </c>
      <c r="W59" s="348" t="str">
        <f t="shared" si="14"/>
        <v>Hendre De Villiers</v>
      </c>
      <c r="X59" s="337" t="str">
        <f t="shared" si="15"/>
        <v>Hendre</v>
      </c>
      <c r="Y59" s="337" t="str">
        <f t="shared" si="16"/>
        <v>De Villiers</v>
      </c>
      <c r="Z59" s="337" t="str">
        <f t="shared" si="17"/>
        <v>H.De Villiers</v>
      </c>
      <c r="AA59" s="349" t="str">
        <f t="shared" si="7"/>
        <v/>
      </c>
      <c r="AB59" s="349" t="str">
        <f t="shared" si="8"/>
        <v/>
      </c>
      <c r="AC59" s="337" t="str">
        <f>IFERROR(IF(ISNUMBER(SEARCH("*",N59)),N59&amp;" "&amp;F59,IF(F59="M",LOOKUP(J59,AgeCategories!$A$3:$F$11),LOOKUP(J59,AgeCategories!$A$14:$F$22))),"")</f>
        <v>JM</v>
      </c>
      <c r="AD59" s="350">
        <f t="shared" si="18"/>
        <v>38572</v>
      </c>
      <c r="AE59" s="337">
        <f t="shared" si="19"/>
        <v>17</v>
      </c>
      <c r="AF59" s="337" t="str">
        <f>IF(SUM(COUNTIF(H59,{"*Girl*","*Women*","*Woman*","*Female*","*Wo*","*Fe*","*F*"})),"F","M")</f>
        <v>M</v>
      </c>
      <c r="AG59" s="112"/>
      <c r="AH59" s="112"/>
      <c r="AI59" s="344" t="e">
        <f t="array" aca="1" ref="AI59" ca="1">(SMALL(IF(ISERROR(MATCH($AJ$3+ROW(OFFSET($A$3, 0,0, $AJ$4-$AJ$3+1))-2, $A$3:$A708,0)), $AJ$3+ROW(OFFSET($A$2,0, 0, $AJ$4-$AJ$3+1))-1), ROW(A58)))</f>
        <v>#NUM!</v>
      </c>
      <c r="AJ59" s="336">
        <f>Helpers!AY105</f>
        <v>0</v>
      </c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/>
      <c r="AV59"/>
      <c r="AW59" t="s">
        <v>2321</v>
      </c>
      <c r="AX59" s="56" t="s">
        <v>2478</v>
      </c>
      <c r="AY59" t="s">
        <v>2560</v>
      </c>
      <c r="AZ59" s="56" t="s">
        <v>2542</v>
      </c>
      <c r="BA59" s="56" t="s">
        <v>2560</v>
      </c>
    </row>
    <row r="60" spans="1:53" ht="13.5" customHeight="1" thickBot="1">
      <c r="A60" s="111">
        <v>58</v>
      </c>
      <c r="B60" s="335" t="str">
        <f t="shared" si="11"/>
        <v>Craig Fussell</v>
      </c>
      <c r="C60" s="116" t="s">
        <v>1447</v>
      </c>
      <c r="D60" s="116" t="s">
        <v>1448</v>
      </c>
      <c r="E60"/>
      <c r="F60" s="336" t="str">
        <f>IF(SUM(COUNTIF(H60,{"*Girl*","*Women*","*Woman*","*Female*","*Wo*","*Fe*","*F*"})),"F","M")</f>
        <v>M</v>
      </c>
      <c r="G60" s="337" t="str">
        <f>IFERROR(IF(ISNUMBER(SEARCH("*",N60)),N60&amp;" "&amp;F60,IF(F60="M",LOOKUP(J60,AgeCategories!$A$3:$D$13),LOOKUP(J60,AgeCategories!$A$14:$D$24))),"Invalid Age")</f>
        <v>Master Men</v>
      </c>
      <c r="H60" s="175" t="s">
        <v>209</v>
      </c>
      <c r="I60" s="338">
        <f t="shared" si="12"/>
        <v>23895</v>
      </c>
      <c r="J60" s="340">
        <f>IFERROR(DATEDIF($I60,Helpers!$O$2,"y"),"ID No. needed")</f>
        <v>57</v>
      </c>
      <c r="K60"/>
      <c r="L60" s="300" t="s">
        <v>2703</v>
      </c>
      <c r="M60" s="353" t="s">
        <v>1818</v>
      </c>
      <c r="N60" s="342"/>
      <c r="O60" s="308" t="b">
        <v>1</v>
      </c>
      <c r="P60" s="192" t="b">
        <f>NOT(ISNA(VLOOKUP(A60,SortedDownload!A:A,1,FALSE)))</f>
        <v>1</v>
      </c>
      <c r="Q60" s="373" t="s">
        <v>2729</v>
      </c>
      <c r="R60" s="75"/>
      <c r="S60" s="235"/>
      <c r="T60" s="235"/>
      <c r="U60" s="75" t="s">
        <v>2077</v>
      </c>
      <c r="V60" s="337" t="str">
        <f t="shared" si="13"/>
        <v>-</v>
      </c>
      <c r="W60" s="348" t="str">
        <f t="shared" si="14"/>
        <v>Craig Fussell</v>
      </c>
      <c r="X60" s="337" t="str">
        <f t="shared" si="15"/>
        <v>Craig</v>
      </c>
      <c r="Y60" s="337" t="str">
        <f t="shared" si="16"/>
        <v>Fussell</v>
      </c>
      <c r="Z60" s="337" t="str">
        <f t="shared" si="17"/>
        <v>C.Fussell</v>
      </c>
      <c r="AA60" s="349" t="str">
        <f t="shared" si="7"/>
        <v/>
      </c>
      <c r="AB60" s="349" t="str">
        <f t="shared" si="8"/>
        <v/>
      </c>
      <c r="AC60" s="337" t="str">
        <f>IFERROR(IF(ISNUMBER(SEARCH("*",N60)),N60&amp;" "&amp;F60,IF(F60="M",LOOKUP(J60,AgeCategories!$A$3:$F$11),LOOKUP(J60,AgeCategories!$A$14:$F$22))),"")</f>
        <v>MM</v>
      </c>
      <c r="AD60" s="350">
        <f t="shared" si="18"/>
        <v>23895</v>
      </c>
      <c r="AE60" s="337">
        <f t="shared" si="19"/>
        <v>57</v>
      </c>
      <c r="AF60" s="337" t="str">
        <f>IF(SUM(COUNTIF(H60,{"*Girl*","*Women*","*Woman*","*Female*","*Wo*","*Fe*","*F*"})),"F","M")</f>
        <v>M</v>
      </c>
      <c r="AG60" s="112"/>
      <c r="AH60" s="112"/>
      <c r="AI60" s="344" t="e">
        <f t="array" aca="1" ref="AI60" ca="1">(SMALL(IF(ISERROR(MATCH($AJ$3+ROW(OFFSET($A$3, 0,0, $AJ$4-$AJ$3+1))-2, $A$3:$A709,0)), $AJ$3+ROW(OFFSET($A$2,0, 0, $AJ$4-$AJ$3+1))-1), ROW(A59)))</f>
        <v>#NUM!</v>
      </c>
      <c r="AJ60" s="336">
        <f>Helpers!AY104</f>
        <v>0</v>
      </c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/>
      <c r="AV60"/>
      <c r="AW60" t="s">
        <v>2322</v>
      </c>
      <c r="AX60" s="56" t="s">
        <v>2478</v>
      </c>
      <c r="AY60" t="s">
        <v>2547</v>
      </c>
      <c r="AZ60" s="56" t="s">
        <v>2539</v>
      </c>
      <c r="BA60" s="56"/>
    </row>
    <row r="61" spans="1:53" ht="13.5" customHeight="1" thickBot="1">
      <c r="A61" s="111">
        <v>59</v>
      </c>
      <c r="B61" s="335" t="str">
        <f t="shared" si="11"/>
        <v>Kyle Collair</v>
      </c>
      <c r="C61" s="116" t="s">
        <v>632</v>
      </c>
      <c r="D61" s="116" t="s">
        <v>1449</v>
      </c>
      <c r="E61"/>
      <c r="F61" s="336" t="str">
        <f>IF(SUM(COUNTIF(H61,{"*Girl*","*Women*","*Woman*","*Female*","*Wo*","*Fe*","*F*"})),"F","M")</f>
        <v>M</v>
      </c>
      <c r="G61" s="337" t="str">
        <f>IFERROR(IF(ISNUMBER(SEARCH("*",N61)),N61&amp;" "&amp;F61,IF(F61="M",LOOKUP(J61,AgeCategories!$A$3:$D$13),LOOKUP(J61,AgeCategories!$A$14:$D$24))),"Invalid Age")</f>
        <v>Master Men</v>
      </c>
      <c r="H61" s="175" t="s">
        <v>209</v>
      </c>
      <c r="I61" s="338">
        <f t="shared" si="12"/>
        <v>30489</v>
      </c>
      <c r="J61" s="340">
        <f>IFERROR(DATEDIF($I61,Helpers!$O$2,"y"),"ID No. needed")</f>
        <v>39</v>
      </c>
      <c r="K61"/>
      <c r="L61" s="300" t="s">
        <v>2704</v>
      </c>
      <c r="M61" s="353" t="s">
        <v>1819</v>
      </c>
      <c r="N61" s="342"/>
      <c r="O61" s="308" t="b">
        <v>1</v>
      </c>
      <c r="P61" s="192" t="b">
        <f>NOT(ISNA(VLOOKUP(A61,SortedDownload!A:A,1,FALSE)))</f>
        <v>1</v>
      </c>
      <c r="Q61" s="373" t="s">
        <v>2631</v>
      </c>
      <c r="R61" s="309"/>
      <c r="S61" s="235"/>
      <c r="T61" s="235"/>
      <c r="U61" s="309" t="s">
        <v>2078</v>
      </c>
      <c r="V61" s="337" t="str">
        <f t="shared" si="13"/>
        <v>-</v>
      </c>
      <c r="W61" s="348" t="str">
        <f t="shared" si="14"/>
        <v>Kyle Collair</v>
      </c>
      <c r="X61" s="337" t="str">
        <f t="shared" si="15"/>
        <v>Kyle</v>
      </c>
      <c r="Y61" s="337" t="str">
        <f t="shared" si="16"/>
        <v>Collair</v>
      </c>
      <c r="Z61" s="337" t="str">
        <f t="shared" si="17"/>
        <v>K.Collair</v>
      </c>
      <c r="AA61" s="349" t="str">
        <f t="shared" si="7"/>
        <v/>
      </c>
      <c r="AB61" s="349" t="str">
        <f t="shared" si="8"/>
        <v/>
      </c>
      <c r="AC61" s="337" t="str">
        <f>IFERROR(IF(ISNUMBER(SEARCH("*",N61)),N61&amp;" "&amp;F61,IF(F61="M",LOOKUP(J61,AgeCategories!$A$3:$F$11),LOOKUP(J61,AgeCategories!$A$14:$F$22))),"")</f>
        <v>MM</v>
      </c>
      <c r="AD61" s="350">
        <f t="shared" si="18"/>
        <v>30489</v>
      </c>
      <c r="AE61" s="337">
        <f t="shared" si="19"/>
        <v>39</v>
      </c>
      <c r="AF61" s="337" t="str">
        <f>IF(SUM(COUNTIF(H61,{"*Girl*","*Women*","*Woman*","*Female*","*Wo*","*Fe*","*F*"})),"F","M")</f>
        <v>M</v>
      </c>
      <c r="AG61" s="112"/>
      <c r="AH61" s="112"/>
      <c r="AI61" s="344" t="e">
        <f t="array" aca="1" ref="AI61" ca="1">(SMALL(IF(ISERROR(MATCH($AJ$3+ROW(OFFSET($A$3, 0,0, $AJ$4-$AJ$3+1))-2, $A$3:$A710,0)), $AJ$3+ROW(OFFSET($A$2,0, 0, $AJ$4-$AJ$3+1))-1), ROW(A60)))</f>
        <v>#NUM!</v>
      </c>
      <c r="AJ61" s="336">
        <f>Helpers!AY103</f>
        <v>0</v>
      </c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/>
      <c r="AV61"/>
      <c r="AW61" t="s">
        <v>2323</v>
      </c>
      <c r="AX61" s="56" t="s">
        <v>2478</v>
      </c>
      <c r="AY61"/>
      <c r="AZ61" s="56" t="s">
        <v>2537</v>
      </c>
      <c r="BA61" s="56" t="s">
        <v>2593</v>
      </c>
    </row>
    <row r="62" spans="1:53" ht="13.5" customHeight="1" thickBot="1">
      <c r="A62" s="111">
        <v>60</v>
      </c>
      <c r="B62" s="335" t="str">
        <f t="shared" si="11"/>
        <v>Christiaan Steffens</v>
      </c>
      <c r="C62" s="116" t="s">
        <v>1450</v>
      </c>
      <c r="D62" s="116" t="s">
        <v>1451</v>
      </c>
      <c r="E62"/>
      <c r="F62" s="336" t="str">
        <f>IF(SUM(COUNTIF(H62,{"*Girl*","*Women*","*Woman*","*Female*","*Wo*","*Fe*","*F*"})),"F","M")</f>
        <v>M</v>
      </c>
      <c r="G62" s="337" t="str">
        <f>IFERROR(IF(ISNUMBER(SEARCH("*",N62)),N62&amp;" "&amp;F62,IF(F62="M",LOOKUP(J62,AgeCategories!$A$3:$D$13),LOOKUP(J62,AgeCategories!$A$14:$D$24))),"Invalid Age")</f>
        <v>E-Bike Lite M</v>
      </c>
      <c r="H62" s="175" t="s">
        <v>209</v>
      </c>
      <c r="I62" s="338">
        <f t="shared" si="12"/>
        <v>30212</v>
      </c>
      <c r="J62" s="340">
        <f>IFERROR(DATEDIF($I62,Helpers!$O$2,"y"),"ID No. needed")</f>
        <v>40</v>
      </c>
      <c r="K62"/>
      <c r="L62" s="300" t="s">
        <v>2705</v>
      </c>
      <c r="M62" s="353" t="s">
        <v>1820</v>
      </c>
      <c r="N62" s="342" t="s">
        <v>598</v>
      </c>
      <c r="O62" s="308" t="b">
        <v>1</v>
      </c>
      <c r="P62" s="192" t="b">
        <f>NOT(ISNA(VLOOKUP(A62,SortedDownload!A:A,1,FALSE)))</f>
        <v>1</v>
      </c>
      <c r="Q62" s="373" t="s">
        <v>2727</v>
      </c>
      <c r="R62"/>
      <c r="S62" s="235"/>
      <c r="T62" s="235"/>
      <c r="U62" t="s">
        <v>2079</v>
      </c>
      <c r="V62" s="337" t="str">
        <f t="shared" si="13"/>
        <v>-</v>
      </c>
      <c r="W62" s="348" t="str">
        <f t="shared" si="14"/>
        <v>Christiaan Steffens</v>
      </c>
      <c r="X62" s="337" t="str">
        <f t="shared" si="15"/>
        <v>Christiaan</v>
      </c>
      <c r="Y62" s="337" t="str">
        <f t="shared" si="16"/>
        <v>Steffens</v>
      </c>
      <c r="Z62" s="337" t="str">
        <f t="shared" si="17"/>
        <v>C.Steffens</v>
      </c>
      <c r="AA62" s="349" t="str">
        <f t="shared" si="7"/>
        <v/>
      </c>
      <c r="AB62" s="349" t="str">
        <f t="shared" si="8"/>
        <v/>
      </c>
      <c r="AC62" s="337" t="str">
        <f>IFERROR(IF(ISNUMBER(SEARCH("*",N62)),N62&amp;" "&amp;F62,IF(F62="M",LOOKUP(J62,AgeCategories!$A$3:$F$11),LOOKUP(J62,AgeCategories!$A$14:$F$22))),"")</f>
        <v>E-Bike Lite M</v>
      </c>
      <c r="AD62" s="350">
        <f t="shared" si="18"/>
        <v>30212</v>
      </c>
      <c r="AE62" s="337">
        <f t="shared" si="19"/>
        <v>40</v>
      </c>
      <c r="AF62" s="337" t="str">
        <f>IF(SUM(COUNTIF(H62,{"*Girl*","*Women*","*Woman*","*Female*","*Wo*","*Fe*","*F*"})),"F","M")</f>
        <v>M</v>
      </c>
      <c r="AG62" s="112"/>
      <c r="AH62" s="112"/>
      <c r="AI62" s="344" t="e">
        <f t="array" aca="1" ref="AI62" ca="1">(SMALL(IF(ISERROR(MATCH($AJ$3+ROW(OFFSET($A$3, 0,0, $AJ$4-$AJ$3+1))-2, $A$3:$A711,0)), $AJ$3+ROW(OFFSET($A$2,0, 0, $AJ$4-$AJ$3+1))-1), ROW(A61)))</f>
        <v>#NUM!</v>
      </c>
      <c r="AJ62" s="336">
        <f>Helpers!AY102</f>
        <v>0</v>
      </c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/>
      <c r="AV62"/>
      <c r="AW62"/>
      <c r="AX62" s="56"/>
      <c r="AY62"/>
      <c r="AZ62" s="56" t="s">
        <v>2537</v>
      </c>
      <c r="BA62" s="56"/>
    </row>
    <row r="63" spans="1:53" ht="13.5" thickBot="1">
      <c r="A63" s="111">
        <v>61</v>
      </c>
      <c r="B63" s="335" t="str">
        <f t="shared" si="11"/>
        <v>Marcel Fourie</v>
      </c>
      <c r="C63" s="116" t="s">
        <v>1452</v>
      </c>
      <c r="D63" s="116" t="s">
        <v>1453</v>
      </c>
      <c r="E63"/>
      <c r="F63" s="336" t="str">
        <f>IF(SUM(COUNTIF(H63,{"*Girl*","*Women*","*Woman*","*Female*","*Wo*","*Fe*","*F*"})),"F","M")</f>
        <v>M</v>
      </c>
      <c r="G63" s="337" t="str">
        <f>IFERROR(IF(ISNUMBER(SEARCH("*",N63)),N63&amp;" "&amp;F63,IF(F63="M",LOOKUP(J63,AgeCategories!$A$3:$D$13),LOOKUP(J63,AgeCategories!$A$14:$D$24))),"Invalid Age")</f>
        <v>Lite M</v>
      </c>
      <c r="H63" s="175" t="s">
        <v>209</v>
      </c>
      <c r="I63" s="338">
        <f t="shared" si="12"/>
        <v>39094</v>
      </c>
      <c r="J63" s="340">
        <f>IFERROR(DATEDIF($I63,Helpers!$O$2,"y"),"ID No. needed")</f>
        <v>15</v>
      </c>
      <c r="K63"/>
      <c r="L63" s="300" t="s">
        <v>2706</v>
      </c>
      <c r="M63" s="353" t="s">
        <v>1821</v>
      </c>
      <c r="N63" s="341" t="s">
        <v>2601</v>
      </c>
      <c r="O63" s="308" t="b">
        <v>0</v>
      </c>
      <c r="P63" s="192" t="b">
        <f>NOT(ISNA(VLOOKUP(A63,SortedDownload!A:A,1,FALSE)))</f>
        <v>0</v>
      </c>
      <c r="Q63" s="373" t="s">
        <v>2601</v>
      </c>
      <c r="R63"/>
      <c r="S63" s="235"/>
      <c r="T63" s="235"/>
      <c r="U63" t="s">
        <v>2080</v>
      </c>
      <c r="V63" s="337" t="str">
        <f t="shared" si="13"/>
        <v>-</v>
      </c>
      <c r="W63" s="348" t="str">
        <f t="shared" si="14"/>
        <v>Marcel Fourie</v>
      </c>
      <c r="X63" s="337" t="str">
        <f t="shared" si="15"/>
        <v>Marcel</v>
      </c>
      <c r="Y63" s="337" t="str">
        <f t="shared" si="16"/>
        <v>Fourie</v>
      </c>
      <c r="Z63" s="337" t="str">
        <f t="shared" si="17"/>
        <v>M.Fourie</v>
      </c>
      <c r="AA63" s="349" t="str">
        <f t="shared" si="7"/>
        <v/>
      </c>
      <c r="AB63" s="349" t="str">
        <f t="shared" si="8"/>
        <v/>
      </c>
      <c r="AC63" s="337" t="str">
        <f>IFERROR(IF(ISNUMBER(SEARCH("*",N63)),N63&amp;" "&amp;F63,IF(F63="M",LOOKUP(J63,AgeCategories!$A$3:$F$11),LOOKUP(J63,AgeCategories!$A$14:$F$22))),"")</f>
        <v>Lite M</v>
      </c>
      <c r="AD63" s="350">
        <f t="shared" si="18"/>
        <v>39094</v>
      </c>
      <c r="AE63" s="337">
        <f t="shared" si="19"/>
        <v>15</v>
      </c>
      <c r="AF63" s="337" t="str">
        <f>IF(SUM(COUNTIF(H63,{"*Girl*","*Women*","*Woman*","*Female*","*Wo*","*Fe*","*F*"})),"F","M")</f>
        <v>M</v>
      </c>
      <c r="AG63" s="112"/>
      <c r="AH63" s="112"/>
      <c r="AI63" s="344" t="e">
        <f t="array" aca="1" ref="AI63" ca="1">(SMALL(IF(ISERROR(MATCH($AJ$3+ROW(OFFSET($A$3, 0,0, $AJ$4-$AJ$3+1))-2, $A$3:$A712,0)), $AJ$3+ROW(OFFSET($A$2,0, 0, $AJ$4-$AJ$3+1))-1), ROW(A62)))</f>
        <v>#NUM!</v>
      </c>
      <c r="AJ63" s="336">
        <f>Helpers!AY101</f>
        <v>0</v>
      </c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/>
      <c r="AV63"/>
      <c r="AW63" t="s">
        <v>2324</v>
      </c>
      <c r="AX63" s="56" t="s">
        <v>2478</v>
      </c>
      <c r="AY63" t="s">
        <v>2277</v>
      </c>
      <c r="AZ63" s="56" t="s">
        <v>2537</v>
      </c>
      <c r="BA63" s="56"/>
    </row>
    <row r="64" spans="1:53" ht="13.5" customHeight="1" thickBot="1">
      <c r="A64" s="111">
        <v>62</v>
      </c>
      <c r="B64" s="335" t="str">
        <f t="shared" si="11"/>
        <v>Brett Wienburg</v>
      </c>
      <c r="C64" s="116" t="s">
        <v>1436</v>
      </c>
      <c r="D64" s="116" t="s">
        <v>1454</v>
      </c>
      <c r="E64"/>
      <c r="F64" s="336" t="str">
        <f>IF(SUM(COUNTIF(H64,{"*Girl*","*Women*","*Woman*","*Female*","*Wo*","*Fe*","*F*"})),"F","M")</f>
        <v>M</v>
      </c>
      <c r="G64" s="337" t="str">
        <f>IFERROR(IF(ISNUMBER(SEARCH("*",N64)),N64&amp;" "&amp;F64,IF(F64="M",LOOKUP(J64,AgeCategories!$A$3:$D$13),LOOKUP(J64,AgeCategories!$A$14:$D$24))),"Invalid Age")</f>
        <v>E-Bike M</v>
      </c>
      <c r="H64" s="175" t="s">
        <v>209</v>
      </c>
      <c r="I64" s="338">
        <f t="shared" si="12"/>
        <v>28206</v>
      </c>
      <c r="J64" s="340">
        <f>IFERROR(DATEDIF($I64,Helpers!$O$2,"y"),"ID No. needed")</f>
        <v>45</v>
      </c>
      <c r="K64"/>
      <c r="L64" s="300" t="s">
        <v>2707</v>
      </c>
      <c r="M64" s="353" t="s">
        <v>1822</v>
      </c>
      <c r="N64" s="342" t="s">
        <v>560</v>
      </c>
      <c r="O64" s="308" t="b">
        <v>1</v>
      </c>
      <c r="P64" s="192" t="b">
        <f>NOT(ISNA(VLOOKUP(A64,SortedDownload!A:A,1,FALSE)))</f>
        <v>1</v>
      </c>
      <c r="Q64" s="373" t="s">
        <v>2729</v>
      </c>
      <c r="R64" s="309"/>
      <c r="S64" s="235"/>
      <c r="T64" s="235"/>
      <c r="U64" s="309" t="s">
        <v>2081</v>
      </c>
      <c r="V64" s="337" t="str">
        <f t="shared" si="13"/>
        <v>-</v>
      </c>
      <c r="W64" s="348" t="str">
        <f t="shared" si="14"/>
        <v>Brett Wienburg</v>
      </c>
      <c r="X64" s="337" t="str">
        <f t="shared" si="15"/>
        <v>Brett</v>
      </c>
      <c r="Y64" s="337" t="str">
        <f t="shared" si="16"/>
        <v>Wienburg</v>
      </c>
      <c r="Z64" s="337" t="str">
        <f t="shared" si="17"/>
        <v>B.Wienburg</v>
      </c>
      <c r="AA64" s="349" t="str">
        <f t="shared" si="7"/>
        <v/>
      </c>
      <c r="AB64" s="349" t="str">
        <f t="shared" si="8"/>
        <v/>
      </c>
      <c r="AC64" s="337" t="str">
        <f>IFERROR(IF(ISNUMBER(SEARCH("*",N64)),N64&amp;" "&amp;F64,IF(F64="M",LOOKUP(J64,AgeCategories!$A$3:$F$11),LOOKUP(J64,AgeCategories!$A$14:$F$22))),"")</f>
        <v>E-Bike M</v>
      </c>
      <c r="AD64" s="350">
        <f t="shared" si="18"/>
        <v>28206</v>
      </c>
      <c r="AE64" s="337">
        <f t="shared" si="19"/>
        <v>45</v>
      </c>
      <c r="AF64" s="337" t="str">
        <f>IF(SUM(COUNTIF(H64,{"*Girl*","*Women*","*Woman*","*Female*","*Wo*","*Fe*","*F*"})),"F","M")</f>
        <v>M</v>
      </c>
      <c r="AG64" s="112"/>
      <c r="AH64" s="112"/>
      <c r="AI64" s="344" t="e">
        <f t="array" aca="1" ref="AI64" ca="1">(SMALL(IF(ISERROR(MATCH($AJ$3+ROW(OFFSET($A$3, 0,0, $AJ$4-$AJ$3+1))-2, $A$3:$A713,0)), $AJ$3+ROW(OFFSET($A$2,0, 0, $AJ$4-$AJ$3+1))-1), ROW(A63)))</f>
        <v>#NUM!</v>
      </c>
      <c r="AJ64" s="336">
        <f>Helpers!AY100</f>
        <v>0</v>
      </c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/>
      <c r="AV64"/>
      <c r="AW64" t="s">
        <v>2325</v>
      </c>
      <c r="AX64" s="56" t="s">
        <v>2478</v>
      </c>
      <c r="AY64" t="s">
        <v>2277</v>
      </c>
      <c r="AZ64" s="56" t="s">
        <v>2537</v>
      </c>
      <c r="BA64" s="56"/>
    </row>
    <row r="65" spans="1:53" ht="13.5" thickBot="1">
      <c r="A65" s="111">
        <v>63</v>
      </c>
      <c r="B65" s="335" t="str">
        <f t="shared" si="11"/>
        <v>Joshua Baptie</v>
      </c>
      <c r="C65" s="116" t="s">
        <v>641</v>
      </c>
      <c r="D65" s="116" t="s">
        <v>1455</v>
      </c>
      <c r="E65"/>
      <c r="F65" s="336" t="str">
        <f>IF(SUM(COUNTIF(H65,{"*Girl*","*Women*","*Woman*","*Female*","*Wo*","*Fe*","*F*"})),"F","M")</f>
        <v>M</v>
      </c>
      <c r="G65" s="337" t="str">
        <f>IFERROR(IF(ISNUMBER(SEARCH("*",N65)),N65&amp;" "&amp;F65,IF(F65="M",LOOKUP(J65,AgeCategories!$A$3:$D$13),LOOKUP(J65,AgeCategories!$A$14:$D$24))),"Invalid Age")</f>
        <v>Lite M</v>
      </c>
      <c r="H65" s="175" t="s">
        <v>209</v>
      </c>
      <c r="I65" s="338">
        <f t="shared" si="12"/>
        <v>33944</v>
      </c>
      <c r="J65" s="340">
        <f>IFERROR(DATEDIF($I65,Helpers!$O$2,"y"),"ID No. needed")</f>
        <v>30</v>
      </c>
      <c r="K65"/>
      <c r="L65" s="300" t="s">
        <v>2708</v>
      </c>
      <c r="M65" s="356" t="s">
        <v>1823</v>
      </c>
      <c r="N65" s="341" t="s">
        <v>2601</v>
      </c>
      <c r="O65" s="308" t="b">
        <v>1</v>
      </c>
      <c r="P65" s="192" t="b">
        <f>NOT(ISNA(VLOOKUP(A65,SortedDownload!A:A,1,FALSE)))</f>
        <v>1</v>
      </c>
      <c r="Q65" s="373" t="s">
        <v>2601</v>
      </c>
      <c r="R65" s="309"/>
      <c r="S65" s="235"/>
      <c r="T65" s="235"/>
      <c r="U65" s="309" t="s">
        <v>2082</v>
      </c>
      <c r="V65" s="337" t="str">
        <f t="shared" si="13"/>
        <v>-</v>
      </c>
      <c r="W65" s="348" t="str">
        <f t="shared" si="14"/>
        <v>Joshua Baptie</v>
      </c>
      <c r="X65" s="337" t="str">
        <f t="shared" si="15"/>
        <v>Joshua</v>
      </c>
      <c r="Y65" s="337" t="str">
        <f t="shared" si="16"/>
        <v>Baptie</v>
      </c>
      <c r="Z65" s="337" t="str">
        <f t="shared" si="17"/>
        <v>J.Baptie</v>
      </c>
      <c r="AA65" s="349" t="str">
        <f t="shared" si="7"/>
        <v/>
      </c>
      <c r="AB65" s="349" t="str">
        <f t="shared" si="8"/>
        <v/>
      </c>
      <c r="AC65" s="337" t="str">
        <f>IFERROR(IF(ISNUMBER(SEARCH("*",N65)),N65&amp;" "&amp;F65,IF(F65="M",LOOKUP(J65,AgeCategories!$A$3:$F$11),LOOKUP(J65,AgeCategories!$A$14:$F$22))),"")</f>
        <v>Lite M</v>
      </c>
      <c r="AD65" s="350">
        <f t="shared" si="18"/>
        <v>33944</v>
      </c>
      <c r="AE65" s="337">
        <f t="shared" si="19"/>
        <v>30</v>
      </c>
      <c r="AF65" s="337" t="str">
        <f>IF(SUM(COUNTIF(H65,{"*Girl*","*Women*","*Woman*","*Female*","*Wo*","*Fe*","*F*"})),"F","M")</f>
        <v>M</v>
      </c>
      <c r="AG65" s="112"/>
      <c r="AH65" s="112"/>
      <c r="AI65" s="344" t="e">
        <f t="array" aca="1" ref="AI65" ca="1">(SMALL(IF(ISERROR(MATCH($AJ$3+ROW(OFFSET($A$3, 0,0, $AJ$4-$AJ$3+1))-2, $A$3:$A714,0)), $AJ$3+ROW(OFFSET($A$2,0, 0, $AJ$4-$AJ$3+1))-1), ROW(A64)))</f>
        <v>#NUM!</v>
      </c>
      <c r="AJ65" s="336">
        <f>Helpers!AY99</f>
        <v>0</v>
      </c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/>
      <c r="AV65"/>
      <c r="AW65" t="s">
        <v>2326</v>
      </c>
      <c r="AX65" s="56" t="s">
        <v>2496</v>
      </c>
      <c r="AY65" t="s">
        <v>2561</v>
      </c>
      <c r="AZ65" s="56" t="s">
        <v>2537</v>
      </c>
      <c r="BA65" s="56"/>
    </row>
    <row r="66" spans="1:53" ht="13.5" thickBot="1">
      <c r="A66" s="111">
        <v>64</v>
      </c>
      <c r="B66" s="335" t="str">
        <f t="shared" ref="B66:B97" si="20">PROPER($C66&amp;" "&amp;$D66)</f>
        <v>Samantha Sharp</v>
      </c>
      <c r="C66" s="116" t="s">
        <v>1456</v>
      </c>
      <c r="D66" s="116" t="s">
        <v>1457</v>
      </c>
      <c r="E66"/>
      <c r="F66" s="336" t="str">
        <f>IF(SUM(COUNTIF(H66,{"*Girl*","*Women*","*Woman*","*Female*","*Wo*","*Fe*","*F*"})),"F","M")</f>
        <v>F</v>
      </c>
      <c r="G66" s="337" t="str">
        <f>IFERROR(IF(ISNUMBER(SEARCH("*",N66)),N66&amp;" "&amp;F66,IF(F66="M",LOOKUP(J66,AgeCategories!$A$3:$D$13),LOOKUP(J66,AgeCategories!$A$14:$D$24))),"Invalid Age")</f>
        <v>Lite F</v>
      </c>
      <c r="H66" s="175" t="s">
        <v>210</v>
      </c>
      <c r="I66" s="338">
        <f t="shared" ref="I66:I97" si="21">IFERROR(--TEXT(IF((--LEFT($M66,2))&lt;30,"20","19")&amp;LEFT($M66,6),"0000\-00\-00"),"ID No. needed")</f>
        <v>33627</v>
      </c>
      <c r="J66" s="340">
        <f>IFERROR(DATEDIF($I66,Helpers!$O$2,"y"),"ID No. needed")</f>
        <v>30</v>
      </c>
      <c r="K66"/>
      <c r="L66" s="300" t="s">
        <v>2709</v>
      </c>
      <c r="M66" s="353" t="s">
        <v>1824</v>
      </c>
      <c r="N66" s="341" t="s">
        <v>2601</v>
      </c>
      <c r="O66" s="308" t="b">
        <v>1</v>
      </c>
      <c r="P66" s="192" t="b">
        <f>NOT(ISNA(VLOOKUP(A66,SortedDownload!A:A,1,FALSE)))</f>
        <v>1</v>
      </c>
      <c r="Q66" s="373" t="s">
        <v>2601</v>
      </c>
      <c r="R66"/>
      <c r="S66" s="235"/>
      <c r="T66" s="235"/>
      <c r="U66" t="s">
        <v>2083</v>
      </c>
      <c r="V66" s="337" t="str">
        <f t="shared" ref="V66:V97" si="22">IF(K66="", "-", K66)</f>
        <v>-</v>
      </c>
      <c r="W66" s="348" t="str">
        <f t="shared" ref="W66:W97" si="23">B66</f>
        <v>Samantha Sharp</v>
      </c>
      <c r="X66" s="337" t="str">
        <f t="shared" ref="X66:X97" si="24">LEFT($W66, SEARCH(" ", $W66) - 1)</f>
        <v>Samantha</v>
      </c>
      <c r="Y66" s="337" t="str">
        <f t="shared" ref="Y66:Y97" si="25">RIGHT($W66, LEN($W66) - SEARCH(" ", $W66))</f>
        <v>Sharp</v>
      </c>
      <c r="Z66" s="337" t="str">
        <f t="shared" ref="Z66:Z97" si="26">CONCATENATE(LEFT($X66,1),".",$Y66)</f>
        <v>S.Sharp</v>
      </c>
      <c r="AA66" s="349" t="str">
        <f t="shared" si="7"/>
        <v/>
      </c>
      <c r="AB66" s="349" t="str">
        <f t="shared" si="8"/>
        <v/>
      </c>
      <c r="AC66" s="337" t="str">
        <f>IFERROR(IF(ISNUMBER(SEARCH("*",N66)),N66&amp;" "&amp;F66,IF(F66="M",LOOKUP(J66,AgeCategories!$A$3:$F$11),LOOKUP(J66,AgeCategories!$A$14:$F$22))),"")</f>
        <v>Lite F</v>
      </c>
      <c r="AD66" s="350">
        <f t="shared" ref="AD66:AD97" si="27">--TEXT(IF((--LEFT($M66,2))&lt;30,"20","19")&amp;LEFT($M66,6),"0000\-00\-00")</f>
        <v>33627</v>
      </c>
      <c r="AE66" s="337">
        <f t="shared" ref="AE66:AE97" si="28">DATEDIF($I66,$V$1,"y")</f>
        <v>30</v>
      </c>
      <c r="AF66" s="337" t="str">
        <f>IF(SUM(COUNTIF(H66,{"*Girl*","*Women*","*Woman*","*Female*","*Wo*","*Fe*","*F*"})),"F","M")</f>
        <v>F</v>
      </c>
      <c r="AG66" s="112"/>
      <c r="AH66" s="112"/>
      <c r="AI66" s="344" t="e">
        <f t="array" aca="1" ref="AI66" ca="1">(SMALL(IF(ISERROR(MATCH($AJ$3+ROW(OFFSET($A$3, 0,0, $AJ$4-$AJ$3+1))-2, $A$3:$A715,0)), $AJ$3+ROW(OFFSET($A$2,0, 0, $AJ$4-$AJ$3+1))-1), ROW(A65)))</f>
        <v>#NUM!</v>
      </c>
      <c r="AJ66" s="336">
        <f>Helpers!AY98</f>
        <v>0</v>
      </c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/>
      <c r="AV66"/>
      <c r="AW66"/>
      <c r="AX66" s="56"/>
      <c r="AY66"/>
      <c r="AZ66" s="56" t="s">
        <v>2537</v>
      </c>
      <c r="BA66" s="56"/>
    </row>
    <row r="67" spans="1:53" ht="13.5" customHeight="1" thickBot="1">
      <c r="A67" s="111">
        <v>65</v>
      </c>
      <c r="B67" s="335" t="str">
        <f t="shared" si="20"/>
        <v>Matt Nicholson</v>
      </c>
      <c r="C67" s="116" t="s">
        <v>1458</v>
      </c>
      <c r="D67" s="116" t="s">
        <v>1459</v>
      </c>
      <c r="E67"/>
      <c r="F67" s="336" t="str">
        <f>IF(SUM(COUNTIF(H67,{"*Girl*","*Women*","*Woman*","*Female*","*Wo*","*Fe*","*F*"})),"F","M")</f>
        <v>M</v>
      </c>
      <c r="G67" s="337" t="str">
        <f>IFERROR(IF(ISNUMBER(SEARCH("*",N67)),N67&amp;" "&amp;F67,IF(F67="M",LOOKUP(J67,AgeCategories!$A$3:$D$13),LOOKUP(J67,AgeCategories!$A$14:$D$24))),"Invalid Age")</f>
        <v>E-Bike Lite M</v>
      </c>
      <c r="H67" s="175" t="s">
        <v>209</v>
      </c>
      <c r="I67" s="338">
        <f t="shared" si="21"/>
        <v>30126</v>
      </c>
      <c r="J67" s="340">
        <f>IFERROR(DATEDIF($I67,Helpers!$O$2,"y"),"ID No. needed")</f>
        <v>40</v>
      </c>
      <c r="K67"/>
      <c r="L67" s="300">
        <v>832605250</v>
      </c>
      <c r="M67" s="353" t="s">
        <v>1825</v>
      </c>
      <c r="N67" s="342" t="s">
        <v>598</v>
      </c>
      <c r="O67" s="308" t="b">
        <v>1</v>
      </c>
      <c r="P67" s="192" t="b">
        <f>NOT(ISNA(VLOOKUP(A67,SortedDownload!A:A,1,FALSE)))</f>
        <v>1</v>
      </c>
      <c r="Q67" s="373" t="s">
        <v>2727</v>
      </c>
      <c r="R67"/>
      <c r="S67" s="235"/>
      <c r="T67" s="235"/>
      <c r="U67" t="s">
        <v>2084</v>
      </c>
      <c r="V67" s="337" t="str">
        <f t="shared" si="22"/>
        <v>-</v>
      </c>
      <c r="W67" s="348" t="str">
        <f t="shared" si="23"/>
        <v>Matt Nicholson</v>
      </c>
      <c r="X67" s="337" t="str">
        <f t="shared" si="24"/>
        <v>Matt</v>
      </c>
      <c r="Y67" s="337" t="str">
        <f t="shared" si="25"/>
        <v>Nicholson</v>
      </c>
      <c r="Z67" s="337" t="str">
        <f t="shared" si="26"/>
        <v>M.Nicholson</v>
      </c>
      <c r="AA67" s="349" t="str">
        <f t="shared" ref="AA67:AA130" si="29">IF(COUNTIF($B$3:$B$291, $B67)&gt;1, "Duplicate", "")</f>
        <v/>
      </c>
      <c r="AB67" s="349" t="str">
        <f t="shared" ref="AB67:AB130" si="30">IF( COUNTIF($A$3:$A$291,$A67)&gt;1, "Duplicate", "")</f>
        <v/>
      </c>
      <c r="AC67" s="337" t="str">
        <f>IFERROR(IF(ISNUMBER(SEARCH("*",N67)),N67&amp;" "&amp;F67,IF(F67="M",LOOKUP(J67,AgeCategories!$A$3:$F$11),LOOKUP(J67,AgeCategories!$A$14:$F$22))),"")</f>
        <v>E-Bike Lite M</v>
      </c>
      <c r="AD67" s="350">
        <f t="shared" si="27"/>
        <v>30126</v>
      </c>
      <c r="AE67" s="337">
        <f t="shared" si="28"/>
        <v>40</v>
      </c>
      <c r="AF67" s="337" t="str">
        <f>IF(SUM(COUNTIF(H67,{"*Girl*","*Women*","*Woman*","*Female*","*Wo*","*Fe*","*F*"})),"F","M")</f>
        <v>M</v>
      </c>
      <c r="AG67" s="112"/>
      <c r="AH67" s="112"/>
      <c r="AI67" s="344" t="e">
        <f t="array" aca="1" ref="AI67" ca="1">(SMALL(IF(ISERROR(MATCH($AJ$3+ROW(OFFSET($A$3, 0,0, $AJ$4-$AJ$3+1))-2, $A$3:$A716,0)), $AJ$3+ROW(OFFSET($A$2,0, 0, $AJ$4-$AJ$3+1))-1), ROW(A66)))</f>
        <v>#NUM!</v>
      </c>
      <c r="AJ67" s="336">
        <f>Helpers!AY97</f>
        <v>0</v>
      </c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/>
      <c r="AV67"/>
      <c r="AW67" t="s">
        <v>2327</v>
      </c>
      <c r="AX67" s="56" t="s">
        <v>2481</v>
      </c>
      <c r="AY67"/>
      <c r="AZ67" s="56" t="s">
        <v>2538</v>
      </c>
      <c r="BA67" s="56"/>
    </row>
    <row r="68" spans="1:53" ht="13.5" customHeight="1" thickBot="1">
      <c r="A68" s="111">
        <v>66</v>
      </c>
      <c r="B68" s="335" t="str">
        <f t="shared" si="20"/>
        <v>Neo Dekker</v>
      </c>
      <c r="C68" s="301" t="s">
        <v>1460</v>
      </c>
      <c r="D68" s="301" t="s">
        <v>1461</v>
      </c>
      <c r="E68"/>
      <c r="F68" s="336" t="str">
        <f>IF(SUM(COUNTIF(H68,{"*Girl*","*Women*","*Woman*","*Female*","*Wo*","*Fe*","*F*"})),"F","M")</f>
        <v>M</v>
      </c>
      <c r="G68" s="337" t="str">
        <f>IFERROR(IF(ISNUMBER(SEARCH("*",N68)),N68&amp;" "&amp;F68,IF(F68="M",LOOKUP(J68,AgeCategories!$A$3:$D$13),LOOKUP(J68,AgeCategories!$A$14:$D$24))),"Invalid Age")</f>
        <v>Junior Men</v>
      </c>
      <c r="H68" s="302" t="s">
        <v>209</v>
      </c>
      <c r="I68" s="338">
        <f t="shared" si="21"/>
        <v>38126</v>
      </c>
      <c r="J68" s="340">
        <f>IFERROR(DATEDIF($I68,Helpers!$O$2,"y"),"ID No. needed")</f>
        <v>18</v>
      </c>
      <c r="K68"/>
      <c r="L68" s="300" t="s">
        <v>2710</v>
      </c>
      <c r="M68" s="353" t="s">
        <v>1826</v>
      </c>
      <c r="N68" s="342"/>
      <c r="O68" s="308" t="b">
        <v>1</v>
      </c>
      <c r="P68" s="192" t="b">
        <f>NOT(ISNA(VLOOKUP(A68,SortedDownload!A:A,1,FALSE)))</f>
        <v>1</v>
      </c>
      <c r="Q68" s="373" t="s">
        <v>2728</v>
      </c>
      <c r="R68"/>
      <c r="S68" s="235"/>
      <c r="T68" s="235"/>
      <c r="U68" t="s">
        <v>2085</v>
      </c>
      <c r="V68" s="337" t="str">
        <f t="shared" si="22"/>
        <v>-</v>
      </c>
      <c r="W68" s="348" t="str">
        <f t="shared" si="23"/>
        <v>Neo Dekker</v>
      </c>
      <c r="X68" s="337" t="str">
        <f t="shared" si="24"/>
        <v>Neo</v>
      </c>
      <c r="Y68" s="337" t="str">
        <f t="shared" si="25"/>
        <v>Dekker</v>
      </c>
      <c r="Z68" s="337" t="str">
        <f t="shared" si="26"/>
        <v>N.Dekker</v>
      </c>
      <c r="AA68" s="349" t="str">
        <f t="shared" si="29"/>
        <v/>
      </c>
      <c r="AB68" s="349" t="str">
        <f t="shared" si="30"/>
        <v/>
      </c>
      <c r="AC68" s="337" t="str">
        <f>IFERROR(IF(ISNUMBER(SEARCH("*",N68)),N68&amp;" "&amp;F68,IF(F68="M",LOOKUP(J68,AgeCategories!$A$3:$F$11),LOOKUP(J68,AgeCategories!$A$14:$F$22))),"")</f>
        <v>JM</v>
      </c>
      <c r="AD68" s="350">
        <f t="shared" si="27"/>
        <v>38126</v>
      </c>
      <c r="AE68" s="337">
        <f t="shared" si="28"/>
        <v>18</v>
      </c>
      <c r="AF68" s="337" t="str">
        <f>IF(SUM(COUNTIF(H68,{"*Girl*","*Women*","*Woman*","*Female*","*Wo*","*Fe*","*F*"})),"F","M")</f>
        <v>M</v>
      </c>
      <c r="AG68" s="112"/>
      <c r="AH68" s="112"/>
      <c r="AI68" s="344" t="e">
        <f t="array" aca="1" ref="AI68" ca="1">(SMALL(IF(ISERROR(MATCH($AJ$3+ROW(OFFSET($A$3, 0,0, $AJ$4-$AJ$3+1))-2, $A$3:$A717,0)), $AJ$3+ROW(OFFSET($A$2,0, 0, $AJ$4-$AJ$3+1))-1), ROW(A67)))</f>
        <v>#NUM!</v>
      </c>
      <c r="AJ68" s="336">
        <f>Helpers!AY96</f>
        <v>0</v>
      </c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/>
      <c r="AV68"/>
      <c r="AW68"/>
      <c r="AX68" s="56"/>
      <c r="AY68"/>
      <c r="AZ68" s="56" t="s">
        <v>2537</v>
      </c>
      <c r="BA68" s="56"/>
    </row>
    <row r="69" spans="1:53" ht="13.5" thickBot="1">
      <c r="A69" s="111">
        <v>67</v>
      </c>
      <c r="B69" s="335" t="str">
        <f t="shared" si="20"/>
        <v>Ebrahiem Van Der Schyff</v>
      </c>
      <c r="C69" s="116" t="s">
        <v>1462</v>
      </c>
      <c r="D69" s="116" t="s">
        <v>1463</v>
      </c>
      <c r="E69"/>
      <c r="F69" s="336" t="str">
        <f>IF(SUM(COUNTIF(H69,{"*Girl*","*Women*","*Woman*","*Female*","*Wo*","*Fe*","*F*"})),"F","M")</f>
        <v>M</v>
      </c>
      <c r="G69" s="337" t="str">
        <f>IFERROR(IF(ISNUMBER(SEARCH("*",N69)),N69&amp;" "&amp;F69,IF(F69="M",LOOKUP(J69,AgeCategories!$A$3:$D$13),LOOKUP(J69,AgeCategories!$A$14:$D$24))),"Invalid Age")</f>
        <v>Lite M</v>
      </c>
      <c r="H69" s="175" t="s">
        <v>209</v>
      </c>
      <c r="I69" s="338">
        <f t="shared" si="21"/>
        <v>26148</v>
      </c>
      <c r="J69" s="340">
        <f>IFERROR(DATEDIF($I69,Helpers!$O$2,"y"),"ID No. needed")</f>
        <v>51</v>
      </c>
      <c r="K69"/>
      <c r="L69" s="300" t="s">
        <v>2711</v>
      </c>
      <c r="M69" s="353" t="s">
        <v>1827</v>
      </c>
      <c r="N69" s="341" t="s">
        <v>2601</v>
      </c>
      <c r="O69" s="308" t="b">
        <v>1</v>
      </c>
      <c r="P69" s="192" t="b">
        <f>NOT(ISNA(VLOOKUP(A69,SortedDownload!A:A,1,FALSE)))</f>
        <v>1</v>
      </c>
      <c r="Q69" s="373" t="s">
        <v>2601</v>
      </c>
      <c r="R69"/>
      <c r="S69" s="235"/>
      <c r="T69" s="235"/>
      <c r="U69" t="s">
        <v>2086</v>
      </c>
      <c r="V69" s="337" t="str">
        <f t="shared" si="22"/>
        <v>-</v>
      </c>
      <c r="W69" s="348" t="str">
        <f t="shared" si="23"/>
        <v>Ebrahiem Van Der Schyff</v>
      </c>
      <c r="X69" s="337" t="str">
        <f t="shared" si="24"/>
        <v>Ebrahiem</v>
      </c>
      <c r="Y69" s="337" t="str">
        <f t="shared" si="25"/>
        <v>Van Der Schyff</v>
      </c>
      <c r="Z69" s="337" t="str">
        <f t="shared" si="26"/>
        <v>E.Van Der Schyff</v>
      </c>
      <c r="AA69" s="349" t="str">
        <f t="shared" si="29"/>
        <v/>
      </c>
      <c r="AB69" s="349" t="str">
        <f t="shared" si="30"/>
        <v/>
      </c>
      <c r="AC69" s="337" t="str">
        <f>IFERROR(IF(ISNUMBER(SEARCH("*",N69)),N69&amp;" "&amp;F69,IF(F69="M",LOOKUP(J69,AgeCategories!$A$3:$F$11),LOOKUP(J69,AgeCategories!$A$14:$F$22))),"")</f>
        <v>Lite M</v>
      </c>
      <c r="AD69" s="350">
        <f t="shared" si="27"/>
        <v>26148</v>
      </c>
      <c r="AE69" s="337">
        <f t="shared" si="28"/>
        <v>51</v>
      </c>
      <c r="AF69" s="337" t="str">
        <f>IF(SUM(COUNTIF(H69,{"*Girl*","*Women*","*Woman*","*Female*","*Wo*","*Fe*","*F*"})),"F","M")</f>
        <v>M</v>
      </c>
      <c r="AG69" s="112"/>
      <c r="AH69" s="112"/>
      <c r="AI69" s="344" t="e">
        <f t="array" aca="1" ref="AI69" ca="1">(SMALL(IF(ISERROR(MATCH($AJ$3+ROW(OFFSET($A$3, 0,0, $AJ$4-$AJ$3+1))-2, $A$3:$A718,0)), $AJ$3+ROW(OFFSET($A$2,0, 0, $AJ$4-$AJ$3+1))-1), ROW(A68)))</f>
        <v>#NUM!</v>
      </c>
      <c r="AJ69" s="336">
        <f>Helpers!AY95</f>
        <v>0</v>
      </c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/>
      <c r="AV69"/>
      <c r="AW69" t="s">
        <v>2328</v>
      </c>
      <c r="AX69" s="56" t="s">
        <v>2497</v>
      </c>
      <c r="AY69"/>
      <c r="AZ69" s="56" t="s">
        <v>2537</v>
      </c>
      <c r="BA69" s="56"/>
    </row>
    <row r="70" spans="1:53" ht="13.5" customHeight="1" thickBot="1">
      <c r="A70" s="111">
        <v>68</v>
      </c>
      <c r="B70" s="335" t="str">
        <f t="shared" si="20"/>
        <v>Liam Coetzee</v>
      </c>
      <c r="C70" s="116" t="s">
        <v>659</v>
      </c>
      <c r="D70" s="116" t="s">
        <v>635</v>
      </c>
      <c r="E70"/>
      <c r="F70" s="336" t="str">
        <f>IF(SUM(COUNTIF(H70,{"*Girl*","*Women*","*Woman*","*Female*","*Wo*","*Fe*","*F*"})),"F","M")</f>
        <v>M</v>
      </c>
      <c r="G70" s="337" t="str">
        <f>IFERROR(IF(ISNUMBER(SEARCH("*",N70)),N70&amp;" "&amp;F70,IF(F70="M",LOOKUP(J70,AgeCategories!$A$3:$D$13),LOOKUP(J70,AgeCategories!$A$14:$D$24))),"Invalid Age")</f>
        <v>Youth Men</v>
      </c>
      <c r="H70" s="175" t="s">
        <v>209</v>
      </c>
      <c r="I70" s="338">
        <f t="shared" si="21"/>
        <v>38905</v>
      </c>
      <c r="J70" s="340">
        <f>IFERROR(DATEDIF($I70,Helpers!$O$2,"y"),"ID No. needed")</f>
        <v>16</v>
      </c>
      <c r="K70"/>
      <c r="L70" s="300" t="s">
        <v>2712</v>
      </c>
      <c r="M70" s="372" t="s">
        <v>2608</v>
      </c>
      <c r="N70" s="342"/>
      <c r="O70" s="308" t="b">
        <v>1</v>
      </c>
      <c r="P70" s="192" t="b">
        <f>NOT(ISNA(VLOOKUP(A70,SortedDownload!A:A,1,FALSE)))</f>
        <v>1</v>
      </c>
      <c r="Q70" s="373" t="s">
        <v>2631</v>
      </c>
      <c r="R70"/>
      <c r="S70" s="235"/>
      <c r="T70" s="235"/>
      <c r="U70" t="s">
        <v>2087</v>
      </c>
      <c r="V70" s="337" t="str">
        <f t="shared" si="22"/>
        <v>-</v>
      </c>
      <c r="W70" s="348" t="str">
        <f t="shared" si="23"/>
        <v>Liam Coetzee</v>
      </c>
      <c r="X70" s="337" t="str">
        <f t="shared" si="24"/>
        <v>Liam</v>
      </c>
      <c r="Y70" s="337" t="str">
        <f t="shared" si="25"/>
        <v>Coetzee</v>
      </c>
      <c r="Z70" s="337" t="str">
        <f t="shared" si="26"/>
        <v>L.Coetzee</v>
      </c>
      <c r="AA70" s="349" t="str">
        <f t="shared" si="29"/>
        <v/>
      </c>
      <c r="AB70" s="349" t="str">
        <f t="shared" si="30"/>
        <v/>
      </c>
      <c r="AC70" s="337" t="str">
        <f>IFERROR(IF(ISNUMBER(SEARCH("*",N70)),N70&amp;" "&amp;F70,IF(F70="M",LOOKUP(J70,AgeCategories!$A$3:$F$11),LOOKUP(J70,AgeCategories!$A$14:$F$22))),"")</f>
        <v>YM</v>
      </c>
      <c r="AD70" s="350">
        <f t="shared" si="27"/>
        <v>38905</v>
      </c>
      <c r="AE70" s="337">
        <f t="shared" si="28"/>
        <v>16</v>
      </c>
      <c r="AF70" s="337" t="str">
        <f>IF(SUM(COUNTIF(H70,{"*Girl*","*Women*","*Woman*","*Female*","*Wo*","*Fe*","*F*"})),"F","M")</f>
        <v>M</v>
      </c>
      <c r="AG70" s="112"/>
      <c r="AH70" s="112"/>
      <c r="AI70" s="344" t="e">
        <f t="array" aca="1" ref="AI70" ca="1">(SMALL(IF(ISERROR(MATCH($AJ$3+ROW(OFFSET($A$3, 0,0, $AJ$4-$AJ$3+1))-2, $A$3:$A719,0)), $AJ$3+ROW(OFFSET($A$2,0, 0, $AJ$4-$AJ$3+1))-1), ROW(A69)))</f>
        <v>#NUM!</v>
      </c>
      <c r="AJ70" s="336">
        <f>Helpers!AY94</f>
        <v>0</v>
      </c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/>
      <c r="AV70"/>
      <c r="AW70" t="s">
        <v>2329</v>
      </c>
      <c r="AX70" s="56" t="s">
        <v>2498</v>
      </c>
      <c r="AY70" t="s">
        <v>2548</v>
      </c>
      <c r="AZ70" s="56" t="s">
        <v>2537</v>
      </c>
      <c r="BA70" s="56" t="s">
        <v>2548</v>
      </c>
    </row>
    <row r="71" spans="1:53" ht="13.5" thickBot="1">
      <c r="A71" s="111">
        <v>278</v>
      </c>
      <c r="B71" s="335" t="str">
        <f t="shared" si="20"/>
        <v>Thomas Dawson</v>
      </c>
      <c r="C71" s="301" t="s">
        <v>1464</v>
      </c>
      <c r="D71" s="301" t="s">
        <v>1465</v>
      </c>
      <c r="E71"/>
      <c r="F71" s="336" t="str">
        <f>IF(SUM(COUNTIF(H71,{"*Girl*","*Women*","*Woman*","*Female*","*Wo*","*Fe*","*F*"})),"F","M")</f>
        <v>M</v>
      </c>
      <c r="G71" s="337" t="str">
        <f>IFERROR(IF(ISNUMBER(SEARCH("*",N71)),N71&amp;" "&amp;F71,IF(F71="M",LOOKUP(J71,AgeCategories!$A$3:$D$13),LOOKUP(J71,AgeCategories!$A$14:$D$24))),"Invalid Age")</f>
        <v>Lite M</v>
      </c>
      <c r="H71" s="302" t="s">
        <v>209</v>
      </c>
      <c r="I71" s="338">
        <f t="shared" si="21"/>
        <v>37648</v>
      </c>
      <c r="J71" s="340">
        <f>IFERROR(DATEDIF($I71,Helpers!$O$2,"y"),"ID No. needed")</f>
        <v>19</v>
      </c>
      <c r="K71"/>
      <c r="L71" s="300" t="s">
        <v>2713</v>
      </c>
      <c r="M71" s="353" t="s">
        <v>1828</v>
      </c>
      <c r="N71" s="341" t="s">
        <v>2601</v>
      </c>
      <c r="O71" s="308" t="b">
        <v>1</v>
      </c>
      <c r="P71" s="192" t="b">
        <f>NOT(ISNA(VLOOKUP(A71,SortedDownload!A:A,1,FALSE)))</f>
        <v>1</v>
      </c>
      <c r="Q71" s="373" t="s">
        <v>2601</v>
      </c>
      <c r="R71"/>
      <c r="S71" s="235"/>
      <c r="T71" s="235"/>
      <c r="U71" t="s">
        <v>2088</v>
      </c>
      <c r="V71" s="337" t="str">
        <f t="shared" si="22"/>
        <v>-</v>
      </c>
      <c r="W71" s="348" t="str">
        <f t="shared" si="23"/>
        <v>Thomas Dawson</v>
      </c>
      <c r="X71" s="337" t="str">
        <f t="shared" si="24"/>
        <v>Thomas</v>
      </c>
      <c r="Y71" s="337" t="str">
        <f t="shared" si="25"/>
        <v>Dawson</v>
      </c>
      <c r="Z71" s="337" t="str">
        <f t="shared" si="26"/>
        <v>T.Dawson</v>
      </c>
      <c r="AA71" s="349" t="str">
        <f t="shared" si="29"/>
        <v/>
      </c>
      <c r="AB71" s="349" t="str">
        <f t="shared" si="30"/>
        <v/>
      </c>
      <c r="AC71" s="337" t="str">
        <f>IFERROR(IF(ISNUMBER(SEARCH("*",N71)),N71&amp;" "&amp;F71,IF(F71="M",LOOKUP(J71,AgeCategories!$A$3:$F$11),LOOKUP(J71,AgeCategories!$A$14:$F$22))),"")</f>
        <v>Lite M</v>
      </c>
      <c r="AD71" s="350">
        <f t="shared" si="27"/>
        <v>37648</v>
      </c>
      <c r="AE71" s="337">
        <f t="shared" si="28"/>
        <v>19</v>
      </c>
      <c r="AF71" s="337" t="str">
        <f>IF(SUM(COUNTIF(H71,{"*Girl*","*Women*","*Woman*","*Female*","*Wo*","*Fe*","*F*"})),"F","M")</f>
        <v>M</v>
      </c>
      <c r="AG71" s="112"/>
      <c r="AH71" s="112"/>
      <c r="AI71" s="344" t="e">
        <f t="array" aca="1" ref="AI71" ca="1">(SMALL(IF(ISERROR(MATCH($AJ$3+ROW(OFFSET($A$3, 0,0, $AJ$4-$AJ$3+1))-2, $A$3:$A720,0)), $AJ$3+ROW(OFFSET($A$2,0, 0, $AJ$4-$AJ$3+1))-1), ROW(A70)))</f>
        <v>#NUM!</v>
      </c>
      <c r="AJ71" s="336">
        <f>Helpers!AY93</f>
        <v>0</v>
      </c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/>
      <c r="AV71"/>
      <c r="AW71" t="s">
        <v>2330</v>
      </c>
      <c r="AX71" s="56" t="s">
        <v>2483</v>
      </c>
      <c r="AY71" t="s">
        <v>2562</v>
      </c>
      <c r="AZ71" s="56" t="s">
        <v>2537</v>
      </c>
      <c r="BA71" s="56"/>
    </row>
    <row r="72" spans="1:53" ht="13.5" thickBot="1">
      <c r="A72" s="111">
        <v>70</v>
      </c>
      <c r="B72" s="335" t="str">
        <f t="shared" si="20"/>
        <v>Adam Dawson</v>
      </c>
      <c r="C72" s="301" t="s">
        <v>1386</v>
      </c>
      <c r="D72" s="301" t="s">
        <v>1466</v>
      </c>
      <c r="E72"/>
      <c r="F72" s="336" t="str">
        <f>IF(SUM(COUNTIF(H72,{"*Girl*","*Women*","*Woman*","*Female*","*Wo*","*Fe*","*F*"})),"F","M")</f>
        <v>M</v>
      </c>
      <c r="G72" s="337" t="str">
        <f>IFERROR(IF(ISNUMBER(SEARCH("*",N72)),N72&amp;" "&amp;F72,IF(F72="M",LOOKUP(J72,AgeCategories!$A$3:$D$13),LOOKUP(J72,AgeCategories!$A$14:$D$24))),"Invalid Age")</f>
        <v>Sub Junior Boys</v>
      </c>
      <c r="H72" s="302" t="s">
        <v>209</v>
      </c>
      <c r="I72" s="338">
        <f t="shared" si="21"/>
        <v>39510</v>
      </c>
      <c r="J72" s="340">
        <f>IFERROR(DATEDIF($I72,Helpers!$O$2,"y"),"ID No. needed")</f>
        <v>14</v>
      </c>
      <c r="K72"/>
      <c r="L72" s="300" t="s">
        <v>2714</v>
      </c>
      <c r="M72" s="353" t="s">
        <v>1829</v>
      </c>
      <c r="N72" s="341"/>
      <c r="O72" s="308" t="b">
        <v>1</v>
      </c>
      <c r="P72" s="192" t="b">
        <f>NOT(ISNA(VLOOKUP(A72,SortedDownload!A:A,1,FALSE)))</f>
        <v>1</v>
      </c>
      <c r="Q72" s="373" t="s">
        <v>2601</v>
      </c>
      <c r="R72"/>
      <c r="S72" s="235"/>
      <c r="T72" s="235"/>
      <c r="U72" t="s">
        <v>2089</v>
      </c>
      <c r="V72" s="337" t="str">
        <f t="shared" si="22"/>
        <v>-</v>
      </c>
      <c r="W72" s="348" t="str">
        <f t="shared" si="23"/>
        <v>Adam Dawson</v>
      </c>
      <c r="X72" s="337" t="str">
        <f t="shared" si="24"/>
        <v>Adam</v>
      </c>
      <c r="Y72" s="337" t="str">
        <f t="shared" si="25"/>
        <v>Dawson</v>
      </c>
      <c r="Z72" s="337" t="str">
        <f t="shared" si="26"/>
        <v>A.Dawson</v>
      </c>
      <c r="AA72" s="349" t="str">
        <f t="shared" si="29"/>
        <v/>
      </c>
      <c r="AB72" s="349" t="str">
        <f t="shared" si="30"/>
        <v/>
      </c>
      <c r="AC72" s="337" t="str">
        <f>IFERROR(IF(ISNUMBER(SEARCH("*",N72)),N72&amp;" "&amp;F72,IF(F72="M",LOOKUP(J72,AgeCategories!$A$3:$F$11),LOOKUP(J72,AgeCategories!$A$14:$F$22))),"")</f>
        <v>JB</v>
      </c>
      <c r="AD72" s="350">
        <f t="shared" si="27"/>
        <v>39510</v>
      </c>
      <c r="AE72" s="337">
        <f t="shared" si="28"/>
        <v>14</v>
      </c>
      <c r="AF72" s="337" t="str">
        <f>IF(SUM(COUNTIF(H72,{"*Girl*","*Women*","*Woman*","*Female*","*Wo*","*Fe*","*F*"})),"F","M")</f>
        <v>M</v>
      </c>
      <c r="AG72" s="112"/>
      <c r="AH72" s="112"/>
      <c r="AI72" s="344" t="e">
        <f t="array" aca="1" ref="AI72" ca="1">(SMALL(IF(ISERROR(MATCH($AJ$3+ROW(OFFSET($A$3, 0,0, $AJ$4-$AJ$3+1))-2, $A$3:$A721,0)), $AJ$3+ROW(OFFSET($A$2,0, 0, $AJ$4-$AJ$3+1))-1), ROW(A71)))</f>
        <v>#NUM!</v>
      </c>
      <c r="AJ72" s="336">
        <f>Helpers!AY92</f>
        <v>0</v>
      </c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/>
      <c r="AV72"/>
      <c r="AW72" t="s">
        <v>2330</v>
      </c>
      <c r="AX72" s="56" t="s">
        <v>2483</v>
      </c>
      <c r="AY72"/>
      <c r="AZ72" s="56" t="s">
        <v>2537</v>
      </c>
      <c r="BA72" s="56"/>
    </row>
    <row r="73" spans="1:53" ht="13.5" thickBot="1">
      <c r="A73" s="111">
        <v>71</v>
      </c>
      <c r="B73" s="335" t="str">
        <f t="shared" si="20"/>
        <v>Marc Dawson</v>
      </c>
      <c r="C73" s="301" t="s">
        <v>1467</v>
      </c>
      <c r="D73" s="301" t="s">
        <v>1465</v>
      </c>
      <c r="E73"/>
      <c r="F73" s="336" t="str">
        <f>IF(SUM(COUNTIF(H73,{"*Girl*","*Women*","*Woman*","*Female*","*Wo*","*Fe*","*F*"})),"F","M")</f>
        <v>M</v>
      </c>
      <c r="G73" s="337" t="str">
        <f>IFERROR(IF(ISNUMBER(SEARCH("*",N73)),N73&amp;" "&amp;F73,IF(F73="M",LOOKUP(J73,AgeCategories!$A$3:$D$13),LOOKUP(J73,AgeCategories!$A$14:$D$24))),"Invalid Age")</f>
        <v>Lite M</v>
      </c>
      <c r="H73" s="302" t="s">
        <v>209</v>
      </c>
      <c r="I73" s="338">
        <f t="shared" si="21"/>
        <v>24739</v>
      </c>
      <c r="J73" s="340">
        <f>IFERROR(DATEDIF($I73,Helpers!$O$2,"y"),"ID No. needed")</f>
        <v>55</v>
      </c>
      <c r="K73"/>
      <c r="L73" s="300" t="s">
        <v>2715</v>
      </c>
      <c r="M73" s="353" t="s">
        <v>1830</v>
      </c>
      <c r="N73" s="341" t="s">
        <v>2601</v>
      </c>
      <c r="O73" s="308" t="b">
        <v>1</v>
      </c>
      <c r="P73" s="192" t="b">
        <f>NOT(ISNA(VLOOKUP(A73,SortedDownload!A:A,1,FALSE)))</f>
        <v>1</v>
      </c>
      <c r="Q73" s="373" t="s">
        <v>2601</v>
      </c>
      <c r="R73" s="309"/>
      <c r="S73" s="235"/>
      <c r="T73" s="235"/>
      <c r="U73" s="309" t="s">
        <v>2088</v>
      </c>
      <c r="V73" s="337" t="str">
        <f t="shared" si="22"/>
        <v>-</v>
      </c>
      <c r="W73" s="348" t="str">
        <f t="shared" si="23"/>
        <v>Marc Dawson</v>
      </c>
      <c r="X73" s="337" t="str">
        <f t="shared" si="24"/>
        <v>Marc</v>
      </c>
      <c r="Y73" s="337" t="str">
        <f t="shared" si="25"/>
        <v>Dawson</v>
      </c>
      <c r="Z73" s="337" t="str">
        <f t="shared" si="26"/>
        <v>M.Dawson</v>
      </c>
      <c r="AA73" s="349" t="str">
        <f t="shared" si="29"/>
        <v/>
      </c>
      <c r="AB73" s="349" t="str">
        <f t="shared" si="30"/>
        <v/>
      </c>
      <c r="AC73" s="337" t="str">
        <f>IFERROR(IF(ISNUMBER(SEARCH("*",N73)),N73&amp;" "&amp;F73,IF(F73="M",LOOKUP(J73,AgeCategories!$A$3:$F$11),LOOKUP(J73,AgeCategories!$A$14:$F$22))),"")</f>
        <v>Lite M</v>
      </c>
      <c r="AD73" s="350">
        <f t="shared" si="27"/>
        <v>24739</v>
      </c>
      <c r="AE73" s="337">
        <f t="shared" si="28"/>
        <v>55</v>
      </c>
      <c r="AF73" s="337" t="str">
        <f>IF(SUM(COUNTIF(H73,{"*Girl*","*Women*","*Woman*","*Female*","*Wo*","*Fe*","*F*"})),"F","M")</f>
        <v>M</v>
      </c>
      <c r="AG73" s="112"/>
      <c r="AH73" s="112"/>
      <c r="AI73" s="344" t="e">
        <f t="array" aca="1" ref="AI73" ca="1">(SMALL(IF(ISERROR(MATCH($AJ$3+ROW(OFFSET($A$3, 0,0, $AJ$4-$AJ$3+1))-2, $A$3:$A722,0)), $AJ$3+ROW(OFFSET($A$2,0, 0, $AJ$4-$AJ$3+1))-1), ROW(A72)))</f>
        <v>#NUM!</v>
      </c>
      <c r="AJ73" s="336">
        <f>Helpers!AY64</f>
        <v>0</v>
      </c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/>
      <c r="AV73"/>
      <c r="AW73" t="s">
        <v>2330</v>
      </c>
      <c r="AX73" s="56" t="s">
        <v>2483</v>
      </c>
      <c r="AY73" t="s">
        <v>2562</v>
      </c>
      <c r="AZ73" s="56" t="s">
        <v>2537</v>
      </c>
      <c r="BA73" s="56"/>
    </row>
    <row r="74" spans="1:53" ht="13.5" thickBot="1">
      <c r="A74" s="111">
        <v>72</v>
      </c>
      <c r="B74" s="335" t="str">
        <f t="shared" si="20"/>
        <v>Romano Simpson</v>
      </c>
      <c r="C74" s="301" t="s">
        <v>1468</v>
      </c>
      <c r="D74" s="301" t="s">
        <v>1469</v>
      </c>
      <c r="E74"/>
      <c r="F74" s="336" t="str">
        <f>IF(SUM(COUNTIF(H74,{"*Girl*","*Women*","*Woman*","*Female*","*Wo*","*Fe*","*F*"})),"F","M")</f>
        <v>M</v>
      </c>
      <c r="G74" s="337" t="str">
        <f>IFERROR(IF(ISNUMBER(SEARCH("*",N74)),N74&amp;" "&amp;F74,IF(F74="M",LOOKUP(J74,AgeCategories!$A$3:$D$13),LOOKUP(J74,AgeCategories!$A$14:$D$24))),"Invalid Age")</f>
        <v>Lite M</v>
      </c>
      <c r="H74" s="302" t="s">
        <v>209</v>
      </c>
      <c r="I74" s="338">
        <f t="shared" si="21"/>
        <v>32321</v>
      </c>
      <c r="J74" s="340">
        <f>IFERROR(DATEDIF($I74,Helpers!$O$2,"y"),"ID No. needed")</f>
        <v>34</v>
      </c>
      <c r="K74"/>
      <c r="L74" s="300" t="s">
        <v>2716</v>
      </c>
      <c r="M74" s="353" t="s">
        <v>1831</v>
      </c>
      <c r="N74" s="341" t="s">
        <v>2601</v>
      </c>
      <c r="O74" s="308" t="b">
        <v>0</v>
      </c>
      <c r="P74" s="192" t="b">
        <f>NOT(ISNA(VLOOKUP(A74,SortedDownload!A:A,1,FALSE)))</f>
        <v>0</v>
      </c>
      <c r="Q74" s="373" t="s">
        <v>2601</v>
      </c>
      <c r="R74" s="309"/>
      <c r="S74" s="235"/>
      <c r="T74" s="235"/>
      <c r="U74" s="309" t="s">
        <v>2090</v>
      </c>
      <c r="V74" s="337" t="str">
        <f t="shared" si="22"/>
        <v>-</v>
      </c>
      <c r="W74" s="348" t="str">
        <f t="shared" si="23"/>
        <v>Romano Simpson</v>
      </c>
      <c r="X74" s="337" t="str">
        <f t="shared" si="24"/>
        <v>Romano</v>
      </c>
      <c r="Y74" s="337" t="str">
        <f t="shared" si="25"/>
        <v>Simpson</v>
      </c>
      <c r="Z74" s="337" t="str">
        <f t="shared" si="26"/>
        <v>R.Simpson</v>
      </c>
      <c r="AA74" s="349" t="str">
        <f t="shared" si="29"/>
        <v/>
      </c>
      <c r="AB74" s="349" t="str">
        <f t="shared" si="30"/>
        <v/>
      </c>
      <c r="AC74" s="337" t="str">
        <f>IFERROR(IF(ISNUMBER(SEARCH("*",N74)),N74&amp;" "&amp;F74,IF(F74="M",LOOKUP(J74,AgeCategories!$A$3:$F$11),LOOKUP(J74,AgeCategories!$A$14:$F$22))),"")</f>
        <v>Lite M</v>
      </c>
      <c r="AD74" s="350">
        <f t="shared" si="27"/>
        <v>32321</v>
      </c>
      <c r="AE74" s="337">
        <f t="shared" si="28"/>
        <v>34</v>
      </c>
      <c r="AF74" s="337" t="str">
        <f>IF(SUM(COUNTIF(H74,{"*Girl*","*Women*","*Woman*","*Female*","*Wo*","*Fe*","*F*"})),"F","M")</f>
        <v>M</v>
      </c>
      <c r="AG74" s="112"/>
      <c r="AH74" s="112"/>
      <c r="AI74" s="344" t="e">
        <f t="array" aca="1" ref="AI74" ca="1">(SMALL(IF(ISERROR(MATCH($AJ$3+ROW(OFFSET($A$3, 0,0, $AJ$4-$AJ$3+1))-2, $A$3:$A723,0)), $AJ$3+ROW(OFFSET($A$2,0, 0, $AJ$4-$AJ$3+1))-1), ROW(A73)))</f>
        <v>#NUM!</v>
      </c>
      <c r="AJ74" s="336">
        <f>Helpers!AY63</f>
        <v>0</v>
      </c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/>
      <c r="AV74"/>
      <c r="AW74" t="s">
        <v>2331</v>
      </c>
      <c r="AX74" s="56" t="s">
        <v>2499</v>
      </c>
      <c r="AY74" t="s">
        <v>2563</v>
      </c>
      <c r="AZ74" s="56" t="s">
        <v>2537</v>
      </c>
      <c r="BA74" s="56"/>
    </row>
    <row r="75" spans="1:53" ht="13.5" customHeight="1" thickBot="1">
      <c r="A75" s="111">
        <v>73</v>
      </c>
      <c r="B75" s="335" t="str">
        <f t="shared" si="20"/>
        <v>Jean-Pierre Whitfield</v>
      </c>
      <c r="C75" s="301" t="s">
        <v>1470</v>
      </c>
      <c r="D75" s="301" t="s">
        <v>1471</v>
      </c>
      <c r="E75"/>
      <c r="F75" s="336" t="str">
        <f>IF(SUM(COUNTIF(H75,{"*Girl*","*Women*","*Woman*","*Female*","*Wo*","*Fe*","*F*"})),"F","M")</f>
        <v>M</v>
      </c>
      <c r="G75" s="337" t="str">
        <f>IFERROR(IF(ISNUMBER(SEARCH("*",N75)),N75&amp;" "&amp;F75,IF(F75="M",LOOKUP(J75,AgeCategories!$A$3:$D$13),LOOKUP(J75,AgeCategories!$A$14:$D$24))),"Invalid Age")</f>
        <v>Elite Men</v>
      </c>
      <c r="H75" s="302" t="s">
        <v>209</v>
      </c>
      <c r="I75" s="338">
        <f t="shared" si="21"/>
        <v>34738</v>
      </c>
      <c r="J75" s="340">
        <f>IFERROR(DATEDIF($I75,Helpers!$O$2,"y"),"ID No. needed")</f>
        <v>27</v>
      </c>
      <c r="K75"/>
      <c r="L75" s="300" t="s">
        <v>2717</v>
      </c>
      <c r="M75" s="353" t="s">
        <v>1832</v>
      </c>
      <c r="N75" s="342"/>
      <c r="O75" s="308" t="b">
        <v>1</v>
      </c>
      <c r="P75" s="192" t="b">
        <f>NOT(ISNA(VLOOKUP(A75,SortedDownload!A:A,1,FALSE)))</f>
        <v>1</v>
      </c>
      <c r="Q75" s="373" t="s">
        <v>2631</v>
      </c>
      <c r="R75"/>
      <c r="S75" s="235"/>
      <c r="T75" s="235"/>
      <c r="U75" t="s">
        <v>2091</v>
      </c>
      <c r="V75" s="337" t="str">
        <f t="shared" si="22"/>
        <v>-</v>
      </c>
      <c r="W75" s="348" t="str">
        <f t="shared" si="23"/>
        <v>Jean-Pierre Whitfield</v>
      </c>
      <c r="X75" s="337" t="str">
        <f t="shared" si="24"/>
        <v>Jean-Pierre</v>
      </c>
      <c r="Y75" s="337" t="str">
        <f t="shared" si="25"/>
        <v>Whitfield</v>
      </c>
      <c r="Z75" s="337" t="str">
        <f t="shared" si="26"/>
        <v>J.Whitfield</v>
      </c>
      <c r="AA75" s="349" t="str">
        <f t="shared" si="29"/>
        <v/>
      </c>
      <c r="AB75" s="349" t="str">
        <f t="shared" si="30"/>
        <v/>
      </c>
      <c r="AC75" s="337" t="str">
        <f>IFERROR(IF(ISNUMBER(SEARCH("*",N75)),N75&amp;" "&amp;F75,IF(F75="M",LOOKUP(J75,AgeCategories!$A$3:$F$11),LOOKUP(J75,AgeCategories!$A$14:$F$22))),"")</f>
        <v>EM</v>
      </c>
      <c r="AD75" s="350">
        <f t="shared" si="27"/>
        <v>34738</v>
      </c>
      <c r="AE75" s="337">
        <f t="shared" si="28"/>
        <v>27</v>
      </c>
      <c r="AF75" s="337" t="str">
        <f>IF(SUM(COUNTIF(H75,{"*Girl*","*Women*","*Woman*","*Female*","*Wo*","*Fe*","*F*"})),"F","M")</f>
        <v>M</v>
      </c>
      <c r="AG75" s="112"/>
      <c r="AH75" s="112"/>
      <c r="AI75" s="344" t="e">
        <f t="array" aca="1" ref="AI75" ca="1">(SMALL(IF(ISERROR(MATCH($AJ$3+ROW(OFFSET($A$3, 0,0, $AJ$4-$AJ$3+1))-2, $A$3:$A724,0)), $AJ$3+ROW(OFFSET($A$2,0, 0, $AJ$4-$AJ$3+1))-1), ROW(A74)))</f>
        <v>#NUM!</v>
      </c>
      <c r="AJ75" s="336">
        <f>Helpers!AY91</f>
        <v>0</v>
      </c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/>
      <c r="AV75"/>
      <c r="AW75"/>
      <c r="AX75" s="56"/>
      <c r="AY75"/>
      <c r="AZ75" s="56" t="s">
        <v>2537</v>
      </c>
      <c r="BA75" s="56"/>
    </row>
    <row r="76" spans="1:53" ht="13.5" customHeight="1" thickBot="1">
      <c r="A76" s="111">
        <v>74</v>
      </c>
      <c r="B76" s="335" t="str">
        <f t="shared" si="20"/>
        <v>Franco Pretorius</v>
      </c>
      <c r="C76" s="301" t="s">
        <v>1472</v>
      </c>
      <c r="D76" s="301" t="s">
        <v>1473</v>
      </c>
      <c r="E76"/>
      <c r="F76" s="336" t="str">
        <f>IF(SUM(COUNTIF(H76,{"*Girl*","*Women*","*Woman*","*Female*","*Wo*","*Fe*","*F*"})),"F","M")</f>
        <v>M</v>
      </c>
      <c r="G76" s="337" t="str">
        <f>IFERROR(IF(ISNUMBER(SEARCH("*",N76)),N76&amp;" "&amp;F76,IF(F76="M",LOOKUP(J76,AgeCategories!$A$3:$D$13),LOOKUP(J76,AgeCategories!$A$14:$D$24))),"Invalid Age")</f>
        <v>Elite Men</v>
      </c>
      <c r="H76" s="302" t="s">
        <v>209</v>
      </c>
      <c r="I76" s="338">
        <f t="shared" si="21"/>
        <v>37034</v>
      </c>
      <c r="J76" s="340">
        <f>IFERROR(DATEDIF($I76,Helpers!$O$2,"y"),"ID No. needed")</f>
        <v>21</v>
      </c>
      <c r="K76"/>
      <c r="L76" s="300" t="s">
        <v>2718</v>
      </c>
      <c r="M76" s="353" t="s">
        <v>1833</v>
      </c>
      <c r="N76" s="342"/>
      <c r="O76" s="308" t="b">
        <v>1</v>
      </c>
      <c r="P76" s="192" t="b">
        <f>NOT(ISNA(VLOOKUP(A76,SortedDownload!A:A,1,FALSE)))</f>
        <v>1</v>
      </c>
      <c r="Q76" s="373" t="s">
        <v>2728</v>
      </c>
      <c r="R76"/>
      <c r="S76" s="235"/>
      <c r="T76" s="235"/>
      <c r="U76" t="s">
        <v>2092</v>
      </c>
      <c r="V76" s="337" t="str">
        <f t="shared" si="22"/>
        <v>-</v>
      </c>
      <c r="W76" s="348" t="str">
        <f t="shared" si="23"/>
        <v>Franco Pretorius</v>
      </c>
      <c r="X76" s="337" t="str">
        <f t="shared" si="24"/>
        <v>Franco</v>
      </c>
      <c r="Y76" s="337" t="str">
        <f t="shared" si="25"/>
        <v>Pretorius</v>
      </c>
      <c r="Z76" s="337" t="str">
        <f t="shared" si="26"/>
        <v>F.Pretorius</v>
      </c>
      <c r="AA76" s="349" t="str">
        <f t="shared" si="29"/>
        <v/>
      </c>
      <c r="AB76" s="349" t="str">
        <f t="shared" si="30"/>
        <v/>
      </c>
      <c r="AC76" s="337" t="str">
        <f>IFERROR(IF(ISNUMBER(SEARCH("*",N76)),N76&amp;" "&amp;F76,IF(F76="M",LOOKUP(J76,AgeCategories!$A$3:$F$11),LOOKUP(J76,AgeCategories!$A$14:$F$22))),"")</f>
        <v>EM</v>
      </c>
      <c r="AD76" s="350">
        <f t="shared" si="27"/>
        <v>37034</v>
      </c>
      <c r="AE76" s="337">
        <f t="shared" si="28"/>
        <v>21</v>
      </c>
      <c r="AF76" s="337" t="str">
        <f>IF(SUM(COUNTIF(H76,{"*Girl*","*Women*","*Woman*","*Female*","*Wo*","*Fe*","*F*"})),"F","M")</f>
        <v>M</v>
      </c>
      <c r="AG76" s="112"/>
      <c r="AH76" s="112"/>
      <c r="AI76" s="344" t="e">
        <f t="array" aca="1" ref="AI76" ca="1">(SMALL(IF(ISERROR(MATCH($AJ$3+ROW(OFFSET($A$3, 0,0, $AJ$4-$AJ$3+1))-2, $A$3:$A725,0)), $AJ$3+ROW(OFFSET($A$2,0, 0, $AJ$4-$AJ$3+1))-1), ROW(A75)))</f>
        <v>#NUM!</v>
      </c>
      <c r="AJ76" s="336">
        <f>Helpers!AY62</f>
        <v>0</v>
      </c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/>
      <c r="AV76"/>
      <c r="AW76"/>
      <c r="AX76" s="56" t="s">
        <v>2495</v>
      </c>
      <c r="AY76"/>
      <c r="AZ76" s="56" t="s">
        <v>2538</v>
      </c>
      <c r="BA76" s="56"/>
    </row>
    <row r="77" spans="1:53" ht="13.5" customHeight="1" thickBot="1">
      <c r="A77" s="111">
        <v>75</v>
      </c>
      <c r="B77" s="335" t="str">
        <f t="shared" si="20"/>
        <v>Michelle George</v>
      </c>
      <c r="C77" s="301" t="s">
        <v>2637</v>
      </c>
      <c r="D77" s="301" t="s">
        <v>2638</v>
      </c>
      <c r="E77"/>
      <c r="F77" s="336" t="s">
        <v>210</v>
      </c>
      <c r="G77" s="337" t="str">
        <f>IFERROR(IF(ISNUMBER(SEARCH("*",N77)),N77&amp;" "&amp;F77,IF(F77="M",LOOKUP(J77,AgeCategories!$A$3:$D$13),LOOKUP(J77,AgeCategories!$A$14:$D$24))),"Invalid Age")</f>
        <v>Lite F</v>
      </c>
      <c r="H77" s="302" t="s">
        <v>209</v>
      </c>
      <c r="I77" s="338">
        <f t="shared" si="21"/>
        <v>29351</v>
      </c>
      <c r="J77" s="340">
        <f>IFERROR(DATEDIF($I77,Helpers!$O$2,"y"),"ID No. needed")</f>
        <v>42</v>
      </c>
      <c r="K77" t="s">
        <v>146</v>
      </c>
      <c r="L77" s="300" t="s">
        <v>146</v>
      </c>
      <c r="M77" s="303" t="s">
        <v>2749</v>
      </c>
      <c r="N77" s="342" t="s">
        <v>2601</v>
      </c>
      <c r="O77" s="308" t="b">
        <v>1</v>
      </c>
      <c r="P77" s="192" t="b">
        <f>NOT(ISNA(VLOOKUP(A77,SortedDownload!A:A,1,FALSE)))</f>
        <v>1</v>
      </c>
      <c r="Q77" s="373" t="s">
        <v>2601</v>
      </c>
      <c r="R77" t="s">
        <v>146</v>
      </c>
      <c r="S77" s="235" t="s">
        <v>146</v>
      </c>
      <c r="T77" s="235" t="s">
        <v>146</v>
      </c>
      <c r="U77" t="s">
        <v>2093</v>
      </c>
      <c r="V77" s="337" t="str">
        <f t="shared" si="22"/>
        <v>-</v>
      </c>
      <c r="W77" s="348" t="str">
        <f t="shared" si="23"/>
        <v>Michelle George</v>
      </c>
      <c r="X77" s="337" t="str">
        <f t="shared" si="24"/>
        <v>Michelle</v>
      </c>
      <c r="Y77" s="337" t="str">
        <f t="shared" si="25"/>
        <v>George</v>
      </c>
      <c r="Z77" s="337" t="str">
        <f t="shared" si="26"/>
        <v>M.George</v>
      </c>
      <c r="AA77" s="349" t="str">
        <f t="shared" si="29"/>
        <v/>
      </c>
      <c r="AB77" s="349" t="str">
        <f t="shared" si="30"/>
        <v/>
      </c>
      <c r="AC77" s="337" t="str">
        <f>IFERROR(IF(ISNUMBER(SEARCH("*",N77)),N77&amp;" "&amp;F77,IF(F77="M",LOOKUP(J77,AgeCategories!$A$3:$F$11),LOOKUP(J77,AgeCategories!$A$14:$F$22))),"")</f>
        <v>Lite F</v>
      </c>
      <c r="AD77" s="350">
        <f t="shared" si="27"/>
        <v>29351</v>
      </c>
      <c r="AE77" s="337">
        <f t="shared" si="28"/>
        <v>42</v>
      </c>
      <c r="AF77" s="337" t="str">
        <f>IF(SUM(COUNTIF(H77,{"*Girl*","*Women*","*Woman*","*Female*","*Wo*","*Fe*","*F*"})),"F","M")</f>
        <v>M</v>
      </c>
      <c r="AG77" s="112"/>
      <c r="AH77" s="112"/>
      <c r="AI77" s="344" t="e">
        <f t="array" aca="1" ref="AI77" ca="1">(SMALL(IF(ISERROR(MATCH($AJ$3+ROW(OFFSET($A$3, 0,0, $AJ$4-$AJ$3+1))-2, $A$3:$A726,0)), $AJ$3+ROW(OFFSET($A$2,0, 0, $AJ$4-$AJ$3+1))-1), ROW(A76)))</f>
        <v>#NUM!</v>
      </c>
      <c r="AJ77" s="336">
        <f>Helpers!AY90</f>
        <v>0</v>
      </c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/>
      <c r="AV77"/>
      <c r="AW77" t="s">
        <v>2332</v>
      </c>
      <c r="AX77" s="56" t="s">
        <v>2500</v>
      </c>
      <c r="AY77" t="s">
        <v>2277</v>
      </c>
      <c r="AZ77" s="56" t="s">
        <v>2537</v>
      </c>
      <c r="BA77" s="56"/>
    </row>
    <row r="78" spans="1:53" ht="13.5" thickBot="1">
      <c r="A78" s="111">
        <v>76</v>
      </c>
      <c r="B78" s="335" t="str">
        <f t="shared" si="20"/>
        <v>Carter Spolander</v>
      </c>
      <c r="C78" s="301" t="s">
        <v>1475</v>
      </c>
      <c r="D78" s="301" t="s">
        <v>1476</v>
      </c>
      <c r="E78"/>
      <c r="F78" s="336" t="str">
        <f>IF(SUM(COUNTIF(H78,{"*Girl*","*Women*","*Woman*","*Female*","*Wo*","*Fe*","*F*"})),"F","M")</f>
        <v>M</v>
      </c>
      <c r="G78" s="337" t="str">
        <f>IFERROR(IF(ISNUMBER(SEARCH("*",N78)),N78&amp;" "&amp;F78,IF(F78="M",LOOKUP(J78,AgeCategories!$A$3:$D$13),LOOKUP(J78,AgeCategories!$A$14:$D$24))),"Invalid Age")</f>
        <v>Sub Junior Boys</v>
      </c>
      <c r="H78" s="302" t="s">
        <v>209</v>
      </c>
      <c r="I78" s="338">
        <f t="shared" si="21"/>
        <v>39543</v>
      </c>
      <c r="J78" s="340">
        <f>IFERROR(DATEDIF($I78,Helpers!$O$2,"y"),"ID No. needed")</f>
        <v>14</v>
      </c>
      <c r="K78"/>
      <c r="L78" s="300" t="s">
        <v>2719</v>
      </c>
      <c r="M78" s="355" t="s">
        <v>1835</v>
      </c>
      <c r="N78" s="341"/>
      <c r="O78" s="308" t="b">
        <v>1</v>
      </c>
      <c r="P78" s="192" t="b">
        <f>NOT(ISNA(VLOOKUP(A78,SortedDownload!A:A,1,FALSE)))</f>
        <v>1</v>
      </c>
      <c r="Q78" s="373" t="s">
        <v>2601</v>
      </c>
      <c r="R78" s="309"/>
      <c r="S78" s="235"/>
      <c r="T78" s="235"/>
      <c r="U78" s="309" t="s">
        <v>2094</v>
      </c>
      <c r="V78" s="337" t="str">
        <f t="shared" si="22"/>
        <v>-</v>
      </c>
      <c r="W78" s="348" t="str">
        <f t="shared" si="23"/>
        <v>Carter Spolander</v>
      </c>
      <c r="X78" s="337" t="str">
        <f t="shared" si="24"/>
        <v>Carter</v>
      </c>
      <c r="Y78" s="337" t="str">
        <f t="shared" si="25"/>
        <v>Spolander</v>
      </c>
      <c r="Z78" s="337" t="str">
        <f t="shared" si="26"/>
        <v>C.Spolander</v>
      </c>
      <c r="AA78" s="349" t="str">
        <f t="shared" si="29"/>
        <v/>
      </c>
      <c r="AB78" s="349" t="str">
        <f t="shared" si="30"/>
        <v/>
      </c>
      <c r="AC78" s="337" t="str">
        <f>IFERROR(IF(ISNUMBER(SEARCH("*",N78)),N78&amp;" "&amp;F78,IF(F78="M",LOOKUP(J78,AgeCategories!$A$3:$F$11),LOOKUP(J78,AgeCategories!$A$14:$F$22))),"")</f>
        <v>JB</v>
      </c>
      <c r="AD78" s="350">
        <f t="shared" si="27"/>
        <v>39543</v>
      </c>
      <c r="AE78" s="337">
        <f t="shared" si="28"/>
        <v>14</v>
      </c>
      <c r="AF78" s="337" t="str">
        <f>IF(SUM(COUNTIF(H78,{"*Girl*","*Women*","*Woman*","*Female*","*Wo*","*Fe*","*F*"})),"F","M")</f>
        <v>M</v>
      </c>
      <c r="AG78" s="112"/>
      <c r="AH78" s="112"/>
      <c r="AI78" s="344" t="e">
        <f t="array" aca="1" ref="AI78" ca="1">(SMALL(IF(ISERROR(MATCH($AJ$3+ROW(OFFSET($A$3, 0,0, $AJ$4-$AJ$3+1))-2, $A$3:$A727,0)), $AJ$3+ROW(OFFSET($A$2,0, 0, $AJ$4-$AJ$3+1))-1), ROW(A77)))</f>
        <v>#NUM!</v>
      </c>
      <c r="AJ78" s="336">
        <f>Helpers!AY89</f>
        <v>0</v>
      </c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/>
      <c r="AV78"/>
      <c r="AW78" t="s">
        <v>2333</v>
      </c>
      <c r="AX78" s="56" t="s">
        <v>2478</v>
      </c>
      <c r="AY78" t="s">
        <v>2564</v>
      </c>
      <c r="AZ78" s="56" t="s">
        <v>2537</v>
      </c>
      <c r="BA78" s="56"/>
    </row>
    <row r="79" spans="1:53" ht="13.5" customHeight="1" thickBot="1">
      <c r="A79" s="111">
        <v>77</v>
      </c>
      <c r="B79" s="335" t="str">
        <f t="shared" si="20"/>
        <v>Pieter Berner</v>
      </c>
      <c r="C79" s="301" t="s">
        <v>1477</v>
      </c>
      <c r="D79" s="301" t="s">
        <v>1478</v>
      </c>
      <c r="E79"/>
      <c r="F79" s="336" t="str">
        <f>IF(SUM(COUNTIF(H79,{"*Girl*","*Women*","*Woman*","*Female*","*Wo*","*Fe*","*F*"})),"F","M")</f>
        <v>M</v>
      </c>
      <c r="G79" s="337" t="str">
        <f>IFERROR(IF(ISNUMBER(SEARCH("*",N79)),N79&amp;" "&amp;F79,IF(F79="M",LOOKUP(J79,AgeCategories!$A$3:$D$13),LOOKUP(J79,AgeCategories!$A$14:$D$24))),"Invalid Age")</f>
        <v>Master Men</v>
      </c>
      <c r="H79" s="302" t="s">
        <v>209</v>
      </c>
      <c r="I79" s="338">
        <f t="shared" si="21"/>
        <v>31086</v>
      </c>
      <c r="J79" s="340">
        <f>IFERROR(DATEDIF($I79,Helpers!$O$2,"y"),"ID No. needed")</f>
        <v>37</v>
      </c>
      <c r="K79"/>
      <c r="L79" s="300" t="s">
        <v>2720</v>
      </c>
      <c r="M79" s="353" t="s">
        <v>1836</v>
      </c>
      <c r="N79" s="342"/>
      <c r="O79" s="308" t="b">
        <v>0</v>
      </c>
      <c r="P79" s="192" t="b">
        <f>NOT(ISNA(VLOOKUP(A79,SortedDownload!A:A,1,FALSE)))</f>
        <v>1</v>
      </c>
      <c r="Q79" s="373" t="s">
        <v>2631</v>
      </c>
      <c r="R79"/>
      <c r="S79" s="235"/>
      <c r="T79" s="235"/>
      <c r="U79" t="s">
        <v>2095</v>
      </c>
      <c r="V79" s="337" t="str">
        <f t="shared" si="22"/>
        <v>-</v>
      </c>
      <c r="W79" s="348" t="str">
        <f t="shared" si="23"/>
        <v>Pieter Berner</v>
      </c>
      <c r="X79" s="337" t="str">
        <f t="shared" si="24"/>
        <v>Pieter</v>
      </c>
      <c r="Y79" s="337" t="str">
        <f t="shared" si="25"/>
        <v>Berner</v>
      </c>
      <c r="Z79" s="337" t="str">
        <f t="shared" si="26"/>
        <v>P.Berner</v>
      </c>
      <c r="AA79" s="349" t="str">
        <f t="shared" si="29"/>
        <v/>
      </c>
      <c r="AB79" s="349" t="str">
        <f t="shared" si="30"/>
        <v/>
      </c>
      <c r="AC79" s="337" t="str">
        <f>IFERROR(IF(ISNUMBER(SEARCH("*",N79)),N79&amp;" "&amp;F79,IF(F79="M",LOOKUP(J79,AgeCategories!$A$3:$F$11),LOOKUP(J79,AgeCategories!$A$14:$F$22))),"")</f>
        <v>MM</v>
      </c>
      <c r="AD79" s="350">
        <f t="shared" si="27"/>
        <v>31086</v>
      </c>
      <c r="AE79" s="337">
        <f t="shared" si="28"/>
        <v>37</v>
      </c>
      <c r="AF79" s="337" t="str">
        <f>IF(SUM(COUNTIF(H79,{"*Girl*","*Women*","*Woman*","*Female*","*Wo*","*Fe*","*F*"})),"F","M")</f>
        <v>M</v>
      </c>
      <c r="AG79" s="112"/>
      <c r="AH79" s="112"/>
      <c r="AI79" s="344" t="e">
        <f t="array" aca="1" ref="AI79" ca="1">(SMALL(IF(ISERROR(MATCH($AJ$3+ROW(OFFSET($A$3, 0,0, $AJ$4-$AJ$3+1))-2, $A$3:$A728,0)), $AJ$3+ROW(OFFSET($A$2,0, 0, $AJ$4-$AJ$3+1))-1), ROW(A78)))</f>
        <v>#NUM!</v>
      </c>
      <c r="AJ79" s="336">
        <f>Helpers!AY88</f>
        <v>0</v>
      </c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/>
      <c r="AV79"/>
      <c r="AW79" t="s">
        <v>2334</v>
      </c>
      <c r="AX79" s="56" t="s">
        <v>2478</v>
      </c>
      <c r="AY79" t="s">
        <v>2548</v>
      </c>
      <c r="AZ79" s="56" t="s">
        <v>2539</v>
      </c>
      <c r="BA79" s="56" t="s">
        <v>2556</v>
      </c>
    </row>
    <row r="80" spans="1:53" ht="13.5" thickBot="1">
      <c r="A80" s="111">
        <v>78</v>
      </c>
      <c r="B80" s="335" t="str">
        <f t="shared" si="20"/>
        <v>Dacre Ewan</v>
      </c>
      <c r="C80" s="301" t="s">
        <v>1479</v>
      </c>
      <c r="D80" s="301" t="s">
        <v>1480</v>
      </c>
      <c r="E80"/>
      <c r="F80" s="336" t="str">
        <f>IF(SUM(COUNTIF(H80,{"*Girl*","*Women*","*Woman*","*Female*","*Wo*","*Fe*","*F*"})),"F","M")</f>
        <v>M</v>
      </c>
      <c r="G80" s="337" t="str">
        <f>IFERROR(IF(ISNUMBER(SEARCH("*",N80)),N80&amp;" "&amp;F80,IF(F80="M",LOOKUP(J80,AgeCategories!$A$3:$D$13),LOOKUP(J80,AgeCategories!$A$14:$D$24))),"Invalid Age")</f>
        <v>Lite M</v>
      </c>
      <c r="H80" s="302" t="s">
        <v>209</v>
      </c>
      <c r="I80" s="338">
        <f t="shared" si="21"/>
        <v>33514</v>
      </c>
      <c r="J80" s="340">
        <f>IFERROR(DATEDIF($I80,Helpers!$O$2,"y"),"ID No. needed")</f>
        <v>31</v>
      </c>
      <c r="K80"/>
      <c r="L80" s="300" t="s">
        <v>2721</v>
      </c>
      <c r="M80" s="353" t="s">
        <v>1837</v>
      </c>
      <c r="N80" s="341" t="s">
        <v>2601</v>
      </c>
      <c r="O80" s="308" t="b">
        <v>1</v>
      </c>
      <c r="P80" s="192" t="b">
        <f>NOT(ISNA(VLOOKUP(A80,SortedDownload!A:A,1,FALSE)))</f>
        <v>1</v>
      </c>
      <c r="Q80" s="373" t="s">
        <v>2601</v>
      </c>
      <c r="R80"/>
      <c r="S80" s="235"/>
      <c r="T80" s="235"/>
      <c r="U80" t="s">
        <v>2096</v>
      </c>
      <c r="V80" s="337" t="str">
        <f t="shared" si="22"/>
        <v>-</v>
      </c>
      <c r="W80" s="348" t="str">
        <f t="shared" si="23"/>
        <v>Dacre Ewan</v>
      </c>
      <c r="X80" s="337" t="str">
        <f t="shared" si="24"/>
        <v>Dacre</v>
      </c>
      <c r="Y80" s="337" t="str">
        <f t="shared" si="25"/>
        <v>Ewan</v>
      </c>
      <c r="Z80" s="337" t="str">
        <f t="shared" si="26"/>
        <v>D.Ewan</v>
      </c>
      <c r="AA80" s="349" t="str">
        <f t="shared" si="29"/>
        <v/>
      </c>
      <c r="AB80" s="349" t="str">
        <f t="shared" si="30"/>
        <v/>
      </c>
      <c r="AC80" s="337" t="str">
        <f>IFERROR(IF(ISNUMBER(SEARCH("*",N80)),N80&amp;" "&amp;F80,IF(F80="M",LOOKUP(J80,AgeCategories!$A$3:$F$11),LOOKUP(J80,AgeCategories!$A$14:$F$22))),"")</f>
        <v>Lite M</v>
      </c>
      <c r="AD80" s="350">
        <f t="shared" si="27"/>
        <v>33514</v>
      </c>
      <c r="AE80" s="337">
        <f t="shared" si="28"/>
        <v>31</v>
      </c>
      <c r="AF80" s="337" t="str">
        <f>IF(SUM(COUNTIF(H80,{"*Girl*","*Women*","*Woman*","*Female*","*Wo*","*Fe*","*F*"})),"F","M")</f>
        <v>M</v>
      </c>
      <c r="AG80" s="112"/>
      <c r="AH80" s="112"/>
      <c r="AI80" s="344" t="e">
        <f t="array" aca="1" ref="AI80" ca="1">(SMALL(IF(ISERROR(MATCH($AJ$3+ROW(OFFSET($A$3, 0,0, $AJ$4-$AJ$3+1))-2, $A$3:$A729,0)), $AJ$3+ROW(OFFSET($A$2,0, 0, $AJ$4-$AJ$3+1))-1), ROW(A79)))</f>
        <v>#NUM!</v>
      </c>
      <c r="AJ80" s="336">
        <f>Helpers!AY87</f>
        <v>0</v>
      </c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/>
      <c r="AV80"/>
      <c r="AW80" t="s">
        <v>2335</v>
      </c>
      <c r="AX80" s="56" t="s">
        <v>2478</v>
      </c>
      <c r="AY80" t="s">
        <v>2565</v>
      </c>
      <c r="AZ80" s="56" t="s">
        <v>2537</v>
      </c>
      <c r="BA80" s="56"/>
    </row>
    <row r="81" spans="1:53" ht="13.5" thickBot="1">
      <c r="A81" s="111">
        <v>79</v>
      </c>
      <c r="B81" s="335" t="str">
        <f t="shared" si="20"/>
        <v>Nico De Nysschen</v>
      </c>
      <c r="C81" s="301" t="s">
        <v>1481</v>
      </c>
      <c r="D81" s="301" t="s">
        <v>1482</v>
      </c>
      <c r="E81"/>
      <c r="F81" s="336" t="str">
        <f>IF(SUM(COUNTIF(H81,{"*Girl*","*Women*","*Woman*","*Female*","*Wo*","*Fe*","*F*"})),"F","M")</f>
        <v>M</v>
      </c>
      <c r="G81" s="337" t="str">
        <f>IFERROR(IF(ISNUMBER(SEARCH("*",N81)),N81&amp;" "&amp;F81,IF(F81="M",LOOKUP(J81,AgeCategories!$A$3:$D$13),LOOKUP(J81,AgeCategories!$A$14:$D$24))),"Invalid Age")</f>
        <v>Sub Junior Boys</v>
      </c>
      <c r="H81" s="302" t="s">
        <v>209</v>
      </c>
      <c r="I81" s="338">
        <f t="shared" si="21"/>
        <v>39938</v>
      </c>
      <c r="J81" s="340">
        <f>IFERROR(DATEDIF($I81,Helpers!$O$2,"y"),"ID No. needed")</f>
        <v>13</v>
      </c>
      <c r="K81"/>
      <c r="L81" s="300" t="s">
        <v>2722</v>
      </c>
      <c r="M81" s="372" t="s">
        <v>2609</v>
      </c>
      <c r="N81" s="341"/>
      <c r="O81" s="308" t="b">
        <v>1</v>
      </c>
      <c r="P81" s="192" t="b">
        <f>NOT(ISNA(VLOOKUP(A81,SortedDownload!A:A,1,FALSE)))</f>
        <v>1</v>
      </c>
      <c r="Q81" s="373" t="s">
        <v>2601</v>
      </c>
      <c r="R81"/>
      <c r="S81" s="235"/>
      <c r="T81" s="235"/>
      <c r="U81" t="s">
        <v>2097</v>
      </c>
      <c r="V81" s="337" t="str">
        <f t="shared" si="22"/>
        <v>-</v>
      </c>
      <c r="W81" s="348" t="str">
        <f t="shared" si="23"/>
        <v>Nico De Nysschen</v>
      </c>
      <c r="X81" s="337" t="str">
        <f t="shared" si="24"/>
        <v>Nico</v>
      </c>
      <c r="Y81" s="337" t="str">
        <f t="shared" si="25"/>
        <v>De Nysschen</v>
      </c>
      <c r="Z81" s="337" t="str">
        <f t="shared" si="26"/>
        <v>N.De Nysschen</v>
      </c>
      <c r="AA81" s="349" t="str">
        <f t="shared" si="29"/>
        <v/>
      </c>
      <c r="AB81" s="349" t="str">
        <f t="shared" si="30"/>
        <v/>
      </c>
      <c r="AC81" s="337" t="str">
        <f>IFERROR(IF(ISNUMBER(SEARCH("*",N81)),N81&amp;" "&amp;F81,IF(F81="M",LOOKUP(J81,AgeCategories!$A$3:$F$11),LOOKUP(J81,AgeCategories!$A$14:$F$22))),"")</f>
        <v>JB</v>
      </c>
      <c r="AD81" s="350">
        <f t="shared" si="27"/>
        <v>39938</v>
      </c>
      <c r="AE81" s="337">
        <f t="shared" si="28"/>
        <v>13</v>
      </c>
      <c r="AF81" s="337" t="str">
        <f>IF(SUM(COUNTIF(H81,{"*Girl*","*Women*","*Woman*","*Female*","*Wo*","*Fe*","*F*"})),"F","M")</f>
        <v>M</v>
      </c>
      <c r="AG81" s="112"/>
      <c r="AH81" s="112"/>
      <c r="AI81" s="344" t="e">
        <f t="array" aca="1" ref="AI81" ca="1">(SMALL(IF(ISERROR(MATCH($AJ$3+ROW(OFFSET($A$3, 0,0, $AJ$4-$AJ$3+1))-2, $A$3:$A730,0)), $AJ$3+ROW(OFFSET($A$2,0, 0, $AJ$4-$AJ$3+1))-1), ROW(A80)))</f>
        <v>#NUM!</v>
      </c>
      <c r="AJ81" s="336">
        <f>Helpers!AY86</f>
        <v>0</v>
      </c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/>
      <c r="AV81"/>
      <c r="AW81" t="s">
        <v>2336</v>
      </c>
      <c r="AX81" s="56" t="s">
        <v>2478</v>
      </c>
      <c r="AY81" t="s">
        <v>2548</v>
      </c>
      <c r="AZ81" s="56" t="s">
        <v>2537</v>
      </c>
      <c r="BA81" s="56"/>
    </row>
    <row r="82" spans="1:53" ht="13.5" customHeight="1" thickBot="1">
      <c r="A82" s="111">
        <v>80</v>
      </c>
      <c r="B82" s="335" t="str">
        <f t="shared" si="20"/>
        <v>Matthias Christen</v>
      </c>
      <c r="C82" s="301" t="s">
        <v>1483</v>
      </c>
      <c r="D82" s="301" t="s">
        <v>1484</v>
      </c>
      <c r="E82"/>
      <c r="F82" s="336" t="str">
        <f>IF(SUM(COUNTIF(H82,{"*Girl*","*Women*","*Woman*","*Female*","*Wo*","*Fe*","*F*"})),"F","M")</f>
        <v>M</v>
      </c>
      <c r="G82" s="337" t="str">
        <f>IFERROR(IF(ISNUMBER(SEARCH("*",N82)),N82&amp;" "&amp;F82,IF(F82="M",LOOKUP(J82,AgeCategories!$A$3:$D$13),LOOKUP(J82,AgeCategories!$A$14:$D$24))),"Invalid Age")</f>
        <v>Master Men</v>
      </c>
      <c r="H82" s="302" t="s">
        <v>209</v>
      </c>
      <c r="I82" s="338">
        <f t="shared" si="21"/>
        <v>31902</v>
      </c>
      <c r="J82" s="340">
        <f>IFERROR(DATEDIF($I82,Helpers!$O$2,"y"),"ID No. needed")</f>
        <v>35</v>
      </c>
      <c r="K82"/>
      <c r="L82" s="300" t="s">
        <v>2723</v>
      </c>
      <c r="M82" s="372" t="s">
        <v>2610</v>
      </c>
      <c r="N82" s="342"/>
      <c r="O82" s="308" t="b">
        <v>1</v>
      </c>
      <c r="P82" s="192" t="b">
        <f>NOT(ISNA(VLOOKUP(A82,SortedDownload!A:A,1,FALSE)))</f>
        <v>1</v>
      </c>
      <c r="Q82" s="373" t="s">
        <v>2631</v>
      </c>
      <c r="R82"/>
      <c r="S82" s="235"/>
      <c r="T82" s="235"/>
      <c r="U82" t="s">
        <v>2098</v>
      </c>
      <c r="V82" s="337" t="str">
        <f t="shared" si="22"/>
        <v>-</v>
      </c>
      <c r="W82" s="348" t="str">
        <f t="shared" si="23"/>
        <v>Matthias Christen</v>
      </c>
      <c r="X82" s="337" t="str">
        <f t="shared" si="24"/>
        <v>Matthias</v>
      </c>
      <c r="Y82" s="337" t="str">
        <f t="shared" si="25"/>
        <v>Christen</v>
      </c>
      <c r="Z82" s="337" t="str">
        <f t="shared" si="26"/>
        <v>M.Christen</v>
      </c>
      <c r="AA82" s="349" t="str">
        <f t="shared" si="29"/>
        <v/>
      </c>
      <c r="AB82" s="349" t="str">
        <f t="shared" si="30"/>
        <v/>
      </c>
      <c r="AC82" s="337" t="str">
        <f>IFERROR(IF(ISNUMBER(SEARCH("*",N82)),N82&amp;" "&amp;F82,IF(F82="M",LOOKUP(J82,AgeCategories!$A$3:$F$11),LOOKUP(J82,AgeCategories!$A$14:$F$22))),"")</f>
        <v>MM</v>
      </c>
      <c r="AD82" s="350">
        <f t="shared" si="27"/>
        <v>31902</v>
      </c>
      <c r="AE82" s="337">
        <f t="shared" si="28"/>
        <v>35</v>
      </c>
      <c r="AF82" s="337" t="str">
        <f>IF(SUM(COUNTIF(H82,{"*Girl*","*Women*","*Woman*","*Female*","*Wo*","*Fe*","*F*"})),"F","M")</f>
        <v>M</v>
      </c>
      <c r="AG82" s="112"/>
      <c r="AH82" s="112"/>
      <c r="AI82" s="344" t="e">
        <f t="array" aca="1" ref="AI82" ca="1">(SMALL(IF(ISERROR(MATCH($AJ$3+ROW(OFFSET($A$3, 0,0, $AJ$4-$AJ$3+1))-2, $A$3:$A731,0)), $AJ$3+ROW(OFFSET($A$2,0, 0, $AJ$4-$AJ$3+1))-1), ROW(A81)))</f>
        <v>#NUM!</v>
      </c>
      <c r="AJ82" s="336">
        <f>Helpers!AY85</f>
        <v>0</v>
      </c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/>
      <c r="AV82"/>
      <c r="AW82" t="s">
        <v>2337</v>
      </c>
      <c r="AX82" s="56" t="s">
        <v>2501</v>
      </c>
      <c r="AY82" t="s">
        <v>2548</v>
      </c>
      <c r="AZ82" s="56" t="s">
        <v>2538</v>
      </c>
      <c r="BA82" s="56"/>
    </row>
    <row r="83" spans="1:53" ht="13.5" customHeight="1" thickBot="1">
      <c r="A83" s="111">
        <v>81</v>
      </c>
      <c r="B83" s="335" t="str">
        <f t="shared" si="20"/>
        <v>Thomas Rood</v>
      </c>
      <c r="C83" t="s">
        <v>634</v>
      </c>
      <c r="D83" t="s">
        <v>1485</v>
      </c>
      <c r="E83"/>
      <c r="F83" s="336" t="str">
        <f>IF(SUM(COUNTIF(H83,{"*Girl*","*Women*","*Woman*","*Female*","*Wo*","*Fe*","*F*"})),"F","M")</f>
        <v>M</v>
      </c>
      <c r="G83" s="337" t="str">
        <f>IFERROR(IF(ISNUMBER(SEARCH("*",N83)),N83&amp;" "&amp;F83,IF(F83="M",LOOKUP(J83,AgeCategories!$A$3:$D$13),LOOKUP(J83,AgeCategories!$A$14:$D$24))),"Invalid Age")</f>
        <v>Master Men</v>
      </c>
      <c r="H83" t="s">
        <v>209</v>
      </c>
      <c r="I83" s="338">
        <f t="shared" si="21"/>
        <v>28995</v>
      </c>
      <c r="J83" s="340">
        <f>IFERROR(DATEDIF($I83,Helpers!$O$2,"y"),"ID No. needed")</f>
        <v>43</v>
      </c>
      <c r="K83"/>
      <c r="L83" s="300" t="s">
        <v>2724</v>
      </c>
      <c r="M83" s="353" t="s">
        <v>1839</v>
      </c>
      <c r="N83" s="342"/>
      <c r="O83" s="308" t="b">
        <v>0</v>
      </c>
      <c r="P83" s="192" t="b">
        <f>NOT(ISNA(VLOOKUP(A83,SortedDownload!A:A,1,FALSE)))</f>
        <v>0</v>
      </c>
      <c r="Q83" s="373" t="s">
        <v>2728</v>
      </c>
      <c r="R83"/>
      <c r="S83" s="235"/>
      <c r="T83" s="235"/>
      <c r="U83" t="s">
        <v>2099</v>
      </c>
      <c r="V83" s="337" t="str">
        <f t="shared" si="22"/>
        <v>-</v>
      </c>
      <c r="W83" s="348" t="str">
        <f t="shared" si="23"/>
        <v>Thomas Rood</v>
      </c>
      <c r="X83" s="337" t="str">
        <f t="shared" si="24"/>
        <v>Thomas</v>
      </c>
      <c r="Y83" s="337" t="str">
        <f t="shared" si="25"/>
        <v>Rood</v>
      </c>
      <c r="Z83" s="337" t="str">
        <f t="shared" si="26"/>
        <v>T.Rood</v>
      </c>
      <c r="AA83" s="349" t="str">
        <f t="shared" si="29"/>
        <v/>
      </c>
      <c r="AB83" s="349" t="str">
        <f t="shared" si="30"/>
        <v/>
      </c>
      <c r="AC83" s="337" t="str">
        <f>IFERROR(IF(ISNUMBER(SEARCH("*",N83)),N83&amp;" "&amp;F83,IF(F83="M",LOOKUP(J83,AgeCategories!$A$3:$F$11),LOOKUP(J83,AgeCategories!$A$14:$F$22))),"")</f>
        <v>MM</v>
      </c>
      <c r="AD83" s="350">
        <f t="shared" si="27"/>
        <v>28995</v>
      </c>
      <c r="AE83" s="337">
        <f t="shared" si="28"/>
        <v>43</v>
      </c>
      <c r="AF83" s="337" t="str">
        <f>IF(SUM(COUNTIF(H83,{"*Girl*","*Women*","*Woman*","*Female*","*Wo*","*Fe*","*F*"})),"F","M")</f>
        <v>M</v>
      </c>
      <c r="AG83" s="112"/>
      <c r="AH83" s="112"/>
      <c r="AI83" s="344" t="e">
        <f t="array" aca="1" ref="AI83" ca="1">(SMALL(IF(ISERROR(MATCH($AJ$3+ROW(OFFSET($A$3, 0,0, $AJ$4-$AJ$3+1))-2, $A$3:$A732,0)), $AJ$3+ROW(OFFSET($A$2,0, 0, $AJ$4-$AJ$3+1))-1), ROW(A82)))</f>
        <v>#NUM!</v>
      </c>
      <c r="AJ83" s="336">
        <f>Helpers!AY61</f>
        <v>0</v>
      </c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/>
      <c r="AV83"/>
      <c r="AW83" t="s">
        <v>2338</v>
      </c>
      <c r="AX83" s="56" t="s">
        <v>2491</v>
      </c>
      <c r="AY83" t="s">
        <v>2547</v>
      </c>
      <c r="AZ83" s="56" t="s">
        <v>2537</v>
      </c>
      <c r="BA83" s="56"/>
    </row>
    <row r="84" spans="1:53" ht="13.5" thickBot="1">
      <c r="A84" s="111">
        <v>82</v>
      </c>
      <c r="B84" s="335" t="str">
        <f t="shared" si="20"/>
        <v>Michael Collins</v>
      </c>
      <c r="C84" t="s">
        <v>637</v>
      </c>
      <c r="D84" t="s">
        <v>1360</v>
      </c>
      <c r="E84"/>
      <c r="F84" s="336" t="str">
        <f>IF(SUM(COUNTIF(H84,{"*Girl*","*Women*","*Woman*","*Female*","*Wo*","*Fe*","*F*"})),"F","M")</f>
        <v>M</v>
      </c>
      <c r="G84" s="337" t="str">
        <f>IFERROR(IF(ISNUMBER(SEARCH("*",N84)),N84&amp;" "&amp;F84,IF(F84="M",LOOKUP(J84,AgeCategories!$A$3:$D$13),LOOKUP(J84,AgeCategories!$A$14:$D$24))),"Invalid Age")</f>
        <v>Lite M</v>
      </c>
      <c r="H84" t="s">
        <v>209</v>
      </c>
      <c r="I84" s="338">
        <f t="shared" si="21"/>
        <v>26758</v>
      </c>
      <c r="J84" s="340">
        <f>IFERROR(DATEDIF($I84,Helpers!$O$2,"y"),"ID No. needed")</f>
        <v>49</v>
      </c>
      <c r="K84"/>
      <c r="L84" s="300" t="s">
        <v>2725</v>
      </c>
      <c r="M84" s="353" t="s">
        <v>1840</v>
      </c>
      <c r="N84" s="341" t="s">
        <v>2601</v>
      </c>
      <c r="O84" s="308" t="b">
        <v>1</v>
      </c>
      <c r="P84" s="192" t="b">
        <f>NOT(ISNA(VLOOKUP(A84,SortedDownload!A:A,1,FALSE)))</f>
        <v>1</v>
      </c>
      <c r="Q84" s="373" t="s">
        <v>2601</v>
      </c>
      <c r="R84"/>
      <c r="S84" s="235"/>
      <c r="T84" s="235"/>
      <c r="U84" t="s">
        <v>2100</v>
      </c>
      <c r="V84" s="337" t="str">
        <f t="shared" si="22"/>
        <v>-</v>
      </c>
      <c r="W84" s="348" t="str">
        <f t="shared" si="23"/>
        <v>Michael Collins</v>
      </c>
      <c r="X84" s="337" t="str">
        <f t="shared" si="24"/>
        <v>Michael</v>
      </c>
      <c r="Y84" s="337" t="str">
        <f t="shared" si="25"/>
        <v>Collins</v>
      </c>
      <c r="Z84" s="337" t="str">
        <f t="shared" si="26"/>
        <v>M.Collins</v>
      </c>
      <c r="AA84" s="349" t="str">
        <f t="shared" si="29"/>
        <v/>
      </c>
      <c r="AB84" s="349" t="str">
        <f t="shared" si="30"/>
        <v/>
      </c>
      <c r="AC84" s="337" t="str">
        <f>IFERROR(IF(ISNUMBER(SEARCH("*",N84)),N84&amp;" "&amp;F84,IF(F84="M",LOOKUP(J84,AgeCategories!$A$3:$F$11),LOOKUP(J84,AgeCategories!$A$14:$F$22))),"")</f>
        <v>Lite M</v>
      </c>
      <c r="AD84" s="350">
        <f t="shared" si="27"/>
        <v>26758</v>
      </c>
      <c r="AE84" s="337">
        <f t="shared" si="28"/>
        <v>49</v>
      </c>
      <c r="AF84" s="337" t="str">
        <f>IF(SUM(COUNTIF(H84,{"*Girl*","*Women*","*Woman*","*Female*","*Wo*","*Fe*","*F*"})),"F","M")</f>
        <v>M</v>
      </c>
      <c r="AG84" s="112"/>
      <c r="AH84" s="112"/>
      <c r="AI84" s="344" t="e">
        <f t="array" aca="1" ref="AI84" ca="1">(SMALL(IF(ISERROR(MATCH($AJ$3+ROW(OFFSET($A$3, 0,0, $AJ$4-$AJ$3+1))-2, $A$3:$A733,0)), $AJ$3+ROW(OFFSET($A$2,0, 0, $AJ$4-$AJ$3+1))-1), ROW(A83)))</f>
        <v>#NUM!</v>
      </c>
      <c r="AJ84" s="336">
        <f>Helpers!AY50</f>
        <v>0</v>
      </c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/>
      <c r="AV84"/>
      <c r="AW84" t="s">
        <v>2339</v>
      </c>
      <c r="AX84" s="56" t="s">
        <v>2502</v>
      </c>
      <c r="AY84" t="s">
        <v>2277</v>
      </c>
      <c r="AZ84" s="56" t="s">
        <v>2543</v>
      </c>
      <c r="BA84" s="56"/>
    </row>
    <row r="85" spans="1:53" ht="13.5" thickBot="1">
      <c r="A85" s="111">
        <v>83</v>
      </c>
      <c r="B85" s="335" t="str">
        <f t="shared" si="20"/>
        <v>Jean Ehlers</v>
      </c>
      <c r="C85" s="301" t="s">
        <v>1486</v>
      </c>
      <c r="D85" s="301" t="s">
        <v>1487</v>
      </c>
      <c r="E85"/>
      <c r="F85" s="336" t="str">
        <f>IF(SUM(COUNTIF(H85,{"*Girl*","*Women*","*Woman*","*Female*","*Wo*","*Fe*","*F*"})),"F","M")</f>
        <v>M</v>
      </c>
      <c r="G85" s="337" t="str">
        <f>IFERROR(IF(ISNUMBER(SEARCH("*",N85)),N85&amp;" "&amp;F85,IF(F85="M",LOOKUP(J85,AgeCategories!$A$3:$D$13),LOOKUP(J85,AgeCategories!$A$14:$D$24))),"Invalid Age")</f>
        <v>Lite M</v>
      </c>
      <c r="H85" s="302" t="s">
        <v>209</v>
      </c>
      <c r="I85" s="338">
        <f t="shared" si="21"/>
        <v>28762</v>
      </c>
      <c r="J85" s="340">
        <f>IFERROR(DATEDIF($I85,Helpers!$O$2,"y"),"ID No. needed")</f>
        <v>44</v>
      </c>
      <c r="K85"/>
      <c r="L85" s="300" t="s">
        <v>2726</v>
      </c>
      <c r="M85" s="353" t="s">
        <v>1841</v>
      </c>
      <c r="N85" s="341" t="s">
        <v>2601</v>
      </c>
      <c r="O85" s="308" t="b">
        <v>1</v>
      </c>
      <c r="P85" s="192" t="b">
        <f>NOT(ISNA(VLOOKUP(A85,SortedDownload!A:A,1,FALSE)))</f>
        <v>1</v>
      </c>
      <c r="Q85" s="373" t="s">
        <v>2632</v>
      </c>
      <c r="R85"/>
      <c r="S85" s="235"/>
      <c r="T85" s="235"/>
      <c r="U85" t="s">
        <v>2101</v>
      </c>
      <c r="V85" s="337" t="str">
        <f t="shared" si="22"/>
        <v>-</v>
      </c>
      <c r="W85" s="348" t="str">
        <f t="shared" si="23"/>
        <v>Jean Ehlers</v>
      </c>
      <c r="X85" s="337" t="str">
        <f t="shared" si="24"/>
        <v>Jean</v>
      </c>
      <c r="Y85" s="337" t="str">
        <f t="shared" si="25"/>
        <v>Ehlers</v>
      </c>
      <c r="Z85" s="337" t="str">
        <f t="shared" si="26"/>
        <v>J.Ehlers</v>
      </c>
      <c r="AA85" s="349" t="str">
        <f t="shared" si="29"/>
        <v/>
      </c>
      <c r="AB85" s="349" t="str">
        <f t="shared" si="30"/>
        <v/>
      </c>
      <c r="AC85" s="337" t="str">
        <f>IFERROR(IF(ISNUMBER(SEARCH("*",N85)),N85&amp;" "&amp;F85,IF(F85="M",LOOKUP(J85,AgeCategories!$A$3:$F$11),LOOKUP(J85,AgeCategories!$A$14:$F$22))),"")</f>
        <v>Lite M</v>
      </c>
      <c r="AD85" s="350">
        <f t="shared" si="27"/>
        <v>28762</v>
      </c>
      <c r="AE85" s="337">
        <f t="shared" si="28"/>
        <v>44</v>
      </c>
      <c r="AF85" s="337" t="str">
        <f>IF(SUM(COUNTIF(H85,{"*Girl*","*Women*","*Woman*","*Female*","*Wo*","*Fe*","*F*"})),"F","M")</f>
        <v>M</v>
      </c>
      <c r="AG85" s="112"/>
      <c r="AH85" s="112"/>
      <c r="AI85" s="344" t="e">
        <f t="array" aca="1" ref="AI85" ca="1">(SMALL(IF(ISERROR(MATCH($AJ$3+ROW(OFFSET($A$3, 0,0, $AJ$4-$AJ$3+1))-2, $A$3:$A734,0)), $AJ$3+ROW(OFFSET($A$2,0, 0, $AJ$4-$AJ$3+1))-1), ROW(A84)))</f>
        <v>#NUM!</v>
      </c>
      <c r="AJ85" s="336">
        <f>Helpers!AY84</f>
        <v>0</v>
      </c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/>
      <c r="AV85"/>
      <c r="AW85" t="s">
        <v>2340</v>
      </c>
      <c r="AX85" s="56" t="s">
        <v>2503</v>
      </c>
      <c r="AY85"/>
      <c r="AZ85" s="56" t="s">
        <v>2537</v>
      </c>
      <c r="BA85" s="56"/>
    </row>
    <row r="86" spans="1:53" ht="13.5" customHeight="1" thickBot="1">
      <c r="A86" s="111">
        <v>84</v>
      </c>
      <c r="B86" s="335" t="str">
        <f t="shared" si="20"/>
        <v>Stefan Boshoff</v>
      </c>
      <c r="C86" s="301" t="s">
        <v>1488</v>
      </c>
      <c r="D86" s="301" t="s">
        <v>1489</v>
      </c>
      <c r="E86"/>
      <c r="F86" s="336" t="str">
        <f>IF(SUM(COUNTIF(H86,{"*Girl*","*Women*","*Woman*","*Female*","*Wo*","*Fe*","*F*"})),"F","M")</f>
        <v>M</v>
      </c>
      <c r="G86" s="337" t="str">
        <f>IFERROR(IF(ISNUMBER(SEARCH("*",N86)),N86&amp;" "&amp;F86,IF(F86="M",LOOKUP(J86,AgeCategories!$A$3:$D$13),LOOKUP(J86,AgeCategories!$A$14:$D$24))),"Invalid Age")</f>
        <v>Master Men</v>
      </c>
      <c r="H86" s="302" t="s">
        <v>209</v>
      </c>
      <c r="I86" s="338">
        <f t="shared" si="21"/>
        <v>29929</v>
      </c>
      <c r="J86" s="340">
        <f>IFERROR(DATEDIF($I86,Helpers!$O$2,"y"),"ID No. needed")</f>
        <v>41</v>
      </c>
      <c r="K86"/>
      <c r="L86" s="300">
        <v>833097543</v>
      </c>
      <c r="M86" s="353" t="s">
        <v>1842</v>
      </c>
      <c r="N86" s="342"/>
      <c r="O86" s="308" t="b">
        <v>1</v>
      </c>
      <c r="P86" s="192" t="b">
        <f>NOT(ISNA(VLOOKUP(A86,SortedDownload!A:A,1,FALSE)))</f>
        <v>1</v>
      </c>
      <c r="Q86" s="373" t="s">
        <v>2728</v>
      </c>
      <c r="R86"/>
      <c r="S86" s="235"/>
      <c r="T86" s="235"/>
      <c r="U86" t="s">
        <v>2102</v>
      </c>
      <c r="V86" s="337" t="str">
        <f t="shared" si="22"/>
        <v>-</v>
      </c>
      <c r="W86" s="348" t="str">
        <f t="shared" si="23"/>
        <v>Stefan Boshoff</v>
      </c>
      <c r="X86" s="337" t="str">
        <f t="shared" si="24"/>
        <v>Stefan</v>
      </c>
      <c r="Y86" s="337" t="str">
        <f t="shared" si="25"/>
        <v>Boshoff</v>
      </c>
      <c r="Z86" s="337" t="str">
        <f t="shared" si="26"/>
        <v>S.Boshoff</v>
      </c>
      <c r="AA86" s="349" t="str">
        <f t="shared" si="29"/>
        <v/>
      </c>
      <c r="AB86" s="349" t="str">
        <f t="shared" si="30"/>
        <v/>
      </c>
      <c r="AC86" s="337" t="str">
        <f>IFERROR(IF(ISNUMBER(SEARCH("*",N86)),N86&amp;" "&amp;F86,IF(F86="M",LOOKUP(J86,AgeCategories!$A$3:$F$11),LOOKUP(J86,AgeCategories!$A$14:$F$22))),"")</f>
        <v>MM</v>
      </c>
      <c r="AD86" s="350">
        <f t="shared" si="27"/>
        <v>29929</v>
      </c>
      <c r="AE86" s="337">
        <f t="shared" si="28"/>
        <v>41</v>
      </c>
      <c r="AF86" s="337" t="str">
        <f>IF(SUM(COUNTIF(H86,{"*Girl*","*Women*","*Woman*","*Female*","*Wo*","*Fe*","*F*"})),"F","M")</f>
        <v>M</v>
      </c>
      <c r="AG86" s="112"/>
      <c r="AH86" s="112"/>
      <c r="AI86" s="344" t="e">
        <f t="array" aca="1" ref="AI86" ca="1">(SMALL(IF(ISERROR(MATCH($AJ$3+ROW(OFFSET($A$3, 0,0, $AJ$4-$AJ$3+1))-2, $A$3:$A735,0)), $AJ$3+ROW(OFFSET($A$2,0, 0, $AJ$4-$AJ$3+1))-1), ROW(A85)))</f>
        <v>#NUM!</v>
      </c>
      <c r="AJ86" s="336">
        <f>Helpers!AY83</f>
        <v>0</v>
      </c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/>
      <c r="AV86"/>
      <c r="AW86" t="s">
        <v>2341</v>
      </c>
      <c r="AX86" s="56" t="s">
        <v>2478</v>
      </c>
      <c r="AY86"/>
      <c r="AZ86" s="56" t="s">
        <v>2537</v>
      </c>
      <c r="BA86" s="56"/>
    </row>
    <row r="87" spans="1:53" ht="13.5" thickBot="1">
      <c r="A87" s="111">
        <v>85</v>
      </c>
      <c r="B87" s="335" t="str">
        <f t="shared" si="20"/>
        <v>Alec Retief</v>
      </c>
      <c r="C87" t="s">
        <v>1490</v>
      </c>
      <c r="D87" t="s">
        <v>1491</v>
      </c>
      <c r="E87"/>
      <c r="F87" s="336" t="str">
        <f>IF(SUM(COUNTIF(H87,{"*Girl*","*Women*","*Woman*","*Female*","*Wo*","*Fe*","*F*"})),"F","M")</f>
        <v>M</v>
      </c>
      <c r="G87" s="337" t="str">
        <f>IFERROR(IF(ISNUMBER(SEARCH("*",N87)),N87&amp;" "&amp;F87,IF(F87="M",LOOKUP(J87,AgeCategories!$A$3:$D$13),LOOKUP(J87,AgeCategories!$A$14:$D$24))),"Invalid Age")</f>
        <v>Sub Junior Boys</v>
      </c>
      <c r="H87" t="s">
        <v>209</v>
      </c>
      <c r="I87" s="338">
        <f t="shared" si="21"/>
        <v>39825</v>
      </c>
      <c r="J87" s="340">
        <f>IFERROR(DATEDIF($I87,Helpers!$O$2,"y"),"ID No. needed")</f>
        <v>13</v>
      </c>
      <c r="K87"/>
      <c r="L87" s="300">
        <v>823726327</v>
      </c>
      <c r="M87" s="353" t="s">
        <v>1843</v>
      </c>
      <c r="N87" s="341"/>
      <c r="O87" s="308" t="b">
        <v>1</v>
      </c>
      <c r="P87" s="192" t="b">
        <f>NOT(ISNA(VLOOKUP(A87,SortedDownload!A:A,1,FALSE)))</f>
        <v>1</v>
      </c>
      <c r="Q87" s="373" t="s">
        <v>2601</v>
      </c>
      <c r="R87"/>
      <c r="S87" s="235"/>
      <c r="T87" s="235"/>
      <c r="U87" t="s">
        <v>2103</v>
      </c>
      <c r="V87" s="337" t="str">
        <f t="shared" si="22"/>
        <v>-</v>
      </c>
      <c r="W87" s="348" t="str">
        <f t="shared" si="23"/>
        <v>Alec Retief</v>
      </c>
      <c r="X87" s="337" t="str">
        <f t="shared" si="24"/>
        <v>Alec</v>
      </c>
      <c r="Y87" s="337" t="str">
        <f t="shared" si="25"/>
        <v>Retief</v>
      </c>
      <c r="Z87" s="337" t="str">
        <f t="shared" si="26"/>
        <v>A.Retief</v>
      </c>
      <c r="AA87" s="349" t="str">
        <f t="shared" si="29"/>
        <v/>
      </c>
      <c r="AB87" s="349" t="str">
        <f t="shared" si="30"/>
        <v/>
      </c>
      <c r="AC87" s="337" t="str">
        <f>IFERROR(IF(ISNUMBER(SEARCH("*",N87)),N87&amp;" "&amp;F87,IF(F87="M",LOOKUP(J87,AgeCategories!$A$3:$F$11),LOOKUP(J87,AgeCategories!$A$14:$F$22))),"")</f>
        <v>JB</v>
      </c>
      <c r="AD87" s="350">
        <f t="shared" si="27"/>
        <v>39825</v>
      </c>
      <c r="AE87" s="337">
        <f t="shared" si="28"/>
        <v>13</v>
      </c>
      <c r="AF87" s="337" t="str">
        <f>IF(SUM(COUNTIF(H87,{"*Girl*","*Women*","*Woman*","*Female*","*Wo*","*Fe*","*F*"})),"F","M")</f>
        <v>M</v>
      </c>
      <c r="AG87" s="112"/>
      <c r="AH87" s="112"/>
      <c r="AI87" s="344" t="e">
        <f t="array" aca="1" ref="AI87" ca="1">(SMALL(IF(ISERROR(MATCH($AJ$3+ROW(OFFSET($A$3, 0,0, $AJ$4-$AJ$3+1))-2, $A$3:$A736,0)), $AJ$3+ROW(OFFSET($A$2,0, 0, $AJ$4-$AJ$3+1))-1), ROW(A86)))</f>
        <v>#NUM!</v>
      </c>
      <c r="AJ87" s="336">
        <f>Helpers!AY60</f>
        <v>0</v>
      </c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/>
      <c r="AV87"/>
      <c r="AW87" t="s">
        <v>2342</v>
      </c>
      <c r="AX87" s="56" t="s">
        <v>2504</v>
      </c>
      <c r="AY87"/>
      <c r="AZ87" s="56" t="s">
        <v>2537</v>
      </c>
      <c r="BA87" s="56"/>
    </row>
    <row r="88" spans="1:53" ht="13.5" customHeight="1" thickBot="1">
      <c r="A88" s="111">
        <v>86</v>
      </c>
      <c r="B88" s="335" t="str">
        <f t="shared" si="20"/>
        <v>Julian Burke</v>
      </c>
      <c r="C88" t="s">
        <v>1492</v>
      </c>
      <c r="D88" t="s">
        <v>1493</v>
      </c>
      <c r="E88"/>
      <c r="F88" s="336" t="str">
        <f>IF(SUM(COUNTIF(H88,{"*Girl*","*Women*","*Woman*","*Female*","*Wo*","*Fe*","*F*"})),"F","M")</f>
        <v>M</v>
      </c>
      <c r="G88" s="337" t="str">
        <f>IFERROR(IF(ISNUMBER(SEARCH("*",N88)),N88&amp;" "&amp;F88,IF(F88="M",LOOKUP(J88,AgeCategories!$A$3:$D$13),LOOKUP(J88,AgeCategories!$A$14:$D$24))),"Invalid Age")</f>
        <v>Master Men</v>
      </c>
      <c r="H88" t="s">
        <v>209</v>
      </c>
      <c r="I88" s="338">
        <f t="shared" si="21"/>
        <v>29796</v>
      </c>
      <c r="J88" s="340">
        <f>IFERROR(DATEDIF($I88,Helpers!$O$2,"y"),"ID No. needed")</f>
        <v>41</v>
      </c>
      <c r="K88"/>
      <c r="L88" s="300">
        <v>839469531</v>
      </c>
      <c r="M88" s="353" t="s">
        <v>1844</v>
      </c>
      <c r="N88" s="342"/>
      <c r="O88" s="308" t="b">
        <v>1</v>
      </c>
      <c r="P88" s="192" t="b">
        <f>NOT(ISNA(VLOOKUP(A88,SortedDownload!A:A,1,FALSE)))</f>
        <v>1</v>
      </c>
      <c r="Q88" s="373" t="s">
        <v>2631</v>
      </c>
      <c r="R88"/>
      <c r="S88" s="235"/>
      <c r="T88" s="235"/>
      <c r="U88" t="s">
        <v>2104</v>
      </c>
      <c r="V88" s="337" t="str">
        <f t="shared" si="22"/>
        <v>-</v>
      </c>
      <c r="W88" s="348" t="str">
        <f t="shared" si="23"/>
        <v>Julian Burke</v>
      </c>
      <c r="X88" s="337" t="str">
        <f t="shared" si="24"/>
        <v>Julian</v>
      </c>
      <c r="Y88" s="337" t="str">
        <f t="shared" si="25"/>
        <v>Burke</v>
      </c>
      <c r="Z88" s="337" t="str">
        <f t="shared" si="26"/>
        <v>J.Burke</v>
      </c>
      <c r="AA88" s="349" t="str">
        <f t="shared" si="29"/>
        <v/>
      </c>
      <c r="AB88" s="349" t="str">
        <f t="shared" si="30"/>
        <v/>
      </c>
      <c r="AC88" s="337" t="str">
        <f>IFERROR(IF(ISNUMBER(SEARCH("*",N88)),N88&amp;" "&amp;F88,IF(F88="M",LOOKUP(J88,AgeCategories!$A$3:$F$11),LOOKUP(J88,AgeCategories!$A$14:$F$22))),"")</f>
        <v>MM</v>
      </c>
      <c r="AD88" s="350">
        <f t="shared" si="27"/>
        <v>29796</v>
      </c>
      <c r="AE88" s="337">
        <f t="shared" si="28"/>
        <v>41</v>
      </c>
      <c r="AF88" s="337" t="str">
        <f>IF(SUM(COUNTIF(H88,{"*Girl*","*Women*","*Woman*","*Female*","*Wo*","*Fe*","*F*"})),"F","M")</f>
        <v>M</v>
      </c>
      <c r="AG88" s="112"/>
      <c r="AH88" s="112"/>
      <c r="AI88" s="344" t="e">
        <f t="array" aca="1" ref="AI88" ca="1">(SMALL(IF(ISERROR(MATCH($AJ$3+ROW(OFFSET($A$3, 0,0, $AJ$4-$AJ$3+1))-2, $A$3:$A737,0)), $AJ$3+ROW(OFFSET($A$2,0, 0, $AJ$4-$AJ$3+1))-1), ROW(A87)))</f>
        <v>#NUM!</v>
      </c>
      <c r="AJ88" s="336">
        <f>Helpers!AY59</f>
        <v>0</v>
      </c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/>
      <c r="AV88"/>
      <c r="AW88" t="s">
        <v>2343</v>
      </c>
      <c r="AX88" s="56" t="s">
        <v>2478</v>
      </c>
      <c r="AY88"/>
      <c r="AZ88" s="56" t="s">
        <v>2538</v>
      </c>
      <c r="BA88" s="56"/>
    </row>
    <row r="89" spans="1:53" ht="13.5" thickBot="1">
      <c r="A89" s="111">
        <v>87</v>
      </c>
      <c r="B89" s="335" t="str">
        <f t="shared" si="20"/>
        <v>Schalk Duvenage</v>
      </c>
      <c r="C89" s="301" t="s">
        <v>1494</v>
      </c>
      <c r="D89" s="301" t="s">
        <v>1495</v>
      </c>
      <c r="E89"/>
      <c r="F89" s="336" t="str">
        <f>IF(SUM(COUNTIF(H89,{"*Girl*","*Women*","*Woman*","*Female*","*Wo*","*Fe*","*F*"})),"F","M")</f>
        <v>M</v>
      </c>
      <c r="G89" s="337" t="str">
        <f>IFERROR(IF(ISNUMBER(SEARCH("*",N89)),N89&amp;" "&amp;F89,IF(F89="M",LOOKUP(J89,AgeCategories!$A$3:$D$13),LOOKUP(J89,AgeCategories!$A$14:$D$24))),"Invalid Age")</f>
        <v>Lite M</v>
      </c>
      <c r="H89" s="302" t="s">
        <v>209</v>
      </c>
      <c r="I89" s="338">
        <f t="shared" si="21"/>
        <v>25760</v>
      </c>
      <c r="J89" s="340">
        <f>IFERROR(DATEDIF($I89,Helpers!$O$2,"y"),"ID No. needed")</f>
        <v>52</v>
      </c>
      <c r="K89"/>
      <c r="L89" s="300">
        <v>721705986</v>
      </c>
      <c r="M89" s="353" t="s">
        <v>1845</v>
      </c>
      <c r="N89" s="341" t="s">
        <v>2601</v>
      </c>
      <c r="O89" s="308" t="b">
        <v>1</v>
      </c>
      <c r="P89" s="192" t="b">
        <f>NOT(ISNA(VLOOKUP(A89,SortedDownload!A:A,1,FALSE)))</f>
        <v>1</v>
      </c>
      <c r="Q89" s="373" t="s">
        <v>2601</v>
      </c>
      <c r="R89"/>
      <c r="S89" s="235"/>
      <c r="T89" s="235"/>
      <c r="U89" t="s">
        <v>2105</v>
      </c>
      <c r="V89" s="337" t="str">
        <f t="shared" si="22"/>
        <v>-</v>
      </c>
      <c r="W89" s="348" t="str">
        <f t="shared" si="23"/>
        <v>Schalk Duvenage</v>
      </c>
      <c r="X89" s="337" t="str">
        <f t="shared" si="24"/>
        <v>Schalk</v>
      </c>
      <c r="Y89" s="337" t="str">
        <f t="shared" si="25"/>
        <v>Duvenage</v>
      </c>
      <c r="Z89" s="337" t="str">
        <f t="shared" si="26"/>
        <v>S.Duvenage</v>
      </c>
      <c r="AA89" s="349" t="str">
        <f t="shared" si="29"/>
        <v/>
      </c>
      <c r="AB89" s="349" t="str">
        <f t="shared" si="30"/>
        <v/>
      </c>
      <c r="AC89" s="337" t="str">
        <f>IFERROR(IF(ISNUMBER(SEARCH("*",N89)),N89&amp;" "&amp;F89,IF(F89="M",LOOKUP(J89,AgeCategories!$A$3:$F$11),LOOKUP(J89,AgeCategories!$A$14:$F$22))),"")</f>
        <v>Lite M</v>
      </c>
      <c r="AD89" s="350">
        <f t="shared" si="27"/>
        <v>25760</v>
      </c>
      <c r="AE89" s="337">
        <f t="shared" si="28"/>
        <v>52</v>
      </c>
      <c r="AF89" s="337" t="str">
        <f>IF(SUM(COUNTIF(H89,{"*Girl*","*Women*","*Woman*","*Female*","*Wo*","*Fe*","*F*"})),"F","M")</f>
        <v>M</v>
      </c>
      <c r="AG89" s="112"/>
      <c r="AH89" s="112"/>
      <c r="AI89" s="344" t="e">
        <f t="array" aca="1" ref="AI89" ca="1">(SMALL(IF(ISERROR(MATCH($AJ$3+ROW(OFFSET($A$3, 0,0, $AJ$4-$AJ$3+1))-2, $A$3:$A738,0)), $AJ$3+ROW(OFFSET($A$2,0, 0, $AJ$4-$AJ$3+1))-1), ROW(A88)))</f>
        <v>#NUM!</v>
      </c>
      <c r="AJ89" s="336">
        <f>Helpers!AY82</f>
        <v>0</v>
      </c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/>
      <c r="AV89"/>
      <c r="AW89" t="s">
        <v>2344</v>
      </c>
      <c r="AX89" s="56" t="s">
        <v>2505</v>
      </c>
      <c r="AY89" t="s">
        <v>2277</v>
      </c>
      <c r="AZ89" s="56" t="s">
        <v>2539</v>
      </c>
      <c r="BA89" s="56"/>
    </row>
    <row r="90" spans="1:53" ht="13.5" customHeight="1" thickBot="1">
      <c r="A90" s="111">
        <v>88</v>
      </c>
      <c r="B90" s="335" t="str">
        <f t="shared" si="20"/>
        <v>John Dalton</v>
      </c>
      <c r="C90" s="301" t="s">
        <v>1496</v>
      </c>
      <c r="D90" s="301" t="s">
        <v>1497</v>
      </c>
      <c r="E90"/>
      <c r="F90" s="336" t="str">
        <f>IF(SUM(COUNTIF(H90,{"*Girl*","*Women*","*Woman*","*Female*","*Wo*","*Fe*","*F*"})),"F","M")</f>
        <v>M</v>
      </c>
      <c r="G90" s="337" t="str">
        <f>IFERROR(IF(ISNUMBER(SEARCH("*",N90)),N90&amp;" "&amp;F90,IF(F90="M",LOOKUP(J90,AgeCategories!$A$3:$D$13),LOOKUP(J90,AgeCategories!$A$14:$D$24))),"Invalid Age")</f>
        <v>Master Men</v>
      </c>
      <c r="H90" s="302" t="s">
        <v>209</v>
      </c>
      <c r="I90" s="338">
        <f t="shared" si="21"/>
        <v>30432</v>
      </c>
      <c r="J90" s="340">
        <f>IFERROR(DATEDIF($I90,Helpers!$O$2,"y"),"ID No. needed")</f>
        <v>39</v>
      </c>
      <c r="K90"/>
      <c r="L90" s="300">
        <v>738865027</v>
      </c>
      <c r="M90" s="355" t="s">
        <v>1846</v>
      </c>
      <c r="N90" s="342"/>
      <c r="O90" s="308" t="b">
        <v>1</v>
      </c>
      <c r="P90" s="192" t="b">
        <f>NOT(ISNA(VLOOKUP(A90,SortedDownload!A:A,1,FALSE)))</f>
        <v>1</v>
      </c>
      <c r="Q90" s="373" t="s">
        <v>2631</v>
      </c>
      <c r="R90"/>
      <c r="S90" s="235"/>
      <c r="T90" s="235"/>
      <c r="U90" t="s">
        <v>2106</v>
      </c>
      <c r="V90" s="337" t="str">
        <f t="shared" si="22"/>
        <v>-</v>
      </c>
      <c r="W90" s="348" t="str">
        <f t="shared" si="23"/>
        <v>John Dalton</v>
      </c>
      <c r="X90" s="337" t="str">
        <f t="shared" si="24"/>
        <v>John</v>
      </c>
      <c r="Y90" s="337" t="str">
        <f t="shared" si="25"/>
        <v>Dalton</v>
      </c>
      <c r="Z90" s="337" t="str">
        <f t="shared" si="26"/>
        <v>J.Dalton</v>
      </c>
      <c r="AA90" s="349" t="str">
        <f t="shared" si="29"/>
        <v/>
      </c>
      <c r="AB90" s="349" t="str">
        <f t="shared" si="30"/>
        <v/>
      </c>
      <c r="AC90" s="337" t="str">
        <f>IFERROR(IF(ISNUMBER(SEARCH("*",N90)),N90&amp;" "&amp;F90,IF(F90="M",LOOKUP(J90,AgeCategories!$A$3:$F$11),LOOKUP(J90,AgeCategories!$A$14:$F$22))),"")</f>
        <v>MM</v>
      </c>
      <c r="AD90" s="350">
        <f t="shared" si="27"/>
        <v>30432</v>
      </c>
      <c r="AE90" s="337">
        <f t="shared" si="28"/>
        <v>39</v>
      </c>
      <c r="AF90" s="337" t="str">
        <f>IF(SUM(COUNTIF(H90,{"*Girl*","*Women*","*Woman*","*Female*","*Wo*","*Fe*","*F*"})),"F","M")</f>
        <v>M</v>
      </c>
      <c r="AG90" s="112"/>
      <c r="AH90" s="112"/>
      <c r="AI90" s="344" t="e">
        <f t="array" aca="1" ref="AI90" ca="1">(SMALL(IF(ISERROR(MATCH($AJ$3+ROW(OFFSET($A$3, 0,0, $AJ$4-$AJ$3+1))-2, $A$3:$A739,0)), $AJ$3+ROW(OFFSET($A$2,0, 0, $AJ$4-$AJ$3+1))-1), ROW(A89)))</f>
        <v>#NUM!</v>
      </c>
      <c r="AJ90" s="336">
        <f>Helpers!AY81</f>
        <v>0</v>
      </c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/>
      <c r="AV90"/>
      <c r="AW90" t="s">
        <v>2345</v>
      </c>
      <c r="AX90" s="56" t="s">
        <v>2478</v>
      </c>
      <c r="AY90" t="s">
        <v>2549</v>
      </c>
      <c r="AZ90" s="56" t="s">
        <v>2537</v>
      </c>
      <c r="BA90" s="56"/>
    </row>
    <row r="91" spans="1:53" ht="13.5" customHeight="1" thickBot="1">
      <c r="A91" s="111">
        <v>89</v>
      </c>
      <c r="B91" s="335" t="str">
        <f t="shared" si="20"/>
        <v>Nicholas Thompson</v>
      </c>
      <c r="C91" s="301" t="s">
        <v>1498</v>
      </c>
      <c r="D91" s="301" t="s">
        <v>1499</v>
      </c>
      <c r="E91"/>
      <c r="F91" s="336" t="str">
        <f>IF(SUM(COUNTIF(H91,{"*Girl*","*Women*","*Woman*","*Female*","*Wo*","*Fe*","*F*"})),"F","M")</f>
        <v>M</v>
      </c>
      <c r="G91" s="337" t="str">
        <f>IFERROR(IF(ISNUMBER(SEARCH("*",N91)),N91&amp;" "&amp;F91,IF(F91="M",LOOKUP(J91,AgeCategories!$A$3:$D$13),LOOKUP(J91,AgeCategories!$A$14:$D$24))),"Invalid Age")</f>
        <v>Master Men</v>
      </c>
      <c r="H91" s="302" t="s">
        <v>209</v>
      </c>
      <c r="I91" s="338">
        <f t="shared" si="21"/>
        <v>32743</v>
      </c>
      <c r="J91" s="340">
        <f>IFERROR(DATEDIF($I91,Helpers!$O$2,"y"),"ID No. needed")</f>
        <v>33</v>
      </c>
      <c r="K91"/>
      <c r="L91" s="300">
        <v>793654653</v>
      </c>
      <c r="M91" s="353" t="s">
        <v>1847</v>
      </c>
      <c r="N91" s="342"/>
      <c r="O91" s="308" t="b">
        <v>1</v>
      </c>
      <c r="P91" s="192" t="b">
        <f>NOT(ISNA(VLOOKUP(A91,SortedDownload!A:A,1,FALSE)))</f>
        <v>1</v>
      </c>
      <c r="Q91" s="373" t="s">
        <v>2631</v>
      </c>
      <c r="R91" s="309"/>
      <c r="S91" s="235"/>
      <c r="T91" s="235"/>
      <c r="U91" s="309" t="s">
        <v>2107</v>
      </c>
      <c r="V91" s="337" t="str">
        <f t="shared" si="22"/>
        <v>-</v>
      </c>
      <c r="W91" s="348" t="str">
        <f t="shared" si="23"/>
        <v>Nicholas Thompson</v>
      </c>
      <c r="X91" s="337" t="str">
        <f t="shared" si="24"/>
        <v>Nicholas</v>
      </c>
      <c r="Y91" s="337" t="str">
        <f t="shared" si="25"/>
        <v>Thompson</v>
      </c>
      <c r="Z91" s="337" t="str">
        <f t="shared" si="26"/>
        <v>N.Thompson</v>
      </c>
      <c r="AA91" s="349" t="str">
        <f t="shared" si="29"/>
        <v/>
      </c>
      <c r="AB91" s="349" t="str">
        <f t="shared" si="30"/>
        <v/>
      </c>
      <c r="AC91" s="337" t="str">
        <f>IFERROR(IF(ISNUMBER(SEARCH("*",N91)),N91&amp;" "&amp;F91,IF(F91="M",LOOKUP(J91,AgeCategories!$A$3:$F$11),LOOKUP(J91,AgeCategories!$A$14:$F$22))),"")</f>
        <v>MM</v>
      </c>
      <c r="AD91" s="350">
        <f t="shared" si="27"/>
        <v>32743</v>
      </c>
      <c r="AE91" s="337">
        <f t="shared" si="28"/>
        <v>33</v>
      </c>
      <c r="AF91" s="337" t="str">
        <f>IF(SUM(COUNTIF(H91,{"*Girl*","*Women*","*Woman*","*Female*","*Wo*","*Fe*","*F*"})),"F","M")</f>
        <v>M</v>
      </c>
      <c r="AG91" s="112"/>
      <c r="AH91" s="112"/>
      <c r="AI91" s="344" t="e">
        <f t="array" aca="1" ref="AI91" ca="1">(SMALL(IF(ISERROR(MATCH($AJ$3+ROW(OFFSET($A$3, 0,0, $AJ$4-$AJ$3+1))-2, $A$3:$A740,0)), $AJ$3+ROW(OFFSET($A$2,0, 0, $AJ$4-$AJ$3+1))-1), ROW(A90)))</f>
        <v>#NUM!</v>
      </c>
      <c r="AJ91" s="336">
        <f>Helpers!AY80</f>
        <v>0</v>
      </c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/>
      <c r="AV91"/>
      <c r="AW91" t="s">
        <v>2346</v>
      </c>
      <c r="AX91" s="56" t="s">
        <v>2478</v>
      </c>
      <c r="AY91"/>
      <c r="AZ91" s="56" t="s">
        <v>2539</v>
      </c>
      <c r="BA91" s="56"/>
    </row>
    <row r="92" spans="1:53" ht="13.5" customHeight="1" thickBot="1">
      <c r="A92" s="111">
        <v>90</v>
      </c>
      <c r="B92" s="335" t="str">
        <f t="shared" si="20"/>
        <v>Jedri Visser</v>
      </c>
      <c r="C92" t="s">
        <v>1500</v>
      </c>
      <c r="D92" t="s">
        <v>1501</v>
      </c>
      <c r="E92"/>
      <c r="F92" s="336" t="str">
        <f>IF(SUM(COUNTIF(H92,{"*Girl*","*Women*","*Woman*","*Female*","*Wo*","*Fe*","*F*"})),"F","M")</f>
        <v>M</v>
      </c>
      <c r="G92" s="337" t="str">
        <f>IFERROR(IF(ISNUMBER(SEARCH("*",N92)),N92&amp;" "&amp;F92,IF(F92="M",LOOKUP(J92,AgeCategories!$A$3:$D$13),LOOKUP(J92,AgeCategories!$A$14:$D$24))),"Invalid Age")</f>
        <v>Master Men</v>
      </c>
      <c r="H92" t="s">
        <v>209</v>
      </c>
      <c r="I92" s="338">
        <f t="shared" si="21"/>
        <v>32574</v>
      </c>
      <c r="J92" s="340">
        <f>IFERROR(DATEDIF($I92,Helpers!$O$2,"y"),"ID No. needed")</f>
        <v>33</v>
      </c>
      <c r="K92"/>
      <c r="L92" s="300">
        <v>723198681</v>
      </c>
      <c r="M92" s="353" t="s">
        <v>1848</v>
      </c>
      <c r="N92" s="343"/>
      <c r="O92" s="308" t="b">
        <v>1</v>
      </c>
      <c r="P92" s="241" t="b">
        <f>NOT(ISNA(VLOOKUP(A92,SortedDownload!A:A,1,FALSE)))</f>
        <v>1</v>
      </c>
      <c r="Q92" s="374" t="s">
        <v>2631</v>
      </c>
      <c r="R92"/>
      <c r="S92" s="235"/>
      <c r="T92" s="235"/>
      <c r="U92" t="s">
        <v>2108</v>
      </c>
      <c r="V92" s="337" t="str">
        <f t="shared" si="22"/>
        <v>-</v>
      </c>
      <c r="W92" s="348" t="str">
        <f t="shared" si="23"/>
        <v>Jedri Visser</v>
      </c>
      <c r="X92" s="337" t="str">
        <f t="shared" si="24"/>
        <v>Jedri</v>
      </c>
      <c r="Y92" s="337" t="str">
        <f t="shared" si="25"/>
        <v>Visser</v>
      </c>
      <c r="Z92" s="337" t="str">
        <f t="shared" si="26"/>
        <v>J.Visser</v>
      </c>
      <c r="AA92" s="349" t="str">
        <f t="shared" si="29"/>
        <v/>
      </c>
      <c r="AB92" s="349" t="str">
        <f t="shared" si="30"/>
        <v/>
      </c>
      <c r="AC92" s="337" t="str">
        <f>IFERROR(IF(ISNUMBER(SEARCH("*",N92)),N92&amp;" "&amp;F92,IF(F92="M",LOOKUP(J92,AgeCategories!$A$3:$F$11),LOOKUP(J92,AgeCategories!$A$14:$F$22))),"")</f>
        <v>MM</v>
      </c>
      <c r="AD92" s="350">
        <f t="shared" si="27"/>
        <v>32574</v>
      </c>
      <c r="AE92" s="337">
        <f t="shared" si="28"/>
        <v>33</v>
      </c>
      <c r="AF92" s="337" t="str">
        <f>IF(SUM(COUNTIF(H92,{"*Girl*","*Women*","*Woman*","*Female*","*Wo*","*Fe*","*F*"})),"F","M")</f>
        <v>M</v>
      </c>
      <c r="AG92" s="112"/>
      <c r="AH92" s="112"/>
      <c r="AI92" s="344" t="e">
        <f t="array" aca="1" ref="AI92" ca="1">(SMALL(IF(ISERROR(MATCH($AJ$3+ROW(OFFSET($A$3, 0,0, $AJ$4-$AJ$3+1))-2, $A$3:$A741,0)), $AJ$3+ROW(OFFSET($A$2,0, 0, $AJ$4-$AJ$3+1))-1), ROW(A91)))</f>
        <v>#NUM!</v>
      </c>
      <c r="AJ92" s="336">
        <f>Helpers!AY58</f>
        <v>0</v>
      </c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/>
      <c r="AV92"/>
      <c r="AW92" t="s">
        <v>2347</v>
      </c>
      <c r="AX92" s="56" t="s">
        <v>2478</v>
      </c>
      <c r="AY92" t="s">
        <v>2549</v>
      </c>
      <c r="AZ92" s="56" t="s">
        <v>2543</v>
      </c>
      <c r="BA92" s="56"/>
    </row>
    <row r="93" spans="1:53" ht="13.5" customHeight="1" thickBot="1">
      <c r="A93" s="111">
        <v>91</v>
      </c>
      <c r="B93" s="335" t="str">
        <f t="shared" si="20"/>
        <v>Grant Morris</v>
      </c>
      <c r="C93" t="s">
        <v>1502</v>
      </c>
      <c r="D93" t="s">
        <v>1503</v>
      </c>
      <c r="E93"/>
      <c r="F93" s="336" t="str">
        <f>IF(SUM(COUNTIF(H93,{"*Girl*","*Women*","*Woman*","*Female*","*Wo*","*Fe*","*F*"})),"F","M")</f>
        <v>M</v>
      </c>
      <c r="G93" s="337" t="str">
        <f>IFERROR(IF(ISNUMBER(SEARCH("*",N93)),N93&amp;" "&amp;F93,IF(F93="M",LOOKUP(J93,AgeCategories!$A$3:$D$13),LOOKUP(J93,AgeCategories!$A$14:$D$24))),"Invalid Age")</f>
        <v>Elite Men</v>
      </c>
      <c r="H93" t="s">
        <v>209</v>
      </c>
      <c r="I93" s="338">
        <f t="shared" si="21"/>
        <v>34973</v>
      </c>
      <c r="J93" s="340">
        <f>IFERROR(DATEDIF($I93,Helpers!$O$2,"y"),"ID No. needed")</f>
        <v>27</v>
      </c>
      <c r="K93"/>
      <c r="L93" s="300">
        <v>725226448</v>
      </c>
      <c r="M93" s="353" t="s">
        <v>1849</v>
      </c>
      <c r="N93" s="343"/>
      <c r="O93" s="308" t="b">
        <v>1</v>
      </c>
      <c r="P93" s="241" t="b">
        <f>NOT(ISNA(VLOOKUP(A93,SortedDownload!A:A,1,FALSE)))</f>
        <v>1</v>
      </c>
      <c r="Q93" s="374" t="s">
        <v>2631</v>
      </c>
      <c r="R93" s="75"/>
      <c r="S93" s="235"/>
      <c r="T93" s="235"/>
      <c r="U93" s="75" t="s">
        <v>2109</v>
      </c>
      <c r="V93" s="337" t="str">
        <f t="shared" si="22"/>
        <v>-</v>
      </c>
      <c r="W93" s="348" t="str">
        <f t="shared" si="23"/>
        <v>Grant Morris</v>
      </c>
      <c r="X93" s="337" t="str">
        <f t="shared" si="24"/>
        <v>Grant</v>
      </c>
      <c r="Y93" s="337" t="str">
        <f t="shared" si="25"/>
        <v>Morris</v>
      </c>
      <c r="Z93" s="337" t="str">
        <f t="shared" si="26"/>
        <v>G.Morris</v>
      </c>
      <c r="AA93" s="349" t="str">
        <f t="shared" si="29"/>
        <v/>
      </c>
      <c r="AB93" s="349" t="str">
        <f t="shared" si="30"/>
        <v/>
      </c>
      <c r="AC93" s="337" t="str">
        <f>IFERROR(IF(ISNUMBER(SEARCH("*",N93)),N93&amp;" "&amp;F93,IF(F93="M",LOOKUP(J93,AgeCategories!$A$3:$F$11),LOOKUP(J93,AgeCategories!$A$14:$F$22))),"")</f>
        <v>EM</v>
      </c>
      <c r="AD93" s="350">
        <f t="shared" si="27"/>
        <v>34973</v>
      </c>
      <c r="AE93" s="337">
        <f t="shared" si="28"/>
        <v>27</v>
      </c>
      <c r="AF93" s="337" t="str">
        <f>IF(SUM(COUNTIF(H93,{"*Girl*","*Women*","*Woman*","*Female*","*Wo*","*Fe*","*F*"})),"F","M")</f>
        <v>M</v>
      </c>
      <c r="AG93" s="112"/>
      <c r="AH93" s="112"/>
      <c r="AI93" s="344" t="e">
        <f t="array" aca="1" ref="AI93" ca="1">(SMALL(IF(ISERROR(MATCH($AJ$3+ROW(OFFSET($A$3, 0,0, $AJ$4-$AJ$3+1))-2, $A$3:$A742,0)), $AJ$3+ROW(OFFSET($A$2,0, 0, $AJ$4-$AJ$3+1))-1), ROW(A92)))</f>
        <v>#NUM!</v>
      </c>
      <c r="AJ93" s="336">
        <f>Helpers!AY49</f>
        <v>0</v>
      </c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/>
      <c r="AV93"/>
      <c r="AW93" t="s">
        <v>2348</v>
      </c>
      <c r="AX93" s="56" t="s">
        <v>2478</v>
      </c>
      <c r="AY93" t="s">
        <v>2277</v>
      </c>
      <c r="AZ93" s="56" t="s">
        <v>2537</v>
      </c>
      <c r="BA93" s="56"/>
    </row>
    <row r="94" spans="1:53" ht="13.5" customHeight="1" thickBot="1">
      <c r="A94" s="111">
        <v>92</v>
      </c>
      <c r="B94" s="335" t="str">
        <f t="shared" si="20"/>
        <v>Jaco Van Der Linde</v>
      </c>
      <c r="C94" s="301" t="s">
        <v>642</v>
      </c>
      <c r="D94" s="301" t="s">
        <v>1504</v>
      </c>
      <c r="E94"/>
      <c r="F94" s="336" t="str">
        <f>IF(SUM(COUNTIF(H94,{"*Girl*","*Women*","*Woman*","*Female*","*Wo*","*Fe*","*F*"})),"F","M")</f>
        <v>M</v>
      </c>
      <c r="G94" s="337" t="str">
        <f>IFERROR(IF(ISNUMBER(SEARCH("*",N94)),N94&amp;" "&amp;F94,IF(F94="M",LOOKUP(J94,AgeCategories!$A$3:$D$13),LOOKUP(J94,AgeCategories!$A$14:$D$24))),"Invalid Age")</f>
        <v>Master Men</v>
      </c>
      <c r="H94" s="302" t="s">
        <v>209</v>
      </c>
      <c r="I94" s="338">
        <f t="shared" si="21"/>
        <v>30900</v>
      </c>
      <c r="J94" s="340">
        <f>IFERROR(DATEDIF($I94,Helpers!$O$2,"y"),"ID No. needed")</f>
        <v>38</v>
      </c>
      <c r="K94"/>
      <c r="L94" s="300">
        <v>27611556677</v>
      </c>
      <c r="M94" s="353" t="s">
        <v>1850</v>
      </c>
      <c r="N94" s="342"/>
      <c r="O94" s="308" t="b">
        <v>1</v>
      </c>
      <c r="P94" s="241" t="b">
        <f>NOT(ISNA(VLOOKUP(A94,SortedDownload!A:A,1,FALSE)))</f>
        <v>1</v>
      </c>
      <c r="Q94" s="373" t="s">
        <v>2728</v>
      </c>
      <c r="R94" s="309"/>
      <c r="S94" s="235"/>
      <c r="T94" s="235"/>
      <c r="U94" s="309" t="s">
        <v>2110</v>
      </c>
      <c r="V94" s="337" t="str">
        <f t="shared" si="22"/>
        <v>-</v>
      </c>
      <c r="W94" s="348" t="str">
        <f t="shared" si="23"/>
        <v>Jaco Van Der Linde</v>
      </c>
      <c r="X94" s="337" t="str">
        <f t="shared" si="24"/>
        <v>Jaco</v>
      </c>
      <c r="Y94" s="337" t="str">
        <f t="shared" si="25"/>
        <v>Van Der Linde</v>
      </c>
      <c r="Z94" s="337" t="str">
        <f t="shared" si="26"/>
        <v>J.Van Der Linde</v>
      </c>
      <c r="AA94" s="349" t="str">
        <f t="shared" si="29"/>
        <v/>
      </c>
      <c r="AB94" s="349" t="str">
        <f t="shared" si="30"/>
        <v/>
      </c>
      <c r="AC94" s="337" t="str">
        <f>IFERROR(IF(ISNUMBER(SEARCH("*",N94)),N94&amp;" "&amp;F94,IF(F94="M",LOOKUP(J94,AgeCategories!$A$3:$F$11),LOOKUP(J94,AgeCategories!$A$14:$F$22))),"")</f>
        <v>MM</v>
      </c>
      <c r="AD94" s="350">
        <f t="shared" si="27"/>
        <v>30900</v>
      </c>
      <c r="AE94" s="337">
        <f t="shared" si="28"/>
        <v>38</v>
      </c>
      <c r="AF94" s="337" t="str">
        <f>IF(SUM(COUNTIF(H94,{"*Girl*","*Women*","*Woman*","*Female*","*Wo*","*Fe*","*F*"})),"F","M")</f>
        <v>M</v>
      </c>
      <c r="AG94" s="112"/>
      <c r="AH94" s="112"/>
      <c r="AI94" s="344" t="e">
        <f t="array" aca="1" ref="AI94" ca="1">(SMALL(IF(ISERROR(MATCH($AJ$3+ROW(OFFSET($A$3, 0,0, $AJ$4-$AJ$3+1))-2, $A$3:$A743,0)), $AJ$3+ROW(OFFSET($A$2,0, 0, $AJ$4-$AJ$3+1))-1), ROW(A93)))</f>
        <v>#NUM!</v>
      </c>
      <c r="AJ94" s="336">
        <f>Helpers!AY79</f>
        <v>0</v>
      </c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/>
      <c r="AV94"/>
      <c r="AW94" t="s">
        <v>2349</v>
      </c>
      <c r="AX94" s="56" t="s">
        <v>2506</v>
      </c>
      <c r="AY94"/>
      <c r="AZ94" s="56" t="s">
        <v>2539</v>
      </c>
      <c r="BA94" s="56"/>
    </row>
    <row r="95" spans="1:53" ht="13.5" thickBot="1">
      <c r="A95" s="111">
        <v>93</v>
      </c>
      <c r="B95" s="335" t="str">
        <f t="shared" si="20"/>
        <v>Michael Morgan</v>
      </c>
      <c r="C95" s="301" t="s">
        <v>637</v>
      </c>
      <c r="D95" s="301" t="s">
        <v>1474</v>
      </c>
      <c r="E95"/>
      <c r="F95" s="336" t="str">
        <f>IF(SUM(COUNTIF(H95,{"*Girl*","*Women*","*Woman*","*Female*","*Wo*","*Fe*","*F*"})),"F","M")</f>
        <v>M</v>
      </c>
      <c r="G95" s="337" t="str">
        <f>IFERROR(IF(ISNUMBER(SEARCH("*",N95)),N95&amp;" "&amp;F95,IF(F95="M",LOOKUP(J95,AgeCategories!$A$3:$D$13),LOOKUP(J95,AgeCategories!$A$14:$D$24))),"Invalid Age")</f>
        <v>Lite M</v>
      </c>
      <c r="H95" s="302" t="s">
        <v>209</v>
      </c>
      <c r="I95" s="338">
        <f t="shared" si="21"/>
        <v>39362</v>
      </c>
      <c r="J95" s="340">
        <f>IFERROR(DATEDIF($I95,Helpers!$O$2,"y"),"ID No. needed")</f>
        <v>15</v>
      </c>
      <c r="K95"/>
      <c r="L95" s="300">
        <v>722152968</v>
      </c>
      <c r="M95" s="353" t="s">
        <v>1851</v>
      </c>
      <c r="N95" s="341" t="s">
        <v>2601</v>
      </c>
      <c r="O95" s="308" t="b">
        <v>1</v>
      </c>
      <c r="P95" s="241" t="b">
        <f>NOT(ISNA(VLOOKUP(A95,SortedDownload!A:A,1,FALSE)))</f>
        <v>1</v>
      </c>
      <c r="Q95" s="373" t="s">
        <v>2601</v>
      </c>
      <c r="R95"/>
      <c r="S95" s="235"/>
      <c r="T95" s="235"/>
      <c r="U95" t="s">
        <v>2111</v>
      </c>
      <c r="V95" s="337" t="str">
        <f t="shared" si="22"/>
        <v>-</v>
      </c>
      <c r="W95" s="348" t="str">
        <f t="shared" si="23"/>
        <v>Michael Morgan</v>
      </c>
      <c r="X95" s="337" t="str">
        <f t="shared" si="24"/>
        <v>Michael</v>
      </c>
      <c r="Y95" s="337" t="str">
        <f t="shared" si="25"/>
        <v>Morgan</v>
      </c>
      <c r="Z95" s="337" t="str">
        <f t="shared" si="26"/>
        <v>M.Morgan</v>
      </c>
      <c r="AA95" s="349" t="str">
        <f t="shared" si="29"/>
        <v/>
      </c>
      <c r="AB95" s="349" t="str">
        <f t="shared" si="30"/>
        <v/>
      </c>
      <c r="AC95" s="337" t="str">
        <f>IFERROR(IF(ISNUMBER(SEARCH("*",N95)),N95&amp;" "&amp;F95,IF(F95="M",LOOKUP(J95,AgeCategories!$A$3:$F$11),LOOKUP(J95,AgeCategories!$A$14:$F$22))),"")</f>
        <v>Lite M</v>
      </c>
      <c r="AD95" s="350">
        <f t="shared" si="27"/>
        <v>39362</v>
      </c>
      <c r="AE95" s="337">
        <f t="shared" si="28"/>
        <v>15</v>
      </c>
      <c r="AF95" s="337" t="str">
        <f>IF(SUM(COUNTIF(H95,{"*Girl*","*Women*","*Woman*","*Female*","*Wo*","*Fe*","*F*"})),"F","M")</f>
        <v>M</v>
      </c>
      <c r="AG95" s="112"/>
      <c r="AH95" s="112"/>
      <c r="AI95" s="344" t="e">
        <f t="array" aca="1" ref="AI95" ca="1">(SMALL(IF(ISERROR(MATCH($AJ$3+ROW(OFFSET($A$3, 0,0, $AJ$4-$AJ$3+1))-2, $A$3:$A744,0)), $AJ$3+ROW(OFFSET($A$2,0, 0, $AJ$4-$AJ$3+1))-1), ROW(A94)))</f>
        <v>#NUM!</v>
      </c>
      <c r="AJ95" s="336">
        <f>Helpers!AY78</f>
        <v>0</v>
      </c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/>
      <c r="AV95"/>
      <c r="AW95" t="s">
        <v>2350</v>
      </c>
      <c r="AX95" s="56" t="s">
        <v>2478</v>
      </c>
      <c r="AY95" t="s">
        <v>2548</v>
      </c>
      <c r="AZ95" s="56" t="s">
        <v>2537</v>
      </c>
      <c r="BA95" s="56"/>
    </row>
    <row r="96" spans="1:53" ht="13.5" customHeight="1" thickBot="1">
      <c r="A96" s="111">
        <v>94</v>
      </c>
      <c r="B96" s="335" t="str">
        <f t="shared" si="20"/>
        <v>Christo Van Den Heever</v>
      </c>
      <c r="C96" t="s">
        <v>1505</v>
      </c>
      <c r="D96" t="s">
        <v>1506</v>
      </c>
      <c r="E96"/>
      <c r="F96" s="336" t="str">
        <f>IF(SUM(COUNTIF(H96,{"*Girl*","*Women*","*Woman*","*Female*","*Wo*","*Fe*","*F*"})),"F","M")</f>
        <v>M</v>
      </c>
      <c r="G96" s="337" t="str">
        <f>IFERROR(IF(ISNUMBER(SEARCH("*",N96)),N96&amp;" "&amp;F96,IF(F96="M",LOOKUP(J96,AgeCategories!$A$3:$D$13),LOOKUP(J96,AgeCategories!$A$14:$D$24))),"Invalid Age")</f>
        <v>Master Men</v>
      </c>
      <c r="H96" t="s">
        <v>209</v>
      </c>
      <c r="I96" s="338">
        <f t="shared" si="21"/>
        <v>23988</v>
      </c>
      <c r="J96" s="340">
        <f>IFERROR(DATEDIF($I96,Helpers!$O$2,"y"),"ID No. needed")</f>
        <v>57</v>
      </c>
      <c r="K96"/>
      <c r="L96" s="300">
        <v>27828993548</v>
      </c>
      <c r="M96" s="353" t="s">
        <v>1852</v>
      </c>
      <c r="N96" s="342"/>
      <c r="O96" s="308" t="b">
        <v>1</v>
      </c>
      <c r="P96" s="241" t="b">
        <f>NOT(ISNA(VLOOKUP(A96,SortedDownload!A:A,1,FALSE)))</f>
        <v>1</v>
      </c>
      <c r="Q96" s="373" t="s">
        <v>2728</v>
      </c>
      <c r="R96" s="75"/>
      <c r="S96" s="235"/>
      <c r="T96" s="235"/>
      <c r="U96" s="75" t="s">
        <v>2112</v>
      </c>
      <c r="V96" s="337" t="str">
        <f t="shared" si="22"/>
        <v>-</v>
      </c>
      <c r="W96" s="348" t="str">
        <f t="shared" si="23"/>
        <v>Christo Van Den Heever</v>
      </c>
      <c r="X96" s="337" t="str">
        <f t="shared" si="24"/>
        <v>Christo</v>
      </c>
      <c r="Y96" s="337" t="str">
        <f t="shared" si="25"/>
        <v>Van Den Heever</v>
      </c>
      <c r="Z96" s="337" t="str">
        <f t="shared" si="26"/>
        <v>C.Van Den Heever</v>
      </c>
      <c r="AA96" s="349" t="str">
        <f t="shared" si="29"/>
        <v/>
      </c>
      <c r="AB96" s="349" t="str">
        <f t="shared" si="30"/>
        <v/>
      </c>
      <c r="AC96" s="337" t="str">
        <f>IFERROR(IF(ISNUMBER(SEARCH("*",N96)),N96&amp;" "&amp;F96,IF(F96="M",LOOKUP(J96,AgeCategories!$A$3:$F$11),LOOKUP(J96,AgeCategories!$A$14:$F$22))),"")</f>
        <v>MM</v>
      </c>
      <c r="AD96" s="350">
        <f t="shared" si="27"/>
        <v>23988</v>
      </c>
      <c r="AE96" s="337">
        <f t="shared" si="28"/>
        <v>57</v>
      </c>
      <c r="AF96" s="337" t="str">
        <f>IF(SUM(COUNTIF(H96,{"*Girl*","*Women*","*Woman*","*Female*","*Wo*","*Fe*","*F*"})),"F","M")</f>
        <v>M</v>
      </c>
      <c r="AG96" s="112"/>
      <c r="AH96" s="112"/>
      <c r="AI96" s="344" t="e">
        <f t="array" aca="1" ref="AI96" ca="1">(SMALL(IF(ISERROR(MATCH($AJ$3+ROW(OFFSET($A$3, 0,0, $AJ$4-$AJ$3+1))-2, $A$3:$A745,0)), $AJ$3+ROW(OFFSET($A$2,0, 0, $AJ$4-$AJ$3+1))-1), ROW(A95)))</f>
        <v>#NUM!</v>
      </c>
      <c r="AJ96" s="336">
        <f>Helpers!AY48</f>
        <v>0</v>
      </c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/>
      <c r="AV96"/>
      <c r="AW96" t="s">
        <v>2351</v>
      </c>
      <c r="AX96" s="56" t="s">
        <v>2478</v>
      </c>
      <c r="AY96" t="s">
        <v>2547</v>
      </c>
      <c r="AZ96" s="56" t="s">
        <v>2538</v>
      </c>
      <c r="BA96" s="56"/>
    </row>
    <row r="97" spans="1:53" ht="13.5" customHeight="1" thickBot="1">
      <c r="A97" s="111">
        <v>296</v>
      </c>
      <c r="B97" s="335" t="str">
        <f t="shared" si="20"/>
        <v>Daniel Franken</v>
      </c>
      <c r="C97" s="301" t="s">
        <v>1507</v>
      </c>
      <c r="D97" s="301" t="s">
        <v>1508</v>
      </c>
      <c r="E97"/>
      <c r="F97" s="336" t="str">
        <f>IF(SUM(COUNTIF(H97,{"*Girl*","*Women*","*Woman*","*Female*","*Wo*","*Fe*","*F*"})),"F","M")</f>
        <v>M</v>
      </c>
      <c r="G97" s="337" t="str">
        <f>IFERROR(IF(ISNUMBER(SEARCH("*",N97)),N97&amp;" "&amp;F97,IF(F97="M",LOOKUP(J97,AgeCategories!$A$3:$D$13),LOOKUP(J97,AgeCategories!$A$14:$D$24))),"Invalid Age")</f>
        <v>Youth Men</v>
      </c>
      <c r="H97" s="302" t="s">
        <v>209</v>
      </c>
      <c r="I97" s="338">
        <f t="shared" si="21"/>
        <v>39207</v>
      </c>
      <c r="J97" s="340">
        <f>IFERROR(DATEDIF($I97,Helpers!$O$2,"y"),"ID No. needed")</f>
        <v>15</v>
      </c>
      <c r="K97"/>
      <c r="L97" s="300"/>
      <c r="M97" s="372" t="s">
        <v>2613</v>
      </c>
      <c r="N97" s="342"/>
      <c r="O97" s="308" t="b">
        <v>1</v>
      </c>
      <c r="P97" s="241" t="b">
        <f>NOT(ISNA(VLOOKUP(A97,SortedDownload!A:A,1,FALSE)))</f>
        <v>1</v>
      </c>
      <c r="Q97" s="373" t="s">
        <v>2631</v>
      </c>
      <c r="R97"/>
      <c r="S97" s="235"/>
      <c r="T97" s="235"/>
      <c r="U97" t="s">
        <v>2113</v>
      </c>
      <c r="V97" s="337" t="str">
        <f t="shared" si="22"/>
        <v>-</v>
      </c>
      <c r="W97" s="348" t="str">
        <f t="shared" si="23"/>
        <v>Daniel Franken</v>
      </c>
      <c r="X97" s="337" t="str">
        <f t="shared" si="24"/>
        <v>Daniel</v>
      </c>
      <c r="Y97" s="337" t="str">
        <f t="shared" si="25"/>
        <v>Franken</v>
      </c>
      <c r="Z97" s="337" t="str">
        <f t="shared" si="26"/>
        <v>D.Franken</v>
      </c>
      <c r="AA97" s="349" t="str">
        <f t="shared" si="29"/>
        <v/>
      </c>
      <c r="AB97" s="349" t="str">
        <f t="shared" si="30"/>
        <v/>
      </c>
      <c r="AC97" s="337" t="str">
        <f>IFERROR(IF(ISNUMBER(SEARCH("*",N97)),N97&amp;" "&amp;F97,IF(F97="M",LOOKUP(J97,AgeCategories!$A$3:$F$11),LOOKUP(J97,AgeCategories!$A$14:$F$22))),"")</f>
        <v>YM</v>
      </c>
      <c r="AD97" s="350">
        <f t="shared" si="27"/>
        <v>39207</v>
      </c>
      <c r="AE97" s="337">
        <f t="shared" si="28"/>
        <v>15</v>
      </c>
      <c r="AF97" s="337" t="str">
        <f>IF(SUM(COUNTIF(H97,{"*Girl*","*Women*","*Woman*","*Female*","*Wo*","*Fe*","*F*"})),"F","M")</f>
        <v>M</v>
      </c>
      <c r="AG97" s="112"/>
      <c r="AH97" s="112"/>
      <c r="AI97" s="344" t="e">
        <f t="array" aca="1" ref="AI97" ca="1">(SMALL(IF(ISERROR(MATCH($AJ$3+ROW(OFFSET($A$3, 0,0, $AJ$4-$AJ$3+1))-2, $A$3:$A746,0)), $AJ$3+ROW(OFFSET($A$2,0, 0, $AJ$4-$AJ$3+1))-1), ROW(#REF!)))</f>
        <v>#REF!</v>
      </c>
      <c r="AJ97" s="336">
        <f>Helpers!AY77</f>
        <v>0</v>
      </c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/>
      <c r="AV97"/>
      <c r="AW97" t="s">
        <v>2352</v>
      </c>
      <c r="AX97" s="56" t="s">
        <v>2507</v>
      </c>
      <c r="AY97" t="s">
        <v>2548</v>
      </c>
      <c r="AZ97" s="56" t="s">
        <v>2538</v>
      </c>
      <c r="BA97" s="56"/>
    </row>
    <row r="98" spans="1:53" ht="13.5" thickBot="1">
      <c r="A98" s="111">
        <v>96</v>
      </c>
      <c r="B98" s="335" t="str">
        <f t="shared" ref="B98:B129" si="31">PROPER($C98&amp;" "&amp;$D98)</f>
        <v>Sven Etsebeth</v>
      </c>
      <c r="C98" s="301" t="s">
        <v>1390</v>
      </c>
      <c r="D98" s="301" t="s">
        <v>1509</v>
      </c>
      <c r="E98"/>
      <c r="F98" s="336" t="str">
        <f>IF(SUM(COUNTIF(H98,{"*Girl*","*Women*","*Woman*","*Female*","*Wo*","*Fe*","*F*"})),"F","M")</f>
        <v>M</v>
      </c>
      <c r="G98" s="337" t="str">
        <f>IFERROR(IF(ISNUMBER(SEARCH("*",N98)),N98&amp;" "&amp;F98,IF(F98="M",LOOKUP(J98,AgeCategories!$A$3:$D$13),LOOKUP(J98,AgeCategories!$A$14:$D$24))),"Invalid Age")</f>
        <v>Sprog Boys</v>
      </c>
      <c r="H98" s="302" t="s">
        <v>209</v>
      </c>
      <c r="I98" s="338">
        <f t="shared" ref="I98:I129" si="32">IFERROR(--TEXT(IF((--LEFT($M98,2))&lt;30,"20","19")&amp;LEFT($M98,6),"0000\-00\-00"),"ID No. needed")</f>
        <v>40443</v>
      </c>
      <c r="J98" s="340">
        <f>IFERROR(DATEDIF($I98,Helpers!$O$2,"y"),"ID No. needed")</f>
        <v>12</v>
      </c>
      <c r="K98"/>
      <c r="L98" s="300">
        <v>823787170</v>
      </c>
      <c r="M98" s="353" t="s">
        <v>1853</v>
      </c>
      <c r="N98" s="341"/>
      <c r="O98" s="308" t="b">
        <v>1</v>
      </c>
      <c r="P98" s="241" t="b">
        <f>NOT(ISNA(VLOOKUP(A98,SortedDownload!A:A,1,FALSE)))</f>
        <v>1</v>
      </c>
      <c r="Q98" s="373" t="s">
        <v>2601</v>
      </c>
      <c r="R98"/>
      <c r="S98" s="235"/>
      <c r="T98" s="235"/>
      <c r="U98" t="s">
        <v>2114</v>
      </c>
      <c r="V98" s="337" t="str">
        <f t="shared" ref="V98:V129" si="33">IF(K98="", "-", K98)</f>
        <v>-</v>
      </c>
      <c r="W98" s="348" t="str">
        <f t="shared" ref="W98:W129" si="34">B98</f>
        <v>Sven Etsebeth</v>
      </c>
      <c r="X98" s="337" t="str">
        <f t="shared" ref="X98:X129" si="35">LEFT($W98, SEARCH(" ", $W98) - 1)</f>
        <v>Sven</v>
      </c>
      <c r="Y98" s="337" t="str">
        <f t="shared" ref="Y98:Y129" si="36">RIGHT($W98, LEN($W98) - SEARCH(" ", $W98))</f>
        <v>Etsebeth</v>
      </c>
      <c r="Z98" s="337" t="str">
        <f t="shared" ref="Z98:Z129" si="37">CONCATENATE(LEFT($X98,1),".",$Y98)</f>
        <v>S.Etsebeth</v>
      </c>
      <c r="AA98" s="349" t="str">
        <f t="shared" si="29"/>
        <v/>
      </c>
      <c r="AB98" s="349" t="str">
        <f t="shared" si="30"/>
        <v/>
      </c>
      <c r="AC98" s="337" t="str">
        <f>IFERROR(IF(ISNUMBER(SEARCH("*",N98)),N98&amp;" "&amp;F98,IF(F98="M",LOOKUP(J98,AgeCategories!$A$3:$F$11),LOOKUP(J98,AgeCategories!$A$14:$F$22))),"")</f>
        <v>SB</v>
      </c>
      <c r="AD98" s="350">
        <f t="shared" ref="AD98:AD129" si="38">--TEXT(IF((--LEFT($M98,2))&lt;30,"20","19")&amp;LEFT($M98,6),"0000\-00\-00")</f>
        <v>40443</v>
      </c>
      <c r="AE98" s="337">
        <f t="shared" ref="AE98:AE129" si="39">DATEDIF($I98,$V$1,"y")</f>
        <v>12</v>
      </c>
      <c r="AF98" s="337" t="str">
        <f>IF(SUM(COUNTIF(H98,{"*Girl*","*Women*","*Woman*","*Female*","*Wo*","*Fe*","*F*"})),"F","M")</f>
        <v>M</v>
      </c>
      <c r="AG98" s="112"/>
      <c r="AH98" s="112"/>
      <c r="AI98" s="344" t="e">
        <f t="array" aca="1" ref="AI98" ca="1">(SMALL(IF(ISERROR(MATCH($AJ$3+ROW(OFFSET($A$3, 0,0, $AJ$4-$AJ$3+1))-2, $A$3:$A746,0)), $AJ$3+ROW(OFFSET($A$2,0, 0, $AJ$4-$AJ$3+1))-1), ROW(A97)))</f>
        <v>#NUM!</v>
      </c>
      <c r="AJ98" s="336">
        <f>Helpers!AY75</f>
        <v>0</v>
      </c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/>
      <c r="AV98"/>
      <c r="AW98" t="s">
        <v>2353</v>
      </c>
      <c r="AX98" s="56" t="s">
        <v>2478</v>
      </c>
      <c r="AY98"/>
      <c r="AZ98" s="56" t="s">
        <v>2537</v>
      </c>
      <c r="BA98" s="56"/>
    </row>
    <row r="99" spans="1:53" ht="13.5" thickBot="1">
      <c r="A99" s="111">
        <v>97</v>
      </c>
      <c r="B99" s="335" t="str">
        <f t="shared" si="31"/>
        <v>Amy Burton</v>
      </c>
      <c r="C99" s="301" t="s">
        <v>1510</v>
      </c>
      <c r="D99" s="301" t="s">
        <v>1511</v>
      </c>
      <c r="E99"/>
      <c r="F99" s="336" t="str">
        <f>IF(SUM(COUNTIF(H99,{"*Girl*","*Women*","*Woman*","*Female*","*Wo*","*Fe*","*F*"})),"F","M")</f>
        <v>F</v>
      </c>
      <c r="G99" s="337" t="str">
        <f>IFERROR(IF(ISNUMBER(SEARCH("*",N99)),N99&amp;" "&amp;F99,IF(F99="M",LOOKUP(J99,AgeCategories!$A$3:$D$13),LOOKUP(J99,AgeCategories!$A$14:$D$24))),"Invalid Age")</f>
        <v>Lite F</v>
      </c>
      <c r="H99" s="302" t="s">
        <v>210</v>
      </c>
      <c r="I99" s="338">
        <f t="shared" si="32"/>
        <v>31813</v>
      </c>
      <c r="J99" s="340">
        <f>IFERROR(DATEDIF($I99,Helpers!$O$2,"y"),"ID No. needed")</f>
        <v>35</v>
      </c>
      <c r="K99"/>
      <c r="L99" s="300">
        <v>832316885</v>
      </c>
      <c r="M99" s="353" t="s">
        <v>1854</v>
      </c>
      <c r="N99" s="341" t="s">
        <v>2601</v>
      </c>
      <c r="O99" s="308" t="b">
        <v>1</v>
      </c>
      <c r="P99" s="241" t="b">
        <f>NOT(ISNA(VLOOKUP(A99,SortedDownload!A:A,1,FALSE)))</f>
        <v>1</v>
      </c>
      <c r="Q99" s="373" t="s">
        <v>2601</v>
      </c>
      <c r="R99"/>
      <c r="S99" s="235"/>
      <c r="T99" s="235"/>
      <c r="U99" t="s">
        <v>2115</v>
      </c>
      <c r="V99" s="337" t="str">
        <f t="shared" si="33"/>
        <v>-</v>
      </c>
      <c r="W99" s="348" t="str">
        <f t="shared" si="34"/>
        <v>Amy Burton</v>
      </c>
      <c r="X99" s="337" t="str">
        <f t="shared" si="35"/>
        <v>Amy</v>
      </c>
      <c r="Y99" s="337" t="str">
        <f t="shared" si="36"/>
        <v>Burton</v>
      </c>
      <c r="Z99" s="337" t="str">
        <f t="shared" si="37"/>
        <v>A.Burton</v>
      </c>
      <c r="AA99" s="349" t="str">
        <f t="shared" si="29"/>
        <v/>
      </c>
      <c r="AB99" s="349" t="str">
        <f t="shared" si="30"/>
        <v/>
      </c>
      <c r="AC99" s="337" t="str">
        <f>IFERROR(IF(ISNUMBER(SEARCH("*",N99)),N99&amp;" "&amp;F99,IF(F99="M",LOOKUP(J99,AgeCategories!$A$3:$F$11),LOOKUP(J99,AgeCategories!$A$14:$F$22))),"")</f>
        <v>Lite F</v>
      </c>
      <c r="AD99" s="350">
        <f t="shared" si="38"/>
        <v>31813</v>
      </c>
      <c r="AE99" s="337">
        <f t="shared" si="39"/>
        <v>35</v>
      </c>
      <c r="AF99" s="337" t="str">
        <f>IF(SUM(COUNTIF(H99,{"*Girl*","*Women*","*Woman*","*Female*","*Wo*","*Fe*","*F*"})),"F","M")</f>
        <v>F</v>
      </c>
      <c r="AG99" s="112"/>
      <c r="AH99" s="112"/>
      <c r="AI99" s="344" t="e">
        <f t="array" aca="1" ref="AI99" ca="1">(SMALL(IF(ISERROR(MATCH($AJ$3+ROW(OFFSET($A$3, 0,0, $AJ$4-$AJ$3+1))-2, $A$3:$A747,0)), $AJ$3+ROW(OFFSET($A$2,0, 0, $AJ$4-$AJ$3+1))-1), ROW(A98)))</f>
        <v>#NUM!</v>
      </c>
      <c r="AJ99" s="336">
        <f>Helpers!AY74</f>
        <v>0</v>
      </c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/>
      <c r="AV99"/>
      <c r="AW99"/>
      <c r="AX99" s="56"/>
      <c r="AY99"/>
      <c r="AZ99" s="56" t="s">
        <v>2539</v>
      </c>
      <c r="BA99" s="56"/>
    </row>
    <row r="100" spans="1:53" ht="13.5" thickBot="1">
      <c r="A100" s="111">
        <v>98</v>
      </c>
      <c r="B100" s="335" t="str">
        <f t="shared" si="31"/>
        <v>Chrisman De Jager</v>
      </c>
      <c r="C100" t="s">
        <v>1512</v>
      </c>
      <c r="D100" t="s">
        <v>1513</v>
      </c>
      <c r="E100"/>
      <c r="F100" s="336" t="str">
        <f>IF(SUM(COUNTIF(H100,{"*Girl*","*Women*","*Woman*","*Female*","*Wo*","*Fe*","*F*"})),"F","M")</f>
        <v>M</v>
      </c>
      <c r="G100" s="337" t="str">
        <f>IFERROR(IF(ISNUMBER(SEARCH("*",N100)),N100&amp;" "&amp;F100,IF(F100="M",LOOKUP(J100,AgeCategories!$A$3:$D$13),LOOKUP(J100,AgeCategories!$A$14:$D$24))),"Invalid Age")</f>
        <v>Lite M</v>
      </c>
      <c r="H100" t="s">
        <v>209</v>
      </c>
      <c r="I100" s="338">
        <f t="shared" si="32"/>
        <v>29294</v>
      </c>
      <c r="J100" s="340">
        <f>IFERROR(DATEDIF($I100,Helpers!$O$2,"y"),"ID No. needed")</f>
        <v>42</v>
      </c>
      <c r="K100"/>
      <c r="L100" s="300">
        <v>837135784</v>
      </c>
      <c r="M100" s="353" t="s">
        <v>1855</v>
      </c>
      <c r="N100" s="341" t="s">
        <v>2601</v>
      </c>
      <c r="O100" s="308" t="b">
        <v>1</v>
      </c>
      <c r="P100" s="241" t="b">
        <f>NOT(ISNA(VLOOKUP(A100,SortedDownload!A:A,1,FALSE)))</f>
        <v>1</v>
      </c>
      <c r="Q100" s="374" t="s">
        <v>2601</v>
      </c>
      <c r="R100" s="311"/>
      <c r="S100" s="235"/>
      <c r="T100" s="235"/>
      <c r="U100" s="311" t="s">
        <v>2116</v>
      </c>
      <c r="V100" s="337" t="str">
        <f t="shared" si="33"/>
        <v>-</v>
      </c>
      <c r="W100" s="348" t="str">
        <f t="shared" si="34"/>
        <v>Chrisman De Jager</v>
      </c>
      <c r="X100" s="337" t="str">
        <f t="shared" si="35"/>
        <v>Chrisman</v>
      </c>
      <c r="Y100" s="337" t="str">
        <f t="shared" si="36"/>
        <v>De Jager</v>
      </c>
      <c r="Z100" s="337" t="str">
        <f t="shared" si="37"/>
        <v>C.De Jager</v>
      </c>
      <c r="AA100" s="349" t="str">
        <f t="shared" si="29"/>
        <v/>
      </c>
      <c r="AB100" s="349" t="str">
        <f t="shared" si="30"/>
        <v/>
      </c>
      <c r="AC100" s="337" t="str">
        <f>IFERROR(IF(ISNUMBER(SEARCH("*",N100)),N100&amp;" "&amp;F100,IF(F100="M",LOOKUP(J100,AgeCategories!$A$3:$F$11),LOOKUP(J100,AgeCategories!$A$14:$F$22))),"")</f>
        <v>Lite M</v>
      </c>
      <c r="AD100" s="350">
        <f t="shared" si="38"/>
        <v>29294</v>
      </c>
      <c r="AE100" s="337">
        <f t="shared" si="39"/>
        <v>42</v>
      </c>
      <c r="AF100" s="337" t="str">
        <f>IF(SUM(COUNTIF(H100,{"*Girl*","*Women*","*Woman*","*Female*","*Wo*","*Fe*","*F*"})),"F","M")</f>
        <v>M</v>
      </c>
      <c r="AG100" s="112"/>
      <c r="AH100" s="112"/>
      <c r="AI100" s="344" t="e">
        <f t="array" aca="1" ref="AI100" ca="1">(SMALL(IF(ISERROR(MATCH($AJ$3+ROW(OFFSET($A$3, 0,0, $AJ$4-$AJ$3+1))-2, $A$3:$A749,0)), $AJ$3+ROW(OFFSET($A$2,0, 0, $AJ$4-$AJ$3+1))-1), ROW(A99)))</f>
        <v>#NUM!</v>
      </c>
      <c r="AJ100" s="336">
        <f>Helpers!AY57</f>
        <v>0</v>
      </c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/>
      <c r="AV100"/>
      <c r="AW100" t="s">
        <v>2354</v>
      </c>
      <c r="AX100" s="56" t="s">
        <v>2478</v>
      </c>
      <c r="AY100" t="s">
        <v>2277</v>
      </c>
      <c r="AZ100" s="56" t="s">
        <v>2537</v>
      </c>
      <c r="BA100" s="56"/>
    </row>
    <row r="101" spans="1:53" ht="13.5" thickBot="1">
      <c r="A101" s="111">
        <v>99</v>
      </c>
      <c r="B101" s="335" t="str">
        <f t="shared" si="31"/>
        <v>Lian De Jager</v>
      </c>
      <c r="C101" s="301" t="s">
        <v>1514</v>
      </c>
      <c r="D101" s="301" t="s">
        <v>1515</v>
      </c>
      <c r="E101"/>
      <c r="F101" s="336" t="str">
        <f>IF(SUM(COUNTIF(H101,{"*Girl*","*Women*","*Woman*","*Female*","*Wo*","*Fe*","*F*"})),"F","M")</f>
        <v>M</v>
      </c>
      <c r="G101" s="337" t="str">
        <f>IFERROR(IF(ISNUMBER(SEARCH("*",N101)),N101&amp;" "&amp;F101,IF(F101="M",LOOKUP(J101,AgeCategories!$A$3:$D$13),LOOKUP(J101,AgeCategories!$A$14:$D$24))),"Invalid Age")</f>
        <v>Sprog Boys</v>
      </c>
      <c r="H101" s="302" t="s">
        <v>209</v>
      </c>
      <c r="I101" s="338">
        <f t="shared" si="32"/>
        <v>40497</v>
      </c>
      <c r="J101" s="340">
        <f>IFERROR(DATEDIF($I101,Helpers!$O$2,"y"),"ID No. needed")</f>
        <v>12</v>
      </c>
      <c r="K101"/>
      <c r="L101" s="300">
        <v>837135784</v>
      </c>
      <c r="M101" s="353" t="s">
        <v>1856</v>
      </c>
      <c r="N101" s="341"/>
      <c r="O101" s="308" t="b">
        <v>1</v>
      </c>
      <c r="P101" s="241" t="b">
        <f>NOT(ISNA(VLOOKUP(A101,SortedDownload!A:A,1,FALSE)))</f>
        <v>1</v>
      </c>
      <c r="Q101" s="373" t="s">
        <v>2601</v>
      </c>
      <c r="R101" s="311"/>
      <c r="S101" s="235"/>
      <c r="T101" s="235"/>
      <c r="U101" s="311" t="s">
        <v>2116</v>
      </c>
      <c r="V101" s="337" t="str">
        <f t="shared" si="33"/>
        <v>-</v>
      </c>
      <c r="W101" s="348" t="str">
        <f t="shared" si="34"/>
        <v>Lian De Jager</v>
      </c>
      <c r="X101" s="337" t="str">
        <f t="shared" si="35"/>
        <v>Lian</v>
      </c>
      <c r="Y101" s="337" t="str">
        <f t="shared" si="36"/>
        <v>De Jager</v>
      </c>
      <c r="Z101" s="337" t="str">
        <f t="shared" si="37"/>
        <v>L.De Jager</v>
      </c>
      <c r="AA101" s="349" t="str">
        <f t="shared" si="29"/>
        <v/>
      </c>
      <c r="AB101" s="349" t="str">
        <f t="shared" si="30"/>
        <v/>
      </c>
      <c r="AC101" s="337" t="str">
        <f>IFERROR(IF(ISNUMBER(SEARCH("*",N101)),N101&amp;" "&amp;F101,IF(F101="M",LOOKUP(J101,AgeCategories!$A$3:$F$11),LOOKUP(J101,AgeCategories!$A$14:$F$22))),"")</f>
        <v>SB</v>
      </c>
      <c r="AD101" s="350">
        <f t="shared" si="38"/>
        <v>40497</v>
      </c>
      <c r="AE101" s="337">
        <f t="shared" si="39"/>
        <v>12</v>
      </c>
      <c r="AF101" s="337" t="str">
        <f>IF(SUM(COUNTIF(H101,{"*Girl*","*Women*","*Woman*","*Female*","*Wo*","*Fe*","*F*"})),"F","M")</f>
        <v>M</v>
      </c>
      <c r="AG101" s="112"/>
      <c r="AH101" s="112"/>
      <c r="AI101" s="344" t="e">
        <f t="array" aca="1" ref="AI101" ca="1">(SMALL(IF(ISERROR(MATCH($AJ$3+ROW(OFFSET($A$3, 0,0, $AJ$4-$AJ$3+1))-2, $A$3:$A749,0)), $AJ$3+ROW(OFFSET($A$2,0, 0, $AJ$4-$AJ$3+1))-1), ROW(A100)))</f>
        <v>#NUM!</v>
      </c>
      <c r="AJ101" s="336">
        <f>Helpers!AY73</f>
        <v>0</v>
      </c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/>
      <c r="AV101"/>
      <c r="AW101" t="s">
        <v>2354</v>
      </c>
      <c r="AX101" s="56" t="s">
        <v>2478</v>
      </c>
      <c r="AY101" t="s">
        <v>2277</v>
      </c>
      <c r="AZ101" s="56" t="s">
        <v>2537</v>
      </c>
      <c r="BA101" s="56"/>
    </row>
    <row r="102" spans="1:53" ht="13.5" customHeight="1" thickBot="1">
      <c r="A102" s="111">
        <v>100</v>
      </c>
      <c r="B102" s="335" t="str">
        <f t="shared" si="31"/>
        <v>Jan Cilliers</v>
      </c>
      <c r="C102" s="301" t="s">
        <v>655</v>
      </c>
      <c r="D102" s="301" t="s">
        <v>1516</v>
      </c>
      <c r="E102"/>
      <c r="F102" s="336" t="str">
        <f>IF(SUM(COUNTIF(H102,{"*Girl*","*Women*","*Woman*","*Female*","*Wo*","*Fe*","*F*"})),"F","M")</f>
        <v>M</v>
      </c>
      <c r="G102" s="337" t="str">
        <f>IFERROR(IF(ISNUMBER(SEARCH("*",N102)),N102&amp;" "&amp;F102,IF(F102="M",LOOKUP(J102,AgeCategories!$A$3:$D$13),LOOKUP(J102,AgeCategories!$A$14:$D$24))),"Invalid Age")</f>
        <v>Youth Men</v>
      </c>
      <c r="H102" s="302" t="s">
        <v>209</v>
      </c>
      <c r="I102" s="338">
        <f t="shared" si="32"/>
        <v>39117</v>
      </c>
      <c r="J102" s="340">
        <f>IFERROR(DATEDIF($I102,Helpers!$O$2,"y"),"ID No. needed")</f>
        <v>15</v>
      </c>
      <c r="K102"/>
      <c r="L102" s="300">
        <v>664040499</v>
      </c>
      <c r="M102" s="353" t="s">
        <v>1857</v>
      </c>
      <c r="N102" s="342"/>
      <c r="O102" s="308" t="b">
        <v>1</v>
      </c>
      <c r="P102" s="241" t="b">
        <f>NOT(ISNA(VLOOKUP(A102,SortedDownload!A:A,1,FALSE)))</f>
        <v>1</v>
      </c>
      <c r="Q102" s="373" t="s">
        <v>2631</v>
      </c>
      <c r="R102" s="311"/>
      <c r="S102" s="235"/>
      <c r="T102" s="235"/>
      <c r="U102" s="311" t="s">
        <v>2117</v>
      </c>
      <c r="V102" s="337" t="str">
        <f t="shared" si="33"/>
        <v>-</v>
      </c>
      <c r="W102" s="348" t="str">
        <f t="shared" si="34"/>
        <v>Jan Cilliers</v>
      </c>
      <c r="X102" s="337" t="str">
        <f t="shared" si="35"/>
        <v>Jan</v>
      </c>
      <c r="Y102" s="337" t="str">
        <f t="shared" si="36"/>
        <v>Cilliers</v>
      </c>
      <c r="Z102" s="337" t="str">
        <f t="shared" si="37"/>
        <v>J.Cilliers</v>
      </c>
      <c r="AA102" s="349" t="str">
        <f t="shared" si="29"/>
        <v/>
      </c>
      <c r="AB102" s="349" t="str">
        <f t="shared" si="30"/>
        <v/>
      </c>
      <c r="AC102" s="337" t="str">
        <f>IFERROR(IF(ISNUMBER(SEARCH("*",N102)),N102&amp;" "&amp;F102,IF(F102="M",LOOKUP(J102,AgeCategories!$A$3:$F$11),LOOKUP(J102,AgeCategories!$A$14:$F$22))),"")</f>
        <v>YM</v>
      </c>
      <c r="AD102" s="350">
        <f t="shared" si="38"/>
        <v>39117</v>
      </c>
      <c r="AE102" s="337">
        <f t="shared" si="39"/>
        <v>15</v>
      </c>
      <c r="AF102" s="337" t="str">
        <f>IF(SUM(COUNTIF(H102,{"*Girl*","*Women*","*Woman*","*Female*","*Wo*","*Fe*","*F*"})),"F","M")</f>
        <v>M</v>
      </c>
      <c r="AG102" s="112"/>
      <c r="AH102" s="112"/>
      <c r="AI102" s="344" t="e">
        <f t="array" aca="1" ref="AI102" ca="1">(SMALL(IF(ISERROR(MATCH($AJ$3+ROW(OFFSET($A$3, 0,0, $AJ$4-$AJ$3+1))-2, $A$3:$A750,0)), $AJ$3+ROW(OFFSET($A$2,0, 0, $AJ$4-$AJ$3+1))-1), ROW(A101)))</f>
        <v>#NUM!</v>
      </c>
      <c r="AJ102" s="336">
        <f>Helpers!AY72</f>
        <v>0</v>
      </c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/>
      <c r="AV102"/>
      <c r="AW102" t="s">
        <v>2355</v>
      </c>
      <c r="AX102" s="56" t="s">
        <v>2480</v>
      </c>
      <c r="AY102" t="s">
        <v>2549</v>
      </c>
      <c r="AZ102" s="56" t="s">
        <v>2537</v>
      </c>
      <c r="BA102" s="56"/>
    </row>
    <row r="103" spans="1:53" ht="13.5" customHeight="1" thickBot="1">
      <c r="A103" s="111">
        <v>101</v>
      </c>
      <c r="B103" s="335" t="str">
        <f t="shared" si="31"/>
        <v>Samuel Courts</v>
      </c>
      <c r="C103" s="20" t="s">
        <v>1517</v>
      </c>
      <c r="D103" s="20" t="s">
        <v>1518</v>
      </c>
      <c r="E103"/>
      <c r="F103" s="336" t="str">
        <f>IF(SUM(COUNTIF(H103,{"*Girl*","*Women*","*Woman*","*Female*","*Wo*","*Fe*","*F*"})),"F","M")</f>
        <v>M</v>
      </c>
      <c r="G103" s="337" t="str">
        <f>IFERROR(IF(ISNUMBER(SEARCH("*",N103)),N103&amp;" "&amp;F103,IF(F103="M",LOOKUP(J103,AgeCategories!$A$3:$D$13),LOOKUP(J103,AgeCategories!$A$14:$D$24))),"Invalid Age")</f>
        <v>Elite Men</v>
      </c>
      <c r="H103" s="20" t="s">
        <v>209</v>
      </c>
      <c r="I103" s="338">
        <f t="shared" si="32"/>
        <v>36451</v>
      </c>
      <c r="J103" s="340">
        <f>IFERROR(DATEDIF($I103,Helpers!$O$2,"y"),"ID No. needed")</f>
        <v>23</v>
      </c>
      <c r="K103"/>
      <c r="L103" s="300">
        <v>798738731</v>
      </c>
      <c r="M103" s="319" t="s">
        <v>1858</v>
      </c>
      <c r="N103" s="342"/>
      <c r="O103" s="308" t="b">
        <v>1</v>
      </c>
      <c r="P103" s="241" t="b">
        <f>NOT(ISNA(VLOOKUP(A103,SortedDownload!A:A,1,FALSE)))</f>
        <v>1</v>
      </c>
      <c r="Q103" s="373" t="s">
        <v>2631</v>
      </c>
      <c r="R103" s="354"/>
      <c r="S103" s="235"/>
      <c r="T103" s="235"/>
      <c r="U103" s="311" t="s">
        <v>2118</v>
      </c>
      <c r="V103" s="337" t="str">
        <f t="shared" si="33"/>
        <v>-</v>
      </c>
      <c r="W103" s="348" t="str">
        <f t="shared" si="34"/>
        <v>Samuel Courts</v>
      </c>
      <c r="X103" s="337" t="str">
        <f t="shared" si="35"/>
        <v>Samuel</v>
      </c>
      <c r="Y103" s="337" t="str">
        <f t="shared" si="36"/>
        <v>Courts</v>
      </c>
      <c r="Z103" s="337" t="str">
        <f t="shared" si="37"/>
        <v>S.Courts</v>
      </c>
      <c r="AA103" s="349" t="str">
        <f t="shared" si="29"/>
        <v/>
      </c>
      <c r="AB103" s="349" t="str">
        <f t="shared" si="30"/>
        <v/>
      </c>
      <c r="AC103" s="337" t="str">
        <f>IFERROR(IF(ISNUMBER(SEARCH("*",N103)),N103&amp;" "&amp;F103,IF(F103="M",LOOKUP(J103,AgeCategories!$A$3:$F$11),LOOKUP(J103,AgeCategories!$A$14:$F$22))),"")</f>
        <v>EM</v>
      </c>
      <c r="AD103" s="350">
        <f t="shared" si="38"/>
        <v>36451</v>
      </c>
      <c r="AE103" s="337">
        <f t="shared" si="39"/>
        <v>23</v>
      </c>
      <c r="AF103" s="337" t="str">
        <f>IF(SUM(COUNTIF(H103,{"*Girl*","*Women*","*Woman*","*Female*","*Wo*","*Fe*","*F*"})),"F","M")</f>
        <v>M</v>
      </c>
      <c r="AG103" s="112"/>
      <c r="AH103" s="112"/>
      <c r="AI103" s="344" t="e">
        <f t="array" aca="1" ref="AI103" ca="1">(SMALL(IF(ISERROR(MATCH($AJ$3+ROW(OFFSET($A$3, 0,0, $AJ$4-$AJ$3+1))-2, $A$3:$A752,0)), $AJ$3+ROW(OFFSET($A$2,0, 0, $AJ$4-$AJ$3+1))-1), ROW(A102)))</f>
        <v>#NUM!</v>
      </c>
      <c r="AJ103" s="336">
        <f>Helpers!AY46</f>
        <v>0</v>
      </c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/>
      <c r="AV103"/>
      <c r="AW103" t="s">
        <v>2356</v>
      </c>
      <c r="AX103" s="56" t="s">
        <v>2478</v>
      </c>
      <c r="AY103" t="s">
        <v>2566</v>
      </c>
      <c r="AZ103" s="56" t="s">
        <v>2537</v>
      </c>
      <c r="BA103" s="56"/>
    </row>
    <row r="104" spans="1:53" ht="13.5" customHeight="1" thickBot="1">
      <c r="A104" s="111">
        <v>102</v>
      </c>
      <c r="B104" s="335" t="str">
        <f t="shared" si="31"/>
        <v>Altus Rossouw</v>
      </c>
      <c r="C104" s="20" t="s">
        <v>1519</v>
      </c>
      <c r="D104" s="20" t="s">
        <v>1410</v>
      </c>
      <c r="E104"/>
      <c r="F104" s="336" t="str">
        <f>IF(SUM(COUNTIF(H104,{"*Girl*","*Women*","*Woman*","*Female*","*Wo*","*Fe*","*F*"})),"F","M")</f>
        <v>M</v>
      </c>
      <c r="G104" s="337" t="str">
        <f>IFERROR(IF(ISNUMBER(SEARCH("*",N104)),N104&amp;" "&amp;F104,IF(F104="M",LOOKUP(J104,AgeCategories!$A$3:$D$13),LOOKUP(J104,AgeCategories!$A$14:$D$24))),"Invalid Age")</f>
        <v>Junior Men</v>
      </c>
      <c r="H104" s="20" t="s">
        <v>209</v>
      </c>
      <c r="I104" s="338">
        <f t="shared" si="32"/>
        <v>38157</v>
      </c>
      <c r="J104" s="340">
        <f>IFERROR(DATEDIF($I104,Helpers!$O$2,"y"),"ID No. needed")</f>
        <v>18</v>
      </c>
      <c r="K104"/>
      <c r="L104" s="300">
        <v>617577041</v>
      </c>
      <c r="M104" s="319" t="s">
        <v>1859</v>
      </c>
      <c r="N104" s="342"/>
      <c r="O104" s="308" t="b">
        <v>1</v>
      </c>
      <c r="P104" s="241" t="b">
        <f>NOT(ISNA(VLOOKUP(A104,SortedDownload!A:A,1,FALSE)))</f>
        <v>1</v>
      </c>
      <c r="Q104" s="373" t="s">
        <v>2631</v>
      </c>
      <c r="R104" s="354"/>
      <c r="S104" s="235"/>
      <c r="T104" s="235"/>
      <c r="U104" s="311" t="s">
        <v>2119</v>
      </c>
      <c r="V104" s="337" t="str">
        <f t="shared" si="33"/>
        <v>-</v>
      </c>
      <c r="W104" s="348" t="str">
        <f t="shared" si="34"/>
        <v>Altus Rossouw</v>
      </c>
      <c r="X104" s="337" t="str">
        <f t="shared" si="35"/>
        <v>Altus</v>
      </c>
      <c r="Y104" s="337" t="str">
        <f t="shared" si="36"/>
        <v>Rossouw</v>
      </c>
      <c r="Z104" s="337" t="str">
        <f t="shared" si="37"/>
        <v>A.Rossouw</v>
      </c>
      <c r="AA104" s="349" t="str">
        <f t="shared" si="29"/>
        <v/>
      </c>
      <c r="AB104" s="349" t="str">
        <f t="shared" si="30"/>
        <v/>
      </c>
      <c r="AC104" s="337" t="str">
        <f>IFERROR(IF(ISNUMBER(SEARCH("*",N104)),N104&amp;" "&amp;F104,IF(F104="M",LOOKUP(J104,AgeCategories!$A$3:$F$11),LOOKUP(J104,AgeCategories!$A$14:$F$22))),"")</f>
        <v>JM</v>
      </c>
      <c r="AD104" s="350">
        <f t="shared" si="38"/>
        <v>38157</v>
      </c>
      <c r="AE104" s="337">
        <f t="shared" si="39"/>
        <v>18</v>
      </c>
      <c r="AF104" s="337" t="str">
        <f>IF(SUM(COUNTIF(H104,{"*Girl*","*Women*","*Woman*","*Female*","*Wo*","*Fe*","*F*"})),"F","M")</f>
        <v>M</v>
      </c>
      <c r="AG104" s="112"/>
      <c r="AH104" s="112"/>
      <c r="AI104" s="344" t="e">
        <f t="array" aca="1" ref="AI104" ca="1">(SMALL(IF(ISERROR(MATCH($AJ$3+ROW(OFFSET($A$3, 0,0, $AJ$4-$AJ$3+1))-2, $A$3:$A753,0)), $AJ$3+ROW(OFFSET($A$2,0, 0, $AJ$4-$AJ$3+1))-1), ROW(A103)))</f>
        <v>#NUM!</v>
      </c>
      <c r="AJ104" s="336">
        <f>Helpers!AY45</f>
        <v>0</v>
      </c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/>
      <c r="AV104"/>
      <c r="AW104" t="s">
        <v>2357</v>
      </c>
      <c r="AX104" s="56" t="s">
        <v>2508</v>
      </c>
      <c r="AY104" t="s">
        <v>2567</v>
      </c>
      <c r="AZ104" s="56" t="s">
        <v>2537</v>
      </c>
      <c r="BA104" s="56"/>
    </row>
    <row r="105" spans="1:53" ht="13.5" customHeight="1" thickBot="1">
      <c r="A105" s="111">
        <v>103</v>
      </c>
      <c r="B105" s="335" t="str">
        <f t="shared" si="31"/>
        <v>Angus Fergusson</v>
      </c>
      <c r="C105" t="s">
        <v>1520</v>
      </c>
      <c r="D105" t="s">
        <v>1521</v>
      </c>
      <c r="E105"/>
      <c r="F105" s="336" t="str">
        <f>IF(SUM(COUNTIF(H105,{"*Girl*","*Women*","*Woman*","*Female*","*Wo*","*Fe*","*F*"})),"F","M")</f>
        <v>M</v>
      </c>
      <c r="G105" s="337" t="str">
        <f>IFERROR(IF(ISNUMBER(SEARCH("*",N105)),N105&amp;" "&amp;F105,IF(F105="M",LOOKUP(J105,AgeCategories!$A$3:$D$13),LOOKUP(J105,AgeCategories!$A$14:$D$24))),"Invalid Age")</f>
        <v>Elite Men</v>
      </c>
      <c r="H105" t="s">
        <v>209</v>
      </c>
      <c r="I105" s="338">
        <f t="shared" si="32"/>
        <v>37016</v>
      </c>
      <c r="J105" s="340">
        <f>IFERROR(DATEDIF($I105,Helpers!$O$2,"y"),"ID No. needed")</f>
        <v>21</v>
      </c>
      <c r="K105"/>
      <c r="L105" s="300">
        <v>823645522</v>
      </c>
      <c r="M105" s="376" t="s">
        <v>2615</v>
      </c>
      <c r="N105" s="342"/>
      <c r="O105" s="308" t="b">
        <v>1</v>
      </c>
      <c r="P105" s="241" t="b">
        <f>NOT(ISNA(VLOOKUP(A105,SortedDownload!A:A,1,FALSE)))</f>
        <v>1</v>
      </c>
      <c r="Q105" s="373" t="s">
        <v>2632</v>
      </c>
      <c r="R105" s="311"/>
      <c r="S105" s="235"/>
      <c r="T105" s="235"/>
      <c r="U105" s="311" t="s">
        <v>2120</v>
      </c>
      <c r="V105" s="337" t="str">
        <f t="shared" si="33"/>
        <v>-</v>
      </c>
      <c r="W105" s="348" t="str">
        <f t="shared" si="34"/>
        <v>Angus Fergusson</v>
      </c>
      <c r="X105" s="337" t="str">
        <f t="shared" si="35"/>
        <v>Angus</v>
      </c>
      <c r="Y105" s="337" t="str">
        <f t="shared" si="36"/>
        <v>Fergusson</v>
      </c>
      <c r="Z105" s="337" t="str">
        <f t="shared" si="37"/>
        <v>A.Fergusson</v>
      </c>
      <c r="AA105" s="349" t="str">
        <f t="shared" si="29"/>
        <v/>
      </c>
      <c r="AB105" s="349" t="str">
        <f t="shared" si="30"/>
        <v/>
      </c>
      <c r="AC105" s="337" t="str">
        <f>IFERROR(IF(ISNUMBER(SEARCH("*",N105)),N105&amp;" "&amp;F105,IF(F105="M",LOOKUP(J105,AgeCategories!$A$3:$F$11),LOOKUP(J105,AgeCategories!$A$14:$F$22))),"")</f>
        <v>EM</v>
      </c>
      <c r="AD105" s="350">
        <f t="shared" si="38"/>
        <v>37016</v>
      </c>
      <c r="AE105" s="337">
        <f t="shared" si="39"/>
        <v>21</v>
      </c>
      <c r="AF105" s="337" t="str">
        <f>IF(SUM(COUNTIF(H105,{"*Girl*","*Women*","*Woman*","*Female*","*Wo*","*Fe*","*F*"})),"F","M")</f>
        <v>M</v>
      </c>
      <c r="AG105" s="112"/>
      <c r="AH105" s="112"/>
      <c r="AI105" s="344" t="e">
        <f t="array" aca="1" ref="AI105" ca="1">(SMALL(IF(ISERROR(MATCH($AJ$3+ROW(OFFSET($A$3, 0,0, $AJ$4-$AJ$3+1))-2, $A$3:$A754,0)), $AJ$3+ROW(OFFSET($A$2,0, 0, $AJ$4-$AJ$3+1))-1), ROW(A104)))</f>
        <v>#NUM!</v>
      </c>
      <c r="AJ105" s="336">
        <f>Helpers!AY44</f>
        <v>0</v>
      </c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/>
      <c r="AV105"/>
      <c r="AW105" t="s">
        <v>2358</v>
      </c>
      <c r="AX105" s="56" t="s">
        <v>2509</v>
      </c>
      <c r="AY105"/>
      <c r="AZ105" s="56" t="s">
        <v>2539</v>
      </c>
      <c r="BA105" s="56"/>
    </row>
    <row r="106" spans="1:53" ht="13.5" customHeight="1" thickBot="1">
      <c r="A106" s="111">
        <v>104</v>
      </c>
      <c r="B106" s="335" t="str">
        <f t="shared" si="31"/>
        <v>Ryan Liversage</v>
      </c>
      <c r="C106" t="s">
        <v>1522</v>
      </c>
      <c r="D106" t="s">
        <v>1523</v>
      </c>
      <c r="E106"/>
      <c r="F106" s="336" t="str">
        <f>IF(SUM(COUNTIF(H106,{"*Girl*","*Women*","*Woman*","*Female*","*Wo*","*Fe*","*F*"})),"F","M")</f>
        <v>M</v>
      </c>
      <c r="G106" s="337" t="str">
        <f>IFERROR(IF(ISNUMBER(SEARCH("*",N106)),N106&amp;" "&amp;F106,IF(F106="M",LOOKUP(J106,AgeCategories!$A$3:$D$13),LOOKUP(J106,AgeCategories!$A$14:$D$24))),"Invalid Age")</f>
        <v>Master Men</v>
      </c>
      <c r="H106" t="s">
        <v>209</v>
      </c>
      <c r="I106" s="338">
        <f t="shared" si="32"/>
        <v>29825</v>
      </c>
      <c r="J106" s="340">
        <f>IFERROR(DATEDIF($I106,Helpers!$O$2,"y"),"ID No. needed")</f>
        <v>41</v>
      </c>
      <c r="K106"/>
      <c r="L106" s="300">
        <v>760859255</v>
      </c>
      <c r="M106" s="319" t="s">
        <v>1861</v>
      </c>
      <c r="N106" s="342"/>
      <c r="O106" s="308" t="b">
        <v>0</v>
      </c>
      <c r="P106" s="241" t="b">
        <f>NOT(ISNA(VLOOKUP(A106,SortedDownload!A:A,1,FALSE)))</f>
        <v>1</v>
      </c>
      <c r="Q106" s="373" t="s">
        <v>2631</v>
      </c>
      <c r="R106" s="311"/>
      <c r="S106" s="235"/>
      <c r="T106" s="235"/>
      <c r="U106" s="311" t="s">
        <v>2121</v>
      </c>
      <c r="V106" s="337" t="str">
        <f t="shared" si="33"/>
        <v>-</v>
      </c>
      <c r="W106" s="348" t="str">
        <f t="shared" si="34"/>
        <v>Ryan Liversage</v>
      </c>
      <c r="X106" s="337" t="str">
        <f t="shared" si="35"/>
        <v>Ryan</v>
      </c>
      <c r="Y106" s="337" t="str">
        <f t="shared" si="36"/>
        <v>Liversage</v>
      </c>
      <c r="Z106" s="337" t="str">
        <f t="shared" si="37"/>
        <v>R.Liversage</v>
      </c>
      <c r="AA106" s="349" t="str">
        <f t="shared" si="29"/>
        <v/>
      </c>
      <c r="AB106" s="349" t="str">
        <f t="shared" si="30"/>
        <v/>
      </c>
      <c r="AC106" s="337" t="str">
        <f>IFERROR(IF(ISNUMBER(SEARCH("*",N106)),N106&amp;" "&amp;F106,IF(F106="M",LOOKUP(J106,AgeCategories!$A$3:$F$11),LOOKUP(J106,AgeCategories!$A$14:$F$22))),"")</f>
        <v>MM</v>
      </c>
      <c r="AD106" s="350">
        <f t="shared" si="38"/>
        <v>29825</v>
      </c>
      <c r="AE106" s="337">
        <f t="shared" si="39"/>
        <v>41</v>
      </c>
      <c r="AF106" s="337" t="str">
        <f>IF(SUM(COUNTIF(H106,{"*Girl*","*Women*","*Woman*","*Female*","*Wo*","*Fe*","*F*"})),"F","M")</f>
        <v>M</v>
      </c>
      <c r="AG106" s="112"/>
      <c r="AH106" s="112"/>
      <c r="AI106" s="344" t="e">
        <f t="array" aca="1" ref="AI106" ca="1">(SMALL(IF(ISERROR(MATCH($AJ$3+ROW(OFFSET($A$3, 0,0, $AJ$4-$AJ$3+1))-2, $A$3:$A755,0)), $AJ$3+ROW(OFFSET($A$2,0, 0, $AJ$4-$AJ$3+1))-1), ROW(A105)))</f>
        <v>#NUM!</v>
      </c>
      <c r="AJ106" s="336">
        <f>Helpers!AY43</f>
        <v>0</v>
      </c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/>
      <c r="AV106"/>
      <c r="AW106"/>
      <c r="AX106" s="56"/>
      <c r="AY106" t="s">
        <v>2548</v>
      </c>
      <c r="AZ106" s="56" t="s">
        <v>2537</v>
      </c>
      <c r="BA106" s="56"/>
    </row>
    <row r="107" spans="1:53" ht="13.5" customHeight="1" thickBot="1">
      <c r="A107" s="111">
        <v>105</v>
      </c>
      <c r="B107" s="335" t="str">
        <f t="shared" si="31"/>
        <v>Jacobus Johannes Veldsman</v>
      </c>
      <c r="C107" t="s">
        <v>1524</v>
      </c>
      <c r="D107" t="s">
        <v>1525</v>
      </c>
      <c r="E107" t="s">
        <v>146</v>
      </c>
      <c r="F107" s="336" t="s">
        <v>209</v>
      </c>
      <c r="G107" s="337" t="str">
        <f>IFERROR(IF(ISNUMBER(SEARCH("*",N107)),N107&amp;" "&amp;F107,IF(F107="M",LOOKUP(J107,AgeCategories!$A$3:$D$13),LOOKUP(J107,AgeCategories!$A$14:$D$24))),"Invalid Age")</f>
        <v>E-Bike M</v>
      </c>
      <c r="H107" t="s">
        <v>209</v>
      </c>
      <c r="I107" s="338">
        <f t="shared" si="32"/>
        <v>29640</v>
      </c>
      <c r="J107" s="340">
        <f>IFERROR(DATEDIF($I107,Helpers!$O$2,"y"),"ID No. needed")</f>
        <v>41</v>
      </c>
      <c r="K107" t="s">
        <v>146</v>
      </c>
      <c r="L107" s="300" t="s">
        <v>2751</v>
      </c>
      <c r="M107" s="319" t="s">
        <v>1862</v>
      </c>
      <c r="N107" s="342" t="s">
        <v>560</v>
      </c>
      <c r="O107" s="308" t="b">
        <v>1</v>
      </c>
      <c r="P107" s="241" t="b">
        <f>NOT(ISNA(VLOOKUP(A107,SortedDownload!A:A,1,FALSE)))</f>
        <v>1</v>
      </c>
      <c r="Q107" s="373" t="s">
        <v>2729</v>
      </c>
      <c r="R107" s="311" t="s">
        <v>146</v>
      </c>
      <c r="S107" s="235" t="s">
        <v>146</v>
      </c>
      <c r="T107" s="235" t="s">
        <v>146</v>
      </c>
      <c r="U107" s="311" t="s">
        <v>2122</v>
      </c>
      <c r="V107" s="337" t="str">
        <f t="shared" si="33"/>
        <v>-</v>
      </c>
      <c r="W107" s="348" t="str">
        <f t="shared" si="34"/>
        <v>Jacobus Johannes Veldsman</v>
      </c>
      <c r="X107" s="337" t="str">
        <f t="shared" si="35"/>
        <v>Jacobus</v>
      </c>
      <c r="Y107" s="337" t="str">
        <f t="shared" si="36"/>
        <v>Johannes Veldsman</v>
      </c>
      <c r="Z107" s="337" t="str">
        <f t="shared" si="37"/>
        <v>J.Johannes Veldsman</v>
      </c>
      <c r="AA107" s="349" t="str">
        <f t="shared" si="29"/>
        <v/>
      </c>
      <c r="AB107" s="349" t="str">
        <f t="shared" si="30"/>
        <v/>
      </c>
      <c r="AC107" s="337" t="str">
        <f>IFERROR(IF(ISNUMBER(SEARCH("*",N107)),N107&amp;" "&amp;F107,IF(F107="M",LOOKUP(J107,AgeCategories!$A$3:$F$11),LOOKUP(J107,AgeCategories!$A$14:$F$22))),"")</f>
        <v>E-Bike M</v>
      </c>
      <c r="AD107" s="350">
        <f t="shared" si="38"/>
        <v>29640</v>
      </c>
      <c r="AE107" s="337">
        <f t="shared" si="39"/>
        <v>41</v>
      </c>
      <c r="AF107" s="337" t="str">
        <f>IF(SUM(COUNTIF(H107,{"*Girl*","*Women*","*Woman*","*Female*","*Wo*","*Fe*","*F*"})),"F","M")</f>
        <v>M</v>
      </c>
      <c r="AG107" s="112"/>
      <c r="AH107" s="112"/>
      <c r="AI107" s="344" t="e">
        <f t="array" aca="1" ref="AI107" ca="1">(SMALL(IF(ISERROR(MATCH($AJ$3+ROW(OFFSET($A$3, 0,0, $AJ$4-$AJ$3+1))-2, $A$3:$A756,0)), $AJ$3+ROW(OFFSET($A$2,0, 0, $AJ$4-$AJ$3+1))-1), ROW(A106)))</f>
        <v>#NUM!</v>
      </c>
      <c r="AJ107" s="336">
        <f>Helpers!AY42</f>
        <v>0</v>
      </c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/>
      <c r="AV107"/>
      <c r="AW107"/>
      <c r="AX107" s="56"/>
      <c r="AY107" t="s">
        <v>2277</v>
      </c>
      <c r="AZ107" s="56" t="s">
        <v>2537</v>
      </c>
      <c r="BA107" s="56"/>
    </row>
    <row r="108" spans="1:53" ht="13.5" thickBot="1">
      <c r="A108" s="111">
        <v>106</v>
      </c>
      <c r="B108" s="335" t="str">
        <f t="shared" si="31"/>
        <v>Rezah Levy</v>
      </c>
      <c r="C108" t="s">
        <v>1526</v>
      </c>
      <c r="D108" t="s">
        <v>1527</v>
      </c>
      <c r="E108"/>
      <c r="F108" s="336" t="str">
        <f>IF(SUM(COUNTIF(H108,{"*Girl*","*Women*","*Woman*","*Female*","*Wo*","*Fe*","*F*"})),"F","M")</f>
        <v>M</v>
      </c>
      <c r="G108" s="337" t="str">
        <f>IFERROR(IF(ISNUMBER(SEARCH("*",N108)),N108&amp;" "&amp;F108,IF(F108="M",LOOKUP(J108,AgeCategories!$A$3:$D$13),LOOKUP(J108,AgeCategories!$A$14:$D$24))),"Invalid Age")</f>
        <v>Lite M</v>
      </c>
      <c r="H108" t="s">
        <v>209</v>
      </c>
      <c r="I108" s="338">
        <f t="shared" si="32"/>
        <v>31389</v>
      </c>
      <c r="J108" s="340">
        <f>IFERROR(DATEDIF($I108,Helpers!$O$2,"y"),"ID No. needed")</f>
        <v>37</v>
      </c>
      <c r="K108"/>
      <c r="L108" s="300">
        <v>815972669</v>
      </c>
      <c r="M108" s="319" t="s">
        <v>1863</v>
      </c>
      <c r="N108" s="341" t="s">
        <v>2601</v>
      </c>
      <c r="O108" s="308" t="b">
        <v>1</v>
      </c>
      <c r="P108" s="241" t="b">
        <f>NOT(ISNA(VLOOKUP(A108,SortedDownload!A:A,1,FALSE)))</f>
        <v>1</v>
      </c>
      <c r="Q108" s="373" t="s">
        <v>2601</v>
      </c>
      <c r="R108" s="311"/>
      <c r="S108" s="235"/>
      <c r="T108" s="235"/>
      <c r="U108" s="311" t="s">
        <v>2123</v>
      </c>
      <c r="V108" s="337" t="str">
        <f t="shared" si="33"/>
        <v>-</v>
      </c>
      <c r="W108" s="348" t="str">
        <f t="shared" si="34"/>
        <v>Rezah Levy</v>
      </c>
      <c r="X108" s="337" t="str">
        <f t="shared" si="35"/>
        <v>Rezah</v>
      </c>
      <c r="Y108" s="337" t="str">
        <f t="shared" si="36"/>
        <v>Levy</v>
      </c>
      <c r="Z108" s="337" t="str">
        <f t="shared" si="37"/>
        <v>R.Levy</v>
      </c>
      <c r="AA108" s="349" t="str">
        <f t="shared" si="29"/>
        <v/>
      </c>
      <c r="AB108" s="349" t="str">
        <f t="shared" si="30"/>
        <v/>
      </c>
      <c r="AC108" s="337" t="str">
        <f>IFERROR(IF(ISNUMBER(SEARCH("*",N108)),N108&amp;" "&amp;F108,IF(F108="M",LOOKUP(J108,AgeCategories!$A$3:$F$11),LOOKUP(J108,AgeCategories!$A$14:$F$22))),"")</f>
        <v>Lite M</v>
      </c>
      <c r="AD108" s="350">
        <f t="shared" si="38"/>
        <v>31389</v>
      </c>
      <c r="AE108" s="337">
        <f t="shared" si="39"/>
        <v>37</v>
      </c>
      <c r="AF108" s="337" t="str">
        <f>IF(SUM(COUNTIF(H108,{"*Girl*","*Women*","*Woman*","*Female*","*Wo*","*Fe*","*F*"})),"F","M")</f>
        <v>M</v>
      </c>
      <c r="AG108" s="112"/>
      <c r="AH108" s="112"/>
      <c r="AI108" s="344" t="e">
        <f t="array" aca="1" ref="AI108" ca="1">(SMALL(IF(ISERROR(MATCH($AJ$3+ROW(OFFSET($A$3, 0,0, $AJ$4-$AJ$3+1))-2, $A$3:$A757,0)), $AJ$3+ROW(OFFSET($A$2,0, 0, $AJ$4-$AJ$3+1))-1), ROW(A107)))</f>
        <v>#NUM!</v>
      </c>
      <c r="AJ108" s="336">
        <f>Helpers!AY41</f>
        <v>0</v>
      </c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/>
      <c r="AV108"/>
      <c r="AW108"/>
      <c r="AX108" s="56"/>
      <c r="AY108" t="s">
        <v>2548</v>
      </c>
      <c r="AZ108" s="56" t="s">
        <v>2537</v>
      </c>
      <c r="BA108" s="56"/>
    </row>
    <row r="109" spans="1:53" ht="13.5" customHeight="1" thickBot="1">
      <c r="A109" s="111">
        <v>107</v>
      </c>
      <c r="B109" s="335" t="str">
        <f t="shared" si="31"/>
        <v>Shaun Fuller</v>
      </c>
      <c r="C109" t="s">
        <v>1528</v>
      </c>
      <c r="D109" t="s">
        <v>1529</v>
      </c>
      <c r="E109"/>
      <c r="F109" s="336" t="str">
        <f>IF(SUM(COUNTIF(H109,{"*Girl*","*Women*","*Woman*","*Female*","*Wo*","*Fe*","*F*"})),"F","M")</f>
        <v>M</v>
      </c>
      <c r="G109" s="337" t="str">
        <f>IFERROR(IF(ISNUMBER(SEARCH("*",N109)),N109&amp;" "&amp;F109,IF(F109="M",LOOKUP(J109,AgeCategories!$A$3:$D$13),LOOKUP(J109,AgeCategories!$A$14:$D$24))),"Invalid Age")</f>
        <v>Master Men</v>
      </c>
      <c r="H109" t="s">
        <v>209</v>
      </c>
      <c r="I109" s="338">
        <f t="shared" si="32"/>
        <v>31635</v>
      </c>
      <c r="J109" s="340">
        <f>IFERROR(DATEDIF($I109,Helpers!$O$2,"y"),"ID No. needed")</f>
        <v>36</v>
      </c>
      <c r="K109"/>
      <c r="L109" s="300">
        <v>820641556</v>
      </c>
      <c r="M109" s="319" t="s">
        <v>1864</v>
      </c>
      <c r="N109" s="342"/>
      <c r="O109" s="308" t="b">
        <v>1</v>
      </c>
      <c r="P109" s="241" t="b">
        <f>NOT(ISNA(VLOOKUP(A109,SortedDownload!A:A,1,FALSE)))</f>
        <v>1</v>
      </c>
      <c r="Q109" s="373" t="s">
        <v>2631</v>
      </c>
      <c r="R109" s="311"/>
      <c r="S109" s="235"/>
      <c r="T109" s="235"/>
      <c r="U109" s="311" t="s">
        <v>2124</v>
      </c>
      <c r="V109" s="337" t="str">
        <f t="shared" si="33"/>
        <v>-</v>
      </c>
      <c r="W109" s="348" t="str">
        <f t="shared" si="34"/>
        <v>Shaun Fuller</v>
      </c>
      <c r="X109" s="337" t="str">
        <f t="shared" si="35"/>
        <v>Shaun</v>
      </c>
      <c r="Y109" s="337" t="str">
        <f t="shared" si="36"/>
        <v>Fuller</v>
      </c>
      <c r="Z109" s="337" t="str">
        <f t="shared" si="37"/>
        <v>S.Fuller</v>
      </c>
      <c r="AA109" s="349" t="str">
        <f t="shared" si="29"/>
        <v/>
      </c>
      <c r="AB109" s="349" t="str">
        <f t="shared" si="30"/>
        <v/>
      </c>
      <c r="AC109" s="337" t="str">
        <f>IFERROR(IF(ISNUMBER(SEARCH("*",N109)),N109&amp;" "&amp;F109,IF(F109="M",LOOKUP(J109,AgeCategories!$A$3:$F$11),LOOKUP(J109,AgeCategories!$A$14:$F$22))),"")</f>
        <v>MM</v>
      </c>
      <c r="AD109" s="350">
        <f t="shared" si="38"/>
        <v>31635</v>
      </c>
      <c r="AE109" s="337">
        <f t="shared" si="39"/>
        <v>36</v>
      </c>
      <c r="AF109" s="337" t="str">
        <f>IF(SUM(COUNTIF(H109,{"*Girl*","*Women*","*Woman*","*Female*","*Wo*","*Fe*","*F*"})),"F","M")</f>
        <v>M</v>
      </c>
      <c r="AG109" s="112"/>
      <c r="AH109" s="112"/>
      <c r="AI109" s="344" t="e">
        <f t="array" aca="1" ref="AI109" ca="1">(SMALL(IF(ISERROR(MATCH($AJ$3+ROW(OFFSET($A$3, 0,0, $AJ$4-$AJ$3+1))-2, $A$3:$A758,0)), $AJ$3+ROW(OFFSET($A$2,0, 0, $AJ$4-$AJ$3+1))-1), ROW(A108)))</f>
        <v>#NUM!</v>
      </c>
      <c r="AJ109" s="336">
        <f>Helpers!AY40</f>
        <v>0</v>
      </c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/>
      <c r="AV109"/>
      <c r="AW109" t="s">
        <v>2359</v>
      </c>
      <c r="AX109" s="56" t="s">
        <v>2478</v>
      </c>
      <c r="AY109" t="s">
        <v>2568</v>
      </c>
      <c r="AZ109" s="56" t="s">
        <v>2539</v>
      </c>
      <c r="BA109" s="56" t="s">
        <v>2594</v>
      </c>
    </row>
    <row r="110" spans="1:53" ht="13.5" thickBot="1">
      <c r="A110" s="111">
        <v>108</v>
      </c>
      <c r="B110" s="335" t="str">
        <f t="shared" si="31"/>
        <v>Schalk Willem Vorster</v>
      </c>
      <c r="C110" t="s">
        <v>1530</v>
      </c>
      <c r="D110" t="s">
        <v>1531</v>
      </c>
      <c r="E110"/>
      <c r="F110" s="336" t="str">
        <f>IF(SUM(COUNTIF(H110,{"*Girl*","*Women*","*Woman*","*Female*","*Wo*","*Fe*","*F*"})),"F","M")</f>
        <v>M</v>
      </c>
      <c r="G110" s="337" t="str">
        <f>IFERROR(IF(ISNUMBER(SEARCH("*",N110)),N110&amp;" "&amp;F110,IF(F110="M",LOOKUP(J110,AgeCategories!$A$3:$D$13),LOOKUP(J110,AgeCategories!$A$14:$D$24))),"Invalid Age")</f>
        <v>Sub Junior Boys</v>
      </c>
      <c r="H110" t="s">
        <v>209</v>
      </c>
      <c r="I110" s="338">
        <f t="shared" si="32"/>
        <v>40003</v>
      </c>
      <c r="J110" s="340">
        <f>IFERROR(DATEDIF($I110,Helpers!$O$2,"y"),"ID No. needed")</f>
        <v>13</v>
      </c>
      <c r="K110"/>
      <c r="L110" s="300">
        <v>823204563</v>
      </c>
      <c r="M110" s="319" t="s">
        <v>1865</v>
      </c>
      <c r="N110" s="341"/>
      <c r="O110" s="308" t="b">
        <v>1</v>
      </c>
      <c r="P110" s="241" t="b">
        <f>NOT(ISNA(VLOOKUP(A110,SortedDownload!A:A,1,FALSE)))</f>
        <v>1</v>
      </c>
      <c r="Q110" s="373" t="s">
        <v>2601</v>
      </c>
      <c r="R110" s="311"/>
      <c r="S110" s="235"/>
      <c r="T110" s="235"/>
      <c r="U110" s="311" t="s">
        <v>2125</v>
      </c>
      <c r="V110" s="337" t="str">
        <f t="shared" si="33"/>
        <v>-</v>
      </c>
      <c r="W110" s="348" t="str">
        <f t="shared" si="34"/>
        <v>Schalk Willem Vorster</v>
      </c>
      <c r="X110" s="337" t="str">
        <f t="shared" si="35"/>
        <v>Schalk</v>
      </c>
      <c r="Y110" s="337" t="str">
        <f t="shared" si="36"/>
        <v>Willem Vorster</v>
      </c>
      <c r="Z110" s="337" t="str">
        <f t="shared" si="37"/>
        <v>S.Willem Vorster</v>
      </c>
      <c r="AA110" s="349" t="str">
        <f t="shared" si="29"/>
        <v/>
      </c>
      <c r="AB110" s="349" t="str">
        <f t="shared" si="30"/>
        <v/>
      </c>
      <c r="AC110" s="337" t="str">
        <f>IFERROR(IF(ISNUMBER(SEARCH("*",N110)),N110&amp;" "&amp;F110,IF(F110="M",LOOKUP(J110,AgeCategories!$A$3:$F$11),LOOKUP(J110,AgeCategories!$A$14:$F$22))),"")</f>
        <v>JB</v>
      </c>
      <c r="AD110" s="350">
        <f t="shared" si="38"/>
        <v>40003</v>
      </c>
      <c r="AE110" s="337">
        <f t="shared" si="39"/>
        <v>13</v>
      </c>
      <c r="AF110" s="337" t="str">
        <f>IF(SUM(COUNTIF(H110,{"*Girl*","*Women*","*Woman*","*Female*","*Wo*","*Fe*","*F*"})),"F","M")</f>
        <v>M</v>
      </c>
      <c r="AG110" s="112"/>
      <c r="AH110" s="112"/>
      <c r="AI110" s="344" t="e">
        <f t="array" aca="1" ref="AI110" ca="1">(SMALL(IF(ISERROR(MATCH($AJ$3+ROW(OFFSET($A$3, 0,0, $AJ$4-$AJ$3+1))-2, $A$3:$A759,0)), $AJ$3+ROW(OFFSET($A$2,0, 0, $AJ$4-$AJ$3+1))-1), ROW(A109)))</f>
        <v>#NUM!</v>
      </c>
      <c r="AJ110" s="336">
        <f>Helpers!AY39</f>
        <v>0</v>
      </c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/>
      <c r="AV110"/>
      <c r="AW110" t="s">
        <v>2360</v>
      </c>
      <c r="AX110" s="56" t="s">
        <v>2480</v>
      </c>
      <c r="AY110" t="s">
        <v>2277</v>
      </c>
      <c r="AZ110" s="56" t="s">
        <v>2539</v>
      </c>
      <c r="BA110" s="56" t="s">
        <v>2277</v>
      </c>
    </row>
    <row r="111" spans="1:53" ht="13.5" thickBot="1">
      <c r="A111" s="111">
        <v>109</v>
      </c>
      <c r="B111" s="335" t="str">
        <f t="shared" si="31"/>
        <v>Sean Stephens</v>
      </c>
      <c r="C111" t="s">
        <v>651</v>
      </c>
      <c r="D111" t="s">
        <v>1532</v>
      </c>
      <c r="E111"/>
      <c r="F111" s="336" t="str">
        <f>IF(SUM(COUNTIF(H111,{"*Girl*","*Women*","*Woman*","*Female*","*Wo*","*Fe*","*F*"})),"F","M")</f>
        <v>M</v>
      </c>
      <c r="G111" s="337" t="str">
        <f>IFERROR(IF(ISNUMBER(SEARCH("*",N111)),N111&amp;" "&amp;F111,IF(F111="M",LOOKUP(J111,AgeCategories!$A$3:$D$13),LOOKUP(J111,AgeCategories!$A$14:$D$24))),"Invalid Age")</f>
        <v>Lite M</v>
      </c>
      <c r="H111" t="s">
        <v>209</v>
      </c>
      <c r="I111" s="338">
        <f t="shared" si="32"/>
        <v>31694</v>
      </c>
      <c r="J111" s="340">
        <f>IFERROR(DATEDIF($I111,Helpers!$O$2,"y"),"ID No. needed")</f>
        <v>36</v>
      </c>
      <c r="K111"/>
      <c r="L111" s="300">
        <v>762776982</v>
      </c>
      <c r="M111" s="319" t="s">
        <v>1866</v>
      </c>
      <c r="N111" s="341" t="s">
        <v>2601</v>
      </c>
      <c r="O111" s="308" t="b">
        <v>1</v>
      </c>
      <c r="P111" s="241" t="b">
        <f>NOT(ISNA(VLOOKUP(A111,SortedDownload!A:A,1,FALSE)))</f>
        <v>1</v>
      </c>
      <c r="Q111" s="373" t="s">
        <v>2601</v>
      </c>
      <c r="R111" s="311"/>
      <c r="S111" s="235"/>
      <c r="T111" s="235"/>
      <c r="U111" s="311" t="s">
        <v>2126</v>
      </c>
      <c r="V111" s="337" t="str">
        <f t="shared" si="33"/>
        <v>-</v>
      </c>
      <c r="W111" s="348" t="str">
        <f t="shared" si="34"/>
        <v>Sean Stephens</v>
      </c>
      <c r="X111" s="337" t="str">
        <f t="shared" si="35"/>
        <v>Sean</v>
      </c>
      <c r="Y111" s="337" t="str">
        <f t="shared" si="36"/>
        <v>Stephens</v>
      </c>
      <c r="Z111" s="337" t="str">
        <f t="shared" si="37"/>
        <v>S.Stephens</v>
      </c>
      <c r="AA111" s="349" t="str">
        <f t="shared" si="29"/>
        <v/>
      </c>
      <c r="AB111" s="349" t="str">
        <f t="shared" si="30"/>
        <v/>
      </c>
      <c r="AC111" s="337" t="str">
        <f>IFERROR(IF(ISNUMBER(SEARCH("*",N111)),N111&amp;" "&amp;F111,IF(F111="M",LOOKUP(J111,AgeCategories!$A$3:$F$11),LOOKUP(J111,AgeCategories!$A$14:$F$22))),"")</f>
        <v>Lite M</v>
      </c>
      <c r="AD111" s="350">
        <f t="shared" si="38"/>
        <v>31694</v>
      </c>
      <c r="AE111" s="337">
        <f t="shared" si="39"/>
        <v>36</v>
      </c>
      <c r="AF111" s="337" t="str">
        <f>IF(SUM(COUNTIF(H111,{"*Girl*","*Women*","*Woman*","*Female*","*Wo*","*Fe*","*F*"})),"F","M")</f>
        <v>M</v>
      </c>
      <c r="AG111" s="112"/>
      <c r="AH111" s="112"/>
      <c r="AI111" s="344" t="e">
        <f t="array" aca="1" ref="AI111" ca="1">(SMALL(IF(ISERROR(MATCH($AJ$3+ROW(OFFSET($A$3, 0,0, $AJ$4-$AJ$3+1))-2, $A$3:$A760,0)), $AJ$3+ROW(OFFSET($A$2,0, 0, $AJ$4-$AJ$3+1))-1), ROW(A110)))</f>
        <v>#NUM!</v>
      </c>
      <c r="AJ111" s="336">
        <f>Helpers!AY38</f>
        <v>0</v>
      </c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/>
      <c r="AV111"/>
      <c r="AW111" t="s">
        <v>2361</v>
      </c>
      <c r="AX111" s="56" t="s">
        <v>2502</v>
      </c>
      <c r="AY111"/>
      <c r="AZ111" s="56" t="s">
        <v>2537</v>
      </c>
      <c r="BA111" s="56"/>
    </row>
    <row r="112" spans="1:53" ht="13.5" thickBot="1">
      <c r="A112" s="111">
        <v>110</v>
      </c>
      <c r="B112" s="335" t="str">
        <f t="shared" si="31"/>
        <v>Carlo Stephens</v>
      </c>
      <c r="C112" t="s">
        <v>1533</v>
      </c>
      <c r="D112" t="s">
        <v>1534</v>
      </c>
      <c r="E112"/>
      <c r="F112" s="336" t="str">
        <f>IF(SUM(COUNTIF(H112,{"*Girl*","*Women*","*Woman*","*Female*","*Wo*","*Fe*","*F*"})),"F","M")</f>
        <v>M</v>
      </c>
      <c r="G112" s="337" t="str">
        <f>IFERROR(IF(ISNUMBER(SEARCH("*",N112)),N112&amp;" "&amp;F112,IF(F112="M",LOOKUP(J112,AgeCategories!$A$3:$D$13),LOOKUP(J112,AgeCategories!$A$14:$D$24))),"Invalid Age")</f>
        <v>Lite M</v>
      </c>
      <c r="H112" t="s">
        <v>209</v>
      </c>
      <c r="I112" s="338">
        <f t="shared" si="32"/>
        <v>30687</v>
      </c>
      <c r="J112" s="340">
        <f>IFERROR(DATEDIF($I112,Helpers!$O$2,"y"),"ID No. needed")</f>
        <v>38</v>
      </c>
      <c r="K112"/>
      <c r="L112" s="300">
        <v>718520336</v>
      </c>
      <c r="M112" s="319" t="s">
        <v>1867</v>
      </c>
      <c r="N112" s="341" t="s">
        <v>2601</v>
      </c>
      <c r="O112" s="308" t="b">
        <v>1</v>
      </c>
      <c r="P112" s="241" t="b">
        <f>NOT(ISNA(VLOOKUP(A112,SortedDownload!A:A,1,FALSE)))</f>
        <v>1</v>
      </c>
      <c r="Q112" s="373" t="s">
        <v>2601</v>
      </c>
      <c r="R112" s="311"/>
      <c r="S112" s="235"/>
      <c r="T112" s="235"/>
      <c r="U112" s="311" t="s">
        <v>2127</v>
      </c>
      <c r="V112" s="337" t="str">
        <f t="shared" si="33"/>
        <v>-</v>
      </c>
      <c r="W112" s="348" t="str">
        <f t="shared" si="34"/>
        <v>Carlo Stephens</v>
      </c>
      <c r="X112" s="337" t="str">
        <f t="shared" si="35"/>
        <v>Carlo</v>
      </c>
      <c r="Y112" s="337" t="str">
        <f t="shared" si="36"/>
        <v>Stephens</v>
      </c>
      <c r="Z112" s="337" t="str">
        <f t="shared" si="37"/>
        <v>C.Stephens</v>
      </c>
      <c r="AA112" s="349" t="str">
        <f t="shared" si="29"/>
        <v/>
      </c>
      <c r="AB112" s="349" t="str">
        <f t="shared" si="30"/>
        <v/>
      </c>
      <c r="AC112" s="337" t="str">
        <f>IFERROR(IF(ISNUMBER(SEARCH("*",N112)),N112&amp;" "&amp;F112,IF(F112="M",LOOKUP(J112,AgeCategories!$A$3:$F$11),LOOKUP(J112,AgeCategories!$A$14:$F$22))),"")</f>
        <v>Lite M</v>
      </c>
      <c r="AD112" s="350">
        <f t="shared" si="38"/>
        <v>30687</v>
      </c>
      <c r="AE112" s="337">
        <f t="shared" si="39"/>
        <v>38</v>
      </c>
      <c r="AF112" s="337" t="str">
        <f>IF(SUM(COUNTIF(H112,{"*Girl*","*Women*","*Woman*","*Female*","*Wo*","*Fe*","*F*"})),"F","M")</f>
        <v>M</v>
      </c>
      <c r="AG112" s="112"/>
      <c r="AH112" s="112"/>
      <c r="AI112" s="344" t="e">
        <f t="array" aca="1" ref="AI112" ca="1">(SMALL(IF(ISERROR(MATCH($AJ$3+ROW(OFFSET($A$3, 0,0, $AJ$4-$AJ$3+1))-2, $A$3:$A761,0)), $AJ$3+ROW(OFFSET($A$2,0, 0, $AJ$4-$AJ$3+1))-1), ROW(A111)))</f>
        <v>#NUM!</v>
      </c>
      <c r="AJ112" s="336">
        <f>Helpers!AY37</f>
        <v>0</v>
      </c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/>
      <c r="AV112"/>
      <c r="AW112"/>
      <c r="AX112" s="56"/>
      <c r="AY112"/>
      <c r="AZ112" s="56"/>
      <c r="BA112" s="56"/>
    </row>
    <row r="113" spans="1:53" ht="13.5" thickBot="1">
      <c r="A113" s="111">
        <v>111</v>
      </c>
      <c r="B113" s="335" t="str">
        <f t="shared" si="31"/>
        <v>Brian America</v>
      </c>
      <c r="C113" t="s">
        <v>1535</v>
      </c>
      <c r="D113" t="s">
        <v>1536</v>
      </c>
      <c r="E113"/>
      <c r="F113" s="336" t="str">
        <f>IF(SUM(COUNTIF(H113,{"*Girl*","*Women*","*Woman*","*Female*","*Wo*","*Fe*","*F*"})),"F","M")</f>
        <v>M</v>
      </c>
      <c r="G113" s="337" t="str">
        <f>IFERROR(IF(ISNUMBER(SEARCH("*",N113)),N113&amp;" "&amp;F113,IF(F113="M",LOOKUP(J113,AgeCategories!$A$3:$D$13),LOOKUP(J113,AgeCategories!$A$14:$D$24))),"Invalid Age")</f>
        <v>Lite M</v>
      </c>
      <c r="H113" t="s">
        <v>209</v>
      </c>
      <c r="I113" s="338">
        <f t="shared" si="32"/>
        <v>30161</v>
      </c>
      <c r="J113" s="340">
        <f>IFERROR(DATEDIF($I113,Helpers!$O$2,"y"),"ID No. needed")</f>
        <v>40</v>
      </c>
      <c r="K113"/>
      <c r="L113" s="300">
        <v>614450676</v>
      </c>
      <c r="M113" s="319" t="s">
        <v>1868</v>
      </c>
      <c r="N113" s="341" t="s">
        <v>2601</v>
      </c>
      <c r="O113" s="308" t="b">
        <v>1</v>
      </c>
      <c r="P113" s="241" t="b">
        <f>NOT(ISNA(VLOOKUP(A113,SortedDownload!A:A,1,FALSE)))</f>
        <v>1</v>
      </c>
      <c r="Q113" s="373" t="s">
        <v>2601</v>
      </c>
      <c r="R113" s="311"/>
      <c r="S113" s="235"/>
      <c r="T113" s="235"/>
      <c r="U113" s="311" t="s">
        <v>2128</v>
      </c>
      <c r="V113" s="337" t="str">
        <f t="shared" si="33"/>
        <v>-</v>
      </c>
      <c r="W113" s="348" t="str">
        <f t="shared" si="34"/>
        <v>Brian America</v>
      </c>
      <c r="X113" s="337" t="str">
        <f t="shared" si="35"/>
        <v>Brian</v>
      </c>
      <c r="Y113" s="337" t="str">
        <f t="shared" si="36"/>
        <v>America</v>
      </c>
      <c r="Z113" s="337" t="str">
        <f t="shared" si="37"/>
        <v>B.America</v>
      </c>
      <c r="AA113" s="349" t="str">
        <f t="shared" si="29"/>
        <v/>
      </c>
      <c r="AB113" s="349" t="str">
        <f t="shared" si="30"/>
        <v/>
      </c>
      <c r="AC113" s="337" t="str">
        <f>IFERROR(IF(ISNUMBER(SEARCH("*",N113)),N113&amp;" "&amp;F113,IF(F113="M",LOOKUP(J113,AgeCategories!$A$3:$F$11),LOOKUP(J113,AgeCategories!$A$14:$F$22))),"")</f>
        <v>Lite M</v>
      </c>
      <c r="AD113" s="350">
        <f t="shared" si="38"/>
        <v>30161</v>
      </c>
      <c r="AE113" s="337">
        <f t="shared" si="39"/>
        <v>40</v>
      </c>
      <c r="AF113" s="337" t="str">
        <f>IF(SUM(COUNTIF(H113,{"*Girl*","*Women*","*Woman*","*Female*","*Wo*","*Fe*","*F*"})),"F","M")</f>
        <v>M</v>
      </c>
      <c r="AG113" s="112"/>
      <c r="AH113" s="112"/>
      <c r="AI113" s="344" t="e">
        <f t="array" aca="1" ref="AI113" ca="1">(SMALL(IF(ISERROR(MATCH($AJ$3+ROW(OFFSET($A$3, 0,0, $AJ$4-$AJ$3+1))-2, $A$3:$A762,0)), $AJ$3+ROW(OFFSET($A$2,0, 0, $AJ$4-$AJ$3+1))-1), ROW(A112)))</f>
        <v>#NUM!</v>
      </c>
      <c r="AJ113" s="336">
        <f>Helpers!AY34</f>
        <v>0</v>
      </c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/>
      <c r="AV113"/>
      <c r="AW113"/>
      <c r="AX113" s="56"/>
      <c r="AY113" t="s">
        <v>2569</v>
      </c>
      <c r="AZ113" s="56" t="s">
        <v>2537</v>
      </c>
      <c r="BA113" s="56"/>
    </row>
    <row r="114" spans="1:53" ht="13.5" thickBot="1">
      <c r="A114" s="111">
        <v>112</v>
      </c>
      <c r="B114" s="335" t="str">
        <f t="shared" si="31"/>
        <v>Yaseen Enos</v>
      </c>
      <c r="C114" t="s">
        <v>1537</v>
      </c>
      <c r="D114" t="s">
        <v>1538</v>
      </c>
      <c r="E114"/>
      <c r="F114" s="336" t="str">
        <f>IF(SUM(COUNTIF(H114,{"*Girl*","*Women*","*Woman*","*Female*","*Wo*","*Fe*","*F*"})),"F","M")</f>
        <v>M</v>
      </c>
      <c r="G114" s="337" t="str">
        <f>IFERROR(IF(ISNUMBER(SEARCH("*",N114)),N114&amp;" "&amp;F114,IF(F114="M",LOOKUP(J114,AgeCategories!$A$3:$D$13),LOOKUP(J114,AgeCategories!$A$14:$D$24))),"Invalid Age")</f>
        <v>Lite M</v>
      </c>
      <c r="H114" t="s">
        <v>209</v>
      </c>
      <c r="I114" s="338">
        <f t="shared" si="32"/>
        <v>31376</v>
      </c>
      <c r="J114" s="340">
        <f>IFERROR(DATEDIF($I114,Helpers!$O$2,"y"),"ID No. needed")</f>
        <v>37</v>
      </c>
      <c r="K114"/>
      <c r="L114" s="300">
        <v>734213830</v>
      </c>
      <c r="M114" s="319" t="s">
        <v>1869</v>
      </c>
      <c r="N114" s="341" t="s">
        <v>2601</v>
      </c>
      <c r="O114" s="308" t="b">
        <v>1</v>
      </c>
      <c r="P114" s="241" t="b">
        <f>NOT(ISNA(VLOOKUP(A114,SortedDownload!A:A,1,FALSE)))</f>
        <v>1</v>
      </c>
      <c r="Q114" s="373" t="s">
        <v>2601</v>
      </c>
      <c r="R114" s="310"/>
      <c r="S114" s="235"/>
      <c r="T114" s="235"/>
      <c r="U114" s="310" t="s">
        <v>2129</v>
      </c>
      <c r="V114" s="337" t="str">
        <f t="shared" si="33"/>
        <v>-</v>
      </c>
      <c r="W114" s="348" t="str">
        <f t="shared" si="34"/>
        <v>Yaseen Enos</v>
      </c>
      <c r="X114" s="337" t="str">
        <f t="shared" si="35"/>
        <v>Yaseen</v>
      </c>
      <c r="Y114" s="337" t="str">
        <f t="shared" si="36"/>
        <v>Enos</v>
      </c>
      <c r="Z114" s="337" t="str">
        <f t="shared" si="37"/>
        <v>Y.Enos</v>
      </c>
      <c r="AA114" s="349" t="str">
        <f t="shared" si="29"/>
        <v/>
      </c>
      <c r="AB114" s="349" t="str">
        <f t="shared" si="30"/>
        <v/>
      </c>
      <c r="AC114" s="337" t="str">
        <f>IFERROR(IF(ISNUMBER(SEARCH("*",N114)),N114&amp;" "&amp;F114,IF(F114="M",LOOKUP(J114,AgeCategories!$A$3:$F$11),LOOKUP(J114,AgeCategories!$A$14:$F$22))),"")</f>
        <v>Lite M</v>
      </c>
      <c r="AD114" s="350">
        <f t="shared" si="38"/>
        <v>31376</v>
      </c>
      <c r="AE114" s="337">
        <f t="shared" si="39"/>
        <v>37</v>
      </c>
      <c r="AF114" s="337" t="str">
        <f>IF(SUM(COUNTIF(H114,{"*Girl*","*Women*","*Woman*","*Female*","*Wo*","*Fe*","*F*"})),"F","M")</f>
        <v>M</v>
      </c>
      <c r="AG114" s="112"/>
      <c r="AH114" s="112"/>
      <c r="AI114" s="344" t="e">
        <f t="array" aca="1" ref="AI114" ca="1">(SMALL(IF(ISERROR(MATCH($AJ$3+ROW(OFFSET($A$3, 0,0, $AJ$4-$AJ$3+1))-2, $A$3:$A763,0)), $AJ$3+ROW(OFFSET($A$2,0, 0, $AJ$4-$AJ$3+1))-1), ROW(A113)))</f>
        <v>#NUM!</v>
      </c>
      <c r="AJ114" s="336">
        <f>Helpers!AY33</f>
        <v>0</v>
      </c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/>
      <c r="AV114"/>
      <c r="AW114" t="s">
        <v>2362</v>
      </c>
      <c r="AX114" s="56" t="s">
        <v>2478</v>
      </c>
      <c r="AY114"/>
      <c r="AZ114" s="56" t="s">
        <v>2543</v>
      </c>
      <c r="BA114" s="56"/>
    </row>
    <row r="115" spans="1:53" ht="13.5" thickBot="1">
      <c r="A115" s="111">
        <v>113</v>
      </c>
      <c r="B115" s="335" t="str">
        <f t="shared" si="31"/>
        <v>Gerhard Sevenster</v>
      </c>
      <c r="C115" t="s">
        <v>1539</v>
      </c>
      <c r="D115" t="s">
        <v>1540</v>
      </c>
      <c r="E115"/>
      <c r="F115" s="336" t="str">
        <f>IF(SUM(COUNTIF(H115,{"*Girl*","*Women*","*Woman*","*Female*","*Wo*","*Fe*","*F*"})),"F","M")</f>
        <v>M</v>
      </c>
      <c r="G115" s="337" t="str">
        <f>IFERROR(IF(ISNUMBER(SEARCH("*",N115)),N115&amp;" "&amp;F115,IF(F115="M",LOOKUP(J115,AgeCategories!$A$3:$D$13),LOOKUP(J115,AgeCategories!$A$14:$D$24))),"Invalid Age")</f>
        <v>Lite M</v>
      </c>
      <c r="H115" t="s">
        <v>209</v>
      </c>
      <c r="I115" s="338">
        <f t="shared" si="32"/>
        <v>24822</v>
      </c>
      <c r="J115" s="340">
        <f>IFERROR(DATEDIF($I115,Helpers!$O$2,"y"),"ID No. needed")</f>
        <v>55</v>
      </c>
      <c r="K115"/>
      <c r="L115" s="300">
        <v>832517287</v>
      </c>
      <c r="M115" s="319" t="s">
        <v>1870</v>
      </c>
      <c r="N115" s="341" t="s">
        <v>2601</v>
      </c>
      <c r="O115" s="308" t="b">
        <v>0</v>
      </c>
      <c r="P115" s="241" t="b">
        <f>NOT(ISNA(VLOOKUP(A115,SortedDownload!A:A,1,FALSE)))</f>
        <v>0</v>
      </c>
      <c r="Q115" s="373" t="s">
        <v>2601</v>
      </c>
      <c r="R115" s="311"/>
      <c r="S115" s="235"/>
      <c r="T115" s="235"/>
      <c r="U115" s="311" t="s">
        <v>2130</v>
      </c>
      <c r="V115" s="337" t="str">
        <f t="shared" si="33"/>
        <v>-</v>
      </c>
      <c r="W115" s="348" t="str">
        <f t="shared" si="34"/>
        <v>Gerhard Sevenster</v>
      </c>
      <c r="X115" s="337" t="str">
        <f t="shared" si="35"/>
        <v>Gerhard</v>
      </c>
      <c r="Y115" s="337" t="str">
        <f t="shared" si="36"/>
        <v>Sevenster</v>
      </c>
      <c r="Z115" s="337" t="str">
        <f t="shared" si="37"/>
        <v>G.Sevenster</v>
      </c>
      <c r="AA115" s="349" t="str">
        <f t="shared" si="29"/>
        <v/>
      </c>
      <c r="AB115" s="349" t="str">
        <f t="shared" si="30"/>
        <v/>
      </c>
      <c r="AC115" s="337" t="str">
        <f>IFERROR(IF(ISNUMBER(SEARCH("*",N115)),N115&amp;" "&amp;F115,IF(F115="M",LOOKUP(J115,AgeCategories!$A$3:$F$11),LOOKUP(J115,AgeCategories!$A$14:$F$22))),"")</f>
        <v>Lite M</v>
      </c>
      <c r="AD115" s="350">
        <f t="shared" si="38"/>
        <v>24822</v>
      </c>
      <c r="AE115" s="337">
        <f t="shared" si="39"/>
        <v>55</v>
      </c>
      <c r="AF115" s="337" t="str">
        <f>IF(SUM(COUNTIF(H115,{"*Girl*","*Women*","*Woman*","*Female*","*Wo*","*Fe*","*F*"})),"F","M")</f>
        <v>M</v>
      </c>
      <c r="AG115" s="112"/>
      <c r="AH115" s="112"/>
      <c r="AI115" s="344" t="e">
        <f t="array" aca="1" ref="AI115" ca="1">(SMALL(IF(ISERROR(MATCH($AJ$3+ROW(OFFSET($A$3, 0,0, $AJ$4-$AJ$3+1))-2, $A$3:$A764,0)), $AJ$3+ROW(OFFSET($A$2,0, 0, $AJ$4-$AJ$3+1))-1), ROW(A114)))</f>
        <v>#NUM!</v>
      </c>
      <c r="AJ115" s="336">
        <f>Helpers!AY32</f>
        <v>0</v>
      </c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/>
      <c r="AV115"/>
      <c r="AW115"/>
      <c r="AX115" s="56" t="s">
        <v>2478</v>
      </c>
      <c r="AY115"/>
      <c r="AZ115" s="56" t="s">
        <v>2537</v>
      </c>
      <c r="BA115" s="56"/>
    </row>
    <row r="116" spans="1:53" ht="13.5" thickBot="1">
      <c r="A116" s="111">
        <v>114</v>
      </c>
      <c r="B116" s="335" t="str">
        <f t="shared" si="31"/>
        <v>Sebastiaan Sevenster</v>
      </c>
      <c r="C116" t="s">
        <v>1541</v>
      </c>
      <c r="D116" t="s">
        <v>1540</v>
      </c>
      <c r="E116"/>
      <c r="F116" s="336" t="str">
        <f>IF(SUM(COUNTIF(H116,{"*Girl*","*Women*","*Woman*","*Female*","*Wo*","*Fe*","*F*"})),"F","M")</f>
        <v>M</v>
      </c>
      <c r="G116" s="337" t="str">
        <f>IFERROR(IF(ISNUMBER(SEARCH("*",N116)),N116&amp;" "&amp;F116,IF(F116="M",LOOKUP(J116,AgeCategories!$A$3:$D$13),LOOKUP(J116,AgeCategories!$A$14:$D$24))),"Invalid Age")</f>
        <v>Sub Junior Boys</v>
      </c>
      <c r="H116" t="s">
        <v>209</v>
      </c>
      <c r="I116" s="338">
        <f t="shared" si="32"/>
        <v>39657</v>
      </c>
      <c r="J116" s="340">
        <f>IFERROR(DATEDIF($I116,Helpers!$O$2,"y"),"ID No. needed")</f>
        <v>14</v>
      </c>
      <c r="K116"/>
      <c r="L116" s="300">
        <v>789920749</v>
      </c>
      <c r="M116" s="319" t="s">
        <v>1871</v>
      </c>
      <c r="N116" s="341"/>
      <c r="O116" s="308" t="b">
        <v>0</v>
      </c>
      <c r="P116" s="241" t="b">
        <f>NOT(ISNA(VLOOKUP(A116,SortedDownload!A:A,1,FALSE)))</f>
        <v>0</v>
      </c>
      <c r="Q116" s="373" t="s">
        <v>2601</v>
      </c>
      <c r="R116" s="311"/>
      <c r="S116" s="235"/>
      <c r="T116" s="235"/>
      <c r="U116" s="311" t="s">
        <v>2130</v>
      </c>
      <c r="V116" s="337" t="str">
        <f t="shared" si="33"/>
        <v>-</v>
      </c>
      <c r="W116" s="348" t="str">
        <f t="shared" si="34"/>
        <v>Sebastiaan Sevenster</v>
      </c>
      <c r="X116" s="337" t="str">
        <f t="shared" si="35"/>
        <v>Sebastiaan</v>
      </c>
      <c r="Y116" s="337" t="str">
        <f t="shared" si="36"/>
        <v>Sevenster</v>
      </c>
      <c r="Z116" s="337" t="str">
        <f t="shared" si="37"/>
        <v>S.Sevenster</v>
      </c>
      <c r="AA116" s="349" t="str">
        <f t="shared" si="29"/>
        <v/>
      </c>
      <c r="AB116" s="349" t="str">
        <f t="shared" si="30"/>
        <v/>
      </c>
      <c r="AC116" s="337" t="str">
        <f>IFERROR(IF(ISNUMBER(SEARCH("*",N116)),N116&amp;" "&amp;F116,IF(F116="M",LOOKUP(J116,AgeCategories!$A$3:$F$11),LOOKUP(J116,AgeCategories!$A$14:$F$22))),"")</f>
        <v>JB</v>
      </c>
      <c r="AD116" s="350">
        <f t="shared" si="38"/>
        <v>39657</v>
      </c>
      <c r="AE116" s="337">
        <f t="shared" si="39"/>
        <v>14</v>
      </c>
      <c r="AF116" s="337" t="str">
        <f>IF(SUM(COUNTIF(H116,{"*Girl*","*Women*","*Woman*","*Female*","*Wo*","*Fe*","*F*"})),"F","M")</f>
        <v>M</v>
      </c>
      <c r="AG116" s="112"/>
      <c r="AH116" s="112"/>
      <c r="AI116" s="344" t="e">
        <f t="array" aca="1" ref="AI116" ca="1">(SMALL(IF(ISERROR(MATCH($AJ$3+ROW(OFFSET($A$3, 0,0, $AJ$4-$AJ$3+1))-2, $A$3:$A765,0)), $AJ$3+ROW(OFFSET($A$2,0, 0, $AJ$4-$AJ$3+1))-1), ROW(A115)))</f>
        <v>#NUM!</v>
      </c>
      <c r="AJ116" s="336">
        <f>Helpers!AY31</f>
        <v>0</v>
      </c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/>
      <c r="AV116"/>
      <c r="AW116"/>
      <c r="AX116" s="56" t="s">
        <v>2478</v>
      </c>
      <c r="AY116"/>
      <c r="AZ116" s="56" t="s">
        <v>2537</v>
      </c>
      <c r="BA116" s="56"/>
    </row>
    <row r="117" spans="1:53" ht="13.5" thickBot="1">
      <c r="A117" s="111">
        <v>115</v>
      </c>
      <c r="B117" s="335" t="str">
        <f t="shared" si="31"/>
        <v>Gustav Sevenster</v>
      </c>
      <c r="C117" t="s">
        <v>1542</v>
      </c>
      <c r="D117" t="s">
        <v>1540</v>
      </c>
      <c r="E117"/>
      <c r="F117" s="336" t="str">
        <f>IF(SUM(COUNTIF(H117,{"*Girl*","*Women*","*Woman*","*Female*","*Wo*","*Fe*","*F*"})),"F","M")</f>
        <v>M</v>
      </c>
      <c r="G117" s="337" t="str">
        <f>IFERROR(IF(ISNUMBER(SEARCH("*",N117)),N117&amp;" "&amp;F117,IF(F117="M",LOOKUP(J117,AgeCategories!$A$3:$D$13),LOOKUP(J117,AgeCategories!$A$14:$D$24))),"Invalid Age")</f>
        <v>Sub Junior Boys</v>
      </c>
      <c r="H117" t="s">
        <v>209</v>
      </c>
      <c r="I117" s="338">
        <f t="shared" si="32"/>
        <v>39657</v>
      </c>
      <c r="J117" s="340">
        <f>IFERROR(DATEDIF($I117,Helpers!$O$2,"y"),"ID No. needed")</f>
        <v>14</v>
      </c>
      <c r="K117"/>
      <c r="L117" s="300">
        <v>834279449</v>
      </c>
      <c r="M117" s="319" t="s">
        <v>1872</v>
      </c>
      <c r="N117" s="341"/>
      <c r="O117" s="308" t="b">
        <v>0</v>
      </c>
      <c r="P117" s="241" t="b">
        <f>NOT(ISNA(VLOOKUP(A117,SortedDownload!A:A,1,FALSE)))</f>
        <v>0</v>
      </c>
      <c r="Q117" s="373" t="s">
        <v>2601</v>
      </c>
      <c r="R117" s="311"/>
      <c r="S117" s="235"/>
      <c r="T117" s="235"/>
      <c r="U117" s="311" t="s">
        <v>2130</v>
      </c>
      <c r="V117" s="337" t="str">
        <f t="shared" si="33"/>
        <v>-</v>
      </c>
      <c r="W117" s="348" t="str">
        <f t="shared" si="34"/>
        <v>Gustav Sevenster</v>
      </c>
      <c r="X117" s="337" t="str">
        <f t="shared" si="35"/>
        <v>Gustav</v>
      </c>
      <c r="Y117" s="337" t="str">
        <f t="shared" si="36"/>
        <v>Sevenster</v>
      </c>
      <c r="Z117" s="337" t="str">
        <f t="shared" si="37"/>
        <v>G.Sevenster</v>
      </c>
      <c r="AA117" s="349" t="str">
        <f t="shared" si="29"/>
        <v/>
      </c>
      <c r="AB117" s="349" t="str">
        <f t="shared" si="30"/>
        <v/>
      </c>
      <c r="AC117" s="337" t="str">
        <f>IFERROR(IF(ISNUMBER(SEARCH("*",N117)),N117&amp;" "&amp;F117,IF(F117="M",LOOKUP(J117,AgeCategories!$A$3:$F$11),LOOKUP(J117,AgeCategories!$A$14:$F$22))),"")</f>
        <v>JB</v>
      </c>
      <c r="AD117" s="350">
        <f t="shared" si="38"/>
        <v>39657</v>
      </c>
      <c r="AE117" s="337">
        <f t="shared" si="39"/>
        <v>14</v>
      </c>
      <c r="AF117" s="337" t="str">
        <f>IF(SUM(COUNTIF(H117,{"*Girl*","*Women*","*Woman*","*Female*","*Wo*","*Fe*","*F*"})),"F","M")</f>
        <v>M</v>
      </c>
      <c r="AG117" s="112"/>
      <c r="AH117" s="112"/>
      <c r="AI117" s="344" t="e">
        <f t="array" aca="1" ref="AI117" ca="1">(SMALL(IF(ISERROR(MATCH($AJ$3+ROW(OFFSET($A$3, 0,0, $AJ$4-$AJ$3+1))-2, $A$3:$A766,0)), $AJ$3+ROW(OFFSET($A$2,0, 0, $AJ$4-$AJ$3+1))-1), ROW(A116)))</f>
        <v>#NUM!</v>
      </c>
      <c r="AJ117" s="336">
        <f>Helpers!AY30</f>
        <v>0</v>
      </c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/>
      <c r="AV117"/>
      <c r="AW117"/>
      <c r="AX117" s="56" t="s">
        <v>2478</v>
      </c>
      <c r="AY117"/>
      <c r="AZ117" s="56" t="s">
        <v>2537</v>
      </c>
      <c r="BA117" s="56"/>
    </row>
    <row r="118" spans="1:53" ht="13.5" thickBot="1">
      <c r="A118" s="111">
        <v>116</v>
      </c>
      <c r="B118" s="335" t="str">
        <f t="shared" si="31"/>
        <v>Dean Du Plooy</v>
      </c>
      <c r="C118" t="s">
        <v>1543</v>
      </c>
      <c r="D118" t="s">
        <v>638</v>
      </c>
      <c r="E118"/>
      <c r="F118" s="336" t="str">
        <f>IF(SUM(COUNTIF(H118,{"*Girl*","*Women*","*Woman*","*Female*","*Wo*","*Fe*","*F*"})),"F","M")</f>
        <v>M</v>
      </c>
      <c r="G118" s="337" t="str">
        <f>IFERROR(IF(ISNUMBER(SEARCH("*",N118)),N118&amp;" "&amp;F118,IF(F118="M",LOOKUP(J118,AgeCategories!$A$3:$D$13),LOOKUP(J118,AgeCategories!$A$14:$D$24))),"Invalid Age")</f>
        <v>Lite M</v>
      </c>
      <c r="H118" t="s">
        <v>209</v>
      </c>
      <c r="I118" s="338">
        <f t="shared" si="32"/>
        <v>33047</v>
      </c>
      <c r="J118" s="340">
        <f>IFERROR(DATEDIF($I118,Helpers!$O$2,"y"),"ID No. needed")</f>
        <v>32</v>
      </c>
      <c r="K118"/>
      <c r="L118" s="300">
        <v>839482353</v>
      </c>
      <c r="M118" s="319" t="s">
        <v>1873</v>
      </c>
      <c r="N118" s="341" t="s">
        <v>2601</v>
      </c>
      <c r="O118" s="308" t="b">
        <v>1</v>
      </c>
      <c r="P118" s="241" t="b">
        <f>NOT(ISNA(VLOOKUP(A118,SortedDownload!A:A,1,FALSE)))</f>
        <v>1</v>
      </c>
      <c r="Q118" s="373" t="s">
        <v>2601</v>
      </c>
      <c r="R118" s="311"/>
      <c r="S118" s="235"/>
      <c r="T118" s="235"/>
      <c r="U118" s="311" t="s">
        <v>2131</v>
      </c>
      <c r="V118" s="337" t="str">
        <f t="shared" si="33"/>
        <v>-</v>
      </c>
      <c r="W118" s="348" t="str">
        <f t="shared" si="34"/>
        <v>Dean Du Plooy</v>
      </c>
      <c r="X118" s="337" t="str">
        <f t="shared" si="35"/>
        <v>Dean</v>
      </c>
      <c r="Y118" s="337" t="str">
        <f t="shared" si="36"/>
        <v>Du Plooy</v>
      </c>
      <c r="Z118" s="337" t="str">
        <f t="shared" si="37"/>
        <v>D.Du Plooy</v>
      </c>
      <c r="AA118" s="349" t="str">
        <f t="shared" si="29"/>
        <v/>
      </c>
      <c r="AB118" s="349" t="str">
        <f t="shared" si="30"/>
        <v/>
      </c>
      <c r="AC118" s="337" t="str">
        <f>IFERROR(IF(ISNUMBER(SEARCH("*",N118)),N118&amp;" "&amp;F118,IF(F118="M",LOOKUP(J118,AgeCategories!$A$3:$F$11),LOOKUP(J118,AgeCategories!$A$14:$F$22))),"")</f>
        <v>Lite M</v>
      </c>
      <c r="AD118" s="350">
        <f t="shared" si="38"/>
        <v>33047</v>
      </c>
      <c r="AE118" s="337">
        <f t="shared" si="39"/>
        <v>32</v>
      </c>
      <c r="AF118" s="337" t="str">
        <f>IF(SUM(COUNTIF(H118,{"*Girl*","*Women*","*Woman*","*Female*","*Wo*","*Fe*","*F*"})),"F","M")</f>
        <v>M</v>
      </c>
      <c r="AG118" s="112"/>
      <c r="AH118" s="112"/>
      <c r="AI118" s="344" t="e">
        <f t="array" aca="1" ref="AI118" ca="1">(SMALL(IF(ISERROR(MATCH($AJ$3+ROW(OFFSET($A$3, 0,0, $AJ$4-$AJ$3+1))-2, $A$3:$A767,0)), $AJ$3+ROW(OFFSET($A$2,0, 0, $AJ$4-$AJ$3+1))-1), ROW(A117)))</f>
        <v>#NUM!</v>
      </c>
      <c r="AJ118" s="336">
        <f>Helpers!AY29</f>
        <v>0</v>
      </c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/>
      <c r="AV118"/>
      <c r="AW118" t="s">
        <v>2363</v>
      </c>
      <c r="AX118" s="56" t="s">
        <v>2510</v>
      </c>
      <c r="AY118"/>
      <c r="AZ118" s="56" t="s">
        <v>2537</v>
      </c>
      <c r="BA118" s="56"/>
    </row>
    <row r="119" spans="1:53" ht="13.5" thickBot="1">
      <c r="A119" s="111">
        <v>117</v>
      </c>
      <c r="B119" s="335" t="str">
        <f t="shared" si="31"/>
        <v>Mario Abrahams</v>
      </c>
      <c r="C119" t="s">
        <v>1544</v>
      </c>
      <c r="D119" t="s">
        <v>1408</v>
      </c>
      <c r="E119"/>
      <c r="F119" s="336" t="str">
        <f>IF(SUM(COUNTIF(H119,{"*Girl*","*Women*","*Woman*","*Female*","*Wo*","*Fe*","*F*"})),"F","M")</f>
        <v>M</v>
      </c>
      <c r="G119" s="337" t="str">
        <f>IFERROR(IF(ISNUMBER(SEARCH("*",N119)),N119&amp;" "&amp;F119,IF(F119="M",LOOKUP(J119,AgeCategories!$A$3:$D$13),LOOKUP(J119,AgeCategories!$A$14:$D$24))),"Invalid Age")</f>
        <v>Lite M</v>
      </c>
      <c r="H119" t="s">
        <v>209</v>
      </c>
      <c r="I119" s="338">
        <f t="shared" si="32"/>
        <v>32154</v>
      </c>
      <c r="J119" s="340">
        <f>IFERROR(DATEDIF($I119,Helpers!$O$2,"y"),"ID No. needed")</f>
        <v>34</v>
      </c>
      <c r="K119"/>
      <c r="L119" s="300">
        <v>765489720</v>
      </c>
      <c r="M119" s="319" t="s">
        <v>1874</v>
      </c>
      <c r="N119" s="341" t="s">
        <v>2601</v>
      </c>
      <c r="O119" s="308" t="b">
        <v>1</v>
      </c>
      <c r="P119" s="241" t="b">
        <f>NOT(ISNA(VLOOKUP(A119,SortedDownload!A:A,1,FALSE)))</f>
        <v>1</v>
      </c>
      <c r="Q119" s="373" t="s">
        <v>2601</v>
      </c>
      <c r="R119" s="311"/>
      <c r="S119" s="235"/>
      <c r="T119" s="235"/>
      <c r="U119" s="311" t="s">
        <v>2132</v>
      </c>
      <c r="V119" s="337" t="str">
        <f t="shared" si="33"/>
        <v>-</v>
      </c>
      <c r="W119" s="348" t="str">
        <f t="shared" si="34"/>
        <v>Mario Abrahams</v>
      </c>
      <c r="X119" s="337" t="str">
        <f t="shared" si="35"/>
        <v>Mario</v>
      </c>
      <c r="Y119" s="337" t="str">
        <f t="shared" si="36"/>
        <v>Abrahams</v>
      </c>
      <c r="Z119" s="337" t="str">
        <f t="shared" si="37"/>
        <v>M.Abrahams</v>
      </c>
      <c r="AA119" s="349" t="str">
        <f t="shared" si="29"/>
        <v/>
      </c>
      <c r="AB119" s="349" t="str">
        <f t="shared" si="30"/>
        <v/>
      </c>
      <c r="AC119" s="337" t="str">
        <f>IFERROR(IF(ISNUMBER(SEARCH("*",N119)),N119&amp;" "&amp;F119,IF(F119="M",LOOKUP(J119,AgeCategories!$A$3:$F$11),LOOKUP(J119,AgeCategories!$A$14:$F$22))),"")</f>
        <v>Lite M</v>
      </c>
      <c r="AD119" s="350">
        <f t="shared" si="38"/>
        <v>32154</v>
      </c>
      <c r="AE119" s="337">
        <f t="shared" si="39"/>
        <v>34</v>
      </c>
      <c r="AF119" s="337" t="str">
        <f>IF(SUM(COUNTIF(H119,{"*Girl*","*Women*","*Woman*","*Female*","*Wo*","*Fe*","*F*"})),"F","M")</f>
        <v>M</v>
      </c>
      <c r="AG119" s="112"/>
      <c r="AH119" s="112"/>
      <c r="AI119" s="344" t="e">
        <f t="array" aca="1" ref="AI119" ca="1">(SMALL(IF(ISERROR(MATCH($AJ$3+ROW(OFFSET($A$3, 0,0, $AJ$4-$AJ$3+1))-2, $A$3:$A768,0)), $AJ$3+ROW(OFFSET($A$2,0, 0, $AJ$4-$AJ$3+1))-1), ROW(A118)))</f>
        <v>#NUM!</v>
      </c>
      <c r="AJ119" s="336">
        <f>Helpers!AY28</f>
        <v>0</v>
      </c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/>
      <c r="AV119"/>
      <c r="AW119"/>
      <c r="AX119" s="56"/>
      <c r="AY119"/>
      <c r="AZ119" s="56" t="s">
        <v>2537</v>
      </c>
      <c r="BA119" s="56"/>
    </row>
    <row r="120" spans="1:53" ht="13.5" customHeight="1" thickBot="1">
      <c r="A120" s="111">
        <v>118</v>
      </c>
      <c r="B120" s="335" t="str">
        <f t="shared" si="31"/>
        <v>Robin Moore</v>
      </c>
      <c r="C120" t="s">
        <v>1545</v>
      </c>
      <c r="D120" t="s">
        <v>648</v>
      </c>
      <c r="E120"/>
      <c r="F120" s="336" t="str">
        <f>IF(SUM(COUNTIF(H120,{"*Girl*","*Women*","*Woman*","*Female*","*Wo*","*Fe*","*F*"})),"F","M")</f>
        <v>M</v>
      </c>
      <c r="G120" s="337" t="str">
        <f>IFERROR(IF(ISNUMBER(SEARCH("*",N120)),N120&amp;" "&amp;F120,IF(F120="M",LOOKUP(J120,AgeCategories!$A$3:$D$13),LOOKUP(J120,AgeCategories!$A$14:$D$24))),"Invalid Age")</f>
        <v>Master Men</v>
      </c>
      <c r="H120" t="s">
        <v>209</v>
      </c>
      <c r="I120" s="338">
        <f t="shared" si="32"/>
        <v>31742</v>
      </c>
      <c r="J120" s="340">
        <f>IFERROR(DATEDIF($I120,Helpers!$O$2,"y"),"ID No. needed")</f>
        <v>36</v>
      </c>
      <c r="K120"/>
      <c r="L120" s="300">
        <v>637763557</v>
      </c>
      <c r="M120" s="319" t="s">
        <v>1875</v>
      </c>
      <c r="N120" s="342"/>
      <c r="O120" s="308" t="b">
        <v>1</v>
      </c>
      <c r="P120" s="241" t="b">
        <f>NOT(ISNA(VLOOKUP(A120,SortedDownload!A:A,1,FALSE)))</f>
        <v>1</v>
      </c>
      <c r="Q120" s="373" t="s">
        <v>2631</v>
      </c>
      <c r="R120" s="311"/>
      <c r="S120" s="235"/>
      <c r="T120" s="235"/>
      <c r="U120" s="311" t="s">
        <v>2133</v>
      </c>
      <c r="V120" s="337" t="str">
        <f t="shared" si="33"/>
        <v>-</v>
      </c>
      <c r="W120" s="348" t="str">
        <f t="shared" si="34"/>
        <v>Robin Moore</v>
      </c>
      <c r="X120" s="337" t="str">
        <f t="shared" si="35"/>
        <v>Robin</v>
      </c>
      <c r="Y120" s="337" t="str">
        <f t="shared" si="36"/>
        <v>Moore</v>
      </c>
      <c r="Z120" s="337" t="str">
        <f t="shared" si="37"/>
        <v>R.Moore</v>
      </c>
      <c r="AA120" s="349" t="str">
        <f t="shared" si="29"/>
        <v/>
      </c>
      <c r="AB120" s="349" t="str">
        <f t="shared" si="30"/>
        <v/>
      </c>
      <c r="AC120" s="337" t="str">
        <f>IFERROR(IF(ISNUMBER(SEARCH("*",N120)),N120&amp;" "&amp;F120,IF(F120="M",LOOKUP(J120,AgeCategories!$A$3:$F$11),LOOKUP(J120,AgeCategories!$A$14:$F$22))),"")</f>
        <v>MM</v>
      </c>
      <c r="AD120" s="350">
        <f t="shared" si="38"/>
        <v>31742</v>
      </c>
      <c r="AE120" s="337">
        <f t="shared" si="39"/>
        <v>36</v>
      </c>
      <c r="AF120" s="337" t="str">
        <f>IF(SUM(COUNTIF(H120,{"*Girl*","*Women*","*Woman*","*Female*","*Wo*","*Fe*","*F*"})),"F","M")</f>
        <v>M</v>
      </c>
      <c r="AG120" s="112"/>
      <c r="AH120" s="112"/>
      <c r="AI120" s="344" t="e">
        <f t="array" aca="1" ref="AI120" ca="1">(SMALL(IF(ISERROR(MATCH($AJ$3+ROW(OFFSET($A$3, 0,0, $AJ$4-$AJ$3+1))-2, $A$3:$A769,0)), $AJ$3+ROW(OFFSET($A$2,0, 0, $AJ$4-$AJ$3+1))-1), ROW(A119)))</f>
        <v>#NUM!</v>
      </c>
      <c r="AJ120" s="336">
        <f>Helpers!AY27</f>
        <v>0</v>
      </c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/>
      <c r="AV120"/>
      <c r="AW120"/>
      <c r="AX120" s="56"/>
      <c r="AY120">
        <v>0</v>
      </c>
      <c r="AZ120" s="56" t="s">
        <v>2537</v>
      </c>
      <c r="BA120" s="56"/>
    </row>
    <row r="121" spans="1:53" ht="13.5" customHeight="1" thickBot="1">
      <c r="A121" s="111">
        <v>119</v>
      </c>
      <c r="B121" s="335" t="str">
        <f t="shared" si="31"/>
        <v>Ian Williams</v>
      </c>
      <c r="C121" t="s">
        <v>633</v>
      </c>
      <c r="D121" t="s">
        <v>1546</v>
      </c>
      <c r="E121"/>
      <c r="F121" s="336" t="str">
        <f>IF(SUM(COUNTIF(H121,{"*Girl*","*Women*","*Woman*","*Female*","*Wo*","*Fe*","*F*"})),"F","M")</f>
        <v>M</v>
      </c>
      <c r="G121" s="337" t="str">
        <f>IFERROR(IF(ISNUMBER(SEARCH("*",N121)),N121&amp;" "&amp;F121,IF(F121="M",LOOKUP(J121,AgeCategories!$A$3:$D$13),LOOKUP(J121,AgeCategories!$A$14:$D$24))),"Invalid Age")</f>
        <v>Master Men</v>
      </c>
      <c r="H121" t="s">
        <v>209</v>
      </c>
      <c r="I121" s="338">
        <f t="shared" si="32"/>
        <v>28885</v>
      </c>
      <c r="J121" s="340">
        <f>IFERROR(DATEDIF($I121,Helpers!$O$2,"y"),"ID No. needed")</f>
        <v>43</v>
      </c>
      <c r="K121"/>
      <c r="L121" s="300">
        <v>832762763</v>
      </c>
      <c r="M121" s="319" t="s">
        <v>1876</v>
      </c>
      <c r="N121" s="342"/>
      <c r="O121" s="308" t="b">
        <v>1</v>
      </c>
      <c r="P121" s="241" t="b">
        <f>NOT(ISNA(VLOOKUP(A121,SortedDownload!A:A,1,FALSE)))</f>
        <v>1</v>
      </c>
      <c r="Q121" s="373" t="s">
        <v>2631</v>
      </c>
      <c r="R121" s="311"/>
      <c r="S121" s="235"/>
      <c r="T121" s="235"/>
      <c r="U121" s="311" t="s">
        <v>2134</v>
      </c>
      <c r="V121" s="337" t="str">
        <f t="shared" si="33"/>
        <v>-</v>
      </c>
      <c r="W121" s="348" t="str">
        <f t="shared" si="34"/>
        <v>Ian Williams</v>
      </c>
      <c r="X121" s="337" t="str">
        <f t="shared" si="35"/>
        <v>Ian</v>
      </c>
      <c r="Y121" s="337" t="str">
        <f t="shared" si="36"/>
        <v>Williams</v>
      </c>
      <c r="Z121" s="337" t="str">
        <f t="shared" si="37"/>
        <v>I.Williams</v>
      </c>
      <c r="AA121" s="349" t="str">
        <f t="shared" si="29"/>
        <v/>
      </c>
      <c r="AB121" s="349" t="str">
        <f t="shared" si="30"/>
        <v/>
      </c>
      <c r="AC121" s="337" t="str">
        <f>IFERROR(IF(ISNUMBER(SEARCH("*",N121)),N121&amp;" "&amp;F121,IF(F121="M",LOOKUP(J121,AgeCategories!$A$3:$F$11),LOOKUP(J121,AgeCategories!$A$14:$F$22))),"")</f>
        <v>MM</v>
      </c>
      <c r="AD121" s="350">
        <f t="shared" si="38"/>
        <v>28885</v>
      </c>
      <c r="AE121" s="337">
        <f t="shared" si="39"/>
        <v>43</v>
      </c>
      <c r="AF121" s="337" t="str">
        <f>IF(SUM(COUNTIF(H121,{"*Girl*","*Women*","*Woman*","*Female*","*Wo*","*Fe*","*F*"})),"F","M")</f>
        <v>M</v>
      </c>
      <c r="AG121" s="112"/>
      <c r="AH121" s="112"/>
      <c r="AI121" s="344" t="e">
        <f t="array" aca="1" ref="AI121" ca="1">(SMALL(IF(ISERROR(MATCH($AJ$3+ROW(OFFSET($A$3, 0,0, $AJ$4-$AJ$3+1))-2, $A$3:$A770,0)), $AJ$3+ROW(OFFSET($A$2,0, 0, $AJ$4-$AJ$3+1))-1), ROW(A120)))</f>
        <v>#NUM!</v>
      </c>
      <c r="AJ121" s="336">
        <f>Helpers!AY26</f>
        <v>0</v>
      </c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/>
      <c r="AV121"/>
      <c r="AW121" t="s">
        <v>2364</v>
      </c>
      <c r="AX121" s="56" t="s">
        <v>2481</v>
      </c>
      <c r="AY121" t="s">
        <v>2570</v>
      </c>
      <c r="AZ121" s="56" t="s">
        <v>2537</v>
      </c>
      <c r="BA121" s="56"/>
    </row>
    <row r="122" spans="1:53" ht="13.5" thickBot="1">
      <c r="A122" s="111">
        <v>120</v>
      </c>
      <c r="B122" s="335" t="str">
        <f t="shared" si="31"/>
        <v>Gregg Blomeyer</v>
      </c>
      <c r="C122" t="s">
        <v>1547</v>
      </c>
      <c r="D122" t="s">
        <v>1548</v>
      </c>
      <c r="E122"/>
      <c r="F122" s="336" t="str">
        <f>IF(SUM(COUNTIF(H122,{"*Girl*","*Women*","*Woman*","*Female*","*Wo*","*Fe*","*F*"})),"F","M")</f>
        <v>M</v>
      </c>
      <c r="G122" s="337" t="str">
        <f>IFERROR(IF(ISNUMBER(SEARCH("*",N122)),N122&amp;" "&amp;F122,IF(F122="M",LOOKUP(J122,AgeCategories!$A$3:$D$13),LOOKUP(J122,AgeCategories!$A$14:$D$24))),"Invalid Age")</f>
        <v>Lite M</v>
      </c>
      <c r="H122" t="s">
        <v>209</v>
      </c>
      <c r="I122" s="338">
        <f t="shared" si="32"/>
        <v>32088</v>
      </c>
      <c r="J122" s="340">
        <f>IFERROR(DATEDIF($I122,Helpers!$O$2,"y"),"ID No. needed")</f>
        <v>35</v>
      </c>
      <c r="K122"/>
      <c r="L122" s="300">
        <v>840247777</v>
      </c>
      <c r="M122" s="319" t="s">
        <v>1877</v>
      </c>
      <c r="N122" s="341" t="s">
        <v>2601</v>
      </c>
      <c r="O122" s="308" t="b">
        <v>1</v>
      </c>
      <c r="P122" s="241" t="b">
        <f>NOT(ISNA(VLOOKUP(A122,SortedDownload!A:A,1,FALSE)))</f>
        <v>1</v>
      </c>
      <c r="Q122" s="373" t="s">
        <v>2601</v>
      </c>
      <c r="R122" s="311"/>
      <c r="S122" s="235"/>
      <c r="T122" s="235"/>
      <c r="U122" s="311" t="s">
        <v>2135</v>
      </c>
      <c r="V122" s="337" t="str">
        <f t="shared" si="33"/>
        <v>-</v>
      </c>
      <c r="W122" s="348" t="str">
        <f t="shared" si="34"/>
        <v>Gregg Blomeyer</v>
      </c>
      <c r="X122" s="337" t="str">
        <f t="shared" si="35"/>
        <v>Gregg</v>
      </c>
      <c r="Y122" s="337" t="str">
        <f t="shared" si="36"/>
        <v>Blomeyer</v>
      </c>
      <c r="Z122" s="337" t="str">
        <f t="shared" si="37"/>
        <v>G.Blomeyer</v>
      </c>
      <c r="AA122" s="349" t="str">
        <f t="shared" si="29"/>
        <v/>
      </c>
      <c r="AB122" s="349" t="str">
        <f t="shared" si="30"/>
        <v/>
      </c>
      <c r="AC122" s="337" t="str">
        <f>IFERROR(IF(ISNUMBER(SEARCH("*",N122)),N122&amp;" "&amp;F122,IF(F122="M",LOOKUP(J122,AgeCategories!$A$3:$F$11),LOOKUP(J122,AgeCategories!$A$14:$F$22))),"")</f>
        <v>Lite M</v>
      </c>
      <c r="AD122" s="350">
        <f t="shared" si="38"/>
        <v>32088</v>
      </c>
      <c r="AE122" s="337">
        <f t="shared" si="39"/>
        <v>35</v>
      </c>
      <c r="AF122" s="337" t="str">
        <f>IF(SUM(COUNTIF(H122,{"*Girl*","*Women*","*Woman*","*Female*","*Wo*","*Fe*","*F*"})),"F","M")</f>
        <v>M</v>
      </c>
      <c r="AG122" s="112"/>
      <c r="AH122" s="112"/>
      <c r="AI122" s="344" t="e">
        <f t="array" aca="1" ref="AI122" ca="1">(SMALL(IF(ISERROR(MATCH($AJ$3+ROW(OFFSET($A$3, 0,0, $AJ$4-$AJ$3+1))-2, $A$3:$A771,0)), $AJ$3+ROW(OFFSET($A$2,0, 0, $AJ$4-$AJ$3+1))-1), ROW(A121)))</f>
        <v>#NUM!</v>
      </c>
      <c r="AJ122" s="336">
        <f>Helpers!AY25</f>
        <v>0</v>
      </c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/>
      <c r="AV122"/>
      <c r="AW122" t="s">
        <v>2365</v>
      </c>
      <c r="AX122" s="56" t="s">
        <v>2478</v>
      </c>
      <c r="AY122" t="s">
        <v>2277</v>
      </c>
      <c r="AZ122" s="56" t="s">
        <v>2540</v>
      </c>
      <c r="BA122" s="56"/>
    </row>
    <row r="123" spans="1:53" ht="13.5" thickBot="1">
      <c r="A123" s="111">
        <v>121</v>
      </c>
      <c r="B123" s="335" t="str">
        <f t="shared" si="31"/>
        <v>Gabriel Cohn</v>
      </c>
      <c r="C123" t="s">
        <v>1549</v>
      </c>
      <c r="D123" t="s">
        <v>1550</v>
      </c>
      <c r="E123"/>
      <c r="F123" s="336" t="str">
        <f>IF(SUM(COUNTIF(H123,{"*Girl*","*Women*","*Woman*","*Female*","*Wo*","*Fe*","*F*"})),"F","M")</f>
        <v>M</v>
      </c>
      <c r="G123" s="337" t="str">
        <f>IFERROR(IF(ISNUMBER(SEARCH("*",N123)),N123&amp;" "&amp;F123,IF(F123="M",LOOKUP(J123,AgeCategories!$A$3:$D$13),LOOKUP(J123,AgeCategories!$A$14:$D$24))),"Invalid Age")</f>
        <v>Sub Junior Boys</v>
      </c>
      <c r="H123" t="s">
        <v>209</v>
      </c>
      <c r="I123" s="338">
        <f t="shared" si="32"/>
        <v>39737</v>
      </c>
      <c r="J123" s="340">
        <f>IFERROR(DATEDIF($I123,Helpers!$O$2,"y"),"ID No. needed")</f>
        <v>14</v>
      </c>
      <c r="K123" s="323"/>
      <c r="L123" s="300">
        <v>660385981</v>
      </c>
      <c r="M123" s="319" t="s">
        <v>1878</v>
      </c>
      <c r="N123" s="341"/>
      <c r="O123" s="308" t="b">
        <v>1</v>
      </c>
      <c r="P123" s="241" t="b">
        <f>NOT(ISNA(VLOOKUP(A123,SortedDownload!A:A,1,FALSE)))</f>
        <v>1</v>
      </c>
      <c r="Q123" s="373" t="s">
        <v>2601</v>
      </c>
      <c r="R123" s="311"/>
      <c r="S123" s="235"/>
      <c r="T123" s="235"/>
      <c r="U123" s="311" t="s">
        <v>2136</v>
      </c>
      <c r="V123" s="337" t="str">
        <f t="shared" si="33"/>
        <v>-</v>
      </c>
      <c r="W123" s="348" t="str">
        <f t="shared" si="34"/>
        <v>Gabriel Cohn</v>
      </c>
      <c r="X123" s="337" t="str">
        <f t="shared" si="35"/>
        <v>Gabriel</v>
      </c>
      <c r="Y123" s="337" t="str">
        <f t="shared" si="36"/>
        <v>Cohn</v>
      </c>
      <c r="Z123" s="337" t="str">
        <f t="shared" si="37"/>
        <v>G.Cohn</v>
      </c>
      <c r="AA123" s="349" t="str">
        <f t="shared" si="29"/>
        <v/>
      </c>
      <c r="AB123" s="349" t="str">
        <f t="shared" si="30"/>
        <v/>
      </c>
      <c r="AC123" s="337" t="str">
        <f>IFERROR(IF(ISNUMBER(SEARCH("*",N123)),N123&amp;" "&amp;F123,IF(F123="M",LOOKUP(J123,AgeCategories!$A$3:$F$11),LOOKUP(J123,AgeCategories!$A$14:$F$22))),"")</f>
        <v>JB</v>
      </c>
      <c r="AD123" s="350">
        <f t="shared" si="38"/>
        <v>39737</v>
      </c>
      <c r="AE123" s="337">
        <f t="shared" si="39"/>
        <v>14</v>
      </c>
      <c r="AF123" s="337" t="str">
        <f>IF(SUM(COUNTIF(H123,{"*Girl*","*Women*","*Woman*","*Female*","*Wo*","*Fe*","*F*"})),"F","M")</f>
        <v>M</v>
      </c>
      <c r="AG123" s="112"/>
      <c r="AH123" s="112"/>
      <c r="AI123" s="344" t="e">
        <f t="array" aca="1" ref="AI123" ca="1">(SMALL(IF(ISERROR(MATCH($AJ$3+ROW(OFFSET($A$3, 0,0, $AJ$4-$AJ$3+1))-2, $A$3:$A772,0)), $AJ$3+ROW(OFFSET($A$2,0, 0, $AJ$4-$AJ$3+1))-1), ROW(A122)))</f>
        <v>#NUM!</v>
      </c>
      <c r="AJ123" s="336">
        <f>Helpers!AY24</f>
        <v>0</v>
      </c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323"/>
      <c r="AV123" s="329"/>
      <c r="AW123" s="329" t="s">
        <v>2366</v>
      </c>
      <c r="AX123" s="56" t="s">
        <v>2479</v>
      </c>
      <c r="AY123" t="s">
        <v>2548</v>
      </c>
      <c r="AZ123" s="56" t="s">
        <v>2541</v>
      </c>
      <c r="BA123" s="56" t="s">
        <v>2595</v>
      </c>
    </row>
    <row r="124" spans="1:53" ht="13.5" customHeight="1" thickBot="1">
      <c r="A124" s="111">
        <v>122</v>
      </c>
      <c r="B124" s="335" t="str">
        <f t="shared" si="31"/>
        <v>Juri De Bruyn</v>
      </c>
      <c r="C124" t="s">
        <v>1551</v>
      </c>
      <c r="D124" t="s">
        <v>1552</v>
      </c>
      <c r="E124"/>
      <c r="F124" s="336" t="str">
        <f>IF(SUM(COUNTIF(H124,{"*Girl*","*Women*","*Woman*","*Female*","*Wo*","*Fe*","*F*"})),"F","M")</f>
        <v>M</v>
      </c>
      <c r="G124" s="337" t="str">
        <f>IFERROR(IF(ISNUMBER(SEARCH("*",N124)),N124&amp;" "&amp;F124,IF(F124="M",LOOKUP(J124,AgeCategories!$A$3:$D$13),LOOKUP(J124,AgeCategories!$A$14:$D$24))),"Invalid Age")</f>
        <v>Elite Men</v>
      </c>
      <c r="H124" t="s">
        <v>209</v>
      </c>
      <c r="I124" s="338">
        <f t="shared" si="32"/>
        <v>35681</v>
      </c>
      <c r="J124" s="340">
        <f>IFERROR(DATEDIF($I124,Helpers!$O$2,"y"),"ID No. needed")</f>
        <v>25</v>
      </c>
      <c r="K124" s="323"/>
      <c r="L124" s="300">
        <v>824297647</v>
      </c>
      <c r="M124" s="319" t="s">
        <v>1879</v>
      </c>
      <c r="N124" s="341"/>
      <c r="O124" s="308" t="b">
        <v>1</v>
      </c>
      <c r="P124" s="241" t="b">
        <f>NOT(ISNA(VLOOKUP(A124,SortedDownload!A:A,1,FALSE)))</f>
        <v>1</v>
      </c>
      <c r="Q124" s="373" t="s">
        <v>2631</v>
      </c>
      <c r="R124" s="311"/>
      <c r="S124" s="235"/>
      <c r="T124" s="235"/>
      <c r="U124" s="311" t="s">
        <v>2137</v>
      </c>
      <c r="V124" s="337" t="str">
        <f t="shared" si="33"/>
        <v>-</v>
      </c>
      <c r="W124" s="348" t="str">
        <f t="shared" si="34"/>
        <v>Juri De Bruyn</v>
      </c>
      <c r="X124" s="337" t="str">
        <f t="shared" si="35"/>
        <v>Juri</v>
      </c>
      <c r="Y124" s="337" t="str">
        <f t="shared" si="36"/>
        <v>De Bruyn</v>
      </c>
      <c r="Z124" s="337" t="str">
        <f t="shared" si="37"/>
        <v>J.De Bruyn</v>
      </c>
      <c r="AA124" s="349" t="str">
        <f t="shared" si="29"/>
        <v/>
      </c>
      <c r="AB124" s="349" t="str">
        <f t="shared" si="30"/>
        <v/>
      </c>
      <c r="AC124" s="337" t="str">
        <f>IFERROR(IF(ISNUMBER(SEARCH("*",N124)),N124&amp;" "&amp;F124,IF(F124="M",LOOKUP(J124,AgeCategories!$A$3:$F$11),LOOKUP(J124,AgeCategories!$A$14:$F$22))),"")</f>
        <v>EM</v>
      </c>
      <c r="AD124" s="350">
        <f t="shared" si="38"/>
        <v>35681</v>
      </c>
      <c r="AE124" s="337">
        <f t="shared" si="39"/>
        <v>25</v>
      </c>
      <c r="AF124" s="337" t="str">
        <f>IF(SUM(COUNTIF(H124,{"*Girl*","*Women*","*Woman*","*Female*","*Wo*","*Fe*","*F*"})),"F","M")</f>
        <v>M</v>
      </c>
      <c r="AG124" s="112"/>
      <c r="AH124" s="112"/>
      <c r="AI124" s="344" t="e">
        <f t="array" aca="1" ref="AI124" ca="1">(SMALL(IF(ISERROR(MATCH($AJ$3+ROW(OFFSET($A$3, 0,0, $AJ$4-$AJ$3+1))-2, $A$3:$A773,0)), $AJ$3+ROW(OFFSET($A$2,0, 0, $AJ$4-$AJ$3+1))-1), ROW(A123)))</f>
        <v>#NUM!</v>
      </c>
      <c r="AJ124" s="336">
        <f>Helpers!AY23</f>
        <v>0</v>
      </c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323"/>
      <c r="AV124" s="329"/>
      <c r="AW124" s="329" t="s">
        <v>2367</v>
      </c>
      <c r="AX124" s="56" t="s">
        <v>2491</v>
      </c>
      <c r="AY124" t="s">
        <v>2277</v>
      </c>
      <c r="AZ124" s="56" t="s">
        <v>2539</v>
      </c>
      <c r="BA124" s="56"/>
    </row>
    <row r="125" spans="1:53" ht="13.5" customHeight="1" thickBot="1">
      <c r="A125" s="111">
        <v>123</v>
      </c>
      <c r="B125" s="335" t="str">
        <f t="shared" si="31"/>
        <v>Dane Clifton</v>
      </c>
      <c r="C125" s="20" t="s">
        <v>1553</v>
      </c>
      <c r="D125" t="s">
        <v>1554</v>
      </c>
      <c r="E125"/>
      <c r="F125" s="336" t="str">
        <f>IF(SUM(COUNTIF(H125,{"*Girl*","*Women*","*Woman*","*Female*","*Wo*","*Fe*","*F*"})),"F","M")</f>
        <v>M</v>
      </c>
      <c r="G125" s="337" t="str">
        <f>IFERROR(IF(ISNUMBER(SEARCH("*",N125)),N125&amp;" "&amp;F125,IF(F125="M",LOOKUP(J125,AgeCategories!$A$3:$D$13),LOOKUP(J125,AgeCategories!$A$14:$D$24))),"Invalid Age")</f>
        <v>Master Men</v>
      </c>
      <c r="H125" t="s">
        <v>209</v>
      </c>
      <c r="I125" s="338">
        <f t="shared" si="32"/>
        <v>33703</v>
      </c>
      <c r="J125" s="340">
        <f>IFERROR(DATEDIF($I125,Helpers!$O$2,"y"),"ID No. needed")</f>
        <v>30</v>
      </c>
      <c r="K125" s="323"/>
      <c r="L125" s="300">
        <v>721286992</v>
      </c>
      <c r="M125" s="319" t="s">
        <v>1880</v>
      </c>
      <c r="N125" s="342"/>
      <c r="O125" s="308" t="b">
        <v>1</v>
      </c>
      <c r="P125" s="241" t="b">
        <f>NOT(ISNA(VLOOKUP(A125,SortedDownload!A:A,1,FALSE)))</f>
        <v>1</v>
      </c>
      <c r="Q125" s="373" t="s">
        <v>2631</v>
      </c>
      <c r="R125" s="311"/>
      <c r="S125" s="235"/>
      <c r="T125" s="235"/>
      <c r="U125" s="311" t="s">
        <v>2138</v>
      </c>
      <c r="V125" s="337" t="str">
        <f t="shared" si="33"/>
        <v>-</v>
      </c>
      <c r="W125" s="348" t="str">
        <f t="shared" si="34"/>
        <v>Dane Clifton</v>
      </c>
      <c r="X125" s="337" t="str">
        <f t="shared" si="35"/>
        <v>Dane</v>
      </c>
      <c r="Y125" s="337" t="str">
        <f t="shared" si="36"/>
        <v>Clifton</v>
      </c>
      <c r="Z125" s="337" t="str">
        <f t="shared" si="37"/>
        <v>D.Clifton</v>
      </c>
      <c r="AA125" s="349" t="str">
        <f t="shared" si="29"/>
        <v/>
      </c>
      <c r="AB125" s="349" t="str">
        <f t="shared" si="30"/>
        <v/>
      </c>
      <c r="AC125" s="337" t="str">
        <f>IFERROR(IF(ISNUMBER(SEARCH("*",N125)),N125&amp;" "&amp;F125,IF(F125="M",LOOKUP(J125,AgeCategories!$A$3:$F$11),LOOKUP(J125,AgeCategories!$A$14:$F$22))),"")</f>
        <v>MM</v>
      </c>
      <c r="AD125" s="350">
        <f t="shared" si="38"/>
        <v>33703</v>
      </c>
      <c r="AE125" s="337">
        <f t="shared" si="39"/>
        <v>30</v>
      </c>
      <c r="AF125" s="337" t="str">
        <f>IF(SUM(COUNTIF(H125,{"*Girl*","*Women*","*Woman*","*Female*","*Wo*","*Fe*","*F*"})),"F","M")</f>
        <v>M</v>
      </c>
      <c r="AG125" s="112"/>
      <c r="AH125" s="112"/>
      <c r="AI125" s="344" t="e">
        <f t="array" aca="1" ref="AI125" ca="1">(SMALL(IF(ISERROR(MATCH($AJ$3+ROW(OFFSET($A$3, 0,0, $AJ$4-$AJ$3+1))-2, $A$3:$A774,0)), $AJ$3+ROW(OFFSET($A$2,0, 0, $AJ$4-$AJ$3+1))-1), ROW(A124)))</f>
        <v>#NUM!</v>
      </c>
      <c r="AJ125" s="336">
        <f>Helpers!AY22</f>
        <v>0</v>
      </c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323"/>
      <c r="AV125" s="329"/>
      <c r="AW125" s="329" t="s">
        <v>2368</v>
      </c>
      <c r="AX125" s="56" t="s">
        <v>2478</v>
      </c>
      <c r="AY125" t="s">
        <v>2548</v>
      </c>
      <c r="AZ125" s="56" t="s">
        <v>2541</v>
      </c>
      <c r="BA125" s="56"/>
    </row>
    <row r="126" spans="1:53" ht="13.5" customHeight="1" thickBot="1">
      <c r="A126" s="111">
        <v>124</v>
      </c>
      <c r="B126" s="335" t="str">
        <f t="shared" si="31"/>
        <v>Matthew Halbert</v>
      </c>
      <c r="C126" t="s">
        <v>1555</v>
      </c>
      <c r="D126" t="s">
        <v>1556</v>
      </c>
      <c r="E126"/>
      <c r="F126" s="336" t="str">
        <f>IF(SUM(COUNTIF(H126,{"*Girl*","*Women*","*Woman*","*Female*","*Wo*","*Fe*","*F*"})),"F","M")</f>
        <v>M</v>
      </c>
      <c r="G126" s="337" t="str">
        <f>IFERROR(IF(ISNUMBER(SEARCH("*",N126)),N126&amp;" "&amp;F126,IF(F126="M",LOOKUP(J126,AgeCategories!$A$3:$D$13),LOOKUP(J126,AgeCategories!$A$14:$D$24))),"Invalid Age")</f>
        <v>Junior Men</v>
      </c>
      <c r="H126" t="s">
        <v>209</v>
      </c>
      <c r="I126" s="338">
        <f t="shared" si="32"/>
        <v>38485</v>
      </c>
      <c r="J126" s="340">
        <f>IFERROR(DATEDIF($I126,Helpers!$O$2,"y"),"ID No. needed")</f>
        <v>17</v>
      </c>
      <c r="K126" s="323"/>
      <c r="L126" s="300">
        <v>721921008</v>
      </c>
      <c r="M126" s="319" t="s">
        <v>1881</v>
      </c>
      <c r="N126" s="342"/>
      <c r="O126" s="308" t="b">
        <v>1</v>
      </c>
      <c r="P126" s="241" t="b">
        <f>NOT(ISNA(VLOOKUP(A126,SortedDownload!A:A,1,FALSE)))</f>
        <v>1</v>
      </c>
      <c r="Q126" s="373" t="s">
        <v>2631</v>
      </c>
      <c r="R126" s="311"/>
      <c r="S126" s="235"/>
      <c r="T126" s="235"/>
      <c r="U126" s="311" t="s">
        <v>2139</v>
      </c>
      <c r="V126" s="337" t="str">
        <f t="shared" si="33"/>
        <v>-</v>
      </c>
      <c r="W126" s="348" t="str">
        <f t="shared" si="34"/>
        <v>Matthew Halbert</v>
      </c>
      <c r="X126" s="337" t="str">
        <f t="shared" si="35"/>
        <v>Matthew</v>
      </c>
      <c r="Y126" s="337" t="str">
        <f t="shared" si="36"/>
        <v>Halbert</v>
      </c>
      <c r="Z126" s="337" t="str">
        <f t="shared" si="37"/>
        <v>M.Halbert</v>
      </c>
      <c r="AA126" s="349" t="str">
        <f t="shared" si="29"/>
        <v/>
      </c>
      <c r="AB126" s="349" t="str">
        <f t="shared" si="30"/>
        <v/>
      </c>
      <c r="AC126" s="337" t="str">
        <f>IFERROR(IF(ISNUMBER(SEARCH("*",N126)),N126&amp;" "&amp;F126,IF(F126="M",LOOKUP(J126,AgeCategories!$A$3:$F$11),LOOKUP(J126,AgeCategories!$A$14:$F$22))),"")</f>
        <v>JM</v>
      </c>
      <c r="AD126" s="350">
        <f t="shared" si="38"/>
        <v>38485</v>
      </c>
      <c r="AE126" s="337">
        <f t="shared" si="39"/>
        <v>17</v>
      </c>
      <c r="AF126" s="337" t="str">
        <f>IF(SUM(COUNTIF(H126,{"*Girl*","*Women*","*Woman*","*Female*","*Wo*","*Fe*","*F*"})),"F","M")</f>
        <v>M</v>
      </c>
      <c r="AG126" s="112"/>
      <c r="AH126" s="112"/>
      <c r="AI126" s="344" t="e">
        <f t="array" aca="1" ref="AI126" ca="1">(SMALL(IF(ISERROR(MATCH($AJ$3+ROW(OFFSET($A$3, 0,0, $AJ$4-$AJ$3+1))-2, $A$3:$A775,0)), $AJ$3+ROW(OFFSET($A$2,0, 0, $AJ$4-$AJ$3+1))-1), ROW(A125)))</f>
        <v>#NUM!</v>
      </c>
      <c r="AJ126" s="345">
        <f>Helpers!AY21</f>
        <v>0</v>
      </c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323"/>
      <c r="AV126" s="329"/>
      <c r="AW126" s="329" t="s">
        <v>2369</v>
      </c>
      <c r="AX126" s="56" t="s">
        <v>2478</v>
      </c>
      <c r="AY126"/>
      <c r="AZ126" s="56" t="s">
        <v>2537</v>
      </c>
      <c r="BA126" s="56"/>
    </row>
    <row r="127" spans="1:53" ht="13.5" customHeight="1" thickBot="1">
      <c r="A127" s="111">
        <v>125</v>
      </c>
      <c r="B127" s="335" t="str">
        <f t="shared" si="31"/>
        <v>Nic Kenny</v>
      </c>
      <c r="C127" t="s">
        <v>1441</v>
      </c>
      <c r="D127" t="s">
        <v>1557</v>
      </c>
      <c r="E127"/>
      <c r="F127" s="336" t="str">
        <f>IF(SUM(COUNTIF(H127,{"*Girl*","*Women*","*Woman*","*Female*","*Wo*","*Fe*","*F*"})),"F","M")</f>
        <v>M</v>
      </c>
      <c r="G127" s="337" t="str">
        <f>IFERROR(IF(ISNUMBER(SEARCH("*",N127)),N127&amp;" "&amp;F127,IF(F127="M",LOOKUP(J127,AgeCategories!$A$3:$D$13),LOOKUP(J127,AgeCategories!$A$14:$D$24))),"Invalid Age")</f>
        <v>Junior Men</v>
      </c>
      <c r="H127" t="s">
        <v>209</v>
      </c>
      <c r="I127" s="338">
        <f t="shared" si="32"/>
        <v>38502</v>
      </c>
      <c r="J127" s="340">
        <f>IFERROR(DATEDIF($I127,Helpers!$O$2,"y"),"ID No. needed")</f>
        <v>17</v>
      </c>
      <c r="K127" s="323"/>
      <c r="L127" s="300">
        <v>662163372</v>
      </c>
      <c r="M127" s="319" t="s">
        <v>1882</v>
      </c>
      <c r="N127" s="342"/>
      <c r="O127" s="308" t="b">
        <v>1</v>
      </c>
      <c r="P127" s="241" t="b">
        <f>NOT(ISNA(VLOOKUP(A127,SortedDownload!A:A,1,FALSE)))</f>
        <v>1</v>
      </c>
      <c r="Q127" s="373" t="s">
        <v>2631</v>
      </c>
      <c r="R127" s="310"/>
      <c r="S127" s="235"/>
      <c r="T127" s="235"/>
      <c r="U127" s="310" t="s">
        <v>2140</v>
      </c>
      <c r="V127" s="337" t="str">
        <f t="shared" si="33"/>
        <v>-</v>
      </c>
      <c r="W127" s="348" t="str">
        <f t="shared" si="34"/>
        <v>Nic Kenny</v>
      </c>
      <c r="X127" s="337" t="str">
        <f t="shared" si="35"/>
        <v>Nic</v>
      </c>
      <c r="Y127" s="337" t="str">
        <f t="shared" si="36"/>
        <v>Kenny</v>
      </c>
      <c r="Z127" s="337" t="str">
        <f t="shared" si="37"/>
        <v>N.Kenny</v>
      </c>
      <c r="AA127" s="349" t="str">
        <f t="shared" si="29"/>
        <v/>
      </c>
      <c r="AB127" s="349" t="str">
        <f t="shared" si="30"/>
        <v/>
      </c>
      <c r="AC127" s="337" t="str">
        <f>IFERROR(IF(ISNUMBER(SEARCH("*",N127)),N127&amp;" "&amp;F127,IF(F127="M",LOOKUP(J127,AgeCategories!$A$3:$F$11),LOOKUP(J127,AgeCategories!$A$14:$F$22))),"")</f>
        <v>JM</v>
      </c>
      <c r="AD127" s="350">
        <f t="shared" si="38"/>
        <v>38502</v>
      </c>
      <c r="AE127" s="337">
        <f t="shared" si="39"/>
        <v>17</v>
      </c>
      <c r="AF127" s="337" t="str">
        <f>IF(SUM(COUNTIF(H127,{"*Girl*","*Women*","*Woman*","*Female*","*Wo*","*Fe*","*F*"})),"F","M")</f>
        <v>M</v>
      </c>
      <c r="AG127" s="112"/>
      <c r="AH127" s="112"/>
      <c r="AI127" s="344" t="e">
        <f t="array" aca="1" ref="AI127" ca="1">(SMALL(IF(ISERROR(MATCH($AJ$3+ROW(OFFSET($A$3, 0,0, $AJ$4-$AJ$3+1))-2, $A$3:$A776,0)), $AJ$3+ROW(OFFSET($A$2,0, 0, $AJ$4-$AJ$3+1))-1), ROW(A126)))</f>
        <v>#NUM!</v>
      </c>
      <c r="AJ127" s="345">
        <f>Helpers!AY20</f>
        <v>0</v>
      </c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323"/>
      <c r="AV127" s="329"/>
      <c r="AW127" s="329" t="s">
        <v>2370</v>
      </c>
      <c r="AX127" s="56" t="s">
        <v>2478</v>
      </c>
      <c r="AY127" t="s">
        <v>2547</v>
      </c>
      <c r="AZ127" s="56" t="s">
        <v>2544</v>
      </c>
      <c r="BA127" s="56"/>
    </row>
    <row r="128" spans="1:53" ht="13.5" customHeight="1" thickBot="1">
      <c r="A128" s="111">
        <v>126</v>
      </c>
      <c r="B128" s="335" t="str">
        <f t="shared" si="31"/>
        <v>Luke Moir</v>
      </c>
      <c r="C128" t="s">
        <v>661</v>
      </c>
      <c r="D128" t="s">
        <v>1558</v>
      </c>
      <c r="E128"/>
      <c r="F128" s="336" t="str">
        <f>IF(SUM(COUNTIF(H128,{"*Girl*","*Women*","*Woman*","*Female*","*Wo*","*Fe*","*F*"})),"F","M")</f>
        <v>M</v>
      </c>
      <c r="G128" s="337" t="str">
        <f>IFERROR(IF(ISNUMBER(SEARCH("*",N128)),N128&amp;" "&amp;F128,IF(F128="M",LOOKUP(J128,AgeCategories!$A$3:$D$13),LOOKUP(J128,AgeCategories!$A$14:$D$24))),"Invalid Age")</f>
        <v>Elite Men</v>
      </c>
      <c r="H128" t="s">
        <v>209</v>
      </c>
      <c r="I128" s="338">
        <f t="shared" si="32"/>
        <v>37610</v>
      </c>
      <c r="J128" s="340">
        <f>IFERROR(DATEDIF($I128,Helpers!$O$2,"y"),"ID No. needed")</f>
        <v>20</v>
      </c>
      <c r="K128" s="323"/>
      <c r="L128" s="300">
        <v>832325854</v>
      </c>
      <c r="M128" s="319" t="s">
        <v>1883</v>
      </c>
      <c r="N128" s="342"/>
      <c r="O128" s="308" t="b">
        <v>1</v>
      </c>
      <c r="P128" s="241" t="b">
        <f>NOT(ISNA(VLOOKUP(A128,SortedDownload!A:A,1,FALSE)))</f>
        <v>1</v>
      </c>
      <c r="Q128" s="373" t="s">
        <v>2631</v>
      </c>
      <c r="R128" s="310"/>
      <c r="S128" s="235"/>
      <c r="T128" s="235"/>
      <c r="U128" s="310" t="s">
        <v>2141</v>
      </c>
      <c r="V128" s="337" t="str">
        <f t="shared" si="33"/>
        <v>-</v>
      </c>
      <c r="W128" s="348" t="str">
        <f t="shared" si="34"/>
        <v>Luke Moir</v>
      </c>
      <c r="X128" s="337" t="str">
        <f t="shared" si="35"/>
        <v>Luke</v>
      </c>
      <c r="Y128" s="337" t="str">
        <f t="shared" si="36"/>
        <v>Moir</v>
      </c>
      <c r="Z128" s="337" t="str">
        <f t="shared" si="37"/>
        <v>L.Moir</v>
      </c>
      <c r="AA128" s="349" t="str">
        <f t="shared" si="29"/>
        <v/>
      </c>
      <c r="AB128" s="349" t="str">
        <f t="shared" si="30"/>
        <v/>
      </c>
      <c r="AC128" s="337" t="str">
        <f>IFERROR(IF(ISNUMBER(SEARCH("*",N128)),N128&amp;" "&amp;F128,IF(F128="M",LOOKUP(J128,AgeCategories!$A$3:$F$11),LOOKUP(J128,AgeCategories!$A$14:$F$22))),"")</f>
        <v>EM</v>
      </c>
      <c r="AD128" s="350">
        <f t="shared" si="38"/>
        <v>37610</v>
      </c>
      <c r="AE128" s="337">
        <f t="shared" si="39"/>
        <v>20</v>
      </c>
      <c r="AF128" s="337" t="str">
        <f>IF(SUM(COUNTIF(H128,{"*Girl*","*Women*","*Woman*","*Female*","*Wo*","*Fe*","*F*"})),"F","M")</f>
        <v>M</v>
      </c>
      <c r="AG128" s="112"/>
      <c r="AH128" s="112"/>
      <c r="AI128" s="344" t="e">
        <f t="array" aca="1" ref="AI128" ca="1">(SMALL(IF(ISERROR(MATCH($AJ$3+ROW(OFFSET($A$3, 0,0, $AJ$4-$AJ$3+1))-2, $A$3:$A777,0)), $AJ$3+ROW(OFFSET($A$2,0, 0, $AJ$4-$AJ$3+1))-1), ROW(A127)))</f>
        <v>#NUM!</v>
      </c>
      <c r="AJ128" s="345">
        <f>Helpers!AY19</f>
        <v>0</v>
      </c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323"/>
      <c r="AV128" s="329"/>
      <c r="AW128" s="329" t="s">
        <v>2371</v>
      </c>
      <c r="AX128" s="56" t="s">
        <v>2478</v>
      </c>
      <c r="AY128"/>
      <c r="AZ128" s="56" t="s">
        <v>2537</v>
      </c>
      <c r="BA128" s="56"/>
    </row>
    <row r="129" spans="1:53" ht="13.5" customHeight="1" thickBot="1">
      <c r="A129" s="111">
        <v>127</v>
      </c>
      <c r="B129" s="335" t="str">
        <f t="shared" si="31"/>
        <v>Max Sullivan</v>
      </c>
      <c r="C129" t="s">
        <v>1559</v>
      </c>
      <c r="D129" t="s">
        <v>1560</v>
      </c>
      <c r="E129"/>
      <c r="F129" s="336" t="str">
        <f>IF(SUM(COUNTIF(H129,{"*Girl*","*Women*","*Woman*","*Female*","*Wo*","*Fe*","*F*"})),"F","M")</f>
        <v>M</v>
      </c>
      <c r="G129" s="337" t="str">
        <f>IFERROR(IF(ISNUMBER(SEARCH("*",N129)),N129&amp;" "&amp;F129,IF(F129="M",LOOKUP(J129,AgeCategories!$A$3:$D$13),LOOKUP(J129,AgeCategories!$A$14:$D$24))),"Invalid Age")</f>
        <v>E-Bike M</v>
      </c>
      <c r="H129" t="s">
        <v>209</v>
      </c>
      <c r="I129" s="338">
        <f t="shared" si="32"/>
        <v>34500</v>
      </c>
      <c r="J129" s="340">
        <f>IFERROR(DATEDIF($I129,Helpers!$O$2,"y"),"ID No. needed")</f>
        <v>28</v>
      </c>
      <c r="K129" s="323"/>
      <c r="L129" s="300">
        <v>825353842</v>
      </c>
      <c r="M129" s="319" t="s">
        <v>1884</v>
      </c>
      <c r="N129" s="342" t="s">
        <v>560</v>
      </c>
      <c r="O129" s="308" t="b">
        <v>1</v>
      </c>
      <c r="P129" s="241" t="b">
        <f>NOT(ISNA(VLOOKUP(A129,SortedDownload!A:A,1,FALSE)))</f>
        <v>1</v>
      </c>
      <c r="Q129" s="373" t="s">
        <v>2729</v>
      </c>
      <c r="R129" s="310"/>
      <c r="S129" s="235"/>
      <c r="T129" s="235"/>
      <c r="U129" s="310" t="s">
        <v>2142</v>
      </c>
      <c r="V129" s="337" t="str">
        <f t="shared" si="33"/>
        <v>-</v>
      </c>
      <c r="W129" s="348" t="str">
        <f t="shared" si="34"/>
        <v>Max Sullivan</v>
      </c>
      <c r="X129" s="337" t="str">
        <f t="shared" si="35"/>
        <v>Max</v>
      </c>
      <c r="Y129" s="337" t="str">
        <f t="shared" si="36"/>
        <v>Sullivan</v>
      </c>
      <c r="Z129" s="337" t="str">
        <f t="shared" si="37"/>
        <v>M.Sullivan</v>
      </c>
      <c r="AA129" s="349" t="str">
        <f t="shared" si="29"/>
        <v/>
      </c>
      <c r="AB129" s="349" t="str">
        <f t="shared" si="30"/>
        <v/>
      </c>
      <c r="AC129" s="337" t="str">
        <f>IFERROR(IF(ISNUMBER(SEARCH("*",N129)),N129&amp;" "&amp;F129,IF(F129="M",LOOKUP(J129,AgeCategories!$A$3:$F$11),LOOKUP(J129,AgeCategories!$A$14:$F$22))),"")</f>
        <v>E-Bike M</v>
      </c>
      <c r="AD129" s="350">
        <f t="shared" si="38"/>
        <v>34500</v>
      </c>
      <c r="AE129" s="337">
        <f t="shared" si="39"/>
        <v>28</v>
      </c>
      <c r="AF129" s="337" t="str">
        <f>IF(SUM(COUNTIF(H129,{"*Girl*","*Women*","*Woman*","*Female*","*Wo*","*Fe*","*F*"})),"F","M")</f>
        <v>M</v>
      </c>
      <c r="AG129" s="112"/>
      <c r="AH129" s="112"/>
      <c r="AI129" s="344" t="e">
        <f t="array" aca="1" ref="AI129" ca="1">(SMALL(IF(ISERROR(MATCH($AJ$3+ROW(OFFSET($A$3, 0,0, $AJ$4-$AJ$3+1))-2, $A$3:$A778,0)), $AJ$3+ROW(OFFSET($A$2,0, 0, $AJ$4-$AJ$3+1))-1), ROW(A128)))</f>
        <v>#NUM!</v>
      </c>
      <c r="AJ129" s="345">
        <f>Helpers!AY18</f>
        <v>0</v>
      </c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323"/>
      <c r="AV129" s="329"/>
      <c r="AW129" s="329" t="s">
        <v>2372</v>
      </c>
      <c r="AX129" s="56" t="s">
        <v>2478</v>
      </c>
      <c r="AY129"/>
      <c r="AZ129" s="56" t="s">
        <v>2537</v>
      </c>
      <c r="BA129" s="56"/>
    </row>
    <row r="130" spans="1:53" ht="13.5" customHeight="1" thickBot="1">
      <c r="A130" s="111">
        <v>128</v>
      </c>
      <c r="B130" s="335" t="str">
        <f t="shared" ref="B130:B152" si="40">PROPER($C130&amp;" "&amp;$D130)</f>
        <v>Tiaan Van De Merwe</v>
      </c>
      <c r="C130" t="s">
        <v>1561</v>
      </c>
      <c r="D130" t="s">
        <v>1562</v>
      </c>
      <c r="E130"/>
      <c r="F130" s="336" t="str">
        <f>IF(SUM(COUNTIF(H130,{"*Girl*","*Women*","*Woman*","*Female*","*Wo*","*Fe*","*F*"})),"F","M")</f>
        <v>M</v>
      </c>
      <c r="G130" s="337" t="str">
        <f>IFERROR(IF(ISNUMBER(SEARCH("*",N130)),N130&amp;" "&amp;F130,IF(F130="M",LOOKUP(J130,AgeCategories!$A$3:$D$13),LOOKUP(J130,AgeCategories!$A$14:$D$24))),"Invalid Age")</f>
        <v>Elite Men</v>
      </c>
      <c r="H130" t="s">
        <v>209</v>
      </c>
      <c r="I130" s="338">
        <f t="shared" ref="I130:I152" si="41">IFERROR(--TEXT(IF((--LEFT($M130,2))&lt;30,"20","19")&amp;LEFT($M130,6),"0000\-00\-00"),"ID No. needed")</f>
        <v>34533</v>
      </c>
      <c r="J130" s="340">
        <f>IFERROR(DATEDIF($I130,Helpers!$O$2,"y"),"ID No. needed")</f>
        <v>28</v>
      </c>
      <c r="K130" s="323"/>
      <c r="L130" s="300">
        <v>738117660</v>
      </c>
      <c r="M130" s="319" t="s">
        <v>1885</v>
      </c>
      <c r="N130" s="342"/>
      <c r="O130" s="308" t="b">
        <v>1</v>
      </c>
      <c r="P130" s="241" t="b">
        <f>NOT(ISNA(VLOOKUP(A130,SortedDownload!A:A,1,FALSE)))</f>
        <v>1</v>
      </c>
      <c r="Q130" s="373" t="s">
        <v>2631</v>
      </c>
      <c r="R130" s="310"/>
      <c r="S130" s="235"/>
      <c r="T130" s="235"/>
      <c r="U130" s="310" t="s">
        <v>2143</v>
      </c>
      <c r="V130" s="337" t="str">
        <f t="shared" ref="V130:V152" si="42">IF(K130="", "-", K130)</f>
        <v>-</v>
      </c>
      <c r="W130" s="348" t="str">
        <f t="shared" ref="W130:W152" si="43">B130</f>
        <v>Tiaan Van De Merwe</v>
      </c>
      <c r="X130" s="337" t="str">
        <f t="shared" ref="X130:X152" si="44">LEFT($W130, SEARCH(" ", $W130) - 1)</f>
        <v>Tiaan</v>
      </c>
      <c r="Y130" s="337" t="str">
        <f t="shared" ref="Y130:Y152" si="45">RIGHT($W130, LEN($W130) - SEARCH(" ", $W130))</f>
        <v>Van De Merwe</v>
      </c>
      <c r="Z130" s="337" t="str">
        <f t="shared" ref="Z130:Z152" si="46">CONCATENATE(LEFT($X130,1),".",$Y130)</f>
        <v>T.Van De Merwe</v>
      </c>
      <c r="AA130" s="349" t="str">
        <f t="shared" si="29"/>
        <v/>
      </c>
      <c r="AB130" s="349" t="str">
        <f t="shared" si="30"/>
        <v/>
      </c>
      <c r="AC130" s="337" t="str">
        <f>IFERROR(IF(ISNUMBER(SEARCH("*",N130)),N130&amp;" "&amp;F130,IF(F130="M",LOOKUP(J130,AgeCategories!$A$3:$F$11),LOOKUP(J130,AgeCategories!$A$14:$F$22))),"")</f>
        <v>EM</v>
      </c>
      <c r="AD130" s="350">
        <f t="shared" ref="AD130:AD152" si="47">--TEXT(IF((--LEFT($M130,2))&lt;30,"20","19")&amp;LEFT($M130,6),"0000\-00\-00")</f>
        <v>34533</v>
      </c>
      <c r="AE130" s="337">
        <f t="shared" ref="AE130:AE152" si="48">DATEDIF($I130,$V$1,"y")</f>
        <v>28</v>
      </c>
      <c r="AF130" s="337" t="str">
        <f>IF(SUM(COUNTIF(H130,{"*Girl*","*Women*","*Woman*","*Female*","*Wo*","*Fe*","*F*"})),"F","M")</f>
        <v>M</v>
      </c>
      <c r="AG130" s="112"/>
      <c r="AH130" s="112"/>
      <c r="AI130" s="344" t="e">
        <f t="array" aca="1" ref="AI130" ca="1">(SMALL(IF(ISERROR(MATCH($AJ$3+ROW(OFFSET($A$3, 0,0, $AJ$4-$AJ$3+1))-2, $A$3:$A779,0)), $AJ$3+ROW(OFFSET($A$2,0, 0, $AJ$4-$AJ$3+1))-1), ROW(A129)))</f>
        <v>#NUM!</v>
      </c>
      <c r="AJ130" s="345">
        <f>Helpers!AY17</f>
        <v>0</v>
      </c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323"/>
      <c r="AV130" s="329"/>
      <c r="AW130" s="329" t="s">
        <v>2373</v>
      </c>
      <c r="AX130" s="56" t="s">
        <v>2489</v>
      </c>
      <c r="AY130" t="s">
        <v>2547</v>
      </c>
      <c r="AZ130" s="56" t="s">
        <v>2538</v>
      </c>
      <c r="BA130" s="56"/>
    </row>
    <row r="131" spans="1:53" ht="13.5" customHeight="1" thickBot="1">
      <c r="A131" s="111">
        <v>129</v>
      </c>
      <c r="B131" s="335" t="str">
        <f t="shared" si="40"/>
        <v>Evan Lategan</v>
      </c>
      <c r="C131" t="s">
        <v>1563</v>
      </c>
      <c r="D131" t="s">
        <v>1564</v>
      </c>
      <c r="E131"/>
      <c r="F131" s="336" t="str">
        <f>IF(SUM(COUNTIF(H131,{"*Girl*","*Women*","*Woman*","*Female*","*Wo*","*Fe*","*F*"})),"F","M")</f>
        <v>M</v>
      </c>
      <c r="G131" s="337" t="str">
        <f>IFERROR(IF(ISNUMBER(SEARCH("*",N131)),N131&amp;" "&amp;F131,IF(F131="M",LOOKUP(J131,AgeCategories!$A$3:$D$13),LOOKUP(J131,AgeCategories!$A$14:$D$24))),"Invalid Age")</f>
        <v>Youth Men</v>
      </c>
      <c r="H131" t="s">
        <v>209</v>
      </c>
      <c r="I131" s="338">
        <f t="shared" si="41"/>
        <v>39176</v>
      </c>
      <c r="J131" s="340">
        <f>IFERROR(DATEDIF($I131,Helpers!$O$2,"y"),"ID No. needed")</f>
        <v>15</v>
      </c>
      <c r="K131" s="323"/>
      <c r="L131" s="300">
        <v>729751408</v>
      </c>
      <c r="M131" s="319" t="s">
        <v>1886</v>
      </c>
      <c r="N131" s="342"/>
      <c r="O131" s="308" t="b">
        <v>1</v>
      </c>
      <c r="P131" s="241" t="b">
        <f>NOT(ISNA(VLOOKUP(A131,SortedDownload!A:A,1,FALSE)))</f>
        <v>1</v>
      </c>
      <c r="Q131" s="373" t="s">
        <v>2631</v>
      </c>
      <c r="R131" s="311"/>
      <c r="S131" s="235"/>
      <c r="T131" s="235"/>
      <c r="U131" s="311" t="s">
        <v>2144</v>
      </c>
      <c r="V131" s="337" t="str">
        <f t="shared" si="42"/>
        <v>-</v>
      </c>
      <c r="W131" s="348" t="str">
        <f t="shared" si="43"/>
        <v>Evan Lategan</v>
      </c>
      <c r="X131" s="337" t="str">
        <f t="shared" si="44"/>
        <v>Evan</v>
      </c>
      <c r="Y131" s="337" t="str">
        <f t="shared" si="45"/>
        <v>Lategan</v>
      </c>
      <c r="Z131" s="337" t="str">
        <f t="shared" si="46"/>
        <v>E.Lategan</v>
      </c>
      <c r="AA131" s="349" t="str">
        <f t="shared" ref="AA131:AA194" si="49">IF(COUNTIF($B$3:$B$291, $B131)&gt;1, "Duplicate", "")</f>
        <v/>
      </c>
      <c r="AB131" s="349" t="str">
        <f t="shared" ref="AB131:AB194" si="50">IF( COUNTIF($A$3:$A$291,$A131)&gt;1, "Duplicate", "")</f>
        <v/>
      </c>
      <c r="AC131" s="337" t="str">
        <f>IFERROR(IF(ISNUMBER(SEARCH("*",N131)),N131&amp;" "&amp;F131,IF(F131="M",LOOKUP(J131,AgeCategories!$A$3:$F$11),LOOKUP(J131,AgeCategories!$A$14:$F$22))),"")</f>
        <v>YM</v>
      </c>
      <c r="AD131" s="350">
        <f t="shared" si="47"/>
        <v>39176</v>
      </c>
      <c r="AE131" s="337">
        <f t="shared" si="48"/>
        <v>15</v>
      </c>
      <c r="AF131" s="337" t="str">
        <f>IF(SUM(COUNTIF(H131,{"*Girl*","*Women*","*Woman*","*Female*","*Wo*","*Fe*","*F*"})),"F","M")</f>
        <v>M</v>
      </c>
      <c r="AG131" s="112"/>
      <c r="AH131" s="112"/>
      <c r="AI131" s="344" t="e">
        <f t="array" aca="1" ref="AI131" ca="1">(SMALL(IF(ISERROR(MATCH($AJ$3+ROW(OFFSET($A$3, 0,0, $AJ$4-$AJ$3+1))-2, $A$3:$A780,0)), $AJ$3+ROW(OFFSET($A$2,0, 0, $AJ$4-$AJ$3+1))-1), ROW(A130)))</f>
        <v>#NUM!</v>
      </c>
      <c r="AJ131" s="345">
        <f>Helpers!AY16</f>
        <v>0</v>
      </c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323"/>
      <c r="AV131" s="329"/>
      <c r="AW131" s="329" t="s">
        <v>2374</v>
      </c>
      <c r="AX131" s="56" t="s">
        <v>2482</v>
      </c>
      <c r="AY131" t="s">
        <v>2571</v>
      </c>
      <c r="AZ131" s="56" t="s">
        <v>2537</v>
      </c>
      <c r="BA131" s="56"/>
    </row>
    <row r="132" spans="1:53" ht="13.5" customHeight="1" thickBot="1">
      <c r="A132" s="111">
        <v>130</v>
      </c>
      <c r="B132" s="335" t="str">
        <f t="shared" si="40"/>
        <v>Jano Gildenhuys</v>
      </c>
      <c r="C132" t="s">
        <v>1565</v>
      </c>
      <c r="D132" t="s">
        <v>1566</v>
      </c>
      <c r="E132"/>
      <c r="F132" s="336" t="str">
        <f>IF(SUM(COUNTIF(H132,{"*Girl*","*Women*","*Woman*","*Female*","*Wo*","*Fe*","*F*"})),"F","M")</f>
        <v>M</v>
      </c>
      <c r="G132" s="337" t="str">
        <f>IFERROR(IF(ISNUMBER(SEARCH("*",N132)),N132&amp;" "&amp;F132,IF(F132="M",LOOKUP(J132,AgeCategories!$A$3:$D$13),LOOKUP(J132,AgeCategories!$A$14:$D$24))),"Invalid Age")</f>
        <v>Youth Men</v>
      </c>
      <c r="H132" t="s">
        <v>209</v>
      </c>
      <c r="I132" s="338">
        <f t="shared" si="41"/>
        <v>39214</v>
      </c>
      <c r="J132" s="340">
        <f>IFERROR(DATEDIF($I132,Helpers!$O$2,"y"),"ID No. needed")</f>
        <v>15</v>
      </c>
      <c r="K132" s="323"/>
      <c r="L132" s="300">
        <v>824973976</v>
      </c>
      <c r="M132" s="319" t="s">
        <v>1887</v>
      </c>
      <c r="N132" s="343"/>
      <c r="O132" s="308" t="b">
        <v>1</v>
      </c>
      <c r="P132" s="241" t="b">
        <f>NOT(ISNA(VLOOKUP(A132,SortedDownload!A:A,1,FALSE)))</f>
        <v>1</v>
      </c>
      <c r="Q132" s="374" t="s">
        <v>2631</v>
      </c>
      <c r="R132" s="326"/>
      <c r="S132" s="235"/>
      <c r="T132" s="235"/>
      <c r="U132" s="326" t="s">
        <v>2145</v>
      </c>
      <c r="V132" s="337" t="str">
        <f t="shared" si="42"/>
        <v>-</v>
      </c>
      <c r="W132" s="348" t="str">
        <f t="shared" si="43"/>
        <v>Jano Gildenhuys</v>
      </c>
      <c r="X132" s="337" t="str">
        <f t="shared" si="44"/>
        <v>Jano</v>
      </c>
      <c r="Y132" s="337" t="str">
        <f t="shared" si="45"/>
        <v>Gildenhuys</v>
      </c>
      <c r="Z132" s="337" t="str">
        <f t="shared" si="46"/>
        <v>J.Gildenhuys</v>
      </c>
      <c r="AA132" s="349" t="str">
        <f t="shared" si="49"/>
        <v/>
      </c>
      <c r="AB132" s="349" t="str">
        <f t="shared" si="50"/>
        <v/>
      </c>
      <c r="AC132" s="337" t="str">
        <f>IFERROR(IF(ISNUMBER(SEARCH("*",N132)),N132&amp;" "&amp;F132,IF(F132="M",LOOKUP(J132,AgeCategories!$A$3:$F$11),LOOKUP(J132,AgeCategories!$A$14:$F$22))),"")</f>
        <v>YM</v>
      </c>
      <c r="AD132" s="350">
        <f t="shared" si="47"/>
        <v>39214</v>
      </c>
      <c r="AE132" s="337">
        <f t="shared" si="48"/>
        <v>15</v>
      </c>
      <c r="AF132" s="337" t="str">
        <f>IF(SUM(COUNTIF(H132,{"*Girl*","*Women*","*Woman*","*Female*","*Wo*","*Fe*","*F*"})),"F","M")</f>
        <v>M</v>
      </c>
      <c r="AG132" s="112"/>
      <c r="AH132" s="112"/>
      <c r="AI132" s="344" t="e">
        <f t="array" aca="1" ref="AI132" ca="1">(SMALL(IF(ISERROR(MATCH($AJ$3+ROW(OFFSET($A$3, 0,0, $AJ$4-$AJ$3+1))-2, $A$3:$A781,0)), $AJ$3+ROW(OFFSET($A$2,0, 0, $AJ$4-$AJ$3+1))-1), ROW(A131)))</f>
        <v>#NUM!</v>
      </c>
      <c r="AJ132" s="345">
        <f>Helpers!AY15</f>
        <v>0</v>
      </c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323"/>
      <c r="AV132" s="329"/>
      <c r="AW132" s="329" t="s">
        <v>2375</v>
      </c>
      <c r="AX132" s="56" t="s">
        <v>2511</v>
      </c>
      <c r="AY132" t="s">
        <v>2548</v>
      </c>
      <c r="AZ132" s="56" t="s">
        <v>2537</v>
      </c>
      <c r="BA132" s="56"/>
    </row>
    <row r="133" spans="1:53" ht="13.5" customHeight="1" thickBot="1">
      <c r="A133" s="111">
        <v>131</v>
      </c>
      <c r="B133" s="335" t="str">
        <f t="shared" si="40"/>
        <v>Dane Olsen</v>
      </c>
      <c r="C133" t="s">
        <v>1553</v>
      </c>
      <c r="D133" t="s">
        <v>1567</v>
      </c>
      <c r="E133"/>
      <c r="F133" s="336" t="str">
        <f>IF(SUM(COUNTIF(H133,{"*Girl*","*Women*","*Woman*","*Female*","*Wo*","*Fe*","*F*"})),"F","M")</f>
        <v>M</v>
      </c>
      <c r="G133" s="337" t="str">
        <f>IFERROR(IF(ISNUMBER(SEARCH("*",N133)),N133&amp;" "&amp;F133,IF(F133="M",LOOKUP(J133,AgeCategories!$A$3:$D$13),LOOKUP(J133,AgeCategories!$A$14:$D$24))),"Invalid Age")</f>
        <v>Master Men</v>
      </c>
      <c r="H133" t="s">
        <v>209</v>
      </c>
      <c r="I133" s="338">
        <f t="shared" si="41"/>
        <v>33046</v>
      </c>
      <c r="J133" s="340">
        <f>IFERROR(DATEDIF($I133,Helpers!$O$2,"y"),"ID No. needed")</f>
        <v>32</v>
      </c>
      <c r="K133" s="323"/>
      <c r="L133" s="300">
        <v>733517894</v>
      </c>
      <c r="M133" s="319" t="s">
        <v>1888</v>
      </c>
      <c r="N133" s="342"/>
      <c r="O133" s="308" t="b">
        <v>1</v>
      </c>
      <c r="P133" s="241" t="b">
        <f>NOT(ISNA(VLOOKUP(A133,SortedDownload!A:A,1,FALSE)))</f>
        <v>1</v>
      </c>
      <c r="Q133" s="373" t="s">
        <v>2728</v>
      </c>
      <c r="R133" s="311"/>
      <c r="S133" s="235"/>
      <c r="T133" s="235"/>
      <c r="U133" s="311" t="s">
        <v>2146</v>
      </c>
      <c r="V133" s="337" t="str">
        <f t="shared" si="42"/>
        <v>-</v>
      </c>
      <c r="W133" s="348" t="str">
        <f t="shared" si="43"/>
        <v>Dane Olsen</v>
      </c>
      <c r="X133" s="337" t="str">
        <f t="shared" si="44"/>
        <v>Dane</v>
      </c>
      <c r="Y133" s="337" t="str">
        <f t="shared" si="45"/>
        <v>Olsen</v>
      </c>
      <c r="Z133" s="337" t="str">
        <f t="shared" si="46"/>
        <v>D.Olsen</v>
      </c>
      <c r="AA133" s="349" t="str">
        <f t="shared" si="49"/>
        <v/>
      </c>
      <c r="AB133" s="349" t="str">
        <f t="shared" si="50"/>
        <v/>
      </c>
      <c r="AC133" s="337" t="str">
        <f>IFERROR(IF(ISNUMBER(SEARCH("*",N133)),N133&amp;" "&amp;F133,IF(F133="M",LOOKUP(J133,AgeCategories!$A$3:$F$11),LOOKUP(J133,AgeCategories!$A$14:$F$22))),"")</f>
        <v>MM</v>
      </c>
      <c r="AD133" s="350">
        <f t="shared" si="47"/>
        <v>33046</v>
      </c>
      <c r="AE133" s="337">
        <f t="shared" si="48"/>
        <v>32</v>
      </c>
      <c r="AF133" s="337" t="str">
        <f>IF(SUM(COUNTIF(H133,{"*Girl*","*Women*","*Woman*","*Female*","*Wo*","*Fe*","*F*"})),"F","M")</f>
        <v>M</v>
      </c>
      <c r="AG133" s="112"/>
      <c r="AH133" s="112"/>
      <c r="AI133" s="344" t="e">
        <f t="array" aca="1" ref="AI133" ca="1">(SMALL(IF(ISERROR(MATCH($AJ$3+ROW(OFFSET($A$3, 0,0, $AJ$4-$AJ$3+1))-2, $A$3:$A782,0)), $AJ$3+ROW(OFFSET($A$2,0, 0, $AJ$4-$AJ$3+1))-1), ROW(A132)))</f>
        <v>#NUM!</v>
      </c>
      <c r="AJ133" s="345">
        <f>Helpers!AY14</f>
        <v>0</v>
      </c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323"/>
      <c r="AV133" s="329"/>
      <c r="AW133" s="329" t="s">
        <v>2376</v>
      </c>
      <c r="AX133" s="56" t="s">
        <v>2478</v>
      </c>
      <c r="AY133" t="s">
        <v>2277</v>
      </c>
      <c r="AZ133" s="56" t="s">
        <v>2538</v>
      </c>
      <c r="BA133" s="56"/>
    </row>
    <row r="134" spans="1:53" ht="13.5" customHeight="1" thickBot="1">
      <c r="A134" s="111">
        <v>132</v>
      </c>
      <c r="B134" s="335" t="str">
        <f t="shared" si="40"/>
        <v>Warwick Davison</v>
      </c>
      <c r="C134" t="s">
        <v>1568</v>
      </c>
      <c r="D134" t="s">
        <v>1569</v>
      </c>
      <c r="E134"/>
      <c r="F134" s="336" t="str">
        <f>IF(SUM(COUNTIF(H134,{"*Girl*","*Women*","*Woman*","*Female*","*Wo*","*Fe*","*F*"})),"F","M")</f>
        <v>M</v>
      </c>
      <c r="G134" s="337" t="str">
        <f>IFERROR(IF(ISNUMBER(SEARCH("*",N134)),N134&amp;" "&amp;F134,IF(F134="M",LOOKUP(J134,AgeCategories!$A$3:$D$13),LOOKUP(J134,AgeCategories!$A$14:$D$24))),"Invalid Age")</f>
        <v>Master Men</v>
      </c>
      <c r="H134" t="s">
        <v>209</v>
      </c>
      <c r="I134" s="338">
        <f t="shared" si="41"/>
        <v>31639</v>
      </c>
      <c r="J134" s="340">
        <f>IFERROR(DATEDIF($I134,Helpers!$O$2,"y"),"ID No. needed")</f>
        <v>36</v>
      </c>
      <c r="K134" s="323"/>
      <c r="L134" s="300">
        <v>833260774</v>
      </c>
      <c r="M134" s="319" t="s">
        <v>1889</v>
      </c>
      <c r="N134" s="341"/>
      <c r="O134" s="308" t="b">
        <v>1</v>
      </c>
      <c r="P134" s="241" t="b">
        <f>NOT(ISNA(VLOOKUP(A134,SortedDownload!A:A,1,FALSE)))</f>
        <v>1</v>
      </c>
      <c r="Q134" s="374" t="s">
        <v>2632</v>
      </c>
      <c r="R134" s="326"/>
      <c r="S134" s="235"/>
      <c r="T134" s="235"/>
      <c r="U134" s="326" t="s">
        <v>2147</v>
      </c>
      <c r="V134" s="337" t="str">
        <f t="shared" si="42"/>
        <v>-</v>
      </c>
      <c r="W134" s="348" t="str">
        <f t="shared" si="43"/>
        <v>Warwick Davison</v>
      </c>
      <c r="X134" s="337" t="str">
        <f t="shared" si="44"/>
        <v>Warwick</v>
      </c>
      <c r="Y134" s="337" t="str">
        <f t="shared" si="45"/>
        <v>Davison</v>
      </c>
      <c r="Z134" s="337" t="str">
        <f t="shared" si="46"/>
        <v>W.Davison</v>
      </c>
      <c r="AA134" s="349" t="str">
        <f t="shared" si="49"/>
        <v/>
      </c>
      <c r="AB134" s="349" t="str">
        <f t="shared" si="50"/>
        <v/>
      </c>
      <c r="AC134" s="337" t="str">
        <f>IFERROR(IF(ISNUMBER(SEARCH("*",N134)),N134&amp;" "&amp;F134,IF(F134="M",LOOKUP(J134,AgeCategories!$A$3:$F$11),LOOKUP(J134,AgeCategories!$A$14:$F$22))),"")</f>
        <v>MM</v>
      </c>
      <c r="AD134" s="350">
        <f t="shared" si="47"/>
        <v>31639</v>
      </c>
      <c r="AE134" s="337">
        <f t="shared" si="48"/>
        <v>36</v>
      </c>
      <c r="AF134" s="337" t="str">
        <f>IF(SUM(COUNTIF(H134,{"*Girl*","*Women*","*Woman*","*Female*","*Wo*","*Fe*","*F*"})),"F","M")</f>
        <v>M</v>
      </c>
      <c r="AG134" s="112"/>
      <c r="AH134" s="112"/>
      <c r="AI134" s="344" t="e">
        <f t="array" aca="1" ref="AI134" ca="1">(SMALL(IF(ISERROR(MATCH($AJ$3+ROW(OFFSET($A$3, 0,0, $AJ$4-$AJ$3+1))-2, $A$3:$A783,0)), $AJ$3+ROW(OFFSET($A$2,0, 0, $AJ$4-$AJ$3+1))-1), ROW(A133)))</f>
        <v>#NUM!</v>
      </c>
      <c r="AJ134" s="345">
        <f>Helpers!AY13</f>
        <v>0</v>
      </c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323"/>
      <c r="AV134" s="329"/>
      <c r="AW134" s="329" t="s">
        <v>2377</v>
      </c>
      <c r="AX134" s="56" t="s">
        <v>2479</v>
      </c>
      <c r="AY134" t="s">
        <v>2277</v>
      </c>
      <c r="AZ134" s="56" t="s">
        <v>2540</v>
      </c>
      <c r="BA134" s="56"/>
    </row>
    <row r="135" spans="1:53" ht="13.5" thickBot="1">
      <c r="A135" s="111">
        <v>133</v>
      </c>
      <c r="B135" s="335" t="str">
        <f t="shared" si="40"/>
        <v>Christiaan De Villiers Snr</v>
      </c>
      <c r="C135" t="s">
        <v>1450</v>
      </c>
      <c r="D135" s="20" t="s">
        <v>2623</v>
      </c>
      <c r="E135"/>
      <c r="F135" s="336" t="str">
        <f>IF(SUM(COUNTIF(H135,{"*Girl*","*Women*","*Woman*","*Female*","*Wo*","*Fe*","*F*"})),"F","M")</f>
        <v>M</v>
      </c>
      <c r="G135" s="337" t="str">
        <f>IFERROR(IF(ISNUMBER(SEARCH("*",N135)),N135&amp;" "&amp;F135,IF(F135="M",LOOKUP(J135,AgeCategories!$A$3:$D$13),LOOKUP(J135,AgeCategories!$A$14:$D$24))),"Invalid Age")</f>
        <v>Lite M</v>
      </c>
      <c r="H135" t="s">
        <v>209</v>
      </c>
      <c r="I135" s="338">
        <f t="shared" si="41"/>
        <v>27620</v>
      </c>
      <c r="J135" s="340">
        <f>IFERROR(DATEDIF($I135,Helpers!$O$2,"y"),"ID No. needed")</f>
        <v>47</v>
      </c>
      <c r="K135" s="323"/>
      <c r="L135" s="300">
        <v>824648000</v>
      </c>
      <c r="M135" s="319" t="s">
        <v>1890</v>
      </c>
      <c r="N135" s="341" t="s">
        <v>2601</v>
      </c>
      <c r="O135" s="308" t="b">
        <v>1</v>
      </c>
      <c r="P135" s="241" t="b">
        <f>NOT(ISNA(VLOOKUP(A135,SortedDownload!A:A,1,FALSE)))</f>
        <v>1</v>
      </c>
      <c r="Q135" s="374" t="s">
        <v>2601</v>
      </c>
      <c r="R135" s="326"/>
      <c r="S135" s="235"/>
      <c r="T135" s="235"/>
      <c r="U135" s="326" t="s">
        <v>2148</v>
      </c>
      <c r="V135" s="337" t="str">
        <f t="shared" si="42"/>
        <v>-</v>
      </c>
      <c r="W135" s="348" t="str">
        <f t="shared" si="43"/>
        <v>Christiaan De Villiers Snr</v>
      </c>
      <c r="X135" s="337" t="str">
        <f t="shared" si="44"/>
        <v>Christiaan</v>
      </c>
      <c r="Y135" s="337" t="str">
        <f t="shared" si="45"/>
        <v>De Villiers Snr</v>
      </c>
      <c r="Z135" s="337" t="str">
        <f t="shared" si="46"/>
        <v>C.De Villiers Snr</v>
      </c>
      <c r="AA135" s="349" t="str">
        <f t="shared" si="49"/>
        <v/>
      </c>
      <c r="AB135" s="349" t="str">
        <f t="shared" si="50"/>
        <v/>
      </c>
      <c r="AC135" s="337" t="str">
        <f>IFERROR(IF(ISNUMBER(SEARCH("*",N135)),N135&amp;" "&amp;F135,IF(F135="M",LOOKUP(J135,AgeCategories!$A$3:$F$11),LOOKUP(J135,AgeCategories!$A$14:$F$22))),"")</f>
        <v>Lite M</v>
      </c>
      <c r="AD135" s="350">
        <f t="shared" si="47"/>
        <v>27620</v>
      </c>
      <c r="AE135" s="337">
        <f t="shared" si="48"/>
        <v>47</v>
      </c>
      <c r="AF135" s="337" t="str">
        <f>IF(SUM(COUNTIF(H135,{"*Girl*","*Women*","*Woman*","*Female*","*Wo*","*Fe*","*F*"})),"F","M")</f>
        <v>M</v>
      </c>
      <c r="AG135" s="112"/>
      <c r="AH135" s="112"/>
      <c r="AI135" s="344" t="e">
        <f t="array" aca="1" ref="AI135" ca="1">(SMALL(IF(ISERROR(MATCH($AJ$3+ROW(OFFSET($A$3, 0,0, $AJ$4-$AJ$3+1))-2, $A$3:$A784,0)), $AJ$3+ROW(OFFSET($A$2,0, 0, $AJ$4-$AJ$3+1))-1), ROW(A134)))</f>
        <v>#NUM!</v>
      </c>
      <c r="AJ135" s="345">
        <f>Helpers!AY12</f>
        <v>0</v>
      </c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323"/>
      <c r="AV135" s="329"/>
      <c r="AW135" s="329" t="s">
        <v>2378</v>
      </c>
      <c r="AX135" s="56" t="s">
        <v>2478</v>
      </c>
      <c r="AY135" t="s">
        <v>2277</v>
      </c>
      <c r="AZ135" s="56" t="s">
        <v>2537</v>
      </c>
      <c r="BA135" s="56"/>
    </row>
    <row r="136" spans="1:53" ht="13.5" thickBot="1">
      <c r="A136" s="111">
        <v>134</v>
      </c>
      <c r="B136" s="335" t="str">
        <f t="shared" si="40"/>
        <v>Christiaan De Villiers</v>
      </c>
      <c r="C136" t="s">
        <v>1450</v>
      </c>
      <c r="D136" t="s">
        <v>1570</v>
      </c>
      <c r="E136"/>
      <c r="F136" s="336" t="str">
        <f>IF(SUM(COUNTIF(H136,{"*Girl*","*Women*","*Woman*","*Female*","*Wo*","*Fe*","*F*"})),"F","M")</f>
        <v>M</v>
      </c>
      <c r="G136" s="337" t="str">
        <f>IFERROR(IF(ISNUMBER(SEARCH("*",N136)),N136&amp;" "&amp;F136,IF(F136="M",LOOKUP(J136,AgeCategories!$A$3:$D$13),LOOKUP(J136,AgeCategories!$A$14:$D$24))),"Invalid Age")</f>
        <v>Sub Junior Boys</v>
      </c>
      <c r="H136" t="s">
        <v>209</v>
      </c>
      <c r="I136" s="338">
        <f t="shared" si="41"/>
        <v>39474</v>
      </c>
      <c r="J136" s="340">
        <f>IFERROR(DATEDIF($I136,Helpers!$O$2,"y"),"ID No. needed")</f>
        <v>14</v>
      </c>
      <c r="K136" s="323"/>
      <c r="L136" s="300">
        <v>729937214</v>
      </c>
      <c r="M136" s="319" t="s">
        <v>1891</v>
      </c>
      <c r="N136" s="341"/>
      <c r="O136" s="308" t="b">
        <v>1</v>
      </c>
      <c r="P136" s="241" t="b">
        <f>NOT(ISNA(VLOOKUP(A136,SortedDownload!A:A,1,FALSE)))</f>
        <v>1</v>
      </c>
      <c r="Q136" s="374" t="s">
        <v>2601</v>
      </c>
      <c r="R136" s="326"/>
      <c r="S136" s="235"/>
      <c r="T136" s="235"/>
      <c r="U136" s="326" t="s">
        <v>2148</v>
      </c>
      <c r="V136" s="337" t="str">
        <f t="shared" si="42"/>
        <v>-</v>
      </c>
      <c r="W136" s="348" t="str">
        <f t="shared" si="43"/>
        <v>Christiaan De Villiers</v>
      </c>
      <c r="X136" s="337" t="str">
        <f t="shared" si="44"/>
        <v>Christiaan</v>
      </c>
      <c r="Y136" s="337" t="str">
        <f t="shared" si="45"/>
        <v>De Villiers</v>
      </c>
      <c r="Z136" s="337" t="str">
        <f t="shared" si="46"/>
        <v>C.De Villiers</v>
      </c>
      <c r="AA136" s="349" t="str">
        <f t="shared" si="49"/>
        <v/>
      </c>
      <c r="AB136" s="349" t="str">
        <f t="shared" si="50"/>
        <v/>
      </c>
      <c r="AC136" s="337" t="str">
        <f>IFERROR(IF(ISNUMBER(SEARCH("*",N136)),N136&amp;" "&amp;F136,IF(F136="M",LOOKUP(J136,AgeCategories!$A$3:$F$11),LOOKUP(J136,AgeCategories!$A$14:$F$22))),"")</f>
        <v>JB</v>
      </c>
      <c r="AD136" s="350">
        <f t="shared" si="47"/>
        <v>39474</v>
      </c>
      <c r="AE136" s="337">
        <f t="shared" si="48"/>
        <v>14</v>
      </c>
      <c r="AF136" s="337" t="str">
        <f>IF(SUM(COUNTIF(H136,{"*Girl*","*Women*","*Woman*","*Female*","*Wo*","*Fe*","*F*"})),"F","M")</f>
        <v>M</v>
      </c>
      <c r="AG136" s="112"/>
      <c r="AH136" s="112"/>
      <c r="AI136" s="344" t="e">
        <f t="array" aca="1" ref="AI136" ca="1">(SMALL(IF(ISERROR(MATCH($AJ$3+ROW(OFFSET($A$3, 0,0, $AJ$4-$AJ$3+1))-2, $A$3:$A785,0)), $AJ$3+ROW(OFFSET($A$2,0, 0, $AJ$4-$AJ$3+1))-1), ROW(A135)))</f>
        <v>#NUM!</v>
      </c>
      <c r="AJ136" s="345">
        <f>Helpers!AY11</f>
        <v>0</v>
      </c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323"/>
      <c r="AV136" s="329"/>
      <c r="AW136" s="329" t="s">
        <v>2378</v>
      </c>
      <c r="AX136" s="56" t="s">
        <v>2478</v>
      </c>
      <c r="AY136" t="s">
        <v>2277</v>
      </c>
      <c r="AZ136" s="56" t="s">
        <v>2537</v>
      </c>
      <c r="BA136" s="56"/>
    </row>
    <row r="137" spans="1:53" ht="13.5" customHeight="1" thickBot="1">
      <c r="A137" s="111">
        <v>135</v>
      </c>
      <c r="B137" s="335" t="str">
        <f t="shared" si="40"/>
        <v>Fourie Van Wyk</v>
      </c>
      <c r="C137" t="s">
        <v>1453</v>
      </c>
      <c r="D137" t="s">
        <v>1571</v>
      </c>
      <c r="E137"/>
      <c r="F137" s="336" t="str">
        <f>IF(SUM(COUNTIF(H137,{"*Girl*","*Women*","*Woman*","*Female*","*Wo*","*Fe*","*F*"})),"F","M")</f>
        <v>M</v>
      </c>
      <c r="G137" s="337" t="str">
        <f>IFERROR(IF(ISNUMBER(SEARCH("*",N137)),N137&amp;" "&amp;F137,IF(F137="M",LOOKUP(J137,AgeCategories!$A$3:$D$13),LOOKUP(J137,AgeCategories!$A$14:$D$24))),"Invalid Age")</f>
        <v>Youth Men</v>
      </c>
      <c r="H137" t="s">
        <v>209</v>
      </c>
      <c r="I137" s="338">
        <f t="shared" si="41"/>
        <v>39208</v>
      </c>
      <c r="J137" s="340">
        <f>IFERROR(DATEDIF($I137,Helpers!$O$2,"y"),"ID No. needed")</f>
        <v>15</v>
      </c>
      <c r="K137" s="323"/>
      <c r="L137" s="300">
        <v>646857313</v>
      </c>
      <c r="M137" s="319" t="s">
        <v>1892</v>
      </c>
      <c r="N137" s="341"/>
      <c r="O137" s="308" t="b">
        <v>1</v>
      </c>
      <c r="P137" s="241" t="b">
        <f>NOT(ISNA(VLOOKUP(A137,SortedDownload!A:A,1,FALSE)))</f>
        <v>1</v>
      </c>
      <c r="Q137" s="374" t="s">
        <v>2631</v>
      </c>
      <c r="R137" s="326"/>
      <c r="S137" s="235"/>
      <c r="T137" s="235"/>
      <c r="U137" s="326" t="s">
        <v>2149</v>
      </c>
      <c r="V137" s="337" t="str">
        <f t="shared" si="42"/>
        <v>-</v>
      </c>
      <c r="W137" s="348" t="str">
        <f t="shared" si="43"/>
        <v>Fourie Van Wyk</v>
      </c>
      <c r="X137" s="337" t="str">
        <f t="shared" si="44"/>
        <v>Fourie</v>
      </c>
      <c r="Y137" s="337" t="str">
        <f t="shared" si="45"/>
        <v>Van Wyk</v>
      </c>
      <c r="Z137" s="337" t="str">
        <f t="shared" si="46"/>
        <v>F.Van Wyk</v>
      </c>
      <c r="AA137" s="349" t="str">
        <f t="shared" si="49"/>
        <v/>
      </c>
      <c r="AB137" s="349" t="str">
        <f t="shared" si="50"/>
        <v/>
      </c>
      <c r="AC137" s="337" t="str">
        <f>IFERROR(IF(ISNUMBER(SEARCH("*",N137)),N137&amp;" "&amp;F137,IF(F137="M",LOOKUP(J137,AgeCategories!$A$3:$F$11),LOOKUP(J137,AgeCategories!$A$14:$F$22))),"")</f>
        <v>YM</v>
      </c>
      <c r="AD137" s="350">
        <f t="shared" si="47"/>
        <v>39208</v>
      </c>
      <c r="AE137" s="337">
        <f t="shared" si="48"/>
        <v>15</v>
      </c>
      <c r="AF137" s="337" t="str">
        <f>IF(SUM(COUNTIF(H137,{"*Girl*","*Women*","*Woman*","*Female*","*Wo*","*Fe*","*F*"})),"F","M")</f>
        <v>M</v>
      </c>
      <c r="AG137" s="112"/>
      <c r="AH137" s="112"/>
      <c r="AI137" s="344" t="e">
        <f t="array" aca="1" ref="AI137" ca="1">(SMALL(IF(ISERROR(MATCH($AJ$3+ROW(OFFSET($A$3, 0,0, $AJ$4-$AJ$3+1))-2, $A$3:$A786,0)), $AJ$3+ROW(OFFSET($A$2,0, 0, $AJ$4-$AJ$3+1))-1), ROW(A136)))</f>
        <v>#NUM!</v>
      </c>
      <c r="AJ137" s="345">
        <f>Helpers!AY10</f>
        <v>0</v>
      </c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323"/>
      <c r="AV137" s="329"/>
      <c r="AW137" s="329" t="s">
        <v>2379</v>
      </c>
      <c r="AX137" s="56" t="s">
        <v>2479</v>
      </c>
      <c r="AY137"/>
      <c r="AZ137" s="56" t="s">
        <v>2539</v>
      </c>
      <c r="BA137" s="56"/>
    </row>
    <row r="138" spans="1:53" ht="13.5" customHeight="1" thickBot="1">
      <c r="A138" s="111">
        <v>136</v>
      </c>
      <c r="B138" s="335" t="str">
        <f t="shared" si="40"/>
        <v>Gerrit Visser</v>
      </c>
      <c r="C138" t="s">
        <v>1572</v>
      </c>
      <c r="D138" t="s">
        <v>1501</v>
      </c>
      <c r="E138"/>
      <c r="F138" s="336" t="str">
        <f>IF(SUM(COUNTIF(H138,{"*Girl*","*Women*","*Woman*","*Female*","*Wo*","*Fe*","*F*"})),"F","M")</f>
        <v>M</v>
      </c>
      <c r="G138" s="337" t="str">
        <f>IFERROR(IF(ISNUMBER(SEARCH("*",N138)),N138&amp;" "&amp;F138,IF(F138="M",LOOKUP(J138,AgeCategories!$A$3:$D$13),LOOKUP(J138,AgeCategories!$A$14:$D$24))),"Invalid Age")</f>
        <v>Master Men</v>
      </c>
      <c r="H138" t="s">
        <v>209</v>
      </c>
      <c r="I138" s="338">
        <f t="shared" si="41"/>
        <v>33640</v>
      </c>
      <c r="J138" s="340">
        <f>IFERROR(DATEDIF($I138,Helpers!$O$2,"y"),"ID No. needed")</f>
        <v>30</v>
      </c>
      <c r="K138" s="323"/>
      <c r="L138" s="300">
        <v>823002302</v>
      </c>
      <c r="M138" s="319" t="s">
        <v>1893</v>
      </c>
      <c r="N138" s="341"/>
      <c r="O138" s="308" t="b">
        <v>0</v>
      </c>
      <c r="P138" s="241" t="b">
        <f>NOT(ISNA(VLOOKUP(A138,SortedDownload!A:A,1,FALSE)))</f>
        <v>0</v>
      </c>
      <c r="Q138" s="374" t="s">
        <v>2729</v>
      </c>
      <c r="R138" s="326"/>
      <c r="S138" s="235"/>
      <c r="T138" s="235"/>
      <c r="U138" s="326" t="s">
        <v>2150</v>
      </c>
      <c r="V138" s="337" t="str">
        <f t="shared" si="42"/>
        <v>-</v>
      </c>
      <c r="W138" s="348" t="str">
        <f t="shared" si="43"/>
        <v>Gerrit Visser</v>
      </c>
      <c r="X138" s="337" t="str">
        <f t="shared" si="44"/>
        <v>Gerrit</v>
      </c>
      <c r="Y138" s="337" t="str">
        <f t="shared" si="45"/>
        <v>Visser</v>
      </c>
      <c r="Z138" s="337" t="str">
        <f t="shared" si="46"/>
        <v>G.Visser</v>
      </c>
      <c r="AA138" s="349" t="str">
        <f t="shared" si="49"/>
        <v/>
      </c>
      <c r="AB138" s="349" t="str">
        <f t="shared" si="50"/>
        <v/>
      </c>
      <c r="AC138" s="337" t="str">
        <f>IFERROR(IF(ISNUMBER(SEARCH("*",N138)),N138&amp;" "&amp;F138,IF(F138="M",LOOKUP(J138,AgeCategories!$A$3:$F$11),LOOKUP(J138,AgeCategories!$A$14:$F$22))),"")</f>
        <v>MM</v>
      </c>
      <c r="AD138" s="350">
        <f t="shared" si="47"/>
        <v>33640</v>
      </c>
      <c r="AE138" s="337">
        <f t="shared" si="48"/>
        <v>30</v>
      </c>
      <c r="AF138" s="337" t="str">
        <f>IF(SUM(COUNTIF(H138,{"*Girl*","*Women*","*Woman*","*Female*","*Wo*","*Fe*","*F*"})),"F","M")</f>
        <v>M</v>
      </c>
      <c r="AG138" s="112"/>
      <c r="AH138" s="112"/>
      <c r="AI138" s="344" t="e">
        <f t="array" aca="1" ref="AI138" ca="1">(SMALL(IF(ISERROR(MATCH($AJ$3+ROW(OFFSET($A$3, 0,0, $AJ$4-$AJ$3+1))-2, $A$3:$A787,0)), $AJ$3+ROW(OFFSET($A$2,0, 0, $AJ$4-$AJ$3+1))-1), ROW(A137)))</f>
        <v>#NUM!</v>
      </c>
      <c r="AJ138" s="345">
        <f>Helpers!AY9</f>
        <v>0</v>
      </c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323"/>
      <c r="AV138" s="329"/>
      <c r="AW138" s="329" t="s">
        <v>2380</v>
      </c>
      <c r="AX138" s="56" t="s">
        <v>2478</v>
      </c>
      <c r="AY138">
        <v>0</v>
      </c>
      <c r="AZ138" s="56" t="s">
        <v>2537</v>
      </c>
      <c r="BA138" s="56"/>
    </row>
    <row r="139" spans="1:53" ht="13.5" thickBot="1">
      <c r="A139" s="111">
        <v>137</v>
      </c>
      <c r="B139" s="335" t="str">
        <f t="shared" si="40"/>
        <v>Lombard Rousseau</v>
      </c>
      <c r="C139" t="s">
        <v>645</v>
      </c>
      <c r="D139" t="s">
        <v>1573</v>
      </c>
      <c r="E139"/>
      <c r="F139" s="336" t="str">
        <f>IF(SUM(COUNTIF(H139,{"*Girl*","*Women*","*Woman*","*Female*","*Wo*","*Fe*","*F*"})),"F","M")</f>
        <v>M</v>
      </c>
      <c r="G139" s="337" t="str">
        <f>IFERROR(IF(ISNUMBER(SEARCH("*",N139)),N139&amp;" "&amp;F139,IF(F139="M",LOOKUP(J139,AgeCategories!$A$3:$D$13),LOOKUP(J139,AgeCategories!$A$14:$D$24))),"Invalid Age")</f>
        <v>Sprog Boys</v>
      </c>
      <c r="H139" t="s">
        <v>209</v>
      </c>
      <c r="I139" s="338">
        <f t="shared" si="41"/>
        <v>40303</v>
      </c>
      <c r="J139" s="340">
        <f>IFERROR(DATEDIF($I139,Helpers!$O$2,"y"),"ID No. needed")</f>
        <v>12</v>
      </c>
      <c r="K139" s="323"/>
      <c r="L139" s="300"/>
      <c r="M139" s="376" t="s">
        <v>2611</v>
      </c>
      <c r="N139" s="341"/>
      <c r="O139" s="308" t="b">
        <v>1</v>
      </c>
      <c r="P139" s="241" t="b">
        <f>NOT(ISNA(VLOOKUP(A139,SortedDownload!A:A,1,FALSE)))</f>
        <v>1</v>
      </c>
      <c r="Q139" s="374" t="s">
        <v>2601</v>
      </c>
      <c r="R139" s="327"/>
      <c r="S139" s="235"/>
      <c r="T139" s="235"/>
      <c r="U139" s="327" t="s">
        <v>2151</v>
      </c>
      <c r="V139" s="337" t="str">
        <f t="shared" si="42"/>
        <v>-</v>
      </c>
      <c r="W139" s="348" t="str">
        <f t="shared" si="43"/>
        <v>Lombard Rousseau</v>
      </c>
      <c r="X139" s="337" t="str">
        <f t="shared" si="44"/>
        <v>Lombard</v>
      </c>
      <c r="Y139" s="337" t="str">
        <f t="shared" si="45"/>
        <v>Rousseau</v>
      </c>
      <c r="Z139" s="337" t="str">
        <f t="shared" si="46"/>
        <v>L.Rousseau</v>
      </c>
      <c r="AA139" s="349" t="str">
        <f t="shared" si="49"/>
        <v/>
      </c>
      <c r="AB139" s="349" t="str">
        <f t="shared" si="50"/>
        <v/>
      </c>
      <c r="AC139" s="337" t="str">
        <f>IFERROR(IF(ISNUMBER(SEARCH("*",N139)),N139&amp;" "&amp;F139,IF(F139="M",LOOKUP(J139,AgeCategories!$A$3:$F$11),LOOKUP(J139,AgeCategories!$A$14:$F$22))),"")</f>
        <v>SB</v>
      </c>
      <c r="AD139" s="350">
        <f t="shared" si="47"/>
        <v>40303</v>
      </c>
      <c r="AE139" s="337">
        <f t="shared" si="48"/>
        <v>12</v>
      </c>
      <c r="AF139" s="337" t="str">
        <f>IF(SUM(COUNTIF(H139,{"*Girl*","*Women*","*Woman*","*Female*","*Wo*","*Fe*","*F*"})),"F","M")</f>
        <v>M</v>
      </c>
      <c r="AG139" s="112"/>
      <c r="AH139" s="112"/>
      <c r="AI139" s="344" t="e">
        <f t="array" aca="1" ref="AI139" ca="1">(SMALL(IF(ISERROR(MATCH($AJ$3+ROW(OFFSET($A$3, 0,0, $AJ$4-$AJ$3+1))-2, $A$3:$A788,0)), $AJ$3+ROW(OFFSET($A$2,0, 0, $AJ$4-$AJ$3+1))-1), ROW(A138)))</f>
        <v>#NUM!</v>
      </c>
      <c r="AJ139" s="345">
        <f>Helpers!AY8</f>
        <v>0</v>
      </c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323"/>
      <c r="AV139" s="329"/>
      <c r="AW139" s="329" t="s">
        <v>2381</v>
      </c>
      <c r="AX139" s="56" t="s">
        <v>2478</v>
      </c>
      <c r="AY139"/>
      <c r="AZ139" s="56" t="s">
        <v>2537</v>
      </c>
      <c r="BA139" s="56"/>
    </row>
    <row r="140" spans="1:53" ht="13.5" thickBot="1">
      <c r="A140" s="111">
        <v>138</v>
      </c>
      <c r="B140" s="335" t="str">
        <f t="shared" si="40"/>
        <v>Ben Kroukamp</v>
      </c>
      <c r="C140" t="s">
        <v>1574</v>
      </c>
      <c r="D140" t="s">
        <v>1575</v>
      </c>
      <c r="E140"/>
      <c r="F140" s="336" t="str">
        <f>IF(SUM(COUNTIF(H140,{"*Girl*","*Women*","*Woman*","*Female*","*Wo*","*Fe*","*F*"})),"F","M")</f>
        <v>M</v>
      </c>
      <c r="G140" s="337" t="str">
        <f>IFERROR(IF(ISNUMBER(SEARCH("*",N140)),N140&amp;" "&amp;F140,IF(F140="M",LOOKUP(J140,AgeCategories!$A$3:$D$13),LOOKUP(J140,AgeCategories!$A$14:$D$24))),"Invalid Age")</f>
        <v>Sub Junior Boys</v>
      </c>
      <c r="H140" t="s">
        <v>209</v>
      </c>
      <c r="I140" s="338">
        <f t="shared" si="41"/>
        <v>39549</v>
      </c>
      <c r="J140" s="340">
        <f>IFERROR(DATEDIF($I140,Helpers!$O$2,"y"),"ID No. needed")</f>
        <v>14</v>
      </c>
      <c r="K140" s="323"/>
      <c r="L140" s="300">
        <v>663826019</v>
      </c>
      <c r="M140" s="319" t="s">
        <v>1894</v>
      </c>
      <c r="N140" s="341"/>
      <c r="O140" s="308" t="b">
        <v>1</v>
      </c>
      <c r="P140" s="241" t="b">
        <f>NOT(ISNA(VLOOKUP(A140,SortedDownload!A:A,1,FALSE)))</f>
        <v>1</v>
      </c>
      <c r="Q140" s="374" t="s">
        <v>2601</v>
      </c>
      <c r="R140" s="326"/>
      <c r="S140" s="235"/>
      <c r="T140" s="235"/>
      <c r="U140" s="326" t="s">
        <v>2152</v>
      </c>
      <c r="V140" s="337" t="str">
        <f t="shared" si="42"/>
        <v>-</v>
      </c>
      <c r="W140" s="348" t="str">
        <f t="shared" si="43"/>
        <v>Ben Kroukamp</v>
      </c>
      <c r="X140" s="337" t="str">
        <f t="shared" si="44"/>
        <v>Ben</v>
      </c>
      <c r="Y140" s="337" t="str">
        <f t="shared" si="45"/>
        <v>Kroukamp</v>
      </c>
      <c r="Z140" s="337" t="str">
        <f t="shared" si="46"/>
        <v>B.Kroukamp</v>
      </c>
      <c r="AA140" s="349" t="str">
        <f t="shared" si="49"/>
        <v/>
      </c>
      <c r="AB140" s="349" t="str">
        <f t="shared" si="50"/>
        <v/>
      </c>
      <c r="AC140" s="337" t="str">
        <f>IFERROR(IF(ISNUMBER(SEARCH("*",N140)),N140&amp;" "&amp;F140,IF(F140="M",LOOKUP(J140,AgeCategories!$A$3:$F$11),LOOKUP(J140,AgeCategories!$A$14:$F$22))),"")</f>
        <v>JB</v>
      </c>
      <c r="AD140" s="350">
        <f t="shared" si="47"/>
        <v>39549</v>
      </c>
      <c r="AE140" s="337">
        <f t="shared" si="48"/>
        <v>14</v>
      </c>
      <c r="AF140" s="337" t="str">
        <f>IF(SUM(COUNTIF(H140,{"*Girl*","*Women*","*Woman*","*Female*","*Wo*","*Fe*","*F*"})),"F","M")</f>
        <v>M</v>
      </c>
      <c r="AG140" s="112"/>
      <c r="AH140" s="112"/>
      <c r="AI140" s="344" t="e">
        <f t="array" aca="1" ref="AI140" ca="1">(SMALL(IF(ISERROR(MATCH($AJ$3+ROW(OFFSET($A$3, 0,0, $AJ$4-$AJ$3+1))-2, $A$3:$A789,0)), $AJ$3+ROW(OFFSET($A$2,0, 0, $AJ$4-$AJ$3+1))-1), ROW(A139)))</f>
        <v>#NUM!</v>
      </c>
      <c r="AJ140" s="345">
        <f>Helpers!AY7</f>
        <v>0</v>
      </c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323"/>
      <c r="AV140" s="329"/>
      <c r="AW140" s="329"/>
      <c r="AX140" s="56" t="s">
        <v>2512</v>
      </c>
      <c r="AY140" t="s">
        <v>2548</v>
      </c>
      <c r="AZ140" s="56" t="s">
        <v>2537</v>
      </c>
      <c r="BA140" s="56"/>
    </row>
    <row r="141" spans="1:53" ht="13.5" thickBot="1">
      <c r="A141" s="111">
        <v>139</v>
      </c>
      <c r="B141" s="335" t="str">
        <f t="shared" si="40"/>
        <v>Heinrich Vreken</v>
      </c>
      <c r="C141" t="s">
        <v>1576</v>
      </c>
      <c r="D141" t="s">
        <v>1577</v>
      </c>
      <c r="E141"/>
      <c r="F141" s="336" t="str">
        <f>IF(SUM(COUNTIF(H141,{"*Girl*","*Women*","*Woman*","*Female*","*Wo*","*Fe*","*F*"})),"F","M")</f>
        <v>M</v>
      </c>
      <c r="G141" s="337" t="str">
        <f>IFERROR(IF(ISNUMBER(SEARCH("*",N141)),N141&amp;" "&amp;F141,IF(F141="M",LOOKUP(J141,AgeCategories!$A$3:$D$13),LOOKUP(J141,AgeCategories!$A$14:$D$24))),"Invalid Age")</f>
        <v>Lite M</v>
      </c>
      <c r="H141" t="s">
        <v>209</v>
      </c>
      <c r="I141" s="338">
        <f t="shared" si="41"/>
        <v>39270</v>
      </c>
      <c r="J141" s="340">
        <f>IFERROR(DATEDIF($I141,Helpers!$O$2,"y"),"ID No. needed")</f>
        <v>15</v>
      </c>
      <c r="K141" s="323"/>
      <c r="L141" s="300">
        <v>27842022007</v>
      </c>
      <c r="M141" s="319" t="s">
        <v>1895</v>
      </c>
      <c r="N141" s="341" t="s">
        <v>2601</v>
      </c>
      <c r="O141" s="308" t="b">
        <v>1</v>
      </c>
      <c r="P141" s="241" t="b">
        <f>NOT(ISNA(VLOOKUP(A141,SortedDownload!A:A,1,FALSE)))</f>
        <v>1</v>
      </c>
      <c r="Q141" s="374" t="s">
        <v>2601</v>
      </c>
      <c r="R141" s="326"/>
      <c r="S141" s="235"/>
      <c r="T141" s="235"/>
      <c r="U141" s="326" t="s">
        <v>2153</v>
      </c>
      <c r="V141" s="337" t="str">
        <f t="shared" si="42"/>
        <v>-</v>
      </c>
      <c r="W141" s="348" t="str">
        <f t="shared" si="43"/>
        <v>Heinrich Vreken</v>
      </c>
      <c r="X141" s="337" t="str">
        <f t="shared" si="44"/>
        <v>Heinrich</v>
      </c>
      <c r="Y141" s="337" t="str">
        <f t="shared" si="45"/>
        <v>Vreken</v>
      </c>
      <c r="Z141" s="337" t="str">
        <f t="shared" si="46"/>
        <v>H.Vreken</v>
      </c>
      <c r="AA141" s="349" t="str">
        <f t="shared" si="49"/>
        <v/>
      </c>
      <c r="AB141" s="349" t="str">
        <f t="shared" si="50"/>
        <v/>
      </c>
      <c r="AC141" s="337" t="str">
        <f>IFERROR(IF(ISNUMBER(SEARCH("*",N141)),N141&amp;" "&amp;F141,IF(F141="M",LOOKUP(J141,AgeCategories!$A$3:$F$11),LOOKUP(J141,AgeCategories!$A$14:$F$22))),"")</f>
        <v>Lite M</v>
      </c>
      <c r="AD141" s="350">
        <f t="shared" si="47"/>
        <v>39270</v>
      </c>
      <c r="AE141" s="337">
        <f t="shared" si="48"/>
        <v>15</v>
      </c>
      <c r="AF141" s="337" t="str">
        <f>IF(SUM(COUNTIF(H141,{"*Girl*","*Women*","*Woman*","*Female*","*Wo*","*Fe*","*F*"})),"F","M")</f>
        <v>M</v>
      </c>
      <c r="AG141" s="112"/>
      <c r="AH141" s="112"/>
      <c r="AI141" s="344" t="e">
        <f t="array" aca="1" ref="AI141" ca="1">(SMALL(IF(ISERROR(MATCH($AJ$3+ROW(OFFSET($A$3, 0,0, $AJ$4-$AJ$3+1))-2, $A$3:$A790,0)), $AJ$3+ROW(OFFSET($A$2,0, 0, $AJ$4-$AJ$3+1))-1), ROW(A140)))</f>
        <v>#NUM!</v>
      </c>
      <c r="AJ141" s="345">
        <f>Helpers!AY6</f>
        <v>0</v>
      </c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323"/>
      <c r="AV141" s="329"/>
      <c r="AW141" s="329"/>
      <c r="AX141" s="56"/>
      <c r="AY141" t="s">
        <v>2277</v>
      </c>
      <c r="AZ141" s="56" t="s">
        <v>2539</v>
      </c>
      <c r="BA141" s="56"/>
    </row>
    <row r="142" spans="1:53" ht="13.5" customHeight="1" thickBot="1">
      <c r="A142" s="111">
        <v>140</v>
      </c>
      <c r="B142" s="335" t="str">
        <f t="shared" si="40"/>
        <v>Gavin Dingley</v>
      </c>
      <c r="C142" t="s">
        <v>1578</v>
      </c>
      <c r="D142" t="s">
        <v>1579</v>
      </c>
      <c r="E142"/>
      <c r="F142" s="336" t="str">
        <f>IF(SUM(COUNTIF(H142,{"*Girl*","*Women*","*Woman*","*Female*","*Wo*","*Fe*","*F*"})),"F","M")</f>
        <v>M</v>
      </c>
      <c r="G142" s="337" t="str">
        <f>IFERROR(IF(ISNUMBER(SEARCH("*",N142)),N142&amp;" "&amp;F142,IF(F142="M",LOOKUP(J142,AgeCategories!$A$3:$D$13),LOOKUP(J142,AgeCategories!$A$14:$D$24))),"Invalid Age")</f>
        <v>Junior Men</v>
      </c>
      <c r="H142" t="s">
        <v>209</v>
      </c>
      <c r="I142" s="338">
        <f t="shared" si="41"/>
        <v>38696</v>
      </c>
      <c r="J142" s="340">
        <f>IFERROR(DATEDIF($I142,Helpers!$O$2,"y"),"ID No. needed")</f>
        <v>17</v>
      </c>
      <c r="K142" s="323"/>
      <c r="L142" s="300">
        <v>724379520</v>
      </c>
      <c r="M142" s="319" t="s">
        <v>1896</v>
      </c>
      <c r="N142" s="341"/>
      <c r="O142" s="308" t="b">
        <v>1</v>
      </c>
      <c r="P142" s="241" t="b">
        <f>NOT(ISNA(VLOOKUP(A142,SortedDownload!A:A,1,FALSE)))</f>
        <v>1</v>
      </c>
      <c r="Q142" s="374" t="s">
        <v>2631</v>
      </c>
      <c r="R142" s="326"/>
      <c r="S142" s="235"/>
      <c r="T142" s="235"/>
      <c r="U142" s="326" t="s">
        <v>2154</v>
      </c>
      <c r="V142" s="337" t="str">
        <f t="shared" si="42"/>
        <v>-</v>
      </c>
      <c r="W142" s="348" t="str">
        <f t="shared" si="43"/>
        <v>Gavin Dingley</v>
      </c>
      <c r="X142" s="337" t="str">
        <f t="shared" si="44"/>
        <v>Gavin</v>
      </c>
      <c r="Y142" s="337" t="str">
        <f t="shared" si="45"/>
        <v>Dingley</v>
      </c>
      <c r="Z142" s="337" t="str">
        <f t="shared" si="46"/>
        <v>G.Dingley</v>
      </c>
      <c r="AA142" s="349" t="str">
        <f t="shared" si="49"/>
        <v/>
      </c>
      <c r="AB142" s="349" t="str">
        <f t="shared" si="50"/>
        <v/>
      </c>
      <c r="AC142" s="337" t="str">
        <f>IFERROR(IF(ISNUMBER(SEARCH("*",N142)),N142&amp;" "&amp;F142,IF(F142="M",LOOKUP(J142,AgeCategories!$A$3:$F$11),LOOKUP(J142,AgeCategories!$A$14:$F$22))),"")</f>
        <v>JM</v>
      </c>
      <c r="AD142" s="350">
        <f t="shared" si="47"/>
        <v>38696</v>
      </c>
      <c r="AE142" s="337">
        <f t="shared" si="48"/>
        <v>17</v>
      </c>
      <c r="AF142" s="337" t="str">
        <f>IF(SUM(COUNTIF(H142,{"*Girl*","*Women*","*Woman*","*Female*","*Wo*","*Fe*","*F*"})),"F","M")</f>
        <v>M</v>
      </c>
      <c r="AG142" s="112"/>
      <c r="AH142" s="112"/>
      <c r="AI142" s="344" t="e">
        <f t="array" aca="1" ref="AI142" ca="1">(SMALL(IF(ISERROR(MATCH($AJ$3+ROW(OFFSET($A$3, 0,0, $AJ$4-$AJ$3+1))-2, $A$3:$A791,0)), $AJ$3+ROW(OFFSET($A$2,0, 0, $AJ$4-$AJ$3+1))-1), ROW(A141)))</f>
        <v>#NUM!</v>
      </c>
      <c r="AJ142" s="345">
        <f>Helpers!AY5</f>
        <v>0</v>
      </c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323"/>
      <c r="AV142" s="329"/>
      <c r="AW142" s="329" t="s">
        <v>2382</v>
      </c>
      <c r="AX142" s="56" t="s">
        <v>2513</v>
      </c>
      <c r="AY142" t="s">
        <v>2547</v>
      </c>
      <c r="AZ142" s="56" t="s">
        <v>2537</v>
      </c>
      <c r="BA142" s="56"/>
    </row>
    <row r="143" spans="1:53" ht="13.5" customHeight="1" thickBot="1">
      <c r="A143" s="111">
        <v>141</v>
      </c>
      <c r="B143" s="335" t="str">
        <f t="shared" si="40"/>
        <v>Philip Mccann</v>
      </c>
      <c r="C143" t="s">
        <v>1580</v>
      </c>
      <c r="D143" t="s">
        <v>1581</v>
      </c>
      <c r="E143"/>
      <c r="F143" s="336" t="str">
        <f>IF(SUM(COUNTIF(H143,{"*Girl*","*Women*","*Woman*","*Female*","*Wo*","*Fe*","*F*"})),"F","M")</f>
        <v>M</v>
      </c>
      <c r="G143" s="337" t="str">
        <f>IFERROR(IF(ISNUMBER(SEARCH("*",N143)),N143&amp;" "&amp;F143,IF(F143="M",LOOKUP(J143,AgeCategories!$A$3:$D$13),LOOKUP(J143,AgeCategories!$A$14:$D$24))),"Invalid Age")</f>
        <v>Youth Men</v>
      </c>
      <c r="H143" t="s">
        <v>209</v>
      </c>
      <c r="I143" s="338">
        <f t="shared" si="41"/>
        <v>38747</v>
      </c>
      <c r="J143" s="340">
        <f>IFERROR(DATEDIF($I143,Helpers!$O$2,"y"),"ID No. needed")</f>
        <v>16</v>
      </c>
      <c r="K143" s="323"/>
      <c r="L143" s="300">
        <v>827956113</v>
      </c>
      <c r="M143" s="319" t="s">
        <v>1897</v>
      </c>
      <c r="N143" s="341"/>
      <c r="O143" s="308" t="b">
        <v>1</v>
      </c>
      <c r="P143" s="241" t="b">
        <f>NOT(ISNA(VLOOKUP(A143,SortedDownload!A:A,1,FALSE)))</f>
        <v>1</v>
      </c>
      <c r="Q143" s="374"/>
      <c r="R143" s="326"/>
      <c r="S143" s="235"/>
      <c r="T143" s="235"/>
      <c r="U143" s="326" t="s">
        <v>2155</v>
      </c>
      <c r="V143" s="337" t="str">
        <f t="shared" si="42"/>
        <v>-</v>
      </c>
      <c r="W143" s="348" t="str">
        <f t="shared" si="43"/>
        <v>Philip Mccann</v>
      </c>
      <c r="X143" s="337" t="str">
        <f t="shared" si="44"/>
        <v>Philip</v>
      </c>
      <c r="Y143" s="337" t="str">
        <f t="shared" si="45"/>
        <v>Mccann</v>
      </c>
      <c r="Z143" s="337" t="str">
        <f t="shared" si="46"/>
        <v>P.Mccann</v>
      </c>
      <c r="AA143" s="349" t="str">
        <f t="shared" si="49"/>
        <v/>
      </c>
      <c r="AB143" s="349" t="str">
        <f t="shared" si="50"/>
        <v/>
      </c>
      <c r="AC143" s="337" t="str">
        <f>IFERROR(IF(ISNUMBER(SEARCH("*",N143)),N143&amp;" "&amp;F143,IF(F143="M",LOOKUP(J143,AgeCategories!$A$3:$F$11),LOOKUP(J143,AgeCategories!$A$14:$F$22))),"")</f>
        <v>YM</v>
      </c>
      <c r="AD143" s="350">
        <f t="shared" si="47"/>
        <v>38747</v>
      </c>
      <c r="AE143" s="337">
        <f t="shared" si="48"/>
        <v>16</v>
      </c>
      <c r="AF143" s="337" t="str">
        <f>IF(SUM(COUNTIF(H143,{"*Girl*","*Women*","*Woman*","*Female*","*Wo*","*Fe*","*F*"})),"F","M")</f>
        <v>M</v>
      </c>
      <c r="AG143" s="112"/>
      <c r="AH143" s="112"/>
      <c r="AI143" s="344" t="e">
        <f t="array" aca="1" ref="AI143" ca="1">(SMALL(IF(ISERROR(MATCH($AJ$3+ROW(OFFSET($A$3, 0,0, $AJ$4-$AJ$3+1))-2, $A$3:$A792,0)), $AJ$3+ROW(OFFSET($A$2,0, 0, $AJ$4-$AJ$3+1))-1), ROW(A142)))</f>
        <v>#NUM!</v>
      </c>
      <c r="AJ143" s="345">
        <f>Helpers!AY4</f>
        <v>0</v>
      </c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323"/>
      <c r="AV143" s="329"/>
      <c r="AW143" s="329" t="s">
        <v>2383</v>
      </c>
      <c r="AX143" s="56" t="s">
        <v>2479</v>
      </c>
      <c r="AY143" t="s">
        <v>2277</v>
      </c>
      <c r="AZ143" s="56" t="s">
        <v>2538</v>
      </c>
      <c r="BA143" s="56"/>
    </row>
    <row r="144" spans="1:53" ht="13.5" customHeight="1" thickBot="1">
      <c r="A144" s="111">
        <v>142</v>
      </c>
      <c r="B144" s="335" t="str">
        <f t="shared" si="40"/>
        <v>Dr Katzen</v>
      </c>
      <c r="C144" t="s">
        <v>1582</v>
      </c>
      <c r="D144" t="s">
        <v>1583</v>
      </c>
      <c r="E144"/>
      <c r="F144" s="336" t="str">
        <f>IF(SUM(COUNTIF(H144,{"*Girl*","*Women*","*Woman*","*Female*","*Wo*","*Fe*","*F*"})),"F","M")</f>
        <v>M</v>
      </c>
      <c r="G144" s="337" t="str">
        <f>IFERROR(IF(ISNUMBER(SEARCH("*",N144)),N144&amp;" "&amp;F144,IF(F144="M",LOOKUP(J144,AgeCategories!$A$3:$D$13),LOOKUP(J144,AgeCategories!$A$14:$D$24))),"Invalid Age")</f>
        <v>Master Men</v>
      </c>
      <c r="H144" t="s">
        <v>209</v>
      </c>
      <c r="I144" s="338">
        <f t="shared" si="41"/>
        <v>30596</v>
      </c>
      <c r="J144" s="340">
        <f>IFERROR(DATEDIF($I144,Helpers!$O$2,"y"),"ID No. needed")</f>
        <v>39</v>
      </c>
      <c r="K144" s="323"/>
      <c r="L144" s="300">
        <v>721900587</v>
      </c>
      <c r="M144" s="319" t="s">
        <v>1898</v>
      </c>
      <c r="N144" s="341"/>
      <c r="O144" s="308" t="b">
        <v>1</v>
      </c>
      <c r="P144" s="241" t="b">
        <f>NOT(ISNA(VLOOKUP(A144,SortedDownload!A:A,1,FALSE)))</f>
        <v>1</v>
      </c>
      <c r="Q144" s="374" t="s">
        <v>2631</v>
      </c>
      <c r="R144" s="326"/>
      <c r="S144" s="235"/>
      <c r="T144" s="235"/>
      <c r="U144" s="326" t="s">
        <v>2156</v>
      </c>
      <c r="V144" s="337" t="str">
        <f t="shared" si="42"/>
        <v>-</v>
      </c>
      <c r="W144" s="348" t="str">
        <f t="shared" si="43"/>
        <v>Dr Katzen</v>
      </c>
      <c r="X144" s="337" t="str">
        <f t="shared" si="44"/>
        <v>Dr</v>
      </c>
      <c r="Y144" s="337" t="str">
        <f t="shared" si="45"/>
        <v>Katzen</v>
      </c>
      <c r="Z144" s="337" t="str">
        <f t="shared" si="46"/>
        <v>D.Katzen</v>
      </c>
      <c r="AA144" s="349" t="str">
        <f t="shared" si="49"/>
        <v/>
      </c>
      <c r="AB144" s="349" t="str">
        <f t="shared" si="50"/>
        <v/>
      </c>
      <c r="AC144" s="337" t="str">
        <f>IFERROR(IF(ISNUMBER(SEARCH("*",N144)),N144&amp;" "&amp;F144,IF(F144="M",LOOKUP(J144,AgeCategories!$A$3:$F$11),LOOKUP(J144,AgeCategories!$A$14:$F$22))),"")</f>
        <v>MM</v>
      </c>
      <c r="AD144" s="350">
        <f t="shared" si="47"/>
        <v>30596</v>
      </c>
      <c r="AE144" s="337">
        <f t="shared" si="48"/>
        <v>39</v>
      </c>
      <c r="AF144" s="337" t="str">
        <f>IF(SUM(COUNTIF(H144,{"*Girl*","*Women*","*Woman*","*Female*","*Wo*","*Fe*","*F*"})),"F","M")</f>
        <v>M</v>
      </c>
      <c r="AG144" s="112"/>
      <c r="AH144" s="112"/>
      <c r="AI144" s="344" t="e">
        <f t="array" aca="1" ref="AI144" ca="1">(SMALL(IF(ISERROR(MATCH($AJ$3+ROW(OFFSET($A$3, 0,0, $AJ$4-$AJ$3+1))-2, $A$3:$A793,0)), $AJ$3+ROW(OFFSET($A$2,0, 0, $AJ$4-$AJ$3+1))-1), ROW(A143)))</f>
        <v>#NUM!</v>
      </c>
      <c r="AJ144" s="345">
        <f>Helpers!AY3</f>
        <v>0</v>
      </c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323"/>
      <c r="AV144" s="329"/>
      <c r="AW144" s="329" t="s">
        <v>2384</v>
      </c>
      <c r="AX144" s="56" t="s">
        <v>2478</v>
      </c>
      <c r="AY144">
        <v>0</v>
      </c>
      <c r="AZ144" s="56" t="s">
        <v>2537</v>
      </c>
      <c r="BA144" s="56"/>
    </row>
    <row r="145" spans="1:53" ht="13.5" thickBot="1">
      <c r="A145" s="111">
        <v>143</v>
      </c>
      <c r="B145" s="335" t="str">
        <f t="shared" si="40"/>
        <v>Luan Van Zyl Smit</v>
      </c>
      <c r="C145" t="s">
        <v>658</v>
      </c>
      <c r="D145" t="s">
        <v>1584</v>
      </c>
      <c r="E145"/>
      <c r="F145" s="336" t="str">
        <f>IF(SUM(COUNTIF(H145,{"*Girl*","*Women*","*Woman*","*Female*","*Wo*","*Fe*","*F*"})),"F","M")</f>
        <v>M</v>
      </c>
      <c r="G145" s="337" t="str">
        <f>IFERROR(IF(ISNUMBER(SEARCH("*",N145)),N145&amp;" "&amp;F145,IF(F145="M",LOOKUP(J145,AgeCategories!$A$3:$D$13),LOOKUP(J145,AgeCategories!$A$14:$D$24))),"Invalid Age")</f>
        <v>Sprog Boys</v>
      </c>
      <c r="H145" t="s">
        <v>209</v>
      </c>
      <c r="I145" s="338">
        <f t="shared" si="41"/>
        <v>40514</v>
      </c>
      <c r="J145" s="340">
        <f>IFERROR(DATEDIF($I145,Helpers!$O$2,"y"),"ID No. needed")</f>
        <v>12</v>
      </c>
      <c r="K145" s="323"/>
      <c r="L145" s="300">
        <v>823244639</v>
      </c>
      <c r="M145" s="319" t="s">
        <v>1899</v>
      </c>
      <c r="N145" s="341"/>
      <c r="O145" s="308" t="b">
        <v>0</v>
      </c>
      <c r="P145" s="241" t="b">
        <f>NOT(ISNA(VLOOKUP(A145,SortedDownload!A:A,1,FALSE)))</f>
        <v>0</v>
      </c>
      <c r="Q145" s="374" t="s">
        <v>2601</v>
      </c>
      <c r="R145" s="326"/>
      <c r="S145" s="235"/>
      <c r="T145" s="235"/>
      <c r="U145" s="326" t="s">
        <v>2157</v>
      </c>
      <c r="V145" s="337" t="str">
        <f t="shared" si="42"/>
        <v>-</v>
      </c>
      <c r="W145" s="348" t="str">
        <f t="shared" si="43"/>
        <v>Luan Van Zyl Smit</v>
      </c>
      <c r="X145" s="337" t="str">
        <f t="shared" si="44"/>
        <v>Luan</v>
      </c>
      <c r="Y145" s="337" t="str">
        <f t="shared" si="45"/>
        <v>Van Zyl Smit</v>
      </c>
      <c r="Z145" s="337" t="str">
        <f t="shared" si="46"/>
        <v>L.Van Zyl Smit</v>
      </c>
      <c r="AA145" s="349" t="str">
        <f t="shared" si="49"/>
        <v/>
      </c>
      <c r="AB145" s="349" t="str">
        <f t="shared" si="50"/>
        <v/>
      </c>
      <c r="AC145" s="337" t="str">
        <f>IFERROR(IF(ISNUMBER(SEARCH("*",N145)),N145&amp;" "&amp;F145,IF(F145="M",LOOKUP(J145,AgeCategories!$A$3:$F$11),LOOKUP(J145,AgeCategories!$A$14:$F$22))),"")</f>
        <v>SB</v>
      </c>
      <c r="AD145" s="350">
        <f t="shared" si="47"/>
        <v>40514</v>
      </c>
      <c r="AE145" s="337">
        <f t="shared" si="48"/>
        <v>12</v>
      </c>
      <c r="AF145" s="337" t="str">
        <f>IF(SUM(COUNTIF(H145,{"*Girl*","*Women*","*Woman*","*Female*","*Wo*","*Fe*","*F*"})),"F","M")</f>
        <v>M</v>
      </c>
      <c r="AG145" s="112"/>
      <c r="AH145" s="112"/>
      <c r="AI145" s="344" t="e">
        <f t="array" aca="1" ref="AI145" ca="1">(SMALL(IF(ISERROR(MATCH($AJ$3+ROW(OFFSET($A$3, 0,0, $AJ$4-$AJ$3+1))-2, $A$3:$A794,0)), $AJ$3+ROW(OFFSET($A$2,0, 0, $AJ$4-$AJ$3+1))-1), ROW(A144)))</f>
        <v>#NUM!</v>
      </c>
      <c r="AJ145" s="345">
        <f>Helpers!AY2</f>
        <v>1</v>
      </c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323"/>
      <c r="AV145" s="329"/>
      <c r="AW145" s="329" t="s">
        <v>2385</v>
      </c>
      <c r="AX145" s="56" t="s">
        <v>2478</v>
      </c>
      <c r="AY145" t="s">
        <v>2547</v>
      </c>
      <c r="AZ145" s="56" t="s">
        <v>2539</v>
      </c>
      <c r="BA145" s="56"/>
    </row>
    <row r="146" spans="1:53" ht="13.5" thickBot="1">
      <c r="A146" s="111">
        <v>144</v>
      </c>
      <c r="B146" s="335" t="str">
        <f t="shared" si="40"/>
        <v>Pieter Hugo</v>
      </c>
      <c r="C146" s="116" t="s">
        <v>1477</v>
      </c>
      <c r="D146" s="116" t="s">
        <v>1585</v>
      </c>
      <c r="E146"/>
      <c r="F146" s="336" t="str">
        <f>IF(SUM(COUNTIF(H146,{"*Girl*","*Women*","*Woman*","*Female*","*Wo*","*Fe*","*F*"})),"F","M")</f>
        <v>M</v>
      </c>
      <c r="G146" s="337" t="str">
        <f>IFERROR(IF(ISNUMBER(SEARCH("*",N146)),N146&amp;" "&amp;F146,IF(F146="M",LOOKUP(J146,AgeCategories!$A$3:$D$13),LOOKUP(J146,AgeCategories!$A$14:$D$24))),"Invalid Age")</f>
        <v>Lite M</v>
      </c>
      <c r="H146" s="175" t="s">
        <v>209</v>
      </c>
      <c r="I146" s="338">
        <f t="shared" si="41"/>
        <v>28062</v>
      </c>
      <c r="J146" s="340">
        <f>IFERROR(DATEDIF($I146,Helpers!$O$2,"y"),"ID No. needed")</f>
        <v>46</v>
      </c>
      <c r="K146" s="111"/>
      <c r="L146" s="300">
        <v>827105658</v>
      </c>
      <c r="M146" s="319" t="s">
        <v>1900</v>
      </c>
      <c r="N146" s="341" t="s">
        <v>2601</v>
      </c>
      <c r="O146" s="308" t="b">
        <v>0</v>
      </c>
      <c r="P146" s="241" t="b">
        <f>NOT(ISNA(VLOOKUP(A146,SortedDownload!A:A,1,FALSE)))</f>
        <v>0</v>
      </c>
      <c r="Q146" s="374" t="s">
        <v>2601</v>
      </c>
      <c r="R146" s="313"/>
      <c r="S146" s="235"/>
      <c r="T146" s="235"/>
      <c r="U146" s="314" t="s">
        <v>2158</v>
      </c>
      <c r="V146" s="337" t="str">
        <f t="shared" si="42"/>
        <v>-</v>
      </c>
      <c r="W146" s="348" t="str">
        <f t="shared" si="43"/>
        <v>Pieter Hugo</v>
      </c>
      <c r="X146" s="337" t="str">
        <f t="shared" si="44"/>
        <v>Pieter</v>
      </c>
      <c r="Y146" s="337" t="str">
        <f t="shared" si="45"/>
        <v>Hugo</v>
      </c>
      <c r="Z146" s="337" t="str">
        <f t="shared" si="46"/>
        <v>P.Hugo</v>
      </c>
      <c r="AA146" s="349" t="str">
        <f t="shared" si="49"/>
        <v/>
      </c>
      <c r="AB146" s="349" t="str">
        <f t="shared" si="50"/>
        <v/>
      </c>
      <c r="AC146" s="337" t="str">
        <f>IFERROR(IF(ISNUMBER(SEARCH("*",N146)),N146&amp;" "&amp;F146,IF(F146="M",LOOKUP(J146,AgeCategories!$A$3:$F$11),LOOKUP(J146,AgeCategories!$A$14:$F$22))),"")</f>
        <v>Lite M</v>
      </c>
      <c r="AD146" s="350">
        <f t="shared" si="47"/>
        <v>28062</v>
      </c>
      <c r="AE146" s="337">
        <f t="shared" si="48"/>
        <v>46</v>
      </c>
      <c r="AF146" s="337" t="str">
        <f>IF(SUM(COUNTIF(H146,{"*Girl*","*Women*","*Woman*","*Female*","*Wo*","*Fe*","*F*"})),"F","M")</f>
        <v>M</v>
      </c>
      <c r="AG146" s="112"/>
      <c r="AH146" s="112"/>
      <c r="AI146" s="344" t="e">
        <f t="array" aca="1" ref="AI146" ca="1">(SMALL(IF(ISERROR(MATCH($AJ$3+ROW(OFFSET($A$3, 0,0, $AJ$4-$AJ$3+1))-2, $A$3:$A796,0)), $AJ$3+ROW(OFFSET($A$2,0, 0, $AJ$4-$AJ$3+1))-1), ROW(A145)))</f>
        <v>#NUM!</v>
      </c>
      <c r="AJ146" s="345">
        <f>Helpers!AY149</f>
        <v>0</v>
      </c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236"/>
      <c r="AV146" s="299"/>
      <c r="AW146" s="298" t="s">
        <v>2386</v>
      </c>
      <c r="AX146" s="56" t="s">
        <v>2478</v>
      </c>
      <c r="AY146" s="56"/>
      <c r="AZ146" s="56" t="s">
        <v>2537</v>
      </c>
      <c r="BA146" s="56"/>
    </row>
    <row r="147" spans="1:53" ht="13.5" customHeight="1" thickBot="1">
      <c r="A147" s="111">
        <v>145</v>
      </c>
      <c r="B147" s="335" t="str">
        <f t="shared" si="40"/>
        <v>Tristan Harley</v>
      </c>
      <c r="C147" s="116" t="s">
        <v>1586</v>
      </c>
      <c r="D147" s="116" t="s">
        <v>1587</v>
      </c>
      <c r="E147"/>
      <c r="F147" s="336" t="str">
        <f>IF(SUM(COUNTIF(H147,{"*Girl*","*Women*","*Woman*","*Female*","*Wo*","*Fe*","*F*"})),"F","M")</f>
        <v>M</v>
      </c>
      <c r="G147" s="337" t="str">
        <f>IFERROR(IF(ISNUMBER(SEARCH("*",N147)),N147&amp;" "&amp;F147,IF(F147="M",LOOKUP(J147,AgeCategories!$A$3:$D$13),LOOKUP(J147,AgeCategories!$A$14:$D$24))),"Invalid Age")</f>
        <v>Youth Men</v>
      </c>
      <c r="H147" s="175" t="s">
        <v>209</v>
      </c>
      <c r="I147" s="338">
        <f t="shared" si="41"/>
        <v>38842</v>
      </c>
      <c r="J147" s="340">
        <f>IFERROR(DATEDIF($I147,Helpers!$O$2,"y"),"ID No. needed")</f>
        <v>16</v>
      </c>
      <c r="K147" s="111"/>
      <c r="L147" s="300">
        <v>631613928</v>
      </c>
      <c r="M147" s="376" t="s">
        <v>2614</v>
      </c>
      <c r="N147" s="341"/>
      <c r="O147" s="308" t="b">
        <v>1</v>
      </c>
      <c r="P147" s="241" t="b">
        <f>NOT(ISNA(VLOOKUP(A147,SortedDownload!A:A,1,FALSE)))</f>
        <v>1</v>
      </c>
      <c r="Q147" s="374" t="s">
        <v>2631</v>
      </c>
      <c r="R147" s="313"/>
      <c r="S147" s="235"/>
      <c r="T147" s="235"/>
      <c r="U147" s="314" t="s">
        <v>2159</v>
      </c>
      <c r="V147" s="337" t="str">
        <f t="shared" si="42"/>
        <v>-</v>
      </c>
      <c r="W147" s="348" t="str">
        <f t="shared" si="43"/>
        <v>Tristan Harley</v>
      </c>
      <c r="X147" s="337" t="str">
        <f t="shared" si="44"/>
        <v>Tristan</v>
      </c>
      <c r="Y147" s="337" t="str">
        <f t="shared" si="45"/>
        <v>Harley</v>
      </c>
      <c r="Z147" s="337" t="str">
        <f t="shared" si="46"/>
        <v>T.Harley</v>
      </c>
      <c r="AA147" s="349" t="str">
        <f t="shared" si="49"/>
        <v/>
      </c>
      <c r="AB147" s="349" t="str">
        <f t="shared" si="50"/>
        <v/>
      </c>
      <c r="AC147" s="337" t="str">
        <f>IFERROR(IF(ISNUMBER(SEARCH("*",N147)),N147&amp;" "&amp;F147,IF(F147="M",LOOKUP(J147,AgeCategories!$A$3:$F$11),LOOKUP(J147,AgeCategories!$A$14:$F$22))),"")</f>
        <v>YM</v>
      </c>
      <c r="AD147" s="350">
        <f t="shared" si="47"/>
        <v>38842</v>
      </c>
      <c r="AE147" s="337">
        <f t="shared" si="48"/>
        <v>16</v>
      </c>
      <c r="AF147" s="337" t="str">
        <f>IF(SUM(COUNTIF(H147,{"*Girl*","*Women*","*Woman*","*Female*","*Wo*","*Fe*","*F*"})),"F","M")</f>
        <v>M</v>
      </c>
      <c r="AG147" s="112"/>
      <c r="AH147" s="112"/>
      <c r="AI147" s="344" t="e">
        <f t="array" aca="1" ref="AI147" ca="1">(SMALL(IF(ISERROR(MATCH($AJ$3+ROW(OFFSET($A$3, 0,0, $AJ$4-$AJ$3+1))-2, $A$3:$A797,0)), $AJ$3+ROW(OFFSET($A$2,0, 0, $AJ$4-$AJ$3+1))-1), ROW(A146)))</f>
        <v>#NUM!</v>
      </c>
      <c r="AJ147" s="345">
        <f>Helpers!AY150</f>
        <v>0</v>
      </c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236"/>
      <c r="AV147" s="299"/>
      <c r="AW147" s="298" t="s">
        <v>2387</v>
      </c>
      <c r="AX147" s="56" t="s">
        <v>2491</v>
      </c>
      <c r="AY147" s="56" t="s">
        <v>2563</v>
      </c>
      <c r="AZ147" s="56" t="s">
        <v>2537</v>
      </c>
      <c r="BA147" s="56" t="s">
        <v>2596</v>
      </c>
    </row>
    <row r="148" spans="1:53" ht="13.5" customHeight="1" thickBot="1">
      <c r="A148" s="111">
        <v>146</v>
      </c>
      <c r="B148" s="335" t="str">
        <f t="shared" si="40"/>
        <v>Andrew Kenny</v>
      </c>
      <c r="C148" s="116" t="s">
        <v>639</v>
      </c>
      <c r="D148" s="116" t="s">
        <v>1557</v>
      </c>
      <c r="E148"/>
      <c r="F148" s="336" t="str">
        <f>IF(SUM(COUNTIF(H148,{"*Girl*","*Women*","*Woman*","*Female*","*Wo*","*Fe*","*F*"})),"F","M")</f>
        <v>M</v>
      </c>
      <c r="G148" s="337" t="str">
        <f>IFERROR(IF(ISNUMBER(SEARCH("*",N148)),N148&amp;" "&amp;F148,IF(F148="M",LOOKUP(J148,AgeCategories!$A$3:$D$13),LOOKUP(J148,AgeCategories!$A$14:$D$24))),"Invalid Age")</f>
        <v>Master Men</v>
      </c>
      <c r="H148" s="175" t="s">
        <v>209</v>
      </c>
      <c r="I148" s="338">
        <f t="shared" si="41"/>
        <v>25580</v>
      </c>
      <c r="J148" s="340">
        <f>IFERROR(DATEDIF($I148,Helpers!$O$2,"y"),"ID No. needed")</f>
        <v>52</v>
      </c>
      <c r="K148" s="111"/>
      <c r="L148" s="300">
        <v>824963774</v>
      </c>
      <c r="M148" s="319" t="s">
        <v>1902</v>
      </c>
      <c r="N148" s="341"/>
      <c r="O148" s="308" t="b">
        <v>1</v>
      </c>
      <c r="P148" s="241" t="b">
        <f>NOT(ISNA(VLOOKUP(A148,SortedDownload!A:A,1,FALSE)))</f>
        <v>1</v>
      </c>
      <c r="Q148" s="374" t="s">
        <v>2632</v>
      </c>
      <c r="R148" s="313"/>
      <c r="S148" s="235"/>
      <c r="T148" s="235"/>
      <c r="U148" s="314" t="s">
        <v>2160</v>
      </c>
      <c r="V148" s="337" t="str">
        <f t="shared" si="42"/>
        <v>-</v>
      </c>
      <c r="W148" s="348" t="str">
        <f t="shared" si="43"/>
        <v>Andrew Kenny</v>
      </c>
      <c r="X148" s="337" t="str">
        <f t="shared" si="44"/>
        <v>Andrew</v>
      </c>
      <c r="Y148" s="337" t="str">
        <f t="shared" si="45"/>
        <v>Kenny</v>
      </c>
      <c r="Z148" s="337" t="str">
        <f t="shared" si="46"/>
        <v>A.Kenny</v>
      </c>
      <c r="AA148" s="349" t="str">
        <f t="shared" si="49"/>
        <v/>
      </c>
      <c r="AB148" s="349" t="str">
        <f t="shared" si="50"/>
        <v/>
      </c>
      <c r="AC148" s="337" t="str">
        <f>IFERROR(IF(ISNUMBER(SEARCH("*",N148)),N148&amp;" "&amp;F148,IF(F148="M",LOOKUP(J148,AgeCategories!$A$3:$F$11),LOOKUP(J148,AgeCategories!$A$14:$F$22))),"")</f>
        <v>MM</v>
      </c>
      <c r="AD148" s="350">
        <f t="shared" si="47"/>
        <v>25580</v>
      </c>
      <c r="AE148" s="337">
        <f t="shared" si="48"/>
        <v>52</v>
      </c>
      <c r="AF148" s="337" t="str">
        <f>IF(SUM(COUNTIF(H148,{"*Girl*","*Women*","*Woman*","*Female*","*Wo*","*Fe*","*F*"})),"F","M")</f>
        <v>M</v>
      </c>
      <c r="AG148" s="112"/>
      <c r="AH148" s="112"/>
      <c r="AI148" s="344" t="e">
        <f t="array" aca="1" ref="AI148" ca="1">(SMALL(IF(ISERROR(MATCH($AJ$3+ROW(OFFSET($A$3, 0,0, $AJ$4-$AJ$3+1))-2, $A$3:$A798,0)), $AJ$3+ROW(OFFSET($A$2,0, 0, $AJ$4-$AJ$3+1))-1), ROW(A147)))</f>
        <v>#NUM!</v>
      </c>
      <c r="AJ148" s="345">
        <f>Helpers!AY151</f>
        <v>0</v>
      </c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236"/>
      <c r="AV148" s="299"/>
      <c r="AW148" s="298" t="s">
        <v>2388</v>
      </c>
      <c r="AX148" s="56" t="s">
        <v>2478</v>
      </c>
      <c r="AY148" s="56"/>
      <c r="AZ148" s="56" t="s">
        <v>2538</v>
      </c>
      <c r="BA148" s="56"/>
    </row>
    <row r="149" spans="1:53" ht="13.5" customHeight="1" thickBot="1">
      <c r="A149" s="111">
        <v>147</v>
      </c>
      <c r="B149" s="335" t="str">
        <f t="shared" si="40"/>
        <v>Coenie Van Niekerk</v>
      </c>
      <c r="C149" s="116" t="s">
        <v>1588</v>
      </c>
      <c r="D149" s="116" t="s">
        <v>657</v>
      </c>
      <c r="E149"/>
      <c r="F149" s="336" t="str">
        <f>IF(SUM(COUNTIF(H149,{"*Girl*","*Women*","*Woman*","*Female*","*Wo*","*Fe*","*F*"})),"F","M")</f>
        <v>M</v>
      </c>
      <c r="G149" s="337" t="str">
        <f>IFERROR(IF(ISNUMBER(SEARCH("*",N149)),N149&amp;" "&amp;F149,IF(F149="M",LOOKUP(J149,AgeCategories!$A$3:$D$13),LOOKUP(J149,AgeCategories!$A$14:$D$24))),"Invalid Age")</f>
        <v>Master Men</v>
      </c>
      <c r="H149" s="175" t="s">
        <v>209</v>
      </c>
      <c r="I149" s="338">
        <f t="shared" si="41"/>
        <v>31343</v>
      </c>
      <c r="J149" s="340">
        <f>IFERROR(DATEDIF($I149,Helpers!$O$2,"y"),"ID No. needed")</f>
        <v>37</v>
      </c>
      <c r="K149" s="111"/>
      <c r="L149" s="300">
        <v>745890500</v>
      </c>
      <c r="M149" s="319" t="s">
        <v>1903</v>
      </c>
      <c r="N149" s="341"/>
      <c r="O149" s="308" t="b">
        <v>1</v>
      </c>
      <c r="P149" s="241" t="b">
        <f>NOT(ISNA(VLOOKUP(A149,SortedDownload!A:A,1,FALSE)))</f>
        <v>1</v>
      </c>
      <c r="Q149" s="374" t="s">
        <v>2632</v>
      </c>
      <c r="R149" s="313"/>
      <c r="S149" s="235"/>
      <c r="T149" s="235"/>
      <c r="U149" s="314" t="s">
        <v>2161</v>
      </c>
      <c r="V149" s="337" t="str">
        <f t="shared" si="42"/>
        <v>-</v>
      </c>
      <c r="W149" s="348" t="str">
        <f t="shared" si="43"/>
        <v>Coenie Van Niekerk</v>
      </c>
      <c r="X149" s="337" t="str">
        <f t="shared" si="44"/>
        <v>Coenie</v>
      </c>
      <c r="Y149" s="337" t="str">
        <f t="shared" si="45"/>
        <v>Van Niekerk</v>
      </c>
      <c r="Z149" s="337" t="str">
        <f t="shared" si="46"/>
        <v>C.Van Niekerk</v>
      </c>
      <c r="AA149" s="349" t="str">
        <f t="shared" si="49"/>
        <v/>
      </c>
      <c r="AB149" s="349" t="str">
        <f t="shared" si="50"/>
        <v/>
      </c>
      <c r="AC149" s="337" t="str">
        <f>IFERROR(IF(ISNUMBER(SEARCH("*",N149)),N149&amp;" "&amp;F149,IF(F149="M",LOOKUP(J149,AgeCategories!$A$3:$F$11),LOOKUP(J149,AgeCategories!$A$14:$F$22))),"")</f>
        <v>MM</v>
      </c>
      <c r="AD149" s="350">
        <f t="shared" si="47"/>
        <v>31343</v>
      </c>
      <c r="AE149" s="337">
        <f t="shared" si="48"/>
        <v>37</v>
      </c>
      <c r="AF149" s="337" t="str">
        <f>IF(SUM(COUNTIF(H149,{"*Girl*","*Women*","*Woman*","*Female*","*Wo*","*Fe*","*F*"})),"F","M")</f>
        <v>M</v>
      </c>
      <c r="AG149" s="112"/>
      <c r="AH149" s="112"/>
      <c r="AI149" s="344" t="e">
        <f t="array" aca="1" ref="AI149" ca="1">(SMALL(IF(ISERROR(MATCH($AJ$3+ROW(OFFSET($A$3, 0,0, $AJ$4-$AJ$3+1))-2, $A$3:$A799,0)), $AJ$3+ROW(OFFSET($A$2,0, 0, $AJ$4-$AJ$3+1))-1), ROW(A148)))</f>
        <v>#NUM!</v>
      </c>
      <c r="AJ149" s="345">
        <f>Helpers!AY152</f>
        <v>0</v>
      </c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236"/>
      <c r="AV149" s="299"/>
      <c r="AW149" s="298" t="s">
        <v>2389</v>
      </c>
      <c r="AX149" s="56" t="s">
        <v>2478</v>
      </c>
      <c r="AY149" s="56" t="s">
        <v>2277</v>
      </c>
      <c r="AZ149" s="56" t="s">
        <v>2537</v>
      </c>
      <c r="BA149" s="56"/>
    </row>
    <row r="150" spans="1:53" ht="13.5" thickBot="1">
      <c r="A150" s="111">
        <v>148</v>
      </c>
      <c r="B150" s="335" t="str">
        <f t="shared" si="40"/>
        <v>Thomas Kabalin</v>
      </c>
      <c r="C150" s="116" t="s">
        <v>634</v>
      </c>
      <c r="D150" s="116" t="s">
        <v>1589</v>
      </c>
      <c r="E150"/>
      <c r="F150" s="336" t="str">
        <f>IF(SUM(COUNTIF(H150,{"*Girl*","*Women*","*Woman*","*Female*","*Wo*","*Fe*","*F*"})),"F","M")</f>
        <v>M</v>
      </c>
      <c r="G150" s="337" t="str">
        <f>IFERROR(IF(ISNUMBER(SEARCH("*",N150)),N150&amp;" "&amp;F150,IF(F150="M",LOOKUP(J150,AgeCategories!$A$3:$D$13),LOOKUP(J150,AgeCategories!$A$14:$D$24))),"Invalid Age")</f>
        <v>Lite M</v>
      </c>
      <c r="H150" s="175" t="s">
        <v>209</v>
      </c>
      <c r="I150" s="338">
        <f t="shared" si="41"/>
        <v>38553</v>
      </c>
      <c r="J150" s="340">
        <f>IFERROR(DATEDIF($I150,Helpers!$O$2,"y"),"ID No. needed")</f>
        <v>17</v>
      </c>
      <c r="K150" s="111"/>
      <c r="L150" s="300">
        <v>837005831</v>
      </c>
      <c r="M150" s="319" t="s">
        <v>1904</v>
      </c>
      <c r="N150" s="341" t="s">
        <v>2601</v>
      </c>
      <c r="O150" s="308" t="b">
        <v>1</v>
      </c>
      <c r="P150" s="241" t="b">
        <f>NOT(ISNA(VLOOKUP(A150,SortedDownload!A:A,1,FALSE)))</f>
        <v>1</v>
      </c>
      <c r="Q150" s="374" t="s">
        <v>2601</v>
      </c>
      <c r="R150" s="313"/>
      <c r="S150" s="235"/>
      <c r="T150" s="235"/>
      <c r="U150" s="314" t="s">
        <v>2162</v>
      </c>
      <c r="V150" s="337" t="str">
        <f t="shared" si="42"/>
        <v>-</v>
      </c>
      <c r="W150" s="348" t="str">
        <f t="shared" si="43"/>
        <v>Thomas Kabalin</v>
      </c>
      <c r="X150" s="337" t="str">
        <f t="shared" si="44"/>
        <v>Thomas</v>
      </c>
      <c r="Y150" s="337" t="str">
        <f t="shared" si="45"/>
        <v>Kabalin</v>
      </c>
      <c r="Z150" s="337" t="str">
        <f t="shared" si="46"/>
        <v>T.Kabalin</v>
      </c>
      <c r="AA150" s="349" t="str">
        <f t="shared" si="49"/>
        <v/>
      </c>
      <c r="AB150" s="349" t="str">
        <f t="shared" si="50"/>
        <v/>
      </c>
      <c r="AC150" s="337" t="str">
        <f>IFERROR(IF(ISNUMBER(SEARCH("*",N150)),N150&amp;" "&amp;F150,IF(F150="M",LOOKUP(J150,AgeCategories!$A$3:$F$11),LOOKUP(J150,AgeCategories!$A$14:$F$22))),"")</f>
        <v>Lite M</v>
      </c>
      <c r="AD150" s="350">
        <f t="shared" si="47"/>
        <v>38553</v>
      </c>
      <c r="AE150" s="337">
        <f t="shared" si="48"/>
        <v>17</v>
      </c>
      <c r="AF150" s="337" t="str">
        <f>IF(SUM(COUNTIF(H150,{"*Girl*","*Women*","*Woman*","*Female*","*Wo*","*Fe*","*F*"})),"F","M")</f>
        <v>M</v>
      </c>
      <c r="AG150" s="112"/>
      <c r="AH150" s="112"/>
      <c r="AI150" s="344" t="e">
        <f t="array" aca="1" ref="AI150" ca="1">(SMALL(IF(ISERROR(MATCH($AJ$3+ROW(OFFSET($A$3, 0,0, $AJ$4-$AJ$3+1))-2, $A$3:$A800,0)), $AJ$3+ROW(OFFSET($A$2,0, 0, $AJ$4-$AJ$3+1))-1), ROW(A149)))</f>
        <v>#NUM!</v>
      </c>
      <c r="AJ150" s="345">
        <f>Helpers!AY153</f>
        <v>0</v>
      </c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236"/>
      <c r="AV150" s="299"/>
      <c r="AW150" s="298" t="s">
        <v>2390</v>
      </c>
      <c r="AX150" s="56" t="s">
        <v>2478</v>
      </c>
      <c r="AY150" s="56"/>
      <c r="AZ150" s="56" t="s">
        <v>2539</v>
      </c>
      <c r="BA150" s="56"/>
    </row>
    <row r="151" spans="1:53" ht="13.5" thickBot="1">
      <c r="A151" s="111">
        <v>282</v>
      </c>
      <c r="B151" s="335" t="str">
        <f t="shared" si="40"/>
        <v>John Kabalin</v>
      </c>
      <c r="C151" s="116" t="s">
        <v>1496</v>
      </c>
      <c r="D151" s="116" t="s">
        <v>1589</v>
      </c>
      <c r="E151"/>
      <c r="F151" s="336" t="str">
        <f>IF(SUM(COUNTIF(H151,{"*Girl*","*Women*","*Woman*","*Female*","*Wo*","*Fe*","*F*"})),"F","M")</f>
        <v>M</v>
      </c>
      <c r="G151" s="337" t="str">
        <f>IFERROR(IF(ISNUMBER(SEARCH("*",N151)),N151&amp;" "&amp;F151,IF(F151="M",LOOKUP(J151,AgeCategories!$A$3:$D$13),LOOKUP(J151,AgeCategories!$A$14:$D$24))),"Invalid Age")</f>
        <v>Lite M</v>
      </c>
      <c r="H151" s="175" t="s">
        <v>209</v>
      </c>
      <c r="I151" s="338">
        <f t="shared" si="41"/>
        <v>24337</v>
      </c>
      <c r="J151" s="340">
        <f>IFERROR(DATEDIF($I151,Helpers!$O$2,"y"),"ID No. needed")</f>
        <v>56</v>
      </c>
      <c r="K151" s="111"/>
      <c r="L151" s="300">
        <v>833845959</v>
      </c>
      <c r="M151" s="319" t="s">
        <v>1905</v>
      </c>
      <c r="N151" s="341" t="s">
        <v>2601</v>
      </c>
      <c r="O151" s="308" t="b">
        <v>1</v>
      </c>
      <c r="P151" s="241" t="b">
        <f>NOT(ISNA(VLOOKUP(A151,SortedDownload!A:A,1,FALSE)))</f>
        <v>1</v>
      </c>
      <c r="Q151" s="374" t="s">
        <v>2601</v>
      </c>
      <c r="R151" s="313"/>
      <c r="S151" s="235"/>
      <c r="T151" s="235"/>
      <c r="U151" s="314" t="s">
        <v>2163</v>
      </c>
      <c r="V151" s="337" t="str">
        <f t="shared" si="42"/>
        <v>-</v>
      </c>
      <c r="W151" s="348" t="str">
        <f t="shared" si="43"/>
        <v>John Kabalin</v>
      </c>
      <c r="X151" s="337" t="str">
        <f t="shared" si="44"/>
        <v>John</v>
      </c>
      <c r="Y151" s="337" t="str">
        <f t="shared" si="45"/>
        <v>Kabalin</v>
      </c>
      <c r="Z151" s="337" t="str">
        <f t="shared" si="46"/>
        <v>J.Kabalin</v>
      </c>
      <c r="AA151" s="349" t="str">
        <f t="shared" si="49"/>
        <v/>
      </c>
      <c r="AB151" s="349" t="str">
        <f t="shared" si="50"/>
        <v/>
      </c>
      <c r="AC151" s="337" t="str">
        <f>IFERROR(IF(ISNUMBER(SEARCH("*",N151)),N151&amp;" "&amp;F151,IF(F151="M",LOOKUP(J151,AgeCategories!$A$3:$F$11),LOOKUP(J151,AgeCategories!$A$14:$F$22))),"")</f>
        <v>Lite M</v>
      </c>
      <c r="AD151" s="350">
        <f t="shared" si="47"/>
        <v>24337</v>
      </c>
      <c r="AE151" s="337">
        <f t="shared" si="48"/>
        <v>56</v>
      </c>
      <c r="AF151" s="337" t="str">
        <f>IF(SUM(COUNTIF(H151,{"*Girl*","*Women*","*Woman*","*Female*","*Wo*","*Fe*","*F*"})),"F","M")</f>
        <v>M</v>
      </c>
      <c r="AG151" s="112"/>
      <c r="AH151" s="112"/>
      <c r="AI151" s="344" t="e">
        <f t="array" aca="1" ref="AI151" ca="1">(SMALL(IF(ISERROR(MATCH($AJ$3+ROW(OFFSET($A$3, 0,0, $AJ$4-$AJ$3+1))-2, $A$3:$A801,0)), $AJ$3+ROW(OFFSET($A$2,0, 0, $AJ$4-$AJ$3+1))-1), ROW(A150)))</f>
        <v>#NUM!</v>
      </c>
      <c r="AJ151" s="345">
        <f>Helpers!AY154</f>
        <v>0</v>
      </c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236"/>
      <c r="AV151" s="299"/>
      <c r="AW151" s="298"/>
      <c r="AX151" s="56"/>
      <c r="AY151" s="56"/>
      <c r="AZ151" s="56" t="s">
        <v>2537</v>
      </c>
      <c r="BA151" s="56"/>
    </row>
    <row r="152" spans="1:53" ht="13.5" customHeight="1" thickBot="1">
      <c r="A152" s="111">
        <v>150</v>
      </c>
      <c r="B152" s="335" t="str">
        <f t="shared" si="40"/>
        <v>Jacques Van Zyl</v>
      </c>
      <c r="C152" s="116" t="s">
        <v>1590</v>
      </c>
      <c r="D152" s="116" t="s">
        <v>1369</v>
      </c>
      <c r="E152"/>
      <c r="F152" s="336" t="str">
        <f>IF(SUM(COUNTIF(H152,{"*Girl*","*Women*","*Woman*","*Female*","*Wo*","*Fe*","*F*"})),"F","M")</f>
        <v>M</v>
      </c>
      <c r="G152" s="337" t="str">
        <f>IFERROR(IF(ISNUMBER(SEARCH("*",N152)),N152&amp;" "&amp;F152,IF(F152="M",LOOKUP(J152,AgeCategories!$A$3:$D$13),LOOKUP(J152,AgeCategories!$A$14:$D$24))),"Invalid Age")</f>
        <v>Master Men</v>
      </c>
      <c r="H152" s="175" t="s">
        <v>209</v>
      </c>
      <c r="I152" s="338">
        <f t="shared" si="41"/>
        <v>30121</v>
      </c>
      <c r="J152" s="340">
        <f>IFERROR(DATEDIF($I152,Helpers!$O$2,"y"),"ID No. needed")</f>
        <v>40</v>
      </c>
      <c r="K152" s="111"/>
      <c r="L152" s="300">
        <v>828874993</v>
      </c>
      <c r="M152" s="319" t="s">
        <v>1906</v>
      </c>
      <c r="N152" s="341"/>
      <c r="O152" s="308" t="b">
        <v>1</v>
      </c>
      <c r="P152" s="241" t="b">
        <f>NOT(ISNA(VLOOKUP(A152,SortedDownload!A:A,1,FALSE)))</f>
        <v>1</v>
      </c>
      <c r="Q152" s="374" t="s">
        <v>2632</v>
      </c>
      <c r="R152" s="313"/>
      <c r="S152" s="235"/>
      <c r="T152" s="235"/>
      <c r="U152" s="314" t="s">
        <v>2164</v>
      </c>
      <c r="V152" s="337" t="str">
        <f t="shared" si="42"/>
        <v>-</v>
      </c>
      <c r="W152" s="348" t="str">
        <f t="shared" si="43"/>
        <v>Jacques Van Zyl</v>
      </c>
      <c r="X152" s="337" t="str">
        <f t="shared" si="44"/>
        <v>Jacques</v>
      </c>
      <c r="Y152" s="337" t="str">
        <f t="shared" si="45"/>
        <v>Van Zyl</v>
      </c>
      <c r="Z152" s="337" t="str">
        <f t="shared" si="46"/>
        <v>J.Van Zyl</v>
      </c>
      <c r="AA152" s="349" t="str">
        <f t="shared" si="49"/>
        <v/>
      </c>
      <c r="AB152" s="349" t="str">
        <f t="shared" si="50"/>
        <v/>
      </c>
      <c r="AC152" s="337" t="str">
        <f>IFERROR(IF(ISNUMBER(SEARCH("*",N152)),N152&amp;" "&amp;F152,IF(F152="M",LOOKUP(J152,AgeCategories!$A$3:$F$11),LOOKUP(J152,AgeCategories!$A$14:$F$22))),"")</f>
        <v>MM</v>
      </c>
      <c r="AD152" s="350">
        <f t="shared" si="47"/>
        <v>30121</v>
      </c>
      <c r="AE152" s="337">
        <f t="shared" si="48"/>
        <v>40</v>
      </c>
      <c r="AF152" s="337" t="str">
        <f>IF(SUM(COUNTIF(H152,{"*Girl*","*Women*","*Woman*","*Female*","*Wo*","*Fe*","*F*"})),"F","M")</f>
        <v>M</v>
      </c>
      <c r="AG152" s="112"/>
      <c r="AH152" s="112"/>
      <c r="AI152" s="344" t="e">
        <f t="array" aca="1" ref="AI152" ca="1">(SMALL(IF(ISERROR(MATCH($AJ$3+ROW(OFFSET($A$3, 0,0, $AJ$4-$AJ$3+1))-2, $A$3:$A802,0)), $AJ$3+ROW(OFFSET($A$2,0, 0, $AJ$4-$AJ$3+1))-1), ROW(A151)))</f>
        <v>#NUM!</v>
      </c>
      <c r="AJ152" s="345">
        <f>Helpers!AY155</f>
        <v>0</v>
      </c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236"/>
      <c r="AV152" s="299"/>
      <c r="AW152" s="298" t="s">
        <v>2391</v>
      </c>
      <c r="AX152" s="56" t="s">
        <v>2491</v>
      </c>
      <c r="AY152" s="56" t="s">
        <v>2277</v>
      </c>
      <c r="AZ152" s="56" t="s">
        <v>2538</v>
      </c>
      <c r="BA152" s="56"/>
    </row>
    <row r="153" spans="1:53" ht="13.5" thickBot="1">
      <c r="A153" s="111">
        <v>151</v>
      </c>
      <c r="B153" s="335" t="str">
        <f t="shared" ref="B153:B184" si="51">PROPER($C153&amp;" "&amp;$D153)</f>
        <v>Geoff Dye</v>
      </c>
      <c r="C153" s="116" t="s">
        <v>1591</v>
      </c>
      <c r="D153" s="116" t="s">
        <v>1592</v>
      </c>
      <c r="E153"/>
      <c r="F153" s="363" t="str">
        <f>IF(SUM(COUNTIF(H153,{"*Girl*","*Women*","*Woman*","*Female*","*Wo*","*Fe*","*F*"})),"F","M")</f>
        <v>M</v>
      </c>
      <c r="G153" s="345" t="str">
        <f>IFERROR(IF(ISNUMBER(SEARCH("*",N153)),N153&amp;" "&amp;F153,IF(F153="M",LOOKUP(J153,AgeCategories!$A$3:$D$13),LOOKUP(J153,AgeCategories!$A$14:$D$24))),"Invalid Age")</f>
        <v>Lite M</v>
      </c>
      <c r="H153" s="175" t="s">
        <v>209</v>
      </c>
      <c r="I153" s="338">
        <f t="shared" ref="I153:I184" si="52">IFERROR(--TEXT(IF((--LEFT($M153,2))&lt;30,"20","19")&amp;LEFT($M153,6),"0000\-00\-00"),"ID No. needed")</f>
        <v>20994</v>
      </c>
      <c r="J153" s="364">
        <f>IFERROR(DATEDIF($I153,Helpers!$O$2,"y"),"ID No. needed")</f>
        <v>65</v>
      </c>
      <c r="K153" s="111"/>
      <c r="L153" s="300">
        <v>832288058</v>
      </c>
      <c r="M153" s="365" t="s">
        <v>1907</v>
      </c>
      <c r="N153" s="341" t="s">
        <v>2601</v>
      </c>
      <c r="O153" s="367" t="b">
        <v>1</v>
      </c>
      <c r="P153" s="241" t="b">
        <f>NOT(ISNA(VLOOKUP(A153,SortedDownload!A:A,1,FALSE)))</f>
        <v>1</v>
      </c>
      <c r="Q153" s="373" t="s">
        <v>2601</v>
      </c>
      <c r="R153" s="368"/>
      <c r="S153" s="235"/>
      <c r="T153" s="235"/>
      <c r="U153" s="369" t="s">
        <v>2165</v>
      </c>
      <c r="V153" s="337" t="str">
        <f t="shared" ref="V153:V184" si="53">IF(K153="", "-", K153)</f>
        <v>-</v>
      </c>
      <c r="W153" s="339" t="str">
        <f t="shared" ref="W153:W184" si="54">B153</f>
        <v>Geoff Dye</v>
      </c>
      <c r="X153" s="345" t="str">
        <f t="shared" ref="X153:X184" si="55">LEFT($W153, SEARCH(" ", $W153) - 1)</f>
        <v>Geoff</v>
      </c>
      <c r="Y153" s="345" t="str">
        <f t="shared" ref="Y153:Y184" si="56">RIGHT($W153, LEN($W153) - SEARCH(" ", $W153))</f>
        <v>Dye</v>
      </c>
      <c r="Z153" s="345" t="str">
        <f t="shared" ref="Z153:Z184" si="57">CONCATENATE(LEFT($X153,1),".",$Y153)</f>
        <v>G.Dye</v>
      </c>
      <c r="AA153" s="378" t="str">
        <f t="shared" si="49"/>
        <v/>
      </c>
      <c r="AB153" s="378" t="str">
        <f t="shared" si="50"/>
        <v/>
      </c>
      <c r="AC153" s="345" t="str">
        <f>IFERROR(IF(ISNUMBER(SEARCH("*",N153)),N153&amp;" "&amp;F153,IF(F153="M",LOOKUP(J153,AgeCategories!$A$3:$F$11),LOOKUP(J153,AgeCategories!$A$14:$F$22))),"")</f>
        <v>Lite M</v>
      </c>
      <c r="AD153" s="370">
        <f t="shared" ref="AD153:AD184" si="58">--TEXT(IF((--LEFT($M153,2))&lt;30,"20","19")&amp;LEFT($M153,6),"0000\-00\-00")</f>
        <v>20994</v>
      </c>
      <c r="AE153" s="345">
        <f t="shared" ref="AE153:AE184" si="59">DATEDIF($I153,$V$1,"y")</f>
        <v>65</v>
      </c>
      <c r="AF153" s="345" t="str">
        <f>IF(SUM(COUNTIF(H153,{"*Girl*","*Women*","*Woman*","*Female*","*Wo*","*Fe*","*F*"})),"F","M")</f>
        <v>M</v>
      </c>
      <c r="AG153" s="371"/>
      <c r="AH153" s="112"/>
      <c r="AI153" s="337" t="e">
        <f t="array" aca="1" ref="AI153" ca="1">(SMALL(IF(ISERROR(MATCH($AJ$3+ROW(OFFSET($A$3, 0,0, $AJ$4-$AJ$3+1))-2, $A$3:$A800,0)), $AJ$3+ROW(OFFSET($A$2,0, 0, $AJ$4-$AJ$3+1))-1), ROW(A152)))</f>
        <v>#NUM!</v>
      </c>
      <c r="AJ153" s="345">
        <f>Helpers!AY153</f>
        <v>0</v>
      </c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236"/>
      <c r="AV153" s="299"/>
      <c r="AW153" s="298"/>
      <c r="AX153" s="56"/>
      <c r="AY153" s="56"/>
      <c r="AZ153" s="56" t="s">
        <v>2539</v>
      </c>
      <c r="BA153" s="56"/>
    </row>
    <row r="154" spans="1:53" ht="13.5" customHeight="1" thickBot="1">
      <c r="A154" s="111">
        <v>152</v>
      </c>
      <c r="B154" s="335" t="str">
        <f t="shared" si="51"/>
        <v>Grant Hulley</v>
      </c>
      <c r="C154" s="116" t="s">
        <v>1502</v>
      </c>
      <c r="D154" s="116" t="s">
        <v>1593</v>
      </c>
      <c r="E154"/>
      <c r="F154" s="363" t="str">
        <f>IF(SUM(COUNTIF(H154,{"*Girl*","*Women*","*Woman*","*Female*","*Wo*","*Fe*","*F*"})),"F","M")</f>
        <v>M</v>
      </c>
      <c r="G154" s="345" t="str">
        <f>IFERROR(IF(ISNUMBER(SEARCH("*",N154)),N154&amp;" "&amp;F154,IF(F154="M",LOOKUP(J154,AgeCategories!$A$3:$D$13),LOOKUP(J154,AgeCategories!$A$14:$D$24))),"Invalid Age")</f>
        <v>E-Bike M</v>
      </c>
      <c r="H154" s="175" t="s">
        <v>209</v>
      </c>
      <c r="I154" s="338">
        <f t="shared" si="52"/>
        <v>27158</v>
      </c>
      <c r="J154" s="364">
        <f>IFERROR(DATEDIF($I154,Helpers!$O$2,"y"),"ID No. needed")</f>
        <v>48</v>
      </c>
      <c r="K154" s="111"/>
      <c r="L154" s="300">
        <v>834560899</v>
      </c>
      <c r="M154" s="365" t="s">
        <v>1908</v>
      </c>
      <c r="N154" s="366" t="s">
        <v>560</v>
      </c>
      <c r="O154" s="367" t="b">
        <v>1</v>
      </c>
      <c r="P154" s="241" t="b">
        <f>NOT(ISNA(VLOOKUP(A154,SortedDownload!A:A,1,FALSE)))</f>
        <v>1</v>
      </c>
      <c r="Q154" s="373" t="s">
        <v>2729</v>
      </c>
      <c r="R154" s="368"/>
      <c r="S154" s="235"/>
      <c r="T154" s="235"/>
      <c r="U154" s="369" t="s">
        <v>2166</v>
      </c>
      <c r="V154" s="337" t="str">
        <f t="shared" si="53"/>
        <v>-</v>
      </c>
      <c r="W154" s="339" t="str">
        <f t="shared" si="54"/>
        <v>Grant Hulley</v>
      </c>
      <c r="X154" s="345" t="str">
        <f t="shared" si="55"/>
        <v>Grant</v>
      </c>
      <c r="Y154" s="345" t="str">
        <f t="shared" si="56"/>
        <v>Hulley</v>
      </c>
      <c r="Z154" s="345" t="str">
        <f t="shared" si="57"/>
        <v>G.Hulley</v>
      </c>
      <c r="AA154" s="378" t="str">
        <f t="shared" si="49"/>
        <v/>
      </c>
      <c r="AB154" s="378" t="str">
        <f t="shared" si="50"/>
        <v/>
      </c>
      <c r="AC154" s="345" t="str">
        <f>IFERROR(IF(ISNUMBER(SEARCH("*",N154)),N154&amp;" "&amp;F154,IF(F154="M",LOOKUP(J154,AgeCategories!$A$3:$F$11),LOOKUP(J154,AgeCategories!$A$14:$F$22))),"")</f>
        <v>E-Bike M</v>
      </c>
      <c r="AD154" s="370">
        <f t="shared" si="58"/>
        <v>27158</v>
      </c>
      <c r="AE154" s="345">
        <f t="shared" si="59"/>
        <v>48</v>
      </c>
      <c r="AF154" s="345" t="str">
        <f>IF(SUM(COUNTIF(H154,{"*Girl*","*Women*","*Woman*","*Female*","*Wo*","*Fe*","*F*"})),"F","M")</f>
        <v>M</v>
      </c>
      <c r="AG154" s="371"/>
      <c r="AH154" s="112"/>
      <c r="AI154" s="337" t="e">
        <f t="array" aca="1" ref="AI154" ca="1">(SMALL(IF(ISERROR(MATCH($AJ$3+ROW(OFFSET($A$3, 0,0, $AJ$4-$AJ$3+1))-2, $A$3:$A801,0)), $AJ$3+ROW(OFFSET($A$2,0, 0, $AJ$4-$AJ$3+1))-1), ROW(A153)))</f>
        <v>#NUM!</v>
      </c>
      <c r="AJ154" s="345">
        <f>Helpers!AY154</f>
        <v>0</v>
      </c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236"/>
      <c r="AV154" s="299"/>
      <c r="AW154" s="298" t="s">
        <v>2392</v>
      </c>
      <c r="AX154" s="56" t="s">
        <v>2485</v>
      </c>
      <c r="AY154" s="56" t="s">
        <v>2569</v>
      </c>
      <c r="AZ154" s="56" t="s">
        <v>2537</v>
      </c>
      <c r="BA154" s="56"/>
    </row>
    <row r="155" spans="1:53" ht="13.5" customHeight="1" thickBot="1">
      <c r="A155" s="111">
        <v>153</v>
      </c>
      <c r="B155" s="335" t="str">
        <f t="shared" si="51"/>
        <v>Harry Millar</v>
      </c>
      <c r="C155" s="116" t="s">
        <v>1594</v>
      </c>
      <c r="D155" s="116" t="s">
        <v>1595</v>
      </c>
      <c r="E155"/>
      <c r="F155" s="363" t="str">
        <f>IF(SUM(COUNTIF(H155,{"*Girl*","*Women*","*Woman*","*Female*","*Wo*","*Fe*","*F*"})),"F","M")</f>
        <v>M</v>
      </c>
      <c r="G155" s="345" t="str">
        <f>IFERROR(IF(ISNUMBER(SEARCH("*",N155)),N155&amp;" "&amp;F155,IF(F155="M",LOOKUP(J155,AgeCategories!$A$3:$D$13),LOOKUP(J155,AgeCategories!$A$14:$D$24))),"Invalid Age")</f>
        <v>Master Men</v>
      </c>
      <c r="H155" s="175" t="s">
        <v>209</v>
      </c>
      <c r="I155" s="338">
        <f t="shared" si="52"/>
        <v>28608</v>
      </c>
      <c r="J155" s="364">
        <f>IFERROR(DATEDIF($I155,Helpers!$O$2,"y"),"ID No. needed")</f>
        <v>44</v>
      </c>
      <c r="K155" s="111"/>
      <c r="L155" s="300">
        <v>745121306</v>
      </c>
      <c r="M155" s="365" t="s">
        <v>1909</v>
      </c>
      <c r="N155" s="366"/>
      <c r="O155" s="367" t="b">
        <v>1</v>
      </c>
      <c r="P155" s="241" t="b">
        <f>NOT(ISNA(VLOOKUP(A155,SortedDownload!A:A,1,FALSE)))</f>
        <v>1</v>
      </c>
      <c r="Q155" s="373" t="s">
        <v>2632</v>
      </c>
      <c r="R155" s="368"/>
      <c r="S155" s="235"/>
      <c r="T155" s="235"/>
      <c r="U155" s="369" t="s">
        <v>2167</v>
      </c>
      <c r="V155" s="337" t="str">
        <f t="shared" si="53"/>
        <v>-</v>
      </c>
      <c r="W155" s="339" t="str">
        <f t="shared" si="54"/>
        <v>Harry Millar</v>
      </c>
      <c r="X155" s="345" t="str">
        <f t="shared" si="55"/>
        <v>Harry</v>
      </c>
      <c r="Y155" s="345" t="str">
        <f t="shared" si="56"/>
        <v>Millar</v>
      </c>
      <c r="Z155" s="345" t="str">
        <f t="shared" si="57"/>
        <v>H.Millar</v>
      </c>
      <c r="AA155" s="378" t="str">
        <f t="shared" si="49"/>
        <v/>
      </c>
      <c r="AB155" s="378" t="str">
        <f t="shared" si="50"/>
        <v/>
      </c>
      <c r="AC155" s="345" t="str">
        <f>IFERROR(IF(ISNUMBER(SEARCH("*",N155)),N155&amp;" "&amp;F155,IF(F155="M",LOOKUP(J155,AgeCategories!$A$3:$F$11),LOOKUP(J155,AgeCategories!$A$14:$F$22))),"")</f>
        <v>MM</v>
      </c>
      <c r="AD155" s="370">
        <f t="shared" si="58"/>
        <v>28608</v>
      </c>
      <c r="AE155" s="345">
        <f t="shared" si="59"/>
        <v>44</v>
      </c>
      <c r="AF155" s="345" t="str">
        <f>IF(SUM(COUNTIF(H155,{"*Girl*","*Women*","*Woman*","*Female*","*Wo*","*Fe*","*F*"})),"F","M")</f>
        <v>M</v>
      </c>
      <c r="AG155" s="371"/>
      <c r="AH155" s="112"/>
      <c r="AI155" s="337" t="e">
        <f t="array" aca="1" ref="AI155" ca="1">(SMALL(IF(ISERROR(MATCH($AJ$3+ROW(OFFSET($A$3, 0,0, $AJ$4-$AJ$3+1))-2, $A$3:$A802,0)), $AJ$3+ROW(OFFSET($A$2,0, 0, $AJ$4-$AJ$3+1))-1), ROW(A154)))</f>
        <v>#NUM!</v>
      </c>
      <c r="AJ155" s="345">
        <f>Helpers!AY155</f>
        <v>0</v>
      </c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236"/>
      <c r="AV155" s="299"/>
      <c r="AW155" s="298" t="s">
        <v>2393</v>
      </c>
      <c r="AX155" s="56" t="s">
        <v>2514</v>
      </c>
      <c r="AY155" s="56" t="s">
        <v>2572</v>
      </c>
      <c r="AZ155" s="56" t="s">
        <v>2537</v>
      </c>
      <c r="BA155" s="56"/>
    </row>
    <row r="156" spans="1:53" ht="13.5" customHeight="1" thickBot="1">
      <c r="A156" s="111">
        <v>154</v>
      </c>
      <c r="B156" s="335" t="str">
        <f t="shared" si="51"/>
        <v>Philip Viljoen</v>
      </c>
      <c r="C156" s="116" t="s">
        <v>1580</v>
      </c>
      <c r="D156" s="116" t="s">
        <v>1596</v>
      </c>
      <c r="E156"/>
      <c r="F156" s="363" t="str">
        <f>IF(SUM(COUNTIF(H156,{"*Girl*","*Women*","*Woman*","*Female*","*Wo*","*Fe*","*F*"})),"F","M")</f>
        <v>M</v>
      </c>
      <c r="G156" s="345" t="str">
        <f>IFERROR(IF(ISNUMBER(SEARCH("*",N156)),N156&amp;" "&amp;F156,IF(F156="M",LOOKUP(J156,AgeCategories!$A$3:$D$13),LOOKUP(J156,AgeCategories!$A$14:$D$24))),"Invalid Age")</f>
        <v>Master Men</v>
      </c>
      <c r="H156" s="175" t="s">
        <v>209</v>
      </c>
      <c r="I156" s="338">
        <f t="shared" si="52"/>
        <v>31734</v>
      </c>
      <c r="J156" s="364">
        <f>IFERROR(DATEDIF($I156,Helpers!$O$2,"y"),"ID No. needed")</f>
        <v>36</v>
      </c>
      <c r="K156" s="111"/>
      <c r="L156" s="300">
        <v>829293928</v>
      </c>
      <c r="M156" s="365" t="s">
        <v>1910</v>
      </c>
      <c r="N156" s="366"/>
      <c r="O156" s="367" t="b">
        <v>1</v>
      </c>
      <c r="P156" s="241" t="b">
        <f>NOT(ISNA(VLOOKUP(A156,SortedDownload!A:A,1,FALSE)))</f>
        <v>1</v>
      </c>
      <c r="Q156" s="373" t="s">
        <v>2632</v>
      </c>
      <c r="R156" s="368"/>
      <c r="S156" s="235"/>
      <c r="T156" s="235"/>
      <c r="U156" s="369" t="s">
        <v>2168</v>
      </c>
      <c r="V156" s="337" t="str">
        <f t="shared" si="53"/>
        <v>-</v>
      </c>
      <c r="W156" s="339" t="str">
        <f t="shared" si="54"/>
        <v>Philip Viljoen</v>
      </c>
      <c r="X156" s="345" t="str">
        <f t="shared" si="55"/>
        <v>Philip</v>
      </c>
      <c r="Y156" s="345" t="str">
        <f t="shared" si="56"/>
        <v>Viljoen</v>
      </c>
      <c r="Z156" s="345" t="str">
        <f t="shared" si="57"/>
        <v>P.Viljoen</v>
      </c>
      <c r="AA156" s="378" t="str">
        <f t="shared" si="49"/>
        <v/>
      </c>
      <c r="AB156" s="378" t="str">
        <f t="shared" si="50"/>
        <v/>
      </c>
      <c r="AC156" s="345" t="str">
        <f>IFERROR(IF(ISNUMBER(SEARCH("*",N156)),N156&amp;" "&amp;F156,IF(F156="M",LOOKUP(J156,AgeCategories!$A$3:$F$11),LOOKUP(J156,AgeCategories!$A$14:$F$22))),"")</f>
        <v>MM</v>
      </c>
      <c r="AD156" s="370">
        <f t="shared" si="58"/>
        <v>31734</v>
      </c>
      <c r="AE156" s="345">
        <f t="shared" si="59"/>
        <v>36</v>
      </c>
      <c r="AF156" s="345" t="str">
        <f>IF(SUM(COUNTIF(H156,{"*Girl*","*Women*","*Woman*","*Female*","*Wo*","*Fe*","*F*"})),"F","M")</f>
        <v>M</v>
      </c>
      <c r="AG156" s="371"/>
      <c r="AH156" s="112"/>
      <c r="AI156" s="337" t="e">
        <f t="array" aca="1" ref="AI156" ca="1">(SMALL(IF(ISERROR(MATCH($AJ$3+ROW(OFFSET($A$3, 0,0, $AJ$4-$AJ$3+1))-2, $A$3:$A803,0)), $AJ$3+ROW(OFFSET($A$2,0, 0, $AJ$4-$AJ$3+1))-1), ROW(A155)))</f>
        <v>#NUM!</v>
      </c>
      <c r="AJ156" s="345">
        <f>Helpers!AY156</f>
        <v>0</v>
      </c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236"/>
      <c r="AV156" s="299"/>
      <c r="AW156" s="298" t="s">
        <v>2394</v>
      </c>
      <c r="AX156" s="56" t="s">
        <v>2478</v>
      </c>
      <c r="AY156" s="56"/>
      <c r="AZ156" s="56" t="s">
        <v>2539</v>
      </c>
      <c r="BA156" s="56"/>
    </row>
    <row r="157" spans="1:53" ht="13.5" customHeight="1" thickBot="1">
      <c r="A157" s="111">
        <v>155</v>
      </c>
      <c r="B157" s="335" t="str">
        <f t="shared" si="51"/>
        <v>Ashley Smit</v>
      </c>
      <c r="C157" s="116" t="s">
        <v>1597</v>
      </c>
      <c r="D157" s="116" t="s">
        <v>1598</v>
      </c>
      <c r="E157"/>
      <c r="F157" s="363" t="str">
        <f>IF(SUM(COUNTIF(H157,{"*Girl*","*Women*","*Woman*","*Female*","*Wo*","*Fe*","*F*"})),"F","M")</f>
        <v>M</v>
      </c>
      <c r="G157" s="345" t="str">
        <f>IFERROR(IF(ISNUMBER(SEARCH("*",N157)),N157&amp;" "&amp;F157,IF(F157="M",LOOKUP(J157,AgeCategories!$A$3:$D$13),LOOKUP(J157,AgeCategories!$A$14:$D$24))),"Invalid Age")</f>
        <v>Lite M</v>
      </c>
      <c r="H157" s="175" t="s">
        <v>209</v>
      </c>
      <c r="I157" s="338">
        <f t="shared" si="52"/>
        <v>32189</v>
      </c>
      <c r="J157" s="364">
        <f>IFERROR(DATEDIF($I157,Helpers!$O$2,"y"),"ID No. needed")</f>
        <v>34</v>
      </c>
      <c r="K157" s="111"/>
      <c r="L157" s="300">
        <v>727835617</v>
      </c>
      <c r="M157" s="365" t="s">
        <v>1911</v>
      </c>
      <c r="N157" s="366" t="s">
        <v>2601</v>
      </c>
      <c r="O157" s="367" t="b">
        <v>0</v>
      </c>
      <c r="P157" s="241" t="b">
        <f>NOT(ISNA(VLOOKUP(A157,SortedDownload!A:A,1,FALSE)))</f>
        <v>0</v>
      </c>
      <c r="Q157" s="373" t="s">
        <v>2632</v>
      </c>
      <c r="R157" s="368"/>
      <c r="S157" s="235"/>
      <c r="T157" s="235"/>
      <c r="U157" s="369" t="s">
        <v>2169</v>
      </c>
      <c r="V157" s="337" t="str">
        <f t="shared" si="53"/>
        <v>-</v>
      </c>
      <c r="W157" s="339" t="str">
        <f t="shared" si="54"/>
        <v>Ashley Smit</v>
      </c>
      <c r="X157" s="345" t="str">
        <f t="shared" si="55"/>
        <v>Ashley</v>
      </c>
      <c r="Y157" s="345" t="str">
        <f t="shared" si="56"/>
        <v>Smit</v>
      </c>
      <c r="Z157" s="345" t="str">
        <f t="shared" si="57"/>
        <v>A.Smit</v>
      </c>
      <c r="AA157" s="378" t="str">
        <f t="shared" si="49"/>
        <v/>
      </c>
      <c r="AB157" s="378" t="str">
        <f t="shared" si="50"/>
        <v/>
      </c>
      <c r="AC157" s="345" t="str">
        <f>IFERROR(IF(ISNUMBER(SEARCH("*",N157)),N157&amp;" "&amp;F157,IF(F157="M",LOOKUP(J157,AgeCategories!$A$3:$F$11),LOOKUP(J157,AgeCategories!$A$14:$F$22))),"")</f>
        <v>Lite M</v>
      </c>
      <c r="AD157" s="370">
        <f t="shared" si="58"/>
        <v>32189</v>
      </c>
      <c r="AE157" s="345">
        <f t="shared" si="59"/>
        <v>34</v>
      </c>
      <c r="AF157" s="345" t="str">
        <f>IF(SUM(COUNTIF(H157,{"*Girl*","*Women*","*Woman*","*Female*","*Wo*","*Fe*","*F*"})),"F","M")</f>
        <v>M</v>
      </c>
      <c r="AG157" s="371"/>
      <c r="AH157" s="112"/>
      <c r="AI157" s="337" t="e">
        <f t="array" aca="1" ref="AI157" ca="1">(SMALL(IF(ISERROR(MATCH($AJ$3+ROW(OFFSET($A$3, 0,0, $AJ$4-$AJ$3+1))-2, $A$3:$A804,0)), $AJ$3+ROW(OFFSET($A$2,0, 0, $AJ$4-$AJ$3+1))-1), ROW(A156)))</f>
        <v>#NUM!</v>
      </c>
      <c r="AJ157" s="345">
        <f>Helpers!AY157</f>
        <v>0</v>
      </c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236"/>
      <c r="AV157" s="299"/>
      <c r="AW157" s="298" t="s">
        <v>2395</v>
      </c>
      <c r="AX157" s="56" t="s">
        <v>2482</v>
      </c>
      <c r="AY157" s="56" t="s">
        <v>2277</v>
      </c>
      <c r="AZ157" s="56" t="s">
        <v>2539</v>
      </c>
      <c r="BA157" s="56"/>
    </row>
    <row r="158" spans="1:53" ht="13.5" thickBot="1">
      <c r="A158" s="111">
        <v>156</v>
      </c>
      <c r="B158" s="335" t="str">
        <f t="shared" si="51"/>
        <v>Gary Kroukamp</v>
      </c>
      <c r="C158" s="116" t="s">
        <v>1599</v>
      </c>
      <c r="D158" s="116" t="s">
        <v>1575</v>
      </c>
      <c r="E158"/>
      <c r="F158" s="363" t="str">
        <f>IF(SUM(COUNTIF(H158,{"*Girl*","*Women*","*Woman*","*Female*","*Wo*","*Fe*","*F*"})),"F","M")</f>
        <v>M</v>
      </c>
      <c r="G158" s="345" t="str">
        <f>IFERROR(IF(ISNUMBER(SEARCH("*",N158)),N158&amp;" "&amp;F158,IF(F158="M",LOOKUP(J158,AgeCategories!$A$3:$D$13),LOOKUP(J158,AgeCategories!$A$14:$D$24))),"Invalid Age")</f>
        <v>Lite M</v>
      </c>
      <c r="H158" s="175" t="s">
        <v>209</v>
      </c>
      <c r="I158" s="338">
        <f t="shared" si="52"/>
        <v>25714</v>
      </c>
      <c r="J158" s="364">
        <f>IFERROR(DATEDIF($I158,Helpers!$O$2,"y"),"ID No. needed")</f>
        <v>52</v>
      </c>
      <c r="K158" s="111"/>
      <c r="L158" s="300">
        <v>833242324</v>
      </c>
      <c r="M158" s="365" t="s">
        <v>1912</v>
      </c>
      <c r="N158" s="341" t="s">
        <v>2601</v>
      </c>
      <c r="O158" s="367" t="b">
        <v>1</v>
      </c>
      <c r="P158" s="241" t="b">
        <f>NOT(ISNA(VLOOKUP(A158,SortedDownload!A:A,1,FALSE)))</f>
        <v>1</v>
      </c>
      <c r="Q158" s="373" t="s">
        <v>2601</v>
      </c>
      <c r="R158" s="368"/>
      <c r="S158" s="235"/>
      <c r="T158" s="235"/>
      <c r="U158" s="369" t="s">
        <v>2170</v>
      </c>
      <c r="V158" s="337" t="str">
        <f t="shared" si="53"/>
        <v>-</v>
      </c>
      <c r="W158" s="339" t="str">
        <f t="shared" si="54"/>
        <v>Gary Kroukamp</v>
      </c>
      <c r="X158" s="345" t="str">
        <f t="shared" si="55"/>
        <v>Gary</v>
      </c>
      <c r="Y158" s="345" t="str">
        <f t="shared" si="56"/>
        <v>Kroukamp</v>
      </c>
      <c r="Z158" s="345" t="str">
        <f t="shared" si="57"/>
        <v>G.Kroukamp</v>
      </c>
      <c r="AA158" s="378" t="str">
        <f t="shared" si="49"/>
        <v/>
      </c>
      <c r="AB158" s="378" t="str">
        <f t="shared" si="50"/>
        <v/>
      </c>
      <c r="AC158" s="345" t="str">
        <f>IFERROR(IF(ISNUMBER(SEARCH("*",N158)),N158&amp;" "&amp;F158,IF(F158="M",LOOKUP(J158,AgeCategories!$A$3:$F$11),LOOKUP(J158,AgeCategories!$A$14:$F$22))),"")</f>
        <v>Lite M</v>
      </c>
      <c r="AD158" s="370">
        <f t="shared" si="58"/>
        <v>25714</v>
      </c>
      <c r="AE158" s="345">
        <f t="shared" si="59"/>
        <v>52</v>
      </c>
      <c r="AF158" s="345" t="str">
        <f>IF(SUM(COUNTIF(H158,{"*Girl*","*Women*","*Woman*","*Female*","*Wo*","*Fe*","*F*"})),"F","M")</f>
        <v>M</v>
      </c>
      <c r="AG158" s="371"/>
      <c r="AH158" s="112"/>
      <c r="AI158" s="337" t="e">
        <f t="array" aca="1" ref="AI158" ca="1">(SMALL(IF(ISERROR(MATCH($AJ$3+ROW(OFFSET($A$3, 0,0, $AJ$4-$AJ$3+1))-2, $A$3:$A805,0)), $AJ$3+ROW(OFFSET($A$2,0, 0, $AJ$4-$AJ$3+1))-1), ROW(A157)))</f>
        <v>#NUM!</v>
      </c>
      <c r="AJ158" s="345">
        <f>Helpers!AY158</f>
        <v>0</v>
      </c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236"/>
      <c r="AV158" s="299"/>
      <c r="AW158" s="298" t="s">
        <v>2396</v>
      </c>
      <c r="AX158" s="56" t="s">
        <v>2515</v>
      </c>
      <c r="AY158" s="56"/>
      <c r="AZ158" s="56" t="s">
        <v>2537</v>
      </c>
      <c r="BA158" s="56"/>
    </row>
    <row r="159" spans="1:53" ht="13.5" customHeight="1" thickBot="1">
      <c r="A159" s="111">
        <v>157</v>
      </c>
      <c r="B159" s="335" t="str">
        <f t="shared" si="51"/>
        <v>Xander De Bruyn</v>
      </c>
      <c r="C159" s="116" t="s">
        <v>1600</v>
      </c>
      <c r="D159" s="116" t="s">
        <v>1552</v>
      </c>
      <c r="E159"/>
      <c r="F159" s="363" t="str">
        <f>IF(SUM(COUNTIF(H159,{"*Girl*","*Women*","*Woman*","*Female*","*Wo*","*Fe*","*F*"})),"F","M")</f>
        <v>M</v>
      </c>
      <c r="G159" s="345" t="str">
        <f>IFERROR(IF(ISNUMBER(SEARCH("*",N159)),N159&amp;" "&amp;F159,IF(F159="M",LOOKUP(J159,AgeCategories!$A$3:$D$13),LOOKUP(J159,AgeCategories!$A$14:$D$24))),"Invalid Age")</f>
        <v>Elite Men</v>
      </c>
      <c r="H159" s="175" t="s">
        <v>209</v>
      </c>
      <c r="I159" s="338">
        <f t="shared" si="52"/>
        <v>34535</v>
      </c>
      <c r="J159" s="364">
        <f>IFERROR(DATEDIF($I159,Helpers!$O$2,"y"),"ID No. needed")</f>
        <v>28</v>
      </c>
      <c r="K159" s="111"/>
      <c r="L159" s="300">
        <v>725248576</v>
      </c>
      <c r="M159" s="365" t="s">
        <v>1913</v>
      </c>
      <c r="N159" s="366"/>
      <c r="O159" s="367" t="b">
        <v>1</v>
      </c>
      <c r="P159" s="241" t="b">
        <f>NOT(ISNA(VLOOKUP(A159,SortedDownload!A:A,1,FALSE)))</f>
        <v>1</v>
      </c>
      <c r="Q159" s="373" t="s">
        <v>2632</v>
      </c>
      <c r="R159" s="368"/>
      <c r="S159" s="235"/>
      <c r="T159" s="235"/>
      <c r="U159" s="369" t="s">
        <v>2171</v>
      </c>
      <c r="V159" s="337" t="str">
        <f t="shared" si="53"/>
        <v>-</v>
      </c>
      <c r="W159" s="339" t="str">
        <f t="shared" si="54"/>
        <v>Xander De Bruyn</v>
      </c>
      <c r="X159" s="345" t="str">
        <f t="shared" si="55"/>
        <v>Xander</v>
      </c>
      <c r="Y159" s="345" t="str">
        <f t="shared" si="56"/>
        <v>De Bruyn</v>
      </c>
      <c r="Z159" s="345" t="str">
        <f t="shared" si="57"/>
        <v>X.De Bruyn</v>
      </c>
      <c r="AA159" s="378" t="str">
        <f t="shared" si="49"/>
        <v/>
      </c>
      <c r="AB159" s="378" t="str">
        <f t="shared" si="50"/>
        <v/>
      </c>
      <c r="AC159" s="345" t="str">
        <f>IFERROR(IF(ISNUMBER(SEARCH("*",N159)),N159&amp;" "&amp;F159,IF(F159="M",LOOKUP(J159,AgeCategories!$A$3:$F$11),LOOKUP(J159,AgeCategories!$A$14:$F$22))),"")</f>
        <v>EM</v>
      </c>
      <c r="AD159" s="370">
        <f t="shared" si="58"/>
        <v>34535</v>
      </c>
      <c r="AE159" s="345">
        <f t="shared" si="59"/>
        <v>28</v>
      </c>
      <c r="AF159" s="345" t="str">
        <f>IF(SUM(COUNTIF(H159,{"*Girl*","*Women*","*Woman*","*Female*","*Wo*","*Fe*","*F*"})),"F","M")</f>
        <v>M</v>
      </c>
      <c r="AG159" s="371"/>
      <c r="AH159" s="112"/>
      <c r="AI159" s="337" t="e">
        <f t="array" aca="1" ref="AI159" ca="1">(SMALL(IF(ISERROR(MATCH($AJ$3+ROW(OFFSET($A$3, 0,0, $AJ$4-$AJ$3+1))-2, $A$3:$A806,0)), $AJ$3+ROW(OFFSET($A$2,0, 0, $AJ$4-$AJ$3+1))-1), ROW(A158)))</f>
        <v>#NUM!</v>
      </c>
      <c r="AJ159" s="345">
        <f>Helpers!AY159</f>
        <v>0</v>
      </c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236"/>
      <c r="AV159" s="299"/>
      <c r="AW159" s="298" t="s">
        <v>2397</v>
      </c>
      <c r="AX159" s="56" t="s">
        <v>2516</v>
      </c>
      <c r="AY159" s="56" t="s">
        <v>2277</v>
      </c>
      <c r="AZ159" s="56" t="s">
        <v>2538</v>
      </c>
      <c r="BA159" s="56"/>
    </row>
    <row r="160" spans="1:53" ht="13.5" customHeight="1" thickBot="1">
      <c r="A160" s="111">
        <v>158</v>
      </c>
      <c r="B160" s="335" t="str">
        <f t="shared" si="51"/>
        <v>Morne Share</v>
      </c>
      <c r="C160" s="116" t="s">
        <v>1601</v>
      </c>
      <c r="D160" s="116" t="s">
        <v>1602</v>
      </c>
      <c r="E160"/>
      <c r="F160" s="363" t="str">
        <f>IF(SUM(COUNTIF(H160,{"*Girl*","*Women*","*Woman*","*Female*","*Wo*","*Fe*","*F*"})),"F","M")</f>
        <v>M</v>
      </c>
      <c r="G160" s="345" t="str">
        <f>IFERROR(IF(ISNUMBER(SEARCH("*",N160)),N160&amp;" "&amp;F160,IF(F160="M",LOOKUP(J160,AgeCategories!$A$3:$D$13),LOOKUP(J160,AgeCategories!$A$14:$D$24))),"Invalid Age")</f>
        <v>Lite M</v>
      </c>
      <c r="H160" s="175" t="s">
        <v>209</v>
      </c>
      <c r="I160" s="338">
        <f t="shared" si="52"/>
        <v>30441</v>
      </c>
      <c r="J160" s="364">
        <f>IFERROR(DATEDIF($I160,Helpers!$O$2,"y"),"ID No. needed")</f>
        <v>39</v>
      </c>
      <c r="K160" s="111"/>
      <c r="L160" s="300">
        <v>825214333</v>
      </c>
      <c r="M160" s="365" t="s">
        <v>1914</v>
      </c>
      <c r="N160" s="366" t="s">
        <v>2601</v>
      </c>
      <c r="O160" s="367" t="b">
        <v>1</v>
      </c>
      <c r="P160" s="241" t="b">
        <f>NOT(ISNA(VLOOKUP(A160,SortedDownload!A:A,1,FALSE)))</f>
        <v>1</v>
      </c>
      <c r="Q160" s="373" t="s">
        <v>2601</v>
      </c>
      <c r="R160" s="368"/>
      <c r="S160" s="235"/>
      <c r="T160" s="235"/>
      <c r="U160" s="369" t="s">
        <v>2172</v>
      </c>
      <c r="V160" s="337" t="str">
        <f t="shared" si="53"/>
        <v>-</v>
      </c>
      <c r="W160" s="339" t="str">
        <f t="shared" si="54"/>
        <v>Morne Share</v>
      </c>
      <c r="X160" s="345" t="str">
        <f t="shared" si="55"/>
        <v>Morne</v>
      </c>
      <c r="Y160" s="345" t="str">
        <f t="shared" si="56"/>
        <v>Share</v>
      </c>
      <c r="Z160" s="345" t="str">
        <f t="shared" si="57"/>
        <v>M.Share</v>
      </c>
      <c r="AA160" s="378" t="str">
        <f t="shared" si="49"/>
        <v/>
      </c>
      <c r="AB160" s="378" t="str">
        <f t="shared" si="50"/>
        <v/>
      </c>
      <c r="AC160" s="345" t="str">
        <f>IFERROR(IF(ISNUMBER(SEARCH("*",N160)),N160&amp;" "&amp;F160,IF(F160="M",LOOKUP(J160,AgeCategories!$A$3:$F$11),LOOKUP(J160,AgeCategories!$A$14:$F$22))),"")</f>
        <v>Lite M</v>
      </c>
      <c r="AD160" s="370">
        <f t="shared" si="58"/>
        <v>30441</v>
      </c>
      <c r="AE160" s="345">
        <f t="shared" si="59"/>
        <v>39</v>
      </c>
      <c r="AF160" s="345" t="str">
        <f>IF(SUM(COUNTIF(H160,{"*Girl*","*Women*","*Woman*","*Female*","*Wo*","*Fe*","*F*"})),"F","M")</f>
        <v>M</v>
      </c>
      <c r="AG160" s="371"/>
      <c r="AH160" s="112"/>
      <c r="AI160" s="337" t="e">
        <f t="array" aca="1" ref="AI160" ca="1">(SMALL(IF(ISERROR(MATCH($AJ$3+ROW(OFFSET($A$3, 0,0, $AJ$4-$AJ$3+1))-2, $A$3:$A807,0)), $AJ$3+ROW(OFFSET($A$2,0, 0, $AJ$4-$AJ$3+1))-1), ROW(A159)))</f>
        <v>#NUM!</v>
      </c>
      <c r="AJ160" s="345">
        <f>Helpers!AY160</f>
        <v>0</v>
      </c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236"/>
      <c r="AV160" s="299"/>
      <c r="AW160" s="298" t="s">
        <v>2398</v>
      </c>
      <c r="AX160" s="56" t="s">
        <v>2478</v>
      </c>
      <c r="AY160" s="56" t="s">
        <v>2573</v>
      </c>
      <c r="AZ160" s="56" t="s">
        <v>2538</v>
      </c>
      <c r="BA160" s="56"/>
    </row>
    <row r="161" spans="1:53" ht="13.5" thickBot="1">
      <c r="A161" s="111">
        <v>159</v>
      </c>
      <c r="B161" s="335" t="str">
        <f t="shared" si="51"/>
        <v>Ridha Davids</v>
      </c>
      <c r="C161" s="116" t="s">
        <v>1603</v>
      </c>
      <c r="D161" s="116" t="s">
        <v>1604</v>
      </c>
      <c r="E161"/>
      <c r="F161" s="363" t="str">
        <f>IF(SUM(COUNTIF(H161,{"*Girl*","*Women*","*Woman*","*Female*","*Wo*","*Fe*","*F*"})),"F","M")</f>
        <v>M</v>
      </c>
      <c r="G161" s="345" t="str">
        <f>IFERROR(IF(ISNUMBER(SEARCH("*",N161)),N161&amp;" "&amp;F161,IF(F161="M",LOOKUP(J161,AgeCategories!$A$3:$D$13),LOOKUP(J161,AgeCategories!$A$14:$D$24))),"Invalid Age")</f>
        <v>Lite M</v>
      </c>
      <c r="H161" s="175" t="s">
        <v>209</v>
      </c>
      <c r="I161" s="338">
        <f t="shared" si="52"/>
        <v>31977</v>
      </c>
      <c r="J161" s="364">
        <f>IFERROR(DATEDIF($I161,Helpers!$O$2,"y"),"ID No. needed")</f>
        <v>35</v>
      </c>
      <c r="K161" s="111"/>
      <c r="L161" s="300">
        <v>834093552</v>
      </c>
      <c r="M161" s="365" t="s">
        <v>1915</v>
      </c>
      <c r="N161" s="341" t="s">
        <v>2601</v>
      </c>
      <c r="O161" s="367" t="b">
        <v>1</v>
      </c>
      <c r="P161" s="241" t="b">
        <f>NOT(ISNA(VLOOKUP(A161,SortedDownload!A:A,1,FALSE)))</f>
        <v>1</v>
      </c>
      <c r="Q161" s="373" t="s">
        <v>2601</v>
      </c>
      <c r="R161" s="368"/>
      <c r="S161" s="235"/>
      <c r="T161" s="235"/>
      <c r="U161" s="369" t="s">
        <v>2173</v>
      </c>
      <c r="V161" s="337" t="str">
        <f t="shared" si="53"/>
        <v>-</v>
      </c>
      <c r="W161" s="339" t="str">
        <f t="shared" si="54"/>
        <v>Ridha Davids</v>
      </c>
      <c r="X161" s="345" t="str">
        <f t="shared" si="55"/>
        <v>Ridha</v>
      </c>
      <c r="Y161" s="345" t="str">
        <f t="shared" si="56"/>
        <v>Davids</v>
      </c>
      <c r="Z161" s="345" t="str">
        <f t="shared" si="57"/>
        <v>R.Davids</v>
      </c>
      <c r="AA161" s="378" t="str">
        <f t="shared" si="49"/>
        <v/>
      </c>
      <c r="AB161" s="378" t="str">
        <f t="shared" si="50"/>
        <v/>
      </c>
      <c r="AC161" s="345" t="str">
        <f>IFERROR(IF(ISNUMBER(SEARCH("*",N161)),N161&amp;" "&amp;F161,IF(F161="M",LOOKUP(J161,AgeCategories!$A$3:$F$11),LOOKUP(J161,AgeCategories!$A$14:$F$22))),"")</f>
        <v>Lite M</v>
      </c>
      <c r="AD161" s="370">
        <f t="shared" si="58"/>
        <v>31977</v>
      </c>
      <c r="AE161" s="345">
        <f t="shared" si="59"/>
        <v>35</v>
      </c>
      <c r="AF161" s="345" t="str">
        <f>IF(SUM(COUNTIF(H161,{"*Girl*","*Women*","*Woman*","*Female*","*Wo*","*Fe*","*F*"})),"F","M")</f>
        <v>M</v>
      </c>
      <c r="AG161" s="371"/>
      <c r="AH161" s="112"/>
      <c r="AI161" s="337" t="e">
        <f t="array" aca="1" ref="AI161" ca="1">(SMALL(IF(ISERROR(MATCH($AJ$3+ROW(OFFSET($A$3, 0,0, $AJ$4-$AJ$3+1))-2, $A$3:$A808,0)), $AJ$3+ROW(OFFSET($A$2,0, 0, $AJ$4-$AJ$3+1))-1), ROW(A160)))</f>
        <v>#NUM!</v>
      </c>
      <c r="AJ161" s="345">
        <f>Helpers!AY161</f>
        <v>0</v>
      </c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236"/>
      <c r="AV161" s="299"/>
      <c r="AW161" s="298"/>
      <c r="AX161" s="56"/>
      <c r="AY161" s="56"/>
      <c r="AZ161" s="56" t="s">
        <v>2537</v>
      </c>
      <c r="BA161" s="56"/>
    </row>
    <row r="162" spans="1:53" ht="13.5" customHeight="1" thickBot="1">
      <c r="A162" s="111">
        <v>160</v>
      </c>
      <c r="B162" s="335" t="str">
        <f t="shared" si="51"/>
        <v>Francois Van Schalkwyk</v>
      </c>
      <c r="C162" s="116" t="s">
        <v>1431</v>
      </c>
      <c r="D162" s="116" t="s">
        <v>1415</v>
      </c>
      <c r="E162"/>
      <c r="F162" s="363" t="str">
        <f>IF(SUM(COUNTIF(H162,{"*Girl*","*Women*","*Woman*","*Female*","*Wo*","*Fe*","*F*"})),"F","M")</f>
        <v>M</v>
      </c>
      <c r="G162" s="345" t="str">
        <f>IFERROR(IF(ISNUMBER(SEARCH("*",N162)),N162&amp;" "&amp;F162,IF(F162="M",LOOKUP(J162,AgeCategories!$A$3:$D$13),LOOKUP(J162,AgeCategories!$A$14:$D$24))),"Invalid Age")</f>
        <v>Elite Men</v>
      </c>
      <c r="H162" s="175" t="s">
        <v>209</v>
      </c>
      <c r="I162" s="338">
        <f t="shared" si="52"/>
        <v>35466</v>
      </c>
      <c r="J162" s="364">
        <f>IFERROR(DATEDIF($I162,Helpers!$O$2,"y"),"ID No. needed")</f>
        <v>25</v>
      </c>
      <c r="K162" s="111"/>
      <c r="L162" s="300">
        <v>818590116</v>
      </c>
      <c r="M162" s="365" t="s">
        <v>1916</v>
      </c>
      <c r="N162" s="366"/>
      <c r="O162" s="367" t="b">
        <v>1</v>
      </c>
      <c r="P162" s="241" t="b">
        <f>NOT(ISNA(VLOOKUP(A162,SortedDownload!A:A,1,FALSE)))</f>
        <v>1</v>
      </c>
      <c r="Q162" s="373" t="s">
        <v>2632</v>
      </c>
      <c r="R162" s="368"/>
      <c r="S162" s="235"/>
      <c r="T162" s="235"/>
      <c r="U162" s="369" t="s">
        <v>2174</v>
      </c>
      <c r="V162" s="337" t="str">
        <f t="shared" si="53"/>
        <v>-</v>
      </c>
      <c r="W162" s="339" t="str">
        <f t="shared" si="54"/>
        <v>Francois Van Schalkwyk</v>
      </c>
      <c r="X162" s="345" t="str">
        <f t="shared" si="55"/>
        <v>Francois</v>
      </c>
      <c r="Y162" s="345" t="str">
        <f t="shared" si="56"/>
        <v>Van Schalkwyk</v>
      </c>
      <c r="Z162" s="345" t="str">
        <f t="shared" si="57"/>
        <v>F.Van Schalkwyk</v>
      </c>
      <c r="AA162" s="378" t="str">
        <f t="shared" si="49"/>
        <v/>
      </c>
      <c r="AB162" s="378" t="str">
        <f t="shared" si="50"/>
        <v/>
      </c>
      <c r="AC162" s="345" t="str">
        <f>IFERROR(IF(ISNUMBER(SEARCH("*",N162)),N162&amp;" "&amp;F162,IF(F162="M",LOOKUP(J162,AgeCategories!$A$3:$F$11),LOOKUP(J162,AgeCategories!$A$14:$F$22))),"")</f>
        <v>EM</v>
      </c>
      <c r="AD162" s="370">
        <f t="shared" si="58"/>
        <v>35466</v>
      </c>
      <c r="AE162" s="345">
        <f t="shared" si="59"/>
        <v>25</v>
      </c>
      <c r="AF162" s="345" t="str">
        <f>IF(SUM(COUNTIF(H162,{"*Girl*","*Women*","*Woman*","*Female*","*Wo*","*Fe*","*F*"})),"F","M")</f>
        <v>M</v>
      </c>
      <c r="AG162" s="371"/>
      <c r="AH162" s="112"/>
      <c r="AI162" s="337" t="e">
        <f t="array" aca="1" ref="AI162" ca="1">(SMALL(IF(ISERROR(MATCH($AJ$3+ROW(OFFSET($A$3, 0,0, $AJ$4-$AJ$3+1))-2, $A$3:$A809,0)), $AJ$3+ROW(OFFSET($A$2,0, 0, $AJ$4-$AJ$3+1))-1), ROW(A161)))</f>
        <v>#NUM!</v>
      </c>
      <c r="AJ162" s="345">
        <f>Helpers!AY162</f>
        <v>0</v>
      </c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236"/>
      <c r="AV162" s="299"/>
      <c r="AW162" s="298"/>
      <c r="AX162" s="56"/>
      <c r="AY162" s="56"/>
      <c r="AZ162" s="56" t="s">
        <v>2537</v>
      </c>
      <c r="BA162" s="56"/>
    </row>
    <row r="163" spans="1:53" ht="13.5" thickBot="1">
      <c r="A163" s="111">
        <v>161</v>
      </c>
      <c r="B163" s="335" t="str">
        <f t="shared" si="51"/>
        <v>Henk De Kock</v>
      </c>
      <c r="C163" s="116" t="s">
        <v>1605</v>
      </c>
      <c r="D163" s="116" t="s">
        <v>1355</v>
      </c>
      <c r="E163"/>
      <c r="F163" s="363" t="str">
        <f>IF(SUM(COUNTIF(H163,{"*Girl*","*Women*","*Woman*","*Female*","*Wo*","*Fe*","*F*"})),"F","M")</f>
        <v>M</v>
      </c>
      <c r="G163" s="345" t="str">
        <f>IFERROR(IF(ISNUMBER(SEARCH("*",N163)),N163&amp;" "&amp;F163,IF(F163="M",LOOKUP(J163,AgeCategories!$A$3:$D$13),LOOKUP(J163,AgeCategories!$A$14:$D$24))),"Invalid Age")</f>
        <v>Lite M</v>
      </c>
      <c r="H163" s="175" t="s">
        <v>209</v>
      </c>
      <c r="I163" s="338">
        <f t="shared" si="52"/>
        <v>34115</v>
      </c>
      <c r="J163" s="364">
        <f>IFERROR(DATEDIF($I163,Helpers!$O$2,"y"),"ID No. needed")</f>
        <v>29</v>
      </c>
      <c r="K163" s="111"/>
      <c r="L163" s="300">
        <v>727137818</v>
      </c>
      <c r="M163" s="365" t="s">
        <v>1917</v>
      </c>
      <c r="N163" s="341" t="s">
        <v>2601</v>
      </c>
      <c r="O163" s="367" t="b">
        <v>1</v>
      </c>
      <c r="P163" s="241" t="b">
        <f>NOT(ISNA(VLOOKUP(A163,SortedDownload!A:A,1,FALSE)))</f>
        <v>1</v>
      </c>
      <c r="Q163" s="373" t="s">
        <v>2601</v>
      </c>
      <c r="R163" s="368"/>
      <c r="S163" s="235"/>
      <c r="T163" s="235"/>
      <c r="U163" s="369" t="s">
        <v>2175</v>
      </c>
      <c r="V163" s="337" t="str">
        <f t="shared" si="53"/>
        <v>-</v>
      </c>
      <c r="W163" s="339" t="str">
        <f t="shared" si="54"/>
        <v>Henk De Kock</v>
      </c>
      <c r="X163" s="345" t="str">
        <f t="shared" si="55"/>
        <v>Henk</v>
      </c>
      <c r="Y163" s="345" t="str">
        <f t="shared" si="56"/>
        <v>De Kock</v>
      </c>
      <c r="Z163" s="345" t="str">
        <f t="shared" si="57"/>
        <v>H.De Kock</v>
      </c>
      <c r="AA163" s="378" t="str">
        <f t="shared" si="49"/>
        <v/>
      </c>
      <c r="AB163" s="378" t="str">
        <f t="shared" si="50"/>
        <v/>
      </c>
      <c r="AC163" s="345" t="str">
        <f>IFERROR(IF(ISNUMBER(SEARCH("*",N163)),N163&amp;" "&amp;F163,IF(F163="M",LOOKUP(J163,AgeCategories!$A$3:$F$11),LOOKUP(J163,AgeCategories!$A$14:$F$22))),"")</f>
        <v>Lite M</v>
      </c>
      <c r="AD163" s="370">
        <f t="shared" si="58"/>
        <v>34115</v>
      </c>
      <c r="AE163" s="345">
        <f t="shared" si="59"/>
        <v>29</v>
      </c>
      <c r="AF163" s="345" t="str">
        <f>IF(SUM(COUNTIF(H163,{"*Girl*","*Women*","*Woman*","*Female*","*Wo*","*Fe*","*F*"})),"F","M")</f>
        <v>M</v>
      </c>
      <c r="AG163" s="371"/>
      <c r="AH163" s="112"/>
      <c r="AI163" s="337" t="e">
        <f t="array" aca="1" ref="AI163" ca="1">(SMALL(IF(ISERROR(MATCH($AJ$3+ROW(OFFSET($A$3, 0,0, $AJ$4-$AJ$3+1))-2, $A$3:$A810,0)), $AJ$3+ROW(OFFSET($A$2,0, 0, $AJ$4-$AJ$3+1))-1), ROW(A162)))</f>
        <v>#NUM!</v>
      </c>
      <c r="AJ163" s="345">
        <f>Helpers!AY163</f>
        <v>0</v>
      </c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236"/>
      <c r="AV163" s="299"/>
      <c r="AW163" s="298" t="s">
        <v>2399</v>
      </c>
      <c r="AX163" s="56" t="s">
        <v>2478</v>
      </c>
      <c r="AY163" s="56" t="s">
        <v>2277</v>
      </c>
      <c r="AZ163" s="56" t="s">
        <v>2537</v>
      </c>
      <c r="BA163" s="56"/>
    </row>
    <row r="164" spans="1:53" ht="13.5" customHeight="1" thickBot="1">
      <c r="A164" s="111">
        <v>162</v>
      </c>
      <c r="B164" s="335" t="str">
        <f t="shared" si="51"/>
        <v>Fritz Kolb</v>
      </c>
      <c r="C164" s="116" t="s">
        <v>1606</v>
      </c>
      <c r="D164" s="116" t="s">
        <v>1607</v>
      </c>
      <c r="E164"/>
      <c r="F164" s="363" t="str">
        <f>IF(SUM(COUNTIF(H164,{"*Girl*","*Women*","*Woman*","*Female*","*Wo*","*Fe*","*F*"})),"F","M")</f>
        <v>M</v>
      </c>
      <c r="G164" s="345" t="str">
        <f>IFERROR(IF(ISNUMBER(SEARCH("*",N164)),N164&amp;" "&amp;F164,IF(F164="M",LOOKUP(J164,AgeCategories!$A$3:$D$13),LOOKUP(J164,AgeCategories!$A$14:$D$24))),"Invalid Age")</f>
        <v>Youth Men</v>
      </c>
      <c r="H164" s="175" t="s">
        <v>209</v>
      </c>
      <c r="I164" s="338">
        <f t="shared" si="52"/>
        <v>39207</v>
      </c>
      <c r="J164" s="364">
        <f>IFERROR(DATEDIF($I164,Helpers!$O$2,"y"),"ID No. needed")</f>
        <v>15</v>
      </c>
      <c r="K164" s="111"/>
      <c r="L164" s="300">
        <v>713293734</v>
      </c>
      <c r="M164" s="377" t="s">
        <v>2613</v>
      </c>
      <c r="N164" s="366"/>
      <c r="O164" s="367" t="b">
        <v>1</v>
      </c>
      <c r="P164" s="241" t="b">
        <f>NOT(ISNA(VLOOKUP(A164,SortedDownload!A:A,1,FALSE)))</f>
        <v>1</v>
      </c>
      <c r="Q164" s="373" t="s">
        <v>2632</v>
      </c>
      <c r="R164" s="368"/>
      <c r="S164" s="235"/>
      <c r="T164" s="235"/>
      <c r="U164" s="369" t="s">
        <v>2176</v>
      </c>
      <c r="V164" s="337" t="str">
        <f t="shared" si="53"/>
        <v>-</v>
      </c>
      <c r="W164" s="339" t="str">
        <f t="shared" si="54"/>
        <v>Fritz Kolb</v>
      </c>
      <c r="X164" s="345" t="str">
        <f t="shared" si="55"/>
        <v>Fritz</v>
      </c>
      <c r="Y164" s="345" t="str">
        <f t="shared" si="56"/>
        <v>Kolb</v>
      </c>
      <c r="Z164" s="345" t="str">
        <f t="shared" si="57"/>
        <v>F.Kolb</v>
      </c>
      <c r="AA164" s="378" t="str">
        <f t="shared" si="49"/>
        <v/>
      </c>
      <c r="AB164" s="378" t="str">
        <f t="shared" si="50"/>
        <v/>
      </c>
      <c r="AC164" s="345" t="str">
        <f>IFERROR(IF(ISNUMBER(SEARCH("*",N164)),N164&amp;" "&amp;F164,IF(F164="M",LOOKUP(J164,AgeCategories!$A$3:$F$11),LOOKUP(J164,AgeCategories!$A$14:$F$22))),"")</f>
        <v>YM</v>
      </c>
      <c r="AD164" s="370">
        <f t="shared" si="58"/>
        <v>39207</v>
      </c>
      <c r="AE164" s="345">
        <f t="shared" si="59"/>
        <v>15</v>
      </c>
      <c r="AF164" s="345" t="str">
        <f>IF(SUM(COUNTIF(H164,{"*Girl*","*Women*","*Woman*","*Female*","*Wo*","*Fe*","*F*"})),"F","M")</f>
        <v>M</v>
      </c>
      <c r="AG164" s="371"/>
      <c r="AH164" s="112"/>
      <c r="AI164" s="337" t="e">
        <f t="array" aca="1" ref="AI164" ca="1">(SMALL(IF(ISERROR(MATCH($AJ$3+ROW(OFFSET($A$3, 0,0, $AJ$4-$AJ$3+1))-2, $A$3:$A811,0)), $AJ$3+ROW(OFFSET($A$2,0, 0, $AJ$4-$AJ$3+1))-1), ROW(A163)))</f>
        <v>#NUM!</v>
      </c>
      <c r="AJ164" s="345">
        <f>Helpers!AY164</f>
        <v>0</v>
      </c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236"/>
      <c r="AV164" s="299"/>
      <c r="AW164" s="298" t="s">
        <v>2400</v>
      </c>
      <c r="AX164" s="56" t="s">
        <v>2478</v>
      </c>
      <c r="AY164" s="56" t="s">
        <v>2549</v>
      </c>
      <c r="AZ164" s="56" t="s">
        <v>2537</v>
      </c>
      <c r="BA164" s="56" t="s">
        <v>2549</v>
      </c>
    </row>
    <row r="165" spans="1:53" ht="13.5" customHeight="1" thickBot="1">
      <c r="A165" s="111">
        <v>163</v>
      </c>
      <c r="B165" s="335" t="str">
        <f t="shared" si="51"/>
        <v>Ethan Paton</v>
      </c>
      <c r="C165" s="116" t="s">
        <v>1608</v>
      </c>
      <c r="D165" s="116" t="s">
        <v>1609</v>
      </c>
      <c r="E165"/>
      <c r="F165" s="363" t="str">
        <f>IF(SUM(COUNTIF(H165,{"*Girl*","*Women*","*Woman*","*Female*","*Wo*","*Fe*","*F*"})),"F","M")</f>
        <v>M</v>
      </c>
      <c r="G165" s="345" t="str">
        <f>IFERROR(IF(ISNUMBER(SEARCH("*",N165)),N165&amp;" "&amp;F165,IF(F165="M",LOOKUP(J165,AgeCategories!$A$3:$D$13),LOOKUP(J165,AgeCategories!$A$14:$D$24))),"Invalid Age")</f>
        <v>Elite Men</v>
      </c>
      <c r="H165" s="175" t="s">
        <v>209</v>
      </c>
      <c r="I165" s="338">
        <f t="shared" si="52"/>
        <v>37412</v>
      </c>
      <c r="J165" s="364">
        <f>IFERROR(DATEDIF($I165,Helpers!$O$2,"y"),"ID No. needed")</f>
        <v>20</v>
      </c>
      <c r="K165" s="111"/>
      <c r="L165" s="300">
        <v>836238461</v>
      </c>
      <c r="M165" s="365" t="s">
        <v>1918</v>
      </c>
      <c r="N165" s="366"/>
      <c r="O165" s="367" t="b">
        <v>1</v>
      </c>
      <c r="P165" s="241" t="b">
        <f>NOT(ISNA(VLOOKUP(A165,SortedDownload!A:A,1,FALSE)))</f>
        <v>1</v>
      </c>
      <c r="Q165" s="373" t="s">
        <v>2632</v>
      </c>
      <c r="R165" s="368"/>
      <c r="S165" s="235"/>
      <c r="T165" s="235"/>
      <c r="U165" s="369" t="s">
        <v>2177</v>
      </c>
      <c r="V165" s="337" t="str">
        <f t="shared" si="53"/>
        <v>-</v>
      </c>
      <c r="W165" s="339" t="str">
        <f t="shared" si="54"/>
        <v>Ethan Paton</v>
      </c>
      <c r="X165" s="345" t="str">
        <f t="shared" si="55"/>
        <v>Ethan</v>
      </c>
      <c r="Y165" s="345" t="str">
        <f t="shared" si="56"/>
        <v>Paton</v>
      </c>
      <c r="Z165" s="345" t="str">
        <f t="shared" si="57"/>
        <v>E.Paton</v>
      </c>
      <c r="AA165" s="378" t="str">
        <f t="shared" si="49"/>
        <v/>
      </c>
      <c r="AB165" s="378" t="str">
        <f t="shared" si="50"/>
        <v/>
      </c>
      <c r="AC165" s="345" t="str">
        <f>IFERROR(IF(ISNUMBER(SEARCH("*",N165)),N165&amp;" "&amp;F165,IF(F165="M",LOOKUP(J165,AgeCategories!$A$3:$F$11),LOOKUP(J165,AgeCategories!$A$14:$F$22))),"")</f>
        <v>EM</v>
      </c>
      <c r="AD165" s="370">
        <f t="shared" si="58"/>
        <v>37412</v>
      </c>
      <c r="AE165" s="345">
        <f t="shared" si="59"/>
        <v>20</v>
      </c>
      <c r="AF165" s="345" t="str">
        <f>IF(SUM(COUNTIF(H165,{"*Girl*","*Women*","*Woman*","*Female*","*Wo*","*Fe*","*F*"})),"F","M")</f>
        <v>M</v>
      </c>
      <c r="AG165" s="371"/>
      <c r="AH165" s="112"/>
      <c r="AI165" s="337" t="e">
        <f t="array" aca="1" ref="AI165" ca="1">(SMALL(IF(ISERROR(MATCH($AJ$3+ROW(OFFSET($A$3, 0,0, $AJ$4-$AJ$3+1))-2, $A$3:$A812,0)), $AJ$3+ROW(OFFSET($A$2,0, 0, $AJ$4-$AJ$3+1))-1), ROW(A164)))</f>
        <v>#NUM!</v>
      </c>
      <c r="AJ165" s="345">
        <f>Helpers!AY165</f>
        <v>0</v>
      </c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236"/>
      <c r="AV165" s="299"/>
      <c r="AW165" s="298" t="s">
        <v>2401</v>
      </c>
      <c r="AX165" s="56" t="s">
        <v>2478</v>
      </c>
      <c r="AY165" s="56"/>
      <c r="AZ165" s="56" t="s">
        <v>2538</v>
      </c>
      <c r="BA165" s="56" t="s">
        <v>2597</v>
      </c>
    </row>
    <row r="166" spans="1:53" ht="13.5" thickBot="1">
      <c r="A166" s="111">
        <v>164</v>
      </c>
      <c r="B166" s="335" t="str">
        <f t="shared" si="51"/>
        <v>Joffre Venter</v>
      </c>
      <c r="C166" s="116" t="s">
        <v>1610</v>
      </c>
      <c r="D166" s="116" t="s">
        <v>654</v>
      </c>
      <c r="E166"/>
      <c r="F166" s="363" t="str">
        <f>IF(SUM(COUNTIF(H166,{"*Girl*","*Women*","*Woman*","*Female*","*Wo*","*Fe*","*F*"})),"F","M")</f>
        <v>M</v>
      </c>
      <c r="G166" s="345" t="str">
        <f>IFERROR(IF(ISNUMBER(SEARCH("*",N166)),N166&amp;" "&amp;F166,IF(F166="M",LOOKUP(J166,AgeCategories!$A$3:$D$13),LOOKUP(J166,AgeCategories!$A$14:$D$24))),"Invalid Age")</f>
        <v>Lite M</v>
      </c>
      <c r="H166" s="175" t="s">
        <v>209</v>
      </c>
      <c r="I166" s="338">
        <f t="shared" si="52"/>
        <v>39215</v>
      </c>
      <c r="J166" s="364">
        <f>IFERROR(DATEDIF($I166,Helpers!$O$2,"y"),"ID No. needed")</f>
        <v>15</v>
      </c>
      <c r="K166" s="111"/>
      <c r="L166" s="300">
        <v>832506107</v>
      </c>
      <c r="M166" s="365" t="s">
        <v>1919</v>
      </c>
      <c r="N166" s="341" t="s">
        <v>2601</v>
      </c>
      <c r="O166" s="367" t="b">
        <v>1</v>
      </c>
      <c r="P166" s="241" t="b">
        <f>NOT(ISNA(VLOOKUP(A166,SortedDownload!A:A,1,FALSE)))</f>
        <v>1</v>
      </c>
      <c r="Q166" s="373" t="s">
        <v>2601</v>
      </c>
      <c r="R166" s="368"/>
      <c r="S166" s="235"/>
      <c r="T166" s="235"/>
      <c r="U166" s="369" t="s">
        <v>2178</v>
      </c>
      <c r="V166" s="337" t="str">
        <f t="shared" si="53"/>
        <v>-</v>
      </c>
      <c r="W166" s="339" t="str">
        <f t="shared" si="54"/>
        <v>Joffre Venter</v>
      </c>
      <c r="X166" s="345" t="str">
        <f t="shared" si="55"/>
        <v>Joffre</v>
      </c>
      <c r="Y166" s="345" t="str">
        <f t="shared" si="56"/>
        <v>Venter</v>
      </c>
      <c r="Z166" s="345" t="str">
        <f t="shared" si="57"/>
        <v>J.Venter</v>
      </c>
      <c r="AA166" s="378" t="str">
        <f t="shared" si="49"/>
        <v/>
      </c>
      <c r="AB166" s="378" t="str">
        <f t="shared" si="50"/>
        <v/>
      </c>
      <c r="AC166" s="345" t="str">
        <f>IFERROR(IF(ISNUMBER(SEARCH("*",N166)),N166&amp;" "&amp;F166,IF(F166="M",LOOKUP(J166,AgeCategories!$A$3:$F$11),LOOKUP(J166,AgeCategories!$A$14:$F$22))),"")</f>
        <v>Lite M</v>
      </c>
      <c r="AD166" s="370">
        <f t="shared" si="58"/>
        <v>39215</v>
      </c>
      <c r="AE166" s="345">
        <f t="shared" si="59"/>
        <v>15</v>
      </c>
      <c r="AF166" s="345" t="str">
        <f>IF(SUM(COUNTIF(H166,{"*Girl*","*Women*","*Woman*","*Female*","*Wo*","*Fe*","*F*"})),"F","M")</f>
        <v>M</v>
      </c>
      <c r="AG166" s="371"/>
      <c r="AH166" s="112"/>
      <c r="AI166" s="337" t="e">
        <f t="array" aca="1" ref="AI166" ca="1">(SMALL(IF(ISERROR(MATCH($AJ$3+ROW(OFFSET($A$3, 0,0, $AJ$4-$AJ$3+1))-2, $A$3:$A813,0)), $AJ$3+ROW(OFFSET($A$2,0, 0, $AJ$4-$AJ$3+1))-1), ROW(A165)))</f>
        <v>#NUM!</v>
      </c>
      <c r="AJ166" s="345">
        <f>Helpers!AY166</f>
        <v>0</v>
      </c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236"/>
      <c r="AV166" s="299"/>
      <c r="AW166" s="298" t="s">
        <v>2402</v>
      </c>
      <c r="AX166" s="56" t="s">
        <v>2517</v>
      </c>
      <c r="AY166" s="56" t="s">
        <v>2574</v>
      </c>
      <c r="AZ166" s="56" t="s">
        <v>2537</v>
      </c>
      <c r="BA166" s="56"/>
    </row>
    <row r="167" spans="1:53" ht="13.5" customHeight="1" thickBot="1">
      <c r="A167" s="111">
        <v>165</v>
      </c>
      <c r="B167" s="335" t="str">
        <f t="shared" si="51"/>
        <v>Christian Mocke'</v>
      </c>
      <c r="C167" s="116" t="s">
        <v>1611</v>
      </c>
      <c r="D167" s="116" t="s">
        <v>1612</v>
      </c>
      <c r="E167"/>
      <c r="F167" s="363" t="str">
        <f>IF(SUM(COUNTIF(H167,{"*Girl*","*Women*","*Woman*","*Female*","*Wo*","*Fe*","*F*"})),"F","M")</f>
        <v>M</v>
      </c>
      <c r="G167" s="345" t="str">
        <f>IFERROR(IF(ISNUMBER(SEARCH("*",N167)),N167&amp;" "&amp;F167,IF(F167="M",LOOKUP(J167,AgeCategories!$A$3:$D$13),LOOKUP(J167,AgeCategories!$A$14:$D$24))),"Invalid Age")</f>
        <v>Youth Men</v>
      </c>
      <c r="H167" s="175" t="s">
        <v>209</v>
      </c>
      <c r="I167" s="338">
        <f t="shared" si="52"/>
        <v>38735</v>
      </c>
      <c r="J167" s="364">
        <f>IFERROR(DATEDIF($I167,Helpers!$O$2,"y"),"ID No. needed")</f>
        <v>16</v>
      </c>
      <c r="K167" s="111"/>
      <c r="L167" s="300">
        <v>834584854</v>
      </c>
      <c r="M167" s="365" t="s">
        <v>1920</v>
      </c>
      <c r="N167" s="366"/>
      <c r="O167" s="367" t="b">
        <v>1</v>
      </c>
      <c r="P167" s="241" t="b">
        <f>NOT(ISNA(VLOOKUP(A167,SortedDownload!A:A,1,FALSE)))</f>
        <v>1</v>
      </c>
      <c r="Q167" s="373" t="s">
        <v>2632</v>
      </c>
      <c r="R167" s="368"/>
      <c r="S167" s="235"/>
      <c r="T167" s="235"/>
      <c r="U167" s="369" t="s">
        <v>2179</v>
      </c>
      <c r="V167" s="337" t="str">
        <f t="shared" si="53"/>
        <v>-</v>
      </c>
      <c r="W167" s="339" t="str">
        <f t="shared" si="54"/>
        <v>Christian Mocke'</v>
      </c>
      <c r="X167" s="345" t="str">
        <f t="shared" si="55"/>
        <v>Christian</v>
      </c>
      <c r="Y167" s="345" t="str">
        <f t="shared" si="56"/>
        <v>Mocke'</v>
      </c>
      <c r="Z167" s="345" t="str">
        <f t="shared" si="57"/>
        <v>C.Mocke'</v>
      </c>
      <c r="AA167" s="378" t="str">
        <f t="shared" si="49"/>
        <v/>
      </c>
      <c r="AB167" s="378" t="str">
        <f t="shared" si="50"/>
        <v/>
      </c>
      <c r="AC167" s="345" t="str">
        <f>IFERROR(IF(ISNUMBER(SEARCH("*",N167)),N167&amp;" "&amp;F167,IF(F167="M",LOOKUP(J167,AgeCategories!$A$3:$F$11),LOOKUP(J167,AgeCategories!$A$14:$F$22))),"")</f>
        <v>YM</v>
      </c>
      <c r="AD167" s="370">
        <f t="shared" si="58"/>
        <v>38735</v>
      </c>
      <c r="AE167" s="345">
        <f t="shared" si="59"/>
        <v>16</v>
      </c>
      <c r="AF167" s="345" t="str">
        <f>IF(SUM(COUNTIF(H167,{"*Girl*","*Women*","*Woman*","*Female*","*Wo*","*Fe*","*F*"})),"F","M")</f>
        <v>M</v>
      </c>
      <c r="AG167" s="371"/>
      <c r="AH167" s="112"/>
      <c r="AI167" s="337" t="e">
        <f t="array" aca="1" ref="AI167" ca="1">(SMALL(IF(ISERROR(MATCH($AJ$3+ROW(OFFSET($A$3, 0,0, $AJ$4-$AJ$3+1))-2, $A$3:$A814,0)), $AJ$3+ROW(OFFSET($A$2,0, 0, $AJ$4-$AJ$3+1))-1), ROW(A166)))</f>
        <v>#NUM!</v>
      </c>
      <c r="AJ167" s="345">
        <f>Helpers!AY167</f>
        <v>0</v>
      </c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236"/>
      <c r="AV167" s="299"/>
      <c r="AW167" s="298" t="s">
        <v>2403</v>
      </c>
      <c r="AX167" s="56" t="s">
        <v>2518</v>
      </c>
      <c r="AY167" s="56" t="s">
        <v>2277</v>
      </c>
      <c r="AZ167" s="56" t="s">
        <v>2537</v>
      </c>
      <c r="BA167" s="56"/>
    </row>
    <row r="168" spans="1:53" ht="13.5" customHeight="1" thickBot="1">
      <c r="A168" s="111">
        <v>166</v>
      </c>
      <c r="B168" s="335" t="str">
        <f t="shared" si="51"/>
        <v>Zivan Venter</v>
      </c>
      <c r="C168" s="116" t="s">
        <v>1613</v>
      </c>
      <c r="D168" s="116" t="s">
        <v>654</v>
      </c>
      <c r="E168"/>
      <c r="F168" s="363" t="str">
        <f>IF(SUM(COUNTIF(H168,{"*Girl*","*Women*","*Woman*","*Female*","*Wo*","*Fe*","*F*"})),"F","M")</f>
        <v>M</v>
      </c>
      <c r="G168" s="345" t="str">
        <f>IFERROR(IF(ISNUMBER(SEARCH("*",N168)),N168&amp;" "&amp;F168,IF(F168="M",LOOKUP(J168,AgeCategories!$A$3:$D$13),LOOKUP(J168,AgeCategories!$A$14:$D$24))),"Invalid Age")</f>
        <v>Youth Men</v>
      </c>
      <c r="H168" s="175" t="s">
        <v>209</v>
      </c>
      <c r="I168" s="338">
        <f t="shared" si="52"/>
        <v>38951</v>
      </c>
      <c r="J168" s="364">
        <f>IFERROR(DATEDIF($I168,Helpers!$O$2,"y"),"ID No. needed")</f>
        <v>16</v>
      </c>
      <c r="K168" s="111"/>
      <c r="L168" s="300">
        <v>0</v>
      </c>
      <c r="M168" s="365" t="s">
        <v>1921</v>
      </c>
      <c r="N168" s="366"/>
      <c r="O168" s="367" t="b">
        <v>1</v>
      </c>
      <c r="P168" s="241" t="b">
        <f>NOT(ISNA(VLOOKUP(A168,SortedDownload!A:A,1,FALSE)))</f>
        <v>1</v>
      </c>
      <c r="Q168" s="373" t="s">
        <v>2631</v>
      </c>
      <c r="R168" s="368"/>
      <c r="S168" s="235"/>
      <c r="T168" s="235"/>
      <c r="U168" s="369" t="s">
        <v>2180</v>
      </c>
      <c r="V168" s="337" t="str">
        <f t="shared" si="53"/>
        <v>-</v>
      </c>
      <c r="W168" s="339" t="str">
        <f t="shared" si="54"/>
        <v>Zivan Venter</v>
      </c>
      <c r="X168" s="345" t="str">
        <f t="shared" si="55"/>
        <v>Zivan</v>
      </c>
      <c r="Y168" s="345" t="str">
        <f t="shared" si="56"/>
        <v>Venter</v>
      </c>
      <c r="Z168" s="345" t="str">
        <f t="shared" si="57"/>
        <v>Z.Venter</v>
      </c>
      <c r="AA168" s="378" t="str">
        <f t="shared" si="49"/>
        <v/>
      </c>
      <c r="AB168" s="378" t="str">
        <f t="shared" si="50"/>
        <v/>
      </c>
      <c r="AC168" s="345" t="str">
        <f>IFERROR(IF(ISNUMBER(SEARCH("*",N168)),N168&amp;" "&amp;F168,IF(F168="M",LOOKUP(J168,AgeCategories!$A$3:$F$11),LOOKUP(J168,AgeCategories!$A$14:$F$22))),"")</f>
        <v>YM</v>
      </c>
      <c r="AD168" s="370">
        <f t="shared" si="58"/>
        <v>38951</v>
      </c>
      <c r="AE168" s="345">
        <f t="shared" si="59"/>
        <v>16</v>
      </c>
      <c r="AF168" s="345" t="str">
        <f>IF(SUM(COUNTIF(H168,{"*Girl*","*Women*","*Woman*","*Female*","*Wo*","*Fe*","*F*"})),"F","M")</f>
        <v>M</v>
      </c>
      <c r="AG168" s="371"/>
      <c r="AH168" s="112"/>
      <c r="AI168" s="337" t="e">
        <f t="array" aca="1" ref="AI168" ca="1">(SMALL(IF(ISERROR(MATCH($AJ$3+ROW(OFFSET($A$3, 0,0, $AJ$4-$AJ$3+1))-2, $A$3:$A815,0)), $AJ$3+ROW(OFFSET($A$2,0, 0, $AJ$4-$AJ$3+1))-1), ROW(A167)))</f>
        <v>#NUM!</v>
      </c>
      <c r="AJ168" s="345">
        <f>Helpers!AY168</f>
        <v>0</v>
      </c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236"/>
      <c r="AV168" s="299"/>
      <c r="AW168" s="298" t="s">
        <v>2404</v>
      </c>
      <c r="AX168" s="56" t="s">
        <v>2479</v>
      </c>
      <c r="AY168" s="56" t="s">
        <v>2558</v>
      </c>
      <c r="AZ168" s="56" t="s">
        <v>2539</v>
      </c>
      <c r="BA168" s="56"/>
    </row>
    <row r="169" spans="1:53" ht="13.5" thickBot="1">
      <c r="A169" s="111">
        <v>167</v>
      </c>
      <c r="B169" s="335" t="str">
        <f t="shared" si="51"/>
        <v>Stephan Terblanche</v>
      </c>
      <c r="C169" s="116" t="s">
        <v>1614</v>
      </c>
      <c r="D169" s="116" t="s">
        <v>1615</v>
      </c>
      <c r="E169"/>
      <c r="F169" s="363" t="str">
        <f>IF(SUM(COUNTIF(H169,{"*Girl*","*Women*","*Woman*","*Female*","*Wo*","*Fe*","*F*"})),"F","M")</f>
        <v>M</v>
      </c>
      <c r="G169" s="345" t="str">
        <f>IFERROR(IF(ISNUMBER(SEARCH("*",N169)),N169&amp;" "&amp;F169,IF(F169="M",LOOKUP(J169,AgeCategories!$A$3:$D$13),LOOKUP(J169,AgeCategories!$A$14:$D$24))),"Invalid Age")</f>
        <v>Sub Junior Boys</v>
      </c>
      <c r="H169" s="175" t="s">
        <v>209</v>
      </c>
      <c r="I169" s="338">
        <f t="shared" si="52"/>
        <v>39909</v>
      </c>
      <c r="J169" s="364">
        <f>IFERROR(DATEDIF($I169,Helpers!$O$2,"y"),"ID No. needed")</f>
        <v>13</v>
      </c>
      <c r="K169" s="111"/>
      <c r="L169" s="300">
        <v>827702929</v>
      </c>
      <c r="M169" s="365" t="s">
        <v>1922</v>
      </c>
      <c r="N169" s="341"/>
      <c r="O169" s="367" t="b">
        <v>1</v>
      </c>
      <c r="P169" s="241" t="b">
        <f>NOT(ISNA(VLOOKUP(A169,SortedDownload!A:A,1,FALSE)))</f>
        <v>1</v>
      </c>
      <c r="Q169" s="373" t="s">
        <v>2601</v>
      </c>
      <c r="R169" s="368"/>
      <c r="S169" s="235"/>
      <c r="T169" s="235"/>
      <c r="U169" s="369" t="s">
        <v>2181</v>
      </c>
      <c r="V169" s="337" t="str">
        <f t="shared" si="53"/>
        <v>-</v>
      </c>
      <c r="W169" s="339" t="str">
        <f t="shared" si="54"/>
        <v>Stephan Terblanche</v>
      </c>
      <c r="X169" s="345" t="str">
        <f t="shared" si="55"/>
        <v>Stephan</v>
      </c>
      <c r="Y169" s="345" t="str">
        <f t="shared" si="56"/>
        <v>Terblanche</v>
      </c>
      <c r="Z169" s="345" t="str">
        <f t="shared" si="57"/>
        <v>S.Terblanche</v>
      </c>
      <c r="AA169" s="378" t="str">
        <f t="shared" si="49"/>
        <v/>
      </c>
      <c r="AB169" s="378" t="str">
        <f t="shared" si="50"/>
        <v/>
      </c>
      <c r="AC169" s="345" t="str">
        <f>IFERROR(IF(ISNUMBER(SEARCH("*",N169)),N169&amp;" "&amp;F169,IF(F169="M",LOOKUP(J169,AgeCategories!$A$3:$F$11),LOOKUP(J169,AgeCategories!$A$14:$F$22))),"")</f>
        <v>JB</v>
      </c>
      <c r="AD169" s="370">
        <f t="shared" si="58"/>
        <v>39909</v>
      </c>
      <c r="AE169" s="345">
        <f t="shared" si="59"/>
        <v>13</v>
      </c>
      <c r="AF169" s="345" t="str">
        <f>IF(SUM(COUNTIF(H169,{"*Girl*","*Women*","*Woman*","*Female*","*Wo*","*Fe*","*F*"})),"F","M")</f>
        <v>M</v>
      </c>
      <c r="AG169" s="371"/>
      <c r="AH169" s="112"/>
      <c r="AI169" s="337" t="e">
        <f t="array" aca="1" ref="AI169" ca="1">(SMALL(IF(ISERROR(MATCH($AJ$3+ROW(OFFSET($A$3, 0,0, $AJ$4-$AJ$3+1))-2, $A$3:$A816,0)), $AJ$3+ROW(OFFSET($A$2,0, 0, $AJ$4-$AJ$3+1))-1), ROW(A168)))</f>
        <v>#NUM!</v>
      </c>
      <c r="AJ169" s="345">
        <f>Helpers!AY169</f>
        <v>0</v>
      </c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236"/>
      <c r="AV169" s="299"/>
      <c r="AW169" s="298" t="s">
        <v>2405</v>
      </c>
      <c r="AX169" s="56" t="s">
        <v>2519</v>
      </c>
      <c r="AY169" s="56" t="s">
        <v>2277</v>
      </c>
      <c r="AZ169" s="56" t="s">
        <v>2537</v>
      </c>
      <c r="BA169" s="56"/>
    </row>
    <row r="170" spans="1:53" ht="13.5" customHeight="1" thickBot="1">
      <c r="A170" s="111">
        <v>168</v>
      </c>
      <c r="B170" s="335" t="str">
        <f t="shared" si="51"/>
        <v>Gary Barnard</v>
      </c>
      <c r="C170" s="116" t="s">
        <v>1599</v>
      </c>
      <c r="D170" s="116" t="s">
        <v>1376</v>
      </c>
      <c r="E170"/>
      <c r="F170" s="363" t="str">
        <f>IF(SUM(COUNTIF(H170,{"*Girl*","*Women*","*Woman*","*Female*","*Wo*","*Fe*","*F*"})),"F","M")</f>
        <v>M</v>
      </c>
      <c r="G170" s="345" t="str">
        <f>IFERROR(IF(ISNUMBER(SEARCH("*",N170)),N170&amp;" "&amp;F170,IF(F170="M",LOOKUP(J170,AgeCategories!$A$3:$D$13),LOOKUP(J170,AgeCategories!$A$14:$D$24))),"Invalid Age")</f>
        <v>E-Bike M</v>
      </c>
      <c r="H170" s="175" t="s">
        <v>209</v>
      </c>
      <c r="I170" s="338">
        <f t="shared" si="52"/>
        <v>27897</v>
      </c>
      <c r="J170" s="364">
        <f>IFERROR(DATEDIF($I170,Helpers!$O$2,"y"),"ID No. needed")</f>
        <v>46</v>
      </c>
      <c r="K170" s="111"/>
      <c r="L170" s="300">
        <v>825661056</v>
      </c>
      <c r="M170" s="365" t="s">
        <v>1923</v>
      </c>
      <c r="N170" s="366" t="s">
        <v>560</v>
      </c>
      <c r="O170" s="367" t="b">
        <v>1</v>
      </c>
      <c r="P170" s="241" t="b">
        <f>NOT(ISNA(VLOOKUP(A170,SortedDownload!A:A,1,FALSE)))</f>
        <v>1</v>
      </c>
      <c r="Q170" s="373" t="s">
        <v>2729</v>
      </c>
      <c r="R170" s="368"/>
      <c r="S170" s="235"/>
      <c r="T170" s="235"/>
      <c r="U170" s="369" t="s">
        <v>2182</v>
      </c>
      <c r="V170" s="337" t="str">
        <f t="shared" si="53"/>
        <v>-</v>
      </c>
      <c r="W170" s="339" t="str">
        <f t="shared" si="54"/>
        <v>Gary Barnard</v>
      </c>
      <c r="X170" s="345" t="str">
        <f t="shared" si="55"/>
        <v>Gary</v>
      </c>
      <c r="Y170" s="345" t="str">
        <f t="shared" si="56"/>
        <v>Barnard</v>
      </c>
      <c r="Z170" s="345" t="str">
        <f t="shared" si="57"/>
        <v>G.Barnard</v>
      </c>
      <c r="AA170" s="378" t="str">
        <f t="shared" si="49"/>
        <v/>
      </c>
      <c r="AB170" s="378" t="str">
        <f t="shared" si="50"/>
        <v/>
      </c>
      <c r="AC170" s="345" t="str">
        <f>IFERROR(IF(ISNUMBER(SEARCH("*",N170)),N170&amp;" "&amp;F170,IF(F170="M",LOOKUP(J170,AgeCategories!$A$3:$F$11),LOOKUP(J170,AgeCategories!$A$14:$F$22))),"")</f>
        <v>E-Bike M</v>
      </c>
      <c r="AD170" s="370">
        <f t="shared" si="58"/>
        <v>27897</v>
      </c>
      <c r="AE170" s="345">
        <f t="shared" si="59"/>
        <v>46</v>
      </c>
      <c r="AF170" s="345" t="str">
        <f>IF(SUM(COUNTIF(H170,{"*Girl*","*Women*","*Woman*","*Female*","*Wo*","*Fe*","*F*"})),"F","M")</f>
        <v>M</v>
      </c>
      <c r="AG170" s="371"/>
      <c r="AH170" s="112"/>
      <c r="AI170" s="337" t="e">
        <f t="array" aca="1" ref="AI170" ca="1">(SMALL(IF(ISERROR(MATCH($AJ$3+ROW(OFFSET($A$3, 0,0, $AJ$4-$AJ$3+1))-2, $A$3:$A817,0)), $AJ$3+ROW(OFFSET($A$2,0, 0, $AJ$4-$AJ$3+1))-1), ROW(A169)))</f>
        <v>#NUM!</v>
      </c>
      <c r="AJ170" s="345">
        <f>Helpers!AY170</f>
        <v>0</v>
      </c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236"/>
      <c r="AV170" s="299"/>
      <c r="AW170" s="298" t="s">
        <v>2406</v>
      </c>
      <c r="AX170" s="56" t="s">
        <v>2520</v>
      </c>
      <c r="AY170" s="56"/>
      <c r="AZ170" s="56" t="s">
        <v>2538</v>
      </c>
      <c r="BA170" s="56"/>
    </row>
    <row r="171" spans="1:53" ht="13.5" thickBot="1">
      <c r="A171" s="111">
        <v>169</v>
      </c>
      <c r="B171" s="335" t="str">
        <f t="shared" si="51"/>
        <v>Andre Geldenhuys</v>
      </c>
      <c r="C171" s="116" t="s">
        <v>650</v>
      </c>
      <c r="D171" s="116" t="s">
        <v>1616</v>
      </c>
      <c r="E171"/>
      <c r="F171" s="363" t="str">
        <f>IF(SUM(COUNTIF(H171,{"*Girl*","*Women*","*Woman*","*Female*","*Wo*","*Fe*","*F*"})),"F","M")</f>
        <v>M</v>
      </c>
      <c r="G171" s="345" t="str">
        <f>IFERROR(IF(ISNUMBER(SEARCH("*",N171)),N171&amp;" "&amp;F171,IF(F171="M",LOOKUP(J171,AgeCategories!$A$3:$D$13),LOOKUP(J171,AgeCategories!$A$14:$D$24))),"Invalid Age")</f>
        <v>Sub Junior Boys</v>
      </c>
      <c r="H171" s="175" t="s">
        <v>209</v>
      </c>
      <c r="I171" s="338">
        <f t="shared" si="52"/>
        <v>39705</v>
      </c>
      <c r="J171" s="364">
        <f>IFERROR(DATEDIF($I171,Helpers!$O$2,"y"),"ID No. needed")</f>
        <v>14</v>
      </c>
      <c r="K171" s="111"/>
      <c r="L171" s="300">
        <v>833797705</v>
      </c>
      <c r="M171" s="365" t="s">
        <v>1924</v>
      </c>
      <c r="N171" s="341"/>
      <c r="O171" s="367" t="b">
        <v>1</v>
      </c>
      <c r="P171" s="241" t="b">
        <f>NOT(ISNA(VLOOKUP(A171,SortedDownload!A:A,1,FALSE)))</f>
        <v>0</v>
      </c>
      <c r="Q171" s="373" t="s">
        <v>2601</v>
      </c>
      <c r="R171" s="368"/>
      <c r="S171" s="235"/>
      <c r="T171" s="235"/>
      <c r="U171" s="369" t="s">
        <v>2183</v>
      </c>
      <c r="V171" s="337" t="str">
        <f t="shared" si="53"/>
        <v>-</v>
      </c>
      <c r="W171" s="339" t="str">
        <f t="shared" si="54"/>
        <v>Andre Geldenhuys</v>
      </c>
      <c r="X171" s="345" t="str">
        <f t="shared" si="55"/>
        <v>Andre</v>
      </c>
      <c r="Y171" s="345" t="str">
        <f t="shared" si="56"/>
        <v>Geldenhuys</v>
      </c>
      <c r="Z171" s="345" t="str">
        <f t="shared" si="57"/>
        <v>A.Geldenhuys</v>
      </c>
      <c r="AA171" s="378" t="str">
        <f t="shared" si="49"/>
        <v/>
      </c>
      <c r="AB171" s="378" t="str">
        <f t="shared" si="50"/>
        <v/>
      </c>
      <c r="AC171" s="345" t="str">
        <f>IFERROR(IF(ISNUMBER(SEARCH("*",N171)),N171&amp;" "&amp;F171,IF(F171="M",LOOKUP(J171,AgeCategories!$A$3:$F$11),LOOKUP(J171,AgeCategories!$A$14:$F$22))),"")</f>
        <v>JB</v>
      </c>
      <c r="AD171" s="370">
        <f t="shared" si="58"/>
        <v>39705</v>
      </c>
      <c r="AE171" s="345">
        <f t="shared" si="59"/>
        <v>14</v>
      </c>
      <c r="AF171" s="345" t="str">
        <f>IF(SUM(COUNTIF(H171,{"*Girl*","*Women*","*Woman*","*Female*","*Wo*","*Fe*","*F*"})),"F","M")</f>
        <v>M</v>
      </c>
      <c r="AG171" s="371"/>
      <c r="AH171" s="112"/>
      <c r="AI171" s="337" t="e">
        <f t="array" aca="1" ref="AI171" ca="1">(SMALL(IF(ISERROR(MATCH($AJ$3+ROW(OFFSET($A$3, 0,0, $AJ$4-$AJ$3+1))-2, $A$3:$A818,0)), $AJ$3+ROW(OFFSET($A$2,0, 0, $AJ$4-$AJ$3+1))-1), ROW(A170)))</f>
        <v>#NUM!</v>
      </c>
      <c r="AJ171" s="345">
        <f>Helpers!AY171</f>
        <v>0</v>
      </c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236"/>
      <c r="AV171" s="299"/>
      <c r="AW171" s="298" t="s">
        <v>2407</v>
      </c>
      <c r="AX171" s="56" t="s">
        <v>2521</v>
      </c>
      <c r="AY171" s="56" t="s">
        <v>2277</v>
      </c>
      <c r="AZ171" s="56" t="s">
        <v>2539</v>
      </c>
      <c r="BA171" s="56"/>
    </row>
    <row r="172" spans="1:53" ht="13.5" customHeight="1" thickBot="1">
      <c r="A172" s="111">
        <v>170</v>
      </c>
      <c r="B172" s="335" t="str">
        <f t="shared" si="51"/>
        <v>Samuel Cleary</v>
      </c>
      <c r="C172" s="116" t="s">
        <v>1517</v>
      </c>
      <c r="D172" s="116" t="s">
        <v>1617</v>
      </c>
      <c r="E172"/>
      <c r="F172" s="363" t="str">
        <f>IF(SUM(COUNTIF(H172,{"*Girl*","*Women*","*Woman*","*Female*","*Wo*","*Fe*","*F*"})),"F","M")</f>
        <v>M</v>
      </c>
      <c r="G172" s="345" t="str">
        <f>IFERROR(IF(ISNUMBER(SEARCH("*",N172)),N172&amp;" "&amp;F172,IF(F172="M",LOOKUP(J172,AgeCategories!$A$3:$D$13),LOOKUP(J172,AgeCategories!$A$14:$D$24))),"Invalid Age")</f>
        <v>Youth Men</v>
      </c>
      <c r="H172" s="175" t="s">
        <v>209</v>
      </c>
      <c r="I172" s="338">
        <f t="shared" si="52"/>
        <v>39242</v>
      </c>
      <c r="J172" s="364">
        <f>IFERROR(DATEDIF($I172,Helpers!$O$2,"y"),"ID No. needed")</f>
        <v>15</v>
      </c>
      <c r="K172" s="111"/>
      <c r="L172" s="300">
        <v>826495889</v>
      </c>
      <c r="M172" s="365" t="s">
        <v>1925</v>
      </c>
      <c r="N172" s="366"/>
      <c r="O172" s="367" t="b">
        <v>1</v>
      </c>
      <c r="P172" s="241" t="b">
        <f>NOT(ISNA(VLOOKUP(A172,SortedDownload!A:A,1,FALSE)))</f>
        <v>1</v>
      </c>
      <c r="Q172" s="373" t="s">
        <v>2728</v>
      </c>
      <c r="R172" s="368"/>
      <c r="S172" s="235"/>
      <c r="T172" s="235"/>
      <c r="U172" s="369" t="s">
        <v>2184</v>
      </c>
      <c r="V172" s="337" t="str">
        <f t="shared" si="53"/>
        <v>-</v>
      </c>
      <c r="W172" s="339" t="str">
        <f t="shared" si="54"/>
        <v>Samuel Cleary</v>
      </c>
      <c r="X172" s="345" t="str">
        <f t="shared" si="55"/>
        <v>Samuel</v>
      </c>
      <c r="Y172" s="345" t="str">
        <f t="shared" si="56"/>
        <v>Cleary</v>
      </c>
      <c r="Z172" s="345" t="str">
        <f t="shared" si="57"/>
        <v>S.Cleary</v>
      </c>
      <c r="AA172" s="378" t="str">
        <f t="shared" si="49"/>
        <v/>
      </c>
      <c r="AB172" s="378" t="str">
        <f t="shared" si="50"/>
        <v/>
      </c>
      <c r="AC172" s="345" t="str">
        <f>IFERROR(IF(ISNUMBER(SEARCH("*",N172)),N172&amp;" "&amp;F172,IF(F172="M",LOOKUP(J172,AgeCategories!$A$3:$F$11),LOOKUP(J172,AgeCategories!$A$14:$F$22))),"")</f>
        <v>YM</v>
      </c>
      <c r="AD172" s="370">
        <f t="shared" si="58"/>
        <v>39242</v>
      </c>
      <c r="AE172" s="345">
        <f t="shared" si="59"/>
        <v>15</v>
      </c>
      <c r="AF172" s="345" t="str">
        <f>IF(SUM(COUNTIF(H172,{"*Girl*","*Women*","*Woman*","*Female*","*Wo*","*Fe*","*F*"})),"F","M")</f>
        <v>M</v>
      </c>
      <c r="AG172" s="371"/>
      <c r="AH172" s="112"/>
      <c r="AI172" s="337" t="e">
        <f t="array" aca="1" ref="AI172" ca="1">(SMALL(IF(ISERROR(MATCH($AJ$3+ROW(OFFSET($A$3, 0,0, $AJ$4-$AJ$3+1))-2, $A$3:$A819,0)), $AJ$3+ROW(OFFSET($A$2,0, 0, $AJ$4-$AJ$3+1))-1), ROW(A171)))</f>
        <v>#NUM!</v>
      </c>
      <c r="AJ172" s="345">
        <f>Helpers!AY172</f>
        <v>0</v>
      </c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236"/>
      <c r="AV172" s="299"/>
      <c r="AW172" s="298"/>
      <c r="AX172" s="56" t="s">
        <v>2522</v>
      </c>
      <c r="AY172" s="56"/>
      <c r="AZ172" s="56" t="s">
        <v>2537</v>
      </c>
      <c r="BA172" s="56"/>
    </row>
    <row r="173" spans="1:53" ht="13.5" thickBot="1">
      <c r="A173" s="111">
        <v>171</v>
      </c>
      <c r="B173" s="335" t="str">
        <f t="shared" si="51"/>
        <v>Ezra Evans</v>
      </c>
      <c r="C173" s="116" t="s">
        <v>1618</v>
      </c>
      <c r="D173" s="116" t="s">
        <v>1619</v>
      </c>
      <c r="E173" t="s">
        <v>146</v>
      </c>
      <c r="F173" s="363" t="s">
        <v>209</v>
      </c>
      <c r="G173" s="345" t="str">
        <f>IFERROR(IF(ISNUMBER(SEARCH("*",N173)),N173&amp;" "&amp;F173,IF(F173="M",LOOKUP(J173,AgeCategories!$A$3:$D$13),LOOKUP(J173,AgeCategories!$A$14:$D$24))),"Invalid Age")</f>
        <v>Lite M</v>
      </c>
      <c r="H173" s="175" t="s">
        <v>209</v>
      </c>
      <c r="I173" s="338">
        <f t="shared" si="52"/>
        <v>39424</v>
      </c>
      <c r="J173" s="364">
        <f>IFERROR(DATEDIF($I173,Helpers!$O$2,"y"),"ID No. needed")</f>
        <v>15</v>
      </c>
      <c r="K173" s="111" t="s">
        <v>146</v>
      </c>
      <c r="L173" s="300" t="s">
        <v>2752</v>
      </c>
      <c r="M173" s="365" t="s">
        <v>1926</v>
      </c>
      <c r="N173" s="341" t="s">
        <v>2601</v>
      </c>
      <c r="O173" s="367" t="b">
        <v>1</v>
      </c>
      <c r="P173" s="241" t="b">
        <f>NOT(ISNA(VLOOKUP(A173,SortedDownload!A:A,1,FALSE)))</f>
        <v>1</v>
      </c>
      <c r="Q173" s="373" t="s">
        <v>2601</v>
      </c>
      <c r="R173" s="368" t="s">
        <v>146</v>
      </c>
      <c r="S173" s="235" t="s">
        <v>146</v>
      </c>
      <c r="T173" s="235" t="s">
        <v>146</v>
      </c>
      <c r="U173" s="369" t="s">
        <v>2185</v>
      </c>
      <c r="V173" s="337" t="str">
        <f t="shared" si="53"/>
        <v>-</v>
      </c>
      <c r="W173" s="339" t="str">
        <f t="shared" si="54"/>
        <v>Ezra Evans</v>
      </c>
      <c r="X173" s="345" t="str">
        <f t="shared" si="55"/>
        <v>Ezra</v>
      </c>
      <c r="Y173" s="345" t="str">
        <f t="shared" si="56"/>
        <v>Evans</v>
      </c>
      <c r="Z173" s="345" t="str">
        <f t="shared" si="57"/>
        <v>E.Evans</v>
      </c>
      <c r="AA173" s="378" t="str">
        <f t="shared" si="49"/>
        <v/>
      </c>
      <c r="AB173" s="378" t="str">
        <f t="shared" si="50"/>
        <v/>
      </c>
      <c r="AC173" s="345" t="str">
        <f>IFERROR(IF(ISNUMBER(SEARCH("*",N173)),N173&amp;" "&amp;F173,IF(F173="M",LOOKUP(J173,AgeCategories!$A$3:$F$11),LOOKUP(J173,AgeCategories!$A$14:$F$22))),"")</f>
        <v>Lite M</v>
      </c>
      <c r="AD173" s="370">
        <f t="shared" si="58"/>
        <v>39424</v>
      </c>
      <c r="AE173" s="345">
        <f t="shared" si="59"/>
        <v>15</v>
      </c>
      <c r="AF173" s="345" t="str">
        <f>IF(SUM(COUNTIF(H173,{"*Girl*","*Women*","*Woman*","*Female*","*Wo*","*Fe*","*F*"})),"F","M")</f>
        <v>M</v>
      </c>
      <c r="AG173" s="371"/>
      <c r="AH173" s="112"/>
      <c r="AI173" s="337" t="e">
        <f t="array" aca="1" ref="AI173" ca="1">(SMALL(IF(ISERROR(MATCH($AJ$3+ROW(OFFSET($A$3, 0,0, $AJ$4-$AJ$3+1))-2, $A$3:$A820,0)), $AJ$3+ROW(OFFSET($A$2,0, 0, $AJ$4-$AJ$3+1))-1), ROW(A172)))</f>
        <v>#NUM!</v>
      </c>
      <c r="AJ173" s="345">
        <f>Helpers!AY173</f>
        <v>0</v>
      </c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236"/>
      <c r="AV173" s="299"/>
      <c r="AW173" s="298" t="s">
        <v>2408</v>
      </c>
      <c r="AX173" s="56" t="s">
        <v>2478</v>
      </c>
      <c r="AY173" s="56" t="s">
        <v>2549</v>
      </c>
      <c r="AZ173" s="56" t="s">
        <v>2537</v>
      </c>
      <c r="BA173" s="56"/>
    </row>
    <row r="174" spans="1:53" ht="13.5" customHeight="1" thickBot="1">
      <c r="A174" s="111">
        <v>172</v>
      </c>
      <c r="B174" s="335" t="str">
        <f t="shared" si="51"/>
        <v>Jean-Luc Roux</v>
      </c>
      <c r="C174" s="116" t="s">
        <v>1620</v>
      </c>
      <c r="D174" s="116" t="s">
        <v>1621</v>
      </c>
      <c r="E174"/>
      <c r="F174" s="363" t="str">
        <f>IF(SUM(COUNTIF(H174,{"*Girl*","*Women*","*Woman*","*Female*","*Wo*","*Fe*","*F*"})),"F","M")</f>
        <v>M</v>
      </c>
      <c r="G174" s="345" t="str">
        <f>IFERROR(IF(ISNUMBER(SEARCH("*",N174)),N174&amp;" "&amp;F174,IF(F174="M",LOOKUP(J174,AgeCategories!$A$3:$D$13),LOOKUP(J174,AgeCategories!$A$14:$D$24))),"Invalid Age")</f>
        <v>Youth Men</v>
      </c>
      <c r="H174" s="175" t="s">
        <v>209</v>
      </c>
      <c r="I174" s="338">
        <f t="shared" si="52"/>
        <v>38796</v>
      </c>
      <c r="J174" s="364">
        <f>IFERROR(DATEDIF($I174,Helpers!$O$2,"y"),"ID No. needed")</f>
        <v>16</v>
      </c>
      <c r="K174" s="111"/>
      <c r="L174" s="300">
        <v>658260413</v>
      </c>
      <c r="M174" s="377" t="s">
        <v>2629</v>
      </c>
      <c r="N174" s="366"/>
      <c r="O174" s="367" t="b">
        <v>1</v>
      </c>
      <c r="P174" s="241" t="b">
        <f>NOT(ISNA(VLOOKUP(A174,SortedDownload!A:A,1,FALSE)))</f>
        <v>1</v>
      </c>
      <c r="Q174" s="373" t="s">
        <v>2632</v>
      </c>
      <c r="R174" s="368"/>
      <c r="S174" s="235"/>
      <c r="T174" s="235"/>
      <c r="U174" s="369" t="s">
        <v>2186</v>
      </c>
      <c r="V174" s="337" t="str">
        <f t="shared" si="53"/>
        <v>-</v>
      </c>
      <c r="W174" s="339" t="str">
        <f t="shared" si="54"/>
        <v>Jean-Luc Roux</v>
      </c>
      <c r="X174" s="345" t="str">
        <f t="shared" si="55"/>
        <v>Jean-Luc</v>
      </c>
      <c r="Y174" s="345" t="str">
        <f t="shared" si="56"/>
        <v>Roux</v>
      </c>
      <c r="Z174" s="345" t="str">
        <f t="shared" si="57"/>
        <v>J.Roux</v>
      </c>
      <c r="AA174" s="378" t="str">
        <f t="shared" si="49"/>
        <v/>
      </c>
      <c r="AB174" s="378" t="str">
        <f t="shared" si="50"/>
        <v/>
      </c>
      <c r="AC174" s="345" t="str">
        <f>IFERROR(IF(ISNUMBER(SEARCH("*",N174)),N174&amp;" "&amp;F174,IF(F174="M",LOOKUP(J174,AgeCategories!$A$3:$F$11),LOOKUP(J174,AgeCategories!$A$14:$F$22))),"")</f>
        <v>YM</v>
      </c>
      <c r="AD174" s="370">
        <f t="shared" si="58"/>
        <v>38796</v>
      </c>
      <c r="AE174" s="345">
        <f t="shared" si="59"/>
        <v>16</v>
      </c>
      <c r="AF174" s="345" t="str">
        <f>IF(SUM(COUNTIF(H174,{"*Girl*","*Women*","*Woman*","*Female*","*Wo*","*Fe*","*F*"})),"F","M")</f>
        <v>M</v>
      </c>
      <c r="AG174" s="371"/>
      <c r="AH174" s="112"/>
      <c r="AI174" s="337" t="e">
        <f t="array" aca="1" ref="AI174" ca="1">(SMALL(IF(ISERROR(MATCH($AJ$3+ROW(OFFSET($A$3, 0,0, $AJ$4-$AJ$3+1))-2, $A$3:$A821,0)), $AJ$3+ROW(OFFSET($A$2,0, 0, $AJ$4-$AJ$3+1))-1), ROW(A173)))</f>
        <v>#NUM!</v>
      </c>
      <c r="AJ174" s="345">
        <f>Helpers!AY174</f>
        <v>0</v>
      </c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236"/>
      <c r="AV174" s="299"/>
      <c r="AW174" s="298" t="s">
        <v>2409</v>
      </c>
      <c r="AX174" s="56" t="s">
        <v>2523</v>
      </c>
      <c r="AY174" s="56"/>
      <c r="AZ174" s="56" t="s">
        <v>2537</v>
      </c>
      <c r="BA174" s="56"/>
    </row>
    <row r="175" spans="1:53" ht="13.5" customHeight="1" thickBot="1">
      <c r="A175" s="111">
        <v>173</v>
      </c>
      <c r="B175" s="335" t="str">
        <f t="shared" si="51"/>
        <v>Luca Hewitson</v>
      </c>
      <c r="C175" s="116" t="s">
        <v>1384</v>
      </c>
      <c r="D175" s="116" t="s">
        <v>1622</v>
      </c>
      <c r="E175"/>
      <c r="F175" s="363" t="str">
        <f>IF(SUM(COUNTIF(H175,{"*Girl*","*Women*","*Woman*","*Female*","*Wo*","*Fe*","*F*"})),"F","M")</f>
        <v>M</v>
      </c>
      <c r="G175" s="345" t="str">
        <f>IFERROR(IF(ISNUMBER(SEARCH("*",N175)),N175&amp;" "&amp;F175,IF(F175="M",LOOKUP(J175,AgeCategories!$A$3:$D$13),LOOKUP(J175,AgeCategories!$A$14:$D$24))),"Invalid Age")</f>
        <v>Elite Men</v>
      </c>
      <c r="H175" s="175" t="s">
        <v>209</v>
      </c>
      <c r="I175" s="338">
        <f t="shared" si="52"/>
        <v>36533</v>
      </c>
      <c r="J175" s="364">
        <f>IFERROR(DATEDIF($I175,Helpers!$O$2,"y"),"ID No. needed")</f>
        <v>22</v>
      </c>
      <c r="K175" s="111"/>
      <c r="L175" s="300">
        <v>603954062</v>
      </c>
      <c r="M175" s="365" t="s">
        <v>1928</v>
      </c>
      <c r="N175" s="366"/>
      <c r="O175" s="367" t="b">
        <v>1</v>
      </c>
      <c r="P175" s="241" t="b">
        <f>NOT(ISNA(VLOOKUP(A175,SortedDownload!A:A,1,FALSE)))</f>
        <v>1</v>
      </c>
      <c r="Q175" s="373" t="s">
        <v>2632</v>
      </c>
      <c r="R175" s="368"/>
      <c r="S175" s="235"/>
      <c r="T175" s="235"/>
      <c r="U175" s="369" t="s">
        <v>2187</v>
      </c>
      <c r="V175" s="337" t="str">
        <f t="shared" si="53"/>
        <v>-</v>
      </c>
      <c r="W175" s="339" t="str">
        <f t="shared" si="54"/>
        <v>Luca Hewitson</v>
      </c>
      <c r="X175" s="345" t="str">
        <f t="shared" si="55"/>
        <v>Luca</v>
      </c>
      <c r="Y175" s="345" t="str">
        <f t="shared" si="56"/>
        <v>Hewitson</v>
      </c>
      <c r="Z175" s="345" t="str">
        <f t="shared" si="57"/>
        <v>L.Hewitson</v>
      </c>
      <c r="AA175" s="378" t="str">
        <f t="shared" si="49"/>
        <v/>
      </c>
      <c r="AB175" s="378" t="str">
        <f t="shared" si="50"/>
        <v/>
      </c>
      <c r="AC175" s="345" t="str">
        <f>IFERROR(IF(ISNUMBER(SEARCH("*",N175)),N175&amp;" "&amp;F175,IF(F175="M",LOOKUP(J175,AgeCategories!$A$3:$F$11),LOOKUP(J175,AgeCategories!$A$14:$F$22))),"")</f>
        <v>EM</v>
      </c>
      <c r="AD175" s="370">
        <f t="shared" si="58"/>
        <v>36533</v>
      </c>
      <c r="AE175" s="345">
        <f t="shared" si="59"/>
        <v>22</v>
      </c>
      <c r="AF175" s="345" t="str">
        <f>IF(SUM(COUNTIF(H175,{"*Girl*","*Women*","*Woman*","*Female*","*Wo*","*Fe*","*F*"})),"F","M")</f>
        <v>M</v>
      </c>
      <c r="AG175" s="371"/>
      <c r="AH175" s="112"/>
      <c r="AI175" s="337" t="e">
        <f t="array" aca="1" ref="AI175" ca="1">(SMALL(IF(ISERROR(MATCH($AJ$3+ROW(OFFSET($A$3, 0,0, $AJ$4-$AJ$3+1))-2, $A$3:$A822,0)), $AJ$3+ROW(OFFSET($A$2,0, 0, $AJ$4-$AJ$3+1))-1), ROW(A174)))</f>
        <v>#NUM!</v>
      </c>
      <c r="AJ175" s="345">
        <f>Helpers!AY175</f>
        <v>0</v>
      </c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236"/>
      <c r="AV175" s="299"/>
      <c r="AW175" s="298" t="s">
        <v>2410</v>
      </c>
      <c r="AX175" s="56" t="s">
        <v>2524</v>
      </c>
      <c r="AY175" s="56" t="s">
        <v>2553</v>
      </c>
      <c r="AZ175" s="56" t="s">
        <v>2537</v>
      </c>
      <c r="BA175" s="56"/>
    </row>
    <row r="176" spans="1:53" ht="13.5" customHeight="1" thickBot="1">
      <c r="A176" s="111">
        <v>174</v>
      </c>
      <c r="B176" s="335" t="str">
        <f t="shared" si="51"/>
        <v>Chris Kistner</v>
      </c>
      <c r="C176" s="116" t="s">
        <v>644</v>
      </c>
      <c r="D176" s="116" t="s">
        <v>1623</v>
      </c>
      <c r="E176"/>
      <c r="F176" s="363" t="str">
        <f>IF(SUM(COUNTIF(H176,{"*Girl*","*Women*","*Woman*","*Female*","*Wo*","*Fe*","*F*"})),"F","M")</f>
        <v>M</v>
      </c>
      <c r="G176" s="345" t="str">
        <f>IFERROR(IF(ISNUMBER(SEARCH("*",N176)),N176&amp;" "&amp;F176,IF(F176="M",LOOKUP(J176,AgeCategories!$A$3:$D$13),LOOKUP(J176,AgeCategories!$A$14:$D$24))),"Invalid Age")</f>
        <v>Master Men</v>
      </c>
      <c r="H176" s="175" t="s">
        <v>209</v>
      </c>
      <c r="I176" s="338">
        <f t="shared" si="52"/>
        <v>31540</v>
      </c>
      <c r="J176" s="364">
        <f>IFERROR(DATEDIF($I176,Helpers!$O$2,"y"),"ID No. needed")</f>
        <v>36</v>
      </c>
      <c r="K176" s="111"/>
      <c r="L176" s="300">
        <v>721289080</v>
      </c>
      <c r="M176" s="365" t="s">
        <v>1929</v>
      </c>
      <c r="N176" s="366"/>
      <c r="O176" s="367" t="b">
        <v>1</v>
      </c>
      <c r="P176" s="241" t="b">
        <f>NOT(ISNA(VLOOKUP(A176,SortedDownload!A:A,1,FALSE)))</f>
        <v>1</v>
      </c>
      <c r="Q176" s="373" t="s">
        <v>2632</v>
      </c>
      <c r="R176" s="368"/>
      <c r="S176" s="235"/>
      <c r="T176" s="235"/>
      <c r="U176" s="369" t="s">
        <v>2188</v>
      </c>
      <c r="V176" s="337" t="str">
        <f t="shared" si="53"/>
        <v>-</v>
      </c>
      <c r="W176" s="339" t="str">
        <f t="shared" si="54"/>
        <v>Chris Kistner</v>
      </c>
      <c r="X176" s="345" t="str">
        <f t="shared" si="55"/>
        <v>Chris</v>
      </c>
      <c r="Y176" s="345" t="str">
        <f t="shared" si="56"/>
        <v>Kistner</v>
      </c>
      <c r="Z176" s="345" t="str">
        <f t="shared" si="57"/>
        <v>C.Kistner</v>
      </c>
      <c r="AA176" s="378" t="str">
        <f t="shared" si="49"/>
        <v/>
      </c>
      <c r="AB176" s="378" t="str">
        <f t="shared" si="50"/>
        <v/>
      </c>
      <c r="AC176" s="345" t="str">
        <f>IFERROR(IF(ISNUMBER(SEARCH("*",N176)),N176&amp;" "&amp;F176,IF(F176="M",LOOKUP(J176,AgeCategories!$A$3:$F$11),LOOKUP(J176,AgeCategories!$A$14:$F$22))),"")</f>
        <v>MM</v>
      </c>
      <c r="AD176" s="370">
        <f t="shared" si="58"/>
        <v>31540</v>
      </c>
      <c r="AE176" s="345">
        <f t="shared" si="59"/>
        <v>36</v>
      </c>
      <c r="AF176" s="345" t="str">
        <f>IF(SUM(COUNTIF(H176,{"*Girl*","*Women*","*Woman*","*Female*","*Wo*","*Fe*","*F*"})),"F","M")</f>
        <v>M</v>
      </c>
      <c r="AG176" s="371"/>
      <c r="AH176" s="112"/>
      <c r="AI176" s="337" t="e">
        <f t="array" aca="1" ref="AI176" ca="1">(SMALL(IF(ISERROR(MATCH($AJ$3+ROW(OFFSET($A$3, 0,0, $AJ$4-$AJ$3+1))-2, $A$3:$A823,0)), $AJ$3+ROW(OFFSET($A$2,0, 0, $AJ$4-$AJ$3+1))-1), ROW(A175)))</f>
        <v>#NUM!</v>
      </c>
      <c r="AJ176" s="345">
        <f>Helpers!AY176</f>
        <v>0</v>
      </c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236"/>
      <c r="AV176" s="299"/>
      <c r="AW176" s="298" t="s">
        <v>2411</v>
      </c>
      <c r="AX176" s="56" t="s">
        <v>2491</v>
      </c>
      <c r="AY176" s="56" t="s">
        <v>2549</v>
      </c>
      <c r="AZ176" s="56" t="s">
        <v>2544</v>
      </c>
      <c r="BA176" s="56"/>
    </row>
    <row r="177" spans="1:53" ht="13.5" thickBot="1">
      <c r="A177" s="111">
        <v>175</v>
      </c>
      <c r="B177" s="335" t="str">
        <f t="shared" si="51"/>
        <v>Shane Robert</v>
      </c>
      <c r="C177" s="116" t="s">
        <v>1624</v>
      </c>
      <c r="D177" s="116" t="s">
        <v>647</v>
      </c>
      <c r="E177"/>
      <c r="F177" s="363" t="str">
        <f>IF(SUM(COUNTIF(H177,{"*Girl*","*Women*","*Woman*","*Female*","*Wo*","*Fe*","*F*"})),"F","M")</f>
        <v>M</v>
      </c>
      <c r="G177" s="345" t="str">
        <f>IFERROR(IF(ISNUMBER(SEARCH("*",N177)),N177&amp;" "&amp;F177,IF(F177="M",LOOKUP(J177,AgeCategories!$A$3:$D$13),LOOKUP(J177,AgeCategories!$A$14:$D$24))),"Invalid Age")</f>
        <v>Lite M</v>
      </c>
      <c r="H177" s="175" t="s">
        <v>209</v>
      </c>
      <c r="I177" s="338">
        <f t="shared" si="52"/>
        <v>37976</v>
      </c>
      <c r="J177" s="364">
        <f>IFERROR(DATEDIF($I177,Helpers!$O$2,"y"),"ID No. needed")</f>
        <v>19</v>
      </c>
      <c r="K177" s="111"/>
      <c r="L177" s="300">
        <v>717885488</v>
      </c>
      <c r="M177" s="365" t="s">
        <v>1930</v>
      </c>
      <c r="N177" s="341" t="s">
        <v>2601</v>
      </c>
      <c r="O177" s="367" t="b">
        <v>1</v>
      </c>
      <c r="P177" s="241" t="b">
        <f>NOT(ISNA(VLOOKUP(A177,SortedDownload!A:A,1,FALSE)))</f>
        <v>1</v>
      </c>
      <c r="Q177" s="373" t="s">
        <v>2601</v>
      </c>
      <c r="R177" s="368"/>
      <c r="S177" s="235"/>
      <c r="T177" s="235"/>
      <c r="U177" s="369" t="s">
        <v>2189</v>
      </c>
      <c r="V177" s="337" t="str">
        <f t="shared" si="53"/>
        <v>-</v>
      </c>
      <c r="W177" s="339" t="str">
        <f t="shared" si="54"/>
        <v>Shane Robert</v>
      </c>
      <c r="X177" s="345" t="str">
        <f t="shared" si="55"/>
        <v>Shane</v>
      </c>
      <c r="Y177" s="345" t="str">
        <f t="shared" si="56"/>
        <v>Robert</v>
      </c>
      <c r="Z177" s="345" t="str">
        <f t="shared" si="57"/>
        <v>S.Robert</v>
      </c>
      <c r="AA177" s="378" t="str">
        <f t="shared" si="49"/>
        <v/>
      </c>
      <c r="AB177" s="378" t="str">
        <f t="shared" si="50"/>
        <v/>
      </c>
      <c r="AC177" s="345" t="str">
        <f>IFERROR(IF(ISNUMBER(SEARCH("*",N177)),N177&amp;" "&amp;F177,IF(F177="M",LOOKUP(J177,AgeCategories!$A$3:$F$11),LOOKUP(J177,AgeCategories!$A$14:$F$22))),"")</f>
        <v>Lite M</v>
      </c>
      <c r="AD177" s="370">
        <f t="shared" si="58"/>
        <v>37976</v>
      </c>
      <c r="AE177" s="345">
        <f t="shared" si="59"/>
        <v>19</v>
      </c>
      <c r="AF177" s="345" t="str">
        <f>IF(SUM(COUNTIF(H177,{"*Girl*","*Women*","*Woman*","*Female*","*Wo*","*Fe*","*F*"})),"F","M")</f>
        <v>M</v>
      </c>
      <c r="AG177" s="371"/>
      <c r="AH177" s="112"/>
      <c r="AI177" s="337" t="e">
        <f t="array" aca="1" ref="AI177" ca="1">(SMALL(IF(ISERROR(MATCH($AJ$3+ROW(OFFSET($A$3, 0,0, $AJ$4-$AJ$3+1))-2, $A$3:$A824,0)), $AJ$3+ROW(OFFSET($A$2,0, 0, $AJ$4-$AJ$3+1))-1), ROW(A176)))</f>
        <v>#NUM!</v>
      </c>
      <c r="AJ177" s="345">
        <f>Helpers!AY177</f>
        <v>0</v>
      </c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236"/>
      <c r="AV177" s="299"/>
      <c r="AW177" s="298" t="s">
        <v>2412</v>
      </c>
      <c r="AX177" s="56" t="s">
        <v>2478</v>
      </c>
      <c r="AY177" s="56" t="s">
        <v>2575</v>
      </c>
      <c r="AZ177" s="56" t="s">
        <v>2537</v>
      </c>
      <c r="BA177" s="56" t="s">
        <v>2598</v>
      </c>
    </row>
    <row r="178" spans="1:53" ht="13.5" thickBot="1">
      <c r="A178" s="111">
        <v>176</v>
      </c>
      <c r="B178" s="335" t="str">
        <f t="shared" si="51"/>
        <v>Mike Fairbrother</v>
      </c>
      <c r="C178" s="116" t="s">
        <v>1625</v>
      </c>
      <c r="D178" s="116" t="s">
        <v>1626</v>
      </c>
      <c r="E178"/>
      <c r="F178" s="363" t="str">
        <f>IF(SUM(COUNTIF(H178,{"*Girl*","*Women*","*Woman*","*Female*","*Wo*","*Fe*","*F*"})),"F","M")</f>
        <v>M</v>
      </c>
      <c r="G178" s="345" t="str">
        <f>IFERROR(IF(ISNUMBER(SEARCH("*",N178)),N178&amp;" "&amp;F178,IF(F178="M",LOOKUP(J178,AgeCategories!$A$3:$D$13),LOOKUP(J178,AgeCategories!$A$14:$D$24))),"Invalid Age")</f>
        <v>Lite M</v>
      </c>
      <c r="H178" s="175" t="s">
        <v>209</v>
      </c>
      <c r="I178" s="338">
        <f t="shared" si="52"/>
        <v>25515</v>
      </c>
      <c r="J178" s="364">
        <f>IFERROR(DATEDIF($I178,Helpers!$O$2,"y"),"ID No. needed")</f>
        <v>53</v>
      </c>
      <c r="K178" s="111"/>
      <c r="L178" s="300">
        <v>832614582</v>
      </c>
      <c r="M178" s="365" t="s">
        <v>1931</v>
      </c>
      <c r="N178" s="341" t="s">
        <v>2601</v>
      </c>
      <c r="O178" s="367" t="b">
        <v>1</v>
      </c>
      <c r="P178" s="241" t="b">
        <f>NOT(ISNA(VLOOKUP(A178,SortedDownload!A:A,1,FALSE)))</f>
        <v>1</v>
      </c>
      <c r="Q178" s="373" t="s">
        <v>2601</v>
      </c>
      <c r="R178" s="368"/>
      <c r="S178" s="235"/>
      <c r="T178" s="235"/>
      <c r="U178" s="369" t="s">
        <v>2190</v>
      </c>
      <c r="V178" s="337" t="str">
        <f t="shared" si="53"/>
        <v>-</v>
      </c>
      <c r="W178" s="339" t="str">
        <f t="shared" si="54"/>
        <v>Mike Fairbrother</v>
      </c>
      <c r="X178" s="345" t="str">
        <f t="shared" si="55"/>
        <v>Mike</v>
      </c>
      <c r="Y178" s="345" t="str">
        <f t="shared" si="56"/>
        <v>Fairbrother</v>
      </c>
      <c r="Z178" s="345" t="str">
        <f t="shared" si="57"/>
        <v>M.Fairbrother</v>
      </c>
      <c r="AA178" s="378" t="str">
        <f t="shared" si="49"/>
        <v/>
      </c>
      <c r="AB178" s="378" t="str">
        <f t="shared" si="50"/>
        <v/>
      </c>
      <c r="AC178" s="345" t="str">
        <f>IFERROR(IF(ISNUMBER(SEARCH("*",N178)),N178&amp;" "&amp;F178,IF(F178="M",LOOKUP(J178,AgeCategories!$A$3:$F$11),LOOKUP(J178,AgeCategories!$A$14:$F$22))),"")</f>
        <v>Lite M</v>
      </c>
      <c r="AD178" s="370">
        <f t="shared" si="58"/>
        <v>25515</v>
      </c>
      <c r="AE178" s="345">
        <f t="shared" si="59"/>
        <v>53</v>
      </c>
      <c r="AF178" s="345" t="str">
        <f>IF(SUM(COUNTIF(H178,{"*Girl*","*Women*","*Woman*","*Female*","*Wo*","*Fe*","*F*"})),"F","M")</f>
        <v>M</v>
      </c>
      <c r="AG178" s="371"/>
      <c r="AH178" s="112"/>
      <c r="AI178" s="337" t="e">
        <f t="array" aca="1" ref="AI178" ca="1">(SMALL(IF(ISERROR(MATCH($AJ$3+ROW(OFFSET($A$3, 0,0, $AJ$4-$AJ$3+1))-2, $A$3:$A825,0)), $AJ$3+ROW(OFFSET($A$2,0, 0, $AJ$4-$AJ$3+1))-1), ROW(A177)))</f>
        <v>#NUM!</v>
      </c>
      <c r="AJ178" s="345">
        <f>Helpers!AY178</f>
        <v>0</v>
      </c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236"/>
      <c r="AV178" s="299"/>
      <c r="AW178" s="298" t="s">
        <v>2413</v>
      </c>
      <c r="AX178" s="56" t="s">
        <v>2506</v>
      </c>
      <c r="AY178" s="56" t="s">
        <v>2549</v>
      </c>
      <c r="AZ178" s="56" t="s">
        <v>2537</v>
      </c>
      <c r="BA178" s="56"/>
    </row>
    <row r="179" spans="1:53" ht="13.5" customHeight="1" thickBot="1">
      <c r="A179" s="111">
        <v>177</v>
      </c>
      <c r="B179" s="335" t="str">
        <f t="shared" si="51"/>
        <v>Daniel Fairbrother</v>
      </c>
      <c r="C179" s="116" t="s">
        <v>1507</v>
      </c>
      <c r="D179" s="116" t="s">
        <v>1626</v>
      </c>
      <c r="E179"/>
      <c r="F179" s="363" t="str">
        <f>IF(SUM(COUNTIF(H179,{"*Girl*","*Women*","*Woman*","*Female*","*Wo*","*Fe*","*F*"})),"F","M")</f>
        <v>M</v>
      </c>
      <c r="G179" s="345" t="str">
        <f>IFERROR(IF(ISNUMBER(SEARCH("*",N179)),N179&amp;" "&amp;F179,IF(F179="M",LOOKUP(J179,AgeCategories!$A$3:$D$13),LOOKUP(J179,AgeCategories!$A$14:$D$24))),"Invalid Age")</f>
        <v>Youth Men</v>
      </c>
      <c r="H179" s="175" t="s">
        <v>209</v>
      </c>
      <c r="I179" s="338">
        <f t="shared" si="52"/>
        <v>38842</v>
      </c>
      <c r="J179" s="364">
        <f>IFERROR(DATEDIF($I179,Helpers!$O$2,"y"),"ID No. needed")</f>
        <v>16</v>
      </c>
      <c r="K179" s="111"/>
      <c r="L179" s="300">
        <v>828011330</v>
      </c>
      <c r="M179" s="377" t="s">
        <v>2612</v>
      </c>
      <c r="N179" s="366"/>
      <c r="O179" s="367" t="b">
        <v>1</v>
      </c>
      <c r="P179" s="241" t="b">
        <f>NOT(ISNA(VLOOKUP(A179,SortedDownload!A:A,1,FALSE)))</f>
        <v>1</v>
      </c>
      <c r="Q179" s="373" t="s">
        <v>2728</v>
      </c>
      <c r="R179" s="368"/>
      <c r="S179" s="235"/>
      <c r="T179" s="235"/>
      <c r="U179" s="369" t="s">
        <v>2190</v>
      </c>
      <c r="V179" s="337" t="str">
        <f t="shared" si="53"/>
        <v>-</v>
      </c>
      <c r="W179" s="339" t="str">
        <f t="shared" si="54"/>
        <v>Daniel Fairbrother</v>
      </c>
      <c r="X179" s="345" t="str">
        <f t="shared" si="55"/>
        <v>Daniel</v>
      </c>
      <c r="Y179" s="345" t="str">
        <f t="shared" si="56"/>
        <v>Fairbrother</v>
      </c>
      <c r="Z179" s="345" t="str">
        <f t="shared" si="57"/>
        <v>D.Fairbrother</v>
      </c>
      <c r="AA179" s="378" t="str">
        <f t="shared" si="49"/>
        <v/>
      </c>
      <c r="AB179" s="378" t="str">
        <f t="shared" si="50"/>
        <v/>
      </c>
      <c r="AC179" s="345" t="str">
        <f>IFERROR(IF(ISNUMBER(SEARCH("*",N179)),N179&amp;" "&amp;F179,IF(F179="M",LOOKUP(J179,AgeCategories!$A$3:$F$11),LOOKUP(J179,AgeCategories!$A$14:$F$22))),"")</f>
        <v>YM</v>
      </c>
      <c r="AD179" s="370">
        <f t="shared" si="58"/>
        <v>38842</v>
      </c>
      <c r="AE179" s="345">
        <f t="shared" si="59"/>
        <v>16</v>
      </c>
      <c r="AF179" s="345" t="str">
        <f>IF(SUM(COUNTIF(H179,{"*Girl*","*Women*","*Woman*","*Female*","*Wo*","*Fe*","*F*"})),"F","M")</f>
        <v>M</v>
      </c>
      <c r="AG179" s="371"/>
      <c r="AH179" s="112"/>
      <c r="AI179" s="337" t="e">
        <f t="array" aca="1" ref="AI179" ca="1">(SMALL(IF(ISERROR(MATCH($AJ$3+ROW(OFFSET($A$3, 0,0, $AJ$4-$AJ$3+1))-2, $A$3:$A826,0)), $AJ$3+ROW(OFFSET($A$2,0, 0, $AJ$4-$AJ$3+1))-1), ROW(A178)))</f>
        <v>#NUM!</v>
      </c>
      <c r="AJ179" s="345">
        <f>Helpers!AY179</f>
        <v>0</v>
      </c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236"/>
      <c r="AV179" s="299"/>
      <c r="AW179" s="298" t="s">
        <v>2413</v>
      </c>
      <c r="AX179" s="56" t="s">
        <v>2506</v>
      </c>
      <c r="AY179" s="56" t="s">
        <v>2549</v>
      </c>
      <c r="AZ179" s="56" t="s">
        <v>2537</v>
      </c>
      <c r="BA179" s="56"/>
    </row>
    <row r="180" spans="1:53" ht="13.5" customHeight="1" thickBot="1">
      <c r="A180" s="111">
        <v>178</v>
      </c>
      <c r="B180" s="335" t="str">
        <f t="shared" si="51"/>
        <v>Gustav Raubenheimer</v>
      </c>
      <c r="C180" s="116" t="s">
        <v>1542</v>
      </c>
      <c r="D180" s="116" t="s">
        <v>1627</v>
      </c>
      <c r="E180"/>
      <c r="F180" s="363" t="str">
        <f>IF(SUM(COUNTIF(H180,{"*Girl*","*Women*","*Woman*","*Female*","*Wo*","*Fe*","*F*"})),"F","M")</f>
        <v>M</v>
      </c>
      <c r="G180" s="345" t="str">
        <f>IFERROR(IF(ISNUMBER(SEARCH("*",N180)),N180&amp;" "&amp;F180,IF(F180="M",LOOKUP(J180,AgeCategories!$A$3:$D$13),LOOKUP(J180,AgeCategories!$A$14:$D$24))),"Invalid Age")</f>
        <v>Youth Men</v>
      </c>
      <c r="H180" s="175" t="s">
        <v>209</v>
      </c>
      <c r="I180" s="338">
        <f t="shared" si="52"/>
        <v>38744</v>
      </c>
      <c r="J180" s="364">
        <f>IFERROR(DATEDIF($I180,Helpers!$O$2,"y"),"ID No. needed")</f>
        <v>16</v>
      </c>
      <c r="K180" s="111"/>
      <c r="L180" s="300">
        <v>607256902</v>
      </c>
      <c r="M180" s="365" t="s">
        <v>1932</v>
      </c>
      <c r="N180" s="366"/>
      <c r="O180" s="367" t="b">
        <v>1</v>
      </c>
      <c r="P180" s="241" t="b">
        <f>NOT(ISNA(VLOOKUP(A180,SortedDownload!A:A,1,FALSE)))</f>
        <v>1</v>
      </c>
      <c r="Q180" s="373" t="s">
        <v>2632</v>
      </c>
      <c r="R180" s="368"/>
      <c r="S180" s="235"/>
      <c r="T180" s="235"/>
      <c r="U180" s="369" t="s">
        <v>2191</v>
      </c>
      <c r="V180" s="337" t="str">
        <f t="shared" si="53"/>
        <v>-</v>
      </c>
      <c r="W180" s="339" t="str">
        <f t="shared" si="54"/>
        <v>Gustav Raubenheimer</v>
      </c>
      <c r="X180" s="345" t="str">
        <f t="shared" si="55"/>
        <v>Gustav</v>
      </c>
      <c r="Y180" s="345" t="str">
        <f t="shared" si="56"/>
        <v>Raubenheimer</v>
      </c>
      <c r="Z180" s="345" t="str">
        <f t="shared" si="57"/>
        <v>G.Raubenheimer</v>
      </c>
      <c r="AA180" s="378" t="str">
        <f t="shared" si="49"/>
        <v/>
      </c>
      <c r="AB180" s="378" t="str">
        <f t="shared" si="50"/>
        <v/>
      </c>
      <c r="AC180" s="345" t="str">
        <f>IFERROR(IF(ISNUMBER(SEARCH("*",N180)),N180&amp;" "&amp;F180,IF(F180="M",LOOKUP(J180,AgeCategories!$A$3:$F$11),LOOKUP(J180,AgeCategories!$A$14:$F$22))),"")</f>
        <v>YM</v>
      </c>
      <c r="AD180" s="370">
        <f t="shared" si="58"/>
        <v>38744</v>
      </c>
      <c r="AE180" s="345">
        <f t="shared" si="59"/>
        <v>16</v>
      </c>
      <c r="AF180" s="345" t="str">
        <f>IF(SUM(COUNTIF(H180,{"*Girl*","*Women*","*Woman*","*Female*","*Wo*","*Fe*","*F*"})),"F","M")</f>
        <v>M</v>
      </c>
      <c r="AG180" s="371"/>
      <c r="AH180" s="112"/>
      <c r="AI180" s="337" t="e">
        <f t="array" aca="1" ref="AI180" ca="1">(SMALL(IF(ISERROR(MATCH($AJ$3+ROW(OFFSET($A$3, 0,0, $AJ$4-$AJ$3+1))-2, $A$3:$A827,0)), $AJ$3+ROW(OFFSET($A$2,0, 0, $AJ$4-$AJ$3+1))-1), ROW(A179)))</f>
        <v>#NUM!</v>
      </c>
      <c r="AJ180" s="345">
        <f>Helpers!AY180</f>
        <v>0</v>
      </c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236"/>
      <c r="AV180" s="299"/>
      <c r="AW180" s="298"/>
      <c r="AX180" s="56"/>
      <c r="AY180" s="56"/>
      <c r="AZ180" s="56"/>
      <c r="BA180" s="56"/>
    </row>
    <row r="181" spans="1:53" ht="13.5" customHeight="1" thickBot="1">
      <c r="A181" s="111">
        <v>179</v>
      </c>
      <c r="B181" s="335" t="str">
        <f t="shared" si="51"/>
        <v>Daniel Jacobs</v>
      </c>
      <c r="C181" s="116" t="s">
        <v>1507</v>
      </c>
      <c r="D181" s="116" t="s">
        <v>1628</v>
      </c>
      <c r="E181"/>
      <c r="F181" s="363" t="str">
        <f>IF(SUM(COUNTIF(H181,{"*Girl*","*Women*","*Woman*","*Female*","*Wo*","*Fe*","*F*"})),"F","M")</f>
        <v>M</v>
      </c>
      <c r="G181" s="345" t="str">
        <f>IFERROR(IF(ISNUMBER(SEARCH("*",N181)),N181&amp;" "&amp;F181,IF(F181="M",LOOKUP(J181,AgeCategories!$A$3:$D$13),LOOKUP(J181,AgeCategories!$A$14:$D$24))),"Invalid Age")</f>
        <v>Master Men</v>
      </c>
      <c r="H181" s="175" t="s">
        <v>209</v>
      </c>
      <c r="I181" s="338">
        <f t="shared" si="52"/>
        <v>30837</v>
      </c>
      <c r="J181" s="364">
        <f>IFERROR(DATEDIF($I181,Helpers!$O$2,"y"),"ID No. needed")</f>
        <v>38</v>
      </c>
      <c r="K181" s="111"/>
      <c r="L181" s="300">
        <v>724403968</v>
      </c>
      <c r="M181" s="365" t="s">
        <v>1933</v>
      </c>
      <c r="N181" s="366"/>
      <c r="O181" s="367" t="b">
        <v>1</v>
      </c>
      <c r="P181" s="241" t="b">
        <f>NOT(ISNA(VLOOKUP(A181,SortedDownload!A:A,1,FALSE)))</f>
        <v>1</v>
      </c>
      <c r="Q181" s="373" t="s">
        <v>2631</v>
      </c>
      <c r="R181" s="368"/>
      <c r="S181" s="235"/>
      <c r="T181" s="235"/>
      <c r="U181" s="369" t="s">
        <v>2192</v>
      </c>
      <c r="V181" s="337" t="str">
        <f t="shared" si="53"/>
        <v>-</v>
      </c>
      <c r="W181" s="339" t="str">
        <f t="shared" si="54"/>
        <v>Daniel Jacobs</v>
      </c>
      <c r="X181" s="345" t="str">
        <f t="shared" si="55"/>
        <v>Daniel</v>
      </c>
      <c r="Y181" s="345" t="str">
        <f t="shared" si="56"/>
        <v>Jacobs</v>
      </c>
      <c r="Z181" s="345" t="str">
        <f t="shared" si="57"/>
        <v>D.Jacobs</v>
      </c>
      <c r="AA181" s="378" t="str">
        <f t="shared" si="49"/>
        <v/>
      </c>
      <c r="AB181" s="378" t="str">
        <f t="shared" si="50"/>
        <v/>
      </c>
      <c r="AC181" s="345" t="str">
        <f>IFERROR(IF(ISNUMBER(SEARCH("*",N181)),N181&amp;" "&amp;F181,IF(F181="M",LOOKUP(J181,AgeCategories!$A$3:$F$11),LOOKUP(J181,AgeCategories!$A$14:$F$22))),"")</f>
        <v>MM</v>
      </c>
      <c r="AD181" s="370">
        <f t="shared" si="58"/>
        <v>30837</v>
      </c>
      <c r="AE181" s="345">
        <f t="shared" si="59"/>
        <v>38</v>
      </c>
      <c r="AF181" s="345" t="str">
        <f>IF(SUM(COUNTIF(H181,{"*Girl*","*Women*","*Woman*","*Female*","*Wo*","*Fe*","*F*"})),"F","M")</f>
        <v>M</v>
      </c>
      <c r="AG181" s="371"/>
      <c r="AH181" s="112"/>
      <c r="AI181" s="337" t="e">
        <f t="array" aca="1" ref="AI181" ca="1">(SMALL(IF(ISERROR(MATCH($AJ$3+ROW(OFFSET($A$3, 0,0, $AJ$4-$AJ$3+1))-2, $A$3:$A828,0)), $AJ$3+ROW(OFFSET($A$2,0, 0, $AJ$4-$AJ$3+1))-1), ROW(A180)))</f>
        <v>#NUM!</v>
      </c>
      <c r="AJ181" s="345">
        <f>Helpers!AY181</f>
        <v>0</v>
      </c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236"/>
      <c r="AV181" s="299"/>
      <c r="AW181" s="298" t="s">
        <v>2414</v>
      </c>
      <c r="AX181" s="56" t="s">
        <v>2478</v>
      </c>
      <c r="AY181" s="56"/>
      <c r="AZ181" s="56" t="s">
        <v>2537</v>
      </c>
      <c r="BA181" s="56"/>
    </row>
    <row r="182" spans="1:53" ht="13.5" customHeight="1" thickBot="1">
      <c r="A182" s="111">
        <v>180</v>
      </c>
      <c r="B182" s="335" t="str">
        <f t="shared" si="51"/>
        <v>Robyn Emslie</v>
      </c>
      <c r="C182" s="116" t="s">
        <v>1629</v>
      </c>
      <c r="D182" s="116" t="s">
        <v>1630</v>
      </c>
      <c r="E182"/>
      <c r="F182" s="363" t="str">
        <f>IF(SUM(COUNTIF(H182,{"*Girl*","*Women*","*Woman*","*Female*","*Wo*","*Fe*","*F*"})),"F","M")</f>
        <v>F</v>
      </c>
      <c r="G182" s="345" t="str">
        <f>IFERROR(IF(ISNUMBER(SEARCH("*",N182)),N182&amp;" "&amp;F182,IF(F182="M",LOOKUP(J182,AgeCategories!$A$3:$D$13),LOOKUP(J182,AgeCategories!$A$14:$D$24))),"Invalid Age")</f>
        <v>Elite Women</v>
      </c>
      <c r="H182" s="175" t="s">
        <v>210</v>
      </c>
      <c r="I182" s="338">
        <f t="shared" si="52"/>
        <v>36754</v>
      </c>
      <c r="J182" s="364">
        <f>IFERROR(DATEDIF($I182,Helpers!$O$2,"y"),"ID No. needed")</f>
        <v>22</v>
      </c>
      <c r="K182" s="111"/>
      <c r="L182" s="300">
        <v>836620529</v>
      </c>
      <c r="M182" s="365" t="s">
        <v>1934</v>
      </c>
      <c r="N182" s="366"/>
      <c r="O182" s="367" t="b">
        <v>1</v>
      </c>
      <c r="P182" s="241" t="b">
        <f>NOT(ISNA(VLOOKUP(A182,SortedDownload!A:A,1,FALSE)))</f>
        <v>1</v>
      </c>
      <c r="Q182" s="373" t="s">
        <v>2728</v>
      </c>
      <c r="R182" s="368"/>
      <c r="S182" s="235"/>
      <c r="T182" s="235"/>
      <c r="U182" s="369" t="s">
        <v>2193</v>
      </c>
      <c r="V182" s="337" t="str">
        <f t="shared" si="53"/>
        <v>-</v>
      </c>
      <c r="W182" s="339" t="str">
        <f t="shared" si="54"/>
        <v>Robyn Emslie</v>
      </c>
      <c r="X182" s="345" t="str">
        <f t="shared" si="55"/>
        <v>Robyn</v>
      </c>
      <c r="Y182" s="345" t="str">
        <f t="shared" si="56"/>
        <v>Emslie</v>
      </c>
      <c r="Z182" s="345" t="str">
        <f t="shared" si="57"/>
        <v>R.Emslie</v>
      </c>
      <c r="AA182" s="378" t="str">
        <f t="shared" si="49"/>
        <v/>
      </c>
      <c r="AB182" s="378" t="str">
        <f t="shared" si="50"/>
        <v/>
      </c>
      <c r="AC182" s="345" t="str">
        <f>IFERROR(IF(ISNUMBER(SEARCH("*",N182)),N182&amp;" "&amp;F182,IF(F182="M",LOOKUP(J182,AgeCategories!$A$3:$F$11),LOOKUP(J182,AgeCategories!$A$14:$F$22))),"")</f>
        <v>EW</v>
      </c>
      <c r="AD182" s="370">
        <f t="shared" si="58"/>
        <v>36754</v>
      </c>
      <c r="AE182" s="345">
        <f t="shared" si="59"/>
        <v>22</v>
      </c>
      <c r="AF182" s="345" t="str">
        <f>IF(SUM(COUNTIF(H182,{"*Girl*","*Women*","*Woman*","*Female*","*Wo*","*Fe*","*F*"})),"F","M")</f>
        <v>F</v>
      </c>
      <c r="AG182" s="371"/>
      <c r="AH182" s="112"/>
      <c r="AI182" s="337" t="e">
        <f t="array" aca="1" ref="AI182" ca="1">(SMALL(IF(ISERROR(MATCH($AJ$3+ROW(OFFSET($A$3, 0,0, $AJ$4-$AJ$3+1))-2, $A$3:$A829,0)), $AJ$3+ROW(OFFSET($A$2,0, 0, $AJ$4-$AJ$3+1))-1), ROW(A181)))</f>
        <v>#NUM!</v>
      </c>
      <c r="AJ182" s="345">
        <f>Helpers!AY182</f>
        <v>0</v>
      </c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236"/>
      <c r="AV182" s="299"/>
      <c r="AW182" s="298" t="s">
        <v>2415</v>
      </c>
      <c r="AX182" s="56" t="s">
        <v>2478</v>
      </c>
      <c r="AY182" s="56"/>
      <c r="AZ182" s="56" t="s">
        <v>2537</v>
      </c>
      <c r="BA182" s="56"/>
    </row>
    <row r="183" spans="1:53" ht="13.5" thickBot="1">
      <c r="A183" s="111">
        <v>181</v>
      </c>
      <c r="B183" s="335" t="str">
        <f t="shared" si="51"/>
        <v>Robert-John Behan</v>
      </c>
      <c r="C183" s="116" t="s">
        <v>2639</v>
      </c>
      <c r="D183" s="116" t="s">
        <v>2640</v>
      </c>
      <c r="E183"/>
      <c r="F183" s="363" t="s">
        <v>209</v>
      </c>
      <c r="G183" s="345" t="str">
        <f>IFERROR(IF(ISNUMBER(SEARCH("*",N183)),N183&amp;" "&amp;F183,IF(F183="M",LOOKUP(J183,AgeCategories!$A$3:$D$13),LOOKUP(J183,AgeCategories!$A$14:$D$24))),"Invalid Age")</f>
        <v>Nipper Boys</v>
      </c>
      <c r="H183" s="175" t="s">
        <v>210</v>
      </c>
      <c r="I183" s="338">
        <f t="shared" si="52"/>
        <v>41446</v>
      </c>
      <c r="J183" s="364">
        <f>IFERROR(DATEDIF($I183,Helpers!$O$2,"y"),"ID No. needed")</f>
        <v>9</v>
      </c>
      <c r="K183" s="111" t="s">
        <v>146</v>
      </c>
      <c r="L183" s="300" t="s">
        <v>146</v>
      </c>
      <c r="M183" s="365" t="s">
        <v>2732</v>
      </c>
      <c r="N183" s="341"/>
      <c r="O183" s="367" t="b">
        <v>1</v>
      </c>
      <c r="P183" s="241" t="b">
        <f>NOT(ISNA(VLOOKUP(A183,SortedDownload!A:A,1,FALSE)))</f>
        <v>1</v>
      </c>
      <c r="Q183" s="373" t="s">
        <v>2601</v>
      </c>
      <c r="R183" s="368" t="s">
        <v>146</v>
      </c>
      <c r="S183" s="235" t="s">
        <v>146</v>
      </c>
      <c r="T183" s="235" t="s">
        <v>146</v>
      </c>
      <c r="U183" s="369" t="s">
        <v>2194</v>
      </c>
      <c r="V183" s="337" t="str">
        <f t="shared" si="53"/>
        <v>-</v>
      </c>
      <c r="W183" s="339" t="str">
        <f t="shared" si="54"/>
        <v>Robert-John Behan</v>
      </c>
      <c r="X183" s="345" t="str">
        <f t="shared" si="55"/>
        <v>Robert-John</v>
      </c>
      <c r="Y183" s="345" t="str">
        <f t="shared" si="56"/>
        <v>Behan</v>
      </c>
      <c r="Z183" s="345" t="str">
        <f t="shared" si="57"/>
        <v>R.Behan</v>
      </c>
      <c r="AA183" s="378" t="str">
        <f t="shared" si="49"/>
        <v/>
      </c>
      <c r="AB183" s="378" t="str">
        <f t="shared" si="50"/>
        <v/>
      </c>
      <c r="AC183" s="345" t="str">
        <f>IFERROR(IF(ISNUMBER(SEARCH("*",N183)),N183&amp;" "&amp;F183,IF(F183="M",LOOKUP(J183,AgeCategories!$A$3:$F$11),LOOKUP(J183,AgeCategories!$A$14:$F$22))),"")</f>
        <v>NB</v>
      </c>
      <c r="AD183" s="370">
        <f t="shared" si="58"/>
        <v>41446</v>
      </c>
      <c r="AE183" s="345">
        <f t="shared" si="59"/>
        <v>9</v>
      </c>
      <c r="AF183" s="345" t="str">
        <f>IF(SUM(COUNTIF(H183,{"*Girl*","*Women*","*Woman*","*Female*","*Wo*","*Fe*","*F*"})),"F","M")</f>
        <v>F</v>
      </c>
      <c r="AG183" s="371"/>
      <c r="AH183" s="112"/>
      <c r="AI183" s="337" t="e">
        <f t="array" aca="1" ref="AI183" ca="1">(SMALL(IF(ISERROR(MATCH($AJ$3+ROW(OFFSET($A$3, 0,0, $AJ$4-$AJ$3+1))-2, $A$3:$A830,0)), $AJ$3+ROW(OFFSET($A$2,0, 0, $AJ$4-$AJ$3+1))-1), ROW(A182)))</f>
        <v>#NUM!</v>
      </c>
      <c r="AJ183" s="345">
        <f>Helpers!AY183</f>
        <v>0</v>
      </c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236"/>
      <c r="AV183" s="299"/>
      <c r="AW183" s="298" t="s">
        <v>2416</v>
      </c>
      <c r="AX183" s="56" t="s">
        <v>2525</v>
      </c>
      <c r="AY183" s="56"/>
      <c r="AZ183" s="56" t="s">
        <v>2537</v>
      </c>
      <c r="BA183" s="56"/>
    </row>
    <row r="184" spans="1:53" ht="13.5" thickBot="1">
      <c r="A184" s="111">
        <v>182</v>
      </c>
      <c r="B184" s="335" t="str">
        <f t="shared" si="51"/>
        <v>Aaron Budke</v>
      </c>
      <c r="C184" s="116" t="s">
        <v>652</v>
      </c>
      <c r="D184" s="116" t="s">
        <v>1631</v>
      </c>
      <c r="E184"/>
      <c r="F184" s="363" t="str">
        <f>IF(SUM(COUNTIF(H184,{"*Girl*","*Women*","*Woman*","*Female*","*Wo*","*Fe*","*F*"})),"F","M")</f>
        <v>M</v>
      </c>
      <c r="G184" s="345" t="str">
        <f>IFERROR(IF(ISNUMBER(SEARCH("*",N184)),N184&amp;" "&amp;F184,IF(F184="M",LOOKUP(J184,AgeCategories!$A$3:$D$13),LOOKUP(J184,AgeCategories!$A$14:$D$24))),"Invalid Age")</f>
        <v>Lite M</v>
      </c>
      <c r="H184" s="175" t="s">
        <v>209</v>
      </c>
      <c r="I184" s="338">
        <f t="shared" si="52"/>
        <v>36948</v>
      </c>
      <c r="J184" s="364">
        <f>IFERROR(DATEDIF($I184,Helpers!$O$2,"y"),"ID No. needed")</f>
        <v>21</v>
      </c>
      <c r="K184" s="111"/>
      <c r="L184" s="300">
        <v>619059709</v>
      </c>
      <c r="M184" s="365" t="s">
        <v>1936</v>
      </c>
      <c r="N184" s="341" t="s">
        <v>2601</v>
      </c>
      <c r="O184" s="367" t="b">
        <v>1</v>
      </c>
      <c r="P184" s="241" t="b">
        <f>NOT(ISNA(VLOOKUP(A184,SortedDownload!A:A,1,FALSE)))</f>
        <v>1</v>
      </c>
      <c r="Q184" s="373" t="s">
        <v>2601</v>
      </c>
      <c r="R184" s="368"/>
      <c r="S184" s="235"/>
      <c r="T184" s="235"/>
      <c r="U184" s="369" t="s">
        <v>2195</v>
      </c>
      <c r="V184" s="337" t="str">
        <f t="shared" si="53"/>
        <v>-</v>
      </c>
      <c r="W184" s="339" t="str">
        <f t="shared" si="54"/>
        <v>Aaron Budke</v>
      </c>
      <c r="X184" s="345" t="str">
        <f t="shared" si="55"/>
        <v>Aaron</v>
      </c>
      <c r="Y184" s="345" t="str">
        <f t="shared" si="56"/>
        <v>Budke</v>
      </c>
      <c r="Z184" s="345" t="str">
        <f t="shared" si="57"/>
        <v>A.Budke</v>
      </c>
      <c r="AA184" s="378" t="str">
        <f t="shared" si="49"/>
        <v/>
      </c>
      <c r="AB184" s="378" t="str">
        <f t="shared" si="50"/>
        <v/>
      </c>
      <c r="AC184" s="345" t="str">
        <f>IFERROR(IF(ISNUMBER(SEARCH("*",N184)),N184&amp;" "&amp;F184,IF(F184="M",LOOKUP(J184,AgeCategories!$A$3:$F$11),LOOKUP(J184,AgeCategories!$A$14:$F$22))),"")</f>
        <v>Lite M</v>
      </c>
      <c r="AD184" s="370">
        <f t="shared" si="58"/>
        <v>36948</v>
      </c>
      <c r="AE184" s="345">
        <f t="shared" si="59"/>
        <v>21</v>
      </c>
      <c r="AF184" s="345" t="str">
        <f>IF(SUM(COUNTIF(H184,{"*Girl*","*Women*","*Woman*","*Female*","*Wo*","*Fe*","*F*"})),"F","M")</f>
        <v>M</v>
      </c>
      <c r="AG184" s="371"/>
      <c r="AH184" s="112"/>
      <c r="AI184" s="337" t="e">
        <f t="array" aca="1" ref="AI184" ca="1">(SMALL(IF(ISERROR(MATCH($AJ$3+ROW(OFFSET($A$3, 0,0, $AJ$4-$AJ$3+1))-2, $A$3:$A831,0)), $AJ$3+ROW(OFFSET($A$2,0, 0, $AJ$4-$AJ$3+1))-1), ROW(A183)))</f>
        <v>#NUM!</v>
      </c>
      <c r="AJ184" s="345">
        <f>Helpers!AY184</f>
        <v>0</v>
      </c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236"/>
      <c r="AV184" s="299"/>
      <c r="AW184" s="298" t="s">
        <v>2417</v>
      </c>
      <c r="AX184" s="56" t="s">
        <v>2526</v>
      </c>
      <c r="AY184" s="56"/>
      <c r="AZ184" s="56" t="s">
        <v>2538</v>
      </c>
      <c r="BA184" s="56"/>
    </row>
    <row r="185" spans="1:53" ht="13.5" thickBot="1">
      <c r="A185" s="111">
        <v>183</v>
      </c>
      <c r="B185" s="335" t="str">
        <f t="shared" ref="B185:B216" si="60">PROPER($C185&amp;" "&amp;$D185)</f>
        <v>Michael Sutton</v>
      </c>
      <c r="C185" s="116" t="s">
        <v>637</v>
      </c>
      <c r="D185" s="116" t="s">
        <v>1632</v>
      </c>
      <c r="E185"/>
      <c r="F185" s="363" t="str">
        <f>IF(SUM(COUNTIF(H185,{"*Girl*","*Women*","*Woman*","*Female*","*Wo*","*Fe*","*F*"})),"F","M")</f>
        <v>M</v>
      </c>
      <c r="G185" s="345" t="str">
        <f>IFERROR(IF(ISNUMBER(SEARCH("*",N185)),N185&amp;" "&amp;F185,IF(F185="M",LOOKUP(J185,AgeCategories!$A$3:$D$13),LOOKUP(J185,AgeCategories!$A$14:$D$24))),"Invalid Age")</f>
        <v>Lite M</v>
      </c>
      <c r="H185" s="175" t="s">
        <v>209</v>
      </c>
      <c r="I185" s="338">
        <f t="shared" ref="I185:I216" si="61">IFERROR(--TEXT(IF((--LEFT($M185,2))&lt;30,"20","19")&amp;LEFT($M185,6),"0000\-00\-00"),"ID No. needed")</f>
        <v>35789</v>
      </c>
      <c r="J185" s="364">
        <f>IFERROR(DATEDIF($I185,Helpers!$O$2,"y"),"ID No. needed")</f>
        <v>25</v>
      </c>
      <c r="K185" s="111"/>
      <c r="L185" s="300">
        <v>826233640</v>
      </c>
      <c r="M185" s="365" t="s">
        <v>1937</v>
      </c>
      <c r="N185" s="341" t="s">
        <v>2601</v>
      </c>
      <c r="O185" s="367" t="b">
        <v>1</v>
      </c>
      <c r="P185" s="241" t="b">
        <f>NOT(ISNA(VLOOKUP(A185,SortedDownload!A:A,1,FALSE)))</f>
        <v>1</v>
      </c>
      <c r="Q185" s="373" t="s">
        <v>2601</v>
      </c>
      <c r="R185" s="368"/>
      <c r="S185" s="235"/>
      <c r="T185" s="235"/>
      <c r="U185" s="369" t="s">
        <v>2196</v>
      </c>
      <c r="V185" s="337" t="str">
        <f t="shared" ref="V185:V216" si="62">IF(K185="", "-", K185)</f>
        <v>-</v>
      </c>
      <c r="W185" s="339" t="str">
        <f t="shared" ref="W185:W216" si="63">B185</f>
        <v>Michael Sutton</v>
      </c>
      <c r="X185" s="345" t="str">
        <f t="shared" ref="X185:X216" si="64">LEFT($W185, SEARCH(" ", $W185) - 1)</f>
        <v>Michael</v>
      </c>
      <c r="Y185" s="345" t="str">
        <f t="shared" ref="Y185:Y216" si="65">RIGHT($W185, LEN($W185) - SEARCH(" ", $W185))</f>
        <v>Sutton</v>
      </c>
      <c r="Z185" s="345" t="str">
        <f t="shared" ref="Z185:Z216" si="66">CONCATENATE(LEFT($X185,1),".",$Y185)</f>
        <v>M.Sutton</v>
      </c>
      <c r="AA185" s="378" t="str">
        <f t="shared" si="49"/>
        <v/>
      </c>
      <c r="AB185" s="378" t="str">
        <f t="shared" si="50"/>
        <v/>
      </c>
      <c r="AC185" s="345" t="str">
        <f>IFERROR(IF(ISNUMBER(SEARCH("*",N185)),N185&amp;" "&amp;F185,IF(F185="M",LOOKUP(J185,AgeCategories!$A$3:$F$11),LOOKUP(J185,AgeCategories!$A$14:$F$22))),"")</f>
        <v>Lite M</v>
      </c>
      <c r="AD185" s="370">
        <f t="shared" ref="AD185:AD216" si="67">--TEXT(IF((--LEFT($M185,2))&lt;30,"20","19")&amp;LEFT($M185,6),"0000\-00\-00")</f>
        <v>35789</v>
      </c>
      <c r="AE185" s="345">
        <f t="shared" ref="AE185:AE216" si="68">DATEDIF($I185,$V$1,"y")</f>
        <v>25</v>
      </c>
      <c r="AF185" s="345" t="str">
        <f>IF(SUM(COUNTIF(H185,{"*Girl*","*Women*","*Woman*","*Female*","*Wo*","*Fe*","*F*"})),"F","M")</f>
        <v>M</v>
      </c>
      <c r="AG185" s="371"/>
      <c r="AH185" s="112"/>
      <c r="AI185" s="337" t="e">
        <f t="array" aca="1" ref="AI185" ca="1">(SMALL(IF(ISERROR(MATCH($AJ$3+ROW(OFFSET($A$3, 0,0, $AJ$4-$AJ$3+1))-2, $A$3:$A832,0)), $AJ$3+ROW(OFFSET($A$2,0, 0, $AJ$4-$AJ$3+1))-1), ROW(A184)))</f>
        <v>#NUM!</v>
      </c>
      <c r="AJ185" s="345">
        <f>Helpers!AY185</f>
        <v>0</v>
      </c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236"/>
      <c r="AV185" s="299"/>
      <c r="AW185" s="298" t="s">
        <v>2418</v>
      </c>
      <c r="AX185" s="56" t="s">
        <v>2478</v>
      </c>
      <c r="AY185" s="56"/>
      <c r="AZ185" s="56" t="s">
        <v>2539</v>
      </c>
      <c r="BA185" s="56"/>
    </row>
    <row r="186" spans="1:53" ht="13.5" customHeight="1" thickBot="1">
      <c r="A186" s="111">
        <v>184</v>
      </c>
      <c r="B186" s="335" t="str">
        <f t="shared" si="60"/>
        <v>Leon Bartel</v>
      </c>
      <c r="C186" s="116" t="s">
        <v>1633</v>
      </c>
      <c r="D186" s="116" t="s">
        <v>1634</v>
      </c>
      <c r="E186"/>
      <c r="F186" s="363" t="str">
        <f>IF(SUM(COUNTIF(H186,{"*Girl*","*Women*","*Woman*","*Female*","*Wo*","*Fe*","*F*"})),"F","M")</f>
        <v>M</v>
      </c>
      <c r="G186" s="345" t="str">
        <f>IFERROR(IF(ISNUMBER(SEARCH("*",N186)),N186&amp;" "&amp;F186,IF(F186="M",LOOKUP(J186,AgeCategories!$A$3:$D$13),LOOKUP(J186,AgeCategories!$A$14:$D$24))),"Invalid Age")</f>
        <v>Elite Men</v>
      </c>
      <c r="H186" s="175" t="s">
        <v>209</v>
      </c>
      <c r="I186" s="338">
        <f t="shared" si="61"/>
        <v>34631</v>
      </c>
      <c r="J186" s="364">
        <f>IFERROR(DATEDIF($I186,Helpers!$O$2,"y"),"ID No. needed")</f>
        <v>28</v>
      </c>
      <c r="K186" s="111"/>
      <c r="L186" s="300">
        <v>784195225</v>
      </c>
      <c r="M186" s="365" t="s">
        <v>1938</v>
      </c>
      <c r="N186" s="366"/>
      <c r="O186" s="367" t="b">
        <v>1</v>
      </c>
      <c r="P186" s="241" t="b">
        <f>NOT(ISNA(VLOOKUP(A186,SortedDownload!A:A,1,FALSE)))</f>
        <v>1</v>
      </c>
      <c r="Q186" s="373" t="s">
        <v>2632</v>
      </c>
      <c r="R186" s="368"/>
      <c r="S186" s="235"/>
      <c r="T186" s="235"/>
      <c r="U186" s="369" t="s">
        <v>2197</v>
      </c>
      <c r="V186" s="337" t="str">
        <f t="shared" si="62"/>
        <v>-</v>
      </c>
      <c r="W186" s="339" t="str">
        <f t="shared" si="63"/>
        <v>Leon Bartel</v>
      </c>
      <c r="X186" s="345" t="str">
        <f t="shared" si="64"/>
        <v>Leon</v>
      </c>
      <c r="Y186" s="345" t="str">
        <f t="shared" si="65"/>
        <v>Bartel</v>
      </c>
      <c r="Z186" s="345" t="str">
        <f t="shared" si="66"/>
        <v>L.Bartel</v>
      </c>
      <c r="AA186" s="378" t="str">
        <f t="shared" si="49"/>
        <v/>
      </c>
      <c r="AB186" s="378" t="str">
        <f t="shared" si="50"/>
        <v/>
      </c>
      <c r="AC186" s="345" t="str">
        <f>IFERROR(IF(ISNUMBER(SEARCH("*",N186)),N186&amp;" "&amp;F186,IF(F186="M",LOOKUP(J186,AgeCategories!$A$3:$F$11),LOOKUP(J186,AgeCategories!$A$14:$F$22))),"")</f>
        <v>EM</v>
      </c>
      <c r="AD186" s="370">
        <f t="shared" si="67"/>
        <v>34631</v>
      </c>
      <c r="AE186" s="345">
        <f t="shared" si="68"/>
        <v>28</v>
      </c>
      <c r="AF186" s="345" t="str">
        <f>IF(SUM(COUNTIF(H186,{"*Girl*","*Women*","*Woman*","*Female*","*Wo*","*Fe*","*F*"})),"F","M")</f>
        <v>M</v>
      </c>
      <c r="AG186" s="371"/>
      <c r="AH186" s="112"/>
      <c r="AI186" s="337" t="e">
        <f t="array" aca="1" ref="AI186" ca="1">(SMALL(IF(ISERROR(MATCH($AJ$3+ROW(OFFSET($A$3, 0,0, $AJ$4-$AJ$3+1))-2, $A$3:$A833,0)), $AJ$3+ROW(OFFSET($A$2,0, 0, $AJ$4-$AJ$3+1))-1), ROW(A185)))</f>
        <v>#NUM!</v>
      </c>
      <c r="AJ186" s="345">
        <f>Helpers!AY186</f>
        <v>0</v>
      </c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236"/>
      <c r="AV186" s="299"/>
      <c r="AW186" s="298" t="s">
        <v>2419</v>
      </c>
      <c r="AX186" s="56" t="s">
        <v>2478</v>
      </c>
      <c r="AY186" s="56"/>
      <c r="AZ186" s="56" t="s">
        <v>2538</v>
      </c>
      <c r="BA186" s="56"/>
    </row>
    <row r="187" spans="1:53" ht="13.5" customHeight="1" thickBot="1">
      <c r="A187" s="111">
        <v>185</v>
      </c>
      <c r="B187" s="335" t="str">
        <f t="shared" si="60"/>
        <v>Clyde Hayward</v>
      </c>
      <c r="C187" s="116" t="s">
        <v>1635</v>
      </c>
      <c r="D187" s="116" t="s">
        <v>1437</v>
      </c>
      <c r="E187"/>
      <c r="F187" s="363" t="str">
        <f>IF(SUM(COUNTIF(H187,{"*Girl*","*Women*","*Woman*","*Female*","*Wo*","*Fe*","*F*"})),"F","M")</f>
        <v>M</v>
      </c>
      <c r="G187" s="345" t="str">
        <f>IFERROR(IF(ISNUMBER(SEARCH("*",N187)),N187&amp;" "&amp;F187,IF(F187="M",LOOKUP(J187,AgeCategories!$A$3:$D$13),LOOKUP(J187,AgeCategories!$A$14:$D$24))),"Invalid Age")</f>
        <v>Master Men</v>
      </c>
      <c r="H187" s="175" t="s">
        <v>209</v>
      </c>
      <c r="I187" s="338">
        <f t="shared" si="61"/>
        <v>27103</v>
      </c>
      <c r="J187" s="364">
        <f>IFERROR(DATEDIF($I187,Helpers!$O$2,"y"),"ID No. needed")</f>
        <v>48</v>
      </c>
      <c r="K187" s="111"/>
      <c r="L187" s="300">
        <v>27832323618</v>
      </c>
      <c r="M187" s="365" t="s">
        <v>1939</v>
      </c>
      <c r="N187" s="366"/>
      <c r="O187" s="367" t="b">
        <v>0</v>
      </c>
      <c r="P187" s="241" t="b">
        <f>NOT(ISNA(VLOOKUP(A187,SortedDownload!A:A,1,FALSE)))</f>
        <v>0</v>
      </c>
      <c r="Q187" s="373" t="s">
        <v>2632</v>
      </c>
      <c r="R187" s="368"/>
      <c r="S187" s="235"/>
      <c r="T187" s="235"/>
      <c r="U187" s="369" t="s">
        <v>2198</v>
      </c>
      <c r="V187" s="337" t="str">
        <f t="shared" si="62"/>
        <v>-</v>
      </c>
      <c r="W187" s="339" t="str">
        <f t="shared" si="63"/>
        <v>Clyde Hayward</v>
      </c>
      <c r="X187" s="345" t="str">
        <f t="shared" si="64"/>
        <v>Clyde</v>
      </c>
      <c r="Y187" s="345" t="str">
        <f t="shared" si="65"/>
        <v>Hayward</v>
      </c>
      <c r="Z187" s="345" t="str">
        <f t="shared" si="66"/>
        <v>C.Hayward</v>
      </c>
      <c r="AA187" s="378" t="str">
        <f t="shared" si="49"/>
        <v/>
      </c>
      <c r="AB187" s="378" t="str">
        <f t="shared" si="50"/>
        <v/>
      </c>
      <c r="AC187" s="345" t="str">
        <f>IFERROR(IF(ISNUMBER(SEARCH("*",N187)),N187&amp;" "&amp;F187,IF(F187="M",LOOKUP(J187,AgeCategories!$A$3:$F$11),LOOKUP(J187,AgeCategories!$A$14:$F$22))),"")</f>
        <v>MM</v>
      </c>
      <c r="AD187" s="370">
        <f t="shared" si="67"/>
        <v>27103</v>
      </c>
      <c r="AE187" s="345">
        <f t="shared" si="68"/>
        <v>48</v>
      </c>
      <c r="AF187" s="345" t="str">
        <f>IF(SUM(COUNTIF(H187,{"*Girl*","*Women*","*Woman*","*Female*","*Wo*","*Fe*","*F*"})),"F","M")</f>
        <v>M</v>
      </c>
      <c r="AG187" s="371"/>
      <c r="AH187" s="112"/>
      <c r="AI187" s="337" t="e">
        <f t="array" aca="1" ref="AI187" ca="1">(SMALL(IF(ISERROR(MATCH($AJ$3+ROW(OFFSET($A$3, 0,0, $AJ$4-$AJ$3+1))-2, $A$3:$A834,0)), $AJ$3+ROW(OFFSET($A$2,0, 0, $AJ$4-$AJ$3+1))-1), ROW(A186)))</f>
        <v>#NUM!</v>
      </c>
      <c r="AJ187" s="345">
        <f>Helpers!AY187</f>
        <v>0</v>
      </c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236"/>
      <c r="AV187" s="299"/>
      <c r="AW187" s="298" t="s">
        <v>2420</v>
      </c>
      <c r="AX187" s="56" t="s">
        <v>2478</v>
      </c>
      <c r="AY187" s="56"/>
      <c r="AZ187" s="56" t="s">
        <v>2537</v>
      </c>
      <c r="BA187" s="56"/>
    </row>
    <row r="188" spans="1:53" ht="13.5" thickBot="1">
      <c r="A188" s="111">
        <v>186</v>
      </c>
      <c r="B188" s="335" t="str">
        <f t="shared" si="60"/>
        <v>Jake Hayward</v>
      </c>
      <c r="C188" s="116" t="s">
        <v>1636</v>
      </c>
      <c r="D188" s="116" t="s">
        <v>1437</v>
      </c>
      <c r="E188"/>
      <c r="F188" s="363" t="str">
        <f>IF(SUM(COUNTIF(H188,{"*Girl*","*Women*","*Woman*","*Female*","*Wo*","*Fe*","*F*"})),"F","M")</f>
        <v>M</v>
      </c>
      <c r="G188" s="345" t="str">
        <f>IFERROR(IF(ISNUMBER(SEARCH("*",N188)),N188&amp;" "&amp;F188,IF(F188="M",LOOKUP(J188,AgeCategories!$A$3:$D$13),LOOKUP(J188,AgeCategories!$A$14:$D$24))),"Invalid Age")</f>
        <v>Lite M</v>
      </c>
      <c r="H188" s="175" t="s">
        <v>209</v>
      </c>
      <c r="I188" s="338">
        <f t="shared" si="61"/>
        <v>37746</v>
      </c>
      <c r="J188" s="364">
        <f>IFERROR(DATEDIF($I188,Helpers!$O$2,"y"),"ID No. needed")</f>
        <v>19</v>
      </c>
      <c r="K188" s="111"/>
      <c r="L188" s="300">
        <v>625083595</v>
      </c>
      <c r="M188" s="377" t="s">
        <v>2616</v>
      </c>
      <c r="N188" s="341" t="s">
        <v>2601</v>
      </c>
      <c r="O188" s="367" t="b">
        <v>0</v>
      </c>
      <c r="P188" s="241" t="b">
        <f>NOT(ISNA(VLOOKUP(A188,SortedDownload!A:A,1,FALSE)))</f>
        <v>0</v>
      </c>
      <c r="Q188" s="373" t="s">
        <v>2601</v>
      </c>
      <c r="R188" s="368"/>
      <c r="S188" s="235"/>
      <c r="T188" s="235"/>
      <c r="U188" s="369" t="s">
        <v>2199</v>
      </c>
      <c r="V188" s="337" t="str">
        <f t="shared" si="62"/>
        <v>-</v>
      </c>
      <c r="W188" s="339" t="str">
        <f t="shared" si="63"/>
        <v>Jake Hayward</v>
      </c>
      <c r="X188" s="345" t="str">
        <f t="shared" si="64"/>
        <v>Jake</v>
      </c>
      <c r="Y188" s="345" t="str">
        <f t="shared" si="65"/>
        <v>Hayward</v>
      </c>
      <c r="Z188" s="345" t="str">
        <f t="shared" si="66"/>
        <v>J.Hayward</v>
      </c>
      <c r="AA188" s="378" t="str">
        <f t="shared" si="49"/>
        <v/>
      </c>
      <c r="AB188" s="378" t="str">
        <f t="shared" si="50"/>
        <v/>
      </c>
      <c r="AC188" s="345" t="str">
        <f>IFERROR(IF(ISNUMBER(SEARCH("*",N188)),N188&amp;" "&amp;F188,IF(F188="M",LOOKUP(J188,AgeCategories!$A$3:$F$11),LOOKUP(J188,AgeCategories!$A$14:$F$22))),"")</f>
        <v>Lite M</v>
      </c>
      <c r="AD188" s="370">
        <f t="shared" si="67"/>
        <v>37746</v>
      </c>
      <c r="AE188" s="345">
        <f t="shared" si="68"/>
        <v>19</v>
      </c>
      <c r="AF188" s="345" t="str">
        <f>IF(SUM(COUNTIF(H188,{"*Girl*","*Women*","*Woman*","*Female*","*Wo*","*Fe*","*F*"})),"F","M")</f>
        <v>M</v>
      </c>
      <c r="AG188" s="371"/>
      <c r="AH188" s="112"/>
      <c r="AI188" s="337" t="e">
        <f t="array" aca="1" ref="AI188" ca="1">(SMALL(IF(ISERROR(MATCH($AJ$3+ROW(OFFSET($A$3, 0,0, $AJ$4-$AJ$3+1))-2, $A$3:$A835,0)), $AJ$3+ROW(OFFSET($A$2,0, 0, $AJ$4-$AJ$3+1))-1), ROW(A187)))</f>
        <v>#NUM!</v>
      </c>
      <c r="AJ188" s="345">
        <f>Helpers!AY188</f>
        <v>0</v>
      </c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236"/>
      <c r="AV188" s="299"/>
      <c r="AW188" s="298"/>
      <c r="AX188" s="56"/>
      <c r="AY188" s="56"/>
      <c r="AZ188" s="56"/>
      <c r="BA188" s="56"/>
    </row>
    <row r="189" spans="1:53" ht="13.5" customHeight="1" thickBot="1">
      <c r="A189" s="111">
        <v>187</v>
      </c>
      <c r="B189" s="335" t="str">
        <f t="shared" si="60"/>
        <v>James Owen</v>
      </c>
      <c r="C189" s="116" t="s">
        <v>649</v>
      </c>
      <c r="D189" s="116" t="s">
        <v>1637</v>
      </c>
      <c r="E189"/>
      <c r="F189" s="363" t="str">
        <f>IF(SUM(COUNTIF(H189,{"*Girl*","*Women*","*Woman*","*Female*","*Wo*","*Fe*","*F*"})),"F","M")</f>
        <v>M</v>
      </c>
      <c r="G189" s="345" t="str">
        <f>IFERROR(IF(ISNUMBER(SEARCH("*",N189)),N189&amp;" "&amp;F189,IF(F189="M",LOOKUP(J189,AgeCategories!$A$3:$D$13),LOOKUP(J189,AgeCategories!$A$14:$D$24))),"Invalid Age")</f>
        <v>Master Men</v>
      </c>
      <c r="H189" s="175" t="s">
        <v>209</v>
      </c>
      <c r="I189" s="338">
        <f t="shared" si="61"/>
        <v>33948</v>
      </c>
      <c r="J189" s="364">
        <f>IFERROR(DATEDIF($I189,Helpers!$O$2,"y"),"ID No. needed")</f>
        <v>30</v>
      </c>
      <c r="K189" s="111"/>
      <c r="L189" s="300">
        <v>744445087</v>
      </c>
      <c r="M189" s="365" t="s">
        <v>1941</v>
      </c>
      <c r="N189" s="366"/>
      <c r="O189" s="367" t="b">
        <v>1</v>
      </c>
      <c r="P189" s="241" t="b">
        <f>NOT(ISNA(VLOOKUP(A189,SortedDownload!A:A,1,FALSE)))</f>
        <v>1</v>
      </c>
      <c r="Q189" s="373" t="s">
        <v>2632</v>
      </c>
      <c r="R189" s="368"/>
      <c r="S189" s="235"/>
      <c r="T189" s="235"/>
      <c r="U189" s="369" t="s">
        <v>2200</v>
      </c>
      <c r="V189" s="337" t="str">
        <f t="shared" si="62"/>
        <v>-</v>
      </c>
      <c r="W189" s="339" t="str">
        <f t="shared" si="63"/>
        <v>James Owen</v>
      </c>
      <c r="X189" s="345" t="str">
        <f t="shared" si="64"/>
        <v>James</v>
      </c>
      <c r="Y189" s="345" t="str">
        <f t="shared" si="65"/>
        <v>Owen</v>
      </c>
      <c r="Z189" s="345" t="str">
        <f t="shared" si="66"/>
        <v>J.Owen</v>
      </c>
      <c r="AA189" s="378" t="str">
        <f t="shared" si="49"/>
        <v/>
      </c>
      <c r="AB189" s="378" t="str">
        <f t="shared" si="50"/>
        <v/>
      </c>
      <c r="AC189" s="345" t="str">
        <f>IFERROR(IF(ISNUMBER(SEARCH("*",N189)),N189&amp;" "&amp;F189,IF(F189="M",LOOKUP(J189,AgeCategories!$A$3:$F$11),LOOKUP(J189,AgeCategories!$A$14:$F$22))),"")</f>
        <v>MM</v>
      </c>
      <c r="AD189" s="370">
        <f t="shared" si="67"/>
        <v>33948</v>
      </c>
      <c r="AE189" s="345">
        <f t="shared" si="68"/>
        <v>30</v>
      </c>
      <c r="AF189" s="345" t="str">
        <f>IF(SUM(COUNTIF(H189,{"*Girl*","*Women*","*Woman*","*Female*","*Wo*","*Fe*","*F*"})),"F","M")</f>
        <v>M</v>
      </c>
      <c r="AG189" s="371"/>
      <c r="AH189" s="112"/>
      <c r="AI189" s="337" t="e">
        <f t="array" aca="1" ref="AI189" ca="1">(SMALL(IF(ISERROR(MATCH($AJ$3+ROW(OFFSET($A$3, 0,0, $AJ$4-$AJ$3+1))-2, $A$3:$A836,0)), $AJ$3+ROW(OFFSET($A$2,0, 0, $AJ$4-$AJ$3+1))-1), ROW(A188)))</f>
        <v>#NUM!</v>
      </c>
      <c r="AJ189" s="345">
        <f>Helpers!AY189</f>
        <v>0</v>
      </c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236"/>
      <c r="AV189" s="299"/>
      <c r="AW189" s="298"/>
      <c r="AX189" s="56" t="s">
        <v>2478</v>
      </c>
      <c r="AY189" s="56"/>
      <c r="AZ189" s="56" t="s">
        <v>2537</v>
      </c>
      <c r="BA189" s="56"/>
    </row>
    <row r="190" spans="1:53" ht="13.5" customHeight="1" thickBot="1">
      <c r="A190" s="111">
        <v>283</v>
      </c>
      <c r="B190" s="335" t="str">
        <f t="shared" si="60"/>
        <v>Adrian Kritzinger</v>
      </c>
      <c r="C190" s="116" t="s">
        <v>1638</v>
      </c>
      <c r="D190" s="116" t="s">
        <v>1639</v>
      </c>
      <c r="E190"/>
      <c r="F190" s="363" t="str">
        <f>IF(SUM(COUNTIF(H190,{"*Girl*","*Women*","*Woman*","*Female*","*Wo*","*Fe*","*F*"})),"F","M")</f>
        <v>M</v>
      </c>
      <c r="G190" s="345" t="str">
        <f>IFERROR(IF(ISNUMBER(SEARCH("*",N190)),N190&amp;" "&amp;F190,IF(F190="M",LOOKUP(J190,AgeCategories!$A$3:$D$13),LOOKUP(J190,AgeCategories!$A$14:$D$24))),"Invalid Age")</f>
        <v>Master Men</v>
      </c>
      <c r="H190" s="175" t="s">
        <v>209</v>
      </c>
      <c r="I190" s="338">
        <f t="shared" si="61"/>
        <v>33318</v>
      </c>
      <c r="J190" s="364">
        <f>IFERROR(DATEDIF($I190,Helpers!$O$2,"y"),"ID No. needed")</f>
        <v>31</v>
      </c>
      <c r="K190" s="111"/>
      <c r="L190" s="300">
        <v>747000812</v>
      </c>
      <c r="M190" s="365" t="s">
        <v>1942</v>
      </c>
      <c r="N190" s="366"/>
      <c r="O190" s="367" t="b">
        <v>1</v>
      </c>
      <c r="P190" s="241" t="b">
        <f>NOT(ISNA(VLOOKUP(A190,SortedDownload!A:A,1,FALSE)))</f>
        <v>1</v>
      </c>
      <c r="Q190" s="373" t="s">
        <v>2631</v>
      </c>
      <c r="R190" s="368"/>
      <c r="S190" s="235"/>
      <c r="T190" s="235"/>
      <c r="U190" s="369" t="s">
        <v>2201</v>
      </c>
      <c r="V190" s="337" t="str">
        <f t="shared" si="62"/>
        <v>-</v>
      </c>
      <c r="W190" s="339" t="str">
        <f t="shared" si="63"/>
        <v>Adrian Kritzinger</v>
      </c>
      <c r="X190" s="345" t="str">
        <f t="shared" si="64"/>
        <v>Adrian</v>
      </c>
      <c r="Y190" s="345" t="str">
        <f t="shared" si="65"/>
        <v>Kritzinger</v>
      </c>
      <c r="Z190" s="345" t="str">
        <f t="shared" si="66"/>
        <v>A.Kritzinger</v>
      </c>
      <c r="AA190" s="378" t="str">
        <f t="shared" si="49"/>
        <v/>
      </c>
      <c r="AB190" s="378" t="str">
        <f t="shared" si="50"/>
        <v/>
      </c>
      <c r="AC190" s="345" t="str">
        <f>IFERROR(IF(ISNUMBER(SEARCH("*",N190)),N190&amp;" "&amp;F190,IF(F190="M",LOOKUP(J190,AgeCategories!$A$3:$F$11),LOOKUP(J190,AgeCategories!$A$14:$F$22))),"")</f>
        <v>MM</v>
      </c>
      <c r="AD190" s="370">
        <f t="shared" si="67"/>
        <v>33318</v>
      </c>
      <c r="AE190" s="345">
        <f t="shared" si="68"/>
        <v>31</v>
      </c>
      <c r="AF190" s="345" t="str">
        <f>IF(SUM(COUNTIF(H190,{"*Girl*","*Women*","*Woman*","*Female*","*Wo*","*Fe*","*F*"})),"F","M")</f>
        <v>M</v>
      </c>
      <c r="AG190" s="371"/>
      <c r="AH190" s="112"/>
      <c r="AI190" s="337" t="e">
        <f t="array" aca="1" ref="AI190" ca="1">(SMALL(IF(ISERROR(MATCH($AJ$3+ROW(OFFSET($A$3, 0,0, $AJ$4-$AJ$3+1))-2, $A$3:$A837,0)), $AJ$3+ROW(OFFSET($A$2,0, 0, $AJ$4-$AJ$3+1))-1), ROW(A189)))</f>
        <v>#NUM!</v>
      </c>
      <c r="AJ190" s="345">
        <f>Helpers!AY190</f>
        <v>0</v>
      </c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236"/>
      <c r="AV190" s="299"/>
      <c r="AW190" s="298" t="s">
        <v>2421</v>
      </c>
      <c r="AX190" s="56" t="s">
        <v>2478</v>
      </c>
      <c r="AY190" s="56"/>
      <c r="AZ190" s="56" t="s">
        <v>2537</v>
      </c>
      <c r="BA190" s="56"/>
    </row>
    <row r="191" spans="1:53" ht="13.5" thickBot="1">
      <c r="A191" s="111">
        <v>189</v>
      </c>
      <c r="B191" s="335" t="str">
        <f t="shared" si="60"/>
        <v>Duncan Sephton</v>
      </c>
      <c r="C191" s="116" t="s">
        <v>1640</v>
      </c>
      <c r="D191" s="116" t="s">
        <v>1641</v>
      </c>
      <c r="E191"/>
      <c r="F191" s="363" t="str">
        <f>IF(SUM(COUNTIF(H191,{"*Girl*","*Women*","*Woman*","*Female*","*Wo*","*Fe*","*F*"})),"F","M")</f>
        <v>M</v>
      </c>
      <c r="G191" s="345" t="str">
        <f>IFERROR(IF(ISNUMBER(SEARCH("*",N191)),N191&amp;" "&amp;F191,IF(F191="M",LOOKUP(J191,AgeCategories!$A$3:$D$13),LOOKUP(J191,AgeCategories!$A$14:$D$24))),"Invalid Age")</f>
        <v>Lite M</v>
      </c>
      <c r="H191" s="175" t="s">
        <v>209</v>
      </c>
      <c r="I191" s="338">
        <f t="shared" si="61"/>
        <v>36738</v>
      </c>
      <c r="J191" s="364">
        <f>IFERROR(DATEDIF($I191,Helpers!$O$2,"y"),"ID No. needed")</f>
        <v>22</v>
      </c>
      <c r="K191" s="111"/>
      <c r="L191" s="300">
        <v>721696069</v>
      </c>
      <c r="M191" s="365" t="s">
        <v>1943</v>
      </c>
      <c r="N191" s="341" t="s">
        <v>2601</v>
      </c>
      <c r="O191" s="367" t="b">
        <v>1</v>
      </c>
      <c r="P191" s="241" t="b">
        <f>NOT(ISNA(VLOOKUP(A191,SortedDownload!A:A,1,FALSE)))</f>
        <v>1</v>
      </c>
      <c r="Q191" s="373" t="s">
        <v>2601</v>
      </c>
      <c r="R191" s="368"/>
      <c r="S191" s="235"/>
      <c r="T191" s="235"/>
      <c r="U191" s="369" t="s">
        <v>2202</v>
      </c>
      <c r="V191" s="337" t="str">
        <f t="shared" si="62"/>
        <v>-</v>
      </c>
      <c r="W191" s="339" t="str">
        <f t="shared" si="63"/>
        <v>Duncan Sephton</v>
      </c>
      <c r="X191" s="345" t="str">
        <f t="shared" si="64"/>
        <v>Duncan</v>
      </c>
      <c r="Y191" s="345" t="str">
        <f t="shared" si="65"/>
        <v>Sephton</v>
      </c>
      <c r="Z191" s="345" t="str">
        <f t="shared" si="66"/>
        <v>D.Sephton</v>
      </c>
      <c r="AA191" s="378" t="str">
        <f t="shared" si="49"/>
        <v/>
      </c>
      <c r="AB191" s="378" t="str">
        <f t="shared" si="50"/>
        <v/>
      </c>
      <c r="AC191" s="345" t="str">
        <f>IFERROR(IF(ISNUMBER(SEARCH("*",N191)),N191&amp;" "&amp;F191,IF(F191="M",LOOKUP(J191,AgeCategories!$A$3:$F$11),LOOKUP(J191,AgeCategories!$A$14:$F$22))),"")</f>
        <v>Lite M</v>
      </c>
      <c r="AD191" s="370">
        <f t="shared" si="67"/>
        <v>36738</v>
      </c>
      <c r="AE191" s="345">
        <f t="shared" si="68"/>
        <v>22</v>
      </c>
      <c r="AF191" s="345" t="str">
        <f>IF(SUM(COUNTIF(H191,{"*Girl*","*Women*","*Woman*","*Female*","*Wo*","*Fe*","*F*"})),"F","M")</f>
        <v>M</v>
      </c>
      <c r="AG191" s="371"/>
      <c r="AH191" s="112"/>
      <c r="AI191" s="337" t="e">
        <f t="array" aca="1" ref="AI191" ca="1">(SMALL(IF(ISERROR(MATCH($AJ$3+ROW(OFFSET($A$3, 0,0, $AJ$4-$AJ$3+1))-2, $A$3:$A838,0)), $AJ$3+ROW(OFFSET($A$2,0, 0, $AJ$4-$AJ$3+1))-1), ROW(A190)))</f>
        <v>#NUM!</v>
      </c>
      <c r="AJ191" s="345">
        <f>Helpers!AY191</f>
        <v>0</v>
      </c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236"/>
      <c r="AV191" s="299"/>
      <c r="AW191" s="298" t="s">
        <v>2422</v>
      </c>
      <c r="AX191" s="56" t="s">
        <v>2491</v>
      </c>
      <c r="AY191" s="56" t="s">
        <v>2277</v>
      </c>
      <c r="AZ191" s="56" t="s">
        <v>2540</v>
      </c>
      <c r="BA191" s="56"/>
    </row>
    <row r="192" spans="1:53" ht="13.5" customHeight="1" thickBot="1">
      <c r="A192" s="111">
        <v>190</v>
      </c>
      <c r="B192" s="335" t="str">
        <f t="shared" si="60"/>
        <v>Theuns Louw</v>
      </c>
      <c r="C192" s="116" t="s">
        <v>1642</v>
      </c>
      <c r="D192" s="116" t="s">
        <v>1643</v>
      </c>
      <c r="E192"/>
      <c r="F192" s="363" t="str">
        <f>IF(SUM(COUNTIF(H192,{"*Girl*","*Women*","*Woman*","*Female*","*Wo*","*Fe*","*F*"})),"F","M")</f>
        <v>M</v>
      </c>
      <c r="G192" s="345" t="str">
        <f>IFERROR(IF(ISNUMBER(SEARCH("*",N192)),N192&amp;" "&amp;F192,IF(F192="M",LOOKUP(J192,AgeCategories!$A$3:$D$13),LOOKUP(J192,AgeCategories!$A$14:$D$24))),"Invalid Age")</f>
        <v>Master Men</v>
      </c>
      <c r="H192" s="175" t="s">
        <v>209</v>
      </c>
      <c r="I192" s="338">
        <f t="shared" si="61"/>
        <v>32763</v>
      </c>
      <c r="J192" s="364">
        <f>IFERROR(DATEDIF($I192,Helpers!$O$2,"y"),"ID No. needed")</f>
        <v>33</v>
      </c>
      <c r="K192" s="111"/>
      <c r="L192" s="300">
        <v>727695620</v>
      </c>
      <c r="M192" s="365" t="s">
        <v>1944</v>
      </c>
      <c r="N192" s="366"/>
      <c r="O192" s="367" t="b">
        <v>1</v>
      </c>
      <c r="P192" s="241" t="b">
        <f>NOT(ISNA(VLOOKUP(A192,SortedDownload!A:A,1,FALSE)))</f>
        <v>1</v>
      </c>
      <c r="Q192" s="373" t="s">
        <v>2728</v>
      </c>
      <c r="R192" s="368"/>
      <c r="S192" s="235"/>
      <c r="T192" s="235"/>
      <c r="U192" s="369" t="s">
        <v>2203</v>
      </c>
      <c r="V192" s="337" t="str">
        <f t="shared" si="62"/>
        <v>-</v>
      </c>
      <c r="W192" s="339" t="str">
        <f t="shared" si="63"/>
        <v>Theuns Louw</v>
      </c>
      <c r="X192" s="345" t="str">
        <f t="shared" si="64"/>
        <v>Theuns</v>
      </c>
      <c r="Y192" s="345" t="str">
        <f t="shared" si="65"/>
        <v>Louw</v>
      </c>
      <c r="Z192" s="345" t="str">
        <f t="shared" si="66"/>
        <v>T.Louw</v>
      </c>
      <c r="AA192" s="378" t="str">
        <f t="shared" si="49"/>
        <v/>
      </c>
      <c r="AB192" s="378" t="str">
        <f t="shared" si="50"/>
        <v/>
      </c>
      <c r="AC192" s="345" t="str">
        <f>IFERROR(IF(ISNUMBER(SEARCH("*",N192)),N192&amp;" "&amp;F192,IF(F192="M",LOOKUP(J192,AgeCategories!$A$3:$F$11),LOOKUP(J192,AgeCategories!$A$14:$F$22))),"")</f>
        <v>MM</v>
      </c>
      <c r="AD192" s="370">
        <f t="shared" si="67"/>
        <v>32763</v>
      </c>
      <c r="AE192" s="345">
        <f t="shared" si="68"/>
        <v>33</v>
      </c>
      <c r="AF192" s="345" t="str">
        <f>IF(SUM(COUNTIF(H192,{"*Girl*","*Women*","*Woman*","*Female*","*Wo*","*Fe*","*F*"})),"F","M")</f>
        <v>M</v>
      </c>
      <c r="AG192" s="371"/>
      <c r="AH192" s="112"/>
      <c r="AI192" s="337" t="e">
        <f t="array" aca="1" ref="AI192" ca="1">(SMALL(IF(ISERROR(MATCH($AJ$3+ROW(OFFSET($A$3, 0,0, $AJ$4-$AJ$3+1))-2, $A$3:$A839,0)), $AJ$3+ROW(OFFSET($A$2,0, 0, $AJ$4-$AJ$3+1))-1), ROW(A191)))</f>
        <v>#NUM!</v>
      </c>
      <c r="AJ192" s="345">
        <f>Helpers!AY192</f>
        <v>0</v>
      </c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236"/>
      <c r="AV192" s="299"/>
      <c r="AW192" s="298"/>
      <c r="AX192" s="56"/>
      <c r="AY192" s="56"/>
      <c r="AZ192" s="56" t="s">
        <v>2537</v>
      </c>
      <c r="BA192" s="56"/>
    </row>
    <row r="193" spans="1:53" ht="13.5" thickBot="1">
      <c r="A193" s="111">
        <v>191</v>
      </c>
      <c r="B193" s="335" t="str">
        <f t="shared" si="60"/>
        <v>Pieter Heyns</v>
      </c>
      <c r="C193" s="116" t="s">
        <v>1477</v>
      </c>
      <c r="D193" s="116" t="s">
        <v>1644</v>
      </c>
      <c r="E193"/>
      <c r="F193" s="363" t="str">
        <f>IF(SUM(COUNTIF(H193,{"*Girl*","*Women*","*Woman*","*Female*","*Wo*","*Fe*","*F*"})),"F","M")</f>
        <v>M</v>
      </c>
      <c r="G193" s="345" t="str">
        <f>IFERROR(IF(ISNUMBER(SEARCH("*",N193)),N193&amp;" "&amp;F193,IF(F193="M",LOOKUP(J193,AgeCategories!$A$3:$D$13),LOOKUP(J193,AgeCategories!$A$14:$D$24))),"Invalid Age")</f>
        <v>Lite M</v>
      </c>
      <c r="H193" s="175" t="s">
        <v>209</v>
      </c>
      <c r="I193" s="338">
        <f t="shared" si="61"/>
        <v>38596</v>
      </c>
      <c r="J193" s="364">
        <f>IFERROR(DATEDIF($I193,Helpers!$O$2,"y"),"ID No. needed")</f>
        <v>17</v>
      </c>
      <c r="K193" s="111"/>
      <c r="L193" s="300">
        <v>715378748</v>
      </c>
      <c r="M193" s="365" t="s">
        <v>1945</v>
      </c>
      <c r="N193" s="341" t="s">
        <v>2601</v>
      </c>
      <c r="O193" s="367" t="b">
        <v>1</v>
      </c>
      <c r="P193" s="241" t="b">
        <f>NOT(ISNA(VLOOKUP(A193,SortedDownload!A:A,1,FALSE)))</f>
        <v>1</v>
      </c>
      <c r="Q193" s="373" t="s">
        <v>2601</v>
      </c>
      <c r="R193" s="368"/>
      <c r="S193" s="235"/>
      <c r="T193" s="235"/>
      <c r="U193" s="369" t="s">
        <v>2204</v>
      </c>
      <c r="V193" s="337" t="str">
        <f t="shared" si="62"/>
        <v>-</v>
      </c>
      <c r="W193" s="339" t="str">
        <f t="shared" si="63"/>
        <v>Pieter Heyns</v>
      </c>
      <c r="X193" s="345" t="str">
        <f t="shared" si="64"/>
        <v>Pieter</v>
      </c>
      <c r="Y193" s="345" t="str">
        <f t="shared" si="65"/>
        <v>Heyns</v>
      </c>
      <c r="Z193" s="345" t="str">
        <f t="shared" si="66"/>
        <v>P.Heyns</v>
      </c>
      <c r="AA193" s="378" t="str">
        <f t="shared" si="49"/>
        <v/>
      </c>
      <c r="AB193" s="378" t="str">
        <f t="shared" si="50"/>
        <v/>
      </c>
      <c r="AC193" s="345" t="str">
        <f>IFERROR(IF(ISNUMBER(SEARCH("*",N193)),N193&amp;" "&amp;F193,IF(F193="M",LOOKUP(J193,AgeCategories!$A$3:$F$11),LOOKUP(J193,AgeCategories!$A$14:$F$22))),"")</f>
        <v>Lite M</v>
      </c>
      <c r="AD193" s="370">
        <f t="shared" si="67"/>
        <v>38596</v>
      </c>
      <c r="AE193" s="345">
        <f t="shared" si="68"/>
        <v>17</v>
      </c>
      <c r="AF193" s="345" t="str">
        <f>IF(SUM(COUNTIF(H193,{"*Girl*","*Women*","*Woman*","*Female*","*Wo*","*Fe*","*F*"})),"F","M")</f>
        <v>M</v>
      </c>
      <c r="AG193" s="371"/>
      <c r="AH193" s="112"/>
      <c r="AI193" s="337" t="e">
        <f t="array" aca="1" ref="AI193" ca="1">(SMALL(IF(ISERROR(MATCH($AJ$3+ROW(OFFSET($A$3, 0,0, $AJ$4-$AJ$3+1))-2, $A$3:$A840,0)), $AJ$3+ROW(OFFSET($A$2,0, 0, $AJ$4-$AJ$3+1))-1), ROW(A192)))</f>
        <v>#NUM!</v>
      </c>
      <c r="AJ193" s="345">
        <f>Helpers!AY193</f>
        <v>0</v>
      </c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236"/>
      <c r="AV193" s="299"/>
      <c r="AW193" s="298" t="s">
        <v>2423</v>
      </c>
      <c r="AX193" s="56" t="s">
        <v>2482</v>
      </c>
      <c r="AY193" s="56" t="s">
        <v>2576</v>
      </c>
      <c r="AZ193" s="56" t="s">
        <v>2537</v>
      </c>
      <c r="BA193" s="56"/>
    </row>
    <row r="194" spans="1:53" ht="13.5" customHeight="1" thickBot="1">
      <c r="A194" s="111">
        <v>192</v>
      </c>
      <c r="B194" s="335" t="str">
        <f t="shared" si="60"/>
        <v>Duran Van Eeden</v>
      </c>
      <c r="C194" s="116" t="s">
        <v>1645</v>
      </c>
      <c r="D194" s="116" t="s">
        <v>1646</v>
      </c>
      <c r="E194"/>
      <c r="F194" s="363" t="str">
        <f>IF(SUM(COUNTIF(H194,{"*Girl*","*Women*","*Woman*","*Female*","*Wo*","*Fe*","*F*"})),"F","M")</f>
        <v>M</v>
      </c>
      <c r="G194" s="345" t="str">
        <f>IFERROR(IF(ISNUMBER(SEARCH("*",N194)),N194&amp;" "&amp;F194,IF(F194="M",LOOKUP(J194,AgeCategories!$A$3:$D$13),LOOKUP(J194,AgeCategories!$A$14:$D$24))),"Invalid Age")</f>
        <v>E-Bike M</v>
      </c>
      <c r="H194" s="175" t="s">
        <v>209</v>
      </c>
      <c r="I194" s="338">
        <f t="shared" si="61"/>
        <v>33794</v>
      </c>
      <c r="J194" s="364">
        <f>IFERROR(DATEDIF($I194,Helpers!$O$2,"y"),"ID No. needed")</f>
        <v>30</v>
      </c>
      <c r="K194" s="111"/>
      <c r="L194" s="300">
        <v>838650503</v>
      </c>
      <c r="M194" s="365" t="s">
        <v>1946</v>
      </c>
      <c r="N194" s="366" t="s">
        <v>560</v>
      </c>
      <c r="O194" s="367" t="b">
        <v>1</v>
      </c>
      <c r="P194" s="241" t="b">
        <f>NOT(ISNA(VLOOKUP(A194,SortedDownload!A:A,1,FALSE)))</f>
        <v>1</v>
      </c>
      <c r="Q194" s="373" t="s">
        <v>2729</v>
      </c>
      <c r="R194" s="368"/>
      <c r="S194" s="235"/>
      <c r="T194" s="235"/>
      <c r="U194" s="369" t="s">
        <v>2205</v>
      </c>
      <c r="V194" s="337" t="str">
        <f t="shared" si="62"/>
        <v>-</v>
      </c>
      <c r="W194" s="339" t="str">
        <f t="shared" si="63"/>
        <v>Duran Van Eeden</v>
      </c>
      <c r="X194" s="345" t="str">
        <f t="shared" si="64"/>
        <v>Duran</v>
      </c>
      <c r="Y194" s="345" t="str">
        <f t="shared" si="65"/>
        <v>Van Eeden</v>
      </c>
      <c r="Z194" s="345" t="str">
        <f t="shared" si="66"/>
        <v>D.Van Eeden</v>
      </c>
      <c r="AA194" s="378" t="str">
        <f t="shared" si="49"/>
        <v/>
      </c>
      <c r="AB194" s="378" t="str">
        <f t="shared" si="50"/>
        <v/>
      </c>
      <c r="AC194" s="345" t="str">
        <f>IFERROR(IF(ISNUMBER(SEARCH("*",N194)),N194&amp;" "&amp;F194,IF(F194="M",LOOKUP(J194,AgeCategories!$A$3:$F$11),LOOKUP(J194,AgeCategories!$A$14:$F$22))),"")</f>
        <v>E-Bike M</v>
      </c>
      <c r="AD194" s="370">
        <f t="shared" si="67"/>
        <v>33794</v>
      </c>
      <c r="AE194" s="345">
        <f t="shared" si="68"/>
        <v>30</v>
      </c>
      <c r="AF194" s="345" t="str">
        <f>IF(SUM(COUNTIF(H194,{"*Girl*","*Women*","*Woman*","*Female*","*Wo*","*Fe*","*F*"})),"F","M")</f>
        <v>M</v>
      </c>
      <c r="AG194" s="371"/>
      <c r="AH194" s="112"/>
      <c r="AI194" s="337" t="e">
        <f t="array" aca="1" ref="AI194" ca="1">(SMALL(IF(ISERROR(MATCH($AJ$3+ROW(OFFSET($A$3, 0,0, $AJ$4-$AJ$3+1))-2, $A$3:$A841,0)), $AJ$3+ROW(OFFSET($A$2,0, 0, $AJ$4-$AJ$3+1))-1), ROW(A193)))</f>
        <v>#NUM!</v>
      </c>
      <c r="AJ194" s="345">
        <f>Helpers!AY194</f>
        <v>0</v>
      </c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236"/>
      <c r="AV194" s="299"/>
      <c r="AW194" s="298"/>
      <c r="AX194" s="56" t="s">
        <v>2527</v>
      </c>
      <c r="AY194" s="56" t="s">
        <v>2577</v>
      </c>
      <c r="AZ194" s="56" t="s">
        <v>2537</v>
      </c>
      <c r="BA194" s="56"/>
    </row>
    <row r="195" spans="1:53" ht="13.5" customHeight="1" thickBot="1">
      <c r="A195" s="111">
        <v>193</v>
      </c>
      <c r="B195" s="335" t="str">
        <f t="shared" si="60"/>
        <v>Justin Novella</v>
      </c>
      <c r="C195" s="116" t="s">
        <v>640</v>
      </c>
      <c r="D195" s="116" t="s">
        <v>1647</v>
      </c>
      <c r="E195"/>
      <c r="F195" s="363" t="str">
        <f>IF(SUM(COUNTIF(H195,{"*Girl*","*Women*","*Woman*","*Female*","*Wo*","*Fe*","*F*"})),"F","M")</f>
        <v>M</v>
      </c>
      <c r="G195" s="345" t="str">
        <f>IFERROR(IF(ISNUMBER(SEARCH("*",N195)),N195&amp;" "&amp;F195,IF(F195="M",LOOKUP(J195,AgeCategories!$A$3:$D$13),LOOKUP(J195,AgeCategories!$A$14:$D$24))),"Invalid Age")</f>
        <v>E-Bike M</v>
      </c>
      <c r="H195" s="175" t="s">
        <v>209</v>
      </c>
      <c r="I195" s="338">
        <f t="shared" si="61"/>
        <v>32577</v>
      </c>
      <c r="J195" s="364">
        <f>IFERROR(DATEDIF($I195,Helpers!$O$2,"y"),"ID No. needed")</f>
        <v>33</v>
      </c>
      <c r="K195" s="111"/>
      <c r="L195" s="300">
        <v>833685629</v>
      </c>
      <c r="M195" s="365" t="s">
        <v>1947</v>
      </c>
      <c r="N195" s="366" t="s">
        <v>560</v>
      </c>
      <c r="O195" s="367" t="b">
        <v>1</v>
      </c>
      <c r="P195" s="241" t="b">
        <f>NOT(ISNA(VLOOKUP(A195,SortedDownload!A:A,1,FALSE)))</f>
        <v>1</v>
      </c>
      <c r="Q195" s="373" t="s">
        <v>2729</v>
      </c>
      <c r="R195" s="368"/>
      <c r="S195" s="235"/>
      <c r="T195" s="235"/>
      <c r="U195" s="369" t="s">
        <v>2206</v>
      </c>
      <c r="V195" s="337" t="str">
        <f t="shared" si="62"/>
        <v>-</v>
      </c>
      <c r="W195" s="339" t="str">
        <f t="shared" si="63"/>
        <v>Justin Novella</v>
      </c>
      <c r="X195" s="345" t="str">
        <f t="shared" si="64"/>
        <v>Justin</v>
      </c>
      <c r="Y195" s="345" t="str">
        <f t="shared" si="65"/>
        <v>Novella</v>
      </c>
      <c r="Z195" s="345" t="str">
        <f t="shared" si="66"/>
        <v>J.Novella</v>
      </c>
      <c r="AA195" s="378" t="str">
        <f t="shared" ref="AA195:AA258" si="69">IF(COUNTIF($B$3:$B$291, $B195)&gt;1, "Duplicate", "")</f>
        <v/>
      </c>
      <c r="AB195" s="378" t="str">
        <f t="shared" ref="AB195:AB258" si="70">IF( COUNTIF($A$3:$A$291,$A195)&gt;1, "Duplicate", "")</f>
        <v/>
      </c>
      <c r="AC195" s="345" t="str">
        <f>IFERROR(IF(ISNUMBER(SEARCH("*",N195)),N195&amp;" "&amp;F195,IF(F195="M",LOOKUP(J195,AgeCategories!$A$3:$F$11),LOOKUP(J195,AgeCategories!$A$14:$F$22))),"")</f>
        <v>E-Bike M</v>
      </c>
      <c r="AD195" s="370">
        <f t="shared" si="67"/>
        <v>32577</v>
      </c>
      <c r="AE195" s="345">
        <f t="shared" si="68"/>
        <v>33</v>
      </c>
      <c r="AF195" s="345" t="str">
        <f>IF(SUM(COUNTIF(H195,{"*Girl*","*Women*","*Woman*","*Female*","*Wo*","*Fe*","*F*"})),"F","M")</f>
        <v>M</v>
      </c>
      <c r="AG195" s="371"/>
      <c r="AH195" s="112"/>
      <c r="AI195" s="337" t="e">
        <f t="array" aca="1" ref="AI195" ca="1">(SMALL(IF(ISERROR(MATCH($AJ$3+ROW(OFFSET($A$3, 0,0, $AJ$4-$AJ$3+1))-2, $A$3:$A842,0)), $AJ$3+ROW(OFFSET($A$2,0, 0, $AJ$4-$AJ$3+1))-1), ROW(A194)))</f>
        <v>#NUM!</v>
      </c>
      <c r="AJ195" s="345">
        <f>Helpers!AY195</f>
        <v>0</v>
      </c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236"/>
      <c r="AV195" s="299"/>
      <c r="AW195" s="298" t="s">
        <v>2424</v>
      </c>
      <c r="AX195" s="56" t="s">
        <v>2478</v>
      </c>
      <c r="AY195" s="56"/>
      <c r="AZ195" s="56" t="s">
        <v>2537</v>
      </c>
      <c r="BA195" s="56"/>
    </row>
    <row r="196" spans="1:53" ht="13.5" thickBot="1">
      <c r="A196" s="111">
        <v>194</v>
      </c>
      <c r="B196" s="335" t="str">
        <f t="shared" si="60"/>
        <v>Hanru Van Heyningen</v>
      </c>
      <c r="C196" s="116" t="s">
        <v>1648</v>
      </c>
      <c r="D196" s="116" t="s">
        <v>1649</v>
      </c>
      <c r="E196"/>
      <c r="F196" s="363" t="str">
        <f>IF(SUM(COUNTIF(H196,{"*Girl*","*Women*","*Woman*","*Female*","*Wo*","*Fe*","*F*"})),"F","M")</f>
        <v>M</v>
      </c>
      <c r="G196" s="345" t="str">
        <f>IFERROR(IF(ISNUMBER(SEARCH("*",N196)),N196&amp;" "&amp;F196,IF(F196="M",LOOKUP(J196,AgeCategories!$A$3:$D$13),LOOKUP(J196,AgeCategories!$A$14:$D$24))),"Invalid Age")</f>
        <v>Sub Junior Boys</v>
      </c>
      <c r="H196" s="175" t="s">
        <v>209</v>
      </c>
      <c r="I196" s="338">
        <f t="shared" si="61"/>
        <v>39545</v>
      </c>
      <c r="J196" s="364">
        <f>IFERROR(DATEDIF($I196,Helpers!$O$2,"y"),"ID No. needed")</f>
        <v>14</v>
      </c>
      <c r="K196" s="111"/>
      <c r="L196" s="300">
        <v>814735774</v>
      </c>
      <c r="M196" s="365" t="s">
        <v>1948</v>
      </c>
      <c r="N196" s="341"/>
      <c r="O196" s="367" t="b">
        <v>1</v>
      </c>
      <c r="P196" s="241" t="b">
        <f>NOT(ISNA(VLOOKUP(A196,SortedDownload!A:A,1,FALSE)))</f>
        <v>1</v>
      </c>
      <c r="Q196" s="373" t="s">
        <v>2601</v>
      </c>
      <c r="R196" s="368"/>
      <c r="S196" s="235"/>
      <c r="T196" s="235"/>
      <c r="U196" s="369" t="s">
        <v>2207</v>
      </c>
      <c r="V196" s="337" t="str">
        <f t="shared" si="62"/>
        <v>-</v>
      </c>
      <c r="W196" s="339" t="str">
        <f t="shared" si="63"/>
        <v>Hanru Van Heyningen</v>
      </c>
      <c r="X196" s="345" t="str">
        <f t="shared" si="64"/>
        <v>Hanru</v>
      </c>
      <c r="Y196" s="345" t="str">
        <f t="shared" si="65"/>
        <v>Van Heyningen</v>
      </c>
      <c r="Z196" s="345" t="str">
        <f t="shared" si="66"/>
        <v>H.Van Heyningen</v>
      </c>
      <c r="AA196" s="378" t="str">
        <f t="shared" si="69"/>
        <v/>
      </c>
      <c r="AB196" s="378" t="str">
        <f t="shared" si="70"/>
        <v/>
      </c>
      <c r="AC196" s="345" t="str">
        <f>IFERROR(IF(ISNUMBER(SEARCH("*",N196)),N196&amp;" "&amp;F196,IF(F196="M",LOOKUP(J196,AgeCategories!$A$3:$F$11),LOOKUP(J196,AgeCategories!$A$14:$F$22))),"")</f>
        <v>JB</v>
      </c>
      <c r="AD196" s="370">
        <f t="shared" si="67"/>
        <v>39545</v>
      </c>
      <c r="AE196" s="345">
        <f t="shared" si="68"/>
        <v>14</v>
      </c>
      <c r="AF196" s="345" t="str">
        <f>IF(SUM(COUNTIF(H196,{"*Girl*","*Women*","*Woman*","*Female*","*Wo*","*Fe*","*F*"})),"F","M")</f>
        <v>M</v>
      </c>
      <c r="AG196" s="371"/>
      <c r="AH196" s="112"/>
      <c r="AI196" s="337" t="e">
        <f t="array" aca="1" ref="AI196" ca="1">(SMALL(IF(ISERROR(MATCH($AJ$3+ROW(OFFSET($A$3, 0,0, $AJ$4-$AJ$3+1))-2, $A$3:$A843,0)), $AJ$3+ROW(OFFSET($A$2,0, 0, $AJ$4-$AJ$3+1))-1), ROW(A195)))</f>
        <v>#NUM!</v>
      </c>
      <c r="AJ196" s="345">
        <f>Helpers!AY196</f>
        <v>0</v>
      </c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236"/>
      <c r="AV196" s="299"/>
      <c r="AW196" s="298" t="s">
        <v>2425</v>
      </c>
      <c r="AX196" s="56" t="s">
        <v>2511</v>
      </c>
      <c r="AY196" s="56" t="s">
        <v>2549</v>
      </c>
      <c r="AZ196" s="56" t="s">
        <v>2537</v>
      </c>
      <c r="BA196" s="56"/>
    </row>
    <row r="197" spans="1:53" ht="13.5" thickBot="1">
      <c r="A197" s="111">
        <v>195</v>
      </c>
      <c r="B197" s="335" t="str">
        <f t="shared" si="60"/>
        <v>Karl Van Niekerk</v>
      </c>
      <c r="C197" s="116" t="s">
        <v>1650</v>
      </c>
      <c r="D197" s="116" t="s">
        <v>662</v>
      </c>
      <c r="E197"/>
      <c r="F197" s="363" t="str">
        <f>IF(SUM(COUNTIF(H197,{"*Girl*","*Women*","*Woman*","*Female*","*Wo*","*Fe*","*F*"})),"F","M")</f>
        <v>M</v>
      </c>
      <c r="G197" s="345" t="str">
        <f>IFERROR(IF(ISNUMBER(SEARCH("*",N197)),N197&amp;" "&amp;F197,IF(F197="M",LOOKUP(J197,AgeCategories!$A$3:$D$13),LOOKUP(J197,AgeCategories!$A$14:$D$24))),"Invalid Age")</f>
        <v>Lite M</v>
      </c>
      <c r="H197" s="175" t="s">
        <v>209</v>
      </c>
      <c r="I197" s="338">
        <f t="shared" si="61"/>
        <v>27948</v>
      </c>
      <c r="J197" s="364">
        <f>IFERROR(DATEDIF($I197,Helpers!$O$2,"y"),"ID No. needed")</f>
        <v>46</v>
      </c>
      <c r="K197" s="111"/>
      <c r="L197" s="300">
        <v>763811434</v>
      </c>
      <c r="M197" s="365" t="s">
        <v>1949</v>
      </c>
      <c r="N197" s="341" t="s">
        <v>2601</v>
      </c>
      <c r="O197" s="367" t="b">
        <v>1</v>
      </c>
      <c r="P197" s="241" t="b">
        <f>NOT(ISNA(VLOOKUP(A197,SortedDownload!A:A,1,FALSE)))</f>
        <v>1</v>
      </c>
      <c r="Q197" s="373" t="s">
        <v>2601</v>
      </c>
      <c r="R197" s="368"/>
      <c r="S197" s="235"/>
      <c r="T197" s="235"/>
      <c r="U197" s="369" t="s">
        <v>2208</v>
      </c>
      <c r="V197" s="337" t="str">
        <f t="shared" si="62"/>
        <v>-</v>
      </c>
      <c r="W197" s="339" t="str">
        <f t="shared" si="63"/>
        <v>Karl Van Niekerk</v>
      </c>
      <c r="X197" s="345" t="str">
        <f t="shared" si="64"/>
        <v>Karl</v>
      </c>
      <c r="Y197" s="345" t="str">
        <f t="shared" si="65"/>
        <v>Van Niekerk</v>
      </c>
      <c r="Z197" s="345" t="str">
        <f t="shared" si="66"/>
        <v>K.Van Niekerk</v>
      </c>
      <c r="AA197" s="378" t="str">
        <f t="shared" si="69"/>
        <v/>
      </c>
      <c r="AB197" s="378" t="str">
        <f t="shared" si="70"/>
        <v/>
      </c>
      <c r="AC197" s="345" t="str">
        <f>IFERROR(IF(ISNUMBER(SEARCH("*",N197)),N197&amp;" "&amp;F197,IF(F197="M",LOOKUP(J197,AgeCategories!$A$3:$F$11),LOOKUP(J197,AgeCategories!$A$14:$F$22))),"")</f>
        <v>Lite M</v>
      </c>
      <c r="AD197" s="370">
        <f t="shared" si="67"/>
        <v>27948</v>
      </c>
      <c r="AE197" s="345">
        <f t="shared" si="68"/>
        <v>46</v>
      </c>
      <c r="AF197" s="345" t="str">
        <f>IF(SUM(COUNTIF(H197,{"*Girl*","*Women*","*Woman*","*Female*","*Wo*","*Fe*","*F*"})),"F","M")</f>
        <v>M</v>
      </c>
      <c r="AG197" s="371"/>
      <c r="AH197" s="112"/>
      <c r="AI197" s="337" t="e">
        <f t="array" aca="1" ref="AI197" ca="1">(SMALL(IF(ISERROR(MATCH($AJ$3+ROW(OFFSET($A$3, 0,0, $AJ$4-$AJ$3+1))-2, $A$3:$A844,0)), $AJ$3+ROW(OFFSET($A$2,0, 0, $AJ$4-$AJ$3+1))-1), ROW(A196)))</f>
        <v>#NUM!</v>
      </c>
      <c r="AJ197" s="345">
        <f>Helpers!AY197</f>
        <v>0</v>
      </c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236"/>
      <c r="AV197" s="299"/>
      <c r="AW197" s="298" t="s">
        <v>2426</v>
      </c>
      <c r="AX197" s="56" t="s">
        <v>2511</v>
      </c>
      <c r="AY197" s="56" t="s">
        <v>2547</v>
      </c>
      <c r="AZ197" s="56" t="s">
        <v>2537</v>
      </c>
      <c r="BA197" s="56"/>
    </row>
    <row r="198" spans="1:53" ht="13.5" customHeight="1" thickBot="1">
      <c r="A198" s="111">
        <v>196</v>
      </c>
      <c r="B198" s="335" t="str">
        <f t="shared" si="60"/>
        <v>Daryn Clark</v>
      </c>
      <c r="C198" s="116" t="s">
        <v>1651</v>
      </c>
      <c r="D198" s="116" t="s">
        <v>1652</v>
      </c>
      <c r="E198" t="s">
        <v>146</v>
      </c>
      <c r="F198" s="363" t="s">
        <v>209</v>
      </c>
      <c r="G198" s="345" t="str">
        <f>IFERROR(IF(ISNUMBER(SEARCH("*",N198)),N198&amp;" "&amp;F198,IF(F198="M",LOOKUP(J198,AgeCategories!$A$3:$D$13),LOOKUP(J198,AgeCategories!$A$14:$D$24))),"Invalid Age")</f>
        <v>Lite M</v>
      </c>
      <c r="H198" s="175" t="s">
        <v>209</v>
      </c>
      <c r="I198" s="338">
        <f t="shared" si="61"/>
        <v>29995</v>
      </c>
      <c r="J198" s="364">
        <f>IFERROR(DATEDIF($I198,Helpers!$O$2,"y"),"ID No. needed")</f>
        <v>40</v>
      </c>
      <c r="K198" s="111" t="s">
        <v>146</v>
      </c>
      <c r="L198" s="300" t="s">
        <v>2750</v>
      </c>
      <c r="M198" s="365" t="s">
        <v>1950</v>
      </c>
      <c r="N198" s="366" t="s">
        <v>2601</v>
      </c>
      <c r="O198" s="367" t="b">
        <v>1</v>
      </c>
      <c r="P198" s="241" t="b">
        <f>NOT(ISNA(VLOOKUP(A198,SortedDownload!A:A,1,FALSE)))</f>
        <v>1</v>
      </c>
      <c r="Q198" s="373" t="s">
        <v>2632</v>
      </c>
      <c r="R198" s="368" t="s">
        <v>146</v>
      </c>
      <c r="S198" s="235" t="s">
        <v>146</v>
      </c>
      <c r="T198" s="235" t="s">
        <v>146</v>
      </c>
      <c r="U198" s="369" t="s">
        <v>2209</v>
      </c>
      <c r="V198" s="337" t="str">
        <f t="shared" si="62"/>
        <v>-</v>
      </c>
      <c r="W198" s="339" t="str">
        <f t="shared" si="63"/>
        <v>Daryn Clark</v>
      </c>
      <c r="X198" s="345" t="str">
        <f t="shared" si="64"/>
        <v>Daryn</v>
      </c>
      <c r="Y198" s="345" t="str">
        <f t="shared" si="65"/>
        <v>Clark</v>
      </c>
      <c r="Z198" s="345" t="str">
        <f t="shared" si="66"/>
        <v>D.Clark</v>
      </c>
      <c r="AA198" s="378" t="str">
        <f t="shared" si="69"/>
        <v/>
      </c>
      <c r="AB198" s="378" t="str">
        <f t="shared" si="70"/>
        <v/>
      </c>
      <c r="AC198" s="345" t="str">
        <f>IFERROR(IF(ISNUMBER(SEARCH("*",N198)),N198&amp;" "&amp;F198,IF(F198="M",LOOKUP(J198,AgeCategories!$A$3:$F$11),LOOKUP(J198,AgeCategories!$A$14:$F$22))),"")</f>
        <v>Lite M</v>
      </c>
      <c r="AD198" s="370">
        <f t="shared" si="67"/>
        <v>29995</v>
      </c>
      <c r="AE198" s="345">
        <f t="shared" si="68"/>
        <v>40</v>
      </c>
      <c r="AF198" s="345" t="str">
        <f>IF(SUM(COUNTIF(H198,{"*Girl*","*Women*","*Woman*","*Female*","*Wo*","*Fe*","*F*"})),"F","M")</f>
        <v>M</v>
      </c>
      <c r="AG198" s="371"/>
      <c r="AH198" s="112"/>
      <c r="AI198" s="337" t="e">
        <f t="array" aca="1" ref="AI198" ca="1">(SMALL(IF(ISERROR(MATCH($AJ$3+ROW(OFFSET($A$3, 0,0, $AJ$4-$AJ$3+1))-2, $A$3:$A845,0)), $AJ$3+ROW(OFFSET($A$2,0, 0, $AJ$4-$AJ$3+1))-1), ROW(A197)))</f>
        <v>#NUM!</v>
      </c>
      <c r="AJ198" s="345">
        <f>Helpers!AY198</f>
        <v>0</v>
      </c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236"/>
      <c r="AV198" s="299"/>
      <c r="AW198" s="298"/>
      <c r="AX198" s="56" t="s">
        <v>2479</v>
      </c>
      <c r="AY198" s="56" t="s">
        <v>2277</v>
      </c>
      <c r="AZ198" s="56" t="s">
        <v>2539</v>
      </c>
      <c r="BA198" s="56"/>
    </row>
    <row r="199" spans="1:53" ht="13.5" thickBot="1">
      <c r="A199" s="111">
        <v>197</v>
      </c>
      <c r="B199" s="335" t="str">
        <f t="shared" si="60"/>
        <v>Ruan Van Den Berg</v>
      </c>
      <c r="C199" s="116" t="s">
        <v>646</v>
      </c>
      <c r="D199" s="116" t="s">
        <v>1653</v>
      </c>
      <c r="E199"/>
      <c r="F199" s="363" t="str">
        <f>IF(SUM(COUNTIF(H199,{"*Girl*","*Women*","*Woman*","*Female*","*Wo*","*Fe*","*F*"})),"F","M")</f>
        <v>M</v>
      </c>
      <c r="G199" s="345" t="str">
        <f>IFERROR(IF(ISNUMBER(SEARCH("*",N199)),N199&amp;" "&amp;F199,IF(F199="M",LOOKUP(J199,AgeCategories!$A$3:$D$13),LOOKUP(J199,AgeCategories!$A$14:$D$24))),"Invalid Age")</f>
        <v>Sub Junior Boys</v>
      </c>
      <c r="H199" s="175" t="s">
        <v>209</v>
      </c>
      <c r="I199" s="338">
        <f t="shared" si="61"/>
        <v>39883</v>
      </c>
      <c r="J199" s="364">
        <f>IFERROR(DATEDIF($I199,Helpers!$O$2,"y"),"ID No. needed")</f>
        <v>13</v>
      </c>
      <c r="K199" s="111"/>
      <c r="L199" s="300">
        <v>796533848</v>
      </c>
      <c r="M199" s="365" t="s">
        <v>1951</v>
      </c>
      <c r="N199" s="341"/>
      <c r="O199" s="367" t="b">
        <v>1</v>
      </c>
      <c r="P199" s="241" t="b">
        <f>NOT(ISNA(VLOOKUP(A199,SortedDownload!A:A,1,FALSE)))</f>
        <v>1</v>
      </c>
      <c r="Q199" s="373" t="s">
        <v>2601</v>
      </c>
      <c r="R199" s="368"/>
      <c r="S199" s="235"/>
      <c r="T199" s="235"/>
      <c r="U199" s="369" t="s">
        <v>2210</v>
      </c>
      <c r="V199" s="337" t="str">
        <f t="shared" si="62"/>
        <v>-</v>
      </c>
      <c r="W199" s="339" t="str">
        <f t="shared" si="63"/>
        <v>Ruan Van Den Berg</v>
      </c>
      <c r="X199" s="345" t="str">
        <f t="shared" si="64"/>
        <v>Ruan</v>
      </c>
      <c r="Y199" s="345" t="str">
        <f t="shared" si="65"/>
        <v>Van Den Berg</v>
      </c>
      <c r="Z199" s="345" t="str">
        <f t="shared" si="66"/>
        <v>R.Van Den Berg</v>
      </c>
      <c r="AA199" s="378" t="str">
        <f t="shared" si="69"/>
        <v/>
      </c>
      <c r="AB199" s="378" t="str">
        <f t="shared" si="70"/>
        <v/>
      </c>
      <c r="AC199" s="345" t="str">
        <f>IFERROR(IF(ISNUMBER(SEARCH("*",N199)),N199&amp;" "&amp;F199,IF(F199="M",LOOKUP(J199,AgeCategories!$A$3:$F$11),LOOKUP(J199,AgeCategories!$A$14:$F$22))),"")</f>
        <v>JB</v>
      </c>
      <c r="AD199" s="370">
        <f t="shared" si="67"/>
        <v>39883</v>
      </c>
      <c r="AE199" s="345">
        <f t="shared" si="68"/>
        <v>13</v>
      </c>
      <c r="AF199" s="345" t="str">
        <f>IF(SUM(COUNTIF(H199,{"*Girl*","*Women*","*Woman*","*Female*","*Wo*","*Fe*","*F*"})),"F","M")</f>
        <v>M</v>
      </c>
      <c r="AG199" s="371"/>
      <c r="AH199" s="112"/>
      <c r="AI199" s="337" t="e">
        <f t="array" aca="1" ref="AI199" ca="1">(SMALL(IF(ISERROR(MATCH($AJ$3+ROW(OFFSET($A$3, 0,0, $AJ$4-$AJ$3+1))-2, $A$3:$A846,0)), $AJ$3+ROW(OFFSET($A$2,0, 0, $AJ$4-$AJ$3+1))-1), ROW(A198)))</f>
        <v>#NUM!</v>
      </c>
      <c r="AJ199" s="345">
        <f>Helpers!AY199</f>
        <v>0</v>
      </c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236"/>
      <c r="AV199" s="299"/>
      <c r="AW199" s="298" t="s">
        <v>2427</v>
      </c>
      <c r="AX199" s="56" t="s">
        <v>2478</v>
      </c>
      <c r="AY199" s="56"/>
      <c r="AZ199" s="56" t="s">
        <v>2537</v>
      </c>
      <c r="BA199" s="56"/>
    </row>
    <row r="200" spans="1:53" ht="13.5" customHeight="1" thickBot="1">
      <c r="A200" s="111">
        <v>198</v>
      </c>
      <c r="B200" s="335" t="str">
        <f t="shared" si="60"/>
        <v>John Rostance</v>
      </c>
      <c r="C200" s="116" t="s">
        <v>1496</v>
      </c>
      <c r="D200" s="116" t="s">
        <v>1654</v>
      </c>
      <c r="E200"/>
      <c r="F200" s="363" t="str">
        <f>IF(SUM(COUNTIF(H200,{"*Girl*","*Women*","*Woman*","*Female*","*Wo*","*Fe*","*F*"})),"F","M")</f>
        <v>M</v>
      </c>
      <c r="G200" s="345" t="str">
        <f>IFERROR(IF(ISNUMBER(SEARCH("*",N200)),N200&amp;" "&amp;F200,IF(F200="M",LOOKUP(J200,AgeCategories!$A$3:$D$13),LOOKUP(J200,AgeCategories!$A$14:$D$24))),"Invalid Age")</f>
        <v>Master Men</v>
      </c>
      <c r="H200" s="175" t="s">
        <v>209</v>
      </c>
      <c r="I200" s="338">
        <f t="shared" si="61"/>
        <v>28564</v>
      </c>
      <c r="J200" s="364">
        <f>IFERROR(DATEDIF($I200,Helpers!$O$2,"y"),"ID No. needed")</f>
        <v>44</v>
      </c>
      <c r="K200" s="111"/>
      <c r="L200" s="300">
        <v>27793621950</v>
      </c>
      <c r="M200" s="365" t="s">
        <v>1952</v>
      </c>
      <c r="N200" s="366"/>
      <c r="O200" s="367" t="b">
        <v>1</v>
      </c>
      <c r="P200" s="241" t="b">
        <f>NOT(ISNA(VLOOKUP(A200,SortedDownload!A:A,1,FALSE)))</f>
        <v>1</v>
      </c>
      <c r="Q200" s="373" t="s">
        <v>2728</v>
      </c>
      <c r="R200" s="368"/>
      <c r="S200" s="235"/>
      <c r="T200" s="235"/>
      <c r="U200" s="369" t="s">
        <v>2211</v>
      </c>
      <c r="V200" s="337" t="str">
        <f t="shared" si="62"/>
        <v>-</v>
      </c>
      <c r="W200" s="339" t="str">
        <f t="shared" si="63"/>
        <v>John Rostance</v>
      </c>
      <c r="X200" s="345" t="str">
        <f t="shared" si="64"/>
        <v>John</v>
      </c>
      <c r="Y200" s="345" t="str">
        <f t="shared" si="65"/>
        <v>Rostance</v>
      </c>
      <c r="Z200" s="345" t="str">
        <f t="shared" si="66"/>
        <v>J.Rostance</v>
      </c>
      <c r="AA200" s="378" t="str">
        <f t="shared" si="69"/>
        <v/>
      </c>
      <c r="AB200" s="378" t="str">
        <f t="shared" si="70"/>
        <v/>
      </c>
      <c r="AC200" s="345" t="str">
        <f>IFERROR(IF(ISNUMBER(SEARCH("*",N200)),N200&amp;" "&amp;F200,IF(F200="M",LOOKUP(J200,AgeCategories!$A$3:$F$11),LOOKUP(J200,AgeCategories!$A$14:$F$22))),"")</f>
        <v>MM</v>
      </c>
      <c r="AD200" s="370">
        <f t="shared" si="67"/>
        <v>28564</v>
      </c>
      <c r="AE200" s="345">
        <f t="shared" si="68"/>
        <v>44</v>
      </c>
      <c r="AF200" s="345" t="str">
        <f>IF(SUM(COUNTIF(H200,{"*Girl*","*Women*","*Woman*","*Female*","*Wo*","*Fe*","*F*"})),"F","M")</f>
        <v>M</v>
      </c>
      <c r="AG200" s="371"/>
      <c r="AH200" s="112"/>
      <c r="AI200" s="337" t="e">
        <f t="array" aca="1" ref="AI200" ca="1">(SMALL(IF(ISERROR(MATCH($AJ$3+ROW(OFFSET($A$3, 0,0, $AJ$4-$AJ$3+1))-2, $A$3:$A847,0)), $AJ$3+ROW(OFFSET($A$2,0, 0, $AJ$4-$AJ$3+1))-1), ROW(A199)))</f>
        <v>#NUM!</v>
      </c>
      <c r="AJ200" s="345">
        <f>Helpers!AY200</f>
        <v>0</v>
      </c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236"/>
      <c r="AV200" s="299"/>
      <c r="AW200" s="298" t="s">
        <v>2428</v>
      </c>
      <c r="AX200" s="56" t="s">
        <v>2478</v>
      </c>
      <c r="AY200" s="56" t="s">
        <v>2277</v>
      </c>
      <c r="AZ200" s="56" t="s">
        <v>2538</v>
      </c>
      <c r="BA200" s="56"/>
    </row>
    <row r="201" spans="1:53" ht="13.5" customHeight="1" thickBot="1">
      <c r="A201" s="111">
        <v>199</v>
      </c>
      <c r="B201" s="335" t="str">
        <f t="shared" si="60"/>
        <v>Frankie Du Toit</v>
      </c>
      <c r="C201" s="116" t="s">
        <v>1655</v>
      </c>
      <c r="D201" s="116" t="s">
        <v>1362</v>
      </c>
      <c r="E201"/>
      <c r="F201" s="363" t="str">
        <f>IF(SUM(COUNTIF(H201,{"*Girl*","*Women*","*Woman*","*Female*","*Wo*","*Fe*","*F*"})),"F","M")</f>
        <v>F</v>
      </c>
      <c r="G201" s="345" t="str">
        <f>IFERROR(IF(ISNUMBER(SEARCH("*",N201)),N201&amp;" "&amp;F201,IF(F201="M",LOOKUP(J201,AgeCategories!$A$3:$D$13),LOOKUP(J201,AgeCategories!$A$14:$D$24))),"Invalid Age")</f>
        <v>Elite Women</v>
      </c>
      <c r="H201" s="175" t="s">
        <v>210</v>
      </c>
      <c r="I201" s="338">
        <f t="shared" si="61"/>
        <v>35675</v>
      </c>
      <c r="J201" s="364">
        <f>IFERROR(DATEDIF($I201,Helpers!$O$2,"y"),"ID No. needed")</f>
        <v>25</v>
      </c>
      <c r="K201" s="111"/>
      <c r="L201" s="300">
        <v>745020997</v>
      </c>
      <c r="M201" s="365" t="s">
        <v>1953</v>
      </c>
      <c r="N201" s="366"/>
      <c r="O201" s="367" t="b">
        <v>1</v>
      </c>
      <c r="P201" s="241" t="b">
        <f>NOT(ISNA(VLOOKUP(A201,SortedDownload!A:A,1,FALSE)))</f>
        <v>1</v>
      </c>
      <c r="Q201" s="373" t="s">
        <v>2632</v>
      </c>
      <c r="R201" s="368"/>
      <c r="S201" s="235"/>
      <c r="T201" s="235"/>
      <c r="U201" s="369" t="s">
        <v>2212</v>
      </c>
      <c r="V201" s="337" t="str">
        <f t="shared" si="62"/>
        <v>-</v>
      </c>
      <c r="W201" s="339" t="str">
        <f t="shared" si="63"/>
        <v>Frankie Du Toit</v>
      </c>
      <c r="X201" s="345" t="str">
        <f t="shared" si="64"/>
        <v>Frankie</v>
      </c>
      <c r="Y201" s="345" t="str">
        <f t="shared" si="65"/>
        <v>Du Toit</v>
      </c>
      <c r="Z201" s="345" t="str">
        <f t="shared" si="66"/>
        <v>F.Du Toit</v>
      </c>
      <c r="AA201" s="378" t="str">
        <f t="shared" si="69"/>
        <v/>
      </c>
      <c r="AB201" s="378" t="str">
        <f t="shared" si="70"/>
        <v/>
      </c>
      <c r="AC201" s="345" t="str">
        <f>IFERROR(IF(ISNUMBER(SEARCH("*",N201)),N201&amp;" "&amp;F201,IF(F201="M",LOOKUP(J201,AgeCategories!$A$3:$F$11),LOOKUP(J201,AgeCategories!$A$14:$F$22))),"")</f>
        <v>EW</v>
      </c>
      <c r="AD201" s="370">
        <f t="shared" si="67"/>
        <v>35675</v>
      </c>
      <c r="AE201" s="345">
        <f t="shared" si="68"/>
        <v>25</v>
      </c>
      <c r="AF201" s="345" t="str">
        <f>IF(SUM(COUNTIF(H201,{"*Girl*","*Women*","*Woman*","*Female*","*Wo*","*Fe*","*F*"})),"F","M")</f>
        <v>F</v>
      </c>
      <c r="AG201" s="371"/>
      <c r="AH201" s="112"/>
      <c r="AI201" s="337" t="e">
        <f t="array" aca="1" ref="AI201" ca="1">(SMALL(IF(ISERROR(MATCH($AJ$3+ROW(OFFSET($A$3, 0,0, $AJ$4-$AJ$3+1))-2, $A$3:$A848,0)), $AJ$3+ROW(OFFSET($A$2,0, 0, $AJ$4-$AJ$3+1))-1), ROW(A200)))</f>
        <v>#NUM!</v>
      </c>
      <c r="AJ201" s="345">
        <f>Helpers!AY201</f>
        <v>0</v>
      </c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236"/>
      <c r="AV201" s="299"/>
      <c r="AW201" s="298" t="s">
        <v>2429</v>
      </c>
      <c r="AX201" s="56" t="s">
        <v>2491</v>
      </c>
      <c r="AY201" s="56"/>
      <c r="AZ201" s="56" t="s">
        <v>2537</v>
      </c>
      <c r="BA201" s="56"/>
    </row>
    <row r="202" spans="1:53" ht="13.5" customHeight="1" thickBot="1">
      <c r="A202" s="111">
        <v>200</v>
      </c>
      <c r="B202" s="335" t="str">
        <f t="shared" si="60"/>
        <v>Matt Lombardi</v>
      </c>
      <c r="C202" s="116" t="s">
        <v>1458</v>
      </c>
      <c r="D202" s="116" t="s">
        <v>1656</v>
      </c>
      <c r="E202"/>
      <c r="F202" s="363" t="str">
        <f>IF(SUM(COUNTIF(H202,{"*Girl*","*Women*","*Woman*","*Female*","*Wo*","*Fe*","*F*"})),"F","M")</f>
        <v>M</v>
      </c>
      <c r="G202" s="345" t="str">
        <f>IFERROR(IF(ISNUMBER(SEARCH("*",N202)),N202&amp;" "&amp;F202,IF(F202="M",LOOKUP(J202,AgeCategories!$A$3:$D$13),LOOKUP(J202,AgeCategories!$A$14:$D$24))),"Invalid Age")</f>
        <v>Elite Men</v>
      </c>
      <c r="H202" s="175" t="s">
        <v>209</v>
      </c>
      <c r="I202" s="338">
        <f t="shared" si="61"/>
        <v>35557</v>
      </c>
      <c r="J202" s="364">
        <f>IFERROR(DATEDIF($I202,Helpers!$O$2,"y"),"ID No. needed")</f>
        <v>25</v>
      </c>
      <c r="K202" s="111"/>
      <c r="L202" s="300">
        <v>722055021</v>
      </c>
      <c r="M202" s="365" t="s">
        <v>1954</v>
      </c>
      <c r="N202" s="366"/>
      <c r="O202" s="367" t="b">
        <v>1</v>
      </c>
      <c r="P202" s="241" t="b">
        <f>NOT(ISNA(VLOOKUP(A202,SortedDownload!A:A,1,FALSE)))</f>
        <v>1</v>
      </c>
      <c r="Q202" s="373" t="s">
        <v>2728</v>
      </c>
      <c r="R202" s="368"/>
      <c r="S202" s="235"/>
      <c r="T202" s="235"/>
      <c r="U202" s="369" t="s">
        <v>2213</v>
      </c>
      <c r="V202" s="337" t="str">
        <f t="shared" si="62"/>
        <v>-</v>
      </c>
      <c r="W202" s="339" t="str">
        <f t="shared" si="63"/>
        <v>Matt Lombardi</v>
      </c>
      <c r="X202" s="345" t="str">
        <f t="shared" si="64"/>
        <v>Matt</v>
      </c>
      <c r="Y202" s="345" t="str">
        <f t="shared" si="65"/>
        <v>Lombardi</v>
      </c>
      <c r="Z202" s="345" t="str">
        <f t="shared" si="66"/>
        <v>M.Lombardi</v>
      </c>
      <c r="AA202" s="378" t="str">
        <f t="shared" si="69"/>
        <v/>
      </c>
      <c r="AB202" s="378" t="str">
        <f t="shared" si="70"/>
        <v/>
      </c>
      <c r="AC202" s="345" t="str">
        <f>IFERROR(IF(ISNUMBER(SEARCH("*",N202)),N202&amp;" "&amp;F202,IF(F202="M",LOOKUP(J202,AgeCategories!$A$3:$F$11),LOOKUP(J202,AgeCategories!$A$14:$F$22))),"")</f>
        <v>EM</v>
      </c>
      <c r="AD202" s="370">
        <f t="shared" si="67"/>
        <v>35557</v>
      </c>
      <c r="AE202" s="345">
        <f t="shared" si="68"/>
        <v>25</v>
      </c>
      <c r="AF202" s="345" t="str">
        <f>IF(SUM(COUNTIF(H202,{"*Girl*","*Women*","*Woman*","*Female*","*Wo*","*Fe*","*F*"})),"F","M")</f>
        <v>M</v>
      </c>
      <c r="AG202" s="371"/>
      <c r="AH202" s="112"/>
      <c r="AI202" s="337" t="e">
        <f t="array" aca="1" ref="AI202" ca="1">(SMALL(IF(ISERROR(MATCH($AJ$3+ROW(OFFSET($A$3, 0,0, $AJ$4-$AJ$3+1))-2, $A$3:$A849,0)), $AJ$3+ROW(OFFSET($A$2,0, 0, $AJ$4-$AJ$3+1))-1), ROW(A201)))</f>
        <v>#NUM!</v>
      </c>
      <c r="AJ202" s="345">
        <f>Helpers!AY202</f>
        <v>0</v>
      </c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236"/>
      <c r="AV202" s="299"/>
      <c r="AW202" s="298" t="s">
        <v>2430</v>
      </c>
      <c r="AX202" s="56" t="s">
        <v>2478</v>
      </c>
      <c r="AY202" s="56"/>
      <c r="AZ202" s="56" t="s">
        <v>2537</v>
      </c>
      <c r="BA202" s="56"/>
    </row>
    <row r="203" spans="1:53" ht="13.5" customHeight="1" thickBot="1">
      <c r="A203" s="111">
        <v>201</v>
      </c>
      <c r="B203" s="335" t="str">
        <f t="shared" si="60"/>
        <v>Jordan De Goede</v>
      </c>
      <c r="C203" s="116" t="s">
        <v>1657</v>
      </c>
      <c r="D203" s="116" t="s">
        <v>1658</v>
      </c>
      <c r="E203"/>
      <c r="F203" s="363" t="str">
        <f>IF(SUM(COUNTIF(H203,{"*Girl*","*Women*","*Woman*","*Female*","*Wo*","*Fe*","*F*"})),"F","M")</f>
        <v>M</v>
      </c>
      <c r="G203" s="345" t="str">
        <f>IFERROR(IF(ISNUMBER(SEARCH("*",N203)),N203&amp;" "&amp;F203,IF(F203="M",LOOKUP(J203,AgeCategories!$A$3:$D$13),LOOKUP(J203,AgeCategories!$A$14:$D$24))),"Invalid Age")</f>
        <v>Elite Men</v>
      </c>
      <c r="H203" s="175" t="s">
        <v>209</v>
      </c>
      <c r="I203" s="338">
        <f t="shared" si="61"/>
        <v>36040</v>
      </c>
      <c r="J203" s="364">
        <f>IFERROR(DATEDIF($I203,Helpers!$O$2,"y"),"ID No. needed")</f>
        <v>24</v>
      </c>
      <c r="K203" s="111"/>
      <c r="L203" s="300">
        <v>780356564</v>
      </c>
      <c r="M203" s="365" t="s">
        <v>1955</v>
      </c>
      <c r="N203" s="366"/>
      <c r="O203" s="367" t="b">
        <v>1</v>
      </c>
      <c r="P203" s="241" t="b">
        <f>NOT(ISNA(VLOOKUP(A203,SortedDownload!A:A,1,FALSE)))</f>
        <v>1</v>
      </c>
      <c r="Q203" s="373" t="s">
        <v>2728</v>
      </c>
      <c r="R203" s="368"/>
      <c r="S203" s="235"/>
      <c r="T203" s="235"/>
      <c r="U203" s="369" t="s">
        <v>2214</v>
      </c>
      <c r="V203" s="337" t="str">
        <f t="shared" si="62"/>
        <v>-</v>
      </c>
      <c r="W203" s="339" t="str">
        <f t="shared" si="63"/>
        <v>Jordan De Goede</v>
      </c>
      <c r="X203" s="345" t="str">
        <f t="shared" si="64"/>
        <v>Jordan</v>
      </c>
      <c r="Y203" s="345" t="str">
        <f t="shared" si="65"/>
        <v>De Goede</v>
      </c>
      <c r="Z203" s="345" t="str">
        <f t="shared" si="66"/>
        <v>J.De Goede</v>
      </c>
      <c r="AA203" s="378" t="str">
        <f t="shared" si="69"/>
        <v/>
      </c>
      <c r="AB203" s="378" t="str">
        <f t="shared" si="70"/>
        <v/>
      </c>
      <c r="AC203" s="345" t="str">
        <f>IFERROR(IF(ISNUMBER(SEARCH("*",N203)),N203&amp;" "&amp;F203,IF(F203="M",LOOKUP(J203,AgeCategories!$A$3:$F$11),LOOKUP(J203,AgeCategories!$A$14:$F$22))),"")</f>
        <v>EM</v>
      </c>
      <c r="AD203" s="370">
        <f t="shared" si="67"/>
        <v>36040</v>
      </c>
      <c r="AE203" s="345">
        <f t="shared" si="68"/>
        <v>24</v>
      </c>
      <c r="AF203" s="345" t="str">
        <f>IF(SUM(COUNTIF(H203,{"*Girl*","*Women*","*Woman*","*Female*","*Wo*","*Fe*","*F*"})),"F","M")</f>
        <v>M</v>
      </c>
      <c r="AG203" s="371"/>
      <c r="AH203" s="112"/>
      <c r="AI203" s="337" t="e">
        <f t="array" aca="1" ref="AI203" ca="1">(SMALL(IF(ISERROR(MATCH($AJ$3+ROW(OFFSET($A$3, 0,0, $AJ$4-$AJ$3+1))-2, $A$3:$A850,0)), $AJ$3+ROW(OFFSET($A$2,0, 0, $AJ$4-$AJ$3+1))-1), ROW(A202)))</f>
        <v>#NUM!</v>
      </c>
      <c r="AJ203" s="345">
        <f>Helpers!AY203</f>
        <v>0</v>
      </c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236"/>
      <c r="AV203" s="299"/>
      <c r="AW203" s="298" t="s">
        <v>682</v>
      </c>
      <c r="AX203" s="56" t="s">
        <v>682</v>
      </c>
      <c r="AY203" s="56" t="s">
        <v>2548</v>
      </c>
      <c r="AZ203" s="56" t="s">
        <v>2537</v>
      </c>
      <c r="BA203" s="56"/>
    </row>
    <row r="204" spans="1:53" ht="13.5" customHeight="1" thickBot="1">
      <c r="A204" s="111">
        <v>202</v>
      </c>
      <c r="B204" s="335" t="str">
        <f t="shared" si="60"/>
        <v>Jaco Van Zyl</v>
      </c>
      <c r="C204" s="116" t="s">
        <v>642</v>
      </c>
      <c r="D204" s="116" t="s">
        <v>1659</v>
      </c>
      <c r="E204"/>
      <c r="F204" s="363" t="str">
        <f>IF(SUM(COUNTIF(H204,{"*Girl*","*Women*","*Woman*","*Female*","*Wo*","*Fe*","*F*"})),"F","M")</f>
        <v>M</v>
      </c>
      <c r="G204" s="345" t="str">
        <f>IFERROR(IF(ISNUMBER(SEARCH("*",N204)),N204&amp;" "&amp;F204,IF(F204="M",LOOKUP(J204,AgeCategories!$A$3:$D$13),LOOKUP(J204,AgeCategories!$A$14:$D$24))),"Invalid Age")</f>
        <v>Youth Men</v>
      </c>
      <c r="H204" s="175" t="s">
        <v>209</v>
      </c>
      <c r="I204" s="338">
        <f t="shared" si="61"/>
        <v>39122</v>
      </c>
      <c r="J204" s="364">
        <f>IFERROR(DATEDIF($I204,Helpers!$O$2,"y"),"ID No. needed")</f>
        <v>15</v>
      </c>
      <c r="K204" s="111"/>
      <c r="L204" s="300">
        <v>662362201</v>
      </c>
      <c r="M204" s="365" t="s">
        <v>1956</v>
      </c>
      <c r="N204" s="366"/>
      <c r="O204" s="367" t="b">
        <v>1</v>
      </c>
      <c r="P204" s="241" t="b">
        <f>NOT(ISNA(VLOOKUP(A204,SortedDownload!A:A,1,FALSE)))</f>
        <v>1</v>
      </c>
      <c r="Q204" s="373" t="s">
        <v>2728</v>
      </c>
      <c r="R204" s="368"/>
      <c r="S204" s="235"/>
      <c r="T204" s="235"/>
      <c r="U204" s="369" t="s">
        <v>2215</v>
      </c>
      <c r="V204" s="337" t="str">
        <f t="shared" si="62"/>
        <v>-</v>
      </c>
      <c r="W204" s="339" t="str">
        <f t="shared" si="63"/>
        <v>Jaco Van Zyl</v>
      </c>
      <c r="X204" s="345" t="str">
        <f t="shared" si="64"/>
        <v>Jaco</v>
      </c>
      <c r="Y204" s="345" t="str">
        <f t="shared" si="65"/>
        <v>Van Zyl</v>
      </c>
      <c r="Z204" s="345" t="str">
        <f t="shared" si="66"/>
        <v>J.Van Zyl</v>
      </c>
      <c r="AA204" s="378" t="str">
        <f t="shared" si="69"/>
        <v/>
      </c>
      <c r="AB204" s="378" t="str">
        <f t="shared" si="70"/>
        <v/>
      </c>
      <c r="AC204" s="345" t="str">
        <f>IFERROR(IF(ISNUMBER(SEARCH("*",N204)),N204&amp;" "&amp;F204,IF(F204="M",LOOKUP(J204,AgeCategories!$A$3:$F$11),LOOKUP(J204,AgeCategories!$A$14:$F$22))),"")</f>
        <v>YM</v>
      </c>
      <c r="AD204" s="370">
        <f t="shared" si="67"/>
        <v>39122</v>
      </c>
      <c r="AE204" s="345">
        <f t="shared" si="68"/>
        <v>15</v>
      </c>
      <c r="AF204" s="345" t="str">
        <f>IF(SUM(COUNTIF(H204,{"*Girl*","*Women*","*Woman*","*Female*","*Wo*","*Fe*","*F*"})),"F","M")</f>
        <v>M</v>
      </c>
      <c r="AG204" s="371"/>
      <c r="AH204" s="112"/>
      <c r="AI204" s="337" t="e">
        <f t="array" aca="1" ref="AI204" ca="1">(SMALL(IF(ISERROR(MATCH($AJ$3+ROW(OFFSET($A$3, 0,0, $AJ$4-$AJ$3+1))-2, $A$3:$A851,0)), $AJ$3+ROW(OFFSET($A$2,0, 0, $AJ$4-$AJ$3+1))-1), ROW(A203)))</f>
        <v>#NUM!</v>
      </c>
      <c r="AJ204" s="345">
        <f>Helpers!AY204</f>
        <v>0</v>
      </c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236"/>
      <c r="AV204" s="299"/>
      <c r="AW204" s="298"/>
      <c r="AX204" s="56"/>
      <c r="AY204" s="56"/>
      <c r="AZ204" s="56" t="s">
        <v>2537</v>
      </c>
      <c r="BA204" s="56"/>
    </row>
    <row r="205" spans="1:53" ht="13.5" thickBot="1">
      <c r="A205" s="111">
        <v>203</v>
      </c>
      <c r="B205" s="335" t="str">
        <f t="shared" si="60"/>
        <v>Gean Boegman</v>
      </c>
      <c r="C205" s="116" t="s">
        <v>2737</v>
      </c>
      <c r="D205" s="116" t="s">
        <v>2738</v>
      </c>
      <c r="E205"/>
      <c r="F205" s="363" t="str">
        <f>IF(SUM(COUNTIF(H205,{"*Girl*","*Women*","*Woman*","*Female*","*Wo*","*Fe*","*F*"})),"F","M")</f>
        <v>M</v>
      </c>
      <c r="G205" s="345" t="str">
        <f>IFERROR(IF(ISNUMBER(SEARCH("*",N205)),N205&amp;" "&amp;F205,IF(F205="M",LOOKUP(J205,AgeCategories!$A$3:$D$13),LOOKUP(J205,AgeCategories!$A$14:$D$24))),"Invalid Age")</f>
        <v>Sub Junior Boys</v>
      </c>
      <c r="H205" s="175" t="s">
        <v>209</v>
      </c>
      <c r="I205" s="338">
        <f t="shared" si="61"/>
        <v>39797</v>
      </c>
      <c r="J205" s="364">
        <f>IFERROR(DATEDIF($I205,Helpers!$O$2,"y"),"ID No. needed")</f>
        <v>14</v>
      </c>
      <c r="K205" s="111"/>
      <c r="L205" s="300">
        <v>662907129</v>
      </c>
      <c r="M205" s="365" t="s">
        <v>1957</v>
      </c>
      <c r="N205" s="341"/>
      <c r="O205" s="367" t="b">
        <v>1</v>
      </c>
      <c r="P205" s="241" t="b">
        <f>NOT(ISNA(VLOOKUP(A205,SortedDownload!A:A,1,FALSE)))</f>
        <v>1</v>
      </c>
      <c r="Q205" s="373" t="s">
        <v>2601</v>
      </c>
      <c r="R205" s="368"/>
      <c r="S205" s="235"/>
      <c r="T205" s="235"/>
      <c r="U205" s="369" t="s">
        <v>2216</v>
      </c>
      <c r="V205" s="337" t="str">
        <f t="shared" si="62"/>
        <v>-</v>
      </c>
      <c r="W205" s="339" t="str">
        <f t="shared" si="63"/>
        <v>Gean Boegman</v>
      </c>
      <c r="X205" s="345" t="str">
        <f t="shared" si="64"/>
        <v>Gean</v>
      </c>
      <c r="Y205" s="345" t="str">
        <f t="shared" si="65"/>
        <v>Boegman</v>
      </c>
      <c r="Z205" s="345" t="str">
        <f t="shared" si="66"/>
        <v>G.Boegman</v>
      </c>
      <c r="AA205" s="378" t="str">
        <f t="shared" si="69"/>
        <v/>
      </c>
      <c r="AB205" s="378" t="str">
        <f t="shared" si="70"/>
        <v/>
      </c>
      <c r="AC205" s="345" t="str">
        <f>IFERROR(IF(ISNUMBER(SEARCH("*",N205)),N205&amp;" "&amp;F205,IF(F205="M",LOOKUP(J205,AgeCategories!$A$3:$F$11),LOOKUP(J205,AgeCategories!$A$14:$F$22))),"")</f>
        <v>JB</v>
      </c>
      <c r="AD205" s="370">
        <f t="shared" si="67"/>
        <v>39797</v>
      </c>
      <c r="AE205" s="345">
        <f t="shared" si="68"/>
        <v>14</v>
      </c>
      <c r="AF205" s="345" t="str">
        <f>IF(SUM(COUNTIF(H205,{"*Girl*","*Women*","*Woman*","*Female*","*Wo*","*Fe*","*F*"})),"F","M")</f>
        <v>M</v>
      </c>
      <c r="AG205" s="371"/>
      <c r="AH205" s="112"/>
      <c r="AI205" s="337" t="e">
        <f t="array" aca="1" ref="AI205" ca="1">(SMALL(IF(ISERROR(MATCH($AJ$3+ROW(OFFSET($A$3, 0,0, $AJ$4-$AJ$3+1))-2, $A$3:$A852,0)), $AJ$3+ROW(OFFSET($A$2,0, 0, $AJ$4-$AJ$3+1))-1), ROW(A204)))</f>
        <v>#NUM!</v>
      </c>
      <c r="AJ205" s="345">
        <f>Helpers!AY205</f>
        <v>0</v>
      </c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236"/>
      <c r="AV205" s="299"/>
      <c r="AW205" s="298" t="s">
        <v>2431</v>
      </c>
      <c r="AX205" s="56" t="s">
        <v>2478</v>
      </c>
      <c r="AY205" s="56" t="s">
        <v>2548</v>
      </c>
      <c r="AZ205" s="56" t="s">
        <v>2537</v>
      </c>
      <c r="BA205" s="56"/>
    </row>
    <row r="206" spans="1:53" ht="13.5" customHeight="1" thickBot="1">
      <c r="A206" s="111">
        <v>204</v>
      </c>
      <c r="B206" s="335" t="str">
        <f t="shared" si="60"/>
        <v>Tyler Pearce Denovan</v>
      </c>
      <c r="C206" s="116" t="s">
        <v>1660</v>
      </c>
      <c r="D206" s="116" t="s">
        <v>1661</v>
      </c>
      <c r="E206"/>
      <c r="F206" s="363" t="str">
        <f>IF(SUM(COUNTIF(H206,{"*Girl*","*Women*","*Woman*","*Female*","*Wo*","*Fe*","*F*"})),"F","M")</f>
        <v>M</v>
      </c>
      <c r="G206" s="345" t="str">
        <f>IFERROR(IF(ISNUMBER(SEARCH("*",N206)),N206&amp;" "&amp;F206,IF(F206="M",LOOKUP(J206,AgeCategories!$A$3:$D$13),LOOKUP(J206,AgeCategories!$A$14:$D$24))),"Invalid Age")</f>
        <v>Youth Men</v>
      </c>
      <c r="H206" s="175" t="s">
        <v>209</v>
      </c>
      <c r="I206" s="338">
        <f t="shared" si="61"/>
        <v>38825</v>
      </c>
      <c r="J206" s="364">
        <f>IFERROR(DATEDIF($I206,Helpers!$O$2,"y"),"ID No. needed")</f>
        <v>16</v>
      </c>
      <c r="K206" s="111"/>
      <c r="L206" s="300">
        <v>741012884</v>
      </c>
      <c r="M206" s="365" t="s">
        <v>1958</v>
      </c>
      <c r="N206" s="366"/>
      <c r="O206" s="367" t="b">
        <v>1</v>
      </c>
      <c r="P206" s="241" t="b">
        <f>NOT(ISNA(VLOOKUP(A206,SortedDownload!A:A,1,FALSE)))</f>
        <v>1</v>
      </c>
      <c r="Q206" s="373" t="s">
        <v>2631</v>
      </c>
      <c r="R206" s="368"/>
      <c r="S206" s="235"/>
      <c r="T206" s="235"/>
      <c r="U206" s="369" t="s">
        <v>2217</v>
      </c>
      <c r="V206" s="337" t="str">
        <f t="shared" si="62"/>
        <v>-</v>
      </c>
      <c r="W206" s="339" t="str">
        <f t="shared" si="63"/>
        <v>Tyler Pearce Denovan</v>
      </c>
      <c r="X206" s="345" t="str">
        <f t="shared" si="64"/>
        <v>Tyler</v>
      </c>
      <c r="Y206" s="345" t="str">
        <f t="shared" si="65"/>
        <v>Pearce Denovan</v>
      </c>
      <c r="Z206" s="345" t="str">
        <f t="shared" si="66"/>
        <v>T.Pearce Denovan</v>
      </c>
      <c r="AA206" s="378" t="str">
        <f t="shared" si="69"/>
        <v/>
      </c>
      <c r="AB206" s="378" t="str">
        <f t="shared" si="70"/>
        <v/>
      </c>
      <c r="AC206" s="345" t="str">
        <f>IFERROR(IF(ISNUMBER(SEARCH("*",N206)),N206&amp;" "&amp;F206,IF(F206="M",LOOKUP(J206,AgeCategories!$A$3:$F$11),LOOKUP(J206,AgeCategories!$A$14:$F$22))),"")</f>
        <v>YM</v>
      </c>
      <c r="AD206" s="370">
        <f t="shared" si="67"/>
        <v>38825</v>
      </c>
      <c r="AE206" s="345">
        <f t="shared" si="68"/>
        <v>16</v>
      </c>
      <c r="AF206" s="345" t="str">
        <f>IF(SUM(COUNTIF(H206,{"*Girl*","*Women*","*Woman*","*Female*","*Wo*","*Fe*","*F*"})),"F","M")</f>
        <v>M</v>
      </c>
      <c r="AG206" s="371"/>
      <c r="AH206" s="112"/>
      <c r="AI206" s="337" t="e">
        <f t="array" aca="1" ref="AI206" ca="1">(SMALL(IF(ISERROR(MATCH($AJ$3+ROW(OFFSET($A$3, 0,0, $AJ$4-$AJ$3+1))-2, $A$3:$A853,0)), $AJ$3+ROW(OFFSET($A$2,0, 0, $AJ$4-$AJ$3+1))-1), ROW(A205)))</f>
        <v>#NUM!</v>
      </c>
      <c r="AJ206" s="345">
        <f>Helpers!AY206</f>
        <v>0</v>
      </c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236"/>
      <c r="AV206" s="299"/>
      <c r="AW206" s="298" t="s">
        <v>2432</v>
      </c>
      <c r="AX206" s="56" t="s">
        <v>2528</v>
      </c>
      <c r="AY206" s="56" t="s">
        <v>2277</v>
      </c>
      <c r="AZ206" s="56" t="s">
        <v>2537</v>
      </c>
      <c r="BA206" s="56"/>
    </row>
    <row r="207" spans="1:53" ht="13.5" thickBot="1">
      <c r="A207" s="111">
        <v>205</v>
      </c>
      <c r="B207" s="335" t="str">
        <f t="shared" si="60"/>
        <v>Johmar Loubser</v>
      </c>
      <c r="C207" s="116" t="s">
        <v>1662</v>
      </c>
      <c r="D207" s="116" t="s">
        <v>1663</v>
      </c>
      <c r="E207"/>
      <c r="F207" s="363" t="str">
        <f>IF(SUM(COUNTIF(H207,{"*Girl*","*Women*","*Woman*","*Female*","*Wo*","*Fe*","*F*"})),"F","M")</f>
        <v>M</v>
      </c>
      <c r="G207" s="345" t="str">
        <f>IFERROR(IF(ISNUMBER(SEARCH("*",N207)),N207&amp;" "&amp;F207,IF(F207="M",LOOKUP(J207,AgeCategories!$A$3:$D$13),LOOKUP(J207,AgeCategories!$A$14:$D$24))),"Invalid Age")</f>
        <v>Lite M</v>
      </c>
      <c r="H207" s="175" t="s">
        <v>209</v>
      </c>
      <c r="I207" s="338">
        <f t="shared" si="61"/>
        <v>38082</v>
      </c>
      <c r="J207" s="364">
        <f>IFERROR(DATEDIF($I207,Helpers!$O$2,"y"),"ID No. needed")</f>
        <v>18</v>
      </c>
      <c r="K207" s="111"/>
      <c r="L207" s="300">
        <v>609978302</v>
      </c>
      <c r="M207" s="365" t="s">
        <v>1959</v>
      </c>
      <c r="N207" s="341" t="s">
        <v>2601</v>
      </c>
      <c r="O207" s="367" t="b">
        <v>1</v>
      </c>
      <c r="P207" s="241" t="b">
        <f>NOT(ISNA(VLOOKUP(A207,SortedDownload!A:A,1,FALSE)))</f>
        <v>1</v>
      </c>
      <c r="Q207" s="373" t="s">
        <v>2601</v>
      </c>
      <c r="R207" s="368"/>
      <c r="S207" s="235"/>
      <c r="T207" s="235"/>
      <c r="U207" s="369" t="s">
        <v>2218</v>
      </c>
      <c r="V207" s="337" t="str">
        <f t="shared" si="62"/>
        <v>-</v>
      </c>
      <c r="W207" s="339" t="str">
        <f t="shared" si="63"/>
        <v>Johmar Loubser</v>
      </c>
      <c r="X207" s="345" t="str">
        <f t="shared" si="64"/>
        <v>Johmar</v>
      </c>
      <c r="Y207" s="345" t="str">
        <f t="shared" si="65"/>
        <v>Loubser</v>
      </c>
      <c r="Z207" s="345" t="str">
        <f t="shared" si="66"/>
        <v>J.Loubser</v>
      </c>
      <c r="AA207" s="378" t="str">
        <f t="shared" si="69"/>
        <v/>
      </c>
      <c r="AB207" s="378" t="str">
        <f t="shared" si="70"/>
        <v/>
      </c>
      <c r="AC207" s="345" t="str">
        <f>IFERROR(IF(ISNUMBER(SEARCH("*",N207)),N207&amp;" "&amp;F207,IF(F207="M",LOOKUP(J207,AgeCategories!$A$3:$F$11),LOOKUP(J207,AgeCategories!$A$14:$F$22))),"")</f>
        <v>Lite M</v>
      </c>
      <c r="AD207" s="370">
        <f t="shared" si="67"/>
        <v>38082</v>
      </c>
      <c r="AE207" s="345">
        <f t="shared" si="68"/>
        <v>18</v>
      </c>
      <c r="AF207" s="345" t="str">
        <f>IF(SUM(COUNTIF(H207,{"*Girl*","*Women*","*Woman*","*Female*","*Wo*","*Fe*","*F*"})),"F","M")</f>
        <v>M</v>
      </c>
      <c r="AG207" s="371"/>
      <c r="AH207" s="112"/>
      <c r="AI207" s="337" t="e">
        <f t="array" aca="1" ref="AI207" ca="1">(SMALL(IF(ISERROR(MATCH($AJ$3+ROW(OFFSET($A$3, 0,0, $AJ$4-$AJ$3+1))-2, $A$3:$A854,0)), $AJ$3+ROW(OFFSET($A$2,0, 0, $AJ$4-$AJ$3+1))-1), ROW(A206)))</f>
        <v>#NUM!</v>
      </c>
      <c r="AJ207" s="345">
        <f>Helpers!AY207</f>
        <v>0</v>
      </c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236"/>
      <c r="AV207" s="299"/>
      <c r="AW207" s="298"/>
      <c r="AX207" s="56"/>
      <c r="AY207" s="56"/>
      <c r="AZ207" s="56" t="s">
        <v>2537</v>
      </c>
      <c r="BA207" s="56"/>
    </row>
    <row r="208" spans="1:53" ht="13.5" customHeight="1" thickBot="1">
      <c r="A208" s="111">
        <v>206</v>
      </c>
      <c r="B208" s="335" t="str">
        <f t="shared" si="60"/>
        <v>Waldo De Wet</v>
      </c>
      <c r="C208" s="116" t="s">
        <v>1664</v>
      </c>
      <c r="D208" s="116" t="s">
        <v>1665</v>
      </c>
      <c r="E208"/>
      <c r="F208" s="363" t="str">
        <f>IF(SUM(COUNTIF(H208,{"*Girl*","*Women*","*Woman*","*Female*","*Wo*","*Fe*","*F*"})),"F","M")</f>
        <v>M</v>
      </c>
      <c r="G208" s="345" t="str">
        <f>IFERROR(IF(ISNUMBER(SEARCH("*",N208)),N208&amp;" "&amp;F208,IF(F208="M",LOOKUP(J208,AgeCategories!$A$3:$D$13),LOOKUP(J208,AgeCategories!$A$14:$D$24))),"Invalid Age")</f>
        <v>Master Men</v>
      </c>
      <c r="H208" s="175" t="s">
        <v>209</v>
      </c>
      <c r="I208" s="338">
        <f t="shared" si="61"/>
        <v>33483</v>
      </c>
      <c r="J208" s="364">
        <f>IFERROR(DATEDIF($I208,Helpers!$O$2,"y"),"ID No. needed")</f>
        <v>31</v>
      </c>
      <c r="K208" s="111"/>
      <c r="L208" s="300">
        <v>721367386</v>
      </c>
      <c r="M208" s="365" t="s">
        <v>1960</v>
      </c>
      <c r="N208" s="366"/>
      <c r="O208" s="367" t="b">
        <v>1</v>
      </c>
      <c r="P208" s="241" t="b">
        <f>NOT(ISNA(VLOOKUP(A208,SortedDownload!A:A,1,FALSE)))</f>
        <v>1</v>
      </c>
      <c r="Q208" s="373" t="s">
        <v>2728</v>
      </c>
      <c r="R208" s="368"/>
      <c r="S208" s="235"/>
      <c r="T208" s="235"/>
      <c r="U208" s="369" t="s">
        <v>2219</v>
      </c>
      <c r="V208" s="337" t="str">
        <f t="shared" si="62"/>
        <v>-</v>
      </c>
      <c r="W208" s="339" t="str">
        <f t="shared" si="63"/>
        <v>Waldo De Wet</v>
      </c>
      <c r="X208" s="345" t="str">
        <f t="shared" si="64"/>
        <v>Waldo</v>
      </c>
      <c r="Y208" s="345" t="str">
        <f t="shared" si="65"/>
        <v>De Wet</v>
      </c>
      <c r="Z208" s="345" t="str">
        <f t="shared" si="66"/>
        <v>W.De Wet</v>
      </c>
      <c r="AA208" s="378" t="str">
        <f t="shared" si="69"/>
        <v/>
      </c>
      <c r="AB208" s="378" t="str">
        <f t="shared" si="70"/>
        <v/>
      </c>
      <c r="AC208" s="345" t="str">
        <f>IFERROR(IF(ISNUMBER(SEARCH("*",N208)),N208&amp;" "&amp;F208,IF(F208="M",LOOKUP(J208,AgeCategories!$A$3:$F$11),LOOKUP(J208,AgeCategories!$A$14:$F$22))),"")</f>
        <v>MM</v>
      </c>
      <c r="AD208" s="370">
        <f t="shared" si="67"/>
        <v>33483</v>
      </c>
      <c r="AE208" s="345">
        <f t="shared" si="68"/>
        <v>31</v>
      </c>
      <c r="AF208" s="345" t="str">
        <f>IF(SUM(COUNTIF(H208,{"*Girl*","*Women*","*Woman*","*Female*","*Wo*","*Fe*","*F*"})),"F","M")</f>
        <v>M</v>
      </c>
      <c r="AG208" s="371"/>
      <c r="AH208" s="112"/>
      <c r="AI208" s="337" t="e">
        <f t="array" aca="1" ref="AI208" ca="1">(SMALL(IF(ISERROR(MATCH($AJ$3+ROW(OFFSET($A$3, 0,0, $AJ$4-$AJ$3+1))-2, $A$3:$A855,0)), $AJ$3+ROW(OFFSET($A$2,0, 0, $AJ$4-$AJ$3+1))-1), ROW(A207)))</f>
        <v>#NUM!</v>
      </c>
      <c r="AJ208" s="345">
        <f>Helpers!AY208</f>
        <v>0</v>
      </c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236"/>
      <c r="AV208" s="299"/>
      <c r="AW208" s="298" t="s">
        <v>2433</v>
      </c>
      <c r="AX208" s="56" t="s">
        <v>2478</v>
      </c>
      <c r="AY208" s="56" t="s">
        <v>2556</v>
      </c>
      <c r="AZ208" s="56" t="s">
        <v>2537</v>
      </c>
      <c r="BA208" s="56" t="s">
        <v>2599</v>
      </c>
    </row>
    <row r="209" spans="1:53" ht="13.5" thickBot="1">
      <c r="A209" s="111">
        <v>207</v>
      </c>
      <c r="B209" s="335" t="str">
        <f t="shared" si="60"/>
        <v>Roxy Baynes</v>
      </c>
      <c r="C209" s="116" t="s">
        <v>1666</v>
      </c>
      <c r="D209" s="116" t="s">
        <v>1667</v>
      </c>
      <c r="E209"/>
      <c r="F209" s="363" t="str">
        <f>IF(SUM(COUNTIF(H209,{"*Girl*","*Women*","*Woman*","*Female*","*Wo*","*Fe*","*F*"})),"F","M")</f>
        <v>F</v>
      </c>
      <c r="G209" s="345" t="str">
        <f>IFERROR(IF(ISNUMBER(SEARCH("*",N209)),N209&amp;" "&amp;F209,IF(F209="M",LOOKUP(J209,AgeCategories!$A$3:$D$13),LOOKUP(J209,AgeCategories!$A$14:$D$24))),"Invalid Age")</f>
        <v>Master Women</v>
      </c>
      <c r="H209" s="175" t="s">
        <v>210</v>
      </c>
      <c r="I209" s="338">
        <f t="shared" si="61"/>
        <v>33015</v>
      </c>
      <c r="J209" s="364">
        <f>IFERROR(DATEDIF($I209,Helpers!$O$2,"y"),"ID No. needed")</f>
        <v>32</v>
      </c>
      <c r="K209" s="111"/>
      <c r="L209" s="300">
        <v>721887839</v>
      </c>
      <c r="M209" s="365" t="s">
        <v>1961</v>
      </c>
      <c r="N209" s="341"/>
      <c r="O209" s="367" t="b">
        <v>1</v>
      </c>
      <c r="P209" s="241" t="b">
        <f>NOT(ISNA(VLOOKUP(A209,SortedDownload!A:A,1,FALSE)))</f>
        <v>1</v>
      </c>
      <c r="Q209" s="373" t="s">
        <v>2601</v>
      </c>
      <c r="R209" s="368"/>
      <c r="S209" s="235"/>
      <c r="T209" s="235"/>
      <c r="U209" s="369" t="s">
        <v>2220</v>
      </c>
      <c r="V209" s="337" t="str">
        <f t="shared" si="62"/>
        <v>-</v>
      </c>
      <c r="W209" s="339" t="str">
        <f t="shared" si="63"/>
        <v>Roxy Baynes</v>
      </c>
      <c r="X209" s="345" t="str">
        <f t="shared" si="64"/>
        <v>Roxy</v>
      </c>
      <c r="Y209" s="345" t="str">
        <f t="shared" si="65"/>
        <v>Baynes</v>
      </c>
      <c r="Z209" s="345" t="str">
        <f t="shared" si="66"/>
        <v>R.Baynes</v>
      </c>
      <c r="AA209" s="378" t="str">
        <f t="shared" si="69"/>
        <v/>
      </c>
      <c r="AB209" s="378" t="str">
        <f t="shared" si="70"/>
        <v/>
      </c>
      <c r="AC209" s="345" t="str">
        <f>IFERROR(IF(ISNUMBER(SEARCH("*",N209)),N209&amp;" "&amp;F209,IF(F209="M",LOOKUP(J209,AgeCategories!$A$3:$F$11),LOOKUP(J209,AgeCategories!$A$14:$F$22))),"")</f>
        <v>MW</v>
      </c>
      <c r="AD209" s="370">
        <f t="shared" si="67"/>
        <v>33015</v>
      </c>
      <c r="AE209" s="345">
        <f t="shared" si="68"/>
        <v>32</v>
      </c>
      <c r="AF209" s="345" t="str">
        <f>IF(SUM(COUNTIF(H209,{"*Girl*","*Women*","*Woman*","*Female*","*Wo*","*Fe*","*F*"})),"F","M")</f>
        <v>F</v>
      </c>
      <c r="AG209" s="371"/>
      <c r="AH209" s="112"/>
      <c r="AI209" s="337" t="e">
        <f t="array" aca="1" ref="AI209" ca="1">(SMALL(IF(ISERROR(MATCH($AJ$3+ROW(OFFSET($A$3, 0,0, $AJ$4-$AJ$3+1))-2, $A$3:$A856,0)), $AJ$3+ROW(OFFSET($A$2,0, 0, $AJ$4-$AJ$3+1))-1), ROW(A208)))</f>
        <v>#NUM!</v>
      </c>
      <c r="AJ209" s="345">
        <f>Helpers!AY209</f>
        <v>0</v>
      </c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236"/>
      <c r="AV209" s="299"/>
      <c r="AW209" s="298" t="s">
        <v>2434</v>
      </c>
      <c r="AX209" s="56" t="s">
        <v>2482</v>
      </c>
      <c r="AY209" s="56" t="s">
        <v>2578</v>
      </c>
      <c r="AZ209" s="56" t="s">
        <v>2538</v>
      </c>
      <c r="BA209" s="56"/>
    </row>
    <row r="210" spans="1:53" ht="13.5" customHeight="1" thickBot="1">
      <c r="A210" s="111">
        <v>208</v>
      </c>
      <c r="B210" s="335" t="str">
        <f t="shared" si="60"/>
        <v>Lood Goosen</v>
      </c>
      <c r="C210" s="116" t="s">
        <v>1668</v>
      </c>
      <c r="D210" s="116" t="s">
        <v>1670</v>
      </c>
      <c r="E210"/>
      <c r="F210" s="363" t="str">
        <f>IF(SUM(COUNTIF(H210,{"*Girl*","*Women*","*Woman*","*Female*","*Wo*","*Fe*","*F*"})),"F","M")</f>
        <v>M</v>
      </c>
      <c r="G210" s="345" t="str">
        <f>IFERROR(IF(ISNUMBER(SEARCH("*",N210)),N210&amp;" "&amp;F210,IF(F210="M",LOOKUP(J210,AgeCategories!$A$3:$D$13),LOOKUP(J210,AgeCategories!$A$14:$D$24))),"Invalid Age")</f>
        <v>Junior Men</v>
      </c>
      <c r="H210" s="175" t="s">
        <v>209</v>
      </c>
      <c r="I210" s="338">
        <f t="shared" si="61"/>
        <v>38601</v>
      </c>
      <c r="J210" s="364">
        <f>IFERROR(DATEDIF($I210,Helpers!$O$2,"y"),"ID No. needed")</f>
        <v>17</v>
      </c>
      <c r="K210" s="111"/>
      <c r="L210" s="300">
        <v>736709798</v>
      </c>
      <c r="M210" s="365" t="s">
        <v>1962</v>
      </c>
      <c r="N210" s="366"/>
      <c r="O210" s="367" t="b">
        <v>0</v>
      </c>
      <c r="P210" s="241" t="b">
        <f>NOT(ISNA(VLOOKUP(A210,SortedDownload!A:A,1,FALSE)))</f>
        <v>1</v>
      </c>
      <c r="Q210" s="373" t="s">
        <v>2728</v>
      </c>
      <c r="R210" s="368"/>
      <c r="S210" s="235"/>
      <c r="T210" s="235"/>
      <c r="U210" s="369" t="s">
        <v>2221</v>
      </c>
      <c r="V210" s="337" t="str">
        <f t="shared" si="62"/>
        <v>-</v>
      </c>
      <c r="W210" s="339" t="str">
        <f t="shared" si="63"/>
        <v>Lood Goosen</v>
      </c>
      <c r="X210" s="345" t="str">
        <f t="shared" si="64"/>
        <v>Lood</v>
      </c>
      <c r="Y210" s="345" t="str">
        <f t="shared" si="65"/>
        <v>Goosen</v>
      </c>
      <c r="Z210" s="345" t="str">
        <f t="shared" si="66"/>
        <v>L.Goosen</v>
      </c>
      <c r="AA210" s="378" t="str">
        <f t="shared" si="69"/>
        <v/>
      </c>
      <c r="AB210" s="378" t="str">
        <f t="shared" si="70"/>
        <v/>
      </c>
      <c r="AC210" s="345" t="str">
        <f>IFERROR(IF(ISNUMBER(SEARCH("*",N210)),N210&amp;" "&amp;F210,IF(F210="M",LOOKUP(J210,AgeCategories!$A$3:$F$11),LOOKUP(J210,AgeCategories!$A$14:$F$22))),"")</f>
        <v>JM</v>
      </c>
      <c r="AD210" s="370">
        <f t="shared" si="67"/>
        <v>38601</v>
      </c>
      <c r="AE210" s="345">
        <f t="shared" si="68"/>
        <v>17</v>
      </c>
      <c r="AF210" s="345" t="str">
        <f>IF(SUM(COUNTIF(H210,{"*Girl*","*Women*","*Woman*","*Female*","*Wo*","*Fe*","*F*"})),"F","M")</f>
        <v>M</v>
      </c>
      <c r="AG210" s="371"/>
      <c r="AH210" s="112"/>
      <c r="AI210" s="337" t="e">
        <f t="array" aca="1" ref="AI210" ca="1">(SMALL(IF(ISERROR(MATCH($AJ$3+ROW(OFFSET($A$3, 0,0, $AJ$4-$AJ$3+1))-2, $A$3:$A857,0)), $AJ$3+ROW(OFFSET($A$2,0, 0, $AJ$4-$AJ$3+1))-1), ROW(A209)))</f>
        <v>#NUM!</v>
      </c>
      <c r="AJ210" s="345">
        <f>Helpers!AY210</f>
        <v>0</v>
      </c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236"/>
      <c r="AV210" s="299"/>
      <c r="AW210" s="298" t="s">
        <v>2435</v>
      </c>
      <c r="AX210" s="56" t="s">
        <v>2529</v>
      </c>
      <c r="AY210" s="56"/>
      <c r="AZ210" s="56" t="s">
        <v>2537</v>
      </c>
      <c r="BA210" s="56"/>
    </row>
    <row r="211" spans="1:53" ht="13.5" thickBot="1">
      <c r="A211" s="111">
        <v>209</v>
      </c>
      <c r="B211" s="335" t="str">
        <f t="shared" si="60"/>
        <v>Jack Goosen</v>
      </c>
      <c r="C211" s="116" t="s">
        <v>1669</v>
      </c>
      <c r="D211" s="116" t="s">
        <v>1670</v>
      </c>
      <c r="E211"/>
      <c r="F211" s="363" t="str">
        <f>IF(SUM(COUNTIF(H211,{"*Girl*","*Women*","*Woman*","*Female*","*Wo*","*Fe*","*F*"})),"F","M")</f>
        <v>M</v>
      </c>
      <c r="G211" s="345" t="str">
        <f>IFERROR(IF(ISNUMBER(SEARCH("*",N211)),N211&amp;" "&amp;F211,IF(F211="M",LOOKUP(J211,AgeCategories!$A$3:$D$13),LOOKUP(J211,AgeCategories!$A$14:$D$24))),"Invalid Age")</f>
        <v>Sub Junior Boys</v>
      </c>
      <c r="H211" s="175" t="s">
        <v>209</v>
      </c>
      <c r="I211" s="338">
        <f t="shared" si="61"/>
        <v>39496</v>
      </c>
      <c r="J211" s="364">
        <f>IFERROR(DATEDIF($I211,Helpers!$O$2,"y"),"ID No. needed")</f>
        <v>14</v>
      </c>
      <c r="K211" s="111"/>
      <c r="L211" s="300">
        <v>27837455943</v>
      </c>
      <c r="M211" s="365" t="s">
        <v>1963</v>
      </c>
      <c r="N211" s="341"/>
      <c r="O211" s="367" t="b">
        <v>1</v>
      </c>
      <c r="P211" s="241" t="b">
        <f>NOT(ISNA(VLOOKUP(A211,SortedDownload!A:A,1,FALSE)))</f>
        <v>1</v>
      </c>
      <c r="Q211" s="373" t="s">
        <v>2601</v>
      </c>
      <c r="R211" s="368"/>
      <c r="S211" s="235"/>
      <c r="T211" s="235"/>
      <c r="U211" s="369" t="s">
        <v>2222</v>
      </c>
      <c r="V211" s="337" t="str">
        <f t="shared" si="62"/>
        <v>-</v>
      </c>
      <c r="W211" s="339" t="str">
        <f t="shared" si="63"/>
        <v>Jack Goosen</v>
      </c>
      <c r="X211" s="345" t="str">
        <f t="shared" si="64"/>
        <v>Jack</v>
      </c>
      <c r="Y211" s="345" t="str">
        <f t="shared" si="65"/>
        <v>Goosen</v>
      </c>
      <c r="Z211" s="345" t="str">
        <f t="shared" si="66"/>
        <v>J.Goosen</v>
      </c>
      <c r="AA211" s="378" t="str">
        <f t="shared" si="69"/>
        <v/>
      </c>
      <c r="AB211" s="378" t="str">
        <f t="shared" si="70"/>
        <v/>
      </c>
      <c r="AC211" s="345" t="str">
        <f>IFERROR(IF(ISNUMBER(SEARCH("*",N211)),N211&amp;" "&amp;F211,IF(F211="M",LOOKUP(J211,AgeCategories!$A$3:$F$11),LOOKUP(J211,AgeCategories!$A$14:$F$22))),"")</f>
        <v>JB</v>
      </c>
      <c r="AD211" s="370">
        <f t="shared" si="67"/>
        <v>39496</v>
      </c>
      <c r="AE211" s="345">
        <f t="shared" si="68"/>
        <v>14</v>
      </c>
      <c r="AF211" s="345" t="str">
        <f>IF(SUM(COUNTIF(H211,{"*Girl*","*Women*","*Woman*","*Female*","*Wo*","*Fe*","*F*"})),"F","M")</f>
        <v>M</v>
      </c>
      <c r="AG211" s="371"/>
      <c r="AH211" s="112"/>
      <c r="AI211" s="337" t="e">
        <f t="array" aca="1" ref="AI211" ca="1">(SMALL(IF(ISERROR(MATCH($AJ$3+ROW(OFFSET($A$3, 0,0, $AJ$4-$AJ$3+1))-2, $A$3:$A858,0)), $AJ$3+ROW(OFFSET($A$2,0, 0, $AJ$4-$AJ$3+1))-1), ROW(A210)))</f>
        <v>#NUM!</v>
      </c>
      <c r="AJ211" s="345">
        <f>Helpers!AY211</f>
        <v>0</v>
      </c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236"/>
      <c r="AV211" s="299"/>
      <c r="AW211" s="298" t="s">
        <v>2435</v>
      </c>
      <c r="AX211" s="56" t="s">
        <v>2502</v>
      </c>
      <c r="AY211" s="56" t="s">
        <v>2575</v>
      </c>
      <c r="AZ211" s="56" t="s">
        <v>2538</v>
      </c>
      <c r="BA211" s="56"/>
    </row>
    <row r="212" spans="1:53" ht="13.5" customHeight="1" thickBot="1">
      <c r="A212" s="111">
        <v>210</v>
      </c>
      <c r="B212" s="335" t="str">
        <f t="shared" si="60"/>
        <v>Thomas Dunkley</v>
      </c>
      <c r="C212" s="116" t="s">
        <v>634</v>
      </c>
      <c r="D212" s="116" t="s">
        <v>1671</v>
      </c>
      <c r="E212"/>
      <c r="F212" s="363" t="str">
        <f>IF(SUM(COUNTIF(H212,{"*Girl*","*Women*","*Woman*","*Female*","*Wo*","*Fe*","*F*"})),"F","M")</f>
        <v>M</v>
      </c>
      <c r="G212" s="345" t="str">
        <f>IFERROR(IF(ISNUMBER(SEARCH("*",N212)),N212&amp;" "&amp;F212,IF(F212="M",LOOKUP(J212,AgeCategories!$A$3:$D$13),LOOKUP(J212,AgeCategories!$A$14:$D$24))),"Invalid Age")</f>
        <v>Youth Men</v>
      </c>
      <c r="H212" s="175" t="s">
        <v>209</v>
      </c>
      <c r="I212" s="338">
        <f t="shared" si="61"/>
        <v>38842</v>
      </c>
      <c r="J212" s="364">
        <f>IFERROR(DATEDIF($I212,Helpers!$O$2,"y"),"ID No. needed")</f>
        <v>16</v>
      </c>
      <c r="K212" s="111"/>
      <c r="L212" s="300">
        <v>661093790</v>
      </c>
      <c r="M212" s="377" t="s">
        <v>2612</v>
      </c>
      <c r="N212" s="366"/>
      <c r="O212" s="367" t="b">
        <v>1</v>
      </c>
      <c r="P212" s="241" t="b">
        <f>NOT(ISNA(VLOOKUP(A212,SortedDownload!A:A,1,FALSE)))</f>
        <v>1</v>
      </c>
      <c r="Q212" s="373" t="s">
        <v>2631</v>
      </c>
      <c r="R212" s="368"/>
      <c r="S212" s="235"/>
      <c r="T212" s="235"/>
      <c r="U212" s="369" t="s">
        <v>2223</v>
      </c>
      <c r="V212" s="337" t="str">
        <f t="shared" si="62"/>
        <v>-</v>
      </c>
      <c r="W212" s="339" t="str">
        <f t="shared" si="63"/>
        <v>Thomas Dunkley</v>
      </c>
      <c r="X212" s="345" t="str">
        <f t="shared" si="64"/>
        <v>Thomas</v>
      </c>
      <c r="Y212" s="345" t="str">
        <f t="shared" si="65"/>
        <v>Dunkley</v>
      </c>
      <c r="Z212" s="345" t="str">
        <f t="shared" si="66"/>
        <v>T.Dunkley</v>
      </c>
      <c r="AA212" s="378" t="str">
        <f t="shared" si="69"/>
        <v/>
      </c>
      <c r="AB212" s="378" t="str">
        <f t="shared" si="70"/>
        <v/>
      </c>
      <c r="AC212" s="345" t="str">
        <f>IFERROR(IF(ISNUMBER(SEARCH("*",N212)),N212&amp;" "&amp;F212,IF(F212="M",LOOKUP(J212,AgeCategories!$A$3:$F$11),LOOKUP(J212,AgeCategories!$A$14:$F$22))),"")</f>
        <v>YM</v>
      </c>
      <c r="AD212" s="370">
        <f t="shared" si="67"/>
        <v>38842</v>
      </c>
      <c r="AE212" s="345">
        <f t="shared" si="68"/>
        <v>16</v>
      </c>
      <c r="AF212" s="345" t="str">
        <f>IF(SUM(COUNTIF(H212,{"*Girl*","*Women*","*Woman*","*Female*","*Wo*","*Fe*","*F*"})),"F","M")</f>
        <v>M</v>
      </c>
      <c r="AG212" s="371"/>
      <c r="AH212" s="112"/>
      <c r="AI212" s="337" t="e">
        <f t="array" aca="1" ref="AI212" ca="1">(SMALL(IF(ISERROR(MATCH($AJ$3+ROW(OFFSET($A$3, 0,0, $AJ$4-$AJ$3+1))-2, $A$3:$A859,0)), $AJ$3+ROW(OFFSET($A$2,0, 0, $AJ$4-$AJ$3+1))-1), ROW(A211)))</f>
        <v>#NUM!</v>
      </c>
      <c r="AJ212" s="345">
        <f>Helpers!AY212</f>
        <v>0</v>
      </c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236"/>
      <c r="AV212" s="299"/>
      <c r="AW212" s="298" t="s">
        <v>2436</v>
      </c>
      <c r="AX212" s="56" t="s">
        <v>2478</v>
      </c>
      <c r="AY212" s="56" t="s">
        <v>2579</v>
      </c>
      <c r="AZ212" s="56" t="s">
        <v>2537</v>
      </c>
      <c r="BA212" s="56"/>
    </row>
    <row r="213" spans="1:53" ht="13.5" thickBot="1">
      <c r="A213" s="111">
        <v>211</v>
      </c>
      <c r="B213" s="335" t="str">
        <f t="shared" si="60"/>
        <v>Jonathan Dunkley</v>
      </c>
      <c r="C213" s="116" t="s">
        <v>1672</v>
      </c>
      <c r="D213" s="116" t="s">
        <v>1671</v>
      </c>
      <c r="E213"/>
      <c r="F213" s="363" t="str">
        <f>IF(SUM(COUNTIF(H213,{"*Girl*","*Women*","*Woman*","*Female*","*Wo*","*Fe*","*F*"})),"F","M")</f>
        <v>M</v>
      </c>
      <c r="G213" s="345" t="str">
        <f>IFERROR(IF(ISNUMBER(SEARCH("*",N213)),N213&amp;" "&amp;F213,IF(F213="M",LOOKUP(J213,AgeCategories!$A$3:$D$13),LOOKUP(J213,AgeCategories!$A$14:$D$24))),"Invalid Age")</f>
        <v>Sub Junior Boys</v>
      </c>
      <c r="H213" s="175" t="s">
        <v>209</v>
      </c>
      <c r="I213" s="338">
        <f t="shared" si="61"/>
        <v>39938</v>
      </c>
      <c r="J213" s="364">
        <f>IFERROR(DATEDIF($I213,Helpers!$O$2,"y"),"ID No. needed")</f>
        <v>13</v>
      </c>
      <c r="K213" s="111"/>
      <c r="L213" s="300">
        <v>760612879</v>
      </c>
      <c r="M213" s="377" t="s">
        <v>2609</v>
      </c>
      <c r="N213" s="341"/>
      <c r="O213" s="367" t="b">
        <v>1</v>
      </c>
      <c r="P213" s="241" t="b">
        <f>NOT(ISNA(VLOOKUP(A213,SortedDownload!A:A,1,FALSE)))</f>
        <v>1</v>
      </c>
      <c r="Q213" s="373" t="s">
        <v>2601</v>
      </c>
      <c r="R213" s="368"/>
      <c r="S213" s="235"/>
      <c r="T213" s="235"/>
      <c r="U213" s="369" t="s">
        <v>2223</v>
      </c>
      <c r="V213" s="337" t="str">
        <f t="shared" si="62"/>
        <v>-</v>
      </c>
      <c r="W213" s="339" t="str">
        <f t="shared" si="63"/>
        <v>Jonathan Dunkley</v>
      </c>
      <c r="X213" s="345" t="str">
        <f t="shared" si="64"/>
        <v>Jonathan</v>
      </c>
      <c r="Y213" s="345" t="str">
        <f t="shared" si="65"/>
        <v>Dunkley</v>
      </c>
      <c r="Z213" s="345" t="str">
        <f t="shared" si="66"/>
        <v>J.Dunkley</v>
      </c>
      <c r="AA213" s="378" t="str">
        <f t="shared" si="69"/>
        <v/>
      </c>
      <c r="AB213" s="378" t="str">
        <f t="shared" si="70"/>
        <v/>
      </c>
      <c r="AC213" s="345" t="str">
        <f>IFERROR(IF(ISNUMBER(SEARCH("*",N213)),N213&amp;" "&amp;F213,IF(F213="M",LOOKUP(J213,AgeCategories!$A$3:$F$11),LOOKUP(J213,AgeCategories!$A$14:$F$22))),"")</f>
        <v>JB</v>
      </c>
      <c r="AD213" s="370">
        <f t="shared" si="67"/>
        <v>39938</v>
      </c>
      <c r="AE213" s="345">
        <f t="shared" si="68"/>
        <v>13</v>
      </c>
      <c r="AF213" s="345" t="str">
        <f>IF(SUM(COUNTIF(H213,{"*Girl*","*Women*","*Woman*","*Female*","*Wo*","*Fe*","*F*"})),"F","M")</f>
        <v>M</v>
      </c>
      <c r="AG213" s="371"/>
      <c r="AH213" s="112"/>
      <c r="AI213" s="337" t="e">
        <f t="array" aca="1" ref="AI213" ca="1">(SMALL(IF(ISERROR(MATCH($AJ$3+ROW(OFFSET($A$3, 0,0, $AJ$4-$AJ$3+1))-2, $A$3:$A860,0)), $AJ$3+ROW(OFFSET($A$2,0, 0, $AJ$4-$AJ$3+1))-1), ROW(A212)))</f>
        <v>#NUM!</v>
      </c>
      <c r="AJ213" s="345">
        <f>Helpers!AY213</f>
        <v>0</v>
      </c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236"/>
      <c r="AV213" s="299"/>
      <c r="AW213" s="298" t="s">
        <v>2436</v>
      </c>
      <c r="AX213" s="56" t="s">
        <v>2478</v>
      </c>
      <c r="AY213" s="56" t="s">
        <v>2579</v>
      </c>
      <c r="AZ213" s="56" t="s">
        <v>2537</v>
      </c>
      <c r="BA213" s="56"/>
    </row>
    <row r="214" spans="1:53" ht="13.5" customHeight="1" thickBot="1">
      <c r="A214" s="111">
        <v>212</v>
      </c>
      <c r="B214" s="335" t="str">
        <f t="shared" si="60"/>
        <v>Zander Du Plessis</v>
      </c>
      <c r="C214" s="116" t="s">
        <v>1673</v>
      </c>
      <c r="D214" s="116" t="s">
        <v>1359</v>
      </c>
      <c r="E214"/>
      <c r="F214" s="363" t="str">
        <f>IF(SUM(COUNTIF(H214,{"*Girl*","*Women*","*Woman*","*Female*","*Wo*","*Fe*","*F*"})),"F","M")</f>
        <v>M</v>
      </c>
      <c r="G214" s="345" t="str">
        <f>IFERROR(IF(ISNUMBER(SEARCH("*",N214)),N214&amp;" "&amp;F214,IF(F214="M",LOOKUP(J214,AgeCategories!$A$3:$D$13),LOOKUP(J214,AgeCategories!$A$14:$D$24))),"Invalid Age")</f>
        <v>Youth Men</v>
      </c>
      <c r="H214" s="175" t="s">
        <v>209</v>
      </c>
      <c r="I214" s="338">
        <f t="shared" si="61"/>
        <v>39106</v>
      </c>
      <c r="J214" s="364">
        <f>IFERROR(DATEDIF($I214,Helpers!$O$2,"y"),"ID No. needed")</f>
        <v>15</v>
      </c>
      <c r="K214" s="111"/>
      <c r="L214" s="300">
        <v>798529444</v>
      </c>
      <c r="M214" s="365" t="s">
        <v>1964</v>
      </c>
      <c r="N214" s="366"/>
      <c r="O214" s="367" t="b">
        <v>1</v>
      </c>
      <c r="P214" s="241" t="b">
        <f>NOT(ISNA(VLOOKUP(A214,SortedDownload!A:A,1,FALSE)))</f>
        <v>1</v>
      </c>
      <c r="Q214" s="373" t="s">
        <v>2728</v>
      </c>
      <c r="R214" s="368"/>
      <c r="S214" s="235"/>
      <c r="T214" s="235"/>
      <c r="U214" s="369" t="s">
        <v>2224</v>
      </c>
      <c r="V214" s="337" t="str">
        <f t="shared" si="62"/>
        <v>-</v>
      </c>
      <c r="W214" s="339" t="str">
        <f t="shared" si="63"/>
        <v>Zander Du Plessis</v>
      </c>
      <c r="X214" s="345" t="str">
        <f t="shared" si="64"/>
        <v>Zander</v>
      </c>
      <c r="Y214" s="345" t="str">
        <f t="shared" si="65"/>
        <v>Du Plessis</v>
      </c>
      <c r="Z214" s="345" t="str">
        <f t="shared" si="66"/>
        <v>Z.Du Plessis</v>
      </c>
      <c r="AA214" s="378" t="str">
        <f t="shared" si="69"/>
        <v/>
      </c>
      <c r="AB214" s="378" t="str">
        <f t="shared" si="70"/>
        <v/>
      </c>
      <c r="AC214" s="345" t="str">
        <f>IFERROR(IF(ISNUMBER(SEARCH("*",N214)),N214&amp;" "&amp;F214,IF(F214="M",LOOKUP(J214,AgeCategories!$A$3:$F$11),LOOKUP(J214,AgeCategories!$A$14:$F$22))),"")</f>
        <v>YM</v>
      </c>
      <c r="AD214" s="370">
        <f t="shared" si="67"/>
        <v>39106</v>
      </c>
      <c r="AE214" s="345">
        <f t="shared" si="68"/>
        <v>15</v>
      </c>
      <c r="AF214" s="345" t="str">
        <f>IF(SUM(COUNTIF(H214,{"*Girl*","*Women*","*Woman*","*Female*","*Wo*","*Fe*","*F*"})),"F","M")</f>
        <v>M</v>
      </c>
      <c r="AG214" s="371"/>
      <c r="AH214" s="112"/>
      <c r="AI214" s="337" t="e">
        <f t="array" aca="1" ref="AI214" ca="1">(SMALL(IF(ISERROR(MATCH($AJ$3+ROW(OFFSET($A$3, 0,0, $AJ$4-$AJ$3+1))-2, $A$3:$A861,0)), $AJ$3+ROW(OFFSET($A$2,0, 0, $AJ$4-$AJ$3+1))-1), ROW(A213)))</f>
        <v>#NUM!</v>
      </c>
      <c r="AJ214" s="345">
        <f>Helpers!AY214</f>
        <v>0</v>
      </c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236"/>
      <c r="AV214" s="299"/>
      <c r="AW214" s="298" t="s">
        <v>2437</v>
      </c>
      <c r="AX214" s="56" t="s">
        <v>2478</v>
      </c>
      <c r="AY214" s="56" t="s">
        <v>2547</v>
      </c>
      <c r="AZ214" s="56" t="s">
        <v>2537</v>
      </c>
      <c r="BA214" s="56"/>
    </row>
    <row r="215" spans="1:53" ht="13.5" thickBot="1">
      <c r="A215" s="111">
        <v>213</v>
      </c>
      <c r="B215" s="335" t="str">
        <f t="shared" si="60"/>
        <v>Ettienne Van Biljon</v>
      </c>
      <c r="C215" s="116" t="s">
        <v>1674</v>
      </c>
      <c r="D215" s="116" t="s">
        <v>1675</v>
      </c>
      <c r="E215"/>
      <c r="F215" s="363" t="str">
        <f>IF(SUM(COUNTIF(H215,{"*Girl*","*Women*","*Woman*","*Female*","*Wo*","*Fe*","*F*"})),"F","M")</f>
        <v>M</v>
      </c>
      <c r="G215" s="345" t="str">
        <f>IFERROR(IF(ISNUMBER(SEARCH("*",N215)),N215&amp;" "&amp;F215,IF(F215="M",LOOKUP(J215,AgeCategories!$A$3:$D$13),LOOKUP(J215,AgeCategories!$A$14:$D$24))),"Invalid Age")</f>
        <v>Lite M</v>
      </c>
      <c r="H215" s="175" t="s">
        <v>209</v>
      </c>
      <c r="I215" s="338">
        <f t="shared" si="61"/>
        <v>32247</v>
      </c>
      <c r="J215" s="364">
        <f>IFERROR(DATEDIF($I215,Helpers!$O$2,"y"),"ID No. needed")</f>
        <v>34</v>
      </c>
      <c r="K215" s="111"/>
      <c r="L215" s="300">
        <v>0</v>
      </c>
      <c r="M215" s="365" t="s">
        <v>1965</v>
      </c>
      <c r="N215" s="341" t="s">
        <v>2601</v>
      </c>
      <c r="O215" s="367" t="b">
        <v>1</v>
      </c>
      <c r="P215" s="241" t="b">
        <f>NOT(ISNA(VLOOKUP(A215,SortedDownload!A:A,1,FALSE)))</f>
        <v>1</v>
      </c>
      <c r="Q215" s="373" t="s">
        <v>2601</v>
      </c>
      <c r="R215" s="368"/>
      <c r="S215" s="235"/>
      <c r="T215" s="235"/>
      <c r="U215" s="369" t="s">
        <v>2225</v>
      </c>
      <c r="V215" s="337" t="str">
        <f t="shared" si="62"/>
        <v>-</v>
      </c>
      <c r="W215" s="339" t="str">
        <f t="shared" si="63"/>
        <v>Ettienne Van Biljon</v>
      </c>
      <c r="X215" s="345" t="str">
        <f t="shared" si="64"/>
        <v>Ettienne</v>
      </c>
      <c r="Y215" s="345" t="str">
        <f t="shared" si="65"/>
        <v>Van Biljon</v>
      </c>
      <c r="Z215" s="345" t="str">
        <f t="shared" si="66"/>
        <v>E.Van Biljon</v>
      </c>
      <c r="AA215" s="378" t="str">
        <f t="shared" si="69"/>
        <v/>
      </c>
      <c r="AB215" s="378" t="str">
        <f t="shared" si="70"/>
        <v/>
      </c>
      <c r="AC215" s="345" t="str">
        <f>IFERROR(IF(ISNUMBER(SEARCH("*",N215)),N215&amp;" "&amp;F215,IF(F215="M",LOOKUP(J215,AgeCategories!$A$3:$F$11),LOOKUP(J215,AgeCategories!$A$14:$F$22))),"")</f>
        <v>Lite M</v>
      </c>
      <c r="AD215" s="370">
        <f t="shared" si="67"/>
        <v>32247</v>
      </c>
      <c r="AE215" s="345">
        <f t="shared" si="68"/>
        <v>34</v>
      </c>
      <c r="AF215" s="345" t="str">
        <f>IF(SUM(COUNTIF(H215,{"*Girl*","*Women*","*Woman*","*Female*","*Wo*","*Fe*","*F*"})),"F","M")</f>
        <v>M</v>
      </c>
      <c r="AG215" s="371"/>
      <c r="AH215" s="112"/>
      <c r="AI215" s="337" t="e">
        <f t="array" aca="1" ref="AI215" ca="1">(SMALL(IF(ISERROR(MATCH($AJ$3+ROW(OFFSET($A$3, 0,0, $AJ$4-$AJ$3+1))-2, $A$3:$A862,0)), $AJ$3+ROW(OFFSET($A$2,0, 0, $AJ$4-$AJ$3+1))-1), ROW(A214)))</f>
        <v>#NUM!</v>
      </c>
      <c r="AJ215" s="345">
        <f>Helpers!AY215</f>
        <v>0</v>
      </c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236"/>
      <c r="AV215" s="299"/>
      <c r="AW215" s="298" t="s">
        <v>2438</v>
      </c>
      <c r="AX215" s="56" t="s">
        <v>2479</v>
      </c>
      <c r="AY215" s="56" t="s">
        <v>2575</v>
      </c>
      <c r="AZ215" s="56" t="s">
        <v>2537</v>
      </c>
      <c r="BA215" s="56" t="s">
        <v>2548</v>
      </c>
    </row>
    <row r="216" spans="1:53" ht="13.5" customHeight="1" thickBot="1">
      <c r="A216" s="111">
        <v>214</v>
      </c>
      <c r="B216" s="335" t="str">
        <f t="shared" si="60"/>
        <v>James Mccann</v>
      </c>
      <c r="C216" s="116" t="s">
        <v>649</v>
      </c>
      <c r="D216" s="116" t="s">
        <v>1581</v>
      </c>
      <c r="E216"/>
      <c r="F216" s="363" t="str">
        <f>IF(SUM(COUNTIF(H216,{"*Girl*","*Women*","*Woman*","*Female*","*Wo*","*Fe*","*F*"})),"F","M")</f>
        <v>M</v>
      </c>
      <c r="G216" s="345" t="str">
        <f>IFERROR(IF(ISNUMBER(SEARCH("*",N216)),N216&amp;" "&amp;F216,IF(F216="M",LOOKUP(J216,AgeCategories!$A$3:$D$13),LOOKUP(J216,AgeCategories!$A$14:$D$24))),"Invalid Age")</f>
        <v>Youth Men</v>
      </c>
      <c r="H216" s="175" t="s">
        <v>209</v>
      </c>
      <c r="I216" s="338">
        <f t="shared" si="61"/>
        <v>38747</v>
      </c>
      <c r="J216" s="364">
        <f>IFERROR(DATEDIF($I216,Helpers!$O$2,"y"),"ID No. needed")</f>
        <v>16</v>
      </c>
      <c r="K216" s="111"/>
      <c r="L216" s="300">
        <v>827956113</v>
      </c>
      <c r="M216" s="365" t="s">
        <v>1966</v>
      </c>
      <c r="N216" s="366"/>
      <c r="O216" s="367" t="b">
        <v>1</v>
      </c>
      <c r="P216" s="241" t="b">
        <f>NOT(ISNA(VLOOKUP(A216,SortedDownload!A:A,1,FALSE)))</f>
        <v>1</v>
      </c>
      <c r="Q216" s="373" t="s">
        <v>2632</v>
      </c>
      <c r="R216" s="368"/>
      <c r="S216" s="235"/>
      <c r="T216" s="235"/>
      <c r="U216" s="369" t="s">
        <v>2226</v>
      </c>
      <c r="V216" s="337" t="str">
        <f t="shared" si="62"/>
        <v>-</v>
      </c>
      <c r="W216" s="339" t="str">
        <f t="shared" si="63"/>
        <v>James Mccann</v>
      </c>
      <c r="X216" s="345" t="str">
        <f t="shared" si="64"/>
        <v>James</v>
      </c>
      <c r="Y216" s="345" t="str">
        <f t="shared" si="65"/>
        <v>Mccann</v>
      </c>
      <c r="Z216" s="345" t="str">
        <f t="shared" si="66"/>
        <v>J.Mccann</v>
      </c>
      <c r="AA216" s="378" t="str">
        <f t="shared" si="69"/>
        <v/>
      </c>
      <c r="AB216" s="378" t="str">
        <f t="shared" si="70"/>
        <v/>
      </c>
      <c r="AC216" s="345" t="str">
        <f>IFERROR(IF(ISNUMBER(SEARCH("*",N216)),N216&amp;" "&amp;F216,IF(F216="M",LOOKUP(J216,AgeCategories!$A$3:$F$11),LOOKUP(J216,AgeCategories!$A$14:$F$22))),"")</f>
        <v>YM</v>
      </c>
      <c r="AD216" s="370">
        <f t="shared" si="67"/>
        <v>38747</v>
      </c>
      <c r="AE216" s="345">
        <f t="shared" si="68"/>
        <v>16</v>
      </c>
      <c r="AF216" s="345" t="str">
        <f>IF(SUM(COUNTIF(H216,{"*Girl*","*Women*","*Woman*","*Female*","*Wo*","*Fe*","*F*"})),"F","M")</f>
        <v>M</v>
      </c>
      <c r="AG216" s="371"/>
      <c r="AH216" s="112"/>
      <c r="AI216" s="337" t="e">
        <f t="array" aca="1" ref="AI216" ca="1">(SMALL(IF(ISERROR(MATCH($AJ$3+ROW(OFFSET($A$3, 0,0, $AJ$4-$AJ$3+1))-2, $A$3:$A863,0)), $AJ$3+ROW(OFFSET($A$2,0, 0, $AJ$4-$AJ$3+1))-1), ROW(A215)))</f>
        <v>#NUM!</v>
      </c>
      <c r="AJ216" s="345">
        <f>Helpers!AY216</f>
        <v>0</v>
      </c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236"/>
      <c r="AV216" s="299"/>
      <c r="AW216" s="298" t="s">
        <v>2383</v>
      </c>
      <c r="AX216" s="56" t="s">
        <v>2479</v>
      </c>
      <c r="AY216" s="56" t="s">
        <v>2277</v>
      </c>
      <c r="AZ216" s="56" t="s">
        <v>2538</v>
      </c>
      <c r="BA216" s="56"/>
    </row>
    <row r="217" spans="1:53" ht="13.5" thickBot="1">
      <c r="A217" s="111">
        <v>215</v>
      </c>
      <c r="B217" s="335" t="str">
        <f t="shared" ref="B217:B248" si="71">PROPER($C217&amp;" "&amp;$D217)</f>
        <v>Benjamin Fourie</v>
      </c>
      <c r="C217" s="116" t="s">
        <v>1676</v>
      </c>
      <c r="D217" s="116" t="s">
        <v>1453</v>
      </c>
      <c r="E217"/>
      <c r="F217" s="363" t="str">
        <f>IF(SUM(COUNTIF(H217,{"*Girl*","*Women*","*Woman*","*Female*","*Wo*","*Fe*","*F*"})),"F","M")</f>
        <v>M</v>
      </c>
      <c r="G217" s="345" t="str">
        <f>IFERROR(IF(ISNUMBER(SEARCH("*",N217)),N217&amp;" "&amp;F217,IF(F217="M",LOOKUP(J217,AgeCategories!$A$3:$D$13),LOOKUP(J217,AgeCategories!$A$14:$D$24))),"Invalid Age")</f>
        <v>Sub Junior Boys</v>
      </c>
      <c r="H217" s="175" t="s">
        <v>209</v>
      </c>
      <c r="I217" s="338">
        <f t="shared" ref="I217:I248" si="72">IFERROR(--TEXT(IF((--LEFT($M217,2))&lt;30,"20","19")&amp;LEFT($M217,6),"0000\-00\-00"),"ID No. needed")</f>
        <v>39588</v>
      </c>
      <c r="J217" s="364">
        <f>IFERROR(DATEDIF($I217,Helpers!$O$2,"y"),"ID No. needed")</f>
        <v>14</v>
      </c>
      <c r="K217" s="111"/>
      <c r="L217" s="300">
        <v>822498551</v>
      </c>
      <c r="M217" s="365" t="s">
        <v>1967</v>
      </c>
      <c r="N217" s="341"/>
      <c r="O217" s="367" t="b">
        <v>1</v>
      </c>
      <c r="P217" s="241" t="b">
        <f>NOT(ISNA(VLOOKUP(A217,SortedDownload!A:A,1,FALSE)))</f>
        <v>1</v>
      </c>
      <c r="Q217" s="373" t="s">
        <v>2601</v>
      </c>
      <c r="R217" s="368"/>
      <c r="S217" s="235"/>
      <c r="T217" s="235"/>
      <c r="U217" s="369" t="s">
        <v>2227</v>
      </c>
      <c r="V217" s="337" t="str">
        <f t="shared" ref="V217:V248" si="73">IF(K217="", "-", K217)</f>
        <v>-</v>
      </c>
      <c r="W217" s="339" t="str">
        <f t="shared" ref="W217:W248" si="74">B217</f>
        <v>Benjamin Fourie</v>
      </c>
      <c r="X217" s="345" t="str">
        <f t="shared" ref="X217:X248" si="75">LEFT($W217, SEARCH(" ", $W217) - 1)</f>
        <v>Benjamin</v>
      </c>
      <c r="Y217" s="345" t="str">
        <f t="shared" ref="Y217:Y248" si="76">RIGHT($W217, LEN($W217) - SEARCH(" ", $W217))</f>
        <v>Fourie</v>
      </c>
      <c r="Z217" s="345" t="str">
        <f t="shared" ref="Z217:Z248" si="77">CONCATENATE(LEFT($X217,1),".",$Y217)</f>
        <v>B.Fourie</v>
      </c>
      <c r="AA217" s="378" t="str">
        <f t="shared" si="69"/>
        <v/>
      </c>
      <c r="AB217" s="378" t="str">
        <f t="shared" si="70"/>
        <v/>
      </c>
      <c r="AC217" s="345" t="str">
        <f>IFERROR(IF(ISNUMBER(SEARCH("*",N217)),N217&amp;" "&amp;F217,IF(F217="M",LOOKUP(J217,AgeCategories!$A$3:$F$11),LOOKUP(J217,AgeCategories!$A$14:$F$22))),"")</f>
        <v>JB</v>
      </c>
      <c r="AD217" s="370">
        <f t="shared" ref="AD217:AD248" si="78">--TEXT(IF((--LEFT($M217,2))&lt;30,"20","19")&amp;LEFT($M217,6),"0000\-00\-00")</f>
        <v>39588</v>
      </c>
      <c r="AE217" s="345">
        <f t="shared" ref="AE217:AE248" si="79">DATEDIF($I217,$V$1,"y")</f>
        <v>14</v>
      </c>
      <c r="AF217" s="345" t="str">
        <f>IF(SUM(COUNTIF(H217,{"*Girl*","*Women*","*Woman*","*Female*","*Wo*","*Fe*","*F*"})),"F","M")</f>
        <v>M</v>
      </c>
      <c r="AG217" s="371"/>
      <c r="AH217" s="112"/>
      <c r="AI217" s="337" t="e">
        <f t="array" aca="1" ref="AI217" ca="1">(SMALL(IF(ISERROR(MATCH($AJ$3+ROW(OFFSET($A$3, 0,0, $AJ$4-$AJ$3+1))-2, $A$3:$A864,0)), $AJ$3+ROW(OFFSET($A$2,0, 0, $AJ$4-$AJ$3+1))-1), ROW(A216)))</f>
        <v>#NUM!</v>
      </c>
      <c r="AJ217" s="345">
        <f>Helpers!AY217</f>
        <v>0</v>
      </c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236"/>
      <c r="AV217" s="299"/>
      <c r="AW217" s="298" t="s">
        <v>2439</v>
      </c>
      <c r="AX217" s="56" t="s">
        <v>2478</v>
      </c>
      <c r="AY217" s="56"/>
      <c r="AZ217" s="56" t="s">
        <v>2537</v>
      </c>
      <c r="BA217" s="56"/>
    </row>
    <row r="218" spans="1:53" ht="13.5" customHeight="1" thickBot="1">
      <c r="A218" s="111">
        <v>216</v>
      </c>
      <c r="B218" s="335" t="str">
        <f t="shared" si="71"/>
        <v>Johan Van Zyl</v>
      </c>
      <c r="C218" s="116" t="s">
        <v>1677</v>
      </c>
      <c r="D218" s="116" t="s">
        <v>1369</v>
      </c>
      <c r="E218"/>
      <c r="F218" s="363" t="str">
        <f>IF(SUM(COUNTIF(H218,{"*Girl*","*Women*","*Woman*","*Female*","*Wo*","*Fe*","*F*"})),"F","M")</f>
        <v>M</v>
      </c>
      <c r="G218" s="345" t="str">
        <f>IFERROR(IF(ISNUMBER(SEARCH("*",N218)),N218&amp;" "&amp;F218,IF(F218="M",LOOKUP(J218,AgeCategories!$A$3:$D$13),LOOKUP(J218,AgeCategories!$A$14:$D$24))),"Invalid Age")</f>
        <v>Elite Men</v>
      </c>
      <c r="H218" s="175" t="s">
        <v>209</v>
      </c>
      <c r="I218" s="338">
        <f t="shared" si="72"/>
        <v>37016</v>
      </c>
      <c r="J218" s="364">
        <f>IFERROR(DATEDIF($I218,Helpers!$O$2,"y"),"ID No. needed")</f>
        <v>21</v>
      </c>
      <c r="K218" s="111"/>
      <c r="L218" s="300">
        <v>761407500</v>
      </c>
      <c r="M218" s="377" t="s">
        <v>2615</v>
      </c>
      <c r="N218" s="366"/>
      <c r="O218" s="367" t="b">
        <v>1</v>
      </c>
      <c r="P218" s="241" t="b">
        <f>NOT(ISNA(VLOOKUP(A218,SortedDownload!A:A,1,FALSE)))</f>
        <v>1</v>
      </c>
      <c r="Q218" s="373" t="s">
        <v>2728</v>
      </c>
      <c r="R218" s="368"/>
      <c r="S218" s="235"/>
      <c r="T218" s="235"/>
      <c r="U218" s="369" t="s">
        <v>2215</v>
      </c>
      <c r="V218" s="337" t="str">
        <f t="shared" si="73"/>
        <v>-</v>
      </c>
      <c r="W218" s="339" t="str">
        <f t="shared" si="74"/>
        <v>Johan Van Zyl</v>
      </c>
      <c r="X218" s="345" t="str">
        <f t="shared" si="75"/>
        <v>Johan</v>
      </c>
      <c r="Y218" s="345" t="str">
        <f t="shared" si="76"/>
        <v>Van Zyl</v>
      </c>
      <c r="Z218" s="345" t="str">
        <f t="shared" si="77"/>
        <v>J.Van Zyl</v>
      </c>
      <c r="AA218" s="378" t="str">
        <f t="shared" si="69"/>
        <v/>
      </c>
      <c r="AB218" s="378" t="str">
        <f t="shared" si="70"/>
        <v/>
      </c>
      <c r="AC218" s="345" t="str">
        <f>IFERROR(IF(ISNUMBER(SEARCH("*",N218)),N218&amp;" "&amp;F218,IF(F218="M",LOOKUP(J218,AgeCategories!$A$3:$F$11),LOOKUP(J218,AgeCategories!$A$14:$F$22))),"")</f>
        <v>EM</v>
      </c>
      <c r="AD218" s="370">
        <f t="shared" si="78"/>
        <v>37016</v>
      </c>
      <c r="AE218" s="345">
        <f t="shared" si="79"/>
        <v>21</v>
      </c>
      <c r="AF218" s="345" t="str">
        <f>IF(SUM(COUNTIF(H218,{"*Girl*","*Women*","*Woman*","*Female*","*Wo*","*Fe*","*F*"})),"F","M")</f>
        <v>M</v>
      </c>
      <c r="AG218" s="371"/>
      <c r="AH218" s="112"/>
      <c r="AI218" s="337" t="e">
        <f t="array" aca="1" ref="AI218" ca="1">(SMALL(IF(ISERROR(MATCH($AJ$3+ROW(OFFSET($A$3, 0,0, $AJ$4-$AJ$3+1))-2, $A$3:$A865,0)), $AJ$3+ROW(OFFSET($A$2,0, 0, $AJ$4-$AJ$3+1))-1), ROW(A217)))</f>
        <v>#NUM!</v>
      </c>
      <c r="AJ218" s="345">
        <f>Helpers!AY218</f>
        <v>0</v>
      </c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236"/>
      <c r="AV218" s="299"/>
      <c r="AW218" s="298"/>
      <c r="AX218" s="56"/>
      <c r="AY218" s="56"/>
      <c r="AZ218" s="56" t="s">
        <v>2537</v>
      </c>
      <c r="BA218" s="56"/>
    </row>
    <row r="219" spans="1:53" ht="13.5" thickBot="1">
      <c r="A219" s="111">
        <v>217</v>
      </c>
      <c r="B219" s="335" t="str">
        <f t="shared" si="71"/>
        <v>Frans Smit</v>
      </c>
      <c r="C219" s="116" t="s">
        <v>1678</v>
      </c>
      <c r="D219" s="116" t="s">
        <v>1598</v>
      </c>
      <c r="E219"/>
      <c r="F219" s="363" t="str">
        <f>IF(SUM(COUNTIF(H219,{"*Girl*","*Women*","*Woman*","*Female*","*Wo*","*Fe*","*F*"})),"F","M")</f>
        <v>M</v>
      </c>
      <c r="G219" s="345" t="str">
        <f>IFERROR(IF(ISNUMBER(SEARCH("*",N219)),N219&amp;" "&amp;F219,IF(F219="M",LOOKUP(J219,AgeCategories!$A$3:$D$13),LOOKUP(J219,AgeCategories!$A$14:$D$24))),"Invalid Age")</f>
        <v>Lite M</v>
      </c>
      <c r="H219" s="175" t="s">
        <v>209</v>
      </c>
      <c r="I219" s="338">
        <f t="shared" si="72"/>
        <v>25536</v>
      </c>
      <c r="J219" s="364">
        <f>IFERROR(DATEDIF($I219,Helpers!$O$2,"y"),"ID No. needed")</f>
        <v>53</v>
      </c>
      <c r="K219" s="111"/>
      <c r="L219" s="300">
        <v>829254533</v>
      </c>
      <c r="M219" s="365" t="s">
        <v>1968</v>
      </c>
      <c r="N219" s="341" t="s">
        <v>2601</v>
      </c>
      <c r="O219" s="367" t="b">
        <v>1</v>
      </c>
      <c r="P219" s="241" t="b">
        <f>NOT(ISNA(VLOOKUP(A219,SortedDownload!A:A,1,FALSE)))</f>
        <v>1</v>
      </c>
      <c r="Q219" s="373" t="s">
        <v>2601</v>
      </c>
      <c r="R219" s="368"/>
      <c r="S219" s="235"/>
      <c r="T219" s="235"/>
      <c r="U219" s="369" t="s">
        <v>2228</v>
      </c>
      <c r="V219" s="337" t="str">
        <f t="shared" si="73"/>
        <v>-</v>
      </c>
      <c r="W219" s="339" t="str">
        <f t="shared" si="74"/>
        <v>Frans Smit</v>
      </c>
      <c r="X219" s="345" t="str">
        <f t="shared" si="75"/>
        <v>Frans</v>
      </c>
      <c r="Y219" s="345" t="str">
        <f t="shared" si="76"/>
        <v>Smit</v>
      </c>
      <c r="Z219" s="345" t="str">
        <f t="shared" si="77"/>
        <v>F.Smit</v>
      </c>
      <c r="AA219" s="378" t="str">
        <f t="shared" si="69"/>
        <v/>
      </c>
      <c r="AB219" s="378" t="str">
        <f t="shared" si="70"/>
        <v/>
      </c>
      <c r="AC219" s="345" t="str">
        <f>IFERROR(IF(ISNUMBER(SEARCH("*",N219)),N219&amp;" "&amp;F219,IF(F219="M",LOOKUP(J219,AgeCategories!$A$3:$F$11),LOOKUP(J219,AgeCategories!$A$14:$F$22))),"")</f>
        <v>Lite M</v>
      </c>
      <c r="AD219" s="370">
        <f t="shared" si="78"/>
        <v>25536</v>
      </c>
      <c r="AE219" s="345">
        <f t="shared" si="79"/>
        <v>53</v>
      </c>
      <c r="AF219" s="345" t="str">
        <f>IF(SUM(COUNTIF(H219,{"*Girl*","*Women*","*Woman*","*Female*","*Wo*","*Fe*","*F*"})),"F","M")</f>
        <v>M</v>
      </c>
      <c r="AG219" s="371"/>
      <c r="AH219" s="112"/>
      <c r="AI219" s="337" t="e">
        <f t="array" aca="1" ref="AI219" ca="1">(SMALL(IF(ISERROR(MATCH($AJ$3+ROW(OFFSET($A$3, 0,0, $AJ$4-$AJ$3+1))-2, $A$3:$A866,0)), $AJ$3+ROW(OFFSET($A$2,0, 0, $AJ$4-$AJ$3+1))-1), ROW(A218)))</f>
        <v>#NUM!</v>
      </c>
      <c r="AJ219" s="345">
        <f>Helpers!AY219</f>
        <v>0</v>
      </c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236"/>
      <c r="AV219" s="299"/>
      <c r="AW219" s="298" t="s">
        <v>2440</v>
      </c>
      <c r="AX219" s="56" t="s">
        <v>2478</v>
      </c>
      <c r="AY219" s="56" t="s">
        <v>2547</v>
      </c>
      <c r="AZ219" s="56" t="s">
        <v>2539</v>
      </c>
      <c r="BA219" s="56"/>
    </row>
    <row r="220" spans="1:53" ht="13.5" thickBot="1">
      <c r="A220" s="111">
        <v>218</v>
      </c>
      <c r="B220" s="335" t="str">
        <f t="shared" si="71"/>
        <v>Simone Griessel</v>
      </c>
      <c r="C220" s="116" t="s">
        <v>1679</v>
      </c>
      <c r="D220" s="116" t="s">
        <v>1680</v>
      </c>
      <c r="E220"/>
      <c r="F220" s="363" t="str">
        <f>IF(SUM(COUNTIF(H220,{"*Girl*","*Women*","*Woman*","*Female*","*Wo*","*Fe*","*F*"})),"F","M")</f>
        <v>F</v>
      </c>
      <c r="G220" s="345" t="str">
        <f>IFERROR(IF(ISNUMBER(SEARCH("*",N220)),N220&amp;" "&amp;F220,IF(F220="M",LOOKUP(J220,AgeCategories!$A$3:$D$13),LOOKUP(J220,AgeCategories!$A$14:$D$24))),"Invalid Age")</f>
        <v>Lite F</v>
      </c>
      <c r="H220" s="175" t="s">
        <v>210</v>
      </c>
      <c r="I220" s="338">
        <f t="shared" si="72"/>
        <v>33282</v>
      </c>
      <c r="J220" s="364">
        <f>IFERROR(DATEDIF($I220,Helpers!$O$2,"y"),"ID No. needed")</f>
        <v>31</v>
      </c>
      <c r="K220" s="111"/>
      <c r="L220" s="300">
        <v>828434116</v>
      </c>
      <c r="M220" s="365" t="s">
        <v>1969</v>
      </c>
      <c r="N220" s="341" t="s">
        <v>2601</v>
      </c>
      <c r="O220" s="367" t="b">
        <v>0</v>
      </c>
      <c r="P220" s="241" t="b">
        <f>NOT(ISNA(VLOOKUP(A220,SortedDownload!A:A,1,FALSE)))</f>
        <v>0</v>
      </c>
      <c r="Q220" s="373" t="s">
        <v>2601</v>
      </c>
      <c r="R220" s="368"/>
      <c r="S220" s="235"/>
      <c r="T220" s="235"/>
      <c r="U220" s="369" t="s">
        <v>2229</v>
      </c>
      <c r="V220" s="337" t="str">
        <f t="shared" si="73"/>
        <v>-</v>
      </c>
      <c r="W220" s="339" t="str">
        <f t="shared" si="74"/>
        <v>Simone Griessel</v>
      </c>
      <c r="X220" s="345" t="str">
        <f t="shared" si="75"/>
        <v>Simone</v>
      </c>
      <c r="Y220" s="345" t="str">
        <f t="shared" si="76"/>
        <v>Griessel</v>
      </c>
      <c r="Z220" s="345" t="str">
        <f t="shared" si="77"/>
        <v>S.Griessel</v>
      </c>
      <c r="AA220" s="378" t="str">
        <f t="shared" si="69"/>
        <v/>
      </c>
      <c r="AB220" s="378" t="str">
        <f t="shared" si="70"/>
        <v/>
      </c>
      <c r="AC220" s="345" t="str">
        <f>IFERROR(IF(ISNUMBER(SEARCH("*",N220)),N220&amp;" "&amp;F220,IF(F220="M",LOOKUP(J220,AgeCategories!$A$3:$F$11),LOOKUP(J220,AgeCategories!$A$14:$F$22))),"")</f>
        <v>Lite F</v>
      </c>
      <c r="AD220" s="370">
        <f t="shared" si="78"/>
        <v>33282</v>
      </c>
      <c r="AE220" s="345">
        <f t="shared" si="79"/>
        <v>31</v>
      </c>
      <c r="AF220" s="345" t="str">
        <f>IF(SUM(COUNTIF(H220,{"*Girl*","*Women*","*Woman*","*Female*","*Wo*","*Fe*","*F*"})),"F","M")</f>
        <v>F</v>
      </c>
      <c r="AG220" s="371"/>
      <c r="AH220" s="112"/>
      <c r="AI220" s="337" t="e">
        <f t="array" aca="1" ref="AI220" ca="1">(SMALL(IF(ISERROR(MATCH($AJ$3+ROW(OFFSET($A$3, 0,0, $AJ$4-$AJ$3+1))-2, $A$3:$A867,0)), $AJ$3+ROW(OFFSET($A$2,0, 0, $AJ$4-$AJ$3+1))-1), ROW(A219)))</f>
        <v>#NUM!</v>
      </c>
      <c r="AJ220" s="345">
        <f>Helpers!AY220</f>
        <v>0</v>
      </c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236"/>
      <c r="AV220" s="299"/>
      <c r="AW220" s="298" t="s">
        <v>2441</v>
      </c>
      <c r="AX220" s="56" t="s">
        <v>2478</v>
      </c>
      <c r="AY220" s="56" t="s">
        <v>2548</v>
      </c>
      <c r="AZ220" s="56" t="s">
        <v>2539</v>
      </c>
      <c r="BA220" s="56"/>
    </row>
    <row r="221" spans="1:53" ht="13.5" customHeight="1" thickBot="1">
      <c r="A221" s="111">
        <v>219</v>
      </c>
      <c r="B221" s="335" t="str">
        <f t="shared" si="71"/>
        <v>Alexander Ham</v>
      </c>
      <c r="C221" s="116" t="s">
        <v>1378</v>
      </c>
      <c r="D221" s="116" t="s">
        <v>1681</v>
      </c>
      <c r="E221"/>
      <c r="F221" s="363" t="str">
        <f>IF(SUM(COUNTIF(H221,{"*Girl*","*Women*","*Woman*","*Female*","*Wo*","*Fe*","*F*"})),"F","M")</f>
        <v>M</v>
      </c>
      <c r="G221" s="345" t="str">
        <f>IFERROR(IF(ISNUMBER(SEARCH("*",N221)),N221&amp;" "&amp;F221,IF(F221="M",LOOKUP(J221,AgeCategories!$A$3:$D$13),LOOKUP(J221,AgeCategories!$A$14:$D$24))),"Invalid Age")</f>
        <v>Elite Men</v>
      </c>
      <c r="H221" s="175" t="s">
        <v>209</v>
      </c>
      <c r="I221" s="338">
        <f t="shared" si="72"/>
        <v>34408</v>
      </c>
      <c r="J221" s="364">
        <f>IFERROR(DATEDIF($I221,Helpers!$O$2,"y"),"ID No. needed")</f>
        <v>28</v>
      </c>
      <c r="K221" s="111"/>
      <c r="L221" s="300">
        <v>845638222</v>
      </c>
      <c r="M221" s="365" t="s">
        <v>1970</v>
      </c>
      <c r="N221" s="366"/>
      <c r="O221" s="367" t="b">
        <v>1</v>
      </c>
      <c r="P221" s="241" t="b">
        <f>NOT(ISNA(VLOOKUP(A221,SortedDownload!A:A,1,FALSE)))</f>
        <v>1</v>
      </c>
      <c r="Q221" s="373" t="s">
        <v>2728</v>
      </c>
      <c r="R221" s="368"/>
      <c r="S221" s="235"/>
      <c r="T221" s="235"/>
      <c r="U221" s="369" t="s">
        <v>2230</v>
      </c>
      <c r="V221" s="337" t="str">
        <f t="shared" si="73"/>
        <v>-</v>
      </c>
      <c r="W221" s="339" t="str">
        <f t="shared" si="74"/>
        <v>Alexander Ham</v>
      </c>
      <c r="X221" s="345" t="str">
        <f t="shared" si="75"/>
        <v>Alexander</v>
      </c>
      <c r="Y221" s="345" t="str">
        <f t="shared" si="76"/>
        <v>Ham</v>
      </c>
      <c r="Z221" s="345" t="str">
        <f t="shared" si="77"/>
        <v>A.Ham</v>
      </c>
      <c r="AA221" s="378" t="str">
        <f t="shared" si="69"/>
        <v/>
      </c>
      <c r="AB221" s="378" t="str">
        <f t="shared" si="70"/>
        <v/>
      </c>
      <c r="AC221" s="345" t="str">
        <f>IFERROR(IF(ISNUMBER(SEARCH("*",N221)),N221&amp;" "&amp;F221,IF(F221="M",LOOKUP(J221,AgeCategories!$A$3:$F$11),LOOKUP(J221,AgeCategories!$A$14:$F$22))),"")</f>
        <v>EM</v>
      </c>
      <c r="AD221" s="370">
        <f t="shared" si="78"/>
        <v>34408</v>
      </c>
      <c r="AE221" s="345">
        <f t="shared" si="79"/>
        <v>28</v>
      </c>
      <c r="AF221" s="345" t="str">
        <f>IF(SUM(COUNTIF(H221,{"*Girl*","*Women*","*Woman*","*Female*","*Wo*","*Fe*","*F*"})),"F","M")</f>
        <v>M</v>
      </c>
      <c r="AG221" s="371"/>
      <c r="AH221" s="112"/>
      <c r="AI221" s="337" t="e">
        <f t="array" aca="1" ref="AI221" ca="1">(SMALL(IF(ISERROR(MATCH($AJ$3+ROW(OFFSET($A$3, 0,0, $AJ$4-$AJ$3+1))-2, $A$3:$A868,0)), $AJ$3+ROW(OFFSET($A$2,0, 0, $AJ$4-$AJ$3+1))-1), ROW(A220)))</f>
        <v>#NUM!</v>
      </c>
      <c r="AJ221" s="345">
        <f>Helpers!AY221</f>
        <v>0</v>
      </c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236"/>
      <c r="AV221" s="299"/>
      <c r="AW221" s="298"/>
      <c r="AX221" s="56" t="s">
        <v>2478</v>
      </c>
      <c r="AY221" s="56"/>
      <c r="AZ221" s="56" t="s">
        <v>2537</v>
      </c>
      <c r="BA221" s="56"/>
    </row>
    <row r="222" spans="1:53" ht="13.5" customHeight="1" thickBot="1">
      <c r="A222" s="111">
        <v>220</v>
      </c>
      <c r="B222" s="335" t="str">
        <f t="shared" si="71"/>
        <v>Mackinley Daly</v>
      </c>
      <c r="C222" s="116" t="s">
        <v>1682</v>
      </c>
      <c r="D222" s="116" t="s">
        <v>1683</v>
      </c>
      <c r="E222"/>
      <c r="F222" s="363" t="str">
        <f>IF(SUM(COUNTIF(H222,{"*Girl*","*Women*","*Woman*","*Female*","*Wo*","*Fe*","*F*"})),"F","M")</f>
        <v>M</v>
      </c>
      <c r="G222" s="345" t="str">
        <f>IFERROR(IF(ISNUMBER(SEARCH("*",N222)),N222&amp;" "&amp;F222,IF(F222="M",LOOKUP(J222,AgeCategories!$A$3:$D$13),LOOKUP(J222,AgeCategories!$A$14:$D$24))),"Invalid Age")</f>
        <v>Elite Men</v>
      </c>
      <c r="H222" s="175" t="s">
        <v>209</v>
      </c>
      <c r="I222" s="338">
        <f t="shared" si="72"/>
        <v>37738</v>
      </c>
      <c r="J222" s="364">
        <f>IFERROR(DATEDIF($I222,Helpers!$O$2,"y"),"ID No. needed")</f>
        <v>19</v>
      </c>
      <c r="K222" s="111"/>
      <c r="L222" s="300">
        <v>836059902</v>
      </c>
      <c r="M222" s="365" t="s">
        <v>1971</v>
      </c>
      <c r="N222" s="366"/>
      <c r="O222" s="367" t="b">
        <v>1</v>
      </c>
      <c r="P222" s="241" t="b">
        <f>NOT(ISNA(VLOOKUP(A222,SortedDownload!A:A,1,FALSE)))</f>
        <v>1</v>
      </c>
      <c r="Q222" s="373" t="s">
        <v>2728</v>
      </c>
      <c r="R222" s="368"/>
      <c r="S222" s="235"/>
      <c r="T222" s="235"/>
      <c r="U222" s="369" t="s">
        <v>2231</v>
      </c>
      <c r="V222" s="337" t="str">
        <f t="shared" si="73"/>
        <v>-</v>
      </c>
      <c r="W222" s="339" t="str">
        <f t="shared" si="74"/>
        <v>Mackinley Daly</v>
      </c>
      <c r="X222" s="345" t="str">
        <f t="shared" si="75"/>
        <v>Mackinley</v>
      </c>
      <c r="Y222" s="345" t="str">
        <f t="shared" si="76"/>
        <v>Daly</v>
      </c>
      <c r="Z222" s="345" t="str">
        <f t="shared" si="77"/>
        <v>M.Daly</v>
      </c>
      <c r="AA222" s="378" t="str">
        <f t="shared" si="69"/>
        <v/>
      </c>
      <c r="AB222" s="378" t="str">
        <f t="shared" si="70"/>
        <v/>
      </c>
      <c r="AC222" s="345" t="str">
        <f>IFERROR(IF(ISNUMBER(SEARCH("*",N222)),N222&amp;" "&amp;F222,IF(F222="M",LOOKUP(J222,AgeCategories!$A$3:$F$11),LOOKUP(J222,AgeCategories!$A$14:$F$22))),"")</f>
        <v>EM</v>
      </c>
      <c r="AD222" s="370">
        <f t="shared" si="78"/>
        <v>37738</v>
      </c>
      <c r="AE222" s="345">
        <f t="shared" si="79"/>
        <v>19</v>
      </c>
      <c r="AF222" s="345" t="str">
        <f>IF(SUM(COUNTIF(H222,{"*Girl*","*Women*","*Woman*","*Female*","*Wo*","*Fe*","*F*"})),"F","M")</f>
        <v>M</v>
      </c>
      <c r="AG222" s="371"/>
      <c r="AH222" s="112"/>
      <c r="AI222" s="337" t="e">
        <f t="array" aca="1" ref="AI222" ca="1">(SMALL(IF(ISERROR(MATCH($AJ$3+ROW(OFFSET($A$3, 0,0, $AJ$4-$AJ$3+1))-2, $A$3:$A869,0)), $AJ$3+ROW(OFFSET($A$2,0, 0, $AJ$4-$AJ$3+1))-1), ROW(A221)))</f>
        <v>#NUM!</v>
      </c>
      <c r="AJ222" s="345">
        <f>Helpers!AY222</f>
        <v>0</v>
      </c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236"/>
      <c r="AV222" s="299"/>
      <c r="AW222" s="298" t="s">
        <v>2442</v>
      </c>
      <c r="AX222" s="56" t="s">
        <v>2491</v>
      </c>
      <c r="AY222" s="56" t="s">
        <v>2277</v>
      </c>
      <c r="AZ222" s="56" t="s">
        <v>2537</v>
      </c>
      <c r="BA222" s="56" t="s">
        <v>2277</v>
      </c>
    </row>
    <row r="223" spans="1:53" ht="13.5" thickBot="1">
      <c r="A223" s="111">
        <v>221</v>
      </c>
      <c r="B223" s="335" t="str">
        <f t="shared" si="71"/>
        <v>Chris Groeneveld</v>
      </c>
      <c r="C223" s="116" t="s">
        <v>644</v>
      </c>
      <c r="D223" s="116" t="s">
        <v>1684</v>
      </c>
      <c r="E223"/>
      <c r="F223" s="363" t="str">
        <f>IF(SUM(COUNTIF(H223,{"*Girl*","*Women*","*Woman*","*Female*","*Wo*","*Fe*","*F*"})),"F","M")</f>
        <v>M</v>
      </c>
      <c r="G223" s="345" t="str">
        <f>IFERROR(IF(ISNUMBER(SEARCH("*",N223)),N223&amp;" "&amp;F223,IF(F223="M",LOOKUP(J223,AgeCategories!$A$3:$D$13),LOOKUP(J223,AgeCategories!$A$14:$D$24))),"Invalid Age")</f>
        <v>Sub Junior Boys</v>
      </c>
      <c r="H223" s="175" t="s">
        <v>209</v>
      </c>
      <c r="I223" s="338">
        <f t="shared" si="72"/>
        <v>39672</v>
      </c>
      <c r="J223" s="364">
        <f>IFERROR(DATEDIF($I223,Helpers!$O$2,"y"),"ID No. needed")</f>
        <v>14</v>
      </c>
      <c r="K223" s="111"/>
      <c r="L223" s="300">
        <v>825573929</v>
      </c>
      <c r="M223" s="365" t="s">
        <v>1972</v>
      </c>
      <c r="N223" s="341"/>
      <c r="O223" s="367" t="b">
        <v>1</v>
      </c>
      <c r="P223" s="241" t="b">
        <f>NOT(ISNA(VLOOKUP(A223,SortedDownload!A:A,1,FALSE)))</f>
        <v>1</v>
      </c>
      <c r="Q223" s="373" t="s">
        <v>2601</v>
      </c>
      <c r="R223" s="368"/>
      <c r="S223" s="235"/>
      <c r="T223" s="235"/>
      <c r="U223" s="369" t="s">
        <v>2232</v>
      </c>
      <c r="V223" s="337" t="str">
        <f t="shared" si="73"/>
        <v>-</v>
      </c>
      <c r="W223" s="339" t="str">
        <f t="shared" si="74"/>
        <v>Chris Groeneveld</v>
      </c>
      <c r="X223" s="345" t="str">
        <f t="shared" si="75"/>
        <v>Chris</v>
      </c>
      <c r="Y223" s="345" t="str">
        <f t="shared" si="76"/>
        <v>Groeneveld</v>
      </c>
      <c r="Z223" s="345" t="str">
        <f t="shared" si="77"/>
        <v>C.Groeneveld</v>
      </c>
      <c r="AA223" s="378" t="str">
        <f t="shared" si="69"/>
        <v/>
      </c>
      <c r="AB223" s="378" t="str">
        <f t="shared" si="70"/>
        <v/>
      </c>
      <c r="AC223" s="345" t="str">
        <f>IFERROR(IF(ISNUMBER(SEARCH("*",N223)),N223&amp;" "&amp;F223,IF(F223="M",LOOKUP(J223,AgeCategories!$A$3:$F$11),LOOKUP(J223,AgeCategories!$A$14:$F$22))),"")</f>
        <v>JB</v>
      </c>
      <c r="AD223" s="370">
        <f t="shared" si="78"/>
        <v>39672</v>
      </c>
      <c r="AE223" s="345">
        <f t="shared" si="79"/>
        <v>14</v>
      </c>
      <c r="AF223" s="345" t="str">
        <f>IF(SUM(COUNTIF(H223,{"*Girl*","*Women*","*Woman*","*Female*","*Wo*","*Fe*","*F*"})),"F","M")</f>
        <v>M</v>
      </c>
      <c r="AG223" s="371"/>
      <c r="AH223" s="112"/>
      <c r="AI223" s="337" t="e">
        <f t="array" aca="1" ref="AI223" ca="1">(SMALL(IF(ISERROR(MATCH($AJ$3+ROW(OFFSET($A$3, 0,0, $AJ$4-$AJ$3+1))-2, $A$3:$A870,0)), $AJ$3+ROW(OFFSET($A$2,0, 0, $AJ$4-$AJ$3+1))-1), ROW(A222)))</f>
        <v>#NUM!</v>
      </c>
      <c r="AJ223" s="345">
        <f>Helpers!AY223</f>
        <v>0</v>
      </c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236"/>
      <c r="AV223" s="299"/>
      <c r="AW223" s="298" t="s">
        <v>2443</v>
      </c>
      <c r="AX223" s="56" t="s">
        <v>2502</v>
      </c>
      <c r="AY223" s="56" t="s">
        <v>2549</v>
      </c>
      <c r="AZ223" s="56" t="s">
        <v>2539</v>
      </c>
      <c r="BA223" s="56"/>
    </row>
    <row r="224" spans="1:53" ht="13.5" thickBot="1">
      <c r="A224" s="111">
        <v>222</v>
      </c>
      <c r="B224" s="335" t="str">
        <f t="shared" si="71"/>
        <v>Shandri Erasmus</v>
      </c>
      <c r="C224" s="116" t="s">
        <v>1685</v>
      </c>
      <c r="D224" s="116" t="s">
        <v>1686</v>
      </c>
      <c r="E224"/>
      <c r="F224" s="363" t="str">
        <f>IF(SUM(COUNTIF(H224,{"*Girl*","*Women*","*Woman*","*Female*","*Wo*","*Fe*","*F*"})),"F","M")</f>
        <v>F</v>
      </c>
      <c r="G224" s="345" t="str">
        <f>IFERROR(IF(ISNUMBER(SEARCH("*",N224)),N224&amp;" "&amp;F224,IF(F224="M",LOOKUP(J224,AgeCategories!$A$3:$D$13),LOOKUP(J224,AgeCategories!$A$14:$D$24))),"Invalid Age")</f>
        <v>Lite F</v>
      </c>
      <c r="H224" s="175" t="s">
        <v>210</v>
      </c>
      <c r="I224" s="338">
        <f t="shared" si="72"/>
        <v>35615</v>
      </c>
      <c r="J224" s="364">
        <f>IFERROR(DATEDIF($I224,Helpers!$O$2,"y"),"ID No. needed")</f>
        <v>25</v>
      </c>
      <c r="K224" s="111"/>
      <c r="L224" s="300">
        <v>822220535</v>
      </c>
      <c r="M224" s="365" t="s">
        <v>1973</v>
      </c>
      <c r="N224" s="341" t="s">
        <v>2601</v>
      </c>
      <c r="O224" s="367" t="b">
        <v>1</v>
      </c>
      <c r="P224" s="241" t="b">
        <f>NOT(ISNA(VLOOKUP(A224,SortedDownload!A:A,1,FALSE)))</f>
        <v>1</v>
      </c>
      <c r="Q224" s="373" t="s">
        <v>2601</v>
      </c>
      <c r="R224" s="368"/>
      <c r="S224" s="235"/>
      <c r="T224" s="235"/>
      <c r="U224" s="369" t="s">
        <v>2233</v>
      </c>
      <c r="V224" s="337" t="str">
        <f t="shared" si="73"/>
        <v>-</v>
      </c>
      <c r="W224" s="339" t="str">
        <f t="shared" si="74"/>
        <v>Shandri Erasmus</v>
      </c>
      <c r="X224" s="345" t="str">
        <f t="shared" si="75"/>
        <v>Shandri</v>
      </c>
      <c r="Y224" s="345" t="str">
        <f t="shared" si="76"/>
        <v>Erasmus</v>
      </c>
      <c r="Z224" s="345" t="str">
        <f t="shared" si="77"/>
        <v>S.Erasmus</v>
      </c>
      <c r="AA224" s="378" t="str">
        <f t="shared" si="69"/>
        <v/>
      </c>
      <c r="AB224" s="378" t="str">
        <f t="shared" si="70"/>
        <v/>
      </c>
      <c r="AC224" s="345" t="str">
        <f>IFERROR(IF(ISNUMBER(SEARCH("*",N224)),N224&amp;" "&amp;F224,IF(F224="M",LOOKUP(J224,AgeCategories!$A$3:$F$11),LOOKUP(J224,AgeCategories!$A$14:$F$22))),"")</f>
        <v>Lite F</v>
      </c>
      <c r="AD224" s="370">
        <f t="shared" si="78"/>
        <v>35615</v>
      </c>
      <c r="AE224" s="345">
        <f t="shared" si="79"/>
        <v>25</v>
      </c>
      <c r="AF224" s="345" t="str">
        <f>IF(SUM(COUNTIF(H224,{"*Girl*","*Women*","*Woman*","*Female*","*Wo*","*Fe*","*F*"})),"F","M")</f>
        <v>F</v>
      </c>
      <c r="AG224" s="371"/>
      <c r="AH224" s="112"/>
      <c r="AI224" s="337" t="e">
        <f t="array" aca="1" ref="AI224" ca="1">(SMALL(IF(ISERROR(MATCH($AJ$3+ROW(OFFSET($A$3, 0,0, $AJ$4-$AJ$3+1))-2, $A$3:$A871,0)), $AJ$3+ROW(OFFSET($A$2,0, 0, $AJ$4-$AJ$3+1))-1), ROW(A223)))</f>
        <v>#NUM!</v>
      </c>
      <c r="AJ224" s="345">
        <f>Helpers!AY224</f>
        <v>0</v>
      </c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236"/>
      <c r="AV224" s="299"/>
      <c r="AW224" s="298" t="s">
        <v>2444</v>
      </c>
      <c r="AX224" s="56" t="s">
        <v>2519</v>
      </c>
      <c r="AY224" s="56"/>
      <c r="AZ224" s="56" t="s">
        <v>2537</v>
      </c>
      <c r="BA224" s="56"/>
    </row>
    <row r="225" spans="1:53" ht="13.5" thickBot="1">
      <c r="A225" s="111">
        <v>223</v>
      </c>
      <c r="B225" s="335" t="str">
        <f t="shared" si="71"/>
        <v>Megan Van Der Helm</v>
      </c>
      <c r="C225" s="116" t="s">
        <v>1687</v>
      </c>
      <c r="D225" s="116" t="s">
        <v>1688</v>
      </c>
      <c r="E225"/>
      <c r="F225" s="363" t="str">
        <f>IF(SUM(COUNTIF(H225,{"*Girl*","*Women*","*Woman*","*Female*","*Wo*","*Fe*","*F*"})),"F","M")</f>
        <v>F</v>
      </c>
      <c r="G225" s="345" t="str">
        <f>IFERROR(IF(ISNUMBER(SEARCH("*",N225)),N225&amp;" "&amp;F225,IF(F225="M",LOOKUP(J225,AgeCategories!$A$3:$D$13),LOOKUP(J225,AgeCategories!$A$14:$D$24))),"Invalid Age")</f>
        <v>Lite F</v>
      </c>
      <c r="H225" s="175" t="s">
        <v>210</v>
      </c>
      <c r="I225" s="338">
        <f t="shared" si="72"/>
        <v>31409</v>
      </c>
      <c r="J225" s="364">
        <f>IFERROR(DATEDIF($I225,Helpers!$O$2,"y"),"ID No. needed")</f>
        <v>37</v>
      </c>
      <c r="K225" s="111"/>
      <c r="L225" s="300">
        <v>741794072</v>
      </c>
      <c r="M225" s="365" t="s">
        <v>1974</v>
      </c>
      <c r="N225" s="341" t="s">
        <v>2601</v>
      </c>
      <c r="O225" s="367" t="b">
        <v>1</v>
      </c>
      <c r="P225" s="241" t="b">
        <f>NOT(ISNA(VLOOKUP(A225,SortedDownload!A:A,1,FALSE)))</f>
        <v>1</v>
      </c>
      <c r="Q225" s="373" t="s">
        <v>2601</v>
      </c>
      <c r="R225" s="368"/>
      <c r="S225" s="235"/>
      <c r="T225" s="235"/>
      <c r="U225" s="369" t="s">
        <v>2234</v>
      </c>
      <c r="V225" s="337" t="str">
        <f t="shared" si="73"/>
        <v>-</v>
      </c>
      <c r="W225" s="339" t="str">
        <f t="shared" si="74"/>
        <v>Megan Van Der Helm</v>
      </c>
      <c r="X225" s="345" t="str">
        <f t="shared" si="75"/>
        <v>Megan</v>
      </c>
      <c r="Y225" s="345" t="str">
        <f t="shared" si="76"/>
        <v>Van Der Helm</v>
      </c>
      <c r="Z225" s="345" t="str">
        <f t="shared" si="77"/>
        <v>M.Van Der Helm</v>
      </c>
      <c r="AA225" s="378" t="str">
        <f t="shared" si="69"/>
        <v/>
      </c>
      <c r="AB225" s="378" t="str">
        <f t="shared" si="70"/>
        <v/>
      </c>
      <c r="AC225" s="345" t="str">
        <f>IFERROR(IF(ISNUMBER(SEARCH("*",N225)),N225&amp;" "&amp;F225,IF(F225="M",LOOKUP(J225,AgeCategories!$A$3:$F$11),LOOKUP(J225,AgeCategories!$A$14:$F$22))),"")</f>
        <v>Lite F</v>
      </c>
      <c r="AD225" s="370">
        <f t="shared" si="78"/>
        <v>31409</v>
      </c>
      <c r="AE225" s="345">
        <f t="shared" si="79"/>
        <v>37</v>
      </c>
      <c r="AF225" s="345" t="str">
        <f>IF(SUM(COUNTIF(H225,{"*Girl*","*Women*","*Woman*","*Female*","*Wo*","*Fe*","*F*"})),"F","M")</f>
        <v>F</v>
      </c>
      <c r="AG225" s="371"/>
      <c r="AH225" s="112"/>
      <c r="AI225" s="337" t="e">
        <f t="array" aca="1" ref="AI225" ca="1">(SMALL(IF(ISERROR(MATCH($AJ$3+ROW(OFFSET($A$3, 0,0, $AJ$4-$AJ$3+1))-2, $A$3:$A872,0)), $AJ$3+ROW(OFFSET($A$2,0, 0, $AJ$4-$AJ$3+1))-1), ROW(A224)))</f>
        <v>#NUM!</v>
      </c>
      <c r="AJ225" s="345">
        <f>Helpers!AY225</f>
        <v>0</v>
      </c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236"/>
      <c r="AV225" s="299"/>
      <c r="AW225" s="298" t="s">
        <v>2445</v>
      </c>
      <c r="AX225" s="56" t="s">
        <v>2479</v>
      </c>
      <c r="AY225" s="56" t="s">
        <v>2580</v>
      </c>
      <c r="AZ225" s="56" t="s">
        <v>2537</v>
      </c>
      <c r="BA225" s="56"/>
    </row>
    <row r="226" spans="1:53" ht="13.5" thickBot="1">
      <c r="A226" s="111">
        <v>224</v>
      </c>
      <c r="B226" s="335" t="str">
        <f t="shared" si="71"/>
        <v>Dj Oosthuizen</v>
      </c>
      <c r="C226" s="116" t="s">
        <v>1689</v>
      </c>
      <c r="D226" s="116" t="s">
        <v>1690</v>
      </c>
      <c r="E226"/>
      <c r="F226" s="363" t="str">
        <f>IF(SUM(COUNTIF(H226,{"*Girl*","*Women*","*Woman*","*Female*","*Wo*","*Fe*","*F*"})),"F","M")</f>
        <v>M</v>
      </c>
      <c r="G226" s="345" t="str">
        <f>IFERROR(IF(ISNUMBER(SEARCH("*",N226)),N226&amp;" "&amp;F226,IF(F226="M",LOOKUP(J226,AgeCategories!$A$3:$D$13),LOOKUP(J226,AgeCategories!$A$14:$D$24))),"Invalid Age")</f>
        <v>Lite M</v>
      </c>
      <c r="H226" s="175" t="s">
        <v>209</v>
      </c>
      <c r="I226" s="338">
        <f t="shared" si="72"/>
        <v>32338</v>
      </c>
      <c r="J226" s="364">
        <f>IFERROR(DATEDIF($I226,Helpers!$O$2,"y"),"ID No. needed")</f>
        <v>34</v>
      </c>
      <c r="K226" s="111"/>
      <c r="L226" s="300">
        <v>839953836</v>
      </c>
      <c r="M226" s="365" t="s">
        <v>1975</v>
      </c>
      <c r="N226" s="341" t="s">
        <v>2601</v>
      </c>
      <c r="O226" s="367" t="b">
        <v>1</v>
      </c>
      <c r="P226" s="241" t="b">
        <f>NOT(ISNA(VLOOKUP(A226,SortedDownload!A:A,1,FALSE)))</f>
        <v>1</v>
      </c>
      <c r="Q226" s="373" t="s">
        <v>2601</v>
      </c>
      <c r="R226" s="368"/>
      <c r="S226" s="235"/>
      <c r="T226" s="235"/>
      <c r="U226" s="369" t="s">
        <v>2235</v>
      </c>
      <c r="V226" s="337" t="str">
        <f t="shared" si="73"/>
        <v>-</v>
      </c>
      <c r="W226" s="339" t="str">
        <f t="shared" si="74"/>
        <v>Dj Oosthuizen</v>
      </c>
      <c r="X226" s="345" t="str">
        <f t="shared" si="75"/>
        <v>Dj</v>
      </c>
      <c r="Y226" s="345" t="str">
        <f t="shared" si="76"/>
        <v>Oosthuizen</v>
      </c>
      <c r="Z226" s="345" t="str">
        <f t="shared" si="77"/>
        <v>D.Oosthuizen</v>
      </c>
      <c r="AA226" s="378" t="str">
        <f t="shared" si="69"/>
        <v/>
      </c>
      <c r="AB226" s="378" t="str">
        <f t="shared" si="70"/>
        <v/>
      </c>
      <c r="AC226" s="345" t="str">
        <f>IFERROR(IF(ISNUMBER(SEARCH("*",N226)),N226&amp;" "&amp;F226,IF(F226="M",LOOKUP(J226,AgeCategories!$A$3:$F$11),LOOKUP(J226,AgeCategories!$A$14:$F$22))),"")</f>
        <v>Lite M</v>
      </c>
      <c r="AD226" s="370">
        <f t="shared" si="78"/>
        <v>32338</v>
      </c>
      <c r="AE226" s="345">
        <f t="shared" si="79"/>
        <v>34</v>
      </c>
      <c r="AF226" s="345" t="str">
        <f>IF(SUM(COUNTIF(H226,{"*Girl*","*Women*","*Woman*","*Female*","*Wo*","*Fe*","*F*"})),"F","M")</f>
        <v>M</v>
      </c>
      <c r="AG226" s="371"/>
      <c r="AH226" s="112"/>
      <c r="AI226" s="337" t="e">
        <f t="array" aca="1" ref="AI226" ca="1">(SMALL(IF(ISERROR(MATCH($AJ$3+ROW(OFFSET($A$3, 0,0, $AJ$4-$AJ$3+1))-2, $A$3:$A873,0)), $AJ$3+ROW(OFFSET($A$2,0, 0, $AJ$4-$AJ$3+1))-1), ROW(A225)))</f>
        <v>#NUM!</v>
      </c>
      <c r="AJ226" s="345">
        <f>Helpers!AY226</f>
        <v>0</v>
      </c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236"/>
      <c r="AV226" s="299"/>
      <c r="AW226" s="298" t="s">
        <v>2446</v>
      </c>
      <c r="AX226" s="56" t="s">
        <v>2503</v>
      </c>
      <c r="AY226" s="56" t="s">
        <v>2277</v>
      </c>
      <c r="AZ226" s="56" t="s">
        <v>2537</v>
      </c>
      <c r="BA226" s="56" t="s">
        <v>2600</v>
      </c>
    </row>
    <row r="227" spans="1:53" ht="13.5" customHeight="1" thickBot="1">
      <c r="A227" s="111">
        <v>225</v>
      </c>
      <c r="B227" s="335" t="str">
        <f t="shared" si="71"/>
        <v>Lance Morris</v>
      </c>
      <c r="C227" s="116" t="s">
        <v>1691</v>
      </c>
      <c r="D227" s="116" t="s">
        <v>1692</v>
      </c>
      <c r="E227"/>
      <c r="F227" s="363" t="str">
        <f>IF(SUM(COUNTIF(H227,{"*Girl*","*Women*","*Woman*","*Female*","*Wo*","*Fe*","*F*"})),"F","M")</f>
        <v>M</v>
      </c>
      <c r="G227" s="345" t="str">
        <f>IFERROR(IF(ISNUMBER(SEARCH("*",N227)),N227&amp;" "&amp;F227,IF(F227="M",LOOKUP(J227,AgeCategories!$A$3:$D$13),LOOKUP(J227,AgeCategories!$A$14:$D$24))),"Invalid Age")</f>
        <v>Master Men</v>
      </c>
      <c r="H227" s="175" t="s">
        <v>209</v>
      </c>
      <c r="I227" s="338">
        <f t="shared" si="72"/>
        <v>31885</v>
      </c>
      <c r="J227" s="364">
        <f>IFERROR(DATEDIF($I227,Helpers!$O$2,"y"),"ID No. needed")</f>
        <v>35</v>
      </c>
      <c r="K227" s="111"/>
      <c r="L227" s="300">
        <v>825534577</v>
      </c>
      <c r="M227" s="365" t="s">
        <v>1976</v>
      </c>
      <c r="N227" s="366"/>
      <c r="O227" s="367" t="b">
        <v>1</v>
      </c>
      <c r="P227" s="241" t="b">
        <f>NOT(ISNA(VLOOKUP(A227,SortedDownload!A:A,1,FALSE)))</f>
        <v>1</v>
      </c>
      <c r="Q227" s="373" t="s">
        <v>2728</v>
      </c>
      <c r="R227" s="368"/>
      <c r="S227" s="235"/>
      <c r="T227" s="235"/>
      <c r="U227" s="369" t="s">
        <v>2236</v>
      </c>
      <c r="V227" s="337" t="str">
        <f t="shared" si="73"/>
        <v>-</v>
      </c>
      <c r="W227" s="339" t="str">
        <f t="shared" si="74"/>
        <v>Lance Morris</v>
      </c>
      <c r="X227" s="345" t="str">
        <f t="shared" si="75"/>
        <v>Lance</v>
      </c>
      <c r="Y227" s="345" t="str">
        <f t="shared" si="76"/>
        <v>Morris</v>
      </c>
      <c r="Z227" s="345" t="str">
        <f t="shared" si="77"/>
        <v>L.Morris</v>
      </c>
      <c r="AA227" s="378" t="str">
        <f t="shared" si="69"/>
        <v/>
      </c>
      <c r="AB227" s="378" t="str">
        <f t="shared" si="70"/>
        <v/>
      </c>
      <c r="AC227" s="345" t="str">
        <f>IFERROR(IF(ISNUMBER(SEARCH("*",N227)),N227&amp;" "&amp;F227,IF(F227="M",LOOKUP(J227,AgeCategories!$A$3:$F$11),LOOKUP(J227,AgeCategories!$A$14:$F$22))),"")</f>
        <v>MM</v>
      </c>
      <c r="AD227" s="370">
        <f t="shared" si="78"/>
        <v>31885</v>
      </c>
      <c r="AE227" s="345">
        <f t="shared" si="79"/>
        <v>35</v>
      </c>
      <c r="AF227" s="345" t="str">
        <f>IF(SUM(COUNTIF(H227,{"*Girl*","*Women*","*Woman*","*Female*","*Wo*","*Fe*","*F*"})),"F","M")</f>
        <v>M</v>
      </c>
      <c r="AG227" s="371"/>
      <c r="AH227" s="112"/>
      <c r="AI227" s="337" t="e">
        <f t="array" aca="1" ref="AI227" ca="1">(SMALL(IF(ISERROR(MATCH($AJ$3+ROW(OFFSET($A$3, 0,0, $AJ$4-$AJ$3+1))-2, $A$3:$A874,0)), $AJ$3+ROW(OFFSET($A$2,0, 0, $AJ$4-$AJ$3+1))-1), ROW(A226)))</f>
        <v>#NUM!</v>
      </c>
      <c r="AJ227" s="345">
        <f>Helpers!AY227</f>
        <v>0</v>
      </c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236"/>
      <c r="AV227" s="299"/>
      <c r="AW227" s="298" t="s">
        <v>2447</v>
      </c>
      <c r="AX227" s="56" t="s">
        <v>2478</v>
      </c>
      <c r="AY227" s="56"/>
      <c r="AZ227" s="56" t="s">
        <v>2537</v>
      </c>
      <c r="BA227" s="56"/>
    </row>
    <row r="228" spans="1:53" ht="13.5" customHeight="1" thickBot="1">
      <c r="A228" s="111">
        <v>226</v>
      </c>
      <c r="B228" s="335" t="str">
        <f t="shared" si="71"/>
        <v>Adriaan De Lange</v>
      </c>
      <c r="C228" s="116" t="s">
        <v>1693</v>
      </c>
      <c r="D228" s="116" t="s">
        <v>1694</v>
      </c>
      <c r="E228"/>
      <c r="F228" s="363" t="str">
        <f>IF(SUM(COUNTIF(H228,{"*Girl*","*Women*","*Woman*","*Female*","*Wo*","*Fe*","*F*"})),"F","M")</f>
        <v>M</v>
      </c>
      <c r="G228" s="345" t="str">
        <f>IFERROR(IF(ISNUMBER(SEARCH("*",N228)),N228&amp;" "&amp;F228,IF(F228="M",LOOKUP(J228,AgeCategories!$A$3:$D$13),LOOKUP(J228,AgeCategories!$A$14:$D$24))),"Invalid Age")</f>
        <v>Elite Men</v>
      </c>
      <c r="H228" s="175" t="s">
        <v>209</v>
      </c>
      <c r="I228" s="338">
        <f t="shared" si="72"/>
        <v>37613</v>
      </c>
      <c r="J228" s="364">
        <f>IFERROR(DATEDIF($I228,Helpers!$O$2,"y"),"ID No. needed")</f>
        <v>20</v>
      </c>
      <c r="K228" s="111"/>
      <c r="L228" s="300">
        <v>799924634</v>
      </c>
      <c r="M228" s="365" t="s">
        <v>1977</v>
      </c>
      <c r="N228" s="366"/>
      <c r="O228" s="367" t="b">
        <v>1</v>
      </c>
      <c r="P228" s="241" t="b">
        <f>NOT(ISNA(VLOOKUP(A228,SortedDownload!A:A,1,FALSE)))</f>
        <v>1</v>
      </c>
      <c r="Q228" s="373" t="s">
        <v>2631</v>
      </c>
      <c r="R228" s="368"/>
      <c r="S228" s="235"/>
      <c r="T228" s="235"/>
      <c r="U228" s="369" t="s">
        <v>2237</v>
      </c>
      <c r="V228" s="337" t="str">
        <f t="shared" si="73"/>
        <v>-</v>
      </c>
      <c r="W228" s="339" t="str">
        <f t="shared" si="74"/>
        <v>Adriaan De Lange</v>
      </c>
      <c r="X228" s="345" t="str">
        <f t="shared" si="75"/>
        <v>Adriaan</v>
      </c>
      <c r="Y228" s="345" t="str">
        <f t="shared" si="76"/>
        <v>De Lange</v>
      </c>
      <c r="Z228" s="345" t="str">
        <f t="shared" si="77"/>
        <v>A.De Lange</v>
      </c>
      <c r="AA228" s="378" t="str">
        <f t="shared" si="69"/>
        <v/>
      </c>
      <c r="AB228" s="378" t="str">
        <f t="shared" si="70"/>
        <v/>
      </c>
      <c r="AC228" s="345" t="str">
        <f>IFERROR(IF(ISNUMBER(SEARCH("*",N228)),N228&amp;" "&amp;F228,IF(F228="M",LOOKUP(J228,AgeCategories!$A$3:$F$11),LOOKUP(J228,AgeCategories!$A$14:$F$22))),"")</f>
        <v>EM</v>
      </c>
      <c r="AD228" s="370">
        <f t="shared" si="78"/>
        <v>37613</v>
      </c>
      <c r="AE228" s="345">
        <f t="shared" si="79"/>
        <v>20</v>
      </c>
      <c r="AF228" s="345" t="str">
        <f>IF(SUM(COUNTIF(H228,{"*Girl*","*Women*","*Woman*","*Female*","*Wo*","*Fe*","*F*"})),"F","M")</f>
        <v>M</v>
      </c>
      <c r="AG228" s="371"/>
      <c r="AH228" s="112"/>
      <c r="AI228" s="337" t="e">
        <f t="array" aca="1" ref="AI228" ca="1">(SMALL(IF(ISERROR(MATCH($AJ$3+ROW(OFFSET($A$3, 0,0, $AJ$4-$AJ$3+1))-2, $A$3:$A875,0)), $AJ$3+ROW(OFFSET($A$2,0, 0, $AJ$4-$AJ$3+1))-1), ROW(A227)))</f>
        <v>#NUM!</v>
      </c>
      <c r="AJ228" s="345">
        <f>Helpers!AY228</f>
        <v>0</v>
      </c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236"/>
      <c r="AV228" s="299"/>
      <c r="AW228" s="298" t="s">
        <v>2448</v>
      </c>
      <c r="AX228" s="56" t="s">
        <v>2530</v>
      </c>
      <c r="AY228" s="56"/>
      <c r="AZ228" s="56" t="s">
        <v>2539</v>
      </c>
      <c r="BA228" s="56"/>
    </row>
    <row r="229" spans="1:53" ht="13.5" customHeight="1" thickBot="1">
      <c r="A229" s="111">
        <v>227</v>
      </c>
      <c r="B229" s="335" t="str">
        <f t="shared" si="71"/>
        <v>Rigardt Griessel</v>
      </c>
      <c r="C229" s="116" t="s">
        <v>1695</v>
      </c>
      <c r="D229" s="116" t="s">
        <v>1680</v>
      </c>
      <c r="E229"/>
      <c r="F229" s="363" t="str">
        <f>IF(SUM(COUNTIF(H229,{"*Girl*","*Women*","*Woman*","*Female*","*Wo*","*Fe*","*F*"})),"F","M")</f>
        <v>M</v>
      </c>
      <c r="G229" s="345" t="str">
        <f>IFERROR(IF(ISNUMBER(SEARCH("*",N229)),N229&amp;" "&amp;F229,IF(F229="M",LOOKUP(J229,AgeCategories!$A$3:$D$13),LOOKUP(J229,AgeCategories!$A$14:$D$24))),"Invalid Age")</f>
        <v>Master Men</v>
      </c>
      <c r="H229" s="175" t="s">
        <v>209</v>
      </c>
      <c r="I229" s="338">
        <f t="shared" si="72"/>
        <v>33554</v>
      </c>
      <c r="J229" s="364">
        <f>IFERROR(DATEDIF($I229,Helpers!$O$2,"y"),"ID No. needed")</f>
        <v>31</v>
      </c>
      <c r="K229" s="111"/>
      <c r="L229" s="300">
        <v>720158146</v>
      </c>
      <c r="M229" s="365" t="s">
        <v>1978</v>
      </c>
      <c r="N229" s="366"/>
      <c r="O229" s="367" t="b">
        <v>1</v>
      </c>
      <c r="P229" s="241" t="b">
        <f>NOT(ISNA(VLOOKUP(A229,SortedDownload!A:A,1,FALSE)))</f>
        <v>1</v>
      </c>
      <c r="Q229" s="373" t="s">
        <v>2631</v>
      </c>
      <c r="R229" s="368"/>
      <c r="S229" s="235"/>
      <c r="T229" s="235"/>
      <c r="U229" s="369" t="s">
        <v>2238</v>
      </c>
      <c r="V229" s="337" t="str">
        <f t="shared" si="73"/>
        <v>-</v>
      </c>
      <c r="W229" s="339" t="str">
        <f t="shared" si="74"/>
        <v>Rigardt Griessel</v>
      </c>
      <c r="X229" s="345" t="str">
        <f t="shared" si="75"/>
        <v>Rigardt</v>
      </c>
      <c r="Y229" s="345" t="str">
        <f t="shared" si="76"/>
        <v>Griessel</v>
      </c>
      <c r="Z229" s="345" t="str">
        <f t="shared" si="77"/>
        <v>R.Griessel</v>
      </c>
      <c r="AA229" s="378" t="str">
        <f t="shared" si="69"/>
        <v/>
      </c>
      <c r="AB229" s="378" t="str">
        <f t="shared" si="70"/>
        <v/>
      </c>
      <c r="AC229" s="345" t="str">
        <f>IFERROR(IF(ISNUMBER(SEARCH("*",N229)),N229&amp;" "&amp;F229,IF(F229="M",LOOKUP(J229,AgeCategories!$A$3:$F$11),LOOKUP(J229,AgeCategories!$A$14:$F$22))),"")</f>
        <v>MM</v>
      </c>
      <c r="AD229" s="370">
        <f t="shared" si="78"/>
        <v>33554</v>
      </c>
      <c r="AE229" s="345">
        <f t="shared" si="79"/>
        <v>31</v>
      </c>
      <c r="AF229" s="345" t="str">
        <f>IF(SUM(COUNTIF(H229,{"*Girl*","*Women*","*Woman*","*Female*","*Wo*","*Fe*","*F*"})),"F","M")</f>
        <v>M</v>
      </c>
      <c r="AG229" s="371"/>
      <c r="AH229" s="112"/>
      <c r="AI229" s="337" t="e">
        <f t="array" aca="1" ref="AI229" ca="1">(SMALL(IF(ISERROR(MATCH($AJ$3+ROW(OFFSET($A$3, 0,0, $AJ$4-$AJ$3+1))-2, $A$3:$A876,0)), $AJ$3+ROW(OFFSET($A$2,0, 0, $AJ$4-$AJ$3+1))-1), ROW(A228)))</f>
        <v>#NUM!</v>
      </c>
      <c r="AJ229" s="345">
        <f>Helpers!AY229</f>
        <v>0</v>
      </c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236"/>
      <c r="AV229" s="299"/>
      <c r="AW229" s="298" t="s">
        <v>2449</v>
      </c>
      <c r="AX229" s="56" t="s">
        <v>2478</v>
      </c>
      <c r="AY229" s="56" t="s">
        <v>2581</v>
      </c>
      <c r="AZ229" s="56" t="s">
        <v>2538</v>
      </c>
      <c r="BA229" s="56"/>
    </row>
    <row r="230" spans="1:53" ht="13.5" thickBot="1">
      <c r="A230" s="111">
        <v>228</v>
      </c>
      <c r="B230" s="335" t="str">
        <f t="shared" si="71"/>
        <v>Fred Lowe</v>
      </c>
      <c r="C230" s="116" t="s">
        <v>1696</v>
      </c>
      <c r="D230" s="116" t="s">
        <v>1697</v>
      </c>
      <c r="E230"/>
      <c r="F230" s="363" t="str">
        <f>IF(SUM(COUNTIF(H230,{"*Girl*","*Women*","*Woman*","*Female*","*Wo*","*Fe*","*F*"})),"F","M")</f>
        <v>M</v>
      </c>
      <c r="G230" s="345" t="str">
        <f>IFERROR(IF(ISNUMBER(SEARCH("*",N230)),N230&amp;" "&amp;F230,IF(F230="M",LOOKUP(J230,AgeCategories!$A$3:$D$13),LOOKUP(J230,AgeCategories!$A$14:$D$24))),"Invalid Age")</f>
        <v>Lite M</v>
      </c>
      <c r="H230" s="175" t="s">
        <v>209</v>
      </c>
      <c r="I230" s="338">
        <f t="shared" si="72"/>
        <v>30953</v>
      </c>
      <c r="J230" s="364">
        <f>IFERROR(DATEDIF($I230,Helpers!$O$2,"y"),"ID No. needed")</f>
        <v>38</v>
      </c>
      <c r="K230" s="111"/>
      <c r="L230" s="300">
        <v>842922225</v>
      </c>
      <c r="M230" s="365" t="s">
        <v>1979</v>
      </c>
      <c r="N230" s="341" t="s">
        <v>2601</v>
      </c>
      <c r="O230" s="367" t="b">
        <v>0</v>
      </c>
      <c r="P230" s="241" t="b">
        <f>NOT(ISNA(VLOOKUP(A230,SortedDownload!A:A,1,FALSE)))</f>
        <v>1</v>
      </c>
      <c r="Q230" s="373" t="s">
        <v>2601</v>
      </c>
      <c r="R230" s="368"/>
      <c r="S230" s="235"/>
      <c r="T230" s="235"/>
      <c r="U230" s="369" t="s">
        <v>2239</v>
      </c>
      <c r="V230" s="337" t="str">
        <f t="shared" si="73"/>
        <v>-</v>
      </c>
      <c r="W230" s="339" t="str">
        <f t="shared" si="74"/>
        <v>Fred Lowe</v>
      </c>
      <c r="X230" s="345" t="str">
        <f t="shared" si="75"/>
        <v>Fred</v>
      </c>
      <c r="Y230" s="345" t="str">
        <f t="shared" si="76"/>
        <v>Lowe</v>
      </c>
      <c r="Z230" s="345" t="str">
        <f t="shared" si="77"/>
        <v>F.Lowe</v>
      </c>
      <c r="AA230" s="378" t="str">
        <f t="shared" si="69"/>
        <v/>
      </c>
      <c r="AB230" s="378" t="str">
        <f t="shared" si="70"/>
        <v/>
      </c>
      <c r="AC230" s="345" t="str">
        <f>IFERROR(IF(ISNUMBER(SEARCH("*",N230)),N230&amp;" "&amp;F230,IF(F230="M",LOOKUP(J230,AgeCategories!$A$3:$F$11),LOOKUP(J230,AgeCategories!$A$14:$F$22))),"")</f>
        <v>Lite M</v>
      </c>
      <c r="AD230" s="370">
        <f t="shared" si="78"/>
        <v>30953</v>
      </c>
      <c r="AE230" s="345">
        <f t="shared" si="79"/>
        <v>38</v>
      </c>
      <c r="AF230" s="345" t="str">
        <f>IF(SUM(COUNTIF(H230,{"*Girl*","*Women*","*Woman*","*Female*","*Wo*","*Fe*","*F*"})),"F","M")</f>
        <v>M</v>
      </c>
      <c r="AG230" s="371"/>
      <c r="AH230" s="112"/>
      <c r="AI230" s="337" t="e">
        <f t="array" aca="1" ref="AI230" ca="1">(SMALL(IF(ISERROR(MATCH($AJ$3+ROW(OFFSET($A$3, 0,0, $AJ$4-$AJ$3+1))-2, $A$3:$A877,0)), $AJ$3+ROW(OFFSET($A$2,0, 0, $AJ$4-$AJ$3+1))-1), ROW(A229)))</f>
        <v>#NUM!</v>
      </c>
      <c r="AJ230" s="345">
        <f>Helpers!AY230</f>
        <v>0</v>
      </c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236"/>
      <c r="AV230" s="299"/>
      <c r="AW230" s="298" t="s">
        <v>2450</v>
      </c>
      <c r="AX230" s="56" t="s">
        <v>2531</v>
      </c>
      <c r="AY230" s="56" t="s">
        <v>2558</v>
      </c>
      <c r="AZ230" s="56" t="s">
        <v>2538</v>
      </c>
      <c r="BA230" s="56"/>
    </row>
    <row r="231" spans="1:53" ht="13.5" customHeight="1" thickBot="1">
      <c r="A231" s="111">
        <v>229</v>
      </c>
      <c r="B231" s="335" t="str">
        <f t="shared" si="71"/>
        <v>Mark Minter</v>
      </c>
      <c r="C231" s="116" t="s">
        <v>1698</v>
      </c>
      <c r="D231" s="116" t="s">
        <v>1699</v>
      </c>
      <c r="E231"/>
      <c r="F231" s="363" t="str">
        <f>IF(SUM(COUNTIF(H231,{"*Girl*","*Women*","*Woman*","*Female*","*Wo*","*Fe*","*F*"})),"F","M")</f>
        <v>M</v>
      </c>
      <c r="G231" s="345" t="str">
        <f>IFERROR(IF(ISNUMBER(SEARCH("*",N231)),N231&amp;" "&amp;F231,IF(F231="M",LOOKUP(J231,AgeCategories!$A$3:$D$13),LOOKUP(J231,AgeCategories!$A$14:$D$24))),"Invalid Age")</f>
        <v>Master Men</v>
      </c>
      <c r="H231" s="175" t="s">
        <v>209</v>
      </c>
      <c r="I231" s="338">
        <f t="shared" si="72"/>
        <v>20926</v>
      </c>
      <c r="J231" s="364">
        <f>IFERROR(DATEDIF($I231,Helpers!$O$2,"y"),"ID No. needed")</f>
        <v>65</v>
      </c>
      <c r="K231" s="111"/>
      <c r="L231" s="300">
        <v>832366502</v>
      </c>
      <c r="M231" s="365" t="s">
        <v>1980</v>
      </c>
      <c r="N231" s="366"/>
      <c r="O231" s="367" t="b">
        <v>1</v>
      </c>
      <c r="P231" s="241" t="b">
        <f>NOT(ISNA(VLOOKUP(A231,SortedDownload!A:A,1,FALSE)))</f>
        <v>1</v>
      </c>
      <c r="Q231" s="373" t="s">
        <v>2729</v>
      </c>
      <c r="R231" s="368"/>
      <c r="S231" s="235"/>
      <c r="T231" s="235"/>
      <c r="U231" s="369" t="s">
        <v>2240</v>
      </c>
      <c r="V231" s="337" t="str">
        <f t="shared" si="73"/>
        <v>-</v>
      </c>
      <c r="W231" s="339" t="str">
        <f t="shared" si="74"/>
        <v>Mark Minter</v>
      </c>
      <c r="X231" s="345" t="str">
        <f t="shared" si="75"/>
        <v>Mark</v>
      </c>
      <c r="Y231" s="345" t="str">
        <f t="shared" si="76"/>
        <v>Minter</v>
      </c>
      <c r="Z231" s="345" t="str">
        <f t="shared" si="77"/>
        <v>M.Minter</v>
      </c>
      <c r="AA231" s="378" t="str">
        <f t="shared" si="69"/>
        <v/>
      </c>
      <c r="AB231" s="378" t="str">
        <f t="shared" si="70"/>
        <v/>
      </c>
      <c r="AC231" s="345" t="str">
        <f>IFERROR(IF(ISNUMBER(SEARCH("*",N231)),N231&amp;" "&amp;F231,IF(F231="M",LOOKUP(J231,AgeCategories!$A$3:$F$11),LOOKUP(J231,AgeCategories!$A$14:$F$22))),"")</f>
        <v>MM</v>
      </c>
      <c r="AD231" s="370">
        <f t="shared" si="78"/>
        <v>20926</v>
      </c>
      <c r="AE231" s="345">
        <f t="shared" si="79"/>
        <v>65</v>
      </c>
      <c r="AF231" s="345" t="str">
        <f>IF(SUM(COUNTIF(H231,{"*Girl*","*Women*","*Woman*","*Female*","*Wo*","*Fe*","*F*"})),"F","M")</f>
        <v>M</v>
      </c>
      <c r="AG231" s="371"/>
      <c r="AH231" s="112"/>
      <c r="AI231" s="337" t="e">
        <f t="array" aca="1" ref="AI231" ca="1">(SMALL(IF(ISERROR(MATCH($AJ$3+ROW(OFFSET($A$3, 0,0, $AJ$4-$AJ$3+1))-2, $A$3:$A878,0)), $AJ$3+ROW(OFFSET($A$2,0, 0, $AJ$4-$AJ$3+1))-1), ROW(A230)))</f>
        <v>#NUM!</v>
      </c>
      <c r="AJ231" s="345">
        <f>Helpers!AY231</f>
        <v>0</v>
      </c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236"/>
      <c r="AV231" s="299"/>
      <c r="AW231" s="298" t="s">
        <v>2451</v>
      </c>
      <c r="AX231" s="56" t="s">
        <v>2478</v>
      </c>
      <c r="AY231" s="56" t="s">
        <v>2277</v>
      </c>
      <c r="AZ231" s="56" t="s">
        <v>2537</v>
      </c>
      <c r="BA231" s="56"/>
    </row>
    <row r="232" spans="1:53" ht="13.5" customHeight="1" thickBot="1">
      <c r="A232" s="111">
        <v>230</v>
      </c>
      <c r="B232" s="335" t="str">
        <f t="shared" si="71"/>
        <v>Christo Van Eeden</v>
      </c>
      <c r="C232" s="116" t="s">
        <v>1505</v>
      </c>
      <c r="D232" s="116" t="s">
        <v>1646</v>
      </c>
      <c r="E232"/>
      <c r="F232" s="363" t="str">
        <f>IF(SUM(COUNTIF(H232,{"*Girl*","*Women*","*Woman*","*Female*","*Wo*","*Fe*","*F*"})),"F","M")</f>
        <v>M</v>
      </c>
      <c r="G232" s="345" t="str">
        <f>IFERROR(IF(ISNUMBER(SEARCH("*",N232)),N232&amp;" "&amp;F232,IF(F232="M",LOOKUP(J232,AgeCategories!$A$3:$D$13),LOOKUP(J232,AgeCategories!$A$14:$D$24))),"Invalid Age")</f>
        <v>E-Bike M</v>
      </c>
      <c r="H232" s="175" t="s">
        <v>209</v>
      </c>
      <c r="I232" s="338">
        <f t="shared" si="72"/>
        <v>23502</v>
      </c>
      <c r="J232" s="364">
        <f>IFERROR(DATEDIF($I232,Helpers!$O$2,"y"),"ID No. needed")</f>
        <v>58</v>
      </c>
      <c r="K232" s="111"/>
      <c r="L232" s="300">
        <v>824579489</v>
      </c>
      <c r="M232" s="377" t="s">
        <v>2617</v>
      </c>
      <c r="N232" s="366" t="s">
        <v>560</v>
      </c>
      <c r="O232" s="367" t="b">
        <v>1</v>
      </c>
      <c r="P232" s="241" t="b">
        <f>NOT(ISNA(VLOOKUP(A232,SortedDownload!A:A,1,FALSE)))</f>
        <v>1</v>
      </c>
      <c r="Q232" s="373" t="s">
        <v>2729</v>
      </c>
      <c r="R232" s="368"/>
      <c r="S232" s="235"/>
      <c r="T232" s="235"/>
      <c r="U232" s="369" t="s">
        <v>2205</v>
      </c>
      <c r="V232" s="337" t="str">
        <f t="shared" si="73"/>
        <v>-</v>
      </c>
      <c r="W232" s="339" t="str">
        <f t="shared" si="74"/>
        <v>Christo Van Eeden</v>
      </c>
      <c r="X232" s="345" t="str">
        <f t="shared" si="75"/>
        <v>Christo</v>
      </c>
      <c r="Y232" s="345" t="str">
        <f t="shared" si="76"/>
        <v>Van Eeden</v>
      </c>
      <c r="Z232" s="345" t="str">
        <f t="shared" si="77"/>
        <v>C.Van Eeden</v>
      </c>
      <c r="AA232" s="378" t="str">
        <f t="shared" si="69"/>
        <v/>
      </c>
      <c r="AB232" s="378" t="str">
        <f t="shared" si="70"/>
        <v/>
      </c>
      <c r="AC232" s="345" t="str">
        <f>IFERROR(IF(ISNUMBER(SEARCH("*",N232)),N232&amp;" "&amp;F232,IF(F232="M",LOOKUP(J232,AgeCategories!$A$3:$F$11),LOOKUP(J232,AgeCategories!$A$14:$F$22))),"")</f>
        <v>E-Bike M</v>
      </c>
      <c r="AD232" s="370">
        <f t="shared" si="78"/>
        <v>23502</v>
      </c>
      <c r="AE232" s="345">
        <f t="shared" si="79"/>
        <v>58</v>
      </c>
      <c r="AF232" s="345" t="str">
        <f>IF(SUM(COUNTIF(H232,{"*Girl*","*Women*","*Woman*","*Female*","*Wo*","*Fe*","*F*"})),"F","M")</f>
        <v>M</v>
      </c>
      <c r="AG232" s="371"/>
      <c r="AH232" s="112"/>
      <c r="AI232" s="337" t="e">
        <f t="array" aca="1" ref="AI232" ca="1">(SMALL(IF(ISERROR(MATCH($AJ$3+ROW(OFFSET($A$3, 0,0, $AJ$4-$AJ$3+1))-2, $A$3:$A879,0)), $AJ$3+ROW(OFFSET($A$2,0, 0, $AJ$4-$AJ$3+1))-1), ROW(A231)))</f>
        <v>#NUM!</v>
      </c>
      <c r="AJ232" s="345">
        <f>Helpers!AY232</f>
        <v>0</v>
      </c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236"/>
      <c r="AV232" s="299"/>
      <c r="AW232" s="298"/>
      <c r="AX232" s="56" t="s">
        <v>2527</v>
      </c>
      <c r="AY232" s="56" t="s">
        <v>2577</v>
      </c>
      <c r="AZ232" s="56" t="s">
        <v>2537</v>
      </c>
      <c r="BA232" s="56"/>
    </row>
    <row r="233" spans="1:53" ht="13.5" customHeight="1" thickBot="1">
      <c r="A233" s="111">
        <v>231</v>
      </c>
      <c r="B233" s="335" t="str">
        <f t="shared" si="71"/>
        <v>Adriaan De Waard</v>
      </c>
      <c r="C233" s="116" t="s">
        <v>1693</v>
      </c>
      <c r="D233" s="116" t="s">
        <v>1700</v>
      </c>
      <c r="E233"/>
      <c r="F233" s="363" t="str">
        <f>IF(SUM(COUNTIF(H233,{"*Girl*","*Women*","*Woman*","*Female*","*Wo*","*Fe*","*F*"})),"F","M")</f>
        <v>M</v>
      </c>
      <c r="G233" s="345" t="str">
        <f>IFERROR(IF(ISNUMBER(SEARCH("*",N233)),N233&amp;" "&amp;F233,IF(F233="M",LOOKUP(J233,AgeCategories!$A$3:$D$13),LOOKUP(J233,AgeCategories!$A$14:$D$24))),"Invalid Age")</f>
        <v>Youth Men</v>
      </c>
      <c r="H233" s="175" t="s">
        <v>209</v>
      </c>
      <c r="I233" s="338">
        <f t="shared" si="72"/>
        <v>39258</v>
      </c>
      <c r="J233" s="364">
        <f>IFERROR(DATEDIF($I233,Helpers!$O$2,"y"),"ID No. needed")</f>
        <v>15</v>
      </c>
      <c r="K233" s="111"/>
      <c r="L233" s="300">
        <v>828267956</v>
      </c>
      <c r="M233" s="365" t="s">
        <v>1981</v>
      </c>
      <c r="N233" s="366"/>
      <c r="O233" s="367" t="b">
        <v>1</v>
      </c>
      <c r="P233" s="241" t="b">
        <f>NOT(ISNA(VLOOKUP(A233,SortedDownload!A:A,1,FALSE)))</f>
        <v>1</v>
      </c>
      <c r="Q233" s="373" t="s">
        <v>2632</v>
      </c>
      <c r="R233" s="368"/>
      <c r="S233" s="235"/>
      <c r="T233" s="235"/>
      <c r="U233" s="369" t="s">
        <v>2241</v>
      </c>
      <c r="V233" s="337" t="str">
        <f t="shared" si="73"/>
        <v>-</v>
      </c>
      <c r="W233" s="339" t="str">
        <f t="shared" si="74"/>
        <v>Adriaan De Waard</v>
      </c>
      <c r="X233" s="345" t="str">
        <f t="shared" si="75"/>
        <v>Adriaan</v>
      </c>
      <c r="Y233" s="345" t="str">
        <f t="shared" si="76"/>
        <v>De Waard</v>
      </c>
      <c r="Z233" s="345" t="str">
        <f t="shared" si="77"/>
        <v>A.De Waard</v>
      </c>
      <c r="AA233" s="378" t="str">
        <f t="shared" si="69"/>
        <v/>
      </c>
      <c r="AB233" s="378" t="str">
        <f t="shared" si="70"/>
        <v/>
      </c>
      <c r="AC233" s="345" t="str">
        <f>IFERROR(IF(ISNUMBER(SEARCH("*",N233)),N233&amp;" "&amp;F233,IF(F233="M",LOOKUP(J233,AgeCategories!$A$3:$F$11),LOOKUP(J233,AgeCategories!$A$14:$F$22))),"")</f>
        <v>YM</v>
      </c>
      <c r="AD233" s="370">
        <f t="shared" si="78"/>
        <v>39258</v>
      </c>
      <c r="AE233" s="345">
        <f t="shared" si="79"/>
        <v>15</v>
      </c>
      <c r="AF233" s="345" t="str">
        <f>IF(SUM(COUNTIF(H233,{"*Girl*","*Women*","*Woman*","*Female*","*Wo*","*Fe*","*F*"})),"F","M")</f>
        <v>M</v>
      </c>
      <c r="AG233" s="371"/>
      <c r="AH233" s="112"/>
      <c r="AI233" s="337" t="e">
        <f t="array" aca="1" ref="AI233" ca="1">(SMALL(IF(ISERROR(MATCH($AJ$3+ROW(OFFSET($A$3, 0,0, $AJ$4-$AJ$3+1))-2, $A$3:$A880,0)), $AJ$3+ROW(OFFSET($A$2,0, 0, $AJ$4-$AJ$3+1))-1), ROW(A232)))</f>
        <v>#NUM!</v>
      </c>
      <c r="AJ233" s="345">
        <f>Helpers!AY233</f>
        <v>0</v>
      </c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236"/>
      <c r="AV233" s="299"/>
      <c r="AW233" s="298" t="s">
        <v>2452</v>
      </c>
      <c r="AX233" s="56" t="s">
        <v>2482</v>
      </c>
      <c r="AY233" s="56" t="s">
        <v>2553</v>
      </c>
      <c r="AZ233" s="56" t="s">
        <v>2537</v>
      </c>
      <c r="BA233" s="56"/>
    </row>
    <row r="234" spans="1:53" ht="13.5" thickBot="1">
      <c r="A234" s="111">
        <v>232</v>
      </c>
      <c r="B234" s="335" t="str">
        <f t="shared" si="71"/>
        <v>Pierre Evard</v>
      </c>
      <c r="C234" s="116" t="s">
        <v>1701</v>
      </c>
      <c r="D234" s="116" t="s">
        <v>1702</v>
      </c>
      <c r="E234"/>
      <c r="F234" s="363" t="str">
        <f>IF(SUM(COUNTIF(H234,{"*Girl*","*Women*","*Woman*","*Female*","*Wo*","*Fe*","*F*"})),"F","M")</f>
        <v>M</v>
      </c>
      <c r="G234" s="345" t="str">
        <f>IFERROR(IF(ISNUMBER(SEARCH("*",N234)),N234&amp;" "&amp;F234,IF(F234="M",LOOKUP(J234,AgeCategories!$A$3:$D$13),LOOKUP(J234,AgeCategories!$A$14:$D$24))),"Invalid Age")</f>
        <v>Lite M</v>
      </c>
      <c r="H234" s="175" t="s">
        <v>209</v>
      </c>
      <c r="I234" s="338">
        <f t="shared" si="72"/>
        <v>24873</v>
      </c>
      <c r="J234" s="364">
        <f>IFERROR(DATEDIF($I234,Helpers!$O$2,"y"),"ID No. needed")</f>
        <v>54</v>
      </c>
      <c r="K234" s="111"/>
      <c r="L234" s="300">
        <v>828841522</v>
      </c>
      <c r="M234" s="365" t="s">
        <v>1982</v>
      </c>
      <c r="N234" s="341" t="s">
        <v>2601</v>
      </c>
      <c r="O234" s="367" t="b">
        <v>1</v>
      </c>
      <c r="P234" s="241" t="b">
        <f>NOT(ISNA(VLOOKUP(A234,SortedDownload!A:A,1,FALSE)))</f>
        <v>1</v>
      </c>
      <c r="Q234" s="373" t="s">
        <v>2601</v>
      </c>
      <c r="R234" s="368"/>
      <c r="S234" s="235"/>
      <c r="T234" s="235"/>
      <c r="U234" s="369" t="s">
        <v>2242</v>
      </c>
      <c r="V234" s="337" t="str">
        <f t="shared" si="73"/>
        <v>-</v>
      </c>
      <c r="W234" s="339" t="str">
        <f t="shared" si="74"/>
        <v>Pierre Evard</v>
      </c>
      <c r="X234" s="345" t="str">
        <f t="shared" si="75"/>
        <v>Pierre</v>
      </c>
      <c r="Y234" s="345" t="str">
        <f t="shared" si="76"/>
        <v>Evard</v>
      </c>
      <c r="Z234" s="345" t="str">
        <f t="shared" si="77"/>
        <v>P.Evard</v>
      </c>
      <c r="AA234" s="378" t="str">
        <f t="shared" si="69"/>
        <v/>
      </c>
      <c r="AB234" s="378" t="str">
        <f t="shared" si="70"/>
        <v/>
      </c>
      <c r="AC234" s="345" t="str">
        <f>IFERROR(IF(ISNUMBER(SEARCH("*",N234)),N234&amp;" "&amp;F234,IF(F234="M",LOOKUP(J234,AgeCategories!$A$3:$F$11),LOOKUP(J234,AgeCategories!$A$14:$F$22))),"")</f>
        <v>Lite M</v>
      </c>
      <c r="AD234" s="370">
        <f t="shared" si="78"/>
        <v>24873</v>
      </c>
      <c r="AE234" s="345">
        <f t="shared" si="79"/>
        <v>54</v>
      </c>
      <c r="AF234" s="345" t="str">
        <f>IF(SUM(COUNTIF(H234,{"*Girl*","*Women*","*Woman*","*Female*","*Wo*","*Fe*","*F*"})),"F","M")</f>
        <v>M</v>
      </c>
      <c r="AG234" s="371"/>
      <c r="AH234" s="112"/>
      <c r="AI234" s="337" t="e">
        <f t="array" aca="1" ref="AI234" ca="1">(SMALL(IF(ISERROR(MATCH($AJ$3+ROW(OFFSET($A$3, 0,0, $AJ$4-$AJ$3+1))-2, $A$3:$A881,0)), $AJ$3+ROW(OFFSET($A$2,0, 0, $AJ$4-$AJ$3+1))-1), ROW(A233)))</f>
        <v>#NUM!</v>
      </c>
      <c r="AJ234" s="345">
        <f>Helpers!AY234</f>
        <v>0</v>
      </c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236"/>
      <c r="AV234" s="299"/>
      <c r="AW234" s="298" t="s">
        <v>2453</v>
      </c>
      <c r="AX234" s="56" t="s">
        <v>2487</v>
      </c>
      <c r="AY234" s="56" t="s">
        <v>2277</v>
      </c>
      <c r="AZ234" s="56" t="s">
        <v>2538</v>
      </c>
      <c r="BA234" s="56"/>
    </row>
    <row r="235" spans="1:53" ht="13.5" customHeight="1" thickBot="1">
      <c r="A235" s="111">
        <v>233</v>
      </c>
      <c r="B235" s="335" t="str">
        <f t="shared" si="71"/>
        <v>Jordon Evard</v>
      </c>
      <c r="C235" s="116" t="s">
        <v>1703</v>
      </c>
      <c r="D235" s="116" t="s">
        <v>1702</v>
      </c>
      <c r="E235"/>
      <c r="F235" s="363" t="str">
        <f>IF(SUM(COUNTIF(H235,{"*Girl*","*Women*","*Woman*","*Female*","*Wo*","*Fe*","*F*"})),"F","M")</f>
        <v>M</v>
      </c>
      <c r="G235" s="345" t="str">
        <f>IFERROR(IF(ISNUMBER(SEARCH("*",N235)),N235&amp;" "&amp;F235,IF(F235="M",LOOKUP(J235,AgeCategories!$A$3:$D$13),LOOKUP(J235,AgeCategories!$A$14:$D$24))),"Invalid Age")</f>
        <v>Junior Men</v>
      </c>
      <c r="H235" s="175" t="s">
        <v>209</v>
      </c>
      <c r="I235" s="338">
        <f t="shared" si="72"/>
        <v>38112</v>
      </c>
      <c r="J235" s="364">
        <f>IFERROR(DATEDIF($I235,Helpers!$O$2,"y"),"ID No. needed")</f>
        <v>18</v>
      </c>
      <c r="K235" s="111"/>
      <c r="L235" s="300">
        <v>791799412</v>
      </c>
      <c r="M235" s="377" t="s">
        <v>2618</v>
      </c>
      <c r="N235" s="366"/>
      <c r="O235" s="367" t="b">
        <v>1</v>
      </c>
      <c r="P235" s="241" t="b">
        <f>NOT(ISNA(VLOOKUP(A235,SortedDownload!A:A,1,FALSE)))</f>
        <v>1</v>
      </c>
      <c r="Q235" s="373" t="s">
        <v>2631</v>
      </c>
      <c r="R235" s="368"/>
      <c r="S235" s="235"/>
      <c r="T235" s="235"/>
      <c r="U235" s="369" t="s">
        <v>2242</v>
      </c>
      <c r="V235" s="337" t="str">
        <f t="shared" si="73"/>
        <v>-</v>
      </c>
      <c r="W235" s="339" t="str">
        <f t="shared" si="74"/>
        <v>Jordon Evard</v>
      </c>
      <c r="X235" s="345" t="str">
        <f t="shared" si="75"/>
        <v>Jordon</v>
      </c>
      <c r="Y235" s="345" t="str">
        <f t="shared" si="76"/>
        <v>Evard</v>
      </c>
      <c r="Z235" s="345" t="str">
        <f t="shared" si="77"/>
        <v>J.Evard</v>
      </c>
      <c r="AA235" s="378" t="str">
        <f t="shared" si="69"/>
        <v/>
      </c>
      <c r="AB235" s="378" t="str">
        <f t="shared" si="70"/>
        <v/>
      </c>
      <c r="AC235" s="345" t="str">
        <f>IFERROR(IF(ISNUMBER(SEARCH("*",N235)),N235&amp;" "&amp;F235,IF(F235="M",LOOKUP(J235,AgeCategories!$A$3:$F$11),LOOKUP(J235,AgeCategories!$A$14:$F$22))),"")</f>
        <v>JM</v>
      </c>
      <c r="AD235" s="370">
        <f t="shared" si="78"/>
        <v>38112</v>
      </c>
      <c r="AE235" s="345">
        <f t="shared" si="79"/>
        <v>18</v>
      </c>
      <c r="AF235" s="345" t="str">
        <f>IF(SUM(COUNTIF(H235,{"*Girl*","*Women*","*Woman*","*Female*","*Wo*","*Fe*","*F*"})),"F","M")</f>
        <v>M</v>
      </c>
      <c r="AG235" s="371"/>
      <c r="AH235" s="112"/>
      <c r="AI235" s="337" t="e">
        <f t="array" aca="1" ref="AI235" ca="1">(SMALL(IF(ISERROR(MATCH($AJ$3+ROW(OFFSET($A$3, 0,0, $AJ$4-$AJ$3+1))-2, $A$3:$A882,0)), $AJ$3+ROW(OFFSET($A$2,0, 0, $AJ$4-$AJ$3+1))-1), ROW(A234)))</f>
        <v>#NUM!</v>
      </c>
      <c r="AJ235" s="345">
        <f>Helpers!AY235</f>
        <v>0</v>
      </c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236"/>
      <c r="AV235" s="299"/>
      <c r="AW235" s="298" t="s">
        <v>2453</v>
      </c>
      <c r="AX235" s="56" t="s">
        <v>2487</v>
      </c>
      <c r="AY235" s="56" t="s">
        <v>2277</v>
      </c>
      <c r="AZ235" s="56" t="s">
        <v>2538</v>
      </c>
      <c r="BA235" s="56"/>
    </row>
    <row r="236" spans="1:53" ht="13.5" customHeight="1" thickBot="1">
      <c r="A236" s="111">
        <v>234</v>
      </c>
      <c r="B236" s="335" t="str">
        <f t="shared" si="71"/>
        <v>Devon Coombe</v>
      </c>
      <c r="C236" s="116" t="s">
        <v>1704</v>
      </c>
      <c r="D236" s="116" t="s">
        <v>1705</v>
      </c>
      <c r="E236"/>
      <c r="F236" s="363" t="str">
        <f>IF(SUM(COUNTIF(H236,{"*Girl*","*Women*","*Woman*","*Female*","*Wo*","*Fe*","*F*"})),"F","M")</f>
        <v>M</v>
      </c>
      <c r="G236" s="345" t="str">
        <f>IFERROR(IF(ISNUMBER(SEARCH("*",N236)),N236&amp;" "&amp;F236,IF(F236="M",LOOKUP(J236,AgeCategories!$A$3:$D$13),LOOKUP(J236,AgeCategories!$A$14:$D$24))),"Invalid Age")</f>
        <v>Elite Men</v>
      </c>
      <c r="H236" s="175" t="s">
        <v>209</v>
      </c>
      <c r="I236" s="338">
        <f t="shared" si="72"/>
        <v>37979</v>
      </c>
      <c r="J236" s="364">
        <f>IFERROR(DATEDIF($I236,Helpers!$O$2,"y"),"ID No. needed")</f>
        <v>19</v>
      </c>
      <c r="K236" s="111"/>
      <c r="L236" s="300">
        <v>646532556</v>
      </c>
      <c r="M236" s="365" t="s">
        <v>1983</v>
      </c>
      <c r="N236" s="366"/>
      <c r="O236" s="367" t="b">
        <v>1</v>
      </c>
      <c r="P236" s="241" t="b">
        <f>NOT(ISNA(VLOOKUP(A236,SortedDownload!A:A,1,FALSE)))</f>
        <v>1</v>
      </c>
      <c r="Q236" s="373" t="s">
        <v>2631</v>
      </c>
      <c r="R236" s="368"/>
      <c r="S236" s="235"/>
      <c r="T236" s="235"/>
      <c r="U236" s="369" t="s">
        <v>2243</v>
      </c>
      <c r="V236" s="337" t="str">
        <f t="shared" si="73"/>
        <v>-</v>
      </c>
      <c r="W236" s="339" t="str">
        <f t="shared" si="74"/>
        <v>Devon Coombe</v>
      </c>
      <c r="X236" s="345" t="str">
        <f t="shared" si="75"/>
        <v>Devon</v>
      </c>
      <c r="Y236" s="345" t="str">
        <f t="shared" si="76"/>
        <v>Coombe</v>
      </c>
      <c r="Z236" s="345" t="str">
        <f t="shared" si="77"/>
        <v>D.Coombe</v>
      </c>
      <c r="AA236" s="378" t="str">
        <f t="shared" si="69"/>
        <v/>
      </c>
      <c r="AB236" s="378" t="str">
        <f t="shared" si="70"/>
        <v/>
      </c>
      <c r="AC236" s="345" t="str">
        <f>IFERROR(IF(ISNUMBER(SEARCH("*",N236)),N236&amp;" "&amp;F236,IF(F236="M",LOOKUP(J236,AgeCategories!$A$3:$F$11),LOOKUP(J236,AgeCategories!$A$14:$F$22))),"")</f>
        <v>EM</v>
      </c>
      <c r="AD236" s="370">
        <f t="shared" si="78"/>
        <v>37979</v>
      </c>
      <c r="AE236" s="345">
        <f t="shared" si="79"/>
        <v>19</v>
      </c>
      <c r="AF236" s="345" t="str">
        <f>IF(SUM(COUNTIF(H236,{"*Girl*","*Women*","*Woman*","*Female*","*Wo*","*Fe*","*F*"})),"F","M")</f>
        <v>M</v>
      </c>
      <c r="AG236" s="371"/>
      <c r="AH236" s="112"/>
      <c r="AI236" s="337" t="e">
        <f t="array" aca="1" ref="AI236" ca="1">(SMALL(IF(ISERROR(MATCH($AJ$3+ROW(OFFSET($A$3, 0,0, $AJ$4-$AJ$3+1))-2, $A$3:$A883,0)), $AJ$3+ROW(OFFSET($A$2,0, 0, $AJ$4-$AJ$3+1))-1), ROW(A235)))</f>
        <v>#NUM!</v>
      </c>
      <c r="AJ236" s="345">
        <f>Helpers!AY236</f>
        <v>0</v>
      </c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236"/>
      <c r="AV236" s="299"/>
      <c r="AW236" s="298" t="s">
        <v>2454</v>
      </c>
      <c r="AX236" s="56" t="s">
        <v>2532</v>
      </c>
      <c r="AY236" s="56" t="s">
        <v>2277</v>
      </c>
      <c r="AZ236" s="56" t="s">
        <v>2537</v>
      </c>
      <c r="BA236" s="56"/>
    </row>
    <row r="237" spans="1:53" ht="13.5" customHeight="1" thickBot="1">
      <c r="A237" s="111">
        <v>235</v>
      </c>
      <c r="B237" s="335" t="str">
        <f t="shared" si="71"/>
        <v>Bjorn Train</v>
      </c>
      <c r="C237" s="116" t="s">
        <v>1706</v>
      </c>
      <c r="D237" s="116" t="s">
        <v>1707</v>
      </c>
      <c r="E237"/>
      <c r="F237" s="363" t="str">
        <f>IF(SUM(COUNTIF(H237,{"*Girl*","*Women*","*Woman*","*Female*","*Wo*","*Fe*","*F*"})),"F","M")</f>
        <v>M</v>
      </c>
      <c r="G237" s="345" t="str">
        <f>IFERROR(IF(ISNUMBER(SEARCH("*",N237)),N237&amp;" "&amp;F237,IF(F237="M",LOOKUP(J237,AgeCategories!$A$3:$D$13),LOOKUP(J237,AgeCategories!$A$14:$D$24))),"Invalid Age")</f>
        <v>Elite Men</v>
      </c>
      <c r="H237" s="175" t="s">
        <v>209</v>
      </c>
      <c r="I237" s="338">
        <f t="shared" si="72"/>
        <v>34990</v>
      </c>
      <c r="J237" s="364">
        <f>IFERROR(DATEDIF($I237,Helpers!$O$2,"y"),"ID No. needed")</f>
        <v>27</v>
      </c>
      <c r="K237" s="111"/>
      <c r="L237" s="300">
        <v>834420601</v>
      </c>
      <c r="M237" s="365" t="s">
        <v>1984</v>
      </c>
      <c r="N237" s="366"/>
      <c r="O237" s="367" t="b">
        <v>1</v>
      </c>
      <c r="P237" s="241" t="b">
        <f>NOT(ISNA(VLOOKUP(A237,SortedDownload!A:A,1,FALSE)))</f>
        <v>1</v>
      </c>
      <c r="Q237" s="373" t="s">
        <v>2631</v>
      </c>
      <c r="R237" s="368"/>
      <c r="S237" s="235"/>
      <c r="T237" s="235"/>
      <c r="U237" s="369" t="s">
        <v>2244</v>
      </c>
      <c r="V237" s="337" t="str">
        <f t="shared" si="73"/>
        <v>-</v>
      </c>
      <c r="W237" s="339" t="str">
        <f t="shared" si="74"/>
        <v>Bjorn Train</v>
      </c>
      <c r="X237" s="345" t="str">
        <f t="shared" si="75"/>
        <v>Bjorn</v>
      </c>
      <c r="Y237" s="345" t="str">
        <f t="shared" si="76"/>
        <v>Train</v>
      </c>
      <c r="Z237" s="345" t="str">
        <f t="shared" si="77"/>
        <v>B.Train</v>
      </c>
      <c r="AA237" s="378" t="str">
        <f t="shared" si="69"/>
        <v/>
      </c>
      <c r="AB237" s="378" t="str">
        <f t="shared" si="70"/>
        <v/>
      </c>
      <c r="AC237" s="345" t="str">
        <f>IFERROR(IF(ISNUMBER(SEARCH("*",N237)),N237&amp;" "&amp;F237,IF(F237="M",LOOKUP(J237,AgeCategories!$A$3:$F$11),LOOKUP(J237,AgeCategories!$A$14:$F$22))),"")</f>
        <v>EM</v>
      </c>
      <c r="AD237" s="370">
        <f t="shared" si="78"/>
        <v>34990</v>
      </c>
      <c r="AE237" s="345">
        <f t="shared" si="79"/>
        <v>27</v>
      </c>
      <c r="AF237" s="345" t="str">
        <f>IF(SUM(COUNTIF(H237,{"*Girl*","*Women*","*Woman*","*Female*","*Wo*","*Fe*","*F*"})),"F","M")</f>
        <v>M</v>
      </c>
      <c r="AG237" s="371"/>
      <c r="AH237" s="112"/>
      <c r="AI237" s="337" t="e">
        <f t="array" aca="1" ref="AI237" ca="1">(SMALL(IF(ISERROR(MATCH($AJ$3+ROW(OFFSET($A$3, 0,0, $AJ$4-$AJ$3+1))-2, $A$3:$A884,0)), $AJ$3+ROW(OFFSET($A$2,0, 0, $AJ$4-$AJ$3+1))-1), ROW(A236)))</f>
        <v>#NUM!</v>
      </c>
      <c r="AJ237" s="345">
        <f>Helpers!AY237</f>
        <v>0</v>
      </c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236"/>
      <c r="AV237" s="299"/>
      <c r="AW237" s="298" t="s">
        <v>2455</v>
      </c>
      <c r="AX237" s="56" t="s">
        <v>2478</v>
      </c>
      <c r="AY237" s="56" t="s">
        <v>2277</v>
      </c>
      <c r="AZ237" s="56" t="s">
        <v>2537</v>
      </c>
      <c r="BA237" s="56"/>
    </row>
    <row r="238" spans="1:53" ht="13.5" customHeight="1" thickBot="1">
      <c r="A238" s="111">
        <v>236</v>
      </c>
      <c r="B238" s="335" t="str">
        <f t="shared" si="71"/>
        <v>Marc Carr</v>
      </c>
      <c r="C238" s="116" t="s">
        <v>1708</v>
      </c>
      <c r="D238" s="116" t="s">
        <v>1709</v>
      </c>
      <c r="E238"/>
      <c r="F238" s="363" t="str">
        <f>IF(SUM(COUNTIF(H238,{"*Girl*","*Women*","*Woman*","*Female*","*Wo*","*Fe*","*F*"})),"F","M")</f>
        <v>M</v>
      </c>
      <c r="G238" s="345" t="str">
        <f>IFERROR(IF(ISNUMBER(SEARCH("*",N238)),N238&amp;" "&amp;F238,IF(F238="M",LOOKUP(J238,AgeCategories!$A$3:$D$13),LOOKUP(J238,AgeCategories!$A$14:$D$24))),"Invalid Age")</f>
        <v>E-Bike M</v>
      </c>
      <c r="H238" s="175" t="s">
        <v>209</v>
      </c>
      <c r="I238" s="338">
        <f t="shared" si="72"/>
        <v>32366</v>
      </c>
      <c r="J238" s="364">
        <f>IFERROR(DATEDIF($I238,Helpers!$O$2,"y"),"ID No. needed")</f>
        <v>34</v>
      </c>
      <c r="K238" s="111"/>
      <c r="L238" s="300">
        <v>843930420</v>
      </c>
      <c r="M238" s="365" t="s">
        <v>1985</v>
      </c>
      <c r="N238" s="366" t="s">
        <v>560</v>
      </c>
      <c r="O238" s="367" t="b">
        <v>1</v>
      </c>
      <c r="P238" s="241" t="b">
        <f>NOT(ISNA(VLOOKUP(A238,SortedDownload!A:A,1,FALSE)))</f>
        <v>1</v>
      </c>
      <c r="Q238" s="373" t="s">
        <v>2729</v>
      </c>
      <c r="R238" s="368"/>
      <c r="S238" s="235"/>
      <c r="T238" s="235"/>
      <c r="U238" s="369" t="s">
        <v>2245</v>
      </c>
      <c r="V238" s="337" t="str">
        <f t="shared" si="73"/>
        <v>-</v>
      </c>
      <c r="W238" s="339" t="str">
        <f t="shared" si="74"/>
        <v>Marc Carr</v>
      </c>
      <c r="X238" s="345" t="str">
        <f t="shared" si="75"/>
        <v>Marc</v>
      </c>
      <c r="Y238" s="345" t="str">
        <f t="shared" si="76"/>
        <v>Carr</v>
      </c>
      <c r="Z238" s="345" t="str">
        <f t="shared" si="77"/>
        <v>M.Carr</v>
      </c>
      <c r="AA238" s="378" t="str">
        <f t="shared" si="69"/>
        <v/>
      </c>
      <c r="AB238" s="378" t="str">
        <f t="shared" si="70"/>
        <v/>
      </c>
      <c r="AC238" s="345" t="str">
        <f>IFERROR(IF(ISNUMBER(SEARCH("*",N238)),N238&amp;" "&amp;F238,IF(F238="M",LOOKUP(J238,AgeCategories!$A$3:$F$11),LOOKUP(J238,AgeCategories!$A$14:$F$22))),"")</f>
        <v>E-Bike M</v>
      </c>
      <c r="AD238" s="370">
        <f t="shared" si="78"/>
        <v>32366</v>
      </c>
      <c r="AE238" s="345">
        <f t="shared" si="79"/>
        <v>34</v>
      </c>
      <c r="AF238" s="345" t="str">
        <f>IF(SUM(COUNTIF(H238,{"*Girl*","*Women*","*Woman*","*Female*","*Wo*","*Fe*","*F*"})),"F","M")</f>
        <v>M</v>
      </c>
      <c r="AG238" s="371"/>
      <c r="AH238" s="112"/>
      <c r="AI238" s="337" t="e">
        <f t="array" aca="1" ref="AI238" ca="1">(SMALL(IF(ISERROR(MATCH($AJ$3+ROW(OFFSET($A$3, 0,0, $AJ$4-$AJ$3+1))-2, $A$3:$A885,0)), $AJ$3+ROW(OFFSET($A$2,0, 0, $AJ$4-$AJ$3+1))-1), ROW(A237)))</f>
        <v>#NUM!</v>
      </c>
      <c r="AJ238" s="345">
        <f>Helpers!AY238</f>
        <v>0</v>
      </c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236"/>
      <c r="AV238" s="299"/>
      <c r="AW238" s="298" t="s">
        <v>2456</v>
      </c>
      <c r="AX238" s="56" t="s">
        <v>2478</v>
      </c>
      <c r="AY238" s="56"/>
      <c r="AZ238" s="56" t="s">
        <v>2537</v>
      </c>
      <c r="BA238" s="56"/>
    </row>
    <row r="239" spans="1:53" ht="13.5" thickBot="1">
      <c r="A239" s="111">
        <v>237</v>
      </c>
      <c r="B239" s="335" t="str">
        <f t="shared" si="71"/>
        <v>Eryn Marais</v>
      </c>
      <c r="C239" s="116" t="s">
        <v>1710</v>
      </c>
      <c r="D239" s="116" t="s">
        <v>660</v>
      </c>
      <c r="E239"/>
      <c r="F239" s="363" t="str">
        <f>IF(SUM(COUNTIF(H239,{"*Girl*","*Women*","*Woman*","*Female*","*Wo*","*Fe*","*F*"})),"F","M")</f>
        <v>F</v>
      </c>
      <c r="G239" s="345" t="str">
        <f>IFERROR(IF(ISNUMBER(SEARCH("*",N239)),N239&amp;" "&amp;F239,IF(F239="M",LOOKUP(J239,AgeCategories!$A$3:$D$13),LOOKUP(J239,AgeCategories!$A$14:$D$24))),"Invalid Age")</f>
        <v>Sub Junior Girls</v>
      </c>
      <c r="H239" s="175" t="s">
        <v>210</v>
      </c>
      <c r="I239" s="338">
        <f t="shared" si="72"/>
        <v>39573</v>
      </c>
      <c r="J239" s="364">
        <f>IFERROR(DATEDIF($I239,Helpers!$O$2,"y"),"ID No. needed")</f>
        <v>14</v>
      </c>
      <c r="K239" s="111"/>
      <c r="L239" s="300">
        <v>798859932</v>
      </c>
      <c r="M239" s="377" t="s">
        <v>2619</v>
      </c>
      <c r="N239" s="341"/>
      <c r="O239" s="367" t="b">
        <v>1</v>
      </c>
      <c r="P239" s="241" t="b">
        <f>NOT(ISNA(VLOOKUP(A239,SortedDownload!A:A,1,FALSE)))</f>
        <v>1</v>
      </c>
      <c r="Q239" s="373" t="s">
        <v>2601</v>
      </c>
      <c r="R239" s="368"/>
      <c r="S239" s="235"/>
      <c r="T239" s="235"/>
      <c r="U239" s="369" t="s">
        <v>2246</v>
      </c>
      <c r="V239" s="337" t="str">
        <f t="shared" si="73"/>
        <v>-</v>
      </c>
      <c r="W239" s="339" t="str">
        <f t="shared" si="74"/>
        <v>Eryn Marais</v>
      </c>
      <c r="X239" s="345" t="str">
        <f t="shared" si="75"/>
        <v>Eryn</v>
      </c>
      <c r="Y239" s="345" t="str">
        <f t="shared" si="76"/>
        <v>Marais</v>
      </c>
      <c r="Z239" s="345" t="str">
        <f t="shared" si="77"/>
        <v>E.Marais</v>
      </c>
      <c r="AA239" s="378" t="str">
        <f t="shared" si="69"/>
        <v/>
      </c>
      <c r="AB239" s="378" t="str">
        <f t="shared" si="70"/>
        <v/>
      </c>
      <c r="AC239" s="345" t="str">
        <f>IFERROR(IF(ISNUMBER(SEARCH("*",N239)),N239&amp;" "&amp;F239,IF(F239="M",LOOKUP(J239,AgeCategories!$A$3:$F$11),LOOKUP(J239,AgeCategories!$A$14:$F$22))),"")</f>
        <v>JG</v>
      </c>
      <c r="AD239" s="370">
        <f t="shared" si="78"/>
        <v>39573</v>
      </c>
      <c r="AE239" s="345">
        <f t="shared" si="79"/>
        <v>14</v>
      </c>
      <c r="AF239" s="345" t="str">
        <f>IF(SUM(COUNTIF(H239,{"*Girl*","*Women*","*Woman*","*Female*","*Wo*","*Fe*","*F*"})),"F","M")</f>
        <v>F</v>
      </c>
      <c r="AG239" s="371"/>
      <c r="AH239" s="112"/>
      <c r="AI239" s="337" t="e">
        <f t="array" aca="1" ref="AI239" ca="1">(SMALL(IF(ISERROR(MATCH($AJ$3+ROW(OFFSET($A$3, 0,0, $AJ$4-$AJ$3+1))-2, $A$3:$A886,0)), $AJ$3+ROW(OFFSET($A$2,0, 0, $AJ$4-$AJ$3+1))-1), ROW(A238)))</f>
        <v>#NUM!</v>
      </c>
      <c r="AJ239" s="345">
        <f>Helpers!AY239</f>
        <v>0</v>
      </c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236"/>
      <c r="AV239" s="299"/>
      <c r="AW239" s="298" t="s">
        <v>2457</v>
      </c>
      <c r="AX239" s="56" t="s">
        <v>2478</v>
      </c>
      <c r="AY239" s="56"/>
      <c r="AZ239" s="56" t="s">
        <v>2538</v>
      </c>
      <c r="BA239" s="56"/>
    </row>
    <row r="240" spans="1:53" ht="13.5" thickBot="1">
      <c r="A240" s="111">
        <v>238</v>
      </c>
      <c r="B240" s="335" t="str">
        <f t="shared" si="71"/>
        <v>Louis Van Der Walt</v>
      </c>
      <c r="C240" s="116" t="s">
        <v>1711</v>
      </c>
      <c r="D240" s="116" t="s">
        <v>653</v>
      </c>
      <c r="E240"/>
      <c r="F240" s="363" t="str">
        <f>IF(SUM(COUNTIF(H240,{"*Girl*","*Women*","*Woman*","*Female*","*Wo*","*Fe*","*F*"})),"F","M")</f>
        <v>M</v>
      </c>
      <c r="G240" s="345" t="str">
        <f>IFERROR(IF(ISNUMBER(SEARCH("*",N240)),N240&amp;" "&amp;F240,IF(F240="M",LOOKUP(J240,AgeCategories!$A$3:$D$13),LOOKUP(J240,AgeCategories!$A$14:$D$24))),"Invalid Age")</f>
        <v>Lite M</v>
      </c>
      <c r="H240" s="175" t="s">
        <v>209</v>
      </c>
      <c r="I240" s="338">
        <f t="shared" si="72"/>
        <v>34396</v>
      </c>
      <c r="J240" s="364">
        <f>IFERROR(DATEDIF($I240,Helpers!$O$2,"y"),"ID No. needed")</f>
        <v>28</v>
      </c>
      <c r="K240" s="111"/>
      <c r="L240" s="300">
        <v>725666069</v>
      </c>
      <c r="M240" s="365" t="s">
        <v>1986</v>
      </c>
      <c r="N240" s="341" t="s">
        <v>2601</v>
      </c>
      <c r="O240" s="367" t="b">
        <v>1</v>
      </c>
      <c r="P240" s="241" t="b">
        <f>NOT(ISNA(VLOOKUP(A240,SortedDownload!A:A,1,FALSE)))</f>
        <v>1</v>
      </c>
      <c r="Q240" s="373" t="s">
        <v>2601</v>
      </c>
      <c r="R240" s="368"/>
      <c r="S240" s="235"/>
      <c r="T240" s="235"/>
      <c r="U240" s="369" t="s">
        <v>2247</v>
      </c>
      <c r="V240" s="337" t="str">
        <f t="shared" si="73"/>
        <v>-</v>
      </c>
      <c r="W240" s="339" t="str">
        <f t="shared" si="74"/>
        <v>Louis Van Der Walt</v>
      </c>
      <c r="X240" s="345" t="str">
        <f t="shared" si="75"/>
        <v>Louis</v>
      </c>
      <c r="Y240" s="345" t="str">
        <f t="shared" si="76"/>
        <v>Van Der Walt</v>
      </c>
      <c r="Z240" s="345" t="str">
        <f t="shared" si="77"/>
        <v>L.Van Der Walt</v>
      </c>
      <c r="AA240" s="378" t="str">
        <f t="shared" si="69"/>
        <v/>
      </c>
      <c r="AB240" s="378" t="str">
        <f t="shared" si="70"/>
        <v/>
      </c>
      <c r="AC240" s="345" t="str">
        <f>IFERROR(IF(ISNUMBER(SEARCH("*",N240)),N240&amp;" "&amp;F240,IF(F240="M",LOOKUP(J240,AgeCategories!$A$3:$F$11),LOOKUP(J240,AgeCategories!$A$14:$F$22))),"")</f>
        <v>Lite M</v>
      </c>
      <c r="AD240" s="370">
        <f t="shared" si="78"/>
        <v>34396</v>
      </c>
      <c r="AE240" s="345">
        <f t="shared" si="79"/>
        <v>28</v>
      </c>
      <c r="AF240" s="345" t="str">
        <f>IF(SUM(COUNTIF(H240,{"*Girl*","*Women*","*Woman*","*Female*","*Wo*","*Fe*","*F*"})),"F","M")</f>
        <v>M</v>
      </c>
      <c r="AG240" s="371"/>
      <c r="AH240" s="112"/>
      <c r="AI240" s="337" t="e">
        <f t="array" aca="1" ref="AI240" ca="1">(SMALL(IF(ISERROR(MATCH($AJ$3+ROW(OFFSET($A$3, 0,0, $AJ$4-$AJ$3+1))-2, $A$3:$A887,0)), $AJ$3+ROW(OFFSET($A$2,0, 0, $AJ$4-$AJ$3+1))-1), ROW(A239)))</f>
        <v>#NUM!</v>
      </c>
      <c r="AJ240" s="345">
        <f>Helpers!AY240</f>
        <v>0</v>
      </c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236"/>
      <c r="AV240" s="299"/>
      <c r="AW240" s="298" t="s">
        <v>2458</v>
      </c>
      <c r="AX240" s="56" t="s">
        <v>2478</v>
      </c>
      <c r="AY240" s="56" t="s">
        <v>2548</v>
      </c>
      <c r="AZ240" s="56" t="s">
        <v>2537</v>
      </c>
      <c r="BA240" s="56"/>
    </row>
    <row r="241" spans="1:53" ht="13.5" thickBot="1">
      <c r="A241" s="111">
        <v>239</v>
      </c>
      <c r="B241" s="335" t="str">
        <f t="shared" si="71"/>
        <v>Mattijs Machtelinckx</v>
      </c>
      <c r="C241" s="116" t="s">
        <v>1712</v>
      </c>
      <c r="D241" s="116" t="s">
        <v>1713</v>
      </c>
      <c r="E241"/>
      <c r="F241" s="363" t="str">
        <f>IF(SUM(COUNTIF(H241,{"*Girl*","*Women*","*Woman*","*Female*","*Wo*","*Fe*","*F*"})),"F","M")</f>
        <v>M</v>
      </c>
      <c r="G241" s="345" t="str">
        <f>IFERROR(IF(ISNUMBER(SEARCH("*",N241)),N241&amp;" "&amp;F241,IF(F241="M",LOOKUP(J241,AgeCategories!$A$3:$D$13),LOOKUP(J241,AgeCategories!$A$14:$D$24))),"Invalid Age")</f>
        <v>Lite M</v>
      </c>
      <c r="H241" s="175" t="s">
        <v>209</v>
      </c>
      <c r="I241" s="338">
        <f t="shared" si="72"/>
        <v>39207</v>
      </c>
      <c r="J241" s="364">
        <f>IFERROR(DATEDIF($I241,Helpers!$O$2,"y"),"ID No. needed")</f>
        <v>15</v>
      </c>
      <c r="K241" s="111"/>
      <c r="L241" s="300">
        <v>736166850</v>
      </c>
      <c r="M241" s="377" t="s">
        <v>2613</v>
      </c>
      <c r="N241" s="341" t="s">
        <v>2601</v>
      </c>
      <c r="O241" s="367" t="b">
        <v>0</v>
      </c>
      <c r="P241" s="241" t="b">
        <f>NOT(ISNA(VLOOKUP(A241,SortedDownload!A:A,1,FALSE)))</f>
        <v>0</v>
      </c>
      <c r="Q241" s="373" t="s">
        <v>2601</v>
      </c>
      <c r="R241" s="368"/>
      <c r="S241" s="235"/>
      <c r="T241" s="235"/>
      <c r="U241" s="369" t="s">
        <v>2248</v>
      </c>
      <c r="V241" s="337" t="str">
        <f t="shared" si="73"/>
        <v>-</v>
      </c>
      <c r="W241" s="339" t="str">
        <f t="shared" si="74"/>
        <v>Mattijs Machtelinckx</v>
      </c>
      <c r="X241" s="345" t="str">
        <f t="shared" si="75"/>
        <v>Mattijs</v>
      </c>
      <c r="Y241" s="345" t="str">
        <f t="shared" si="76"/>
        <v>Machtelinckx</v>
      </c>
      <c r="Z241" s="345" t="str">
        <f t="shared" si="77"/>
        <v>M.Machtelinckx</v>
      </c>
      <c r="AA241" s="378" t="str">
        <f t="shared" si="69"/>
        <v/>
      </c>
      <c r="AB241" s="378" t="str">
        <f t="shared" si="70"/>
        <v/>
      </c>
      <c r="AC241" s="345" t="str">
        <f>IFERROR(IF(ISNUMBER(SEARCH("*",N241)),N241&amp;" "&amp;F241,IF(F241="M",LOOKUP(J241,AgeCategories!$A$3:$F$11),LOOKUP(J241,AgeCategories!$A$14:$F$22))),"")</f>
        <v>Lite M</v>
      </c>
      <c r="AD241" s="370">
        <f t="shared" si="78"/>
        <v>39207</v>
      </c>
      <c r="AE241" s="345">
        <f t="shared" si="79"/>
        <v>15</v>
      </c>
      <c r="AF241" s="345" t="str">
        <f>IF(SUM(COUNTIF(H241,{"*Girl*","*Women*","*Woman*","*Female*","*Wo*","*Fe*","*F*"})),"F","M")</f>
        <v>M</v>
      </c>
      <c r="AG241" s="371"/>
      <c r="AH241" s="112"/>
      <c r="AI241" s="337" t="e">
        <f t="array" aca="1" ref="AI241" ca="1">(SMALL(IF(ISERROR(MATCH($AJ$3+ROW(OFFSET($A$3, 0,0, $AJ$4-$AJ$3+1))-2, $A$3:$A888,0)), $AJ$3+ROW(OFFSET($A$2,0, 0, $AJ$4-$AJ$3+1))-1), ROW(A240)))</f>
        <v>#NUM!</v>
      </c>
      <c r="AJ241" s="345">
        <f>Helpers!AY241</f>
        <v>0</v>
      </c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236"/>
      <c r="AV241" s="299"/>
      <c r="AW241" s="298" t="s">
        <v>2459</v>
      </c>
      <c r="AX241" s="56" t="s">
        <v>2533</v>
      </c>
      <c r="AY241" s="56" t="s">
        <v>2549</v>
      </c>
      <c r="AZ241" s="56" t="s">
        <v>2537</v>
      </c>
      <c r="BA241" s="56"/>
    </row>
    <row r="242" spans="1:53" ht="13.5" thickBot="1">
      <c r="A242" s="111">
        <v>240</v>
      </c>
      <c r="B242" s="335" t="str">
        <f t="shared" si="71"/>
        <v>Robert Du Preez</v>
      </c>
      <c r="C242" s="116" t="s">
        <v>647</v>
      </c>
      <c r="D242" s="116" t="s">
        <v>1714</v>
      </c>
      <c r="E242"/>
      <c r="F242" s="363" t="str">
        <f>IF(SUM(COUNTIF(H242,{"*Girl*","*Women*","*Woman*","*Female*","*Wo*","*Fe*","*F*"})),"F","M")</f>
        <v>M</v>
      </c>
      <c r="G242" s="345" t="str">
        <f>IFERROR(IF(ISNUMBER(SEARCH("*",N242)),N242&amp;" "&amp;F242,IF(F242="M",LOOKUP(J242,AgeCategories!$A$3:$D$13),LOOKUP(J242,AgeCategories!$A$14:$D$24))),"Invalid Age")</f>
        <v>E-Bike Lite M</v>
      </c>
      <c r="H242" s="175" t="s">
        <v>209</v>
      </c>
      <c r="I242" s="338">
        <f t="shared" si="72"/>
        <v>32938</v>
      </c>
      <c r="J242" s="364">
        <f>IFERROR(DATEDIF($I242,Helpers!$O$2,"y"),"ID No. needed")</f>
        <v>32</v>
      </c>
      <c r="K242" s="111"/>
      <c r="L242" s="300">
        <v>814454981</v>
      </c>
      <c r="M242" s="365" t="s">
        <v>1988</v>
      </c>
      <c r="N242" s="341" t="s">
        <v>598</v>
      </c>
      <c r="O242" s="367" t="b">
        <v>1</v>
      </c>
      <c r="P242" s="241" t="b">
        <f>NOT(ISNA(VLOOKUP(A242,SortedDownload!A:A,1,FALSE)))</f>
        <v>1</v>
      </c>
      <c r="Q242" s="373" t="s">
        <v>2727</v>
      </c>
      <c r="R242" s="368"/>
      <c r="S242" s="235"/>
      <c r="T242" s="235"/>
      <c r="U242" s="369" t="s">
        <v>2249</v>
      </c>
      <c r="V242" s="337" t="str">
        <f t="shared" si="73"/>
        <v>-</v>
      </c>
      <c r="W242" s="339" t="str">
        <f t="shared" si="74"/>
        <v>Robert Du Preez</v>
      </c>
      <c r="X242" s="345" t="str">
        <f t="shared" si="75"/>
        <v>Robert</v>
      </c>
      <c r="Y242" s="345" t="str">
        <f t="shared" si="76"/>
        <v>Du Preez</v>
      </c>
      <c r="Z242" s="345" t="str">
        <f t="shared" si="77"/>
        <v>R.Du Preez</v>
      </c>
      <c r="AA242" s="378" t="str">
        <f t="shared" si="69"/>
        <v/>
      </c>
      <c r="AB242" s="378" t="str">
        <f t="shared" si="70"/>
        <v/>
      </c>
      <c r="AC242" s="345" t="str">
        <f>IFERROR(IF(ISNUMBER(SEARCH("*",N242)),N242&amp;" "&amp;F242,IF(F242="M",LOOKUP(J242,AgeCategories!$A$3:$F$11),LOOKUP(J242,AgeCategories!$A$14:$F$22))),"")</f>
        <v>E-Bike Lite M</v>
      </c>
      <c r="AD242" s="370">
        <f t="shared" si="78"/>
        <v>32938</v>
      </c>
      <c r="AE242" s="345">
        <f t="shared" si="79"/>
        <v>32</v>
      </c>
      <c r="AF242" s="345" t="str">
        <f>IF(SUM(COUNTIF(H242,{"*Girl*","*Women*","*Woman*","*Female*","*Wo*","*Fe*","*F*"})),"F","M")</f>
        <v>M</v>
      </c>
      <c r="AG242" s="371"/>
      <c r="AH242" s="112"/>
      <c r="AI242" s="337" t="e">
        <f t="array" aca="1" ref="AI242" ca="1">(SMALL(IF(ISERROR(MATCH($AJ$3+ROW(OFFSET($A$3, 0,0, $AJ$4-$AJ$3+1))-2, $A$3:$A889,0)), $AJ$3+ROW(OFFSET($A$2,0, 0, $AJ$4-$AJ$3+1))-1), ROW(A241)))</f>
        <v>#NUM!</v>
      </c>
      <c r="AJ242" s="345">
        <f>Helpers!AY242</f>
        <v>0</v>
      </c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236"/>
      <c r="AV242" s="299"/>
      <c r="AW242" s="298"/>
      <c r="AX242" s="56"/>
      <c r="AY242" s="56"/>
      <c r="AZ242" s="56" t="s">
        <v>2537</v>
      </c>
      <c r="BA242" s="56"/>
    </row>
    <row r="243" spans="1:53" ht="13.5" thickBot="1">
      <c r="A243" s="111">
        <v>241</v>
      </c>
      <c r="B243" s="335" t="str">
        <f t="shared" si="71"/>
        <v>Samuel De Villiers</v>
      </c>
      <c r="C243" s="116" t="s">
        <v>1517</v>
      </c>
      <c r="D243" s="116" t="s">
        <v>1570</v>
      </c>
      <c r="E243"/>
      <c r="F243" s="363" t="str">
        <f>IF(SUM(COUNTIF(H243,{"*Girl*","*Women*","*Woman*","*Female*","*Wo*","*Fe*","*F*"})),"F","M")</f>
        <v>M</v>
      </c>
      <c r="G243" s="345" t="str">
        <f>IFERROR(IF(ISNUMBER(SEARCH("*",N243)),N243&amp;" "&amp;F243,IF(F243="M",LOOKUP(J243,AgeCategories!$A$3:$D$13),LOOKUP(J243,AgeCategories!$A$14:$D$24))),"Invalid Age")</f>
        <v>Sub Junior Boys</v>
      </c>
      <c r="H243" s="175" t="s">
        <v>209</v>
      </c>
      <c r="I243" s="338">
        <f t="shared" si="72"/>
        <v>40023</v>
      </c>
      <c r="J243" s="364">
        <f>IFERROR(DATEDIF($I243,Helpers!$O$2,"y"),"ID No. needed")</f>
        <v>13</v>
      </c>
      <c r="K243" s="111"/>
      <c r="L243" s="300">
        <v>820817523</v>
      </c>
      <c r="M243" s="365" t="s">
        <v>1989</v>
      </c>
      <c r="N243" s="341"/>
      <c r="O243" s="367" t="b">
        <v>1</v>
      </c>
      <c r="P243" s="241" t="b">
        <f>NOT(ISNA(VLOOKUP(A243,SortedDownload!A:A,1,FALSE)))</f>
        <v>1</v>
      </c>
      <c r="Q243" s="373" t="s">
        <v>2601</v>
      </c>
      <c r="R243" s="368"/>
      <c r="S243" s="235"/>
      <c r="T243" s="235"/>
      <c r="U243" s="369" t="s">
        <v>2250</v>
      </c>
      <c r="V243" s="337" t="str">
        <f t="shared" si="73"/>
        <v>-</v>
      </c>
      <c r="W243" s="339" t="str">
        <f t="shared" si="74"/>
        <v>Samuel De Villiers</v>
      </c>
      <c r="X243" s="345" t="str">
        <f t="shared" si="75"/>
        <v>Samuel</v>
      </c>
      <c r="Y243" s="345" t="str">
        <f t="shared" si="76"/>
        <v>De Villiers</v>
      </c>
      <c r="Z243" s="345" t="str">
        <f t="shared" si="77"/>
        <v>S.De Villiers</v>
      </c>
      <c r="AA243" s="378" t="str">
        <f t="shared" si="69"/>
        <v/>
      </c>
      <c r="AB243" s="378" t="str">
        <f t="shared" si="70"/>
        <v/>
      </c>
      <c r="AC243" s="345" t="str">
        <f>IFERROR(IF(ISNUMBER(SEARCH("*",N243)),N243&amp;" "&amp;F243,IF(F243="M",LOOKUP(J243,AgeCategories!$A$3:$F$11),LOOKUP(J243,AgeCategories!$A$14:$F$22))),"")</f>
        <v>JB</v>
      </c>
      <c r="AD243" s="370">
        <f t="shared" si="78"/>
        <v>40023</v>
      </c>
      <c r="AE243" s="345">
        <f t="shared" si="79"/>
        <v>13</v>
      </c>
      <c r="AF243" s="345" t="str">
        <f>IF(SUM(COUNTIF(H243,{"*Girl*","*Women*","*Woman*","*Female*","*Wo*","*Fe*","*F*"})),"F","M")</f>
        <v>M</v>
      </c>
      <c r="AG243" s="371"/>
      <c r="AH243" s="112"/>
      <c r="AI243" s="337" t="e">
        <f t="array" aca="1" ref="AI243" ca="1">(SMALL(IF(ISERROR(MATCH($AJ$3+ROW(OFFSET($A$3, 0,0, $AJ$4-$AJ$3+1))-2, $A$3:$A890,0)), $AJ$3+ROW(OFFSET($A$2,0, 0, $AJ$4-$AJ$3+1))-1), ROW(A242)))</f>
        <v>#NUM!</v>
      </c>
      <c r="AJ243" s="345">
        <f>Helpers!AY243</f>
        <v>0</v>
      </c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236"/>
      <c r="AV243" s="299"/>
      <c r="AW243" s="298" t="s">
        <v>2460</v>
      </c>
      <c r="AX243" s="56" t="s">
        <v>2491</v>
      </c>
      <c r="AY243" s="56"/>
      <c r="AZ243" s="56" t="s">
        <v>2537</v>
      </c>
      <c r="BA243" s="56"/>
    </row>
    <row r="244" spans="1:53" ht="13.5" customHeight="1" thickBot="1">
      <c r="A244" s="111">
        <v>284</v>
      </c>
      <c r="B244" s="335" t="str">
        <f t="shared" si="71"/>
        <v>Jonathan Wareing</v>
      </c>
      <c r="C244" s="116" t="s">
        <v>1672</v>
      </c>
      <c r="D244" s="116" t="s">
        <v>1715</v>
      </c>
      <c r="E244"/>
      <c r="F244" s="363" t="str">
        <f>IF(SUM(COUNTIF(H244,{"*Girl*","*Women*","*Woman*","*Female*","*Wo*","*Fe*","*F*"})),"F","M")</f>
        <v>M</v>
      </c>
      <c r="G244" s="345" t="str">
        <f>IFERROR(IF(ISNUMBER(SEARCH("*",N244)),N244&amp;" "&amp;F244,IF(F244="M",LOOKUP(J244,AgeCategories!$A$3:$D$13),LOOKUP(J244,AgeCategories!$A$14:$D$24))),"Invalid Age")</f>
        <v>Elite Men</v>
      </c>
      <c r="H244" s="175" t="s">
        <v>209</v>
      </c>
      <c r="I244" s="338">
        <f t="shared" si="72"/>
        <v>34306</v>
      </c>
      <c r="J244" s="364">
        <f>IFERROR(DATEDIF($I244,Helpers!$O$2,"y"),"ID No. needed")</f>
        <v>29</v>
      </c>
      <c r="K244" s="111"/>
      <c r="L244" s="300">
        <v>838225650</v>
      </c>
      <c r="M244" s="365" t="s">
        <v>1990</v>
      </c>
      <c r="N244" s="366"/>
      <c r="O244" s="367" t="b">
        <v>1</v>
      </c>
      <c r="P244" s="241" t="b">
        <f>NOT(ISNA(VLOOKUP(A244,SortedDownload!A:A,1,FALSE)))</f>
        <v>1</v>
      </c>
      <c r="Q244" s="373" t="s">
        <v>2632</v>
      </c>
      <c r="R244" s="368"/>
      <c r="S244" s="235"/>
      <c r="T244" s="235"/>
      <c r="U244" s="369" t="s">
        <v>2251</v>
      </c>
      <c r="V244" s="337" t="str">
        <f t="shared" si="73"/>
        <v>-</v>
      </c>
      <c r="W244" s="339" t="str">
        <f t="shared" si="74"/>
        <v>Jonathan Wareing</v>
      </c>
      <c r="X244" s="345" t="str">
        <f t="shared" si="75"/>
        <v>Jonathan</v>
      </c>
      <c r="Y244" s="345" t="str">
        <f t="shared" si="76"/>
        <v>Wareing</v>
      </c>
      <c r="Z244" s="345" t="str">
        <f t="shared" si="77"/>
        <v>J.Wareing</v>
      </c>
      <c r="AA244" s="378" t="str">
        <f t="shared" si="69"/>
        <v/>
      </c>
      <c r="AB244" s="378" t="str">
        <f t="shared" si="70"/>
        <v/>
      </c>
      <c r="AC244" s="345" t="str">
        <f>IFERROR(IF(ISNUMBER(SEARCH("*",N244)),N244&amp;" "&amp;F244,IF(F244="M",LOOKUP(J244,AgeCategories!$A$3:$F$11),LOOKUP(J244,AgeCategories!$A$14:$F$22))),"")</f>
        <v>EM</v>
      </c>
      <c r="AD244" s="370">
        <f t="shared" si="78"/>
        <v>34306</v>
      </c>
      <c r="AE244" s="345">
        <f t="shared" si="79"/>
        <v>29</v>
      </c>
      <c r="AF244" s="345" t="str">
        <f>IF(SUM(COUNTIF(H244,{"*Girl*","*Women*","*Woman*","*Female*","*Wo*","*Fe*","*F*"})),"F","M")</f>
        <v>M</v>
      </c>
      <c r="AG244" s="371"/>
      <c r="AH244" s="112"/>
      <c r="AI244" s="337" t="e">
        <f t="array" aca="1" ref="AI244" ca="1">(SMALL(IF(ISERROR(MATCH($AJ$3+ROW(OFFSET($A$3, 0,0, $AJ$4-$AJ$3+1))-2, $A$3:$A891,0)), $AJ$3+ROW(OFFSET($A$2,0, 0, $AJ$4-$AJ$3+1))-1), ROW(A243)))</f>
        <v>#NUM!</v>
      </c>
      <c r="AJ244" s="345">
        <f>Helpers!AY244</f>
        <v>0</v>
      </c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236"/>
      <c r="AV244" s="299"/>
      <c r="AW244" s="298" t="s">
        <v>2461</v>
      </c>
      <c r="AX244" s="56" t="s">
        <v>2478</v>
      </c>
      <c r="AY244" s="56" t="s">
        <v>2277</v>
      </c>
      <c r="AZ244" s="56" t="s">
        <v>2538</v>
      </c>
      <c r="BA244" s="56"/>
    </row>
    <row r="245" spans="1:53" ht="13.5" customHeight="1" thickBot="1">
      <c r="A245" s="111">
        <v>243</v>
      </c>
      <c r="B245" s="335" t="str">
        <f t="shared" si="71"/>
        <v>Marc Van Der Meer</v>
      </c>
      <c r="C245" s="116" t="s">
        <v>1708</v>
      </c>
      <c r="D245" s="116" t="s">
        <v>1716</v>
      </c>
      <c r="E245"/>
      <c r="F245" s="363" t="str">
        <f>IF(SUM(COUNTIF(H245,{"*Girl*","*Women*","*Woman*","*Female*","*Wo*","*Fe*","*F*"})),"F","M")</f>
        <v>M</v>
      </c>
      <c r="G245" s="345" t="str">
        <f>IFERROR(IF(ISNUMBER(SEARCH("*",N245)),N245&amp;" "&amp;F245,IF(F245="M",LOOKUP(J245,AgeCategories!$A$3:$D$13),LOOKUP(J245,AgeCategories!$A$14:$D$24))),"Invalid Age")</f>
        <v>Elite Men</v>
      </c>
      <c r="H245" s="175" t="s">
        <v>209</v>
      </c>
      <c r="I245" s="338">
        <f t="shared" si="72"/>
        <v>35579</v>
      </c>
      <c r="J245" s="364">
        <f>IFERROR(DATEDIF($I245,Helpers!$O$2,"y"),"ID No. needed")</f>
        <v>25</v>
      </c>
      <c r="K245" s="111"/>
      <c r="L245" s="300">
        <v>768011433</v>
      </c>
      <c r="M245" s="365" t="s">
        <v>1991</v>
      </c>
      <c r="N245" s="366"/>
      <c r="O245" s="367" t="b">
        <v>1</v>
      </c>
      <c r="P245" s="241" t="b">
        <f>NOT(ISNA(VLOOKUP(A245,SortedDownload!A:A,1,FALSE)))</f>
        <v>1</v>
      </c>
      <c r="Q245" s="373" t="s">
        <v>2632</v>
      </c>
      <c r="R245" s="368"/>
      <c r="S245" s="235"/>
      <c r="T245" s="235"/>
      <c r="U245" s="369" t="s">
        <v>2252</v>
      </c>
      <c r="V245" s="337" t="str">
        <f t="shared" si="73"/>
        <v>-</v>
      </c>
      <c r="W245" s="339" t="str">
        <f t="shared" si="74"/>
        <v>Marc Van Der Meer</v>
      </c>
      <c r="X245" s="345" t="str">
        <f t="shared" si="75"/>
        <v>Marc</v>
      </c>
      <c r="Y245" s="345" t="str">
        <f t="shared" si="76"/>
        <v>Van Der Meer</v>
      </c>
      <c r="Z245" s="345" t="str">
        <f t="shared" si="77"/>
        <v>M.Van Der Meer</v>
      </c>
      <c r="AA245" s="378" t="str">
        <f t="shared" si="69"/>
        <v/>
      </c>
      <c r="AB245" s="378" t="str">
        <f t="shared" si="70"/>
        <v/>
      </c>
      <c r="AC245" s="345" t="str">
        <f>IFERROR(IF(ISNUMBER(SEARCH("*",N245)),N245&amp;" "&amp;F245,IF(F245="M",LOOKUP(J245,AgeCategories!$A$3:$F$11),LOOKUP(J245,AgeCategories!$A$14:$F$22))),"")</f>
        <v>EM</v>
      </c>
      <c r="AD245" s="370">
        <f t="shared" si="78"/>
        <v>35579</v>
      </c>
      <c r="AE245" s="345">
        <f t="shared" si="79"/>
        <v>25</v>
      </c>
      <c r="AF245" s="345" t="str">
        <f>IF(SUM(COUNTIF(H245,{"*Girl*","*Women*","*Woman*","*Female*","*Wo*","*Fe*","*F*"})),"F","M")</f>
        <v>M</v>
      </c>
      <c r="AG245" s="371"/>
      <c r="AH245" s="112"/>
      <c r="AI245" s="337" t="e">
        <f t="array" aca="1" ref="AI245" ca="1">(SMALL(IF(ISERROR(MATCH($AJ$3+ROW(OFFSET($A$3, 0,0, $AJ$4-$AJ$3+1))-2, $A$3:$A892,0)), $AJ$3+ROW(OFFSET($A$2,0, 0, $AJ$4-$AJ$3+1))-1), ROW(A244)))</f>
        <v>#NUM!</v>
      </c>
      <c r="AJ245" s="345">
        <f>Helpers!AY245</f>
        <v>0</v>
      </c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236"/>
      <c r="AV245" s="299"/>
      <c r="AW245" s="298"/>
      <c r="AX245" s="56"/>
      <c r="AY245" s="56"/>
      <c r="AZ245" s="56" t="s">
        <v>2537</v>
      </c>
      <c r="BA245" s="56"/>
    </row>
    <row r="246" spans="1:53" ht="13.5" customHeight="1" thickBot="1">
      <c r="A246" s="111">
        <v>244</v>
      </c>
      <c r="B246" s="335" t="str">
        <f t="shared" si="71"/>
        <v>Devon Van Straten</v>
      </c>
      <c r="C246" s="116" t="s">
        <v>1704</v>
      </c>
      <c r="D246" s="116" t="s">
        <v>1717</v>
      </c>
      <c r="E246"/>
      <c r="F246" s="363" t="str">
        <f>IF(SUM(COUNTIF(H246,{"*Girl*","*Women*","*Woman*","*Female*","*Wo*","*Fe*","*F*"})),"F","M")</f>
        <v>M</v>
      </c>
      <c r="G246" s="345" t="str">
        <f>IFERROR(IF(ISNUMBER(SEARCH("*",N246)),N246&amp;" "&amp;F246,IF(F246="M",LOOKUP(J246,AgeCategories!$A$3:$D$13),LOOKUP(J246,AgeCategories!$A$14:$D$24))),"Invalid Age")</f>
        <v>Elite Men</v>
      </c>
      <c r="H246" s="175" t="s">
        <v>209</v>
      </c>
      <c r="I246" s="338">
        <f t="shared" si="72"/>
        <v>35637</v>
      </c>
      <c r="J246" s="364">
        <f>IFERROR(DATEDIF($I246,Helpers!$O$2,"y"),"ID No. needed")</f>
        <v>25</v>
      </c>
      <c r="K246" s="111"/>
      <c r="L246" s="300">
        <v>619350178</v>
      </c>
      <c r="M246" s="365" t="s">
        <v>1992</v>
      </c>
      <c r="N246" s="366"/>
      <c r="O246" s="367" t="b">
        <v>1</v>
      </c>
      <c r="P246" s="241" t="b">
        <f>NOT(ISNA(VLOOKUP(A246,SortedDownload!A:A,1,FALSE)))</f>
        <v>1</v>
      </c>
      <c r="Q246" s="373" t="s">
        <v>2632</v>
      </c>
      <c r="R246" s="368"/>
      <c r="S246" s="235"/>
      <c r="T246" s="235"/>
      <c r="U246" s="369" t="s">
        <v>2253</v>
      </c>
      <c r="V246" s="337" t="str">
        <f t="shared" si="73"/>
        <v>-</v>
      </c>
      <c r="W246" s="339" t="str">
        <f t="shared" si="74"/>
        <v>Devon Van Straten</v>
      </c>
      <c r="X246" s="345" t="str">
        <f t="shared" si="75"/>
        <v>Devon</v>
      </c>
      <c r="Y246" s="345" t="str">
        <f t="shared" si="76"/>
        <v>Van Straten</v>
      </c>
      <c r="Z246" s="345" t="str">
        <f t="shared" si="77"/>
        <v>D.Van Straten</v>
      </c>
      <c r="AA246" s="378" t="str">
        <f t="shared" si="69"/>
        <v/>
      </c>
      <c r="AB246" s="378" t="str">
        <f t="shared" si="70"/>
        <v/>
      </c>
      <c r="AC246" s="345" t="str">
        <f>IFERROR(IF(ISNUMBER(SEARCH("*",N246)),N246&amp;" "&amp;F246,IF(F246="M",LOOKUP(J246,AgeCategories!$A$3:$F$11),LOOKUP(J246,AgeCategories!$A$14:$F$22))),"")</f>
        <v>EM</v>
      </c>
      <c r="AD246" s="370">
        <f t="shared" si="78"/>
        <v>35637</v>
      </c>
      <c r="AE246" s="345">
        <f t="shared" si="79"/>
        <v>25</v>
      </c>
      <c r="AF246" s="345" t="str">
        <f>IF(SUM(COUNTIF(H246,{"*Girl*","*Women*","*Woman*","*Female*","*Wo*","*Fe*","*F*"})),"F","M")</f>
        <v>M</v>
      </c>
      <c r="AG246" s="371"/>
      <c r="AH246" s="112"/>
      <c r="AI246" s="337" t="e">
        <f t="array" aca="1" ref="AI246" ca="1">(SMALL(IF(ISERROR(MATCH($AJ$3+ROW(OFFSET($A$3, 0,0, $AJ$4-$AJ$3+1))-2, $A$3:$A893,0)), $AJ$3+ROW(OFFSET($A$2,0, 0, $AJ$4-$AJ$3+1))-1), ROW(A245)))</f>
        <v>#NUM!</v>
      </c>
      <c r="AJ246" s="345">
        <f>Helpers!AY246</f>
        <v>0</v>
      </c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236"/>
      <c r="AV246" s="299"/>
      <c r="AW246" s="298"/>
      <c r="AX246" s="56"/>
      <c r="AY246" s="56"/>
      <c r="AZ246" s="56"/>
      <c r="BA246" s="56"/>
    </row>
    <row r="247" spans="1:53" ht="13.5" customHeight="1" thickBot="1">
      <c r="A247" s="111">
        <v>245</v>
      </c>
      <c r="B247" s="335" t="str">
        <f t="shared" si="71"/>
        <v>Miles Henebrey</v>
      </c>
      <c r="C247" s="116" t="s">
        <v>1718</v>
      </c>
      <c r="D247" s="116" t="s">
        <v>1719</v>
      </c>
      <c r="E247"/>
      <c r="F247" s="363" t="str">
        <f>IF(SUM(COUNTIF(H247,{"*Girl*","*Women*","*Woman*","*Female*","*Wo*","*Fe*","*F*"})),"F","M")</f>
        <v>M</v>
      </c>
      <c r="G247" s="345" t="str">
        <f>IFERROR(IF(ISNUMBER(SEARCH("*",N247)),N247&amp;" "&amp;F247,IF(F247="M",LOOKUP(J247,AgeCategories!$A$3:$D$13),LOOKUP(J247,AgeCategories!$A$14:$D$24))),"Invalid Age")</f>
        <v>E-Bike M</v>
      </c>
      <c r="H247" s="175" t="s">
        <v>209</v>
      </c>
      <c r="I247" s="338">
        <f t="shared" si="72"/>
        <v>33551</v>
      </c>
      <c r="J247" s="364">
        <f>IFERROR(DATEDIF($I247,Helpers!$O$2,"y"),"ID No. needed")</f>
        <v>31</v>
      </c>
      <c r="K247" s="111"/>
      <c r="L247" s="300">
        <v>832934975</v>
      </c>
      <c r="M247" s="365" t="s">
        <v>1993</v>
      </c>
      <c r="N247" s="366" t="s">
        <v>560</v>
      </c>
      <c r="O247" s="367" t="b">
        <v>1</v>
      </c>
      <c r="P247" s="241" t="b">
        <f>NOT(ISNA(VLOOKUP(A247,SortedDownload!A:A,1,FALSE)))</f>
        <v>1</v>
      </c>
      <c r="Q247" s="373" t="s">
        <v>2729</v>
      </c>
      <c r="R247" s="368"/>
      <c r="S247" s="235"/>
      <c r="T247" s="235"/>
      <c r="U247" s="369" t="s">
        <v>2254</v>
      </c>
      <c r="V247" s="337" t="str">
        <f t="shared" si="73"/>
        <v>-</v>
      </c>
      <c r="W247" s="339" t="str">
        <f t="shared" si="74"/>
        <v>Miles Henebrey</v>
      </c>
      <c r="X247" s="345" t="str">
        <f t="shared" si="75"/>
        <v>Miles</v>
      </c>
      <c r="Y247" s="345" t="str">
        <f t="shared" si="76"/>
        <v>Henebrey</v>
      </c>
      <c r="Z247" s="345" t="str">
        <f t="shared" si="77"/>
        <v>M.Henebrey</v>
      </c>
      <c r="AA247" s="378" t="str">
        <f t="shared" si="69"/>
        <v/>
      </c>
      <c r="AB247" s="378" t="str">
        <f t="shared" si="70"/>
        <v/>
      </c>
      <c r="AC247" s="345" t="str">
        <f>IFERROR(IF(ISNUMBER(SEARCH("*",N247)),N247&amp;" "&amp;F247,IF(F247="M",LOOKUP(J247,AgeCategories!$A$3:$F$11),LOOKUP(J247,AgeCategories!$A$14:$F$22))),"")</f>
        <v>E-Bike M</v>
      </c>
      <c r="AD247" s="370">
        <f t="shared" si="78"/>
        <v>33551</v>
      </c>
      <c r="AE247" s="345">
        <f t="shared" si="79"/>
        <v>31</v>
      </c>
      <c r="AF247" s="345" t="str">
        <f>IF(SUM(COUNTIF(H247,{"*Girl*","*Women*","*Woman*","*Female*","*Wo*","*Fe*","*F*"})),"F","M")</f>
        <v>M</v>
      </c>
      <c r="AG247" s="371"/>
      <c r="AH247" s="112"/>
      <c r="AI247" s="337" t="e">
        <f t="array" aca="1" ref="AI247" ca="1">(SMALL(IF(ISERROR(MATCH($AJ$3+ROW(OFFSET($A$3, 0,0, $AJ$4-$AJ$3+1))-2, $A$3:$A894,0)), $AJ$3+ROW(OFFSET($A$2,0, 0, $AJ$4-$AJ$3+1))-1), ROW(A246)))</f>
        <v>#NUM!</v>
      </c>
      <c r="AJ247" s="345">
        <f>Helpers!AY247</f>
        <v>0</v>
      </c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236"/>
      <c r="AV247" s="299"/>
      <c r="AW247" s="298"/>
      <c r="AX247" s="56"/>
      <c r="AY247" s="56" t="s">
        <v>2548</v>
      </c>
      <c r="AZ247" s="56" t="s">
        <v>2537</v>
      </c>
      <c r="BA247" s="56"/>
    </row>
    <row r="248" spans="1:53" ht="13.5" customHeight="1" thickBot="1">
      <c r="A248" s="111">
        <v>246</v>
      </c>
      <c r="B248" s="335" t="str">
        <f t="shared" si="71"/>
        <v>Michard Meets</v>
      </c>
      <c r="C248" s="116" t="s">
        <v>1720</v>
      </c>
      <c r="D248" s="116" t="s">
        <v>1721</v>
      </c>
      <c r="E248"/>
      <c r="F248" s="363" t="str">
        <f>IF(SUM(COUNTIF(H248,{"*Girl*","*Women*","*Woman*","*Female*","*Wo*","*Fe*","*F*"})),"F","M")</f>
        <v>M</v>
      </c>
      <c r="G248" s="345" t="str">
        <f>IFERROR(IF(ISNUMBER(SEARCH("*",N248)),N248&amp;" "&amp;F248,IF(F248="M",LOOKUP(J248,AgeCategories!$A$3:$D$13),LOOKUP(J248,AgeCategories!$A$14:$D$24))),"Invalid Age")</f>
        <v>Elite Men</v>
      </c>
      <c r="H248" s="175" t="s">
        <v>209</v>
      </c>
      <c r="I248" s="338">
        <f t="shared" si="72"/>
        <v>36552</v>
      </c>
      <c r="J248" s="364">
        <f>IFERROR(DATEDIF($I248,Helpers!$O$2,"y"),"ID No. needed")</f>
        <v>22</v>
      </c>
      <c r="K248" s="111"/>
      <c r="L248" s="300">
        <v>609725994</v>
      </c>
      <c r="M248" s="365" t="s">
        <v>1994</v>
      </c>
      <c r="N248" s="366"/>
      <c r="O248" s="367" t="b">
        <v>1</v>
      </c>
      <c r="P248" s="241" t="b">
        <f>NOT(ISNA(VLOOKUP(A248,SortedDownload!A:A,1,FALSE)))</f>
        <v>1</v>
      </c>
      <c r="Q248" s="373" t="s">
        <v>2631</v>
      </c>
      <c r="R248" s="368"/>
      <c r="S248" s="235"/>
      <c r="T248" s="235"/>
      <c r="U248" s="369" t="s">
        <v>2255</v>
      </c>
      <c r="V248" s="337" t="str">
        <f t="shared" si="73"/>
        <v>-</v>
      </c>
      <c r="W248" s="339" t="str">
        <f t="shared" si="74"/>
        <v>Michard Meets</v>
      </c>
      <c r="X248" s="345" t="str">
        <f t="shared" si="75"/>
        <v>Michard</v>
      </c>
      <c r="Y248" s="345" t="str">
        <f t="shared" si="76"/>
        <v>Meets</v>
      </c>
      <c r="Z248" s="345" t="str">
        <f t="shared" si="77"/>
        <v>M.Meets</v>
      </c>
      <c r="AA248" s="378" t="str">
        <f t="shared" si="69"/>
        <v/>
      </c>
      <c r="AB248" s="378" t="str">
        <f t="shared" si="70"/>
        <v/>
      </c>
      <c r="AC248" s="345" t="str">
        <f>IFERROR(IF(ISNUMBER(SEARCH("*",N248)),N248&amp;" "&amp;F248,IF(F248="M",LOOKUP(J248,AgeCategories!$A$3:$F$11),LOOKUP(J248,AgeCategories!$A$14:$F$22))),"")</f>
        <v>EM</v>
      </c>
      <c r="AD248" s="370">
        <f t="shared" si="78"/>
        <v>36552</v>
      </c>
      <c r="AE248" s="345">
        <f t="shared" si="79"/>
        <v>22</v>
      </c>
      <c r="AF248" s="345" t="str">
        <f>IF(SUM(COUNTIF(H248,{"*Girl*","*Women*","*Woman*","*Female*","*Wo*","*Fe*","*F*"})),"F","M")</f>
        <v>M</v>
      </c>
      <c r="AG248" s="371"/>
      <c r="AH248" s="112"/>
      <c r="AI248" s="337" t="e">
        <f t="array" aca="1" ref="AI248" ca="1">(SMALL(IF(ISERROR(MATCH($AJ$3+ROW(OFFSET($A$3, 0,0, $AJ$4-$AJ$3+1))-2, $A$3:$A895,0)), $AJ$3+ROW(OFFSET($A$2,0, 0, $AJ$4-$AJ$3+1))-1), ROW(A247)))</f>
        <v>#NUM!</v>
      </c>
      <c r="AJ248" s="345">
        <f>Helpers!AY248</f>
        <v>0</v>
      </c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236"/>
      <c r="AV248" s="299"/>
      <c r="AW248" s="298" t="s">
        <v>2462</v>
      </c>
      <c r="AX248" s="56" t="s">
        <v>2534</v>
      </c>
      <c r="AY248" s="56" t="s">
        <v>2277</v>
      </c>
      <c r="AZ248" s="56" t="s">
        <v>2537</v>
      </c>
      <c r="BA248" s="56"/>
    </row>
    <row r="249" spans="1:53" ht="13.5" customHeight="1" thickBot="1">
      <c r="A249" s="111">
        <v>247</v>
      </c>
      <c r="B249" s="335" t="str">
        <f t="shared" ref="B249:B280" si="80">PROPER($C249&amp;" "&amp;$D249)</f>
        <v>Pieter Venter Snr</v>
      </c>
      <c r="C249" s="116" t="s">
        <v>1477</v>
      </c>
      <c r="D249" s="116" t="s">
        <v>2624</v>
      </c>
      <c r="E249"/>
      <c r="F249" s="363" t="str">
        <f>IF(SUM(COUNTIF(H249,{"*Girl*","*Women*","*Woman*","*Female*","*Wo*","*Fe*","*F*"})),"F","M")</f>
        <v>M</v>
      </c>
      <c r="G249" s="345" t="str">
        <f>IFERROR(IF(ISNUMBER(SEARCH("*",N249)),N249&amp;" "&amp;F249,IF(F249="M",LOOKUP(J249,AgeCategories!$A$3:$D$13),LOOKUP(J249,AgeCategories!$A$14:$D$24))),"Invalid Age")</f>
        <v>E-Bike M</v>
      </c>
      <c r="H249" s="175" t="s">
        <v>209</v>
      </c>
      <c r="I249" s="338">
        <f t="shared" ref="I249:I283" si="81">IFERROR(--TEXT(IF((--LEFT($M249,2))&lt;30,"20","19")&amp;LEFT($M249,6),"0000\-00\-00"),"ID No. needed")</f>
        <v>25655</v>
      </c>
      <c r="J249" s="364">
        <f>IFERROR(DATEDIF($I249,Helpers!$O$2,"y"),"ID No. needed")</f>
        <v>52</v>
      </c>
      <c r="K249" s="111"/>
      <c r="L249" s="300">
        <v>834197595</v>
      </c>
      <c r="M249" s="365" t="s">
        <v>1995</v>
      </c>
      <c r="N249" s="366" t="s">
        <v>560</v>
      </c>
      <c r="O249" s="367" t="b">
        <v>1</v>
      </c>
      <c r="P249" s="241" t="b">
        <f>NOT(ISNA(VLOOKUP(A249,SortedDownload!A:A,1,FALSE)))</f>
        <v>1</v>
      </c>
      <c r="Q249" s="373" t="s">
        <v>2729</v>
      </c>
      <c r="R249" s="368"/>
      <c r="S249" s="235"/>
      <c r="T249" s="235"/>
      <c r="U249" s="369" t="s">
        <v>2256</v>
      </c>
      <c r="V249" s="337" t="str">
        <f t="shared" ref="V249:V280" si="82">IF(K249="", "-", K249)</f>
        <v>-</v>
      </c>
      <c r="W249" s="339" t="str">
        <f t="shared" ref="W249:W280" si="83">B249</f>
        <v>Pieter Venter Snr</v>
      </c>
      <c r="X249" s="345" t="str">
        <f t="shared" ref="X249:X280" si="84">LEFT($W249, SEARCH(" ", $W249) - 1)</f>
        <v>Pieter</v>
      </c>
      <c r="Y249" s="345" t="str">
        <f t="shared" ref="Y249:Y280" si="85">RIGHT($W249, LEN($W249) - SEARCH(" ", $W249))</f>
        <v>Venter Snr</v>
      </c>
      <c r="Z249" s="345" t="str">
        <f t="shared" ref="Z249:Z280" si="86">CONCATENATE(LEFT($X249,1),".",$Y249)</f>
        <v>P.Venter Snr</v>
      </c>
      <c r="AA249" s="378" t="str">
        <f t="shared" si="69"/>
        <v/>
      </c>
      <c r="AB249" s="378" t="str">
        <f t="shared" si="70"/>
        <v/>
      </c>
      <c r="AC249" s="345" t="str">
        <f>IFERROR(IF(ISNUMBER(SEARCH("*",N249)),N249&amp;" "&amp;F249,IF(F249="M",LOOKUP(J249,AgeCategories!$A$3:$F$11),LOOKUP(J249,AgeCategories!$A$14:$F$22))),"")</f>
        <v>E-Bike M</v>
      </c>
      <c r="AD249" s="370">
        <f t="shared" ref="AD249:AD280" si="87">--TEXT(IF((--LEFT($M249,2))&lt;30,"20","19")&amp;LEFT($M249,6),"0000\-00\-00")</f>
        <v>25655</v>
      </c>
      <c r="AE249" s="345">
        <f t="shared" ref="AE249:AE280" si="88">DATEDIF($I249,$V$1,"y")</f>
        <v>52</v>
      </c>
      <c r="AF249" s="345" t="str">
        <f>IF(SUM(COUNTIF(H249,{"*Girl*","*Women*","*Woman*","*Female*","*Wo*","*Fe*","*F*"})),"F","M")</f>
        <v>M</v>
      </c>
      <c r="AG249" s="371"/>
      <c r="AH249" s="112"/>
      <c r="AI249" s="337" t="e">
        <f t="array" aca="1" ref="AI249" ca="1">(SMALL(IF(ISERROR(MATCH($AJ$3+ROW(OFFSET($A$3, 0,0, $AJ$4-$AJ$3+1))-2, $A$3:$A896,0)), $AJ$3+ROW(OFFSET($A$2,0, 0, $AJ$4-$AJ$3+1))-1), ROW(A248)))</f>
        <v>#NUM!</v>
      </c>
      <c r="AJ249" s="345">
        <f>Helpers!AY249</f>
        <v>0</v>
      </c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236"/>
      <c r="AV249" s="299"/>
      <c r="AW249" s="298" t="s">
        <v>2463</v>
      </c>
      <c r="AX249" s="56" t="s">
        <v>2478</v>
      </c>
      <c r="AY249" s="56" t="s">
        <v>2277</v>
      </c>
      <c r="AZ249" s="56" t="s">
        <v>2537</v>
      </c>
      <c r="BA249" s="56"/>
    </row>
    <row r="250" spans="1:53" ht="13.5" customHeight="1" thickBot="1">
      <c r="A250" s="111">
        <v>248</v>
      </c>
      <c r="B250" s="335" t="str">
        <f t="shared" si="80"/>
        <v>Pieter Venter</v>
      </c>
      <c r="C250" s="116" t="s">
        <v>1477</v>
      </c>
      <c r="D250" s="116" t="s">
        <v>654</v>
      </c>
      <c r="E250"/>
      <c r="F250" s="363" t="str">
        <f>IF(SUM(COUNTIF(H250,{"*Girl*","*Women*","*Woman*","*Female*","*Wo*","*Fe*","*F*"})),"F","M")</f>
        <v>M</v>
      </c>
      <c r="G250" s="345" t="str">
        <f>IFERROR(IF(ISNUMBER(SEARCH("*",N250)),N250&amp;" "&amp;F250,IF(F250="M",LOOKUP(J250,AgeCategories!$A$3:$D$13),LOOKUP(J250,AgeCategories!$A$14:$D$24))),"Invalid Age")</f>
        <v>Youth Men</v>
      </c>
      <c r="H250" s="175" t="s">
        <v>209</v>
      </c>
      <c r="I250" s="338">
        <f t="shared" si="81"/>
        <v>39241</v>
      </c>
      <c r="J250" s="364">
        <f>IFERROR(DATEDIF($I250,Helpers!$O$2,"y"),"ID No. needed")</f>
        <v>15</v>
      </c>
      <c r="K250" s="111"/>
      <c r="L250" s="300">
        <v>834197595</v>
      </c>
      <c r="M250" s="365" t="s">
        <v>1996</v>
      </c>
      <c r="N250" s="366"/>
      <c r="O250" s="367" t="b">
        <v>1</v>
      </c>
      <c r="P250" s="241" t="b">
        <f>NOT(ISNA(VLOOKUP(A250,SortedDownload!A:A,1,FALSE)))</f>
        <v>1</v>
      </c>
      <c r="Q250" s="373" t="s">
        <v>2728</v>
      </c>
      <c r="R250" s="368"/>
      <c r="S250" s="235"/>
      <c r="T250" s="235"/>
      <c r="U250" s="369" t="s">
        <v>2256</v>
      </c>
      <c r="V250" s="337" t="str">
        <f t="shared" si="82"/>
        <v>-</v>
      </c>
      <c r="W250" s="339" t="str">
        <f t="shared" si="83"/>
        <v>Pieter Venter</v>
      </c>
      <c r="X250" s="345" t="str">
        <f t="shared" si="84"/>
        <v>Pieter</v>
      </c>
      <c r="Y250" s="345" t="str">
        <f t="shared" si="85"/>
        <v>Venter</v>
      </c>
      <c r="Z250" s="345" t="str">
        <f t="shared" si="86"/>
        <v>P.Venter</v>
      </c>
      <c r="AA250" s="378" t="str">
        <f t="shared" si="69"/>
        <v/>
      </c>
      <c r="AB250" s="378" t="str">
        <f t="shared" si="70"/>
        <v/>
      </c>
      <c r="AC250" s="345" t="str">
        <f>IFERROR(IF(ISNUMBER(SEARCH("*",N250)),N250&amp;" "&amp;F250,IF(F250="M",LOOKUP(J250,AgeCategories!$A$3:$F$11),LOOKUP(J250,AgeCategories!$A$14:$F$22))),"")</f>
        <v>YM</v>
      </c>
      <c r="AD250" s="370">
        <f t="shared" si="87"/>
        <v>39241</v>
      </c>
      <c r="AE250" s="345">
        <f t="shared" si="88"/>
        <v>15</v>
      </c>
      <c r="AF250" s="345" t="str">
        <f>IF(SUM(COUNTIF(H250,{"*Girl*","*Women*","*Woman*","*Female*","*Wo*","*Fe*","*F*"})),"F","M")</f>
        <v>M</v>
      </c>
      <c r="AG250" s="371"/>
      <c r="AH250" s="112"/>
      <c r="AI250" s="337" t="e">
        <f t="array" aca="1" ref="AI250" ca="1">(SMALL(IF(ISERROR(MATCH($AJ$3+ROW(OFFSET($A$3, 0,0, $AJ$4-$AJ$3+1))-2, $A$3:$A897,0)), $AJ$3+ROW(OFFSET($A$2,0, 0, $AJ$4-$AJ$3+1))-1), ROW(A249)))</f>
        <v>#NUM!</v>
      </c>
      <c r="AJ250" s="345">
        <f>Helpers!AY250</f>
        <v>0</v>
      </c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236"/>
      <c r="AV250" s="299"/>
      <c r="AW250" s="298" t="s">
        <v>2463</v>
      </c>
      <c r="AX250" s="56" t="s">
        <v>2478</v>
      </c>
      <c r="AY250" s="56" t="s">
        <v>2277</v>
      </c>
      <c r="AZ250" s="56" t="s">
        <v>2537</v>
      </c>
      <c r="BA250" s="56"/>
    </row>
    <row r="251" spans="1:53" ht="13.5" customHeight="1" thickBot="1">
      <c r="A251" s="111">
        <v>249</v>
      </c>
      <c r="B251" s="335" t="str">
        <f t="shared" si="80"/>
        <v>Henning Venter</v>
      </c>
      <c r="C251" s="116" t="s">
        <v>1722</v>
      </c>
      <c r="D251" s="116" t="s">
        <v>654</v>
      </c>
      <c r="E251"/>
      <c r="F251" s="363" t="str">
        <f>IF(SUM(COUNTIF(H251,{"*Girl*","*Women*","*Woman*","*Female*","*Wo*","*Fe*","*F*"})),"F","M")</f>
        <v>M</v>
      </c>
      <c r="G251" s="345" t="str">
        <f>IFERROR(IF(ISNUMBER(SEARCH("*",N251)),N251&amp;" "&amp;F251,IF(F251="M",LOOKUP(J251,AgeCategories!$A$3:$D$13),LOOKUP(J251,AgeCategories!$A$14:$D$24))),"Invalid Age")</f>
        <v>Junior Men</v>
      </c>
      <c r="H251" s="175" t="s">
        <v>209</v>
      </c>
      <c r="I251" s="338">
        <f t="shared" si="81"/>
        <v>38297</v>
      </c>
      <c r="J251" s="364">
        <f>IFERROR(DATEDIF($I251,Helpers!$O$2,"y"),"ID No. needed")</f>
        <v>18</v>
      </c>
      <c r="K251" s="111"/>
      <c r="L251" s="300">
        <v>834197595</v>
      </c>
      <c r="M251" s="365" t="s">
        <v>1997</v>
      </c>
      <c r="N251" s="366"/>
      <c r="O251" s="367" t="b">
        <v>1</v>
      </c>
      <c r="P251" s="241" t="b">
        <f>NOT(ISNA(VLOOKUP(A251,SortedDownload!A:A,1,FALSE)))</f>
        <v>1</v>
      </c>
      <c r="Q251" s="373" t="s">
        <v>2728</v>
      </c>
      <c r="R251" s="368"/>
      <c r="S251" s="235"/>
      <c r="T251" s="235"/>
      <c r="U251" s="369" t="s">
        <v>2256</v>
      </c>
      <c r="V251" s="337" t="str">
        <f t="shared" si="82"/>
        <v>-</v>
      </c>
      <c r="W251" s="339" t="str">
        <f t="shared" si="83"/>
        <v>Henning Venter</v>
      </c>
      <c r="X251" s="345" t="str">
        <f t="shared" si="84"/>
        <v>Henning</v>
      </c>
      <c r="Y251" s="345" t="str">
        <f t="shared" si="85"/>
        <v>Venter</v>
      </c>
      <c r="Z251" s="345" t="str">
        <f t="shared" si="86"/>
        <v>H.Venter</v>
      </c>
      <c r="AA251" s="378" t="str">
        <f t="shared" si="69"/>
        <v/>
      </c>
      <c r="AB251" s="378" t="str">
        <f t="shared" si="70"/>
        <v/>
      </c>
      <c r="AC251" s="345" t="str">
        <f>IFERROR(IF(ISNUMBER(SEARCH("*",N251)),N251&amp;" "&amp;F251,IF(F251="M",LOOKUP(J251,AgeCategories!$A$3:$F$11),LOOKUP(J251,AgeCategories!$A$14:$F$22))),"")</f>
        <v>JM</v>
      </c>
      <c r="AD251" s="370">
        <f t="shared" si="87"/>
        <v>38297</v>
      </c>
      <c r="AE251" s="345">
        <f t="shared" si="88"/>
        <v>18</v>
      </c>
      <c r="AF251" s="345" t="str">
        <f>IF(SUM(COUNTIF(H251,{"*Girl*","*Women*","*Woman*","*Female*","*Wo*","*Fe*","*F*"})),"F","M")</f>
        <v>M</v>
      </c>
      <c r="AG251" s="371"/>
      <c r="AH251" s="112"/>
      <c r="AI251" s="337" t="e">
        <f t="array" aca="1" ref="AI251" ca="1">(SMALL(IF(ISERROR(MATCH($AJ$3+ROW(OFFSET($A$3, 0,0, $AJ$4-$AJ$3+1))-2, $A$3:$A898,0)), $AJ$3+ROW(OFFSET($A$2,0, 0, $AJ$4-$AJ$3+1))-1), ROW(A250)))</f>
        <v>#NUM!</v>
      </c>
      <c r="AJ251" s="345">
        <f>Helpers!AY251</f>
        <v>0</v>
      </c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236"/>
      <c r="AV251" s="299"/>
      <c r="AW251" s="298" t="s">
        <v>2463</v>
      </c>
      <c r="AX251" s="56" t="s">
        <v>2478</v>
      </c>
      <c r="AY251" s="56" t="s">
        <v>2277</v>
      </c>
      <c r="AZ251" s="56" t="s">
        <v>2537</v>
      </c>
      <c r="BA251" s="56"/>
    </row>
    <row r="252" spans="1:53" ht="13.5" customHeight="1" thickBot="1">
      <c r="A252" s="111">
        <v>250</v>
      </c>
      <c r="B252" s="335" t="str">
        <f t="shared" si="80"/>
        <v>Johann Potgieter</v>
      </c>
      <c r="C252" s="116" t="s">
        <v>1723</v>
      </c>
      <c r="D252" s="116" t="s">
        <v>1724</v>
      </c>
      <c r="E252"/>
      <c r="F252" s="363" t="str">
        <f>IF(SUM(COUNTIF(H252,{"*Girl*","*Women*","*Woman*","*Female*","*Wo*","*Fe*","*F*"})),"F","M")</f>
        <v>M</v>
      </c>
      <c r="G252" s="345" t="str">
        <f>IFERROR(IF(ISNUMBER(SEARCH("*",N252)),N252&amp;" "&amp;F252,IF(F252="M",LOOKUP(J252,AgeCategories!$A$3:$D$13),LOOKUP(J252,AgeCategories!$A$14:$D$24))),"Invalid Age")</f>
        <v>Master Men</v>
      </c>
      <c r="H252" s="175" t="s">
        <v>209</v>
      </c>
      <c r="I252" s="338">
        <f t="shared" si="81"/>
        <v>31783</v>
      </c>
      <c r="J252" s="364">
        <f>IFERROR(DATEDIF($I252,Helpers!$O$2,"y"),"ID No. needed")</f>
        <v>35</v>
      </c>
      <c r="K252" s="111"/>
      <c r="L252" s="300">
        <v>724602408</v>
      </c>
      <c r="M252" s="365" t="s">
        <v>1998</v>
      </c>
      <c r="N252" s="366"/>
      <c r="O252" s="367" t="b">
        <v>1</v>
      </c>
      <c r="P252" s="241" t="b">
        <f>NOT(ISNA(VLOOKUP(A252,SortedDownload!A:A,1,FALSE)))</f>
        <v>1</v>
      </c>
      <c r="Q252" s="373" t="s">
        <v>2632</v>
      </c>
      <c r="R252" s="368"/>
      <c r="S252" s="235"/>
      <c r="T252" s="235"/>
      <c r="U252" s="369" t="s">
        <v>2257</v>
      </c>
      <c r="V252" s="337" t="str">
        <f t="shared" si="82"/>
        <v>-</v>
      </c>
      <c r="W252" s="339" t="str">
        <f t="shared" si="83"/>
        <v>Johann Potgieter</v>
      </c>
      <c r="X252" s="345" t="str">
        <f t="shared" si="84"/>
        <v>Johann</v>
      </c>
      <c r="Y252" s="345" t="str">
        <f t="shared" si="85"/>
        <v>Potgieter</v>
      </c>
      <c r="Z252" s="345" t="str">
        <f t="shared" si="86"/>
        <v>J.Potgieter</v>
      </c>
      <c r="AA252" s="378" t="str">
        <f t="shared" si="69"/>
        <v/>
      </c>
      <c r="AB252" s="378" t="str">
        <f t="shared" si="70"/>
        <v/>
      </c>
      <c r="AC252" s="345" t="str">
        <f>IFERROR(IF(ISNUMBER(SEARCH("*",N252)),N252&amp;" "&amp;F252,IF(F252="M",LOOKUP(J252,AgeCategories!$A$3:$F$11),LOOKUP(J252,AgeCategories!$A$14:$F$22))),"")</f>
        <v>MM</v>
      </c>
      <c r="AD252" s="370">
        <f t="shared" si="87"/>
        <v>31783</v>
      </c>
      <c r="AE252" s="345">
        <f t="shared" si="88"/>
        <v>35</v>
      </c>
      <c r="AF252" s="345" t="str">
        <f>IF(SUM(COUNTIF(H252,{"*Girl*","*Women*","*Woman*","*Female*","*Wo*","*Fe*","*F*"})),"F","M")</f>
        <v>M</v>
      </c>
      <c r="AG252" s="371"/>
      <c r="AH252" s="112"/>
      <c r="AI252" s="337" t="e">
        <f t="array" aca="1" ref="AI252" ca="1">(SMALL(IF(ISERROR(MATCH($AJ$3+ROW(OFFSET($A$3, 0,0, $AJ$4-$AJ$3+1))-2, $A$3:$A899,0)), $AJ$3+ROW(OFFSET($A$2,0, 0, $AJ$4-$AJ$3+1))-1), ROW(A251)))</f>
        <v>#NUM!</v>
      </c>
      <c r="AJ252" s="345">
        <f>Helpers!AY252</f>
        <v>0</v>
      </c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236"/>
      <c r="AV252" s="299"/>
      <c r="AW252" s="298"/>
      <c r="AX252" s="56"/>
      <c r="AY252" s="56"/>
      <c r="AZ252" s="56" t="s">
        <v>2537</v>
      </c>
      <c r="BA252" s="56"/>
    </row>
    <row r="253" spans="1:53" ht="13.5" thickBot="1">
      <c r="A253" s="111">
        <v>251</v>
      </c>
      <c r="B253" s="335" t="str">
        <f t="shared" si="80"/>
        <v>Lineke Groenewald</v>
      </c>
      <c r="C253" s="116" t="s">
        <v>1725</v>
      </c>
      <c r="D253" s="116" t="s">
        <v>1726</v>
      </c>
      <c r="E253"/>
      <c r="F253" s="363" t="str">
        <f>IF(SUM(COUNTIF(H253,{"*Girl*","*Women*","*Woman*","*Female*","*Wo*","*Fe*","*F*"})),"F","M")</f>
        <v>F</v>
      </c>
      <c r="G253" s="345" t="str">
        <f>IFERROR(IF(ISNUMBER(SEARCH("*",N253)),N253&amp;" "&amp;F253,IF(F253="M",LOOKUP(J253,AgeCategories!$A$3:$D$13),LOOKUP(J253,AgeCategories!$A$14:$D$24))),"Invalid Age")</f>
        <v>Lite F</v>
      </c>
      <c r="H253" s="175" t="s">
        <v>210</v>
      </c>
      <c r="I253" s="338">
        <f t="shared" si="81"/>
        <v>38592</v>
      </c>
      <c r="J253" s="364">
        <f>IFERROR(DATEDIF($I253,Helpers!$O$2,"y"),"ID No. needed")</f>
        <v>17</v>
      </c>
      <c r="K253" s="111"/>
      <c r="L253" s="300">
        <v>737668088</v>
      </c>
      <c r="M253" s="365" t="s">
        <v>1999</v>
      </c>
      <c r="N253" s="341" t="s">
        <v>2601</v>
      </c>
      <c r="O253" s="367" t="b">
        <v>1</v>
      </c>
      <c r="P253" s="241" t="b">
        <f>NOT(ISNA(VLOOKUP(A253,SortedDownload!A:A,1,FALSE)))</f>
        <v>1</v>
      </c>
      <c r="Q253" s="373" t="s">
        <v>2601</v>
      </c>
      <c r="R253" s="368"/>
      <c r="S253" s="235"/>
      <c r="T253" s="235"/>
      <c r="U253" s="369" t="s">
        <v>2258</v>
      </c>
      <c r="V253" s="337" t="str">
        <f t="shared" si="82"/>
        <v>-</v>
      </c>
      <c r="W253" s="339" t="str">
        <f t="shared" si="83"/>
        <v>Lineke Groenewald</v>
      </c>
      <c r="X253" s="345" t="str">
        <f t="shared" si="84"/>
        <v>Lineke</v>
      </c>
      <c r="Y253" s="345" t="str">
        <f t="shared" si="85"/>
        <v>Groenewald</v>
      </c>
      <c r="Z253" s="345" t="str">
        <f t="shared" si="86"/>
        <v>L.Groenewald</v>
      </c>
      <c r="AA253" s="378" t="str">
        <f t="shared" si="69"/>
        <v/>
      </c>
      <c r="AB253" s="378" t="str">
        <f t="shared" si="70"/>
        <v/>
      </c>
      <c r="AC253" s="345" t="str">
        <f>IFERROR(IF(ISNUMBER(SEARCH("*",N253)),N253&amp;" "&amp;F253,IF(F253="M",LOOKUP(J253,AgeCategories!$A$3:$F$11),LOOKUP(J253,AgeCategories!$A$14:$F$22))),"")</f>
        <v>Lite F</v>
      </c>
      <c r="AD253" s="370">
        <f t="shared" si="87"/>
        <v>38592</v>
      </c>
      <c r="AE253" s="345">
        <f t="shared" si="88"/>
        <v>17</v>
      </c>
      <c r="AF253" s="345" t="str">
        <f>IF(SUM(COUNTIF(H253,{"*Girl*","*Women*","*Woman*","*Female*","*Wo*","*Fe*","*F*"})),"F","M")</f>
        <v>F</v>
      </c>
      <c r="AG253" s="371"/>
      <c r="AH253" s="112"/>
      <c r="AI253" s="337" t="e">
        <f t="array" aca="1" ref="AI253" ca="1">(SMALL(IF(ISERROR(MATCH($AJ$3+ROW(OFFSET($A$3, 0,0, $AJ$4-$AJ$3+1))-2, $A$3:$A900,0)), $AJ$3+ROW(OFFSET($A$2,0, 0, $AJ$4-$AJ$3+1))-1), ROW(A252)))</f>
        <v>#NUM!</v>
      </c>
      <c r="AJ253" s="345">
        <f>Helpers!AY253</f>
        <v>0</v>
      </c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236"/>
      <c r="AV253" s="299"/>
      <c r="AW253" s="298"/>
      <c r="AX253" s="56"/>
      <c r="AY253" s="56"/>
      <c r="AZ253" s="56" t="s">
        <v>2537</v>
      </c>
      <c r="BA253" s="56"/>
    </row>
    <row r="254" spans="1:53" ht="13.5" customHeight="1" thickBot="1">
      <c r="A254" s="111">
        <v>252</v>
      </c>
      <c r="B254" s="335" t="str">
        <f t="shared" si="80"/>
        <v>Brandon Willcocks</v>
      </c>
      <c r="C254" s="116" t="s">
        <v>1727</v>
      </c>
      <c r="D254" s="116" t="s">
        <v>1728</v>
      </c>
      <c r="E254"/>
      <c r="F254" s="363" t="str">
        <f>IF(SUM(COUNTIF(H254,{"*Girl*","*Women*","*Woman*","*Female*","*Wo*","*Fe*","*F*"})),"F","M")</f>
        <v>M</v>
      </c>
      <c r="G254" s="345" t="str">
        <f>IFERROR(IF(ISNUMBER(SEARCH("*",N254)),N254&amp;" "&amp;F254,IF(F254="M",LOOKUP(J254,AgeCategories!$A$3:$D$13),LOOKUP(J254,AgeCategories!$A$14:$D$24))),"Invalid Age")</f>
        <v>Elite Men</v>
      </c>
      <c r="H254" s="175" t="s">
        <v>209</v>
      </c>
      <c r="I254" s="338">
        <f t="shared" si="81"/>
        <v>34556</v>
      </c>
      <c r="J254" s="364">
        <f>IFERROR(DATEDIF($I254,Helpers!$O$2,"y"),"ID No. needed")</f>
        <v>28</v>
      </c>
      <c r="K254" s="111"/>
      <c r="L254" s="300">
        <v>27684408096</v>
      </c>
      <c r="M254" s="365" t="s">
        <v>2000</v>
      </c>
      <c r="N254" s="366"/>
      <c r="O254" s="367" t="b">
        <v>1</v>
      </c>
      <c r="P254" s="241" t="b">
        <f>NOT(ISNA(VLOOKUP(A254,SortedDownload!A:A,1,FALSE)))</f>
        <v>1</v>
      </c>
      <c r="Q254" s="373" t="s">
        <v>2728</v>
      </c>
      <c r="R254" s="368"/>
      <c r="S254" s="235"/>
      <c r="T254" s="235"/>
      <c r="U254" s="369" t="s">
        <v>2259</v>
      </c>
      <c r="V254" s="337" t="str">
        <f t="shared" si="82"/>
        <v>-</v>
      </c>
      <c r="W254" s="339" t="str">
        <f t="shared" si="83"/>
        <v>Brandon Willcocks</v>
      </c>
      <c r="X254" s="345" t="str">
        <f t="shared" si="84"/>
        <v>Brandon</v>
      </c>
      <c r="Y254" s="345" t="str">
        <f t="shared" si="85"/>
        <v>Willcocks</v>
      </c>
      <c r="Z254" s="345" t="str">
        <f t="shared" si="86"/>
        <v>B.Willcocks</v>
      </c>
      <c r="AA254" s="378" t="str">
        <f t="shared" si="69"/>
        <v/>
      </c>
      <c r="AB254" s="378" t="str">
        <f t="shared" si="70"/>
        <v/>
      </c>
      <c r="AC254" s="345" t="str">
        <f>IFERROR(IF(ISNUMBER(SEARCH("*",N254)),N254&amp;" "&amp;F254,IF(F254="M",LOOKUP(J254,AgeCategories!$A$3:$F$11),LOOKUP(J254,AgeCategories!$A$14:$F$22))),"")</f>
        <v>EM</v>
      </c>
      <c r="AD254" s="370">
        <f t="shared" si="87"/>
        <v>34556</v>
      </c>
      <c r="AE254" s="345">
        <f t="shared" si="88"/>
        <v>28</v>
      </c>
      <c r="AF254" s="345" t="str">
        <f>IF(SUM(COUNTIF(H254,{"*Girl*","*Women*","*Woman*","*Female*","*Wo*","*Fe*","*F*"})),"F","M")</f>
        <v>M</v>
      </c>
      <c r="AG254" s="371"/>
      <c r="AH254" s="112"/>
      <c r="AI254" s="337" t="e">
        <f t="array" aca="1" ref="AI254" ca="1">(SMALL(IF(ISERROR(MATCH($AJ$3+ROW(OFFSET($A$3, 0,0, $AJ$4-$AJ$3+1))-2, $A$3:$A901,0)), $AJ$3+ROW(OFFSET($A$2,0, 0, $AJ$4-$AJ$3+1))-1), ROW(A253)))</f>
        <v>#NUM!</v>
      </c>
      <c r="AJ254" s="345">
        <f>Helpers!AY254</f>
        <v>0</v>
      </c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236"/>
      <c r="AV254" s="299"/>
      <c r="AW254" s="298"/>
      <c r="AX254" s="56"/>
      <c r="AY254" s="56" t="s">
        <v>2548</v>
      </c>
      <c r="AZ254" s="56" t="s">
        <v>2538</v>
      </c>
      <c r="BA254" s="56" t="s">
        <v>2548</v>
      </c>
    </row>
    <row r="255" spans="1:53" ht="13.5" customHeight="1" thickBot="1">
      <c r="A255" s="111">
        <v>253</v>
      </c>
      <c r="B255" s="335" t="str">
        <f t="shared" si="80"/>
        <v>Ethan Hunter</v>
      </c>
      <c r="C255" s="116" t="s">
        <v>1608</v>
      </c>
      <c r="D255" s="116" t="s">
        <v>1729</v>
      </c>
      <c r="E255"/>
      <c r="F255" s="363" t="str">
        <f>IF(SUM(COUNTIF(H255,{"*Girl*","*Women*","*Woman*","*Female*","*Wo*","*Fe*","*F*"})),"F","M")</f>
        <v>M</v>
      </c>
      <c r="G255" s="345" t="str">
        <f>IFERROR(IF(ISNUMBER(SEARCH("*",N255)),N255&amp;" "&amp;F255,IF(F255="M",LOOKUP(J255,AgeCategories!$A$3:$D$13),LOOKUP(J255,AgeCategories!$A$14:$D$24))),"Invalid Age")</f>
        <v>Youth Men</v>
      </c>
      <c r="H255" s="175" t="s">
        <v>209</v>
      </c>
      <c r="I255" s="338">
        <f t="shared" si="81"/>
        <v>38958</v>
      </c>
      <c r="J255" s="364">
        <f>IFERROR(DATEDIF($I255,Helpers!$O$2,"y"),"ID No. needed")</f>
        <v>16</v>
      </c>
      <c r="K255" s="111"/>
      <c r="L255" s="300">
        <v>836274724</v>
      </c>
      <c r="M255" s="365" t="s">
        <v>2001</v>
      </c>
      <c r="N255" s="366"/>
      <c r="O255" s="367" t="b">
        <v>1</v>
      </c>
      <c r="P255" s="241" t="b">
        <f>NOT(ISNA(VLOOKUP(A255,SortedDownload!A:A,1,FALSE)))</f>
        <v>1</v>
      </c>
      <c r="Q255" s="373" t="s">
        <v>2631</v>
      </c>
      <c r="R255" s="368"/>
      <c r="S255" s="235"/>
      <c r="T255" s="235"/>
      <c r="U255" s="369" t="s">
        <v>2260</v>
      </c>
      <c r="V255" s="337" t="str">
        <f t="shared" si="82"/>
        <v>-</v>
      </c>
      <c r="W255" s="339" t="str">
        <f t="shared" si="83"/>
        <v>Ethan Hunter</v>
      </c>
      <c r="X255" s="345" t="str">
        <f t="shared" si="84"/>
        <v>Ethan</v>
      </c>
      <c r="Y255" s="345" t="str">
        <f t="shared" si="85"/>
        <v>Hunter</v>
      </c>
      <c r="Z255" s="345" t="str">
        <f t="shared" si="86"/>
        <v>E.Hunter</v>
      </c>
      <c r="AA255" s="378" t="str">
        <f t="shared" si="69"/>
        <v/>
      </c>
      <c r="AB255" s="378" t="str">
        <f t="shared" si="70"/>
        <v/>
      </c>
      <c r="AC255" s="345" t="str">
        <f>IFERROR(IF(ISNUMBER(SEARCH("*",N255)),N255&amp;" "&amp;F255,IF(F255="M",LOOKUP(J255,AgeCategories!$A$3:$F$11),LOOKUP(J255,AgeCategories!$A$14:$F$22))),"")</f>
        <v>YM</v>
      </c>
      <c r="AD255" s="370">
        <f t="shared" si="87"/>
        <v>38958</v>
      </c>
      <c r="AE255" s="345">
        <f t="shared" si="88"/>
        <v>16</v>
      </c>
      <c r="AF255" s="345" t="str">
        <f>IF(SUM(COUNTIF(H255,{"*Girl*","*Women*","*Woman*","*Female*","*Wo*","*Fe*","*F*"})),"F","M")</f>
        <v>M</v>
      </c>
      <c r="AG255" s="371"/>
      <c r="AH255" s="112"/>
      <c r="AI255" s="337" t="e">
        <f t="array" aca="1" ref="AI255" ca="1">(SMALL(IF(ISERROR(MATCH($AJ$3+ROW(OFFSET($A$3, 0,0, $AJ$4-$AJ$3+1))-2, $A$3:$A902,0)), $AJ$3+ROW(OFFSET($A$2,0, 0, $AJ$4-$AJ$3+1))-1), ROW(A254)))</f>
        <v>#NUM!</v>
      </c>
      <c r="AJ255" s="345">
        <f>Helpers!AY255</f>
        <v>0</v>
      </c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236"/>
      <c r="AV255" s="299"/>
      <c r="AW255" s="298" t="s">
        <v>2464</v>
      </c>
      <c r="AX255" s="56" t="s">
        <v>2478</v>
      </c>
      <c r="AY255" s="56"/>
      <c r="AZ255" s="56" t="s">
        <v>2541</v>
      </c>
      <c r="BA255" s="56"/>
    </row>
    <row r="256" spans="1:53" ht="13.5" thickBot="1">
      <c r="A256" s="111">
        <v>254</v>
      </c>
      <c r="B256" s="335" t="str">
        <f t="shared" si="80"/>
        <v>Andrew Hunter</v>
      </c>
      <c r="C256" s="116" t="s">
        <v>639</v>
      </c>
      <c r="D256" s="116" t="s">
        <v>1729</v>
      </c>
      <c r="E256"/>
      <c r="F256" s="363" t="str">
        <f>IF(SUM(COUNTIF(H256,{"*Girl*","*Women*","*Woman*","*Female*","*Wo*","*Fe*","*F*"})),"F","M")</f>
        <v>M</v>
      </c>
      <c r="G256" s="345" t="str">
        <f>IFERROR(IF(ISNUMBER(SEARCH("*",N256)),N256&amp;" "&amp;F256,IF(F256="M",LOOKUP(J256,AgeCategories!$A$3:$D$13),LOOKUP(J256,AgeCategories!$A$14:$D$24))),"Invalid Age")</f>
        <v>Lite M</v>
      </c>
      <c r="H256" s="175" t="s">
        <v>209</v>
      </c>
      <c r="I256" s="338">
        <f t="shared" si="81"/>
        <v>28250</v>
      </c>
      <c r="J256" s="364">
        <f>IFERROR(DATEDIF($I256,Helpers!$O$2,"y"),"ID No. needed")</f>
        <v>45</v>
      </c>
      <c r="K256" s="111"/>
      <c r="L256" s="300">
        <v>836274723</v>
      </c>
      <c r="M256" s="377" t="s">
        <v>2620</v>
      </c>
      <c r="N256" s="341" t="s">
        <v>2601</v>
      </c>
      <c r="O256" s="367" t="b">
        <v>1</v>
      </c>
      <c r="P256" s="241" t="b">
        <f>NOT(ISNA(VLOOKUP(A256,SortedDownload!A:A,1,FALSE)))</f>
        <v>1</v>
      </c>
      <c r="Q256" s="373" t="s">
        <v>2601</v>
      </c>
      <c r="R256" s="368"/>
      <c r="S256" s="235"/>
      <c r="T256" s="235"/>
      <c r="U256" s="369" t="s">
        <v>2260</v>
      </c>
      <c r="V256" s="337" t="str">
        <f t="shared" si="82"/>
        <v>-</v>
      </c>
      <c r="W256" s="339" t="str">
        <f t="shared" si="83"/>
        <v>Andrew Hunter</v>
      </c>
      <c r="X256" s="345" t="str">
        <f t="shared" si="84"/>
        <v>Andrew</v>
      </c>
      <c r="Y256" s="345" t="str">
        <f t="shared" si="85"/>
        <v>Hunter</v>
      </c>
      <c r="Z256" s="345" t="str">
        <f t="shared" si="86"/>
        <v>A.Hunter</v>
      </c>
      <c r="AA256" s="378" t="str">
        <f t="shared" si="69"/>
        <v/>
      </c>
      <c r="AB256" s="378" t="str">
        <f t="shared" si="70"/>
        <v/>
      </c>
      <c r="AC256" s="345" t="str">
        <f>IFERROR(IF(ISNUMBER(SEARCH("*",N256)),N256&amp;" "&amp;F256,IF(F256="M",LOOKUP(J256,AgeCategories!$A$3:$F$11),LOOKUP(J256,AgeCategories!$A$14:$F$22))),"")</f>
        <v>Lite M</v>
      </c>
      <c r="AD256" s="370">
        <f t="shared" si="87"/>
        <v>28250</v>
      </c>
      <c r="AE256" s="345">
        <f t="shared" si="88"/>
        <v>45</v>
      </c>
      <c r="AF256" s="345" t="str">
        <f>IF(SUM(COUNTIF(H256,{"*Girl*","*Women*","*Woman*","*Female*","*Wo*","*Fe*","*F*"})),"F","M")</f>
        <v>M</v>
      </c>
      <c r="AG256" s="371"/>
      <c r="AH256" s="112"/>
      <c r="AI256" s="337" t="e">
        <f t="array" aca="1" ref="AI256" ca="1">(SMALL(IF(ISERROR(MATCH($AJ$3+ROW(OFFSET($A$3, 0,0, $AJ$4-$AJ$3+1))-2, $A$3:$A903,0)), $AJ$3+ROW(OFFSET($A$2,0, 0, $AJ$4-$AJ$3+1))-1), ROW(A255)))</f>
        <v>#NUM!</v>
      </c>
      <c r="AJ256" s="345">
        <f>Helpers!AY256</f>
        <v>0</v>
      </c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236"/>
      <c r="AV256" s="299"/>
      <c r="AW256" s="298" t="s">
        <v>2464</v>
      </c>
      <c r="AX256" s="56" t="s">
        <v>2478</v>
      </c>
      <c r="AY256" s="56"/>
      <c r="AZ256" s="56" t="s">
        <v>2541</v>
      </c>
      <c r="BA256" s="56"/>
    </row>
    <row r="257" spans="1:53" ht="13.5" thickBot="1">
      <c r="A257" s="111">
        <v>255</v>
      </c>
      <c r="B257" s="335" t="str">
        <f t="shared" si="80"/>
        <v>Jadon Hunter</v>
      </c>
      <c r="C257" s="116" t="s">
        <v>1730</v>
      </c>
      <c r="D257" s="116" t="s">
        <v>1729</v>
      </c>
      <c r="E257"/>
      <c r="F257" s="363" t="str">
        <f>IF(SUM(COUNTIF(H257,{"*Girl*","*Women*","*Woman*","*Female*","*Wo*","*Fe*","*F*"})),"F","M")</f>
        <v>M</v>
      </c>
      <c r="G257" s="345" t="str">
        <f>IFERROR(IF(ISNUMBER(SEARCH("*",N257)),N257&amp;" "&amp;F257,IF(F257="M",LOOKUP(J257,AgeCategories!$A$3:$D$13),LOOKUP(J257,AgeCategories!$A$14:$D$24))),"Invalid Age")</f>
        <v>Sub Junior Boys</v>
      </c>
      <c r="H257" s="175" t="s">
        <v>209</v>
      </c>
      <c r="I257" s="338">
        <f t="shared" si="81"/>
        <v>39716</v>
      </c>
      <c r="J257" s="364">
        <f>IFERROR(DATEDIF($I257,Helpers!$O$2,"y"),"ID No. needed")</f>
        <v>14</v>
      </c>
      <c r="K257" s="111"/>
      <c r="L257" s="300">
        <v>672924611</v>
      </c>
      <c r="M257" s="365" t="s">
        <v>2002</v>
      </c>
      <c r="N257" s="341"/>
      <c r="O257" s="367" t="b">
        <v>1</v>
      </c>
      <c r="P257" s="241" t="b">
        <f>NOT(ISNA(VLOOKUP(A257,SortedDownload!A:A,1,FALSE)))</f>
        <v>1</v>
      </c>
      <c r="Q257" s="373" t="s">
        <v>2601</v>
      </c>
      <c r="R257" s="368"/>
      <c r="S257" s="235"/>
      <c r="T257" s="235"/>
      <c r="U257" s="369" t="s">
        <v>2260</v>
      </c>
      <c r="V257" s="337" t="str">
        <f t="shared" si="82"/>
        <v>-</v>
      </c>
      <c r="W257" s="339" t="str">
        <f t="shared" si="83"/>
        <v>Jadon Hunter</v>
      </c>
      <c r="X257" s="345" t="str">
        <f t="shared" si="84"/>
        <v>Jadon</v>
      </c>
      <c r="Y257" s="345" t="str">
        <f t="shared" si="85"/>
        <v>Hunter</v>
      </c>
      <c r="Z257" s="345" t="str">
        <f t="shared" si="86"/>
        <v>J.Hunter</v>
      </c>
      <c r="AA257" s="378" t="str">
        <f t="shared" si="69"/>
        <v/>
      </c>
      <c r="AB257" s="378" t="str">
        <f t="shared" si="70"/>
        <v/>
      </c>
      <c r="AC257" s="345" t="str">
        <f>IFERROR(IF(ISNUMBER(SEARCH("*",N257)),N257&amp;" "&amp;F257,IF(F257="M",LOOKUP(J257,AgeCategories!$A$3:$F$11),LOOKUP(J257,AgeCategories!$A$14:$F$22))),"")</f>
        <v>JB</v>
      </c>
      <c r="AD257" s="370">
        <f t="shared" si="87"/>
        <v>39716</v>
      </c>
      <c r="AE257" s="345">
        <f t="shared" si="88"/>
        <v>14</v>
      </c>
      <c r="AF257" s="345" t="str">
        <f>IF(SUM(COUNTIF(H257,{"*Girl*","*Women*","*Woman*","*Female*","*Wo*","*Fe*","*F*"})),"F","M")</f>
        <v>M</v>
      </c>
      <c r="AG257" s="371"/>
      <c r="AH257" s="112"/>
      <c r="AI257" s="337" t="e">
        <f t="array" aca="1" ref="AI257" ca="1">(SMALL(IF(ISERROR(MATCH($AJ$3+ROW(OFFSET($A$3, 0,0, $AJ$4-$AJ$3+1))-2, $A$3:$A904,0)), $AJ$3+ROW(OFFSET($A$2,0, 0, $AJ$4-$AJ$3+1))-1), ROW(A256)))</f>
        <v>#NUM!</v>
      </c>
      <c r="AJ257" s="345">
        <f>Helpers!AY257</f>
        <v>0</v>
      </c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236"/>
      <c r="AV257" s="299"/>
      <c r="AW257" s="298" t="s">
        <v>2464</v>
      </c>
      <c r="AX257" s="56" t="s">
        <v>2478</v>
      </c>
      <c r="AY257" s="56"/>
      <c r="AZ257" s="56" t="s">
        <v>2541</v>
      </c>
      <c r="BA257" s="56"/>
    </row>
    <row r="258" spans="1:53" ht="13.5" thickBot="1">
      <c r="A258" s="111">
        <v>256</v>
      </c>
      <c r="B258" s="335" t="str">
        <f t="shared" si="80"/>
        <v>Steven Yeates</v>
      </c>
      <c r="C258" s="116" t="s">
        <v>1731</v>
      </c>
      <c r="D258" s="116" t="s">
        <v>1732</v>
      </c>
      <c r="E258"/>
      <c r="F258" s="363" t="str">
        <f>IF(SUM(COUNTIF(H258,{"*Girl*","*Women*","*Woman*","*Female*","*Wo*","*Fe*","*F*"})),"F","M")</f>
        <v>M</v>
      </c>
      <c r="G258" s="345" t="str">
        <f>IFERROR(IF(ISNUMBER(SEARCH("*",N258)),N258&amp;" "&amp;F258,IF(F258="M",LOOKUP(J258,AgeCategories!$A$3:$D$13),LOOKUP(J258,AgeCategories!$A$14:$D$24))),"Invalid Age")</f>
        <v>E-Bike Lite M</v>
      </c>
      <c r="H258" s="175" t="s">
        <v>209</v>
      </c>
      <c r="I258" s="338">
        <f t="shared" si="81"/>
        <v>27918</v>
      </c>
      <c r="J258" s="364">
        <f>IFERROR(DATEDIF($I258,Helpers!$O$2,"y"),"ID No. needed")</f>
        <v>46</v>
      </c>
      <c r="K258" s="111"/>
      <c r="L258" s="300">
        <v>834545810</v>
      </c>
      <c r="M258" s="365" t="s">
        <v>2003</v>
      </c>
      <c r="N258" s="341" t="s">
        <v>598</v>
      </c>
      <c r="O258" s="367" t="b">
        <v>0</v>
      </c>
      <c r="P258" s="241" t="b">
        <f>NOT(ISNA(VLOOKUP(A258,SortedDownload!A:A,1,FALSE)))</f>
        <v>0</v>
      </c>
      <c r="Q258" s="373" t="s">
        <v>2727</v>
      </c>
      <c r="R258" s="368"/>
      <c r="S258" s="235"/>
      <c r="T258" s="235"/>
      <c r="U258" s="369" t="s">
        <v>2261</v>
      </c>
      <c r="V258" s="337" t="str">
        <f t="shared" si="82"/>
        <v>-</v>
      </c>
      <c r="W258" s="339" t="str">
        <f t="shared" si="83"/>
        <v>Steven Yeates</v>
      </c>
      <c r="X258" s="345" t="str">
        <f t="shared" si="84"/>
        <v>Steven</v>
      </c>
      <c r="Y258" s="345" t="str">
        <f t="shared" si="85"/>
        <v>Yeates</v>
      </c>
      <c r="Z258" s="345" t="str">
        <f t="shared" si="86"/>
        <v>S.Yeates</v>
      </c>
      <c r="AA258" s="378" t="str">
        <f t="shared" si="69"/>
        <v/>
      </c>
      <c r="AB258" s="378" t="str">
        <f t="shared" si="70"/>
        <v/>
      </c>
      <c r="AC258" s="345" t="str">
        <f>IFERROR(IF(ISNUMBER(SEARCH("*",N258)),N258&amp;" "&amp;F258,IF(F258="M",LOOKUP(J258,AgeCategories!$A$3:$F$11),LOOKUP(J258,AgeCategories!$A$14:$F$22))),"")</f>
        <v>E-Bike Lite M</v>
      </c>
      <c r="AD258" s="370">
        <f t="shared" si="87"/>
        <v>27918</v>
      </c>
      <c r="AE258" s="345">
        <f t="shared" si="88"/>
        <v>46</v>
      </c>
      <c r="AF258" s="345" t="str">
        <f>IF(SUM(COUNTIF(H258,{"*Girl*","*Women*","*Woman*","*Female*","*Wo*","*Fe*","*F*"})),"F","M")</f>
        <v>M</v>
      </c>
      <c r="AG258" s="371"/>
      <c r="AH258" s="112"/>
      <c r="AI258" s="337" t="e">
        <f t="array" aca="1" ref="AI258" ca="1">(SMALL(IF(ISERROR(MATCH($AJ$3+ROW(OFFSET($A$3, 0,0, $AJ$4-$AJ$3+1))-2, $A$3:$A905,0)), $AJ$3+ROW(OFFSET($A$2,0, 0, $AJ$4-$AJ$3+1))-1), ROW(A257)))</f>
        <v>#NUM!</v>
      </c>
      <c r="AJ258" s="345">
        <f>Helpers!AY258</f>
        <v>0</v>
      </c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236"/>
      <c r="AV258" s="299"/>
      <c r="AW258" s="298" t="s">
        <v>2465</v>
      </c>
      <c r="AX258" s="56" t="s">
        <v>2478</v>
      </c>
      <c r="AY258" s="56" t="s">
        <v>2277</v>
      </c>
      <c r="AZ258" s="56" t="s">
        <v>2545</v>
      </c>
      <c r="BA258" s="56"/>
    </row>
    <row r="259" spans="1:53" ht="13.5" thickBot="1">
      <c r="A259" s="111">
        <v>257</v>
      </c>
      <c r="B259" s="335" t="str">
        <f t="shared" si="80"/>
        <v>Michael Yeates</v>
      </c>
      <c r="C259" s="116" t="s">
        <v>637</v>
      </c>
      <c r="D259" s="116" t="s">
        <v>1732</v>
      </c>
      <c r="E259"/>
      <c r="F259" s="363" t="str">
        <f>IF(SUM(COUNTIF(H259,{"*Girl*","*Women*","*Woman*","*Female*","*Wo*","*Fe*","*F*"})),"F","M")</f>
        <v>M</v>
      </c>
      <c r="G259" s="345" t="str">
        <f>IFERROR(IF(ISNUMBER(SEARCH("*",N259)),N259&amp;" "&amp;F259,IF(F259="M",LOOKUP(J259,AgeCategories!$A$3:$D$13),LOOKUP(J259,AgeCategories!$A$14:$D$24))),"Invalid Age")</f>
        <v>Sub Junior Boys</v>
      </c>
      <c r="H259" s="175" t="s">
        <v>209</v>
      </c>
      <c r="I259" s="338">
        <f t="shared" si="81"/>
        <v>39959</v>
      </c>
      <c r="J259" s="364">
        <f>IFERROR(DATEDIF($I259,Helpers!$O$2,"y"),"ID No. needed")</f>
        <v>13</v>
      </c>
      <c r="K259" s="111"/>
      <c r="L259" s="300">
        <v>820633331</v>
      </c>
      <c r="M259" s="365" t="s">
        <v>2004</v>
      </c>
      <c r="N259" s="341"/>
      <c r="O259" s="367" t="b">
        <v>1</v>
      </c>
      <c r="P259" s="241" t="b">
        <f>NOT(ISNA(VLOOKUP(A259,SortedDownload!A:A,1,FALSE)))</f>
        <v>1</v>
      </c>
      <c r="Q259" s="373" t="s">
        <v>2601</v>
      </c>
      <c r="R259" s="368"/>
      <c r="S259" s="235"/>
      <c r="T259" s="235"/>
      <c r="U259" s="369" t="s">
        <v>2261</v>
      </c>
      <c r="V259" s="337" t="str">
        <f t="shared" si="82"/>
        <v>-</v>
      </c>
      <c r="W259" s="339" t="str">
        <f t="shared" si="83"/>
        <v>Michael Yeates</v>
      </c>
      <c r="X259" s="345" t="str">
        <f t="shared" si="84"/>
        <v>Michael</v>
      </c>
      <c r="Y259" s="345" t="str">
        <f t="shared" si="85"/>
        <v>Yeates</v>
      </c>
      <c r="Z259" s="345" t="str">
        <f t="shared" si="86"/>
        <v>M.Yeates</v>
      </c>
      <c r="AA259" s="378" t="str">
        <f t="shared" ref="AA259:AA291" si="89">IF(COUNTIF($B$3:$B$291, $B259)&gt;1, "Duplicate", "")</f>
        <v/>
      </c>
      <c r="AB259" s="378" t="str">
        <f t="shared" ref="AB259:AB291" si="90">IF( COUNTIF($A$3:$A$291,$A259)&gt;1, "Duplicate", "")</f>
        <v/>
      </c>
      <c r="AC259" s="345" t="str">
        <f>IFERROR(IF(ISNUMBER(SEARCH("*",N259)),N259&amp;" "&amp;F259,IF(F259="M",LOOKUP(J259,AgeCategories!$A$3:$F$11),LOOKUP(J259,AgeCategories!$A$14:$F$22))),"")</f>
        <v>JB</v>
      </c>
      <c r="AD259" s="370">
        <f t="shared" si="87"/>
        <v>39959</v>
      </c>
      <c r="AE259" s="345">
        <f t="shared" si="88"/>
        <v>13</v>
      </c>
      <c r="AF259" s="345" t="str">
        <f>IF(SUM(COUNTIF(H259,{"*Girl*","*Women*","*Woman*","*Female*","*Wo*","*Fe*","*F*"})),"F","M")</f>
        <v>M</v>
      </c>
      <c r="AG259" s="371"/>
      <c r="AH259" s="112"/>
      <c r="AI259" s="337" t="e">
        <f t="array" aca="1" ref="AI259" ca="1">(SMALL(IF(ISERROR(MATCH($AJ$3+ROW(OFFSET($A$3, 0,0, $AJ$4-$AJ$3+1))-2, $A$3:$A906,0)), $AJ$3+ROW(OFFSET($A$2,0, 0, $AJ$4-$AJ$3+1))-1), ROW(A258)))</f>
        <v>#NUM!</v>
      </c>
      <c r="AJ259" s="345">
        <f>Helpers!AY259</f>
        <v>0</v>
      </c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236"/>
      <c r="AV259" s="299"/>
      <c r="AW259" s="298" t="s">
        <v>2465</v>
      </c>
      <c r="AX259" s="56" t="s">
        <v>2478</v>
      </c>
      <c r="AY259" s="56" t="s">
        <v>2277</v>
      </c>
      <c r="AZ259" s="56" t="s">
        <v>2545</v>
      </c>
      <c r="BA259" s="56"/>
    </row>
    <row r="260" spans="1:53" ht="13.5" customHeight="1" thickBot="1">
      <c r="A260" s="111">
        <v>13</v>
      </c>
      <c r="B260" s="335" t="str">
        <f t="shared" si="80"/>
        <v>David B Hartley</v>
      </c>
      <c r="C260" s="116" t="s">
        <v>1733</v>
      </c>
      <c r="D260" s="116" t="s">
        <v>1734</v>
      </c>
      <c r="E260"/>
      <c r="F260" s="363" t="str">
        <f>IF(SUM(COUNTIF(H260,{"*Girl*","*Women*","*Woman*","*Female*","*Wo*","*Fe*","*F*"})),"F","M")</f>
        <v>M</v>
      </c>
      <c r="G260" s="345" t="str">
        <f>IFERROR(IF(ISNUMBER(SEARCH("*",N260)),N260&amp;" "&amp;F260,IF(F260="M",LOOKUP(J260,AgeCategories!$A$3:$D$13),LOOKUP(J260,AgeCategories!$A$14:$D$24))),"Invalid Age")</f>
        <v>Master Men</v>
      </c>
      <c r="H260" s="175" t="s">
        <v>209</v>
      </c>
      <c r="I260" s="338">
        <f t="shared" si="81"/>
        <v>24553</v>
      </c>
      <c r="J260" s="364">
        <f>IFERROR(DATEDIF($I260,Helpers!$O$2,"y"),"ID No. needed")</f>
        <v>55</v>
      </c>
      <c r="K260" s="111"/>
      <c r="L260" s="300">
        <v>826581446</v>
      </c>
      <c r="M260" s="365" t="s">
        <v>2005</v>
      </c>
      <c r="N260" s="366"/>
      <c r="O260" s="367" t="b">
        <v>1</v>
      </c>
      <c r="P260" s="241" t="b">
        <f>NOT(ISNA(VLOOKUP(A260,SortedDownload!A:A,1,FALSE)))</f>
        <v>1</v>
      </c>
      <c r="Q260" s="373" t="s">
        <v>2728</v>
      </c>
      <c r="R260" s="368"/>
      <c r="S260" s="235"/>
      <c r="T260" s="235"/>
      <c r="U260" s="369" t="s">
        <v>2262</v>
      </c>
      <c r="V260" s="337" t="str">
        <f t="shared" si="82"/>
        <v>-</v>
      </c>
      <c r="W260" s="339" t="str">
        <f t="shared" si="83"/>
        <v>David B Hartley</v>
      </c>
      <c r="X260" s="345" t="str">
        <f t="shared" si="84"/>
        <v>David</v>
      </c>
      <c r="Y260" s="345" t="str">
        <f t="shared" si="85"/>
        <v>B Hartley</v>
      </c>
      <c r="Z260" s="345" t="str">
        <f t="shared" si="86"/>
        <v>D.B Hartley</v>
      </c>
      <c r="AA260" s="378" t="str">
        <f t="shared" si="89"/>
        <v/>
      </c>
      <c r="AB260" s="378" t="str">
        <f t="shared" si="90"/>
        <v/>
      </c>
      <c r="AC260" s="345" t="str">
        <f>IFERROR(IF(ISNUMBER(SEARCH("*",N260)),N260&amp;" "&amp;F260,IF(F260="M",LOOKUP(J260,AgeCategories!$A$3:$F$11),LOOKUP(J260,AgeCategories!$A$14:$F$22))),"")</f>
        <v>MM</v>
      </c>
      <c r="AD260" s="370">
        <f t="shared" si="87"/>
        <v>24553</v>
      </c>
      <c r="AE260" s="345">
        <f t="shared" si="88"/>
        <v>55</v>
      </c>
      <c r="AF260" s="345" t="str">
        <f>IF(SUM(COUNTIF(H260,{"*Girl*","*Women*","*Woman*","*Female*","*Wo*","*Fe*","*F*"})),"F","M")</f>
        <v>M</v>
      </c>
      <c r="AG260" s="371"/>
      <c r="AH260" s="112"/>
      <c r="AI260" s="337" t="e">
        <f t="array" aca="1" ref="AI260" ca="1">(SMALL(IF(ISERROR(MATCH($AJ$3+ROW(OFFSET($A$3, 0,0, $AJ$4-$AJ$3+1))-2, $A$3:$A907,0)), $AJ$3+ROW(OFFSET($A$2,0, 0, $AJ$4-$AJ$3+1))-1), ROW(A259)))</f>
        <v>#NUM!</v>
      </c>
      <c r="AJ260" s="345">
        <f>Helpers!AY260</f>
        <v>0</v>
      </c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236"/>
      <c r="AV260" s="299"/>
      <c r="AW260" s="298" t="s">
        <v>2466</v>
      </c>
      <c r="AX260" s="56" t="s">
        <v>2502</v>
      </c>
      <c r="AY260" s="56"/>
      <c r="AZ260" s="56" t="s">
        <v>2539</v>
      </c>
      <c r="BA260" s="56"/>
    </row>
    <row r="261" spans="1:53" ht="13.5" customHeight="1" thickBot="1">
      <c r="A261" s="111">
        <v>69</v>
      </c>
      <c r="B261" s="335" t="str">
        <f t="shared" si="80"/>
        <v>Roger Hartley</v>
      </c>
      <c r="C261" s="116" t="s">
        <v>1735</v>
      </c>
      <c r="D261" s="116" t="s">
        <v>1734</v>
      </c>
      <c r="E261"/>
      <c r="F261" s="363" t="str">
        <f>IF(SUM(COUNTIF(H261,{"*Girl*","*Women*","*Woman*","*Female*","*Wo*","*Fe*","*F*"})),"F","M")</f>
        <v>M</v>
      </c>
      <c r="G261" s="345" t="str">
        <f>IFERROR(IF(ISNUMBER(SEARCH("*",N261)),N261&amp;" "&amp;F261,IF(F261="M",LOOKUP(J261,AgeCategories!$A$3:$D$13),LOOKUP(J261,AgeCategories!$A$14:$D$24))),"Invalid Age")</f>
        <v>E-Bike M</v>
      </c>
      <c r="H261" s="175" t="s">
        <v>209</v>
      </c>
      <c r="I261" s="338">
        <f t="shared" si="81"/>
        <v>20580</v>
      </c>
      <c r="J261" s="364">
        <f>IFERROR(DATEDIF($I261,Helpers!$O$2,"y"),"ID No. needed")</f>
        <v>66</v>
      </c>
      <c r="K261" s="111"/>
      <c r="L261" s="300">
        <v>824103967</v>
      </c>
      <c r="M261" s="377" t="s">
        <v>2621</v>
      </c>
      <c r="N261" s="366" t="s">
        <v>560</v>
      </c>
      <c r="O261" s="367" t="b">
        <v>1</v>
      </c>
      <c r="P261" s="241" t="b">
        <f>NOT(ISNA(VLOOKUP(A261,SortedDownload!A:A,1,FALSE)))</f>
        <v>1</v>
      </c>
      <c r="Q261" s="373" t="s">
        <v>2728</v>
      </c>
      <c r="R261" s="368"/>
      <c r="S261" s="235"/>
      <c r="T261" s="235"/>
      <c r="U261" s="369" t="s">
        <v>2262</v>
      </c>
      <c r="V261" s="337" t="str">
        <f t="shared" si="82"/>
        <v>-</v>
      </c>
      <c r="W261" s="339" t="str">
        <f t="shared" si="83"/>
        <v>Roger Hartley</v>
      </c>
      <c r="X261" s="345" t="str">
        <f t="shared" si="84"/>
        <v>Roger</v>
      </c>
      <c r="Y261" s="345" t="str">
        <f t="shared" si="85"/>
        <v>Hartley</v>
      </c>
      <c r="Z261" s="345" t="str">
        <f t="shared" si="86"/>
        <v>R.Hartley</v>
      </c>
      <c r="AA261" s="378" t="str">
        <f t="shared" si="89"/>
        <v/>
      </c>
      <c r="AB261" s="378" t="str">
        <f t="shared" si="90"/>
        <v/>
      </c>
      <c r="AC261" s="345" t="str">
        <f>IFERROR(IF(ISNUMBER(SEARCH("*",N261)),N261&amp;" "&amp;F261,IF(F261="M",LOOKUP(J261,AgeCategories!$A$3:$F$11),LOOKUP(J261,AgeCategories!$A$14:$F$22))),"")</f>
        <v>E-Bike M</v>
      </c>
      <c r="AD261" s="370">
        <f t="shared" si="87"/>
        <v>20580</v>
      </c>
      <c r="AE261" s="345">
        <f t="shared" si="88"/>
        <v>66</v>
      </c>
      <c r="AF261" s="345" t="str">
        <f>IF(SUM(COUNTIF(H261,{"*Girl*","*Women*","*Woman*","*Female*","*Wo*","*Fe*","*F*"})),"F","M")</f>
        <v>M</v>
      </c>
      <c r="AG261" s="371"/>
      <c r="AH261" s="112"/>
      <c r="AI261" s="337" t="e">
        <f t="array" aca="1" ref="AI261" ca="1">(SMALL(IF(ISERROR(MATCH($AJ$3+ROW(OFFSET($A$3, 0,0, $AJ$4-$AJ$3+1))-2, $A$3:$A908,0)), $AJ$3+ROW(OFFSET($A$2,0, 0, $AJ$4-$AJ$3+1))-1), ROW(A260)))</f>
        <v>#NUM!</v>
      </c>
      <c r="AJ261" s="345">
        <f>Helpers!AY261</f>
        <v>0</v>
      </c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236"/>
      <c r="AV261" s="299"/>
      <c r="AW261" s="298" t="s">
        <v>2466</v>
      </c>
      <c r="AX261" s="56" t="s">
        <v>2502</v>
      </c>
      <c r="AY261" s="56"/>
      <c r="AZ261" s="56" t="s">
        <v>2539</v>
      </c>
      <c r="BA261" s="56"/>
    </row>
    <row r="262" spans="1:53" ht="13.5" customHeight="1" thickBot="1">
      <c r="A262" s="111">
        <v>258</v>
      </c>
      <c r="B262" s="335" t="str">
        <f t="shared" si="80"/>
        <v>Henlu Starke</v>
      </c>
      <c r="C262" s="116" t="s">
        <v>1736</v>
      </c>
      <c r="D262" s="116" t="s">
        <v>1737</v>
      </c>
      <c r="E262"/>
      <c r="F262" s="363" t="str">
        <f>IF(SUM(COUNTIF(H262,{"*Girl*","*Women*","*Woman*","*Female*","*Wo*","*Fe*","*F*"})),"F","M")</f>
        <v>M</v>
      </c>
      <c r="G262" s="345" t="str">
        <f>IFERROR(IF(ISNUMBER(SEARCH("*",N262)),N262&amp;" "&amp;F262,IF(F262="M",LOOKUP(J262,AgeCategories!$A$3:$D$13),LOOKUP(J262,AgeCategories!$A$14:$D$24))),"Invalid Age")</f>
        <v>Master Men</v>
      </c>
      <c r="H262" s="175" t="s">
        <v>209</v>
      </c>
      <c r="I262" s="338">
        <f t="shared" si="81"/>
        <v>31811</v>
      </c>
      <c r="J262" s="364">
        <f>IFERROR(DATEDIF($I262,Helpers!$O$2,"y"),"ID No. needed")</f>
        <v>35</v>
      </c>
      <c r="K262" s="111"/>
      <c r="L262" s="300">
        <v>768137939</v>
      </c>
      <c r="M262" s="365" t="s">
        <v>2006</v>
      </c>
      <c r="N262" s="366"/>
      <c r="O262" s="367" t="b">
        <v>1</v>
      </c>
      <c r="P262" s="241" t="b">
        <f>NOT(ISNA(VLOOKUP(A262,SortedDownload!A:A,1,FALSE)))</f>
        <v>1</v>
      </c>
      <c r="Q262" s="373" t="s">
        <v>2632</v>
      </c>
      <c r="R262" s="368"/>
      <c r="S262" s="235"/>
      <c r="T262" s="235"/>
      <c r="U262" s="369" t="s">
        <v>2263</v>
      </c>
      <c r="V262" s="337" t="str">
        <f t="shared" si="82"/>
        <v>-</v>
      </c>
      <c r="W262" s="339" t="str">
        <f t="shared" si="83"/>
        <v>Henlu Starke</v>
      </c>
      <c r="X262" s="345" t="str">
        <f t="shared" si="84"/>
        <v>Henlu</v>
      </c>
      <c r="Y262" s="345" t="str">
        <f t="shared" si="85"/>
        <v>Starke</v>
      </c>
      <c r="Z262" s="345" t="str">
        <f t="shared" si="86"/>
        <v>H.Starke</v>
      </c>
      <c r="AA262" s="378" t="str">
        <f t="shared" si="89"/>
        <v/>
      </c>
      <c r="AB262" s="378" t="str">
        <f t="shared" si="90"/>
        <v/>
      </c>
      <c r="AC262" s="345" t="str">
        <f>IFERROR(IF(ISNUMBER(SEARCH("*",N262)),N262&amp;" "&amp;F262,IF(F262="M",LOOKUP(J262,AgeCategories!$A$3:$F$11),LOOKUP(J262,AgeCategories!$A$14:$F$22))),"")</f>
        <v>MM</v>
      </c>
      <c r="AD262" s="370">
        <f t="shared" si="87"/>
        <v>31811</v>
      </c>
      <c r="AE262" s="345">
        <f t="shared" si="88"/>
        <v>35</v>
      </c>
      <c r="AF262" s="345" t="str">
        <f>IF(SUM(COUNTIF(H262,{"*Girl*","*Women*","*Woman*","*Female*","*Wo*","*Fe*","*F*"})),"F","M")</f>
        <v>M</v>
      </c>
      <c r="AG262" s="371"/>
      <c r="AH262" s="112"/>
      <c r="AI262" s="337" t="e">
        <f t="array" aca="1" ref="AI262" ca="1">(SMALL(IF(ISERROR(MATCH($AJ$3+ROW(OFFSET($A$3, 0,0, $AJ$4-$AJ$3+1))-2, $A$3:$A909,0)), $AJ$3+ROW(OFFSET($A$2,0, 0, $AJ$4-$AJ$3+1))-1), ROW(A261)))</f>
        <v>#NUM!</v>
      </c>
      <c r="AJ262" s="345">
        <f>Helpers!AY262</f>
        <v>0</v>
      </c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236"/>
      <c r="AV262" s="299"/>
      <c r="AW262" s="298" t="s">
        <v>2467</v>
      </c>
      <c r="AX262" s="56" t="s">
        <v>2509</v>
      </c>
      <c r="AY262" s="56" t="s">
        <v>2582</v>
      </c>
      <c r="AZ262" s="56" t="s">
        <v>2537</v>
      </c>
      <c r="BA262" s="56"/>
    </row>
    <row r="263" spans="1:53" ht="13.5" customHeight="1" thickBot="1">
      <c r="A263" s="111">
        <v>259</v>
      </c>
      <c r="B263" s="335" t="str">
        <f t="shared" si="80"/>
        <v>Jessi Nixon</v>
      </c>
      <c r="C263" s="116" t="s">
        <v>1738</v>
      </c>
      <c r="D263" s="116" t="s">
        <v>1739</v>
      </c>
      <c r="E263"/>
      <c r="F263" s="363" t="str">
        <f>IF(SUM(COUNTIF(H263,{"*Girl*","*Women*","*Woman*","*Female*","*Wo*","*Fe*","*F*"})),"F","M")</f>
        <v>F</v>
      </c>
      <c r="G263" s="345" t="str">
        <f>IFERROR(IF(ISNUMBER(SEARCH("*",N263)),N263&amp;" "&amp;F263,IF(F263="M",LOOKUP(J263,AgeCategories!$A$3:$D$13),LOOKUP(J263,AgeCategories!$A$14:$D$24))),"Invalid Age")</f>
        <v>Elite Women</v>
      </c>
      <c r="H263" s="175" t="s">
        <v>210</v>
      </c>
      <c r="I263" s="338">
        <f t="shared" si="81"/>
        <v>36495</v>
      </c>
      <c r="J263" s="364">
        <f>IFERROR(DATEDIF($I263,Helpers!$O$2,"y"),"ID No. needed")</f>
        <v>23</v>
      </c>
      <c r="K263" s="111"/>
      <c r="L263" s="300">
        <v>612345607</v>
      </c>
      <c r="M263" s="365" t="s">
        <v>2007</v>
      </c>
      <c r="N263" s="366"/>
      <c r="O263" s="367" t="b">
        <v>1</v>
      </c>
      <c r="P263" s="241" t="b">
        <f>NOT(ISNA(VLOOKUP(A263,SortedDownload!A:A,1,FALSE)))</f>
        <v>1</v>
      </c>
      <c r="Q263" s="373" t="s">
        <v>2728</v>
      </c>
      <c r="R263" s="368"/>
      <c r="S263" s="235"/>
      <c r="T263" s="235"/>
      <c r="U263" s="369" t="s">
        <v>2264</v>
      </c>
      <c r="V263" s="337" t="str">
        <f t="shared" si="82"/>
        <v>-</v>
      </c>
      <c r="W263" s="339" t="str">
        <f t="shared" si="83"/>
        <v>Jessi Nixon</v>
      </c>
      <c r="X263" s="345" t="str">
        <f t="shared" si="84"/>
        <v>Jessi</v>
      </c>
      <c r="Y263" s="345" t="str">
        <f t="shared" si="85"/>
        <v>Nixon</v>
      </c>
      <c r="Z263" s="345" t="str">
        <f t="shared" si="86"/>
        <v>J.Nixon</v>
      </c>
      <c r="AA263" s="378" t="str">
        <f t="shared" si="89"/>
        <v/>
      </c>
      <c r="AB263" s="378" t="str">
        <f t="shared" si="90"/>
        <v/>
      </c>
      <c r="AC263" s="345" t="str">
        <f>IFERROR(IF(ISNUMBER(SEARCH("*",N263)),N263&amp;" "&amp;F263,IF(F263="M",LOOKUP(J263,AgeCategories!$A$3:$F$11),LOOKUP(J263,AgeCategories!$A$14:$F$22))),"")</f>
        <v>EW</v>
      </c>
      <c r="AD263" s="370">
        <f t="shared" si="87"/>
        <v>36495</v>
      </c>
      <c r="AE263" s="345">
        <f t="shared" si="88"/>
        <v>23</v>
      </c>
      <c r="AF263" s="345" t="str">
        <f>IF(SUM(COUNTIF(H263,{"*Girl*","*Women*","*Woman*","*Female*","*Wo*","*Fe*","*F*"})),"F","M")</f>
        <v>F</v>
      </c>
      <c r="AG263" s="371"/>
      <c r="AH263" s="112"/>
      <c r="AI263" s="337" t="e">
        <f t="array" aca="1" ref="AI263" ca="1">(SMALL(IF(ISERROR(MATCH($AJ$3+ROW(OFFSET($A$3, 0,0, $AJ$4-$AJ$3+1))-2, $A$3:$A910,0)), $AJ$3+ROW(OFFSET($A$2,0, 0, $AJ$4-$AJ$3+1))-1), ROW(A262)))</f>
        <v>#NUM!</v>
      </c>
      <c r="AJ263" s="345">
        <f>Helpers!AY263</f>
        <v>0</v>
      </c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236"/>
      <c r="AV263" s="299"/>
      <c r="AW263" s="298" t="s">
        <v>2468</v>
      </c>
      <c r="AX263" s="56" t="s">
        <v>2478</v>
      </c>
      <c r="AY263" s="56" t="s">
        <v>2547</v>
      </c>
      <c r="AZ263" s="56" t="s">
        <v>2537</v>
      </c>
      <c r="BA263" s="56"/>
    </row>
    <row r="264" spans="1:53" ht="13.5" customHeight="1" thickBot="1">
      <c r="A264" s="111">
        <v>260</v>
      </c>
      <c r="B264" s="335" t="str">
        <f t="shared" si="80"/>
        <v>Dillan Rix</v>
      </c>
      <c r="C264" s="116" t="s">
        <v>1740</v>
      </c>
      <c r="D264" s="116" t="s">
        <v>1741</v>
      </c>
      <c r="E264"/>
      <c r="F264" s="363" t="str">
        <f>IF(SUM(COUNTIF(H264,{"*Girl*","*Women*","*Woman*","*Female*","*Wo*","*Fe*","*F*"})),"F","M")</f>
        <v>M</v>
      </c>
      <c r="G264" s="345" t="str">
        <f>IFERROR(IF(ISNUMBER(SEARCH("*",N264)),N264&amp;" "&amp;F264,IF(F264="M",LOOKUP(J264,AgeCategories!$A$3:$D$13),LOOKUP(J264,AgeCategories!$A$14:$D$24))),"Invalid Age")</f>
        <v>Elite Men</v>
      </c>
      <c r="H264" s="175" t="s">
        <v>209</v>
      </c>
      <c r="I264" s="338">
        <f t="shared" si="81"/>
        <v>37258</v>
      </c>
      <c r="J264" s="364">
        <f>IFERROR(DATEDIF($I264,Helpers!$O$2,"y"),"ID No. needed")</f>
        <v>20</v>
      </c>
      <c r="K264" s="111"/>
      <c r="L264" s="300">
        <v>725029405</v>
      </c>
      <c r="M264" s="365" t="s">
        <v>2008</v>
      </c>
      <c r="N264" s="366"/>
      <c r="O264" s="367" t="b">
        <v>1</v>
      </c>
      <c r="P264" s="241" t="b">
        <f>NOT(ISNA(VLOOKUP(A264,SortedDownload!A:A,1,FALSE)))</f>
        <v>1</v>
      </c>
      <c r="Q264" s="373" t="s">
        <v>2728</v>
      </c>
      <c r="R264" s="368"/>
      <c r="S264" s="235"/>
      <c r="T264" s="235"/>
      <c r="U264" s="369" t="s">
        <v>2264</v>
      </c>
      <c r="V264" s="337" t="str">
        <f t="shared" si="82"/>
        <v>-</v>
      </c>
      <c r="W264" s="339" t="str">
        <f t="shared" si="83"/>
        <v>Dillan Rix</v>
      </c>
      <c r="X264" s="345" t="str">
        <f t="shared" si="84"/>
        <v>Dillan</v>
      </c>
      <c r="Y264" s="345" t="str">
        <f t="shared" si="85"/>
        <v>Rix</v>
      </c>
      <c r="Z264" s="345" t="str">
        <f t="shared" si="86"/>
        <v>D.Rix</v>
      </c>
      <c r="AA264" s="378" t="str">
        <f t="shared" si="89"/>
        <v/>
      </c>
      <c r="AB264" s="378" t="str">
        <f t="shared" si="90"/>
        <v/>
      </c>
      <c r="AC264" s="345" t="str">
        <f>IFERROR(IF(ISNUMBER(SEARCH("*",N264)),N264&amp;" "&amp;F264,IF(F264="M",LOOKUP(J264,AgeCategories!$A$3:$F$11),LOOKUP(J264,AgeCategories!$A$14:$F$22))),"")</f>
        <v>EM</v>
      </c>
      <c r="AD264" s="370">
        <f t="shared" si="87"/>
        <v>37258</v>
      </c>
      <c r="AE264" s="345">
        <f t="shared" si="88"/>
        <v>20</v>
      </c>
      <c r="AF264" s="345" t="str">
        <f>IF(SUM(COUNTIF(H264,{"*Girl*","*Women*","*Woman*","*Female*","*Wo*","*Fe*","*F*"})),"F","M")</f>
        <v>M</v>
      </c>
      <c r="AG264" s="371"/>
      <c r="AH264" s="112"/>
      <c r="AI264" s="337" t="e">
        <f t="array" aca="1" ref="AI264" ca="1">(SMALL(IF(ISERROR(MATCH($AJ$3+ROW(OFFSET($A$3, 0,0, $AJ$4-$AJ$3+1))-2, $A$3:$A911,0)), $AJ$3+ROW(OFFSET($A$2,0, 0, $AJ$4-$AJ$3+1))-1), ROW(A263)))</f>
        <v>#NUM!</v>
      </c>
      <c r="AJ264" s="345">
        <f>Helpers!AY264</f>
        <v>0</v>
      </c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236"/>
      <c r="AV264" s="299"/>
      <c r="AW264" s="298" t="s">
        <v>2468</v>
      </c>
      <c r="AX264" s="56" t="s">
        <v>2478</v>
      </c>
      <c r="AY264" s="56" t="s">
        <v>2547</v>
      </c>
      <c r="AZ264" s="56" t="s">
        <v>2537</v>
      </c>
      <c r="BA264" s="56"/>
    </row>
    <row r="265" spans="1:53" ht="13.5" customHeight="1" thickBot="1">
      <c r="A265" s="111">
        <v>261</v>
      </c>
      <c r="B265" s="335" t="str">
        <f t="shared" si="80"/>
        <v>Gina Nixon</v>
      </c>
      <c r="C265" s="116" t="s">
        <v>1742</v>
      </c>
      <c r="D265" s="116" t="s">
        <v>1739</v>
      </c>
      <c r="E265"/>
      <c r="F265" s="363" t="str">
        <f>IF(SUM(COUNTIF(H265,{"*Girl*","*Women*","*Woman*","*Female*","*Wo*","*Fe*","*F*"})),"F","M")</f>
        <v>F</v>
      </c>
      <c r="G265" s="345" t="str">
        <f>IFERROR(IF(ISNUMBER(SEARCH("*",N265)),N265&amp;" "&amp;F265,IF(F265="M",LOOKUP(J265,AgeCategories!$A$3:$D$13),LOOKUP(J265,AgeCategories!$A$14:$D$24))),"Invalid Age")</f>
        <v>E-Bike F</v>
      </c>
      <c r="H265" s="175" t="s">
        <v>210</v>
      </c>
      <c r="I265" s="338">
        <f t="shared" si="81"/>
        <v>26405</v>
      </c>
      <c r="J265" s="364">
        <f>IFERROR(DATEDIF($I265,Helpers!$O$2,"y"),"ID No. needed")</f>
        <v>50</v>
      </c>
      <c r="K265" s="111"/>
      <c r="L265" s="300">
        <v>847875607</v>
      </c>
      <c r="M265" s="365" t="s">
        <v>2009</v>
      </c>
      <c r="N265" s="366" t="s">
        <v>560</v>
      </c>
      <c r="O265" s="367" t="b">
        <v>1</v>
      </c>
      <c r="P265" s="241" t="b">
        <f>NOT(ISNA(VLOOKUP(A265,SortedDownload!A:A,1,FALSE)))</f>
        <v>1</v>
      </c>
      <c r="Q265" s="373" t="s">
        <v>2729</v>
      </c>
      <c r="R265" s="368"/>
      <c r="S265" s="235"/>
      <c r="T265" s="235"/>
      <c r="U265" s="369" t="s">
        <v>2264</v>
      </c>
      <c r="V265" s="337" t="str">
        <f t="shared" si="82"/>
        <v>-</v>
      </c>
      <c r="W265" s="339" t="str">
        <f t="shared" si="83"/>
        <v>Gina Nixon</v>
      </c>
      <c r="X265" s="345" t="str">
        <f t="shared" si="84"/>
        <v>Gina</v>
      </c>
      <c r="Y265" s="345" t="str">
        <f t="shared" si="85"/>
        <v>Nixon</v>
      </c>
      <c r="Z265" s="345" t="str">
        <f t="shared" si="86"/>
        <v>G.Nixon</v>
      </c>
      <c r="AA265" s="378" t="str">
        <f t="shared" si="89"/>
        <v/>
      </c>
      <c r="AB265" s="378" t="str">
        <f t="shared" si="90"/>
        <v/>
      </c>
      <c r="AC265" s="345" t="str">
        <f>IFERROR(IF(ISNUMBER(SEARCH("*",N265)),N265&amp;" "&amp;F265,IF(F265="M",LOOKUP(J265,AgeCategories!$A$3:$F$11),LOOKUP(J265,AgeCategories!$A$14:$F$22))),"")</f>
        <v>E-Bike F</v>
      </c>
      <c r="AD265" s="370">
        <f t="shared" si="87"/>
        <v>26405</v>
      </c>
      <c r="AE265" s="345">
        <f t="shared" si="88"/>
        <v>50</v>
      </c>
      <c r="AF265" s="345" t="str">
        <f>IF(SUM(COUNTIF(H265,{"*Girl*","*Women*","*Woman*","*Female*","*Wo*","*Fe*","*F*"})),"F","M")</f>
        <v>F</v>
      </c>
      <c r="AG265" s="371"/>
      <c r="AH265" s="112"/>
      <c r="AI265" s="337" t="e">
        <f t="array" aca="1" ref="AI265" ca="1">(SMALL(IF(ISERROR(MATCH($AJ$3+ROW(OFFSET($A$3, 0,0, $AJ$4-$AJ$3+1))-2, $A$3:$A912,0)), $AJ$3+ROW(OFFSET($A$2,0, 0, $AJ$4-$AJ$3+1))-1), ROW(A264)))</f>
        <v>#NUM!</v>
      </c>
      <c r="AJ265" s="345">
        <f>Helpers!AY265</f>
        <v>0</v>
      </c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236"/>
      <c r="AV265" s="299"/>
      <c r="AW265" s="298" t="s">
        <v>2468</v>
      </c>
      <c r="AX265" s="56" t="s">
        <v>2478</v>
      </c>
      <c r="AY265" s="56" t="s">
        <v>2547</v>
      </c>
      <c r="AZ265" s="56" t="s">
        <v>2537</v>
      </c>
      <c r="BA265" s="56"/>
    </row>
    <row r="266" spans="1:53" ht="13.5" thickBot="1">
      <c r="A266" s="111">
        <v>262</v>
      </c>
      <c r="B266" s="335" t="str">
        <f t="shared" si="80"/>
        <v>Julian Peter Oosthuizen</v>
      </c>
      <c r="C266" s="116" t="s">
        <v>1743</v>
      </c>
      <c r="D266" s="116" t="s">
        <v>1690</v>
      </c>
      <c r="E266" t="s">
        <v>146</v>
      </c>
      <c r="F266" s="363" t="s">
        <v>209</v>
      </c>
      <c r="G266" s="345" t="str">
        <f>IFERROR(IF(ISNUMBER(SEARCH("*",N266)),N266&amp;" "&amp;F266,IF(F266="M",LOOKUP(J266,AgeCategories!$A$3:$D$13),LOOKUP(J266,AgeCategories!$A$14:$D$24))),"Invalid Age")</f>
        <v>Master Men</v>
      </c>
      <c r="H266" s="175" t="s">
        <v>209</v>
      </c>
      <c r="I266" s="338">
        <f t="shared" si="81"/>
        <v>26525</v>
      </c>
      <c r="J266" s="364">
        <f>IFERROR(DATEDIF($I266,Helpers!$O$2,"y"),"ID No. needed")</f>
        <v>50</v>
      </c>
      <c r="K266" s="111" t="s">
        <v>146</v>
      </c>
      <c r="L266" s="300" t="s">
        <v>2753</v>
      </c>
      <c r="M266" s="365" t="s">
        <v>2010</v>
      </c>
      <c r="N266" s="341" t="s">
        <v>146</v>
      </c>
      <c r="O266" s="367" t="b">
        <v>1</v>
      </c>
      <c r="P266" s="241" t="b">
        <f>NOT(ISNA(VLOOKUP(A266,SortedDownload!A:A,1,FALSE)))</f>
        <v>1</v>
      </c>
      <c r="Q266" s="373" t="s">
        <v>2601</v>
      </c>
      <c r="R266" s="368" t="s">
        <v>146</v>
      </c>
      <c r="S266" s="235" t="s">
        <v>146</v>
      </c>
      <c r="T266" s="235" t="s">
        <v>146</v>
      </c>
      <c r="U266" s="369" t="s">
        <v>2265</v>
      </c>
      <c r="V266" s="337" t="str">
        <f t="shared" si="82"/>
        <v>-</v>
      </c>
      <c r="W266" s="339" t="str">
        <f t="shared" si="83"/>
        <v>Julian Peter Oosthuizen</v>
      </c>
      <c r="X266" s="345" t="str">
        <f t="shared" si="84"/>
        <v>Julian</v>
      </c>
      <c r="Y266" s="345" t="str">
        <f t="shared" si="85"/>
        <v>Peter Oosthuizen</v>
      </c>
      <c r="Z266" s="345" t="str">
        <f t="shared" si="86"/>
        <v>J.Peter Oosthuizen</v>
      </c>
      <c r="AA266" s="378" t="str">
        <f t="shared" si="89"/>
        <v/>
      </c>
      <c r="AB266" s="378" t="str">
        <f t="shared" si="90"/>
        <v/>
      </c>
      <c r="AC266" s="345" t="str">
        <f>IFERROR(IF(ISNUMBER(SEARCH("*",N266)),N266&amp;" "&amp;F266,IF(F266="M",LOOKUP(J266,AgeCategories!$A$3:$F$11),LOOKUP(J266,AgeCategories!$A$14:$F$22))),"")</f>
        <v>MM</v>
      </c>
      <c r="AD266" s="370">
        <f t="shared" si="87"/>
        <v>26525</v>
      </c>
      <c r="AE266" s="345">
        <f t="shared" si="88"/>
        <v>50</v>
      </c>
      <c r="AF266" s="345" t="str">
        <f>IF(SUM(COUNTIF(H266,{"*Girl*","*Women*","*Woman*","*Female*","*Wo*","*Fe*","*F*"})),"F","M")</f>
        <v>M</v>
      </c>
      <c r="AG266" s="371"/>
      <c r="AH266" s="112"/>
      <c r="AI266" s="337" t="e">
        <f t="array" aca="1" ref="AI266" ca="1">(SMALL(IF(ISERROR(MATCH($AJ$3+ROW(OFFSET($A$3, 0,0, $AJ$4-$AJ$3+1))-2, $A$3:$A913,0)), $AJ$3+ROW(OFFSET($A$2,0, 0, $AJ$4-$AJ$3+1))-1), ROW(A265)))</f>
        <v>#NUM!</v>
      </c>
      <c r="AJ266" s="345">
        <f>Helpers!AY266</f>
        <v>0</v>
      </c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236"/>
      <c r="AV266" s="299"/>
      <c r="AW266" s="298"/>
      <c r="AX266" s="56" t="s">
        <v>2535</v>
      </c>
      <c r="AY266" s="56" t="s">
        <v>2553</v>
      </c>
      <c r="AZ266" s="56" t="s">
        <v>2537</v>
      </c>
      <c r="BA266" s="56"/>
    </row>
    <row r="267" spans="1:53" ht="13.5" thickBot="1">
      <c r="A267" s="111">
        <v>263</v>
      </c>
      <c r="B267" s="335" t="str">
        <f t="shared" si="80"/>
        <v>Julian Robin Oosthuizen</v>
      </c>
      <c r="C267" s="116" t="s">
        <v>1744</v>
      </c>
      <c r="D267" s="116" t="s">
        <v>1690</v>
      </c>
      <c r="E267"/>
      <c r="F267" s="363" t="str">
        <f>IF(SUM(COUNTIF(H267,{"*Girl*","*Women*","*Woman*","*Female*","*Wo*","*Fe*","*F*"})),"F","M")</f>
        <v>M</v>
      </c>
      <c r="G267" s="345" t="str">
        <f>IFERROR(IF(ISNUMBER(SEARCH("*",N267)),N267&amp;" "&amp;F267,IF(F267="M",LOOKUP(J267,AgeCategories!$A$3:$D$13),LOOKUP(J267,AgeCategories!$A$14:$D$24))),"Invalid Age")</f>
        <v>Sub Junior Boys</v>
      </c>
      <c r="H267" s="175" t="s">
        <v>209</v>
      </c>
      <c r="I267" s="338">
        <f t="shared" si="81"/>
        <v>39573</v>
      </c>
      <c r="J267" s="364">
        <f>IFERROR(DATEDIF($I267,Helpers!$O$2,"y"),"ID No. needed")</f>
        <v>14</v>
      </c>
      <c r="K267" s="111"/>
      <c r="L267" s="300">
        <v>606581370</v>
      </c>
      <c r="M267" s="377" t="s">
        <v>2619</v>
      </c>
      <c r="N267" s="341"/>
      <c r="O267" s="367" t="b">
        <v>1</v>
      </c>
      <c r="P267" s="241" t="b">
        <f>NOT(ISNA(VLOOKUP(A267,SortedDownload!A:A,1,FALSE)))</f>
        <v>1</v>
      </c>
      <c r="Q267" s="373" t="s">
        <v>2601</v>
      </c>
      <c r="R267" s="368"/>
      <c r="S267" s="235"/>
      <c r="T267" s="235"/>
      <c r="U267" s="369" t="s">
        <v>2265</v>
      </c>
      <c r="V267" s="337" t="str">
        <f t="shared" si="82"/>
        <v>-</v>
      </c>
      <c r="W267" s="339" t="str">
        <f t="shared" si="83"/>
        <v>Julian Robin Oosthuizen</v>
      </c>
      <c r="X267" s="345" t="str">
        <f t="shared" si="84"/>
        <v>Julian</v>
      </c>
      <c r="Y267" s="345" t="str">
        <f t="shared" si="85"/>
        <v>Robin Oosthuizen</v>
      </c>
      <c r="Z267" s="345" t="str">
        <f t="shared" si="86"/>
        <v>J.Robin Oosthuizen</v>
      </c>
      <c r="AA267" s="378" t="str">
        <f t="shared" si="89"/>
        <v/>
      </c>
      <c r="AB267" s="378" t="str">
        <f t="shared" si="90"/>
        <v/>
      </c>
      <c r="AC267" s="345" t="str">
        <f>IFERROR(IF(ISNUMBER(SEARCH("*",N267)),N267&amp;" "&amp;F267,IF(F267="M",LOOKUP(J267,AgeCategories!$A$3:$F$11),LOOKUP(J267,AgeCategories!$A$14:$F$22))),"")</f>
        <v>JB</v>
      </c>
      <c r="AD267" s="370">
        <f t="shared" si="87"/>
        <v>39573</v>
      </c>
      <c r="AE267" s="345">
        <f t="shared" si="88"/>
        <v>14</v>
      </c>
      <c r="AF267" s="345" t="str">
        <f>IF(SUM(COUNTIF(H267,{"*Girl*","*Women*","*Woman*","*Female*","*Wo*","*Fe*","*F*"})),"F","M")</f>
        <v>M</v>
      </c>
      <c r="AG267" s="371"/>
      <c r="AH267" s="112"/>
      <c r="AI267" s="337" t="e">
        <f t="array" aca="1" ref="AI267" ca="1">(SMALL(IF(ISERROR(MATCH($AJ$3+ROW(OFFSET($A$3, 0,0, $AJ$4-$AJ$3+1))-2, $A$3:$A914,0)), $AJ$3+ROW(OFFSET($A$2,0, 0, $AJ$4-$AJ$3+1))-1), ROW(A266)))</f>
        <v>#NUM!</v>
      </c>
      <c r="AJ267" s="345">
        <f>Helpers!AY267</f>
        <v>0</v>
      </c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236"/>
      <c r="AV267" s="299"/>
      <c r="AW267" s="298"/>
      <c r="AX267" s="56" t="s">
        <v>2535</v>
      </c>
      <c r="AY267" s="56" t="s">
        <v>2553</v>
      </c>
      <c r="AZ267" s="56" t="s">
        <v>2537</v>
      </c>
      <c r="BA267" s="56"/>
    </row>
    <row r="268" spans="1:53" ht="13.5" thickBot="1">
      <c r="A268" s="111">
        <v>264</v>
      </c>
      <c r="B268" s="335" t="str">
        <f t="shared" si="80"/>
        <v>Jeanie De Villiers</v>
      </c>
      <c r="C268" s="116" t="s">
        <v>1745</v>
      </c>
      <c r="D268" s="116" t="s">
        <v>1746</v>
      </c>
      <c r="E268"/>
      <c r="F268" s="363" t="str">
        <f>IF(SUM(COUNTIF(H268,{"*Girl*","*Women*","*Woman*","*Female*","*Wo*","*Fe*","*F*"})),"F","M")</f>
        <v>F</v>
      </c>
      <c r="G268" s="345" t="str">
        <f>IFERROR(IF(ISNUMBER(SEARCH("*",N268)),N268&amp;" "&amp;F268,IF(F268="M",LOOKUP(J268,AgeCategories!$A$3:$D$13),LOOKUP(J268,AgeCategories!$A$14:$D$24))),"Invalid Age")</f>
        <v>Lite F</v>
      </c>
      <c r="H268" s="175" t="s">
        <v>210</v>
      </c>
      <c r="I268" s="338">
        <f t="shared" si="81"/>
        <v>29592</v>
      </c>
      <c r="J268" s="364">
        <f>IFERROR(DATEDIF($I268,Helpers!$O$2,"y"),"ID No. needed")</f>
        <v>41</v>
      </c>
      <c r="K268" s="111"/>
      <c r="L268" s="300">
        <v>789215155</v>
      </c>
      <c r="M268" s="365" t="s">
        <v>2011</v>
      </c>
      <c r="N268" s="341" t="s">
        <v>2601</v>
      </c>
      <c r="O268" s="367" t="b">
        <v>1</v>
      </c>
      <c r="P268" s="241" t="b">
        <f>NOT(ISNA(VLOOKUP(A268,SortedDownload!A:A,1,FALSE)))</f>
        <v>1</v>
      </c>
      <c r="Q268" s="373" t="s">
        <v>2601</v>
      </c>
      <c r="R268" s="368"/>
      <c r="S268" s="235"/>
      <c r="T268" s="235"/>
      <c r="U268" s="369" t="s">
        <v>2266</v>
      </c>
      <c r="V268" s="337" t="str">
        <f t="shared" si="82"/>
        <v>-</v>
      </c>
      <c r="W268" s="339" t="str">
        <f t="shared" si="83"/>
        <v>Jeanie De Villiers</v>
      </c>
      <c r="X268" s="345" t="str">
        <f t="shared" si="84"/>
        <v>Jeanie</v>
      </c>
      <c r="Y268" s="345" t="str">
        <f t="shared" si="85"/>
        <v>De Villiers</v>
      </c>
      <c r="Z268" s="345" t="str">
        <f t="shared" si="86"/>
        <v>J.De Villiers</v>
      </c>
      <c r="AA268" s="378" t="str">
        <f t="shared" si="89"/>
        <v/>
      </c>
      <c r="AB268" s="378" t="str">
        <f t="shared" si="90"/>
        <v/>
      </c>
      <c r="AC268" s="345" t="str">
        <f>IFERROR(IF(ISNUMBER(SEARCH("*",N268)),N268&amp;" "&amp;F268,IF(F268="M",LOOKUP(J268,AgeCategories!$A$3:$F$11),LOOKUP(J268,AgeCategories!$A$14:$F$22))),"")</f>
        <v>Lite F</v>
      </c>
      <c r="AD268" s="370">
        <f t="shared" si="87"/>
        <v>29592</v>
      </c>
      <c r="AE268" s="345">
        <f t="shared" si="88"/>
        <v>41</v>
      </c>
      <c r="AF268" s="345" t="str">
        <f>IF(SUM(COUNTIF(H268,{"*Girl*","*Women*","*Woman*","*Female*","*Wo*","*Fe*","*F*"})),"F","M")</f>
        <v>F</v>
      </c>
      <c r="AG268" s="371"/>
      <c r="AH268" s="112"/>
      <c r="AI268" s="337" t="e">
        <f t="array" aca="1" ref="AI268" ca="1">(SMALL(IF(ISERROR(MATCH($AJ$3+ROW(OFFSET($A$3, 0,0, $AJ$4-$AJ$3+1))-2, $A$3:$A915,0)), $AJ$3+ROW(OFFSET($A$2,0, 0, $AJ$4-$AJ$3+1))-1), ROW(A267)))</f>
        <v>#NUM!</v>
      </c>
      <c r="AJ268" s="345">
        <f>Helpers!AY268</f>
        <v>0</v>
      </c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236"/>
      <c r="AV268" s="299"/>
      <c r="AW268" s="298" t="s">
        <v>2469</v>
      </c>
      <c r="AX268" s="56" t="s">
        <v>2478</v>
      </c>
      <c r="AY268" s="56" t="s">
        <v>2277</v>
      </c>
      <c r="AZ268" s="56" t="s">
        <v>2538</v>
      </c>
      <c r="BA268" s="56"/>
    </row>
    <row r="269" spans="1:53" ht="13.5" thickBot="1">
      <c r="A269" s="111">
        <v>265</v>
      </c>
      <c r="B269" s="335" t="str">
        <f t="shared" si="80"/>
        <v>Phil Hulse</v>
      </c>
      <c r="C269" s="116" t="s">
        <v>1747</v>
      </c>
      <c r="D269" s="116" t="s">
        <v>1748</v>
      </c>
      <c r="E269"/>
      <c r="F269" s="363" t="str">
        <f>IF(SUM(COUNTIF(H269,{"*Girl*","*Women*","*Woman*","*Female*","*Wo*","*Fe*","*F*"})),"F","M")</f>
        <v>M</v>
      </c>
      <c r="G269" s="345" t="str">
        <f>IFERROR(IF(ISNUMBER(SEARCH("*",N269)),N269&amp;" "&amp;F269,IF(F269="M",LOOKUP(J269,AgeCategories!$A$3:$D$13),LOOKUP(J269,AgeCategories!$A$14:$D$24))),"Invalid Age")</f>
        <v>E-Bike Lite M</v>
      </c>
      <c r="H269" s="175" t="s">
        <v>209</v>
      </c>
      <c r="I269" s="338">
        <f t="shared" si="81"/>
        <v>31317</v>
      </c>
      <c r="J269" s="364">
        <f>IFERROR(DATEDIF($I269,Helpers!$O$2,"y"),"ID No. needed")</f>
        <v>37</v>
      </c>
      <c r="K269" s="111"/>
      <c r="L269" s="300">
        <v>828353551</v>
      </c>
      <c r="M269" s="365" t="s">
        <v>2012</v>
      </c>
      <c r="N269" s="341" t="s">
        <v>598</v>
      </c>
      <c r="O269" s="367" t="b">
        <v>1</v>
      </c>
      <c r="P269" s="241" t="b">
        <f>NOT(ISNA(VLOOKUP(A269,SortedDownload!A:A,1,FALSE)))</f>
        <v>1</v>
      </c>
      <c r="Q269" s="373" t="s">
        <v>2727</v>
      </c>
      <c r="R269" s="368"/>
      <c r="S269" s="235"/>
      <c r="T269" s="235"/>
      <c r="U269" s="369" t="s">
        <v>2267</v>
      </c>
      <c r="V269" s="337" t="str">
        <f t="shared" si="82"/>
        <v>-</v>
      </c>
      <c r="W269" s="339" t="str">
        <f t="shared" si="83"/>
        <v>Phil Hulse</v>
      </c>
      <c r="X269" s="345" t="str">
        <f t="shared" si="84"/>
        <v>Phil</v>
      </c>
      <c r="Y269" s="345" t="str">
        <f t="shared" si="85"/>
        <v>Hulse</v>
      </c>
      <c r="Z269" s="345" t="str">
        <f t="shared" si="86"/>
        <v>P.Hulse</v>
      </c>
      <c r="AA269" s="378" t="str">
        <f t="shared" si="89"/>
        <v/>
      </c>
      <c r="AB269" s="378" t="str">
        <f t="shared" si="90"/>
        <v/>
      </c>
      <c r="AC269" s="345" t="str">
        <f>IFERROR(IF(ISNUMBER(SEARCH("*",N269)),N269&amp;" "&amp;F269,IF(F269="M",LOOKUP(J269,AgeCategories!$A$3:$F$11),LOOKUP(J269,AgeCategories!$A$14:$F$22))),"")</f>
        <v>E-Bike Lite M</v>
      </c>
      <c r="AD269" s="370">
        <f t="shared" si="87"/>
        <v>31317</v>
      </c>
      <c r="AE269" s="345">
        <f t="shared" si="88"/>
        <v>37</v>
      </c>
      <c r="AF269" s="345" t="str">
        <f>IF(SUM(COUNTIF(H269,{"*Girl*","*Women*","*Woman*","*Female*","*Wo*","*Fe*","*F*"})),"F","M")</f>
        <v>M</v>
      </c>
      <c r="AG269" s="371"/>
      <c r="AH269" s="112"/>
      <c r="AI269" s="337" t="e">
        <f t="array" aca="1" ref="AI269" ca="1">(SMALL(IF(ISERROR(MATCH($AJ$3+ROW(OFFSET($A$3, 0,0, $AJ$4-$AJ$3+1))-2, $A$3:$A916,0)), $AJ$3+ROW(OFFSET($A$2,0, 0, $AJ$4-$AJ$3+1))-1), ROW(A268)))</f>
        <v>#NUM!</v>
      </c>
      <c r="AJ269" s="345">
        <f>Helpers!AY269</f>
        <v>0</v>
      </c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236"/>
      <c r="AV269" s="299"/>
      <c r="AW269" s="298" t="s">
        <v>2470</v>
      </c>
      <c r="AX269" s="56" t="s">
        <v>2478</v>
      </c>
      <c r="AY269" s="56"/>
      <c r="AZ269" s="56" t="s">
        <v>2537</v>
      </c>
      <c r="BA269" s="56"/>
    </row>
    <row r="270" spans="1:53" ht="13.5" customHeight="1" thickBot="1">
      <c r="A270" s="111">
        <v>266</v>
      </c>
      <c r="B270" s="335" t="str">
        <f t="shared" si="80"/>
        <v>Philip Van Schalkwyk Snr</v>
      </c>
      <c r="C270" s="116" t="s">
        <v>1580</v>
      </c>
      <c r="D270" s="116" t="s">
        <v>2733</v>
      </c>
      <c r="E270"/>
      <c r="F270" s="363" t="str">
        <f>IF(SUM(COUNTIF(H270,{"*Girl*","*Women*","*Woman*","*Female*","*Wo*","*Fe*","*F*"})),"F","M")</f>
        <v>M</v>
      </c>
      <c r="G270" s="345" t="str">
        <f>IFERROR(IF(ISNUMBER(SEARCH("*",N270)),N270&amp;" "&amp;F270,IF(F270="M",LOOKUP(J270,AgeCategories!$A$3:$D$13),LOOKUP(J270,AgeCategories!$A$14:$D$24))),"Invalid Age")</f>
        <v>Master Men</v>
      </c>
      <c r="H270" s="175" t="s">
        <v>209</v>
      </c>
      <c r="I270" s="338">
        <f t="shared" si="81"/>
        <v>25318</v>
      </c>
      <c r="J270" s="364">
        <f>IFERROR(DATEDIF($I270,Helpers!$O$2,"y"),"ID No. needed")</f>
        <v>53</v>
      </c>
      <c r="K270" s="111"/>
      <c r="L270" s="300">
        <v>833072799</v>
      </c>
      <c r="M270" s="365" t="s">
        <v>2013</v>
      </c>
      <c r="N270" s="366"/>
      <c r="O270" s="367" t="b">
        <v>1</v>
      </c>
      <c r="P270" s="241" t="b">
        <f>NOT(ISNA(VLOOKUP(A270,SortedDownload!A:A,1,FALSE)))</f>
        <v>1</v>
      </c>
      <c r="Q270" s="373" t="s">
        <v>2729</v>
      </c>
      <c r="R270" s="368"/>
      <c r="S270" s="235"/>
      <c r="T270" s="235"/>
      <c r="U270" s="369" t="s">
        <v>2268</v>
      </c>
      <c r="V270" s="337" t="str">
        <f t="shared" si="82"/>
        <v>-</v>
      </c>
      <c r="W270" s="339" t="str">
        <f t="shared" si="83"/>
        <v>Philip Van Schalkwyk Snr</v>
      </c>
      <c r="X270" s="345" t="str">
        <f t="shared" si="84"/>
        <v>Philip</v>
      </c>
      <c r="Y270" s="345" t="str">
        <f t="shared" si="85"/>
        <v>Van Schalkwyk Snr</v>
      </c>
      <c r="Z270" s="345" t="str">
        <f t="shared" si="86"/>
        <v>P.Van Schalkwyk Snr</v>
      </c>
      <c r="AA270" s="378" t="str">
        <f t="shared" si="89"/>
        <v/>
      </c>
      <c r="AB270" s="378" t="str">
        <f t="shared" si="90"/>
        <v/>
      </c>
      <c r="AC270" s="345" t="str">
        <f>IFERROR(IF(ISNUMBER(SEARCH("*",N270)),N270&amp;" "&amp;F270,IF(F270="M",LOOKUP(J270,AgeCategories!$A$3:$F$11),LOOKUP(J270,AgeCategories!$A$14:$F$22))),"")</f>
        <v>MM</v>
      </c>
      <c r="AD270" s="370">
        <f t="shared" si="87"/>
        <v>25318</v>
      </c>
      <c r="AE270" s="345">
        <f t="shared" si="88"/>
        <v>53</v>
      </c>
      <c r="AF270" s="345" t="str">
        <f>IF(SUM(COUNTIF(H270,{"*Girl*","*Women*","*Woman*","*Female*","*Wo*","*Fe*","*F*"})),"F","M")</f>
        <v>M</v>
      </c>
      <c r="AG270" s="371"/>
      <c r="AH270" s="112"/>
      <c r="AI270" s="337" t="e">
        <f t="array" aca="1" ref="AI270" ca="1">(SMALL(IF(ISERROR(MATCH($AJ$3+ROW(OFFSET($A$3, 0,0, $AJ$4-$AJ$3+1))-2, $A$3:$A917,0)), $AJ$3+ROW(OFFSET($A$2,0, 0, $AJ$4-$AJ$3+1))-1), ROW(A269)))</f>
        <v>#NUM!</v>
      </c>
      <c r="AJ270" s="345">
        <f>Helpers!AY270</f>
        <v>0</v>
      </c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236"/>
      <c r="AV270" s="299"/>
      <c r="AW270" s="298" t="s">
        <v>2471</v>
      </c>
      <c r="AX270" s="56" t="s">
        <v>2504</v>
      </c>
      <c r="AY270" s="56" t="s">
        <v>2277</v>
      </c>
      <c r="AZ270" s="56" t="s">
        <v>2538</v>
      </c>
      <c r="BA270" s="56"/>
    </row>
    <row r="271" spans="1:53" ht="13.5" thickBot="1">
      <c r="A271" s="111">
        <v>267</v>
      </c>
      <c r="B271" s="335" t="str">
        <f t="shared" si="80"/>
        <v>Calum Marriott</v>
      </c>
      <c r="C271" s="116" t="s">
        <v>1749</v>
      </c>
      <c r="D271" s="116" t="s">
        <v>1750</v>
      </c>
      <c r="E271"/>
      <c r="F271" s="363" t="str">
        <f>IF(SUM(COUNTIF(H271,{"*Girl*","*Women*","*Woman*","*Female*","*Wo*","*Fe*","*F*"})),"F","M")</f>
        <v>M</v>
      </c>
      <c r="G271" s="345" t="str">
        <f>IFERROR(IF(ISNUMBER(SEARCH("*",N271)),N271&amp;" "&amp;F271,IF(F271="M",LOOKUP(J271,AgeCategories!$A$3:$D$13),LOOKUP(J271,AgeCategories!$A$14:$D$24))),"Invalid Age")</f>
        <v>Lite M</v>
      </c>
      <c r="H271" s="175" t="s">
        <v>209</v>
      </c>
      <c r="I271" s="338">
        <f t="shared" si="81"/>
        <v>38093</v>
      </c>
      <c r="J271" s="364">
        <f>IFERROR(DATEDIF($I271,Helpers!$O$2,"y"),"ID No. needed")</f>
        <v>18</v>
      </c>
      <c r="K271" s="111"/>
      <c r="L271" s="300">
        <v>27730141397</v>
      </c>
      <c r="M271" s="365" t="s">
        <v>2014</v>
      </c>
      <c r="N271" s="341" t="s">
        <v>2601</v>
      </c>
      <c r="O271" s="367" t="b">
        <v>1</v>
      </c>
      <c r="P271" s="241" t="b">
        <f>NOT(ISNA(VLOOKUP(A271,SortedDownload!A:A,1,FALSE)))</f>
        <v>1</v>
      </c>
      <c r="Q271" s="373" t="s">
        <v>2601</v>
      </c>
      <c r="R271" s="368"/>
      <c r="S271" s="235"/>
      <c r="T271" s="235"/>
      <c r="U271" s="369" t="s">
        <v>2269</v>
      </c>
      <c r="V271" s="337" t="str">
        <f t="shared" si="82"/>
        <v>-</v>
      </c>
      <c r="W271" s="339" t="str">
        <f t="shared" si="83"/>
        <v>Calum Marriott</v>
      </c>
      <c r="X271" s="345" t="str">
        <f t="shared" si="84"/>
        <v>Calum</v>
      </c>
      <c r="Y271" s="345" t="str">
        <f t="shared" si="85"/>
        <v>Marriott</v>
      </c>
      <c r="Z271" s="345" t="str">
        <f t="shared" si="86"/>
        <v>C.Marriott</v>
      </c>
      <c r="AA271" s="378" t="str">
        <f t="shared" si="89"/>
        <v/>
      </c>
      <c r="AB271" s="378" t="str">
        <f t="shared" si="90"/>
        <v/>
      </c>
      <c r="AC271" s="345" t="str">
        <f>IFERROR(IF(ISNUMBER(SEARCH("*",N271)),N271&amp;" "&amp;F271,IF(F271="M",LOOKUP(J271,AgeCategories!$A$3:$F$11),LOOKUP(J271,AgeCategories!$A$14:$F$22))),"")</f>
        <v>Lite M</v>
      </c>
      <c r="AD271" s="370">
        <f t="shared" si="87"/>
        <v>38093</v>
      </c>
      <c r="AE271" s="345">
        <f t="shared" si="88"/>
        <v>18</v>
      </c>
      <c r="AF271" s="345" t="str">
        <f>IF(SUM(COUNTIF(H271,{"*Girl*","*Women*","*Woman*","*Female*","*Wo*","*Fe*","*F*"})),"F","M")</f>
        <v>M</v>
      </c>
      <c r="AG271" s="371"/>
      <c r="AH271" s="112"/>
      <c r="AI271" s="337" t="e">
        <f t="array" aca="1" ref="AI271" ca="1">(SMALL(IF(ISERROR(MATCH($AJ$3+ROW(OFFSET($A$3, 0,0, $AJ$4-$AJ$3+1))-2, $A$3:$A918,0)), $AJ$3+ROW(OFFSET($A$2,0, 0, $AJ$4-$AJ$3+1))-1), ROW(A270)))</f>
        <v>#NUM!</v>
      </c>
      <c r="AJ271" s="345">
        <f>Helpers!AY271</f>
        <v>0</v>
      </c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236"/>
      <c r="AV271" s="299"/>
      <c r="AW271" s="298" t="s">
        <v>2472</v>
      </c>
      <c r="AX271" s="56" t="s">
        <v>1749</v>
      </c>
      <c r="AY271" s="56" t="s">
        <v>2583</v>
      </c>
      <c r="AZ271" s="56" t="s">
        <v>2537</v>
      </c>
      <c r="BA271" s="56" t="s">
        <v>2559</v>
      </c>
    </row>
    <row r="272" spans="1:53" ht="13.5" customHeight="1" thickBot="1">
      <c r="A272" s="111">
        <v>268</v>
      </c>
      <c r="B272" s="335" t="str">
        <f t="shared" si="80"/>
        <v>Boetie Van Niekerk</v>
      </c>
      <c r="C272" s="116" t="s">
        <v>1751</v>
      </c>
      <c r="D272" s="116" t="s">
        <v>657</v>
      </c>
      <c r="E272"/>
      <c r="F272" s="363" t="str">
        <f>IF(SUM(COUNTIF(H272,{"*Girl*","*Women*","*Woman*","*Female*","*Wo*","*Fe*","*F*"})),"F","M")</f>
        <v>M</v>
      </c>
      <c r="G272" s="345" t="str">
        <f>IFERROR(IF(ISNUMBER(SEARCH("*",N272)),N272&amp;" "&amp;F272,IF(F272="M",LOOKUP(J272,AgeCategories!$A$3:$D$13),LOOKUP(J272,AgeCategories!$A$14:$D$24))),"Invalid Age")</f>
        <v>Master Men</v>
      </c>
      <c r="H272" s="175" t="s">
        <v>209</v>
      </c>
      <c r="I272" s="338">
        <f t="shared" si="81"/>
        <v>26570</v>
      </c>
      <c r="J272" s="364">
        <f>IFERROR(DATEDIF($I272,Helpers!$O$2,"y"),"ID No. needed")</f>
        <v>50</v>
      </c>
      <c r="K272" s="111"/>
      <c r="L272" s="300">
        <v>832396966</v>
      </c>
      <c r="M272" s="365" t="s">
        <v>2015</v>
      </c>
      <c r="N272" s="366"/>
      <c r="O272" s="367" t="b">
        <v>1</v>
      </c>
      <c r="P272" s="241" t="b">
        <f>NOT(ISNA(VLOOKUP(A272,SortedDownload!A:A,1,FALSE)))</f>
        <v>1</v>
      </c>
      <c r="Q272" s="373" t="s">
        <v>2632</v>
      </c>
      <c r="R272" s="368"/>
      <c r="S272" s="235"/>
      <c r="T272" s="235"/>
      <c r="U272" s="369" t="s">
        <v>2270</v>
      </c>
      <c r="V272" s="337" t="str">
        <f t="shared" si="82"/>
        <v>-</v>
      </c>
      <c r="W272" s="339" t="str">
        <f t="shared" si="83"/>
        <v>Boetie Van Niekerk</v>
      </c>
      <c r="X272" s="345" t="str">
        <f t="shared" si="84"/>
        <v>Boetie</v>
      </c>
      <c r="Y272" s="345" t="str">
        <f t="shared" si="85"/>
        <v>Van Niekerk</v>
      </c>
      <c r="Z272" s="345" t="str">
        <f t="shared" si="86"/>
        <v>B.Van Niekerk</v>
      </c>
      <c r="AA272" s="378" t="str">
        <f t="shared" si="89"/>
        <v/>
      </c>
      <c r="AB272" s="378" t="str">
        <f t="shared" si="90"/>
        <v/>
      </c>
      <c r="AC272" s="345" t="str">
        <f>IFERROR(IF(ISNUMBER(SEARCH("*",N272)),N272&amp;" "&amp;F272,IF(F272="M",LOOKUP(J272,AgeCategories!$A$3:$F$11),LOOKUP(J272,AgeCategories!$A$14:$F$22))),"")</f>
        <v>MM</v>
      </c>
      <c r="AD272" s="370">
        <f t="shared" si="87"/>
        <v>26570</v>
      </c>
      <c r="AE272" s="345">
        <f t="shared" si="88"/>
        <v>50</v>
      </c>
      <c r="AF272" s="345" t="str">
        <f>IF(SUM(COUNTIF(H272,{"*Girl*","*Women*","*Woman*","*Female*","*Wo*","*Fe*","*F*"})),"F","M")</f>
        <v>M</v>
      </c>
      <c r="AG272" s="371"/>
      <c r="AH272" s="112"/>
      <c r="AI272" s="337" t="e">
        <f t="array" aca="1" ref="AI272" ca="1">(SMALL(IF(ISERROR(MATCH($AJ$3+ROW(OFFSET($A$3, 0,0, $AJ$4-$AJ$3+1))-2, $A$3:$A919,0)), $AJ$3+ROW(OFFSET($A$2,0, 0, $AJ$4-$AJ$3+1))-1), ROW(A271)))</f>
        <v>#NUM!</v>
      </c>
      <c r="AJ272" s="345">
        <f>Helpers!AY272</f>
        <v>0</v>
      </c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236"/>
      <c r="AV272" s="299"/>
      <c r="AW272" s="298" t="s">
        <v>2473</v>
      </c>
      <c r="AX272" s="56" t="s">
        <v>2536</v>
      </c>
      <c r="AY272" s="56" t="s">
        <v>2277</v>
      </c>
      <c r="AZ272" s="56" t="s">
        <v>2537</v>
      </c>
      <c r="BA272" s="56"/>
    </row>
    <row r="273" spans="1:53" ht="13.5" customHeight="1" thickBot="1">
      <c r="A273" s="111">
        <v>269</v>
      </c>
      <c r="B273" s="335" t="str">
        <f t="shared" si="80"/>
        <v>Dean Van Niekerk Van Niekerk</v>
      </c>
      <c r="C273" s="116" t="s">
        <v>1752</v>
      </c>
      <c r="D273" s="116" t="s">
        <v>657</v>
      </c>
      <c r="E273"/>
      <c r="F273" s="363" t="str">
        <f>IF(SUM(COUNTIF(H273,{"*Girl*","*Women*","*Woman*","*Female*","*Wo*","*Fe*","*F*"})),"F","M")</f>
        <v>M</v>
      </c>
      <c r="G273" s="345" t="str">
        <f>IFERROR(IF(ISNUMBER(SEARCH("*",N273)),N273&amp;" "&amp;F273,IF(F273="M",LOOKUP(J273,AgeCategories!$A$3:$D$13),LOOKUP(J273,AgeCategories!$A$14:$D$24))),"Invalid Age")</f>
        <v>Youth Men</v>
      </c>
      <c r="H273" s="175" t="s">
        <v>209</v>
      </c>
      <c r="I273" s="338">
        <f t="shared" si="81"/>
        <v>38842</v>
      </c>
      <c r="J273" s="364">
        <f>IFERROR(DATEDIF($I273,Helpers!$O$2,"y"),"ID No. needed")</f>
        <v>16</v>
      </c>
      <c r="K273" s="111"/>
      <c r="L273" s="300"/>
      <c r="M273" s="377" t="s">
        <v>2612</v>
      </c>
      <c r="N273" s="366"/>
      <c r="O273" s="367" t="b">
        <v>1</v>
      </c>
      <c r="P273" s="241" t="b">
        <f>NOT(ISNA(VLOOKUP(A273,SortedDownload!A:A,1,FALSE)))</f>
        <v>1</v>
      </c>
      <c r="Q273" s="373" t="s">
        <v>2632</v>
      </c>
      <c r="R273" s="368"/>
      <c r="S273" s="235"/>
      <c r="T273" s="235"/>
      <c r="U273" s="369" t="s">
        <v>2270</v>
      </c>
      <c r="V273" s="337" t="str">
        <f t="shared" si="82"/>
        <v>-</v>
      </c>
      <c r="W273" s="339" t="str">
        <f t="shared" si="83"/>
        <v>Dean Van Niekerk Van Niekerk</v>
      </c>
      <c r="X273" s="345" t="str">
        <f t="shared" si="84"/>
        <v>Dean</v>
      </c>
      <c r="Y273" s="345" t="str">
        <f t="shared" si="85"/>
        <v>Van Niekerk Van Niekerk</v>
      </c>
      <c r="Z273" s="345" t="str">
        <f t="shared" si="86"/>
        <v>D.Van Niekerk Van Niekerk</v>
      </c>
      <c r="AA273" s="378" t="str">
        <f t="shared" si="89"/>
        <v/>
      </c>
      <c r="AB273" s="378" t="str">
        <f t="shared" si="90"/>
        <v/>
      </c>
      <c r="AC273" s="345" t="str">
        <f>IFERROR(IF(ISNUMBER(SEARCH("*",N273)),N273&amp;" "&amp;F273,IF(F273="M",LOOKUP(J273,AgeCategories!$A$3:$F$11),LOOKUP(J273,AgeCategories!$A$14:$F$22))),"")</f>
        <v>YM</v>
      </c>
      <c r="AD273" s="370">
        <f t="shared" si="87"/>
        <v>38842</v>
      </c>
      <c r="AE273" s="345">
        <f t="shared" si="88"/>
        <v>16</v>
      </c>
      <c r="AF273" s="345" t="str">
        <f>IF(SUM(COUNTIF(H273,{"*Girl*","*Women*","*Woman*","*Female*","*Wo*","*Fe*","*F*"})),"F","M")</f>
        <v>M</v>
      </c>
      <c r="AG273" s="371"/>
      <c r="AH273" s="112"/>
      <c r="AI273" s="337" t="e">
        <f t="array" aca="1" ref="AI273" ca="1">(SMALL(IF(ISERROR(MATCH($AJ$3+ROW(OFFSET($A$3, 0,0, $AJ$4-$AJ$3+1))-2, $A$3:$A920,0)), $AJ$3+ROW(OFFSET($A$2,0, 0, $AJ$4-$AJ$3+1))-1), ROW(A272)))</f>
        <v>#NUM!</v>
      </c>
      <c r="AJ273" s="345">
        <f>Helpers!AY273</f>
        <v>0</v>
      </c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236"/>
      <c r="AV273" s="299"/>
      <c r="AW273" s="298" t="s">
        <v>2473</v>
      </c>
      <c r="AX273" s="56" t="s">
        <v>2536</v>
      </c>
      <c r="AY273" s="56" t="s">
        <v>2277</v>
      </c>
      <c r="AZ273" s="56" t="s">
        <v>2537</v>
      </c>
      <c r="BA273" s="56"/>
    </row>
    <row r="274" spans="1:53" ht="13.5" thickBot="1">
      <c r="A274" s="111">
        <v>270</v>
      </c>
      <c r="B274" s="335" t="str">
        <f t="shared" si="80"/>
        <v>Taegan Felton</v>
      </c>
      <c r="C274" s="116" t="s">
        <v>1753</v>
      </c>
      <c r="D274" s="116" t="s">
        <v>1754</v>
      </c>
      <c r="E274"/>
      <c r="F274" s="363" t="str">
        <f>IF(SUM(COUNTIF(H274,{"*Girl*","*Women*","*Woman*","*Female*","*Wo*","*Fe*","*F*"})),"F","M")</f>
        <v>M</v>
      </c>
      <c r="G274" s="345" t="str">
        <f>IFERROR(IF(ISNUMBER(SEARCH("*",N274)),N274&amp;" "&amp;F274,IF(F274="M",LOOKUP(J274,AgeCategories!$A$3:$D$13),LOOKUP(J274,AgeCategories!$A$14:$D$24))),"Invalid Age")</f>
        <v>Lite M</v>
      </c>
      <c r="H274" s="175" t="s">
        <v>209</v>
      </c>
      <c r="I274" s="338">
        <f t="shared" si="81"/>
        <v>38842</v>
      </c>
      <c r="J274" s="364">
        <f>IFERROR(DATEDIF($I274,Helpers!$O$2,"y"),"ID No. needed")</f>
        <v>16</v>
      </c>
      <c r="K274" s="111"/>
      <c r="L274" s="300">
        <v>829796525</v>
      </c>
      <c r="M274" s="377" t="s">
        <v>2612</v>
      </c>
      <c r="N274" s="341" t="s">
        <v>2601</v>
      </c>
      <c r="O274" s="367" t="b">
        <v>1</v>
      </c>
      <c r="P274" s="241" t="b">
        <f>NOT(ISNA(VLOOKUP(A274,SortedDownload!A:A,1,FALSE)))</f>
        <v>1</v>
      </c>
      <c r="Q274" s="373" t="s">
        <v>2601</v>
      </c>
      <c r="R274" s="368"/>
      <c r="S274" s="235"/>
      <c r="T274" s="235"/>
      <c r="U274" s="369" t="s">
        <v>2271</v>
      </c>
      <c r="V274" s="337" t="str">
        <f t="shared" si="82"/>
        <v>-</v>
      </c>
      <c r="W274" s="339" t="str">
        <f t="shared" si="83"/>
        <v>Taegan Felton</v>
      </c>
      <c r="X274" s="345" t="str">
        <f t="shared" si="84"/>
        <v>Taegan</v>
      </c>
      <c r="Y274" s="345" t="str">
        <f t="shared" si="85"/>
        <v>Felton</v>
      </c>
      <c r="Z274" s="345" t="str">
        <f t="shared" si="86"/>
        <v>T.Felton</v>
      </c>
      <c r="AA274" s="378" t="str">
        <f t="shared" si="89"/>
        <v/>
      </c>
      <c r="AB274" s="378" t="str">
        <f t="shared" si="90"/>
        <v/>
      </c>
      <c r="AC274" s="345" t="str">
        <f>IFERROR(IF(ISNUMBER(SEARCH("*",N274)),N274&amp;" "&amp;F274,IF(F274="M",LOOKUP(J274,AgeCategories!$A$3:$F$11),LOOKUP(J274,AgeCategories!$A$14:$F$22))),"")</f>
        <v>Lite M</v>
      </c>
      <c r="AD274" s="370">
        <f t="shared" si="87"/>
        <v>38842</v>
      </c>
      <c r="AE274" s="345">
        <f t="shared" si="88"/>
        <v>16</v>
      </c>
      <c r="AF274" s="345" t="str">
        <f>IF(SUM(COUNTIF(H274,{"*Girl*","*Women*","*Woman*","*Female*","*Wo*","*Fe*","*F*"})),"F","M")</f>
        <v>M</v>
      </c>
      <c r="AG274" s="371"/>
      <c r="AH274" s="112"/>
      <c r="AI274" s="337" t="e">
        <f t="array" aca="1" ref="AI274" ca="1">(SMALL(IF(ISERROR(MATCH($AJ$3+ROW(OFFSET($A$3, 0,0, $AJ$4-$AJ$3+1))-2, $A$3:$A921,0)), $AJ$3+ROW(OFFSET($A$2,0, 0, $AJ$4-$AJ$3+1))-1), ROW(A273)))</f>
        <v>#NUM!</v>
      </c>
      <c r="AJ274" s="345">
        <f>Helpers!AY274</f>
        <v>0</v>
      </c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236"/>
      <c r="AV274" s="299"/>
      <c r="AW274" s="298" t="s">
        <v>2474</v>
      </c>
      <c r="AX274" s="56" t="s">
        <v>2481</v>
      </c>
      <c r="AY274" s="56" t="s">
        <v>2563</v>
      </c>
      <c r="AZ274" s="56" t="s">
        <v>2537</v>
      </c>
      <c r="BA274" s="56"/>
    </row>
    <row r="275" spans="1:53" ht="13.5" thickBot="1">
      <c r="A275" s="111">
        <v>271</v>
      </c>
      <c r="B275" s="335" t="str">
        <f t="shared" si="80"/>
        <v>Kylie Hanekom</v>
      </c>
      <c r="C275" s="116" t="s">
        <v>1755</v>
      </c>
      <c r="D275" s="116" t="s">
        <v>1756</v>
      </c>
      <c r="E275"/>
      <c r="F275" s="363" t="str">
        <f>IF(SUM(COUNTIF(H275,{"*Girl*","*Women*","*Woman*","*Female*","*Wo*","*Fe*","*F*"})),"F","M")</f>
        <v>F</v>
      </c>
      <c r="G275" s="345" t="str">
        <f>IFERROR(IF(ISNUMBER(SEARCH("*",N275)),N275&amp;" "&amp;F275,IF(F275="M",LOOKUP(J275,AgeCategories!$A$3:$D$13),LOOKUP(J275,AgeCategories!$A$14:$D$24))),"Invalid Age")</f>
        <v>Lite F</v>
      </c>
      <c r="H275" s="175" t="s">
        <v>210</v>
      </c>
      <c r="I275" s="338">
        <f t="shared" si="81"/>
        <v>31601</v>
      </c>
      <c r="J275" s="364">
        <f>IFERROR(DATEDIF($I275,Helpers!$O$2,"y"),"ID No. needed")</f>
        <v>36</v>
      </c>
      <c r="K275" s="111"/>
      <c r="L275" s="300">
        <v>727227213</v>
      </c>
      <c r="M275" s="365" t="s">
        <v>2016</v>
      </c>
      <c r="N275" s="341" t="s">
        <v>2601</v>
      </c>
      <c r="O275" s="367" t="b">
        <v>1</v>
      </c>
      <c r="P275" s="241" t="b">
        <f>NOT(ISNA(VLOOKUP(A275,SortedDownload!A:A,1,FALSE)))</f>
        <v>1</v>
      </c>
      <c r="Q275" s="373" t="s">
        <v>2601</v>
      </c>
      <c r="R275" s="368"/>
      <c r="S275" s="235"/>
      <c r="T275" s="235"/>
      <c r="U275" s="369" t="s">
        <v>2272</v>
      </c>
      <c r="V275" s="337" t="str">
        <f t="shared" si="82"/>
        <v>-</v>
      </c>
      <c r="W275" s="339" t="str">
        <f t="shared" si="83"/>
        <v>Kylie Hanekom</v>
      </c>
      <c r="X275" s="345" t="str">
        <f t="shared" si="84"/>
        <v>Kylie</v>
      </c>
      <c r="Y275" s="345" t="str">
        <f t="shared" si="85"/>
        <v>Hanekom</v>
      </c>
      <c r="Z275" s="345" t="str">
        <f t="shared" si="86"/>
        <v>K.Hanekom</v>
      </c>
      <c r="AA275" s="378" t="str">
        <f t="shared" si="89"/>
        <v/>
      </c>
      <c r="AB275" s="378" t="str">
        <f t="shared" si="90"/>
        <v/>
      </c>
      <c r="AC275" s="345" t="str">
        <f>IFERROR(IF(ISNUMBER(SEARCH("*",N275)),N275&amp;" "&amp;F275,IF(F275="M",LOOKUP(J275,AgeCategories!$A$3:$F$11),LOOKUP(J275,AgeCategories!$A$14:$F$22))),"")</f>
        <v>Lite F</v>
      </c>
      <c r="AD275" s="370">
        <f t="shared" si="87"/>
        <v>31601</v>
      </c>
      <c r="AE275" s="345">
        <f t="shared" si="88"/>
        <v>36</v>
      </c>
      <c r="AF275" s="345" t="str">
        <f>IF(SUM(COUNTIF(H275,{"*Girl*","*Women*","*Woman*","*Female*","*Wo*","*Fe*","*F*"})),"F","M")</f>
        <v>F</v>
      </c>
      <c r="AG275" s="371"/>
      <c r="AH275" s="112"/>
      <c r="AI275" s="337" t="e">
        <f t="array" aca="1" ref="AI275" ca="1">(SMALL(IF(ISERROR(MATCH($AJ$3+ROW(OFFSET($A$3, 0,0, $AJ$4-$AJ$3+1))-2, $A$3:$A922,0)), $AJ$3+ROW(OFFSET($A$2,0, 0, $AJ$4-$AJ$3+1))-1), ROW(A274)))</f>
        <v>#NUM!</v>
      </c>
      <c r="AJ275" s="345">
        <f>Helpers!AY275</f>
        <v>0</v>
      </c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236"/>
      <c r="AV275" s="299"/>
      <c r="AW275" s="298" t="s">
        <v>2475</v>
      </c>
      <c r="AX275" s="56" t="s">
        <v>2479</v>
      </c>
      <c r="AY275" s="56" t="s">
        <v>2553</v>
      </c>
      <c r="AZ275" s="56" t="s">
        <v>2537</v>
      </c>
      <c r="BA275" s="56" t="s">
        <v>2277</v>
      </c>
    </row>
    <row r="276" spans="1:53" ht="13.5" thickBot="1">
      <c r="A276" s="111">
        <v>272</v>
      </c>
      <c r="B276" s="335" t="str">
        <f t="shared" si="80"/>
        <v>Alisha Myers</v>
      </c>
      <c r="C276" s="116" t="s">
        <v>1413</v>
      </c>
      <c r="D276" s="116" t="s">
        <v>1414</v>
      </c>
      <c r="E276"/>
      <c r="F276" s="363" t="str">
        <f>IF(SUM(COUNTIF(H276,{"*Girl*","*Women*","*Woman*","*Female*","*Wo*","*Fe*","*F*"})),"F","M")</f>
        <v>F</v>
      </c>
      <c r="G276" s="345" t="str">
        <f>IFERROR(IF(ISNUMBER(SEARCH("*",N276)),N276&amp;" "&amp;F276,IF(F276="M",LOOKUP(J276,AgeCategories!$A$3:$D$13),LOOKUP(J276,AgeCategories!$A$14:$D$24))),"Invalid Age")</f>
        <v>Lite F</v>
      </c>
      <c r="H276" s="175" t="s">
        <v>210</v>
      </c>
      <c r="I276" s="338">
        <f t="shared" si="81"/>
        <v>27519</v>
      </c>
      <c r="J276" s="364">
        <f>IFERROR(DATEDIF($I276,Helpers!$O$2,"y"),"ID No. needed")</f>
        <v>47</v>
      </c>
      <c r="K276" s="111"/>
      <c r="L276" s="300">
        <v>824991777</v>
      </c>
      <c r="M276" s="377" t="s">
        <v>2622</v>
      </c>
      <c r="N276" s="341" t="s">
        <v>2601</v>
      </c>
      <c r="O276" s="367" t="b">
        <v>1</v>
      </c>
      <c r="P276" s="241" t="b">
        <f>NOT(ISNA(VLOOKUP(A276,SortedDownload!A:A,1,FALSE)))</f>
        <v>1</v>
      </c>
      <c r="Q276" s="373" t="s">
        <v>2601</v>
      </c>
      <c r="R276" s="368"/>
      <c r="S276" s="235"/>
      <c r="T276" s="235"/>
      <c r="U276" s="369" t="s">
        <v>2054</v>
      </c>
      <c r="V276" s="337" t="str">
        <f t="shared" si="82"/>
        <v>-</v>
      </c>
      <c r="W276" s="339" t="str">
        <f t="shared" si="83"/>
        <v>Alisha Myers</v>
      </c>
      <c r="X276" s="345" t="str">
        <f t="shared" si="84"/>
        <v>Alisha</v>
      </c>
      <c r="Y276" s="345" t="str">
        <f t="shared" si="85"/>
        <v>Myers</v>
      </c>
      <c r="Z276" s="345" t="str">
        <f t="shared" si="86"/>
        <v>A.Myers</v>
      </c>
      <c r="AA276" s="378" t="str">
        <f t="shared" si="89"/>
        <v/>
      </c>
      <c r="AB276" s="378" t="str">
        <f t="shared" si="90"/>
        <v/>
      </c>
      <c r="AC276" s="345" t="str">
        <f>IFERROR(IF(ISNUMBER(SEARCH("*",N276)),N276&amp;" "&amp;F276,IF(F276="M",LOOKUP(J276,AgeCategories!$A$3:$F$11),LOOKUP(J276,AgeCategories!$A$14:$F$22))),"")</f>
        <v>Lite F</v>
      </c>
      <c r="AD276" s="370">
        <f t="shared" si="87"/>
        <v>27519</v>
      </c>
      <c r="AE276" s="345">
        <f t="shared" si="88"/>
        <v>47</v>
      </c>
      <c r="AF276" s="345" t="str">
        <f>IF(SUM(COUNTIF(H276,{"*Girl*","*Women*","*Woman*","*Female*","*Wo*","*Fe*","*F*"})),"F","M")</f>
        <v>F</v>
      </c>
      <c r="AG276" s="371"/>
      <c r="AH276" s="112"/>
      <c r="AI276" s="337" t="e">
        <f t="array" aca="1" ref="AI276" ca="1">(SMALL(IF(ISERROR(MATCH($AJ$3+ROW(OFFSET($A$3, 0,0, $AJ$4-$AJ$3+1))-2, $A$3:$A923,0)), $AJ$3+ROW(OFFSET($A$2,0, 0, $AJ$4-$AJ$3+1))-1), ROW(A275)))</f>
        <v>#NUM!</v>
      </c>
      <c r="AJ276" s="345">
        <f>Helpers!AY276</f>
        <v>0</v>
      </c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236"/>
      <c r="AV276" s="299"/>
      <c r="AW276" s="298" t="s">
        <v>2303</v>
      </c>
      <c r="AX276" s="56" t="s">
        <v>2484</v>
      </c>
      <c r="AY276" s="56" t="s">
        <v>2554</v>
      </c>
      <c r="AZ276" s="56" t="s">
        <v>2537</v>
      </c>
      <c r="BA276" s="56" t="s">
        <v>2590</v>
      </c>
    </row>
    <row r="277" spans="1:53" ht="13.5" customHeight="1" thickBot="1">
      <c r="A277" s="111">
        <v>273</v>
      </c>
      <c r="B277" s="335" t="str">
        <f t="shared" si="80"/>
        <v>Marc Ruwiel</v>
      </c>
      <c r="C277" s="116" t="s">
        <v>1708</v>
      </c>
      <c r="D277" s="116" t="s">
        <v>1757</v>
      </c>
      <c r="E277"/>
      <c r="F277" s="363" t="str">
        <f>IF(SUM(COUNTIF(H277,{"*Girl*","*Women*","*Woman*","*Female*","*Wo*","*Fe*","*F*"})),"F","M")</f>
        <v>M</v>
      </c>
      <c r="G277" s="345" t="str">
        <f>IFERROR(IF(ISNUMBER(SEARCH("*",N277)),N277&amp;" "&amp;F277,IF(F277="M",LOOKUP(J277,AgeCategories!$A$3:$D$13),LOOKUP(J277,AgeCategories!$A$14:$D$24))),"Invalid Age")</f>
        <v>Master Men</v>
      </c>
      <c r="H277" s="175" t="s">
        <v>209</v>
      </c>
      <c r="I277" s="338">
        <f t="shared" si="81"/>
        <v>24054</v>
      </c>
      <c r="J277" s="364">
        <f>IFERROR(DATEDIF($I277,Helpers!$O$2,"y"),"ID No. needed")</f>
        <v>57</v>
      </c>
      <c r="K277" s="111"/>
      <c r="L277" s="300">
        <v>834441357</v>
      </c>
      <c r="M277" s="365" t="s">
        <v>2017</v>
      </c>
      <c r="N277" s="366"/>
      <c r="O277" s="367" t="b">
        <v>1</v>
      </c>
      <c r="P277" s="241" t="b">
        <f>NOT(ISNA(VLOOKUP(A277,SortedDownload!A:A,1,FALSE)))</f>
        <v>1</v>
      </c>
      <c r="Q277" s="373" t="s">
        <v>2729</v>
      </c>
      <c r="R277" s="368"/>
      <c r="S277" s="235"/>
      <c r="T277" s="235"/>
      <c r="U277" s="369" t="s">
        <v>2273</v>
      </c>
      <c r="V277" s="337" t="str">
        <f t="shared" si="82"/>
        <v>-</v>
      </c>
      <c r="W277" s="339" t="str">
        <f t="shared" si="83"/>
        <v>Marc Ruwiel</v>
      </c>
      <c r="X277" s="345" t="str">
        <f t="shared" si="84"/>
        <v>Marc</v>
      </c>
      <c r="Y277" s="345" t="str">
        <f t="shared" si="85"/>
        <v>Ruwiel</v>
      </c>
      <c r="Z277" s="345" t="str">
        <f t="shared" si="86"/>
        <v>M.Ruwiel</v>
      </c>
      <c r="AA277" s="378" t="str">
        <f t="shared" si="89"/>
        <v/>
      </c>
      <c r="AB277" s="378" t="str">
        <f t="shared" si="90"/>
        <v/>
      </c>
      <c r="AC277" s="345" t="str">
        <f>IFERROR(IF(ISNUMBER(SEARCH("*",N277)),N277&amp;" "&amp;F277,IF(F277="M",LOOKUP(J277,AgeCategories!$A$3:$F$11),LOOKUP(J277,AgeCategories!$A$14:$F$22))),"")</f>
        <v>MM</v>
      </c>
      <c r="AD277" s="370">
        <f t="shared" si="87"/>
        <v>24054</v>
      </c>
      <c r="AE277" s="345">
        <f t="shared" si="88"/>
        <v>57</v>
      </c>
      <c r="AF277" s="345" t="str">
        <f>IF(SUM(COUNTIF(H277,{"*Girl*","*Women*","*Woman*","*Female*","*Wo*","*Fe*","*F*"})),"F","M")</f>
        <v>M</v>
      </c>
      <c r="AG277" s="371"/>
      <c r="AH277" s="112"/>
      <c r="AI277" s="337" t="e">
        <f t="array" aca="1" ref="AI277" ca="1">(SMALL(IF(ISERROR(MATCH($AJ$3+ROW(OFFSET($A$3, 0,0, $AJ$4-$AJ$3+1))-2, $A$3:$A924,0)), $AJ$3+ROW(OFFSET($A$2,0, 0, $AJ$4-$AJ$3+1))-1), ROW(A276)))</f>
        <v>#NUM!</v>
      </c>
      <c r="AJ277" s="345">
        <f>Helpers!AY277</f>
        <v>0</v>
      </c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236"/>
      <c r="AV277" s="299"/>
      <c r="AW277" s="298" t="s">
        <v>2476</v>
      </c>
      <c r="AX277" s="56" t="s">
        <v>2478</v>
      </c>
      <c r="AY277" s="56" t="s">
        <v>2584</v>
      </c>
      <c r="AZ277" s="56" t="s">
        <v>2537</v>
      </c>
      <c r="BA277" s="56"/>
    </row>
    <row r="278" spans="1:53" ht="13.5" customHeight="1" thickBot="1">
      <c r="A278" s="111">
        <v>274</v>
      </c>
      <c r="B278" s="335" t="str">
        <f t="shared" si="80"/>
        <v>Luca Ruwiel</v>
      </c>
      <c r="C278" s="116" t="s">
        <v>1384</v>
      </c>
      <c r="D278" s="116" t="s">
        <v>1757</v>
      </c>
      <c r="E278"/>
      <c r="F278" s="363" t="str">
        <f>IF(SUM(COUNTIF(H278,{"*Girl*","*Women*","*Woman*","*Female*","*Wo*","*Fe*","*F*"})),"F","M")</f>
        <v>M</v>
      </c>
      <c r="G278" s="345" t="str">
        <f>IFERROR(IF(ISNUMBER(SEARCH("*",N278)),N278&amp;" "&amp;F278,IF(F278="M",LOOKUP(J278,AgeCategories!$A$3:$D$13),LOOKUP(J278,AgeCategories!$A$14:$D$24))),"Invalid Age")</f>
        <v>Elite Men</v>
      </c>
      <c r="H278" s="175" t="s">
        <v>209</v>
      </c>
      <c r="I278" s="338">
        <f t="shared" si="81"/>
        <v>37697</v>
      </c>
      <c r="J278" s="364">
        <f>IFERROR(DATEDIF($I278,Helpers!$O$2,"y"),"ID No. needed")</f>
        <v>19</v>
      </c>
      <c r="K278" s="111"/>
      <c r="L278" s="300">
        <v>781800424</v>
      </c>
      <c r="M278" s="365" t="s">
        <v>2018</v>
      </c>
      <c r="N278" s="366"/>
      <c r="O278" s="367" t="b">
        <v>1</v>
      </c>
      <c r="P278" s="241" t="b">
        <f>NOT(ISNA(VLOOKUP(A278,SortedDownload!A:A,1,FALSE)))</f>
        <v>1</v>
      </c>
      <c r="Q278" s="373" t="s">
        <v>2631</v>
      </c>
      <c r="R278" s="368"/>
      <c r="S278" s="235"/>
      <c r="T278" s="235"/>
      <c r="U278" s="369" t="s">
        <v>2273</v>
      </c>
      <c r="V278" s="337" t="str">
        <f t="shared" si="82"/>
        <v>-</v>
      </c>
      <c r="W278" s="339" t="str">
        <f t="shared" si="83"/>
        <v>Luca Ruwiel</v>
      </c>
      <c r="X278" s="345" t="str">
        <f t="shared" si="84"/>
        <v>Luca</v>
      </c>
      <c r="Y278" s="345" t="str">
        <f t="shared" si="85"/>
        <v>Ruwiel</v>
      </c>
      <c r="Z278" s="345" t="str">
        <f t="shared" si="86"/>
        <v>L.Ruwiel</v>
      </c>
      <c r="AA278" s="378" t="str">
        <f t="shared" si="89"/>
        <v/>
      </c>
      <c r="AB278" s="378" t="str">
        <f t="shared" si="90"/>
        <v/>
      </c>
      <c r="AC278" s="345" t="str">
        <f>IFERROR(IF(ISNUMBER(SEARCH("*",N278)),N278&amp;" "&amp;F278,IF(F278="M",LOOKUP(J278,AgeCategories!$A$3:$F$11),LOOKUP(J278,AgeCategories!$A$14:$F$22))),"")</f>
        <v>EM</v>
      </c>
      <c r="AD278" s="370">
        <f t="shared" si="87"/>
        <v>37697</v>
      </c>
      <c r="AE278" s="345">
        <f t="shared" si="88"/>
        <v>19</v>
      </c>
      <c r="AF278" s="345" t="str">
        <f>IF(SUM(COUNTIF(H278,{"*Girl*","*Women*","*Woman*","*Female*","*Wo*","*Fe*","*F*"})),"F","M")</f>
        <v>M</v>
      </c>
      <c r="AG278" s="371"/>
      <c r="AH278" s="112"/>
      <c r="AI278" s="337" t="e">
        <f t="array" aca="1" ref="AI278" ca="1">(SMALL(IF(ISERROR(MATCH($AJ$3+ROW(OFFSET($A$3, 0,0, $AJ$4-$AJ$3+1))-2, $A$3:$A925,0)), $AJ$3+ROW(OFFSET($A$2,0, 0, $AJ$4-$AJ$3+1))-1), ROW(A277)))</f>
        <v>#NUM!</v>
      </c>
      <c r="AJ278" s="345">
        <f>Helpers!AY278</f>
        <v>0</v>
      </c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236"/>
      <c r="AV278" s="299"/>
      <c r="AW278" s="298" t="s">
        <v>2476</v>
      </c>
      <c r="AX278" s="56" t="s">
        <v>2478</v>
      </c>
      <c r="AY278" s="56" t="s">
        <v>2584</v>
      </c>
      <c r="AZ278" s="56" t="s">
        <v>2537</v>
      </c>
      <c r="BA278" s="56"/>
    </row>
    <row r="279" spans="1:53" ht="13.5" thickBot="1">
      <c r="A279" s="111">
        <v>275</v>
      </c>
      <c r="B279" s="335" t="str">
        <f t="shared" si="80"/>
        <v>Joshua Ord</v>
      </c>
      <c r="C279" s="116" t="s">
        <v>641</v>
      </c>
      <c r="D279" s="116" t="s">
        <v>1758</v>
      </c>
      <c r="E279"/>
      <c r="F279" s="363" t="str">
        <f>IF(SUM(COUNTIF(H279,{"*Girl*","*Women*","*Woman*","*Female*","*Wo*","*Fe*","*F*"})),"F","M")</f>
        <v>M</v>
      </c>
      <c r="G279" s="345" t="str">
        <f>IFERROR(IF(ISNUMBER(SEARCH("*",N279)),N279&amp;" "&amp;F279,IF(F279="M",LOOKUP(J279,AgeCategories!$A$3:$D$13),LOOKUP(J279,AgeCategories!$A$14:$D$24))),"Invalid Age")</f>
        <v>Sub Junior Boys</v>
      </c>
      <c r="H279" s="175" t="s">
        <v>209</v>
      </c>
      <c r="I279" s="338">
        <f t="shared" si="81"/>
        <v>39573</v>
      </c>
      <c r="J279" s="364">
        <f>IFERROR(DATEDIF($I279,Helpers!$O$2,"y"),"ID No. needed")</f>
        <v>14</v>
      </c>
      <c r="K279" s="111"/>
      <c r="L279" s="300">
        <v>715685076</v>
      </c>
      <c r="M279" s="377" t="s">
        <v>2619</v>
      </c>
      <c r="N279" s="341"/>
      <c r="O279" s="367" t="b">
        <v>1</v>
      </c>
      <c r="P279" s="241" t="b">
        <f>NOT(ISNA(VLOOKUP(A279,SortedDownload!A:A,1,FALSE)))</f>
        <v>1</v>
      </c>
      <c r="Q279" s="373" t="s">
        <v>2601</v>
      </c>
      <c r="R279" s="368"/>
      <c r="S279" s="235"/>
      <c r="T279" s="235"/>
      <c r="U279" s="369" t="s">
        <v>2274</v>
      </c>
      <c r="V279" s="337" t="str">
        <f t="shared" si="82"/>
        <v>-</v>
      </c>
      <c r="W279" s="339" t="str">
        <f t="shared" si="83"/>
        <v>Joshua Ord</v>
      </c>
      <c r="X279" s="345" t="str">
        <f t="shared" si="84"/>
        <v>Joshua</v>
      </c>
      <c r="Y279" s="345" t="str">
        <f t="shared" si="85"/>
        <v>Ord</v>
      </c>
      <c r="Z279" s="345" t="str">
        <f t="shared" si="86"/>
        <v>J.Ord</v>
      </c>
      <c r="AA279" s="378" t="str">
        <f t="shared" si="89"/>
        <v/>
      </c>
      <c r="AB279" s="378" t="str">
        <f t="shared" si="90"/>
        <v/>
      </c>
      <c r="AC279" s="345" t="str">
        <f>IFERROR(IF(ISNUMBER(SEARCH("*",N279)),N279&amp;" "&amp;F279,IF(F279="M",LOOKUP(J279,AgeCategories!$A$3:$F$11),LOOKUP(J279,AgeCategories!$A$14:$F$22))),"")</f>
        <v>JB</v>
      </c>
      <c r="AD279" s="370">
        <f t="shared" si="87"/>
        <v>39573</v>
      </c>
      <c r="AE279" s="345">
        <f t="shared" si="88"/>
        <v>14</v>
      </c>
      <c r="AF279" s="345" t="str">
        <f>IF(SUM(COUNTIF(H279,{"*Girl*","*Women*","*Woman*","*Female*","*Wo*","*Fe*","*F*"})),"F","M")</f>
        <v>M</v>
      </c>
      <c r="AG279" s="371"/>
      <c r="AH279" s="112"/>
      <c r="AI279" s="337" t="e">
        <f t="array" aca="1" ref="AI279" ca="1">(SMALL(IF(ISERROR(MATCH($AJ$3+ROW(OFFSET($A$3, 0,0, $AJ$4-$AJ$3+1))-2, $A$3:$A926,0)), $AJ$3+ROW(OFFSET($A$2,0, 0, $AJ$4-$AJ$3+1))-1), ROW(A278)))</f>
        <v>#NUM!</v>
      </c>
      <c r="AJ279" s="345">
        <f>Helpers!AY279</f>
        <v>0</v>
      </c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236"/>
      <c r="AV279" s="299"/>
      <c r="AW279" s="298" t="s">
        <v>2477</v>
      </c>
      <c r="AX279" s="56" t="s">
        <v>2479</v>
      </c>
      <c r="AY279" s="56" t="s">
        <v>682</v>
      </c>
      <c r="AZ279" s="56" t="s">
        <v>2539</v>
      </c>
      <c r="BA279" s="56"/>
    </row>
    <row r="280" spans="1:53" ht="13.5" customHeight="1" thickBot="1">
      <c r="A280" s="111">
        <v>276</v>
      </c>
      <c r="B280" s="335" t="str">
        <f t="shared" si="80"/>
        <v>Melanie Cleary</v>
      </c>
      <c r="C280" s="116" t="s">
        <v>1759</v>
      </c>
      <c r="D280" s="116" t="s">
        <v>1617</v>
      </c>
      <c r="E280"/>
      <c r="F280" s="363" t="str">
        <f>IF(SUM(COUNTIF(H280,{"*Girl*","*Women*","*Woman*","*Female*","*Wo*","*Fe*","*F*"})),"F","M")</f>
        <v>F</v>
      </c>
      <c r="G280" s="345" t="str">
        <f>IFERROR(IF(ISNUMBER(SEARCH("*",N280)),N280&amp;" "&amp;F280,IF(F280="M",LOOKUP(J280,AgeCategories!$A$3:$D$13),LOOKUP(J280,AgeCategories!$A$14:$D$24))),"Invalid Age")</f>
        <v>Master Women</v>
      </c>
      <c r="H280" s="175" t="s">
        <v>210</v>
      </c>
      <c r="I280" s="338">
        <f t="shared" si="81"/>
        <v>25837</v>
      </c>
      <c r="J280" s="364">
        <f>IFERROR(DATEDIF($I280,Helpers!$O$2,"y"),"ID No. needed")</f>
        <v>52</v>
      </c>
      <c r="K280" s="111"/>
      <c r="L280" s="300">
        <v>826495889</v>
      </c>
      <c r="M280" s="365" t="s">
        <v>2020</v>
      </c>
      <c r="N280" s="366"/>
      <c r="O280" s="367" t="b">
        <v>0</v>
      </c>
      <c r="P280" s="241" t="b">
        <f>NOT(ISNA(VLOOKUP(A280,SortedDownload!A:A,1,FALSE)))</f>
        <v>0</v>
      </c>
      <c r="Q280" s="373" t="s">
        <v>2631</v>
      </c>
      <c r="R280" s="368"/>
      <c r="S280" s="235"/>
      <c r="T280" s="235"/>
      <c r="U280" s="369" t="s">
        <v>2184</v>
      </c>
      <c r="V280" s="337" t="str">
        <f t="shared" si="82"/>
        <v>-</v>
      </c>
      <c r="W280" s="339" t="str">
        <f t="shared" si="83"/>
        <v>Melanie Cleary</v>
      </c>
      <c r="X280" s="345" t="str">
        <f t="shared" si="84"/>
        <v>Melanie</v>
      </c>
      <c r="Y280" s="345" t="str">
        <f t="shared" si="85"/>
        <v>Cleary</v>
      </c>
      <c r="Z280" s="345" t="str">
        <f t="shared" si="86"/>
        <v>M.Cleary</v>
      </c>
      <c r="AA280" s="378" t="str">
        <f t="shared" si="89"/>
        <v/>
      </c>
      <c r="AB280" s="378" t="str">
        <f t="shared" si="90"/>
        <v/>
      </c>
      <c r="AC280" s="345" t="str">
        <f>IFERROR(IF(ISNUMBER(SEARCH("*",N280)),N280&amp;" "&amp;F280,IF(F280="M",LOOKUP(J280,AgeCategories!$A$3:$F$11),LOOKUP(J280,AgeCategories!$A$14:$F$22))),"")</f>
        <v>MW</v>
      </c>
      <c r="AD280" s="370">
        <f t="shared" si="87"/>
        <v>25837</v>
      </c>
      <c r="AE280" s="345">
        <f t="shared" si="88"/>
        <v>52</v>
      </c>
      <c r="AF280" s="345" t="str">
        <f>IF(SUM(COUNTIF(H280,{"*Girl*","*Women*","*Woman*","*Female*","*Wo*","*Fe*","*F*"})),"F","M")</f>
        <v>F</v>
      </c>
      <c r="AG280" s="371"/>
      <c r="AH280" s="112"/>
      <c r="AI280" s="337" t="e">
        <f t="array" aca="1" ref="AI280" ca="1">(SMALL(IF(ISERROR(MATCH($AJ$3+ROW(OFFSET($A$3, 0,0, $AJ$4-$AJ$3+1))-2, $A$3:$A927,0)), $AJ$3+ROW(OFFSET($A$2,0, 0, $AJ$4-$AJ$3+1))-1), ROW(A279)))</f>
        <v>#NUM!</v>
      </c>
      <c r="AJ280" s="345">
        <f>Helpers!AY280</f>
        <v>0</v>
      </c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236"/>
      <c r="AV280" s="299"/>
      <c r="AW280" s="298"/>
      <c r="AX280" s="56" t="s">
        <v>2522</v>
      </c>
      <c r="AY280" s="56"/>
      <c r="AZ280" s="56" t="s">
        <v>2537</v>
      </c>
      <c r="BA280" s="56"/>
    </row>
    <row r="281" spans="1:53" ht="13.5" thickBot="1">
      <c r="A281" s="111">
        <v>279</v>
      </c>
      <c r="B281" s="335" t="str">
        <f t="shared" ref="B281:B286" si="91">PROPER($C281&amp;" "&amp;$D281)</f>
        <v>Michelle Witteven</v>
      </c>
      <c r="C281" s="116" t="s">
        <v>2637</v>
      </c>
      <c r="D281" s="116" t="s">
        <v>2641</v>
      </c>
      <c r="E281" s="379"/>
      <c r="F281" s="363" t="str">
        <f>IF(SUM(COUNTIF(H281,{"*Girl*","*Women*","*Woman*","*Female*","*Wo*","*Fe*","*F*"})),"F","M")</f>
        <v>F</v>
      </c>
      <c r="G281" s="345" t="str">
        <f>IFERROR(IF(ISNUMBER(SEARCH("*",N281)),N281&amp;" "&amp;F281,IF(F281="M",LOOKUP(J281,AgeCategories!$A$3:$D$13),LOOKUP(J281,AgeCategories!$A$14:$D$24))),"Invalid Age")</f>
        <v>Master Women</v>
      </c>
      <c r="H281" s="175" t="s">
        <v>210</v>
      </c>
      <c r="I281" s="338" t="str">
        <f t="shared" si="81"/>
        <v>ID No. needed</v>
      </c>
      <c r="J281" s="364">
        <v>50505</v>
      </c>
      <c r="K281" s="111"/>
      <c r="L281" s="300"/>
      <c r="M281" s="365"/>
      <c r="N281" s="366"/>
      <c r="O281" s="367" t="b">
        <v>1</v>
      </c>
      <c r="P281" s="241" t="b">
        <f>NOT(ISNA(VLOOKUP(A281,SortedDownload!A:A,1,FALSE)))</f>
        <v>1</v>
      </c>
      <c r="Q281" s="373" t="s">
        <v>2729</v>
      </c>
      <c r="R281" s="368"/>
      <c r="S281" s="235"/>
      <c r="T281" s="235"/>
      <c r="U281" s="369"/>
      <c r="V281" s="337" t="str">
        <f t="shared" ref="V281:V286" si="92">IF(K281="", "-", K281)</f>
        <v>-</v>
      </c>
      <c r="W281" s="339" t="str">
        <f t="shared" ref="W281:W286" si="93">B281</f>
        <v>Michelle Witteven</v>
      </c>
      <c r="X281" s="345" t="str">
        <f t="shared" ref="X281:X286" si="94">LEFT($W281, SEARCH(" ", $W281) - 1)</f>
        <v>Michelle</v>
      </c>
      <c r="Y281" s="345" t="str">
        <f t="shared" ref="Y281:Y286" si="95">RIGHT($W281, LEN($W281) - SEARCH(" ", $W281))</f>
        <v>Witteven</v>
      </c>
      <c r="Z281" s="345" t="str">
        <f t="shared" ref="Z281:Z286" si="96">CONCATENATE(LEFT($X281,1),".",$Y281)</f>
        <v>M.Witteven</v>
      </c>
      <c r="AA281" s="378" t="str">
        <f t="shared" si="89"/>
        <v/>
      </c>
      <c r="AB281" s="378" t="str">
        <f t="shared" si="90"/>
        <v/>
      </c>
      <c r="AC281" s="345" t="str">
        <f>IFERROR(IF(ISNUMBER(SEARCH("*",N281)),N281&amp;" "&amp;F281,IF(F281="M",LOOKUP(J281,AgeCategories!$A$3:$F$11),LOOKUP(J281,AgeCategories!$A$14:$F$22))),"")</f>
        <v>MW</v>
      </c>
      <c r="AD281" s="370" t="e">
        <f t="shared" ref="AD281:AD286" si="97">--TEXT(IF((--LEFT($M281,2))&lt;30,"20","19")&amp;LEFT($M281,6),"0000\-00\-00")</f>
        <v>#VALUE!</v>
      </c>
      <c r="AE281" s="345" t="e">
        <f t="shared" ref="AE281:AE286" si="98">DATEDIF($I281,$V$1,"y")</f>
        <v>#VALUE!</v>
      </c>
      <c r="AF281" s="345" t="str">
        <f>IF(SUM(COUNTIF(H281,{"*Girl*","*Women*","*Woman*","*Female*","*Wo*","*Fe*","*F*"})),"F","M")</f>
        <v>F</v>
      </c>
      <c r="AG281" s="371"/>
      <c r="AH281" s="112"/>
      <c r="AI281" s="337" t="e">
        <f t="array" aca="1" ref="AI281" ca="1">(SMALL(IF(ISERROR(MATCH($AJ$3+ROW(OFFSET($A$3, 0,0, $AJ$4-$AJ$3+1))-2, $A$3:$A927,0)), $AJ$3+ROW(OFFSET($A$2,0, 0, $AJ$4-$AJ$3+1))-1), ROW(A280)))</f>
        <v>#NUM!</v>
      </c>
      <c r="AJ281" s="345">
        <f>Helpers!AY280</f>
        <v>0</v>
      </c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236"/>
      <c r="AV281" s="299"/>
      <c r="AW281" s="298"/>
      <c r="AX281" s="56"/>
      <c r="AY281" s="56"/>
      <c r="AZ281" s="56"/>
      <c r="BA281" s="56"/>
    </row>
    <row r="282" spans="1:53" ht="13.5" thickBot="1">
      <c r="A282" s="111">
        <v>280</v>
      </c>
      <c r="B282" s="335" t="str">
        <f t="shared" si="91"/>
        <v>Daniel Dobinson</v>
      </c>
      <c r="C282" s="116" t="s">
        <v>1507</v>
      </c>
      <c r="D282" s="116" t="s">
        <v>2642</v>
      </c>
      <c r="E282" s="379"/>
      <c r="F282" s="363" t="str">
        <f>IF(SUM(COUNTIF(H282,{"*Girl*","*Women*","*Woman*","*Female*","*Wo*","*Fe*","*F*"})),"F","M")</f>
        <v>M</v>
      </c>
      <c r="G282" s="345" t="str">
        <f>IFERROR(IF(ISNUMBER(SEARCH("*",N282)),N282&amp;" "&amp;F282,IF(F282="M",LOOKUP(J282,AgeCategories!$A$3:$D$13),LOOKUP(J282,AgeCategories!$A$14:$D$24))),"Invalid Age")</f>
        <v>E-Bike M</v>
      </c>
      <c r="H282" s="175" t="s">
        <v>209</v>
      </c>
      <c r="I282" s="338" t="str">
        <f t="shared" si="81"/>
        <v>ID No. needed</v>
      </c>
      <c r="J282" s="364">
        <v>780115</v>
      </c>
      <c r="K282" s="111"/>
      <c r="L282" s="300"/>
      <c r="M282" s="365"/>
      <c r="N282" s="366" t="s">
        <v>560</v>
      </c>
      <c r="O282" s="367" t="b">
        <v>0</v>
      </c>
      <c r="P282" s="241" t="b">
        <f>NOT(ISNA(VLOOKUP(A282,SortedDownload!A:A,1,FALSE)))</f>
        <v>0</v>
      </c>
      <c r="Q282" s="373" t="s">
        <v>2729</v>
      </c>
      <c r="R282" s="368"/>
      <c r="S282" s="235"/>
      <c r="T282" s="235"/>
      <c r="U282" s="369"/>
      <c r="V282" s="337" t="str">
        <f t="shared" si="92"/>
        <v>-</v>
      </c>
      <c r="W282" s="339" t="str">
        <f t="shared" si="93"/>
        <v>Daniel Dobinson</v>
      </c>
      <c r="X282" s="345" t="str">
        <f t="shared" si="94"/>
        <v>Daniel</v>
      </c>
      <c r="Y282" s="345" t="str">
        <f t="shared" si="95"/>
        <v>Dobinson</v>
      </c>
      <c r="Z282" s="345" t="str">
        <f t="shared" si="96"/>
        <v>D.Dobinson</v>
      </c>
      <c r="AA282" s="378" t="str">
        <f t="shared" si="89"/>
        <v/>
      </c>
      <c r="AB282" s="378" t="str">
        <f t="shared" si="90"/>
        <v/>
      </c>
      <c r="AC282" s="345" t="str">
        <f>IFERROR(IF(ISNUMBER(SEARCH("*",N282)),N282&amp;" "&amp;F282,IF(F282="M",LOOKUP(J282,AgeCategories!$A$3:$F$11),LOOKUP(J282,AgeCategories!$A$14:$F$22))),"")</f>
        <v>E-Bike M</v>
      </c>
      <c r="AD282" s="370" t="e">
        <f t="shared" si="97"/>
        <v>#VALUE!</v>
      </c>
      <c r="AE282" s="345" t="e">
        <f t="shared" si="98"/>
        <v>#VALUE!</v>
      </c>
      <c r="AF282" s="345" t="str">
        <f>IF(SUM(COUNTIF(H282,{"*Girl*","*Women*","*Woman*","*Female*","*Wo*","*Fe*","*F*"})),"F","M")</f>
        <v>M</v>
      </c>
      <c r="AG282" s="371"/>
      <c r="AH282" s="112"/>
      <c r="AI282" s="337" t="e">
        <f t="array" aca="1" ref="AI282" ca="1">(SMALL(IF(ISERROR(MATCH($AJ$3+ROW(OFFSET($A$3, 0,0, $AJ$4-$AJ$3+1))-2, $A$3:$A928,0)), $AJ$3+ROW(OFFSET($A$2,0, 0, $AJ$4-$AJ$3+1))-1), ROW(A281)))</f>
        <v>#NUM!</v>
      </c>
      <c r="AJ282" s="345">
        <f>Helpers!AY281</f>
        <v>0</v>
      </c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236"/>
      <c r="AV282" s="299"/>
      <c r="AW282" s="298"/>
      <c r="AX282" s="56"/>
      <c r="AY282" s="56"/>
      <c r="AZ282" s="56"/>
      <c r="BA282" s="56"/>
    </row>
    <row r="283" spans="1:53" ht="13.5" thickBot="1">
      <c r="A283" s="111">
        <v>281</v>
      </c>
      <c r="B283" s="335" t="str">
        <f t="shared" si="91"/>
        <v>Darryn Stow</v>
      </c>
      <c r="C283" s="116" t="s">
        <v>2643</v>
      </c>
      <c r="D283" s="116" t="s">
        <v>1417</v>
      </c>
      <c r="E283" s="379"/>
      <c r="F283" s="363" t="str">
        <f>IF(SUM(COUNTIF(H283,{"*Girl*","*Women*","*Woman*","*Female*","*Wo*","*Fe*","*F*"})),"F","M")</f>
        <v>M</v>
      </c>
      <c r="G283" s="345" t="str">
        <f>IFERROR(IF(ISNUMBER(SEARCH("*",N283)),N283&amp;" "&amp;F283,IF(F283="M",LOOKUP(J283,AgeCategories!$A$3:$D$13),LOOKUP(J283,AgeCategories!$A$14:$D$24))),"Invalid Age")</f>
        <v>Master Men</v>
      </c>
      <c r="H283" s="175" t="s">
        <v>209</v>
      </c>
      <c r="I283" s="338" t="str">
        <f t="shared" si="81"/>
        <v>ID No. needed</v>
      </c>
      <c r="J283" s="364">
        <v>50505</v>
      </c>
      <c r="K283" s="111"/>
      <c r="L283" s="300"/>
      <c r="M283" s="365"/>
      <c r="N283" s="366"/>
      <c r="O283" s="367" t="b">
        <v>0</v>
      </c>
      <c r="P283" s="241" t="b">
        <f>NOT(ISNA(VLOOKUP(A283,SortedDownload!A:A,1,FALSE)))</f>
        <v>0</v>
      </c>
      <c r="Q283" s="373" t="s">
        <v>2632</v>
      </c>
      <c r="R283" s="368"/>
      <c r="S283" s="235"/>
      <c r="T283" s="235"/>
      <c r="U283" s="369"/>
      <c r="V283" s="337" t="str">
        <f t="shared" si="92"/>
        <v>-</v>
      </c>
      <c r="W283" s="339" t="str">
        <f t="shared" si="93"/>
        <v>Darryn Stow</v>
      </c>
      <c r="X283" s="345" t="str">
        <f t="shared" si="94"/>
        <v>Darryn</v>
      </c>
      <c r="Y283" s="345" t="str">
        <f t="shared" si="95"/>
        <v>Stow</v>
      </c>
      <c r="Z283" s="345" t="str">
        <f t="shared" si="96"/>
        <v>D.Stow</v>
      </c>
      <c r="AA283" s="378" t="str">
        <f t="shared" si="89"/>
        <v/>
      </c>
      <c r="AB283" s="378" t="str">
        <f t="shared" si="90"/>
        <v/>
      </c>
      <c r="AC283" s="345" t="str">
        <f>IFERROR(IF(ISNUMBER(SEARCH("*",N283)),N283&amp;" "&amp;F283,IF(F283="M",LOOKUP(J283,AgeCategories!$A$3:$F$11),LOOKUP(J283,AgeCategories!$A$14:$F$22))),"")</f>
        <v>MM</v>
      </c>
      <c r="AD283" s="370" t="e">
        <f t="shared" si="97"/>
        <v>#VALUE!</v>
      </c>
      <c r="AE283" s="345" t="e">
        <f t="shared" si="98"/>
        <v>#VALUE!</v>
      </c>
      <c r="AF283" s="345" t="str">
        <f>IF(SUM(COUNTIF(H283,{"*Girl*","*Women*","*Woman*","*Female*","*Wo*","*Fe*","*F*"})),"F","M")</f>
        <v>M</v>
      </c>
      <c r="AG283" s="371"/>
      <c r="AH283" s="112"/>
      <c r="AI283" s="337" t="e">
        <f t="array" aca="1" ref="AI283" ca="1">(SMALL(IF(ISERROR(MATCH($AJ$3+ROW(OFFSET($A$3, 0,0, $AJ$4-$AJ$3+1))-2, $A$3:$A929,0)), $AJ$3+ROW(OFFSET($A$2,0, 0, $AJ$4-$AJ$3+1))-1), ROW(A282)))</f>
        <v>#NUM!</v>
      </c>
      <c r="AJ283" s="345">
        <f>Helpers!AY282</f>
        <v>0</v>
      </c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236"/>
      <c r="AV283" s="299"/>
      <c r="AW283" s="298"/>
      <c r="AX283" s="56"/>
      <c r="AY283" s="56"/>
      <c r="AZ283" s="56"/>
      <c r="BA283" s="56"/>
    </row>
    <row r="284" spans="1:53" ht="13.5" thickBot="1">
      <c r="A284" s="111">
        <v>285</v>
      </c>
      <c r="B284" s="335" t="str">
        <f t="shared" si="91"/>
        <v>Piet Brummer</v>
      </c>
      <c r="C284" s="116" t="s">
        <v>2644</v>
      </c>
      <c r="D284" s="116" t="s">
        <v>2645</v>
      </c>
      <c r="E284" s="379" t="s">
        <v>2646</v>
      </c>
      <c r="F284" s="363" t="s">
        <v>209</v>
      </c>
      <c r="G284" s="345" t="str">
        <f>IFERROR(IF(ISNUMBER(SEARCH("*",N284)),N284&amp;" "&amp;F284,IF(F284="M",LOOKUP(J284,AgeCategories!$A$3:$D$13),LOOKUP(J284,AgeCategories!$A$14:$D$24))),"Invalid Age")</f>
        <v>Elite Men</v>
      </c>
      <c r="H284" s="175" t="s">
        <v>209</v>
      </c>
      <c r="I284" s="338">
        <f t="shared" ref="I284:I286" si="99">IFERROR(--TEXT(IF((--LEFT($M284,2))&lt;30,"20","19")&amp;LEFT($M284,6),"0000\-00\-00"),"ID No. needed")</f>
        <v>37162</v>
      </c>
      <c r="J284" s="364">
        <f>IFERROR(DATEDIF($I284,Helpers!$O$2,"y"),"ID No. needed")</f>
        <v>21</v>
      </c>
      <c r="K284" s="111" t="s">
        <v>146</v>
      </c>
      <c r="L284" s="300" t="s">
        <v>146</v>
      </c>
      <c r="M284" s="365" t="s">
        <v>2731</v>
      </c>
      <c r="N284" s="366" t="s">
        <v>146</v>
      </c>
      <c r="O284" s="367" t="b">
        <v>1</v>
      </c>
      <c r="P284" s="241" t="b">
        <f>NOT(ISNA(VLOOKUP(A284,SortedDownload!A:A,1,FALSE)))</f>
        <v>1</v>
      </c>
      <c r="Q284" s="373" t="s">
        <v>2601</v>
      </c>
      <c r="R284" s="368" t="s">
        <v>146</v>
      </c>
      <c r="S284" s="235" t="s">
        <v>146</v>
      </c>
      <c r="T284" s="235" t="s">
        <v>146</v>
      </c>
      <c r="U284" s="369" t="s">
        <v>146</v>
      </c>
      <c r="V284" s="337" t="str">
        <f t="shared" si="92"/>
        <v>-</v>
      </c>
      <c r="W284" s="339" t="str">
        <f t="shared" si="93"/>
        <v>Piet Brummer</v>
      </c>
      <c r="X284" s="345" t="str">
        <f t="shared" si="94"/>
        <v>Piet</v>
      </c>
      <c r="Y284" s="345" t="str">
        <f t="shared" si="95"/>
        <v>Brummer</v>
      </c>
      <c r="Z284" s="345" t="str">
        <f t="shared" si="96"/>
        <v>P.Brummer</v>
      </c>
      <c r="AA284" s="378" t="str">
        <f t="shared" si="89"/>
        <v/>
      </c>
      <c r="AB284" s="378" t="str">
        <f t="shared" si="90"/>
        <v/>
      </c>
      <c r="AC284" s="345" t="str">
        <f>IFERROR(IF(ISNUMBER(SEARCH("*",N284)),N284&amp;" "&amp;F284,IF(F284="M",LOOKUP(J284,AgeCategories!$A$3:$F$11),LOOKUP(J284,AgeCategories!$A$14:$F$22))),"")</f>
        <v>EM</v>
      </c>
      <c r="AD284" s="370">
        <f t="shared" si="97"/>
        <v>37162</v>
      </c>
      <c r="AE284" s="345">
        <f t="shared" si="98"/>
        <v>21</v>
      </c>
      <c r="AF284" s="345" t="str">
        <f>IF(SUM(COUNTIF(H284,{"*Girl*","*Women*","*Woman*","*Female*","*Wo*","*Fe*","*F*"})),"F","M")</f>
        <v>M</v>
      </c>
      <c r="AG284" s="371"/>
      <c r="AH284" s="112"/>
      <c r="AI284" s="337" t="e">
        <f t="array" aca="1" ref="AI284" ca="1">(SMALL(IF(ISERROR(MATCH($AJ$3+ROW(OFFSET($A$3, 0,0, $AJ$4-$AJ$3+1))-2, $A$3:$A930,0)), $AJ$3+ROW(OFFSET($A$2,0, 0, $AJ$4-$AJ$3+1))-1), ROW(A283)))</f>
        <v>#NUM!</v>
      </c>
      <c r="AJ284" s="345">
        <f>Helpers!AY283</f>
        <v>0</v>
      </c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236"/>
      <c r="AV284" s="299"/>
      <c r="AW284" s="298"/>
      <c r="AX284" s="56"/>
      <c r="AY284" s="56"/>
      <c r="AZ284" s="56"/>
      <c r="BA284" s="56"/>
    </row>
    <row r="285" spans="1:53" ht="13.5" thickBot="1">
      <c r="A285" s="111">
        <v>286</v>
      </c>
      <c r="B285" s="335" t="str">
        <f t="shared" si="91"/>
        <v>Nigel Basson</v>
      </c>
      <c r="C285" s="116" t="s">
        <v>1422</v>
      </c>
      <c r="D285" s="116" t="s">
        <v>2647</v>
      </c>
      <c r="E285" s="379"/>
      <c r="F285" s="363" t="s">
        <v>209</v>
      </c>
      <c r="G285" s="345" t="str">
        <f>IFERROR(IF(ISNUMBER(SEARCH("*",N285)),N285&amp;" "&amp;F285,IF(F285="M",LOOKUP(J285,AgeCategories!$A$3:$D$13),LOOKUP(J285,AgeCategories!$A$14:$D$24))),"Invalid Age")</f>
        <v>Master Men</v>
      </c>
      <c r="H285" s="175" t="s">
        <v>209</v>
      </c>
      <c r="I285" s="338">
        <f t="shared" si="99"/>
        <v>24061</v>
      </c>
      <c r="J285" s="364">
        <f>IFERROR(DATEDIF($I285,Helpers!$O$2,"y"),"ID No. needed")</f>
        <v>57</v>
      </c>
      <c r="K285" s="111" t="s">
        <v>146</v>
      </c>
      <c r="L285" s="300" t="s">
        <v>146</v>
      </c>
      <c r="M285" s="365" t="s">
        <v>2730</v>
      </c>
      <c r="N285" s="366"/>
      <c r="O285" s="367" t="b">
        <v>0</v>
      </c>
      <c r="P285" s="241" t="b">
        <f>NOT(ISNA(VLOOKUP(A285,SortedDownload!A:A,1,FALSE)))</f>
        <v>0</v>
      </c>
      <c r="Q285" s="373" t="s">
        <v>2632</v>
      </c>
      <c r="R285" s="368" t="s">
        <v>146</v>
      </c>
      <c r="S285" s="235" t="s">
        <v>146</v>
      </c>
      <c r="T285" s="235" t="s">
        <v>146</v>
      </c>
      <c r="U285" s="369" t="s">
        <v>146</v>
      </c>
      <c r="V285" s="337" t="str">
        <f t="shared" si="92"/>
        <v>-</v>
      </c>
      <c r="W285" s="339" t="str">
        <f t="shared" si="93"/>
        <v>Nigel Basson</v>
      </c>
      <c r="X285" s="345" t="str">
        <f t="shared" si="94"/>
        <v>Nigel</v>
      </c>
      <c r="Y285" s="345" t="str">
        <f t="shared" si="95"/>
        <v>Basson</v>
      </c>
      <c r="Z285" s="345" t="str">
        <f t="shared" si="96"/>
        <v>N.Basson</v>
      </c>
      <c r="AA285" s="378" t="str">
        <f t="shared" si="89"/>
        <v/>
      </c>
      <c r="AB285" s="378" t="str">
        <f t="shared" si="90"/>
        <v/>
      </c>
      <c r="AC285" s="345" t="str">
        <f>IFERROR(IF(ISNUMBER(SEARCH("*",N285)),N285&amp;" "&amp;F285,IF(F285="M",LOOKUP(J285,AgeCategories!$A$3:$F$11),LOOKUP(J285,AgeCategories!$A$14:$F$22))),"")</f>
        <v>MM</v>
      </c>
      <c r="AD285" s="370">
        <f t="shared" si="97"/>
        <v>24061</v>
      </c>
      <c r="AE285" s="345">
        <f t="shared" si="98"/>
        <v>57</v>
      </c>
      <c r="AF285" s="345" t="str">
        <f>IF(SUM(COUNTIF(H285,{"*Girl*","*Women*","*Woman*","*Female*","*Wo*","*Fe*","*F*"})),"F","M")</f>
        <v>M</v>
      </c>
      <c r="AG285" s="371"/>
      <c r="AH285" s="112"/>
      <c r="AI285" s="337" t="e">
        <f t="array" aca="1" ref="AI285" ca="1">(SMALL(IF(ISERROR(MATCH($AJ$3+ROW(OFFSET($A$3, 0,0, $AJ$4-$AJ$3+1))-2, $A$3:$A931,0)), $AJ$3+ROW(OFFSET($A$2,0, 0, $AJ$4-$AJ$3+1))-1), ROW(A284)))</f>
        <v>#NUM!</v>
      </c>
      <c r="AJ285" s="345">
        <f>Helpers!AY284</f>
        <v>0</v>
      </c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236"/>
      <c r="AV285" s="299"/>
      <c r="AW285" s="298"/>
      <c r="AX285" s="56"/>
      <c r="AY285" s="56"/>
      <c r="AZ285" s="56"/>
      <c r="BA285" s="56"/>
    </row>
    <row r="286" spans="1:53" ht="13.5" thickBot="1">
      <c r="A286" s="111">
        <v>287</v>
      </c>
      <c r="B286" s="335" t="str">
        <f t="shared" si="91"/>
        <v>Dewald Oosthuizen</v>
      </c>
      <c r="C286" s="116" t="s">
        <v>2648</v>
      </c>
      <c r="D286" s="116" t="s">
        <v>1690</v>
      </c>
      <c r="E286" s="379" t="s">
        <v>2646</v>
      </c>
      <c r="F286" s="363" t="s">
        <v>209</v>
      </c>
      <c r="G286" s="345" t="str">
        <f>IFERROR(IF(ISNUMBER(SEARCH("*",N286)),N286&amp;" "&amp;F286,IF(F286="M",LOOKUP(J286,AgeCategories!$A$3:$D$13),LOOKUP(J286,AgeCategories!$A$14:$D$24))),"Invalid Age")</f>
        <v>E-Bike M</v>
      </c>
      <c r="H286" s="175" t="s">
        <v>209</v>
      </c>
      <c r="I286" s="338">
        <f t="shared" si="99"/>
        <v>33974</v>
      </c>
      <c r="J286" s="364">
        <f>IFERROR(DATEDIF($I286,Helpers!$O$2,"y"),"ID No. needed")</f>
        <v>29</v>
      </c>
      <c r="K286" s="111" t="s">
        <v>146</v>
      </c>
      <c r="L286" s="300" t="s">
        <v>146</v>
      </c>
      <c r="M286" s="365">
        <v>930105</v>
      </c>
      <c r="N286" s="366" t="s">
        <v>560</v>
      </c>
      <c r="O286" s="367" t="b">
        <v>1</v>
      </c>
      <c r="P286" s="241" t="b">
        <f>NOT(ISNA(VLOOKUP(A286,SortedDownload!A:A,1,FALSE)))</f>
        <v>1</v>
      </c>
      <c r="Q286" s="373" t="s">
        <v>2729</v>
      </c>
      <c r="R286" s="368" t="s">
        <v>146</v>
      </c>
      <c r="S286" s="235" t="s">
        <v>146</v>
      </c>
      <c r="T286" s="235" t="s">
        <v>146</v>
      </c>
      <c r="U286" s="369" t="s">
        <v>146</v>
      </c>
      <c r="V286" s="337" t="str">
        <f t="shared" si="92"/>
        <v>-</v>
      </c>
      <c r="W286" s="339" t="str">
        <f t="shared" si="93"/>
        <v>Dewald Oosthuizen</v>
      </c>
      <c r="X286" s="345" t="str">
        <f t="shared" si="94"/>
        <v>Dewald</v>
      </c>
      <c r="Y286" s="345" t="str">
        <f t="shared" si="95"/>
        <v>Oosthuizen</v>
      </c>
      <c r="Z286" s="345" t="str">
        <f t="shared" si="96"/>
        <v>D.Oosthuizen</v>
      </c>
      <c r="AA286" s="378" t="str">
        <f t="shared" si="89"/>
        <v/>
      </c>
      <c r="AB286" s="378" t="str">
        <f t="shared" si="90"/>
        <v/>
      </c>
      <c r="AC286" s="345" t="str">
        <f>IFERROR(IF(ISNUMBER(SEARCH("*",N286)),N286&amp;" "&amp;F286,IF(F286="M",LOOKUP(J286,AgeCategories!$A$3:$F$11),LOOKUP(J286,AgeCategories!$A$14:$F$22))),"")</f>
        <v>E-Bike M</v>
      </c>
      <c r="AD286" s="370">
        <f t="shared" si="97"/>
        <v>33974</v>
      </c>
      <c r="AE286" s="345">
        <f t="shared" si="98"/>
        <v>29</v>
      </c>
      <c r="AF286" s="345" t="str">
        <f>IF(SUM(COUNTIF(H286,{"*Girl*","*Women*","*Woman*","*Female*","*Wo*","*Fe*","*F*"})),"F","M")</f>
        <v>M</v>
      </c>
      <c r="AG286" s="371"/>
      <c r="AH286" s="112"/>
      <c r="AI286" s="337" t="e">
        <f t="array" aca="1" ref="AI286" ca="1">(SMALL(IF(ISERROR(MATCH($AJ$3+ROW(OFFSET($A$3, 0,0, $AJ$4-$AJ$3+1))-2, $A$3:$A932,0)), $AJ$3+ROW(OFFSET($A$2,0, 0, $AJ$4-$AJ$3+1))-1), ROW(A285)))</f>
        <v>#NUM!</v>
      </c>
      <c r="AJ286" s="345">
        <f>Helpers!AY285</f>
        <v>0</v>
      </c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236"/>
      <c r="AV286" s="299"/>
      <c r="AW286" s="298"/>
      <c r="AX286" s="56"/>
      <c r="AY286" s="56"/>
      <c r="AZ286" s="56"/>
      <c r="BA286" s="56"/>
    </row>
    <row r="287" spans="1:53" ht="13.5" thickBot="1">
      <c r="A287" s="111">
        <v>298</v>
      </c>
      <c r="B287" s="335" t="str">
        <f t="shared" ref="B287:B291" si="100">PROPER($C287&amp;" "&amp;$D287)</f>
        <v>Nicholas Turvey</v>
      </c>
      <c r="C287" s="116" t="s">
        <v>1498</v>
      </c>
      <c r="D287" s="116" t="s">
        <v>2739</v>
      </c>
      <c r="E287" s="379" t="s">
        <v>2740</v>
      </c>
      <c r="F287" s="363" t="str">
        <f>IF(SUM(COUNTIF(H287,{"*Girl*","*Women*","*Woman*","*Female*","*Wo*","*Fe*","*F*"})),"F","M")</f>
        <v>M</v>
      </c>
      <c r="G287" s="345" t="str">
        <f>IFERROR(IF(ISNUMBER(SEARCH("*",N287)),N287&amp;" "&amp;F287,IF(F287="M",LOOKUP(J287,AgeCategories!$A$3:$D$13),LOOKUP(J287,AgeCategories!$A$14:$D$24))),"Invalid Age")</f>
        <v>Master Men</v>
      </c>
      <c r="H287" s="175" t="s">
        <v>209</v>
      </c>
      <c r="I287" s="338">
        <f t="shared" ref="I287:I291" si="101">IFERROR(--TEXT(IF((--LEFT($M287,2))&lt;30,"20","19")&amp;LEFT($M287,6),"0000\-00\-00"),"ID No. needed")</f>
        <v>30689</v>
      </c>
      <c r="J287" s="364">
        <f>IFERROR(DATEDIF($I287,Helpers!$O$2,"y"),"ID No. needed")</f>
        <v>38</v>
      </c>
      <c r="K287" s="111"/>
      <c r="L287" s="300"/>
      <c r="M287" s="365">
        <v>840108</v>
      </c>
      <c r="N287" s="366"/>
      <c r="O287" s="367" t="b">
        <v>1</v>
      </c>
      <c r="P287" s="241" t="b">
        <f>NOT(ISNA(VLOOKUP(A287,SortedDownload!A:A,1,FALSE)))</f>
        <v>1</v>
      </c>
      <c r="Q287" s="373" t="s">
        <v>2728</v>
      </c>
      <c r="R287" s="368"/>
      <c r="S287" s="235"/>
      <c r="T287" s="235"/>
      <c r="U287" s="369"/>
      <c r="V287" s="337" t="str">
        <f t="shared" ref="V287:V291" si="102">IF(K287="", "-", K287)</f>
        <v>-</v>
      </c>
      <c r="W287" s="339" t="str">
        <f t="shared" ref="W287:W291" si="103">B287</f>
        <v>Nicholas Turvey</v>
      </c>
      <c r="X287" s="345" t="str">
        <f t="shared" ref="X287:X291" si="104">LEFT($W287, SEARCH(" ", $W287) - 1)</f>
        <v>Nicholas</v>
      </c>
      <c r="Y287" s="345" t="str">
        <f t="shared" ref="Y287:Y291" si="105">RIGHT($W287, LEN($W287) - SEARCH(" ", $W287))</f>
        <v>Turvey</v>
      </c>
      <c r="Z287" s="345" t="str">
        <f t="shared" ref="Z287:Z291" si="106">CONCATENATE(LEFT($X287,1),".",$Y287)</f>
        <v>N.Turvey</v>
      </c>
      <c r="AA287" s="345" t="str">
        <f t="shared" si="89"/>
        <v/>
      </c>
      <c r="AB287" s="345" t="str">
        <f t="shared" si="90"/>
        <v/>
      </c>
      <c r="AC287" s="345" t="str">
        <f>IFERROR(IF(ISNUMBER(SEARCH("*",N287)),N287&amp;" "&amp;F287,IF(F287="M",LOOKUP(J287,AgeCategories!$A$3:$F$11),LOOKUP(J287,AgeCategories!$A$14:$F$22))),"")</f>
        <v>MM</v>
      </c>
      <c r="AD287" s="370">
        <f t="shared" ref="AD287:AD291" si="107">--TEXT(IF((--LEFT($M287,2))&lt;30,"20","19")&amp;LEFT($M287,6),"0000\-00\-00")</f>
        <v>30689</v>
      </c>
      <c r="AE287" s="345">
        <f t="shared" ref="AE287:AE291" si="108">DATEDIF($I287,$V$1,"y")</f>
        <v>38</v>
      </c>
      <c r="AF287" s="345" t="str">
        <f>IF(SUM(COUNTIF(H287,{"*Girl*","*Women*","*Woman*","*Female*","*Wo*","*Fe*","*F*"})),"F","M")</f>
        <v>M</v>
      </c>
      <c r="AG287" s="371"/>
      <c r="AH287" s="112"/>
      <c r="AI287" s="337" t="e">
        <f t="array" aca="1" ref="AI287" ca="1">(SMALL(IF(ISERROR(MATCH($AJ$3+ROW(OFFSET($A$3, 0,0, $AJ$4-$AJ$3+1))-2, $A$3:$A933,0)), $AJ$3+ROW(OFFSET($A$2,0, 0, $AJ$4-$AJ$3+1))-1), ROW(A286)))</f>
        <v>#NUM!</v>
      </c>
      <c r="AJ287" s="345">
        <f>Helpers!AY286</f>
        <v>0</v>
      </c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236"/>
      <c r="AV287" s="299"/>
      <c r="AW287" s="298"/>
      <c r="AX287" s="56"/>
      <c r="AY287" s="56"/>
      <c r="AZ287" s="56"/>
      <c r="BA287" s="56"/>
    </row>
    <row r="288" spans="1:53" ht="13.5" thickBot="1">
      <c r="A288" s="111">
        <v>297</v>
      </c>
      <c r="B288" s="335" t="str">
        <f t="shared" si="100"/>
        <v>Joe Nesbitt</v>
      </c>
      <c r="C288" s="116" t="s">
        <v>2741</v>
      </c>
      <c r="D288" s="116" t="s">
        <v>2742</v>
      </c>
      <c r="E288" s="379"/>
      <c r="F288" s="363" t="str">
        <f>IF(SUM(COUNTIF(H288,{"*Girl*","*Women*","*Woman*","*Female*","*Wo*","*Fe*","*F*"})),"F","M")</f>
        <v>M</v>
      </c>
      <c r="G288" s="345" t="str">
        <f>IFERROR(IF(ISNUMBER(SEARCH("*",N288)),N288&amp;" "&amp;F288,IF(F288="M",LOOKUP(J288,AgeCategories!$A$3:$D$13),LOOKUP(J288,AgeCategories!$A$14:$D$24))),"Invalid Age")</f>
        <v>Master Men</v>
      </c>
      <c r="H288" s="175" t="s">
        <v>209</v>
      </c>
      <c r="I288" s="338">
        <f t="shared" si="101"/>
        <v>24232</v>
      </c>
      <c r="J288" s="364">
        <f>IFERROR(DATEDIF($I288,Helpers!$O$2,"y"),"ID No. needed")</f>
        <v>56</v>
      </c>
      <c r="K288" s="111"/>
      <c r="L288" s="300"/>
      <c r="M288" s="365">
        <v>660505</v>
      </c>
      <c r="N288" s="366"/>
      <c r="O288" s="367" t="b">
        <v>1</v>
      </c>
      <c r="P288" s="241" t="b">
        <f>NOT(ISNA(VLOOKUP(A288,SortedDownload!A:A,1,FALSE)))</f>
        <v>0</v>
      </c>
      <c r="Q288" s="373" t="s">
        <v>2728</v>
      </c>
      <c r="R288" s="368"/>
      <c r="S288" s="235"/>
      <c r="T288" s="235"/>
      <c r="U288" s="369"/>
      <c r="V288" s="337" t="str">
        <f t="shared" si="102"/>
        <v>-</v>
      </c>
      <c r="W288" s="339" t="str">
        <f t="shared" si="103"/>
        <v>Joe Nesbitt</v>
      </c>
      <c r="X288" s="345" t="str">
        <f t="shared" si="104"/>
        <v>Joe</v>
      </c>
      <c r="Y288" s="345" t="str">
        <f t="shared" si="105"/>
        <v>Nesbitt</v>
      </c>
      <c r="Z288" s="345" t="str">
        <f t="shared" si="106"/>
        <v>J.Nesbitt</v>
      </c>
      <c r="AA288" s="345" t="str">
        <f t="shared" si="89"/>
        <v/>
      </c>
      <c r="AB288" s="345" t="str">
        <f t="shared" si="90"/>
        <v/>
      </c>
      <c r="AC288" s="345" t="str">
        <f>IFERROR(IF(ISNUMBER(SEARCH("*",N288)),N288&amp;" "&amp;F288,IF(F288="M",LOOKUP(J288,AgeCategories!$A$3:$F$11),LOOKUP(J288,AgeCategories!$A$14:$F$22))),"")</f>
        <v>MM</v>
      </c>
      <c r="AD288" s="370">
        <f t="shared" si="107"/>
        <v>24232</v>
      </c>
      <c r="AE288" s="345">
        <f t="shared" si="108"/>
        <v>56</v>
      </c>
      <c r="AF288" s="345" t="str">
        <f>IF(SUM(COUNTIF(H288,{"*Girl*","*Women*","*Woman*","*Female*","*Wo*","*Fe*","*F*"})),"F","M")</f>
        <v>M</v>
      </c>
      <c r="AG288" s="371"/>
      <c r="AH288" s="112"/>
      <c r="AI288" s="337" t="e">
        <f t="array" aca="1" ref="AI288" ca="1">(SMALL(IF(ISERROR(MATCH($AJ$3+ROW(OFFSET($A$3, 0,0, $AJ$4-$AJ$3+1))-2, $A$3:$A934,0)), $AJ$3+ROW(OFFSET($A$2,0, 0, $AJ$4-$AJ$3+1))-1), ROW(A287)))</f>
        <v>#NUM!</v>
      </c>
      <c r="AJ288" s="345">
        <f>Helpers!AY287</f>
        <v>0</v>
      </c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236"/>
      <c r="AV288" s="299"/>
      <c r="AW288" s="298"/>
      <c r="AX288" s="56"/>
      <c r="AY288" s="56"/>
      <c r="AZ288" s="56"/>
      <c r="BA288" s="56"/>
    </row>
    <row r="289" spans="1:53" ht="13.5" thickBot="1">
      <c r="A289" s="111">
        <v>295</v>
      </c>
      <c r="B289" s="335" t="str">
        <f t="shared" si="100"/>
        <v>Andrew Henwood</v>
      </c>
      <c r="C289" s="116" t="s">
        <v>639</v>
      </c>
      <c r="D289" s="116" t="s">
        <v>2743</v>
      </c>
      <c r="E289" s="379"/>
      <c r="F289" s="363" t="str">
        <f>IF(SUM(COUNTIF(H289,{"*Girl*","*Women*","*Woman*","*Female*","*Wo*","*Fe*","*F*"})),"F","M")</f>
        <v>M</v>
      </c>
      <c r="G289" s="345" t="str">
        <f>IFERROR(IF(ISNUMBER(SEARCH("*",N289)),N289&amp;" "&amp;F289,IF(F289="M",LOOKUP(J289,AgeCategories!$A$3:$D$13),LOOKUP(J289,AgeCategories!$A$14:$D$24))),"Invalid Age")</f>
        <v>Master Men</v>
      </c>
      <c r="H289" s="175" t="s">
        <v>209</v>
      </c>
      <c r="I289" s="338">
        <f t="shared" si="101"/>
        <v>27937</v>
      </c>
      <c r="J289" s="364">
        <f>IFERROR(DATEDIF($I289,Helpers!$O$2,"y"),"ID No. needed")</f>
        <v>46</v>
      </c>
      <c r="K289" s="111"/>
      <c r="L289" s="300"/>
      <c r="M289" s="365">
        <v>760626</v>
      </c>
      <c r="N289" s="366"/>
      <c r="O289" s="367" t="b">
        <v>1</v>
      </c>
      <c r="P289" s="241" t="b">
        <f>NOT(ISNA(VLOOKUP(A289,SortedDownload!A:A,1,FALSE)))</f>
        <v>1</v>
      </c>
      <c r="Q289" s="373" t="s">
        <v>2631</v>
      </c>
      <c r="R289" s="368"/>
      <c r="S289" s="235"/>
      <c r="T289" s="235"/>
      <c r="U289" s="369"/>
      <c r="V289" s="337" t="str">
        <f t="shared" si="102"/>
        <v>-</v>
      </c>
      <c r="W289" s="339" t="str">
        <f t="shared" si="103"/>
        <v>Andrew Henwood</v>
      </c>
      <c r="X289" s="345" t="str">
        <f t="shared" si="104"/>
        <v>Andrew</v>
      </c>
      <c r="Y289" s="345" t="str">
        <f t="shared" si="105"/>
        <v>Henwood</v>
      </c>
      <c r="Z289" s="345" t="str">
        <f t="shared" si="106"/>
        <v>A.Henwood</v>
      </c>
      <c r="AA289" s="345" t="str">
        <f t="shared" si="89"/>
        <v/>
      </c>
      <c r="AB289" s="345" t="str">
        <f t="shared" si="90"/>
        <v/>
      </c>
      <c r="AC289" s="345" t="str">
        <f>IFERROR(IF(ISNUMBER(SEARCH("*",N289)),N289&amp;" "&amp;F289,IF(F289="M",LOOKUP(J289,AgeCategories!$A$3:$F$11),LOOKUP(J289,AgeCategories!$A$14:$F$22))),"")</f>
        <v>MM</v>
      </c>
      <c r="AD289" s="370">
        <f t="shared" si="107"/>
        <v>27937</v>
      </c>
      <c r="AE289" s="345">
        <f t="shared" si="108"/>
        <v>46</v>
      </c>
      <c r="AF289" s="345" t="str">
        <f>IF(SUM(COUNTIF(H289,{"*Girl*","*Women*","*Woman*","*Female*","*Wo*","*Fe*","*F*"})),"F","M")</f>
        <v>M</v>
      </c>
      <c r="AG289" s="371"/>
      <c r="AH289" s="112"/>
      <c r="AI289" s="337" t="e">
        <f t="array" aca="1" ref="AI289" ca="1">(SMALL(IF(ISERROR(MATCH($AJ$3+ROW(OFFSET($A$3, 0,0, $AJ$4-$AJ$3+1))-2, $A$3:$A935,0)), $AJ$3+ROW(OFFSET($A$2,0, 0, $AJ$4-$AJ$3+1))-1), ROW(A288)))</f>
        <v>#NUM!</v>
      </c>
      <c r="AJ289" s="345">
        <f>Helpers!AY288</f>
        <v>0</v>
      </c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236"/>
      <c r="AV289" s="299"/>
      <c r="AW289" s="298"/>
      <c r="AX289" s="56"/>
      <c r="AY289" s="56"/>
      <c r="AZ289" s="56"/>
      <c r="BA289" s="56"/>
    </row>
    <row r="290" spans="1:53" ht="13.5" thickBot="1">
      <c r="A290" s="111">
        <v>294</v>
      </c>
      <c r="B290" s="335" t="str">
        <f t="shared" si="100"/>
        <v>Gert Heyns</v>
      </c>
      <c r="C290" s="116" t="s">
        <v>2744</v>
      </c>
      <c r="D290" s="116" t="s">
        <v>1644</v>
      </c>
      <c r="E290" s="379"/>
      <c r="F290" s="363" t="str">
        <f>IF(SUM(COUNTIF(H290,{"*Girl*","*Women*","*Woman*","*Female*","*Wo*","*Fe*","*F*"})),"F","M")</f>
        <v>M</v>
      </c>
      <c r="G290" s="345" t="str">
        <f>IFERROR(IF(ISNUMBER(SEARCH("*",N290)),N290&amp;" "&amp;F290,IF(F290="M",LOOKUP(J290,AgeCategories!$A$3:$D$13),LOOKUP(J290,AgeCategories!$A$14:$D$24))),"Invalid Age")</f>
        <v>Elite Men</v>
      </c>
      <c r="H290" s="175" t="s">
        <v>209</v>
      </c>
      <c r="I290" s="338">
        <f t="shared" si="101"/>
        <v>34099</v>
      </c>
      <c r="J290" s="364">
        <f>IFERROR(DATEDIF($I290,Helpers!$O$2,"y"),"ID No. needed")</f>
        <v>29</v>
      </c>
      <c r="K290" s="111"/>
      <c r="L290" s="300"/>
      <c r="M290" s="365">
        <v>93051051</v>
      </c>
      <c r="N290" s="366"/>
      <c r="O290" s="367" t="b">
        <v>1</v>
      </c>
      <c r="P290" s="241" t="b">
        <f>NOT(ISNA(VLOOKUP(A290,SortedDownload!A:A,1,FALSE)))</f>
        <v>1</v>
      </c>
      <c r="Q290" s="373" t="s">
        <v>2728</v>
      </c>
      <c r="R290" s="368"/>
      <c r="S290" s="235"/>
      <c r="T290" s="235"/>
      <c r="U290" s="369"/>
      <c r="V290" s="337" t="str">
        <f t="shared" si="102"/>
        <v>-</v>
      </c>
      <c r="W290" s="339" t="str">
        <f t="shared" si="103"/>
        <v>Gert Heyns</v>
      </c>
      <c r="X290" s="345" t="str">
        <f t="shared" si="104"/>
        <v>Gert</v>
      </c>
      <c r="Y290" s="345" t="str">
        <f t="shared" si="105"/>
        <v>Heyns</v>
      </c>
      <c r="Z290" s="345" t="str">
        <f t="shared" si="106"/>
        <v>G.Heyns</v>
      </c>
      <c r="AA290" s="345" t="str">
        <f t="shared" si="89"/>
        <v/>
      </c>
      <c r="AB290" s="345" t="str">
        <f t="shared" si="90"/>
        <v/>
      </c>
      <c r="AC290" s="345" t="str">
        <f>IFERROR(IF(ISNUMBER(SEARCH("*",N290)),N290&amp;" "&amp;F290,IF(F290="M",LOOKUP(J290,AgeCategories!$A$3:$F$11),LOOKUP(J290,AgeCategories!$A$14:$F$22))),"")</f>
        <v>EM</v>
      </c>
      <c r="AD290" s="370">
        <f t="shared" si="107"/>
        <v>34099</v>
      </c>
      <c r="AE290" s="345">
        <f t="shared" si="108"/>
        <v>29</v>
      </c>
      <c r="AF290" s="345" t="str">
        <f>IF(SUM(COUNTIF(H290,{"*Girl*","*Women*","*Woman*","*Female*","*Wo*","*Fe*","*F*"})),"F","M")</f>
        <v>M</v>
      </c>
      <c r="AG290" s="371"/>
      <c r="AH290" s="112"/>
      <c r="AI290" s="337" t="e">
        <f t="array" aca="1" ref="AI290" ca="1">(SMALL(IF(ISERROR(MATCH($AJ$3+ROW(OFFSET($A$3, 0,0, $AJ$4-$AJ$3+1))-2, $A$3:$A936,0)), $AJ$3+ROW(OFFSET($A$2,0, 0, $AJ$4-$AJ$3+1))-1), ROW(A289)))</f>
        <v>#NUM!</v>
      </c>
      <c r="AJ290" s="345">
        <f>Helpers!AY289</f>
        <v>0</v>
      </c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236"/>
      <c r="AV290" s="299"/>
      <c r="AW290" s="298"/>
      <c r="AX290" s="56"/>
      <c r="AY290" s="56"/>
      <c r="AZ290" s="56"/>
      <c r="BA290" s="56"/>
    </row>
    <row r="291" spans="1:53" ht="13.5" thickBot="1">
      <c r="A291" s="111">
        <v>293</v>
      </c>
      <c r="B291" s="335" t="str">
        <f t="shared" si="100"/>
        <v>Wynand Mostert</v>
      </c>
      <c r="C291" s="116" t="s">
        <v>2745</v>
      </c>
      <c r="D291" s="116" t="s">
        <v>2746</v>
      </c>
      <c r="E291" s="379" t="s">
        <v>2747</v>
      </c>
      <c r="F291" s="363" t="str">
        <f>IF(SUM(COUNTIF(H291,{"*Girl*","*Women*","*Woman*","*Female*","*Wo*","*Fe*","*F*"})),"F","M")</f>
        <v>M</v>
      </c>
      <c r="G291" s="345" t="str">
        <f>IFERROR(IF(ISNUMBER(SEARCH("*",N291)),N291&amp;" "&amp;F291,IF(F291="M",LOOKUP(J291,AgeCategories!$A$3:$D$13),LOOKUP(J291,AgeCategories!$A$14:$D$24))),"Invalid Age")</f>
        <v>Lite M</v>
      </c>
      <c r="H291" s="175" t="s">
        <v>209</v>
      </c>
      <c r="I291" s="338">
        <f t="shared" si="101"/>
        <v>38261</v>
      </c>
      <c r="J291" s="364">
        <f>IFERROR(DATEDIF($I291,Helpers!$O$2,"y"),"ID No. needed")</f>
        <v>18</v>
      </c>
      <c r="K291" s="111"/>
      <c r="L291" s="300"/>
      <c r="M291" s="377" t="s">
        <v>2748</v>
      </c>
      <c r="N291" s="366" t="s">
        <v>2601</v>
      </c>
      <c r="O291" s="367" t="b">
        <v>1</v>
      </c>
      <c r="P291" s="241" t="b">
        <f>NOT(ISNA(VLOOKUP(A291,SortedDownload!A:A,1,FALSE)))</f>
        <v>1</v>
      </c>
      <c r="Q291" s="373"/>
      <c r="R291" s="368"/>
      <c r="S291" s="235"/>
      <c r="T291" s="235"/>
      <c r="U291" s="369"/>
      <c r="V291" s="337" t="str">
        <f t="shared" si="102"/>
        <v>-</v>
      </c>
      <c r="W291" s="339" t="str">
        <f t="shared" si="103"/>
        <v>Wynand Mostert</v>
      </c>
      <c r="X291" s="345" t="str">
        <f t="shared" si="104"/>
        <v>Wynand</v>
      </c>
      <c r="Y291" s="345" t="str">
        <f t="shared" si="105"/>
        <v>Mostert</v>
      </c>
      <c r="Z291" s="345" t="str">
        <f t="shared" si="106"/>
        <v>W.Mostert</v>
      </c>
      <c r="AA291" s="345" t="str">
        <f t="shared" si="89"/>
        <v/>
      </c>
      <c r="AB291" s="345" t="str">
        <f t="shared" si="90"/>
        <v/>
      </c>
      <c r="AC291" s="345" t="str">
        <f>IFERROR(IF(ISNUMBER(SEARCH("*",N291)),N291&amp;" "&amp;F291,IF(F291="M",LOOKUP(J291,AgeCategories!$A$3:$F$11),LOOKUP(J291,AgeCategories!$A$14:$F$22))),"")</f>
        <v>Lite M</v>
      </c>
      <c r="AD291" s="370">
        <f t="shared" si="107"/>
        <v>38261</v>
      </c>
      <c r="AE291" s="345">
        <f t="shared" si="108"/>
        <v>18</v>
      </c>
      <c r="AF291" s="345" t="str">
        <f>IF(SUM(COUNTIF(H291,{"*Girl*","*Women*","*Woman*","*Female*","*Wo*","*Fe*","*F*"})),"F","M")</f>
        <v>M</v>
      </c>
      <c r="AG291" s="371"/>
      <c r="AH291" s="112"/>
      <c r="AI291" s="337" t="e">
        <f t="array" aca="1" ref="AI291" ca="1">(SMALL(IF(ISERROR(MATCH($AJ$3+ROW(OFFSET($A$3, 0,0, $AJ$4-$AJ$3+1))-2, $A$3:$A937,0)), $AJ$3+ROW(OFFSET($A$2,0, 0, $AJ$4-$AJ$3+1))-1), ROW(A290)))</f>
        <v>#NUM!</v>
      </c>
      <c r="AJ291" s="345">
        <f>Helpers!AY290</f>
        <v>0</v>
      </c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236"/>
      <c r="AV291" s="299"/>
      <c r="AW291" s="298"/>
      <c r="AX291" s="56"/>
      <c r="AY291" s="56"/>
      <c r="AZ291" s="56"/>
      <c r="BA291" s="56"/>
    </row>
  </sheetData>
  <mergeCells count="1">
    <mergeCell ref="Q1:T1"/>
  </mergeCells>
  <conditionalFormatting sqref="P3:P291">
    <cfRule type="cellIs" dxfId="1883" priority="35" stopIfTrue="1" operator="equal">
      <formula>FALSE</formula>
    </cfRule>
    <cfRule type="cellIs" dxfId="1882" priority="36" stopIfTrue="1" operator="equal">
      <formula>TRUE</formula>
    </cfRule>
  </conditionalFormatting>
  <conditionalFormatting sqref="B1:B1048576">
    <cfRule type="duplicateValues" dxfId="1881" priority="34" stopIfTrue="1"/>
  </conditionalFormatting>
  <conditionalFormatting sqref="G3:G291">
    <cfRule type="containsErrors" dxfId="1880" priority="3209">
      <formula>ISERROR(G3)</formula>
    </cfRule>
  </conditionalFormatting>
  <conditionalFormatting sqref="N3:N291">
    <cfRule type="containsText" dxfId="1879" priority="7" operator="containsText" text="LITE">
      <formula>NOT(ISERROR(SEARCH("LITE",N3)))</formula>
    </cfRule>
    <cfRule type="containsText" dxfId="1878" priority="8" operator="containsText" text="FULL">
      <formula>NOT(ISERROR(SEARCH("FULL",N3)))</formula>
    </cfRule>
  </conditionalFormatting>
  <conditionalFormatting sqref="A3:A291">
    <cfRule type="duplicateValues" dxfId="1877" priority="13191"/>
  </conditionalFormatting>
  <conditionalFormatting sqref="K3:K291">
    <cfRule type="duplicateValues" dxfId="1876" priority="13193"/>
  </conditionalFormatting>
  <pageMargins left="0.25" right="0.25" top="0.75" bottom="0.75" header="0.3" footer="0.3"/>
  <pageSetup paperSize="9" scale="10" fitToHeight="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3" r:id="rId4" name="Button 9">
              <controlPr defaultSize="0" print="0" autoFill="0" autoPict="0" macro="[0]!ClearEntryList">
                <anchor mov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152400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Certain Cat. Codes Only" error="Only values from rows 25-32_x000a_ in AgeCategoriesSheet are allowed here">
          <x14:formula1>
            <xm:f>AgeCategories!$C$25:$C$32</xm:f>
          </x14:formula1>
          <xm:sqref>N3:N291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80"/>
  <sheetViews>
    <sheetView workbookViewId="0">
      <selection activeCell="A12" sqref="A12"/>
    </sheetView>
  </sheetViews>
  <sheetFormatPr defaultRowHeight="12.75"/>
  <cols>
    <col min="1" max="1" width="28.140625" customWidth="1"/>
    <col min="2" max="2" width="20.5703125" style="351" customWidth="1"/>
  </cols>
  <sheetData>
    <row r="1" spans="1:2" ht="15.75">
      <c r="A1" s="317" t="s">
        <v>624</v>
      </c>
    </row>
    <row r="2" spans="1:2">
      <c r="A2" t="s">
        <v>1760</v>
      </c>
      <c r="B2" s="352" t="str">
        <f>IF(LEN('ID Numbers'!A2)=10,"000"&amp;'ID Numbers'!A2,IF(LEN('ID Numbers'!A2)=11,"00"&amp;'ID Numbers'!A2,IF(LEN('ID Numbers'!A2)=12,"0"&amp;'ID Numbers'!A2,'ID Numbers'!A2)))</f>
        <v>7808295031081</v>
      </c>
    </row>
    <row r="3" spans="1:2">
      <c r="A3" t="s">
        <v>1761</v>
      </c>
      <c r="B3" s="352" t="str">
        <f>IF(LEN('ID Numbers'!A3)=10,"000"&amp;'ID Numbers'!A3,IF(LEN('ID Numbers'!A3)=11,"00"&amp;'ID Numbers'!A3,IF(LEN('ID Numbers'!A3)=12,"0"&amp;'ID Numbers'!A3,'ID Numbers'!A3)))</f>
        <v>7604260041084</v>
      </c>
    </row>
    <row r="4" spans="1:2">
      <c r="A4" t="s">
        <v>1762</v>
      </c>
      <c r="B4" s="352" t="str">
        <f>IF(LEN('ID Numbers'!A4)=10,"000"&amp;'ID Numbers'!A4,IF(LEN('ID Numbers'!A4)=11,"00"&amp;'ID Numbers'!A4,IF(LEN('ID Numbers'!A4)=12,"0"&amp;'ID Numbers'!A4,'ID Numbers'!A4)))</f>
        <v>0411205175085</v>
      </c>
    </row>
    <row r="5" spans="1:2">
      <c r="A5" t="s">
        <v>1763</v>
      </c>
      <c r="B5" s="352" t="str">
        <f>IF(LEN('ID Numbers'!A5)=10,"000"&amp;'ID Numbers'!A5,IF(LEN('ID Numbers'!A5)=11,"00"&amp;'ID Numbers'!A5,IF(LEN('ID Numbers'!A5)=12,"0"&amp;'ID Numbers'!A5,'ID Numbers'!A5)))</f>
        <v>7703035046087</v>
      </c>
    </row>
    <row r="6" spans="1:2">
      <c r="A6" t="s">
        <v>1764</v>
      </c>
      <c r="B6" s="352" t="str">
        <f>IF(LEN('ID Numbers'!A6)=10,"000"&amp;'ID Numbers'!A6,IF(LEN('ID Numbers'!A6)=11,"00"&amp;'ID Numbers'!A6,IF(LEN('ID Numbers'!A6)=12,"0"&amp;'ID Numbers'!A6,'ID Numbers'!A6)))</f>
        <v>7511015066086</v>
      </c>
    </row>
    <row r="7" spans="1:2">
      <c r="A7" t="s">
        <v>1765</v>
      </c>
      <c r="B7" s="352" t="str">
        <f>IF(LEN('ID Numbers'!A7)=10,"000"&amp;'ID Numbers'!A7,IF(LEN('ID Numbers'!A7)=11,"00"&amp;'ID Numbers'!A7,IF(LEN('ID Numbers'!A7)=12,"0"&amp;'ID Numbers'!A7,'ID Numbers'!A7)))</f>
        <v>0508265334088</v>
      </c>
    </row>
    <row r="8" spans="1:2">
      <c r="A8" t="s">
        <v>1766</v>
      </c>
      <c r="B8" s="352" t="str">
        <f>IF(LEN('ID Numbers'!A8)=10,"000"&amp;'ID Numbers'!A8,IF(LEN('ID Numbers'!A8)=11,"00"&amp;'ID Numbers'!A8,IF(LEN('ID Numbers'!A8)=12,"0"&amp;'ID Numbers'!A8,'ID Numbers'!A8)))</f>
        <v>0401235326089</v>
      </c>
    </row>
    <row r="9" spans="1:2">
      <c r="A9" t="s">
        <v>1767</v>
      </c>
      <c r="B9" s="352" t="str">
        <f>IF(LEN('ID Numbers'!A9)=10,"000"&amp;'ID Numbers'!A9,IF(LEN('ID Numbers'!A9)=11,"00"&amp;'ID Numbers'!A9,IF(LEN('ID Numbers'!A9)=12,"0"&amp;'ID Numbers'!A9,'ID Numbers'!A9)))</f>
        <v>7201255009083</v>
      </c>
    </row>
    <row r="10" spans="1:2">
      <c r="A10" t="s">
        <v>1768</v>
      </c>
      <c r="B10" s="352" t="str">
        <f>IF(LEN('ID Numbers'!A10)=10,"000"&amp;'ID Numbers'!A10,IF(LEN('ID Numbers'!A10)=11,"00"&amp;'ID Numbers'!A10,IF(LEN('ID Numbers'!A10)=12,"0"&amp;'ID Numbers'!A10,'ID Numbers'!A10)))</f>
        <v>9703046583183</v>
      </c>
    </row>
    <row r="11" spans="1:2">
      <c r="A11" t="s">
        <v>1769</v>
      </c>
      <c r="B11" s="352" t="str">
        <f>IF(LEN('ID Numbers'!A11)=10,"000"&amp;'ID Numbers'!A11,IF(LEN('ID Numbers'!A11)=11,"00"&amp;'ID Numbers'!A11,IF(LEN('ID Numbers'!A11)=12,"0"&amp;'ID Numbers'!A11,'ID Numbers'!A11)))</f>
        <v>7201185458087</v>
      </c>
    </row>
    <row r="12" spans="1:2">
      <c r="A12" t="s">
        <v>1770</v>
      </c>
      <c r="B12" s="352" t="str">
        <f>IF(LEN('ID Numbers'!A12)=10,"000"&amp;'ID Numbers'!A12,IF(LEN('ID Numbers'!A12)=11,"00"&amp;'ID Numbers'!A12,IF(LEN('ID Numbers'!A12)=12,"0"&amp;'ID Numbers'!A12,'ID Numbers'!A12)))</f>
        <v>3801975714021</v>
      </c>
    </row>
    <row r="13" spans="1:2">
      <c r="A13" t="s">
        <v>1771</v>
      </c>
      <c r="B13" s="352" t="str">
        <f>IF(LEN('ID Numbers'!A13)=10,"000"&amp;'ID Numbers'!A13,IF(LEN('ID Numbers'!A13)=11,"00"&amp;'ID Numbers'!A13,IF(LEN('ID Numbers'!A13)=12,"0"&amp;'ID Numbers'!A13,'ID Numbers'!A13)))</f>
        <v>1111215527080</v>
      </c>
    </row>
    <row r="14" spans="1:2">
      <c r="A14" t="s">
        <v>1772</v>
      </c>
      <c r="B14" s="352" t="str">
        <f>IF(LEN('ID Numbers'!A14)=10,"000"&amp;'ID Numbers'!A14,IF(LEN('ID Numbers'!A14)=11,"00"&amp;'ID Numbers'!A14,IF(LEN('ID Numbers'!A14)=12,"0"&amp;'ID Numbers'!A14,'ID Numbers'!A14)))</f>
        <v>7606055122086</v>
      </c>
    </row>
    <row r="15" spans="1:2">
      <c r="A15" t="s">
        <v>1773</v>
      </c>
      <c r="B15" s="352" t="str">
        <f>IF(LEN('ID Numbers'!A15)=10,"000"&amp;'ID Numbers'!A15,IF(LEN('ID Numbers'!A15)=11,"00"&amp;'ID Numbers'!A15,IF(LEN('ID Numbers'!A15)=12,"0"&amp;'ID Numbers'!A15,'ID Numbers'!A15)))</f>
        <v>8309125003084</v>
      </c>
    </row>
    <row r="16" spans="1:2">
      <c r="A16" t="s">
        <v>1774</v>
      </c>
      <c r="B16" s="352" t="str">
        <f>IF(LEN('ID Numbers'!A16)=10,"000"&amp;'ID Numbers'!A16,IF(LEN('ID Numbers'!A16)=11,"00"&amp;'ID Numbers'!A16,IF(LEN('ID Numbers'!A16)=12,"0"&amp;'ID Numbers'!A16,'ID Numbers'!A16)))</f>
        <v>6604135033085</v>
      </c>
    </row>
    <row r="17" spans="1:2">
      <c r="A17" t="s">
        <v>1775</v>
      </c>
      <c r="B17" s="352" t="str">
        <f>IF(LEN('ID Numbers'!A17)=10,"000"&amp;'ID Numbers'!A17,IF(LEN('ID Numbers'!A17)=11,"00"&amp;'ID Numbers'!A17,IF(LEN('ID Numbers'!A17)=12,"0"&amp;'ID Numbers'!A17,'ID Numbers'!A17)))</f>
        <v>06061655220810606</v>
      </c>
    </row>
    <row r="18" spans="1:2">
      <c r="A18" t="s">
        <v>1776</v>
      </c>
      <c r="B18" s="352" t="str">
        <f>IF(LEN('ID Numbers'!A18)=10,"000"&amp;'ID Numbers'!A18,IF(LEN('ID Numbers'!A18)=11,"00"&amp;'ID Numbers'!A18,IF(LEN('ID Numbers'!A18)=12,"0"&amp;'ID Numbers'!A18,'ID Numbers'!A18)))</f>
        <v>0706085097089</v>
      </c>
    </row>
    <row r="19" spans="1:2">
      <c r="A19" t="s">
        <v>1777</v>
      </c>
      <c r="B19" s="352" t="str">
        <f>IF(LEN('ID Numbers'!A19)=10,"000"&amp;'ID Numbers'!A19,IF(LEN('ID Numbers'!A19)=11,"00"&amp;'ID Numbers'!A19,IF(LEN('ID Numbers'!A19)=12,"0"&amp;'ID Numbers'!A19,'ID Numbers'!A19)))</f>
        <v>0105215255081</v>
      </c>
    </row>
    <row r="20" spans="1:2">
      <c r="A20" t="s">
        <v>1778</v>
      </c>
      <c r="B20" s="352" t="str">
        <f>IF(LEN('ID Numbers'!A20)=10,"000"&amp;'ID Numbers'!A20,IF(LEN('ID Numbers'!A20)=11,"00"&amp;'ID Numbers'!A20,IF(LEN('ID Numbers'!A20)=12,"0"&amp;'ID Numbers'!A20,'ID Numbers'!A20)))</f>
        <v>1202280312084</v>
      </c>
    </row>
    <row r="21" spans="1:2">
      <c r="A21" t="s">
        <v>1779</v>
      </c>
      <c r="B21" s="352" t="str">
        <f>IF(LEN('ID Numbers'!A21)=10,"000"&amp;'ID Numbers'!A21,IF(LEN('ID Numbers'!A21)=11,"00"&amp;'ID Numbers'!A21,IF(LEN('ID Numbers'!A21)=12,"0"&amp;'ID Numbers'!A21,'ID Numbers'!A21)))</f>
        <v>0704135168083</v>
      </c>
    </row>
    <row r="22" spans="1:2">
      <c r="A22" t="s">
        <v>1780</v>
      </c>
      <c r="B22" s="352" t="str">
        <f>IF(LEN('ID Numbers'!A22)=10,"000"&amp;'ID Numbers'!A22,IF(LEN('ID Numbers'!A22)=11,"00"&amp;'ID Numbers'!A22,IF(LEN('ID Numbers'!A22)=12,"0"&amp;'ID Numbers'!A22,'ID Numbers'!A22)))</f>
        <v>8601175002085</v>
      </c>
    </row>
    <row r="23" spans="1:2">
      <c r="A23" t="s">
        <v>1781</v>
      </c>
      <c r="B23" s="352" t="str">
        <f>IF(LEN('ID Numbers'!A23)=10,"000"&amp;'ID Numbers'!A23,IF(LEN('ID Numbers'!A23)=11,"00"&amp;'ID Numbers'!A23,IF(LEN('ID Numbers'!A23)=12,"0"&amp;'ID Numbers'!A23,'ID Numbers'!A23)))</f>
        <v>8505160258083</v>
      </c>
    </row>
    <row r="24" spans="1:2">
      <c r="A24" t="s">
        <v>1782</v>
      </c>
      <c r="B24" s="352" t="str">
        <f>IF(LEN('ID Numbers'!A24)=10,"000"&amp;'ID Numbers'!A24,IF(LEN('ID Numbers'!A24)=11,"00"&amp;'ID Numbers'!A24,IF(LEN('ID Numbers'!A24)=12,"0"&amp;'ID Numbers'!A24,'ID Numbers'!A24)))</f>
        <v>8101175075082</v>
      </c>
    </row>
    <row r="25" spans="1:2">
      <c r="A25" t="s">
        <v>1783</v>
      </c>
      <c r="B25" s="352" t="str">
        <f>IF(LEN('ID Numbers'!A25)=10,"000"&amp;'ID Numbers'!A25,IF(LEN('ID Numbers'!A25)=11,"00"&amp;'ID Numbers'!A25,IF(LEN('ID Numbers'!A25)=12,"0"&amp;'ID Numbers'!A25,'ID Numbers'!A25)))</f>
        <v>8809165047081</v>
      </c>
    </row>
    <row r="26" spans="1:2">
      <c r="A26" t="s">
        <v>1784</v>
      </c>
      <c r="B26" s="352" t="str">
        <f>IF(LEN('ID Numbers'!A26)=10,"000"&amp;'ID Numbers'!A26,IF(LEN('ID Numbers'!A26)=11,"00"&amp;'ID Numbers'!A26,IF(LEN('ID Numbers'!A26)=12,"0"&amp;'ID Numbers'!A26,'ID Numbers'!A26)))</f>
        <v>8401065251086</v>
      </c>
    </row>
    <row r="27" spans="1:2">
      <c r="A27" t="s">
        <v>1785</v>
      </c>
      <c r="B27" s="352" t="str">
        <f>IF(LEN('ID Numbers'!A27)=10,"000"&amp;'ID Numbers'!A27,IF(LEN('ID Numbers'!A27)=11,"00"&amp;'ID Numbers'!A27,IF(LEN('ID Numbers'!A27)=12,"0"&amp;'ID Numbers'!A27,'ID Numbers'!A27)))</f>
        <v>8806135164087</v>
      </c>
    </row>
    <row r="28" spans="1:2">
      <c r="A28" t="s">
        <v>1786</v>
      </c>
      <c r="B28" s="352" t="str">
        <f>IF(LEN('ID Numbers'!A28)=10,"000"&amp;'ID Numbers'!A28,IF(LEN('ID Numbers'!A28)=11,"00"&amp;'ID Numbers'!A28,IF(LEN('ID Numbers'!A28)=12,"0"&amp;'ID Numbers'!A28,'ID Numbers'!A28)))</f>
        <v>6608135262081</v>
      </c>
    </row>
    <row r="29" spans="1:2">
      <c r="A29" t="s">
        <v>1787</v>
      </c>
      <c r="B29" s="352" t="str">
        <f>IF(LEN('ID Numbers'!A29)=10,"000"&amp;'ID Numbers'!A29,IF(LEN('ID Numbers'!A29)=11,"00"&amp;'ID Numbers'!A29,IF(LEN('ID Numbers'!A29)=12,"0"&amp;'ID Numbers'!A29,'ID Numbers'!A29)))</f>
        <v>7811025224083</v>
      </c>
    </row>
    <row r="30" spans="1:2">
      <c r="A30" t="s">
        <v>1788</v>
      </c>
      <c r="B30" s="352" t="str">
        <f>IF(LEN('ID Numbers'!A30)=10,"000"&amp;'ID Numbers'!A30,IF(LEN('ID Numbers'!A30)=11,"00"&amp;'ID Numbers'!A30,IF(LEN('ID Numbers'!A30)=12,"0"&amp;'ID Numbers'!A30,'ID Numbers'!A30)))</f>
        <v>8307145194081</v>
      </c>
    </row>
    <row r="31" spans="1:2">
      <c r="A31" t="s">
        <v>1789</v>
      </c>
      <c r="B31" s="352" t="str">
        <f>IF(LEN('ID Numbers'!A31)=10,"000"&amp;'ID Numbers'!A31,IF(LEN('ID Numbers'!A31)=11,"00"&amp;'ID Numbers'!A31,IF(LEN('ID Numbers'!A31)=12,"0"&amp;'ID Numbers'!A31,'ID Numbers'!A31)))</f>
        <v>8307215038085</v>
      </c>
    </row>
    <row r="32" spans="1:2">
      <c r="A32" t="s">
        <v>1790</v>
      </c>
      <c r="B32" s="352" t="str">
        <f>IF(LEN('ID Numbers'!A32)=10,"000"&amp;'ID Numbers'!A32,IF(LEN('ID Numbers'!A32)=11,"00"&amp;'ID Numbers'!A32,IF(LEN('ID Numbers'!A32)=12,"0"&amp;'ID Numbers'!A32,'ID Numbers'!A32)))</f>
        <v>0008226385085</v>
      </c>
    </row>
    <row r="33" spans="1:2">
      <c r="A33" t="s">
        <v>1791</v>
      </c>
      <c r="B33" s="352" t="str">
        <f>IF(LEN('ID Numbers'!A33)=10,"000"&amp;'ID Numbers'!A33,IF(LEN('ID Numbers'!A33)=11,"00"&amp;'ID Numbers'!A33,IF(LEN('ID Numbers'!A33)=12,"0"&amp;'ID Numbers'!A33,'ID Numbers'!A33)))</f>
        <v>7009165240080</v>
      </c>
    </row>
    <row r="34" spans="1:2">
      <c r="A34" t="s">
        <v>1792</v>
      </c>
      <c r="B34" s="352" t="str">
        <f>IF(LEN('ID Numbers'!A34)=10,"000"&amp;'ID Numbers'!A34,IF(LEN('ID Numbers'!A34)=11,"00"&amp;'ID Numbers'!A34,IF(LEN('ID Numbers'!A34)=12,"0"&amp;'ID Numbers'!A34,'ID Numbers'!A34)))</f>
        <v>8710165147089</v>
      </c>
    </row>
    <row r="35" spans="1:2">
      <c r="A35" t="s">
        <v>1793</v>
      </c>
      <c r="B35" s="352" t="str">
        <f>IF(LEN('ID Numbers'!A35)=10,"000"&amp;'ID Numbers'!A35,IF(LEN('ID Numbers'!A35)=11,"00"&amp;'ID Numbers'!A35,IF(LEN('ID Numbers'!A35)=12,"0"&amp;'ID Numbers'!A35,'ID Numbers'!A35)))</f>
        <v>1103095085081</v>
      </c>
    </row>
    <row r="36" spans="1:2">
      <c r="A36" t="s">
        <v>1794</v>
      </c>
      <c r="B36" s="352" t="str">
        <f>IF(LEN('ID Numbers'!A36)=10,"000"&amp;'ID Numbers'!A36,IF(LEN('ID Numbers'!A36)=11,"00"&amp;'ID Numbers'!A36,IF(LEN('ID Numbers'!A36)=12,"0"&amp;'ID Numbers'!A36,'ID Numbers'!A36)))</f>
        <v>9602115186086</v>
      </c>
    </row>
    <row r="37" spans="1:2">
      <c r="A37" t="s">
        <v>1795</v>
      </c>
      <c r="B37" s="352" t="str">
        <f>IF(LEN('ID Numbers'!A37)=10,"000"&amp;'ID Numbers'!A37,IF(LEN('ID Numbers'!A37)=11,"00"&amp;'ID Numbers'!A37,IF(LEN('ID Numbers'!A37)=12,"0"&amp;'ID Numbers'!A37,'ID Numbers'!A37)))</f>
        <v>710674358</v>
      </c>
    </row>
    <row r="38" spans="1:2">
      <c r="A38" t="s">
        <v>1796</v>
      </c>
      <c r="B38" s="352" t="str">
        <f>IF(LEN('ID Numbers'!A38)=10,"000"&amp;'ID Numbers'!A38,IF(LEN('ID Numbers'!A38)=11,"00"&amp;'ID Numbers'!A38,IF(LEN('ID Numbers'!A38)=12,"0"&amp;'ID Numbers'!A38,'ID Numbers'!A38)))</f>
        <v>0202225097083</v>
      </c>
    </row>
    <row r="39" spans="1:2">
      <c r="A39" t="s">
        <v>1797</v>
      </c>
      <c r="B39" s="352" t="str">
        <f>IF(LEN('ID Numbers'!A39)=10,"000"&amp;'ID Numbers'!A39,IF(LEN('ID Numbers'!A39)=11,"00"&amp;'ID Numbers'!A39,IF(LEN('ID Numbers'!A39)=12,"0"&amp;'ID Numbers'!A39,'ID Numbers'!A39)))</f>
        <v>8401095078087</v>
      </c>
    </row>
    <row r="40" spans="1:2">
      <c r="A40" t="s">
        <v>1798</v>
      </c>
      <c r="B40" s="352" t="str">
        <f>IF(LEN('ID Numbers'!A40)=10,"000"&amp;'ID Numbers'!A40,IF(LEN('ID Numbers'!A40)=11,"00"&amp;'ID Numbers'!A40,IF(LEN('ID Numbers'!A40)=12,"0"&amp;'ID Numbers'!A40,'ID Numbers'!A40)))</f>
        <v>1210166218085</v>
      </c>
    </row>
    <row r="41" spans="1:2">
      <c r="A41" t="s">
        <v>1799</v>
      </c>
      <c r="B41" s="352" t="str">
        <f>IF(LEN('ID Numbers'!A41)=10,"000"&amp;'ID Numbers'!A41,IF(LEN('ID Numbers'!A41)=11,"00"&amp;'ID Numbers'!A41,IF(LEN('ID Numbers'!A41)=12,"0"&amp;'ID Numbers'!A41,'ID Numbers'!A41)))</f>
        <v>0609275625083</v>
      </c>
    </row>
    <row r="42" spans="1:2">
      <c r="A42" t="s">
        <v>1800</v>
      </c>
      <c r="B42" s="352" t="str">
        <f>IF(LEN('ID Numbers'!A42)=10,"000"&amp;'ID Numbers'!A42,IF(LEN('ID Numbers'!A42)=11,"00"&amp;'ID Numbers'!A42,IF(LEN('ID Numbers'!A42)=12,"0"&amp;'ID Numbers'!A42,'ID Numbers'!A42)))</f>
        <v>9104155059083</v>
      </c>
    </row>
    <row r="43" spans="1:2">
      <c r="A43" t="s">
        <v>1801</v>
      </c>
      <c r="B43" s="352" t="str">
        <f>IF(LEN('ID Numbers'!A43)=10,"000"&amp;'ID Numbers'!A43,IF(LEN('ID Numbers'!A43)=11,"00"&amp;'ID Numbers'!A43,IF(LEN('ID Numbers'!A43)=12,"0"&amp;'ID Numbers'!A43,'ID Numbers'!A43)))</f>
        <v>0309165098083</v>
      </c>
    </row>
    <row r="44" spans="1:2">
      <c r="A44" t="s">
        <v>1802</v>
      </c>
      <c r="B44" s="352" t="str">
        <f>IF(LEN('ID Numbers'!A44)=10,"000"&amp;'ID Numbers'!A44,IF(LEN('ID Numbers'!A44)=11,"00"&amp;'ID Numbers'!A44,IF(LEN('ID Numbers'!A44)=12,"0"&amp;'ID Numbers'!A44,'ID Numbers'!A44)))</f>
        <v>8708065023087</v>
      </c>
    </row>
    <row r="45" spans="1:2">
      <c r="A45" t="s">
        <v>1803</v>
      </c>
      <c r="B45" s="352" t="str">
        <f>IF(LEN('ID Numbers'!A45)=10,"000"&amp;'ID Numbers'!A45,IF(LEN('ID Numbers'!A45)=11,"00"&amp;'ID Numbers'!A45,IF(LEN('ID Numbers'!A45)=12,"0"&amp;'ID Numbers'!A45,'ID Numbers'!A45)))</f>
        <v>7106165240084</v>
      </c>
    </row>
    <row r="46" spans="1:2">
      <c r="A46" t="s">
        <v>1804</v>
      </c>
      <c r="B46" s="352" t="str">
        <f>IF(LEN('ID Numbers'!A46)=10,"000"&amp;'ID Numbers'!A46,IF(LEN('ID Numbers'!A46)=11,"00"&amp;'ID Numbers'!A46,IF(LEN('ID Numbers'!A46)=12,"0"&amp;'ID Numbers'!A46,'ID Numbers'!A46)))</f>
        <v>6511155073083</v>
      </c>
    </row>
    <row r="47" spans="1:2">
      <c r="A47" t="s">
        <v>1805</v>
      </c>
      <c r="B47" s="352" t="str">
        <f>IF(LEN('ID Numbers'!A47)=10,"000"&amp;'ID Numbers'!A47,IF(LEN('ID Numbers'!A47)=11,"00"&amp;'ID Numbers'!A47,IF(LEN('ID Numbers'!A47)=12,"0"&amp;'ID Numbers'!A47,'ID Numbers'!A47)))</f>
        <v>0970417624908</v>
      </c>
    </row>
    <row r="48" spans="1:2">
      <c r="A48" t="s">
        <v>1806</v>
      </c>
      <c r="B48" s="352" t="str">
        <f>IF(LEN('ID Numbers'!A48)=10,"000"&amp;'ID Numbers'!A48,IF(LEN('ID Numbers'!A48)=11,"00"&amp;'ID Numbers'!A48,IF(LEN('ID Numbers'!A48)=12,"0"&amp;'ID Numbers'!A48,'ID Numbers'!A48)))</f>
        <v>0906085437083</v>
      </c>
    </row>
    <row r="49" spans="1:2">
      <c r="A49" t="s">
        <v>1807</v>
      </c>
      <c r="B49" s="352" t="str">
        <f>IF(LEN('ID Numbers'!A49)=10,"000"&amp;'ID Numbers'!A49,IF(LEN('ID Numbers'!A49)=11,"00"&amp;'ID Numbers'!A49,IF(LEN('ID Numbers'!A49)=12,"0"&amp;'ID Numbers'!A49,'ID Numbers'!A49)))</f>
        <v>9404215142089</v>
      </c>
    </row>
    <row r="50" spans="1:2">
      <c r="A50" t="s">
        <v>1808</v>
      </c>
      <c r="B50" s="352" t="str">
        <f>IF(LEN('ID Numbers'!A50)=10,"000"&amp;'ID Numbers'!A50,IF(LEN('ID Numbers'!A50)=11,"00"&amp;'ID Numbers'!A50,IF(LEN('ID Numbers'!A50)=12,"0"&amp;'ID Numbers'!A50,'ID Numbers'!A50)))</f>
        <v>7304165053082</v>
      </c>
    </row>
    <row r="51" spans="1:2">
      <c r="A51" t="s">
        <v>1809</v>
      </c>
      <c r="B51" s="352" t="str">
        <f>IF(LEN('ID Numbers'!A51)=10,"000"&amp;'ID Numbers'!A51,IF(LEN('ID Numbers'!A51)=11,"00"&amp;'ID Numbers'!A51,IF(LEN('ID Numbers'!A51)=12,"0"&amp;'ID Numbers'!A51,'ID Numbers'!A51)))</f>
        <v>7708165281081</v>
      </c>
    </row>
    <row r="52" spans="1:2">
      <c r="A52" t="s">
        <v>1810</v>
      </c>
      <c r="B52" s="352" t="str">
        <f>IF(LEN('ID Numbers'!A52)=10,"000"&amp;'ID Numbers'!A52,IF(LEN('ID Numbers'!A52)=11,"00"&amp;'ID Numbers'!A52,IF(LEN('ID Numbers'!A52)=12,"0"&amp;'ID Numbers'!A52,'ID Numbers'!A52)))</f>
        <v>5804165056085</v>
      </c>
    </row>
    <row r="53" spans="1:2">
      <c r="A53" t="s">
        <v>1811</v>
      </c>
      <c r="B53" s="352" t="str">
        <f>IF(LEN('ID Numbers'!A53)=10,"000"&amp;'ID Numbers'!A53,IF(LEN('ID Numbers'!A53)=11,"00"&amp;'ID Numbers'!A53,IF(LEN('ID Numbers'!A53)=12,"0"&amp;'ID Numbers'!A53,'ID Numbers'!A53)))</f>
        <v>8312305147085</v>
      </c>
    </row>
    <row r="54" spans="1:2">
      <c r="A54" t="s">
        <v>1812</v>
      </c>
      <c r="B54" s="352" t="str">
        <f>IF(LEN('ID Numbers'!A54)=10,"000"&amp;'ID Numbers'!A54,IF(LEN('ID Numbers'!A54)=11,"00"&amp;'ID Numbers'!A54,IF(LEN('ID Numbers'!A54)=12,"0"&amp;'ID Numbers'!A54,'ID Numbers'!A54)))</f>
        <v>8902275209087</v>
      </c>
    </row>
    <row r="55" spans="1:2">
      <c r="A55" t="s">
        <v>1813</v>
      </c>
      <c r="B55" s="352" t="str">
        <f>IF(LEN('ID Numbers'!A55)=10,"000"&amp;'ID Numbers'!A55,IF(LEN('ID Numbers'!A55)=11,"00"&amp;'ID Numbers'!A55,IF(LEN('ID Numbers'!A55)=12,"0"&amp;'ID Numbers'!A55,'ID Numbers'!A55)))</f>
        <v>7304215013086</v>
      </c>
    </row>
    <row r="56" spans="1:2">
      <c r="A56" t="s">
        <v>1814</v>
      </c>
      <c r="B56" s="352" t="str">
        <f>IF(LEN('ID Numbers'!A56)=10,"000"&amp;'ID Numbers'!A56,IF(LEN('ID Numbers'!A56)=11,"00"&amp;'ID Numbers'!A56,IF(LEN('ID Numbers'!A56)=12,"0"&amp;'ID Numbers'!A56,'ID Numbers'!A56)))</f>
        <v>9007055022087</v>
      </c>
    </row>
    <row r="57" spans="1:2">
      <c r="A57" t="s">
        <v>1815</v>
      </c>
      <c r="B57" s="352" t="str">
        <f>IF(LEN('ID Numbers'!A57)=10,"000"&amp;'ID Numbers'!A57,IF(LEN('ID Numbers'!A57)=11,"00"&amp;'ID Numbers'!A57,IF(LEN('ID Numbers'!A57)=12,"0"&amp;'ID Numbers'!A57,'ID Numbers'!A57)))</f>
        <v>9201035088082</v>
      </c>
    </row>
    <row r="58" spans="1:2">
      <c r="A58" t="s">
        <v>1816</v>
      </c>
      <c r="B58" s="352" t="str">
        <f>IF(LEN('ID Numbers'!A58)=10,"000"&amp;'ID Numbers'!A58,IF(LEN('ID Numbers'!A58)=11,"00"&amp;'ID Numbers'!A58,IF(LEN('ID Numbers'!A58)=12,"0"&amp;'ID Numbers'!A58,'ID Numbers'!A58)))</f>
        <v>070325525234089</v>
      </c>
    </row>
    <row r="59" spans="1:2">
      <c r="A59" t="s">
        <v>1817</v>
      </c>
      <c r="B59" s="352" t="str">
        <f>IF(LEN('ID Numbers'!A59)=10,"000"&amp;'ID Numbers'!A59,IF(LEN('ID Numbers'!A59)=11,"00"&amp;'ID Numbers'!A59,IF(LEN('ID Numbers'!A59)=12,"0"&amp;'ID Numbers'!A59,'ID Numbers'!A59)))</f>
        <v>0508085327080</v>
      </c>
    </row>
    <row r="60" spans="1:2">
      <c r="A60" t="s">
        <v>1818</v>
      </c>
      <c r="B60" s="352" t="str">
        <f>IF(LEN('ID Numbers'!A60)=10,"000"&amp;'ID Numbers'!A60,IF(LEN('ID Numbers'!A60)=11,"00"&amp;'ID Numbers'!A60,IF(LEN('ID Numbers'!A60)=12,"0"&amp;'ID Numbers'!A60,'ID Numbers'!A60)))</f>
        <v>6506025046087</v>
      </c>
    </row>
    <row r="61" spans="1:2">
      <c r="A61" t="s">
        <v>1819</v>
      </c>
      <c r="B61" s="352" t="str">
        <f>IF(LEN('ID Numbers'!A61)=10,"000"&amp;'ID Numbers'!A61,IF(LEN('ID Numbers'!A61)=11,"00"&amp;'ID Numbers'!A61,IF(LEN('ID Numbers'!A61)=12,"0"&amp;'ID Numbers'!A61,'ID Numbers'!A61)))</f>
        <v>8306225017089</v>
      </c>
    </row>
    <row r="62" spans="1:2">
      <c r="A62" t="s">
        <v>1820</v>
      </c>
      <c r="B62" s="352" t="str">
        <f>IF(LEN('ID Numbers'!A62)=10,"000"&amp;'ID Numbers'!A62,IF(LEN('ID Numbers'!A62)=11,"00"&amp;'ID Numbers'!A62,IF(LEN('ID Numbers'!A62)=12,"0"&amp;'ID Numbers'!A62,'ID Numbers'!A62)))</f>
        <v>8209185079083</v>
      </c>
    </row>
    <row r="63" spans="1:2">
      <c r="A63" t="s">
        <v>1821</v>
      </c>
      <c r="B63" s="352" t="str">
        <f>IF(LEN('ID Numbers'!A63)=10,"000"&amp;'ID Numbers'!A63,IF(LEN('ID Numbers'!A63)=11,"00"&amp;'ID Numbers'!A63,IF(LEN('ID Numbers'!A63)=12,"0"&amp;'ID Numbers'!A63,'ID Numbers'!A63)))</f>
        <v>0701125203086</v>
      </c>
    </row>
    <row r="64" spans="1:2">
      <c r="A64" t="s">
        <v>1822</v>
      </c>
      <c r="B64" s="352" t="str">
        <f>IF(LEN('ID Numbers'!A64)=10,"000"&amp;'ID Numbers'!A64,IF(LEN('ID Numbers'!A64)=11,"00"&amp;'ID Numbers'!A64,IF(LEN('ID Numbers'!A64)=12,"0"&amp;'ID Numbers'!A64,'ID Numbers'!A64)))</f>
        <v>7703225058082</v>
      </c>
    </row>
    <row r="65" spans="1:2">
      <c r="A65" t="s">
        <v>1823</v>
      </c>
      <c r="B65" s="352" t="str">
        <f>IF(LEN('ID Numbers'!A65)=10,"000"&amp;'ID Numbers'!A65,IF(LEN('ID Numbers'!A65)=11,"00"&amp;'ID Numbers'!A65,IF(LEN('ID Numbers'!A65)=12,"0"&amp;'ID Numbers'!A65,'ID Numbers'!A65)))</f>
        <v>9212065054084</v>
      </c>
    </row>
    <row r="66" spans="1:2">
      <c r="A66" t="s">
        <v>1824</v>
      </c>
      <c r="B66" s="352" t="str">
        <f>IF(LEN('ID Numbers'!A66)=10,"000"&amp;'ID Numbers'!A66,IF(LEN('ID Numbers'!A66)=11,"00"&amp;'ID Numbers'!A66,IF(LEN('ID Numbers'!A66)=12,"0"&amp;'ID Numbers'!A66,'ID Numbers'!A66)))</f>
        <v>9201240011085</v>
      </c>
    </row>
    <row r="67" spans="1:2">
      <c r="A67" t="s">
        <v>1825</v>
      </c>
      <c r="B67" s="352" t="str">
        <f>IF(LEN('ID Numbers'!A67)=10,"000"&amp;'ID Numbers'!A67,IF(LEN('ID Numbers'!A67)=11,"00"&amp;'ID Numbers'!A67,IF(LEN('ID Numbers'!A67)=12,"0"&amp;'ID Numbers'!A67,'ID Numbers'!A67)))</f>
        <v>8206245064089</v>
      </c>
    </row>
    <row r="68" spans="1:2">
      <c r="A68" t="s">
        <v>1826</v>
      </c>
      <c r="B68" s="352" t="str">
        <f>IF(LEN('ID Numbers'!A68)=10,"000"&amp;'ID Numbers'!A68,IF(LEN('ID Numbers'!A68)=11,"00"&amp;'ID Numbers'!A68,IF(LEN('ID Numbers'!A68)=12,"0"&amp;'ID Numbers'!A68,'ID Numbers'!A68)))</f>
        <v>0405195196085</v>
      </c>
    </row>
    <row r="69" spans="1:2">
      <c r="A69" t="s">
        <v>1827</v>
      </c>
      <c r="B69" s="352" t="str">
        <f>IF(LEN('ID Numbers'!A69)=10,"000"&amp;'ID Numbers'!A69,IF(LEN('ID Numbers'!A69)=11,"00"&amp;'ID Numbers'!A69,IF(LEN('ID Numbers'!A69)=12,"0"&amp;'ID Numbers'!A69,'ID Numbers'!A69)))</f>
        <v>7108035303084</v>
      </c>
    </row>
    <row r="70" spans="1:2">
      <c r="B70" s="352">
        <f>IF(LEN('ID Numbers'!A70)=10,"000"&amp;'ID Numbers'!A70,IF(LEN('ID Numbers'!A70)=11,"00"&amp;'ID Numbers'!A70,IF(LEN('ID Numbers'!A70)=12,"0"&amp;'ID Numbers'!A70,'ID Numbers'!A70)))</f>
        <v>0</v>
      </c>
    </row>
    <row r="71" spans="1:2">
      <c r="A71" t="s">
        <v>1828</v>
      </c>
      <c r="B71" s="352" t="str">
        <f>IF(LEN('ID Numbers'!A71)=10,"000"&amp;'ID Numbers'!A71,IF(LEN('ID Numbers'!A71)=11,"00"&amp;'ID Numbers'!A71,IF(LEN('ID Numbers'!A71)=12,"0"&amp;'ID Numbers'!A71,'ID Numbers'!A71)))</f>
        <v>0301275270082</v>
      </c>
    </row>
    <row r="72" spans="1:2">
      <c r="A72" t="s">
        <v>1829</v>
      </c>
      <c r="B72" s="352" t="str">
        <f>IF(LEN('ID Numbers'!A72)=10,"000"&amp;'ID Numbers'!A72,IF(LEN('ID Numbers'!A72)=11,"00"&amp;'ID Numbers'!A72,IF(LEN('ID Numbers'!A72)=12,"0"&amp;'ID Numbers'!A72,'ID Numbers'!A72)))</f>
        <v>0803035442083</v>
      </c>
    </row>
    <row r="73" spans="1:2">
      <c r="A73" t="s">
        <v>1830</v>
      </c>
      <c r="B73" s="352" t="str">
        <f>IF(LEN('ID Numbers'!A73)=10,"000"&amp;'ID Numbers'!A73,IF(LEN('ID Numbers'!A73)=11,"00"&amp;'ID Numbers'!A73,IF(LEN('ID Numbers'!A73)=12,"0"&amp;'ID Numbers'!A73,'ID Numbers'!A73)))</f>
        <v>6709245117080</v>
      </c>
    </row>
    <row r="74" spans="1:2">
      <c r="A74" t="s">
        <v>1831</v>
      </c>
      <c r="B74" s="352" t="str">
        <f>IF(LEN('ID Numbers'!A74)=10,"000"&amp;'ID Numbers'!A74,IF(LEN('ID Numbers'!A74)=11,"00"&amp;'ID Numbers'!A74,IF(LEN('ID Numbers'!A74)=12,"0"&amp;'ID Numbers'!A74,'ID Numbers'!A74)))</f>
        <v>8806275630087</v>
      </c>
    </row>
    <row r="75" spans="1:2">
      <c r="A75" t="s">
        <v>1832</v>
      </c>
      <c r="B75" s="352" t="str">
        <f>IF(LEN('ID Numbers'!A75)=10,"000"&amp;'ID Numbers'!A75,IF(LEN('ID Numbers'!A75)=11,"00"&amp;'ID Numbers'!A75,IF(LEN('ID Numbers'!A75)=12,"0"&amp;'ID Numbers'!A75,'ID Numbers'!A75)))</f>
        <v>9502085070080</v>
      </c>
    </row>
    <row r="76" spans="1:2">
      <c r="A76" t="s">
        <v>1833</v>
      </c>
      <c r="B76" s="352" t="str">
        <f>IF(LEN('ID Numbers'!A76)=10,"000"&amp;'ID Numbers'!A76,IF(LEN('ID Numbers'!A76)=11,"00"&amp;'ID Numbers'!A76,IF(LEN('ID Numbers'!A76)=12,"0"&amp;'ID Numbers'!A76,'ID Numbers'!A76)))</f>
        <v>0105235588081</v>
      </c>
    </row>
    <row r="77" spans="1:2">
      <c r="A77" t="s">
        <v>1834</v>
      </c>
      <c r="B77" s="352" t="str">
        <f>IF(LEN('ID Numbers'!A77)=10,"000"&amp;'ID Numbers'!A77,IF(LEN('ID Numbers'!A77)=11,"00"&amp;'ID Numbers'!A77,IF(LEN('ID Numbers'!A77)=12,"0"&amp;'ID Numbers'!A77,'ID Numbers'!A77)))</f>
        <v>7211035260088</v>
      </c>
    </row>
    <row r="78" spans="1:2">
      <c r="A78" t="s">
        <v>1835</v>
      </c>
      <c r="B78" s="352" t="str">
        <f>IF(LEN('ID Numbers'!A78)=10,"000"&amp;'ID Numbers'!A78,IF(LEN('ID Numbers'!A78)=11,"00"&amp;'ID Numbers'!A78,IF(LEN('ID Numbers'!A78)=12,"0"&amp;'ID Numbers'!A78,'ID Numbers'!A78)))</f>
        <v>0804055262088</v>
      </c>
    </row>
    <row r="79" spans="1:2">
      <c r="A79" t="s">
        <v>1836</v>
      </c>
      <c r="B79" s="352" t="str">
        <f>IF(LEN('ID Numbers'!A79)=10,"000"&amp;'ID Numbers'!A79,IF(LEN('ID Numbers'!A79)=11,"00"&amp;'ID Numbers'!A79,IF(LEN('ID Numbers'!A79)=12,"0"&amp;'ID Numbers'!A79,'ID Numbers'!A79)))</f>
        <v>8502085188081</v>
      </c>
    </row>
    <row r="80" spans="1:2">
      <c r="A80" t="s">
        <v>1837</v>
      </c>
      <c r="B80" s="352" t="str">
        <f>IF(LEN('ID Numbers'!A80)=10,"000"&amp;'ID Numbers'!A80,IF(LEN('ID Numbers'!A80)=11,"00"&amp;'ID Numbers'!A80,IF(LEN('ID Numbers'!A80)=12,"0"&amp;'ID Numbers'!A80,'ID Numbers'!A80)))</f>
        <v>9110035021086</v>
      </c>
    </row>
    <row r="81" spans="1:2">
      <c r="B81" s="352">
        <f>IF(LEN('ID Numbers'!A81)=10,"000"&amp;'ID Numbers'!A81,IF(LEN('ID Numbers'!A81)=11,"00"&amp;'ID Numbers'!A81,IF(LEN('ID Numbers'!A81)=12,"0"&amp;'ID Numbers'!A81,'ID Numbers'!A81)))</f>
        <v>0</v>
      </c>
    </row>
    <row r="82" spans="1:2">
      <c r="A82" t="s">
        <v>1838</v>
      </c>
      <c r="B82" s="352" t="str">
        <f>IF(LEN('ID Numbers'!A82)=10,"000"&amp;'ID Numbers'!A82,IF(LEN('ID Numbers'!A82)=11,"00"&amp;'ID Numbers'!A82,IF(LEN('ID Numbers'!A82)=12,"0"&amp;'ID Numbers'!A82,'ID Numbers'!A82)))</f>
        <v>X1778974</v>
      </c>
    </row>
    <row r="83" spans="1:2">
      <c r="A83" t="s">
        <v>1839</v>
      </c>
      <c r="B83" s="352" t="str">
        <f>IF(LEN('ID Numbers'!A83)=10,"000"&amp;'ID Numbers'!A83,IF(LEN('ID Numbers'!A83)=11,"00"&amp;'ID Numbers'!A83,IF(LEN('ID Numbers'!A83)=12,"0"&amp;'ID Numbers'!A83,'ID Numbers'!A83)))</f>
        <v>7905205157087</v>
      </c>
    </row>
    <row r="84" spans="1:2">
      <c r="A84" t="s">
        <v>1840</v>
      </c>
      <c r="B84" s="352" t="str">
        <f>IF(LEN('ID Numbers'!A84)=10,"000"&amp;'ID Numbers'!A84,IF(LEN('ID Numbers'!A84)=11,"00"&amp;'ID Numbers'!A84,IF(LEN('ID Numbers'!A84)=12,"0"&amp;'ID Numbers'!A84,'ID Numbers'!A84)))</f>
        <v>7304045090080</v>
      </c>
    </row>
    <row r="85" spans="1:2">
      <c r="A85" t="s">
        <v>1841</v>
      </c>
      <c r="B85" s="352" t="str">
        <f>IF(LEN('ID Numbers'!A85)=10,"000"&amp;'ID Numbers'!A85,IF(LEN('ID Numbers'!A85)=11,"00"&amp;'ID Numbers'!A85,IF(LEN('ID Numbers'!A85)=12,"0"&amp;'ID Numbers'!A85,'ID Numbers'!A85)))</f>
        <v>7809295115080</v>
      </c>
    </row>
    <row r="86" spans="1:2">
      <c r="A86" t="s">
        <v>1842</v>
      </c>
      <c r="B86" s="352" t="str">
        <f>IF(LEN('ID Numbers'!A86)=10,"000"&amp;'ID Numbers'!A86,IF(LEN('ID Numbers'!A86)=11,"00"&amp;'ID Numbers'!A86,IF(LEN('ID Numbers'!A86)=12,"0"&amp;'ID Numbers'!A86,'ID Numbers'!A86)))</f>
        <v>8112095099086</v>
      </c>
    </row>
    <row r="87" spans="1:2">
      <c r="A87" t="s">
        <v>1843</v>
      </c>
      <c r="B87" s="352" t="str">
        <f>IF(LEN('ID Numbers'!A87)=10,"000"&amp;'ID Numbers'!A87,IF(LEN('ID Numbers'!A87)=11,"00"&amp;'ID Numbers'!A87,IF(LEN('ID Numbers'!A87)=12,"0"&amp;'ID Numbers'!A87,'ID Numbers'!A87)))</f>
        <v>0901125157080</v>
      </c>
    </row>
    <row r="88" spans="1:2">
      <c r="A88" t="s">
        <v>1844</v>
      </c>
      <c r="B88" s="352" t="str">
        <f>IF(LEN('ID Numbers'!A88)=10,"000"&amp;'ID Numbers'!A88,IF(LEN('ID Numbers'!A88)=11,"00"&amp;'ID Numbers'!A88,IF(LEN('ID Numbers'!A88)=12,"0"&amp;'ID Numbers'!A88,'ID Numbers'!A88)))</f>
        <v>8107295292085</v>
      </c>
    </row>
    <row r="89" spans="1:2">
      <c r="A89" t="s">
        <v>1845</v>
      </c>
      <c r="B89" s="352" t="str">
        <f>IF(LEN('ID Numbers'!A89)=10,"000"&amp;'ID Numbers'!A89,IF(LEN('ID Numbers'!A89)=11,"00"&amp;'ID Numbers'!A89,IF(LEN('ID Numbers'!A89)=12,"0"&amp;'ID Numbers'!A89,'ID Numbers'!A89)))</f>
        <v>7007115223081</v>
      </c>
    </row>
    <row r="90" spans="1:2">
      <c r="A90" t="s">
        <v>1846</v>
      </c>
      <c r="B90" s="352" t="str">
        <f>IF(LEN('ID Numbers'!A90)=10,"000"&amp;'ID Numbers'!A90,IF(LEN('ID Numbers'!A90)=11,"00"&amp;'ID Numbers'!A90,IF(LEN('ID Numbers'!A90)=12,"0"&amp;'ID Numbers'!A90,'ID Numbers'!A90)))</f>
        <v>8304265168086</v>
      </c>
    </row>
    <row r="91" spans="1:2">
      <c r="A91" t="s">
        <v>1847</v>
      </c>
      <c r="B91" s="352" t="str">
        <f>IF(LEN('ID Numbers'!A91)=10,"000"&amp;'ID Numbers'!A91,IF(LEN('ID Numbers'!A91)=11,"00"&amp;'ID Numbers'!A91,IF(LEN('ID Numbers'!A91)=12,"0"&amp;'ID Numbers'!A91,'ID Numbers'!A91)))</f>
        <v>8908235008089</v>
      </c>
    </row>
    <row r="92" spans="1:2">
      <c r="A92" t="s">
        <v>1848</v>
      </c>
      <c r="B92" s="352" t="str">
        <f>IF(LEN('ID Numbers'!A92)=10,"000"&amp;'ID Numbers'!A92,IF(LEN('ID Numbers'!A92)=11,"00"&amp;'ID Numbers'!A92,IF(LEN('ID Numbers'!A92)=12,"0"&amp;'ID Numbers'!A92,'ID Numbers'!A92)))</f>
        <v>8903075231081</v>
      </c>
    </row>
    <row r="93" spans="1:2">
      <c r="A93" t="s">
        <v>1849</v>
      </c>
      <c r="B93" s="352" t="str">
        <f>IF(LEN('ID Numbers'!A93)=10,"000"&amp;'ID Numbers'!A93,IF(LEN('ID Numbers'!A93)=11,"00"&amp;'ID Numbers'!A93,IF(LEN('ID Numbers'!A93)=12,"0"&amp;'ID Numbers'!A93,'ID Numbers'!A93)))</f>
        <v>9510015036089</v>
      </c>
    </row>
    <row r="94" spans="1:2">
      <c r="A94" t="s">
        <v>1850</v>
      </c>
      <c r="B94" s="352" t="str">
        <f>IF(LEN('ID Numbers'!A94)=10,"000"&amp;'ID Numbers'!A94,IF(LEN('ID Numbers'!A94)=11,"00"&amp;'ID Numbers'!A94,IF(LEN('ID Numbers'!A94)=12,"0"&amp;'ID Numbers'!A94,'ID Numbers'!A94)))</f>
        <v>8408065187087</v>
      </c>
    </row>
    <row r="95" spans="1:2">
      <c r="A95" t="s">
        <v>1851</v>
      </c>
      <c r="B95" s="352" t="str">
        <f>IF(LEN('ID Numbers'!A95)=10,"000"&amp;'ID Numbers'!A95,IF(LEN('ID Numbers'!A95)=11,"00"&amp;'ID Numbers'!A95,IF(LEN('ID Numbers'!A95)=12,"0"&amp;'ID Numbers'!A95,'ID Numbers'!A95)))</f>
        <v>0710075177083</v>
      </c>
    </row>
    <row r="96" spans="1:2">
      <c r="A96" t="s">
        <v>1852</v>
      </c>
      <c r="B96" s="352" t="str">
        <f>IF(LEN('ID Numbers'!A96)=10,"000"&amp;'ID Numbers'!A96,IF(LEN('ID Numbers'!A96)=11,"00"&amp;'ID Numbers'!A96,IF(LEN('ID Numbers'!A96)=12,"0"&amp;'ID Numbers'!A96,'ID Numbers'!A96)))</f>
        <v>6509035007081</v>
      </c>
    </row>
    <row r="97" spans="1:2">
      <c r="B97" s="352">
        <f>IF(LEN('ID Numbers'!A97)=10,"000"&amp;'ID Numbers'!A97,IF(LEN('ID Numbers'!A97)=11,"00"&amp;'ID Numbers'!A97,IF(LEN('ID Numbers'!A97)=12,"0"&amp;'ID Numbers'!A97,'ID Numbers'!A97)))</f>
        <v>0</v>
      </c>
    </row>
    <row r="98" spans="1:2">
      <c r="A98" t="s">
        <v>1853</v>
      </c>
      <c r="B98" s="352" t="str">
        <f>IF(LEN('ID Numbers'!A98)=10,"000"&amp;'ID Numbers'!A98,IF(LEN('ID Numbers'!A98)=11,"00"&amp;'ID Numbers'!A98,IF(LEN('ID Numbers'!A98)=12,"0"&amp;'ID Numbers'!A98,'ID Numbers'!A98)))</f>
        <v>1009225188085</v>
      </c>
    </row>
    <row r="99" spans="1:2">
      <c r="A99" t="s">
        <v>1854</v>
      </c>
      <c r="B99" s="352" t="str">
        <f>IF(LEN('ID Numbers'!A99)=10,"000"&amp;'ID Numbers'!A99,IF(LEN('ID Numbers'!A99)=11,"00"&amp;'ID Numbers'!A99,IF(LEN('ID Numbers'!A99)=12,"0"&amp;'ID Numbers'!A99,'ID Numbers'!A99)))</f>
        <v>8702050238081</v>
      </c>
    </row>
    <row r="100" spans="1:2">
      <c r="A100" t="s">
        <v>1855</v>
      </c>
      <c r="B100" s="352" t="str">
        <f>IF(LEN('ID Numbers'!A100)=10,"000"&amp;'ID Numbers'!A100,IF(LEN('ID Numbers'!A100)=11,"00"&amp;'ID Numbers'!A100,IF(LEN('ID Numbers'!A100)=12,"0"&amp;'ID Numbers'!A100,'ID Numbers'!A100)))</f>
        <v>8003145023087</v>
      </c>
    </row>
    <row r="101" spans="1:2">
      <c r="A101" t="s">
        <v>1856</v>
      </c>
      <c r="B101" s="352" t="str">
        <f>IF(LEN('ID Numbers'!A101)=10,"000"&amp;'ID Numbers'!A101,IF(LEN('ID Numbers'!A101)=11,"00"&amp;'ID Numbers'!A101,IF(LEN('ID Numbers'!A101)=12,"0"&amp;'ID Numbers'!A101,'ID Numbers'!A101)))</f>
        <v>1011155133081</v>
      </c>
    </row>
    <row r="102" spans="1:2">
      <c r="A102" t="s">
        <v>1857</v>
      </c>
      <c r="B102" s="352" t="str">
        <f>IF(LEN('ID Numbers'!A102)=10,"000"&amp;'ID Numbers'!A102,IF(LEN('ID Numbers'!A102)=11,"00"&amp;'ID Numbers'!A102,IF(LEN('ID Numbers'!A102)=12,"0"&amp;'ID Numbers'!A102,'ID Numbers'!A102)))</f>
        <v>0702045233088</v>
      </c>
    </row>
    <row r="103" spans="1:2">
      <c r="A103" t="s">
        <v>1858</v>
      </c>
      <c r="B103" s="352" t="str">
        <f>IF(LEN('ID Numbers'!A103)=10,"000"&amp;'ID Numbers'!A103,IF(LEN('ID Numbers'!A103)=11,"00"&amp;'ID Numbers'!A103,IF(LEN('ID Numbers'!A103)=12,"0"&amp;'ID Numbers'!A103,'ID Numbers'!A103)))</f>
        <v>9910186174083</v>
      </c>
    </row>
    <row r="104" spans="1:2">
      <c r="A104" t="s">
        <v>1859</v>
      </c>
      <c r="B104" s="352" t="str">
        <f>IF(LEN('ID Numbers'!A104)=10,"000"&amp;'ID Numbers'!A104,IF(LEN('ID Numbers'!A104)=11,"00"&amp;'ID Numbers'!A104,IF(LEN('ID Numbers'!A104)=12,"0"&amp;'ID Numbers'!A104,'ID Numbers'!A104)))</f>
        <v>0406195234082</v>
      </c>
    </row>
    <row r="105" spans="1:2">
      <c r="A105" t="s">
        <v>1860</v>
      </c>
      <c r="B105" s="352" t="str">
        <f>IF(LEN('ID Numbers'!A105)=10,"000"&amp;'ID Numbers'!A105,IF(LEN('ID Numbers'!A105)=11,"00"&amp;'ID Numbers'!A105,IF(LEN('ID Numbers'!A105)=12,"0"&amp;'ID Numbers'!A105,'ID Numbers'!A105)))</f>
        <v>FN153515</v>
      </c>
    </row>
    <row r="106" spans="1:2">
      <c r="A106" t="s">
        <v>1861</v>
      </c>
      <c r="B106" s="352" t="str">
        <f>IF(LEN('ID Numbers'!A106)=10,"000"&amp;'ID Numbers'!A106,IF(LEN('ID Numbers'!A106)=11,"00"&amp;'ID Numbers'!A106,IF(LEN('ID Numbers'!A106)=12,"0"&amp;'ID Numbers'!A106,'ID Numbers'!A106)))</f>
        <v>8108275169087</v>
      </c>
    </row>
    <row r="107" spans="1:2">
      <c r="A107" t="s">
        <v>1862</v>
      </c>
      <c r="B107" s="352" t="str">
        <f>IF(LEN('ID Numbers'!A107)=10,"000"&amp;'ID Numbers'!A107,IF(LEN('ID Numbers'!A107)=11,"00"&amp;'ID Numbers'!A107,IF(LEN('ID Numbers'!A107)=12,"0"&amp;'ID Numbers'!A107,'ID Numbers'!A107)))</f>
        <v>8102235186083</v>
      </c>
    </row>
    <row r="108" spans="1:2">
      <c r="A108" t="s">
        <v>1863</v>
      </c>
      <c r="B108" s="352" t="str">
        <f>IF(LEN('ID Numbers'!A108)=10,"000"&amp;'ID Numbers'!A108,IF(LEN('ID Numbers'!A108)=11,"00"&amp;'ID Numbers'!A108,IF(LEN('ID Numbers'!A108)=12,"0"&amp;'ID Numbers'!A108,'ID Numbers'!A108)))</f>
        <v>8512085116081</v>
      </c>
    </row>
    <row r="109" spans="1:2">
      <c r="A109" t="s">
        <v>1864</v>
      </c>
      <c r="B109" s="352" t="str">
        <f>IF(LEN('ID Numbers'!A109)=10,"000"&amp;'ID Numbers'!A109,IF(LEN('ID Numbers'!A109)=11,"00"&amp;'ID Numbers'!A109,IF(LEN('ID Numbers'!A109)=12,"0"&amp;'ID Numbers'!A109,'ID Numbers'!A109)))</f>
        <v>8608115022081</v>
      </c>
    </row>
    <row r="110" spans="1:2">
      <c r="A110" t="s">
        <v>1865</v>
      </c>
      <c r="B110" s="352" t="str">
        <f>IF(LEN('ID Numbers'!A110)=10,"000"&amp;'ID Numbers'!A110,IF(LEN('ID Numbers'!A110)=11,"00"&amp;'ID Numbers'!A110,IF(LEN('ID Numbers'!A110)=12,"0"&amp;'ID Numbers'!A110,'ID Numbers'!A110)))</f>
        <v>0907095359085</v>
      </c>
    </row>
    <row r="111" spans="1:2">
      <c r="A111" t="s">
        <v>1866</v>
      </c>
      <c r="B111" s="352" t="str">
        <f>IF(LEN('ID Numbers'!A111)=10,"000"&amp;'ID Numbers'!A111,IF(LEN('ID Numbers'!A111)=11,"00"&amp;'ID Numbers'!A111,IF(LEN('ID Numbers'!A111)=12,"0"&amp;'ID Numbers'!A111,'ID Numbers'!A111)))</f>
        <v>8610095237085</v>
      </c>
    </row>
    <row r="112" spans="1:2">
      <c r="A112" t="s">
        <v>1867</v>
      </c>
      <c r="B112" s="352" t="str">
        <f>IF(LEN('ID Numbers'!A112)=10,"000"&amp;'ID Numbers'!A112,IF(LEN('ID Numbers'!A112)=11,"00"&amp;'ID Numbers'!A112,IF(LEN('ID Numbers'!A112)=12,"0"&amp;'ID Numbers'!A112,'ID Numbers'!A112)))</f>
        <v>8401065197081</v>
      </c>
    </row>
    <row r="113" spans="1:2">
      <c r="A113" t="s">
        <v>1868</v>
      </c>
      <c r="B113" s="352" t="str">
        <f>IF(LEN('ID Numbers'!A113)=10,"000"&amp;'ID Numbers'!A113,IF(LEN('ID Numbers'!A113)=11,"00"&amp;'ID Numbers'!A113,IF(LEN('ID Numbers'!A113)=12,"0"&amp;'ID Numbers'!A113,'ID Numbers'!A113)))</f>
        <v>8207295059086</v>
      </c>
    </row>
    <row r="114" spans="1:2">
      <c r="A114" t="s">
        <v>1869</v>
      </c>
      <c r="B114" s="352" t="str">
        <f>IF(LEN('ID Numbers'!A114)=10,"000"&amp;'ID Numbers'!A114,IF(LEN('ID Numbers'!A114)=11,"00"&amp;'ID Numbers'!A114,IF(LEN('ID Numbers'!A114)=12,"0"&amp;'ID Numbers'!A114,'ID Numbers'!A114)))</f>
        <v>8511255293084</v>
      </c>
    </row>
    <row r="115" spans="1:2">
      <c r="A115" t="s">
        <v>1870</v>
      </c>
      <c r="B115" s="352" t="str">
        <f>IF(LEN('ID Numbers'!A115)=10,"000"&amp;'ID Numbers'!A115,IF(LEN('ID Numbers'!A115)=11,"00"&amp;'ID Numbers'!A115,IF(LEN('ID Numbers'!A115)=12,"0"&amp;'ID Numbers'!A115,'ID Numbers'!A115)))</f>
        <v>6712165128087</v>
      </c>
    </row>
    <row r="116" spans="1:2">
      <c r="A116" t="s">
        <v>1871</v>
      </c>
      <c r="B116" s="352" t="str">
        <f>IF(LEN('ID Numbers'!A116)=10,"000"&amp;'ID Numbers'!A116,IF(LEN('ID Numbers'!A116)=11,"00"&amp;'ID Numbers'!A116,IF(LEN('ID Numbers'!A116)=12,"0"&amp;'ID Numbers'!A116,'ID Numbers'!A116)))</f>
        <v>0807285147086</v>
      </c>
    </row>
    <row r="117" spans="1:2">
      <c r="A117" t="s">
        <v>1872</v>
      </c>
      <c r="B117" s="352" t="str">
        <f>IF(LEN('ID Numbers'!A117)=10,"000"&amp;'ID Numbers'!A117,IF(LEN('ID Numbers'!A117)=11,"00"&amp;'ID Numbers'!A117,IF(LEN('ID Numbers'!A117)=12,"0"&amp;'ID Numbers'!A117,'ID Numbers'!A117)))</f>
        <v>0807285143085</v>
      </c>
    </row>
    <row r="118" spans="1:2">
      <c r="A118" t="s">
        <v>1873</v>
      </c>
      <c r="B118" s="352" t="str">
        <f>IF(LEN('ID Numbers'!A118)=10,"000"&amp;'ID Numbers'!A118,IF(LEN('ID Numbers'!A118)=11,"00"&amp;'ID Numbers'!A118,IF(LEN('ID Numbers'!A118)=12,"0"&amp;'ID Numbers'!A118,'ID Numbers'!A118)))</f>
        <v>9006235102082</v>
      </c>
    </row>
    <row r="119" spans="1:2">
      <c r="A119" t="s">
        <v>1874</v>
      </c>
      <c r="B119" s="352" t="str">
        <f>IF(LEN('ID Numbers'!A119)=10,"000"&amp;'ID Numbers'!A119,IF(LEN('ID Numbers'!A119)=11,"00"&amp;'ID Numbers'!A119,IF(LEN('ID Numbers'!A119)=12,"0"&amp;'ID Numbers'!A119,'ID Numbers'!A119)))</f>
        <v>0880112505208</v>
      </c>
    </row>
    <row r="120" spans="1:2">
      <c r="A120" t="s">
        <v>1875</v>
      </c>
      <c r="B120" s="352" t="str">
        <f>IF(LEN('ID Numbers'!A120)=10,"000"&amp;'ID Numbers'!A120,IF(LEN('ID Numbers'!A120)=11,"00"&amp;'ID Numbers'!A120,IF(LEN('ID Numbers'!A120)=12,"0"&amp;'ID Numbers'!A120,'ID Numbers'!A120)))</f>
        <v>8611265132080</v>
      </c>
    </row>
    <row r="121" spans="1:2">
      <c r="A121" t="s">
        <v>1876</v>
      </c>
      <c r="B121" s="352" t="str">
        <f>IF(LEN('ID Numbers'!A121)=10,"000"&amp;'ID Numbers'!A121,IF(LEN('ID Numbers'!A121)=11,"00"&amp;'ID Numbers'!A121,IF(LEN('ID Numbers'!A121)=12,"0"&amp;'ID Numbers'!A121,'ID Numbers'!A121)))</f>
        <v>7901305129084</v>
      </c>
    </row>
    <row r="122" spans="1:2">
      <c r="A122" t="s">
        <v>1877</v>
      </c>
      <c r="B122" s="352" t="str">
        <f>IF(LEN('ID Numbers'!A122)=10,"000"&amp;'ID Numbers'!A122,IF(LEN('ID Numbers'!A122)=11,"00"&amp;'ID Numbers'!A122,IF(LEN('ID Numbers'!A122)=12,"0"&amp;'ID Numbers'!A122,'ID Numbers'!A122)))</f>
        <v>8711075052088</v>
      </c>
    </row>
    <row r="123" spans="1:2">
      <c r="A123" t="s">
        <v>1878</v>
      </c>
      <c r="B123" s="352" t="str">
        <f>IF(LEN('ID Numbers'!A123)=10,"000"&amp;'ID Numbers'!A123,IF(LEN('ID Numbers'!A123)=11,"00"&amp;'ID Numbers'!A123,IF(LEN('ID Numbers'!A123)=12,"0"&amp;'ID Numbers'!A123,'ID Numbers'!A123)))</f>
        <v>0810165497084</v>
      </c>
    </row>
    <row r="124" spans="1:2">
      <c r="A124" t="s">
        <v>1879</v>
      </c>
      <c r="B124" s="352" t="str">
        <f>IF(LEN('ID Numbers'!A124)=10,"000"&amp;'ID Numbers'!A124,IF(LEN('ID Numbers'!A124)=11,"00"&amp;'ID Numbers'!A124,IF(LEN('ID Numbers'!A124)=12,"0"&amp;'ID Numbers'!A124,'ID Numbers'!A124)))</f>
        <v>9709085198080</v>
      </c>
    </row>
    <row r="125" spans="1:2">
      <c r="A125" t="s">
        <v>1880</v>
      </c>
      <c r="B125" s="352" t="str">
        <f>IF(LEN('ID Numbers'!A125)=10,"000"&amp;'ID Numbers'!A125,IF(LEN('ID Numbers'!A125)=11,"00"&amp;'ID Numbers'!A125,IF(LEN('ID Numbers'!A125)=12,"0"&amp;'ID Numbers'!A125,'ID Numbers'!A125)))</f>
        <v>9204095172085</v>
      </c>
    </row>
    <row r="126" spans="1:2">
      <c r="A126" t="s">
        <v>1881</v>
      </c>
      <c r="B126" s="352" t="str">
        <f>IF(LEN('ID Numbers'!A126)=10,"000"&amp;'ID Numbers'!A126,IF(LEN('ID Numbers'!A126)=11,"00"&amp;'ID Numbers'!A126,IF(LEN('ID Numbers'!A126)=12,"0"&amp;'ID Numbers'!A126,'ID Numbers'!A126)))</f>
        <v>0505136173083</v>
      </c>
    </row>
    <row r="127" spans="1:2">
      <c r="A127" t="s">
        <v>1882</v>
      </c>
      <c r="B127" s="352" t="str">
        <f>IF(LEN('ID Numbers'!A127)=10,"000"&amp;'ID Numbers'!A127,IF(LEN('ID Numbers'!A127)=11,"00"&amp;'ID Numbers'!A127,IF(LEN('ID Numbers'!A127)=12,"0"&amp;'ID Numbers'!A127,'ID Numbers'!A127)))</f>
        <v>0505305352088</v>
      </c>
    </row>
    <row r="128" spans="1:2">
      <c r="A128" t="s">
        <v>1883</v>
      </c>
      <c r="B128" s="352" t="str">
        <f>IF(LEN('ID Numbers'!A128)=10,"000"&amp;'ID Numbers'!A128,IF(LEN('ID Numbers'!A128)=11,"00"&amp;'ID Numbers'!A128,IF(LEN('ID Numbers'!A128)=12,"0"&amp;'ID Numbers'!A128,'ID Numbers'!A128)))</f>
        <v>0212205231088</v>
      </c>
    </row>
    <row r="129" spans="1:2">
      <c r="A129" t="s">
        <v>1884</v>
      </c>
      <c r="B129" s="352" t="str">
        <f>IF(LEN('ID Numbers'!A129)=10,"000"&amp;'ID Numbers'!A129,IF(LEN('ID Numbers'!A129)=11,"00"&amp;'ID Numbers'!A129,IF(LEN('ID Numbers'!A129)=12,"0"&amp;'ID Numbers'!A129,'ID Numbers'!A129)))</f>
        <v>9406155056088</v>
      </c>
    </row>
    <row r="130" spans="1:2">
      <c r="A130" t="s">
        <v>1885</v>
      </c>
      <c r="B130" s="352" t="str">
        <f>IF(LEN('ID Numbers'!A130)=10,"000"&amp;'ID Numbers'!A130,IF(LEN('ID Numbers'!A130)=11,"00"&amp;'ID Numbers'!A130,IF(LEN('ID Numbers'!A130)=12,"0"&amp;'ID Numbers'!A130,'ID Numbers'!A130)))</f>
        <v>9407185184080</v>
      </c>
    </row>
    <row r="131" spans="1:2">
      <c r="A131" t="s">
        <v>1886</v>
      </c>
      <c r="B131" s="352" t="str">
        <f>IF(LEN('ID Numbers'!A131)=10,"000"&amp;'ID Numbers'!A131,IF(LEN('ID Numbers'!A131)=11,"00"&amp;'ID Numbers'!A131,IF(LEN('ID Numbers'!A131)=12,"0"&amp;'ID Numbers'!A131,'ID Numbers'!A131)))</f>
        <v>0704045507081</v>
      </c>
    </row>
    <row r="132" spans="1:2">
      <c r="A132" t="s">
        <v>1887</v>
      </c>
      <c r="B132" s="352" t="str">
        <f>IF(LEN('ID Numbers'!A132)=10,"000"&amp;'ID Numbers'!A132,IF(LEN('ID Numbers'!A132)=11,"00"&amp;'ID Numbers'!A132,IF(LEN('ID Numbers'!A132)=12,"0"&amp;'ID Numbers'!A132,'ID Numbers'!A132)))</f>
        <v>0705125239081</v>
      </c>
    </row>
    <row r="133" spans="1:2">
      <c r="A133" t="s">
        <v>1888</v>
      </c>
      <c r="B133" s="352" t="str">
        <f>IF(LEN('ID Numbers'!A133)=10,"000"&amp;'ID Numbers'!A133,IF(LEN('ID Numbers'!A133)=11,"00"&amp;'ID Numbers'!A133,IF(LEN('ID Numbers'!A133)=12,"0"&amp;'ID Numbers'!A133,'ID Numbers'!A133)))</f>
        <v>9006225193083</v>
      </c>
    </row>
    <row r="134" spans="1:2">
      <c r="A134" t="s">
        <v>1889</v>
      </c>
      <c r="B134" s="352" t="str">
        <f>IF(LEN('ID Numbers'!A134)=10,"000"&amp;'ID Numbers'!A134,IF(LEN('ID Numbers'!A134)=11,"00"&amp;'ID Numbers'!A134,IF(LEN('ID Numbers'!A134)=12,"0"&amp;'ID Numbers'!A134,'ID Numbers'!A134)))</f>
        <v>8608155096086</v>
      </c>
    </row>
    <row r="135" spans="1:2">
      <c r="A135" t="s">
        <v>1890</v>
      </c>
      <c r="B135" s="352" t="str">
        <f>IF(LEN('ID Numbers'!A135)=10,"000"&amp;'ID Numbers'!A135,IF(LEN('ID Numbers'!A135)=11,"00"&amp;'ID Numbers'!A135,IF(LEN('ID Numbers'!A135)=12,"0"&amp;'ID Numbers'!A135,'ID Numbers'!A135)))</f>
        <v>7508145221086</v>
      </c>
    </row>
    <row r="136" spans="1:2">
      <c r="A136" t="s">
        <v>1891</v>
      </c>
      <c r="B136" s="352" t="str">
        <f>IF(LEN('ID Numbers'!A136)=10,"000"&amp;'ID Numbers'!A136,IF(LEN('ID Numbers'!A136)=11,"00"&amp;'ID Numbers'!A136,IF(LEN('ID Numbers'!A136)=12,"0"&amp;'ID Numbers'!A136,'ID Numbers'!A136)))</f>
        <v>0801275789080</v>
      </c>
    </row>
    <row r="137" spans="1:2">
      <c r="A137" t="s">
        <v>1892</v>
      </c>
      <c r="B137" s="352" t="str">
        <f>IF(LEN('ID Numbers'!A137)=10,"000"&amp;'ID Numbers'!A137,IF(LEN('ID Numbers'!A137)=11,"00"&amp;'ID Numbers'!A137,IF(LEN('ID Numbers'!A137)=12,"0"&amp;'ID Numbers'!A137,'ID Numbers'!A137)))</f>
        <v>0705065123089</v>
      </c>
    </row>
    <row r="138" spans="1:2">
      <c r="A138" t="s">
        <v>1893</v>
      </c>
      <c r="B138" s="352" t="str">
        <f>IF(LEN('ID Numbers'!A138)=10,"000"&amp;'ID Numbers'!A138,IF(LEN('ID Numbers'!A138)=11,"00"&amp;'ID Numbers'!A138,IF(LEN('ID Numbers'!A138)=12,"0"&amp;'ID Numbers'!A138,'ID Numbers'!A138)))</f>
        <v>9202065256086</v>
      </c>
    </row>
    <row r="139" spans="1:2">
      <c r="B139" s="352">
        <f>IF(LEN('ID Numbers'!A139)=10,"000"&amp;'ID Numbers'!A139,IF(LEN('ID Numbers'!A139)=11,"00"&amp;'ID Numbers'!A139,IF(LEN('ID Numbers'!A139)=12,"0"&amp;'ID Numbers'!A139,'ID Numbers'!A139)))</f>
        <v>0</v>
      </c>
    </row>
    <row r="140" spans="1:2">
      <c r="A140" t="s">
        <v>1894</v>
      </c>
      <c r="B140" s="352" t="str">
        <f>IF(LEN('ID Numbers'!A140)=10,"000"&amp;'ID Numbers'!A140,IF(LEN('ID Numbers'!A140)=11,"00"&amp;'ID Numbers'!A140,IF(LEN('ID Numbers'!A140)=12,"0"&amp;'ID Numbers'!A140,'ID Numbers'!A140)))</f>
        <v>0804115793080</v>
      </c>
    </row>
    <row r="141" spans="1:2">
      <c r="A141" t="s">
        <v>1895</v>
      </c>
      <c r="B141" s="352" t="str">
        <f>IF(LEN('ID Numbers'!A141)=10,"000"&amp;'ID Numbers'!A141,IF(LEN('ID Numbers'!A141)=11,"00"&amp;'ID Numbers'!A141,IF(LEN('ID Numbers'!A141)=12,"0"&amp;'ID Numbers'!A141,'ID Numbers'!A141)))</f>
        <v>0707075303081</v>
      </c>
    </row>
    <row r="142" spans="1:2">
      <c r="A142" t="s">
        <v>1896</v>
      </c>
      <c r="B142" s="352" t="str">
        <f>IF(LEN('ID Numbers'!A142)=10,"000"&amp;'ID Numbers'!A142,IF(LEN('ID Numbers'!A142)=11,"00"&amp;'ID Numbers'!A142,IF(LEN('ID Numbers'!A142)=12,"0"&amp;'ID Numbers'!A142,'ID Numbers'!A142)))</f>
        <v>0512105881084</v>
      </c>
    </row>
    <row r="143" spans="1:2">
      <c r="A143" t="s">
        <v>1897</v>
      </c>
      <c r="B143" s="352" t="str">
        <f>IF(LEN('ID Numbers'!A143)=10,"000"&amp;'ID Numbers'!A143,IF(LEN('ID Numbers'!A143)=11,"00"&amp;'ID Numbers'!A143,IF(LEN('ID Numbers'!A143)=12,"0"&amp;'ID Numbers'!A143,'ID Numbers'!A143)))</f>
        <v>0601305553088</v>
      </c>
    </row>
    <row r="144" spans="1:2">
      <c r="A144" t="s">
        <v>1898</v>
      </c>
      <c r="B144" s="352" t="str">
        <f>IF(LEN('ID Numbers'!A144)=10,"000"&amp;'ID Numbers'!A144,IF(LEN('ID Numbers'!A144)=11,"00"&amp;'ID Numbers'!A144,IF(LEN('ID Numbers'!A144)=12,"0"&amp;'ID Numbers'!A144,'ID Numbers'!A144)))</f>
        <v>8310075086087</v>
      </c>
    </row>
    <row r="145" spans="1:2">
      <c r="A145" t="s">
        <v>1899</v>
      </c>
      <c r="B145" s="352" t="str">
        <f>IF(LEN('ID Numbers'!A145)=10,"000"&amp;'ID Numbers'!A145,IF(LEN('ID Numbers'!A145)=11,"00"&amp;'ID Numbers'!A145,IF(LEN('ID Numbers'!A145)=12,"0"&amp;'ID Numbers'!A145,'ID Numbers'!A145)))</f>
        <v>1012025151089</v>
      </c>
    </row>
    <row r="146" spans="1:2">
      <c r="A146" t="s">
        <v>1900</v>
      </c>
      <c r="B146" s="352" t="str">
        <f>IF(LEN('ID Numbers'!A146)=10,"000"&amp;'ID Numbers'!A146,IF(LEN('ID Numbers'!A146)=11,"00"&amp;'ID Numbers'!A146,IF(LEN('ID Numbers'!A146)=12,"0"&amp;'ID Numbers'!A146,'ID Numbers'!A146)))</f>
        <v>7610295031081</v>
      </c>
    </row>
    <row r="147" spans="1:2">
      <c r="A147" s="321" t="s">
        <v>1901</v>
      </c>
      <c r="B147" s="352" t="str">
        <f>IF(LEN('ID Numbers'!A147)=10,"000"&amp;'ID Numbers'!A147,IF(LEN('ID Numbers'!A147)=11,"00"&amp;'ID Numbers'!A147,IF(LEN('ID Numbers'!A147)=12,"0"&amp;'ID Numbers'!A147,'ID Numbers'!A147)))</f>
        <v>0625045474081</v>
      </c>
    </row>
    <row r="148" spans="1:2">
      <c r="A148" s="321" t="s">
        <v>1902</v>
      </c>
      <c r="B148" s="352" t="str">
        <f>IF(LEN('ID Numbers'!A148)=10,"000"&amp;'ID Numbers'!A148,IF(LEN('ID Numbers'!A148)=11,"00"&amp;'ID Numbers'!A148,IF(LEN('ID Numbers'!A148)=12,"0"&amp;'ID Numbers'!A148,'ID Numbers'!A148)))</f>
        <v>7001125171083</v>
      </c>
    </row>
    <row r="149" spans="1:2">
      <c r="A149" s="321" t="s">
        <v>1903</v>
      </c>
      <c r="B149" s="352" t="str">
        <f>IF(LEN('ID Numbers'!A149)=10,"000"&amp;'ID Numbers'!A149,IF(LEN('ID Numbers'!A149)=11,"00"&amp;'ID Numbers'!A149,IF(LEN('ID Numbers'!A149)=12,"0"&amp;'ID Numbers'!A149,'ID Numbers'!A149)))</f>
        <v>8510235231081</v>
      </c>
    </row>
    <row r="150" spans="1:2">
      <c r="A150" s="321" t="s">
        <v>1904</v>
      </c>
      <c r="B150" s="352" t="str">
        <f>IF(LEN('ID Numbers'!A150)=10,"000"&amp;'ID Numbers'!A150,IF(LEN('ID Numbers'!A150)=11,"00"&amp;'ID Numbers'!A150,IF(LEN('ID Numbers'!A150)=12,"0"&amp;'ID Numbers'!A150,'ID Numbers'!A150)))</f>
        <v>0507205452083</v>
      </c>
    </row>
    <row r="151" spans="1:2">
      <c r="A151" t="s">
        <v>1905</v>
      </c>
      <c r="B151" s="352" t="str">
        <f>IF(LEN('ID Numbers'!A151)=10,"000"&amp;'ID Numbers'!A151,IF(LEN('ID Numbers'!A151)=11,"00"&amp;'ID Numbers'!A151,IF(LEN('ID Numbers'!A151)=12,"0"&amp;'ID Numbers'!A151,'ID Numbers'!A151)))</f>
        <v>6608185088089</v>
      </c>
    </row>
    <row r="152" spans="1:2">
      <c r="A152" t="s">
        <v>1906</v>
      </c>
      <c r="B152" s="352" t="str">
        <f>IF(LEN('ID Numbers'!A152)=10,"000"&amp;'ID Numbers'!A152,IF(LEN('ID Numbers'!A152)=11,"00"&amp;'ID Numbers'!A152,IF(LEN('ID Numbers'!A152)=12,"0"&amp;'ID Numbers'!A152,'ID Numbers'!A152)))</f>
        <v>8206195017087</v>
      </c>
    </row>
    <row r="153" spans="1:2">
      <c r="A153" t="s">
        <v>1907</v>
      </c>
      <c r="B153" s="352" t="str">
        <f>IF(LEN('ID Numbers'!A153)=10,"000"&amp;'ID Numbers'!A153,IF(LEN('ID Numbers'!A153)=11,"00"&amp;'ID Numbers'!A153,IF(LEN('ID Numbers'!A153)=12,"0"&amp;'ID Numbers'!A153,'ID Numbers'!A153)))</f>
        <v>5706235153183</v>
      </c>
    </row>
    <row r="154" spans="1:2">
      <c r="A154" t="s">
        <v>1908</v>
      </c>
      <c r="B154" s="352" t="str">
        <f>IF(LEN('ID Numbers'!A154)=10,"000"&amp;'ID Numbers'!A154,IF(LEN('ID Numbers'!A154)=11,"00"&amp;'ID Numbers'!A154,IF(LEN('ID Numbers'!A154)=12,"0"&amp;'ID Numbers'!A154,'ID Numbers'!A154)))</f>
        <v>7405095094086</v>
      </c>
    </row>
    <row r="155" spans="1:2">
      <c r="A155" t="s">
        <v>1909</v>
      </c>
      <c r="B155" s="352" t="str">
        <f>IF(LEN('ID Numbers'!A155)=10,"000"&amp;'ID Numbers'!A155,IF(LEN('ID Numbers'!A155)=11,"00"&amp;'ID Numbers'!A155,IF(LEN('ID Numbers'!A155)=12,"0"&amp;'ID Numbers'!A155,'ID Numbers'!A155)))</f>
        <v>7804285173082</v>
      </c>
    </row>
    <row r="156" spans="1:2">
      <c r="A156" t="s">
        <v>1910</v>
      </c>
      <c r="B156" s="352" t="str">
        <f>IF(LEN('ID Numbers'!A156)=10,"000"&amp;'ID Numbers'!A156,IF(LEN('ID Numbers'!A156)=11,"00"&amp;'ID Numbers'!A156,IF(LEN('ID Numbers'!A156)=12,"0"&amp;'ID Numbers'!A156,'ID Numbers'!A156)))</f>
        <v>8611185133085</v>
      </c>
    </row>
    <row r="157" spans="1:2">
      <c r="A157" t="s">
        <v>1911</v>
      </c>
      <c r="B157" s="352" t="str">
        <f>IF(LEN('ID Numbers'!A157)=10,"000"&amp;'ID Numbers'!A157,IF(LEN('ID Numbers'!A157)=11,"00"&amp;'ID Numbers'!A157,IF(LEN('ID Numbers'!A157)=12,"0"&amp;'ID Numbers'!A157,'ID Numbers'!A157)))</f>
        <v>8802165125080</v>
      </c>
    </row>
    <row r="158" spans="1:2">
      <c r="A158" t="s">
        <v>1912</v>
      </c>
      <c r="B158" s="352" t="str">
        <f>IF(LEN('ID Numbers'!A158)=10,"000"&amp;'ID Numbers'!A158,IF(LEN('ID Numbers'!A158)=11,"00"&amp;'ID Numbers'!A158,IF(LEN('ID Numbers'!A158)=12,"0"&amp;'ID Numbers'!A158,'ID Numbers'!A158)))</f>
        <v>7005265035081</v>
      </c>
    </row>
    <row r="159" spans="1:2">
      <c r="A159" t="s">
        <v>1913</v>
      </c>
      <c r="B159" s="352" t="str">
        <f>IF(LEN('ID Numbers'!A159)=10,"000"&amp;'ID Numbers'!A159,IF(LEN('ID Numbers'!A159)=11,"00"&amp;'ID Numbers'!A159,IF(LEN('ID Numbers'!A159)=12,"0"&amp;'ID Numbers'!A159,'ID Numbers'!A159)))</f>
        <v>9407205083080</v>
      </c>
    </row>
    <row r="160" spans="1:2">
      <c r="A160" t="s">
        <v>1914</v>
      </c>
      <c r="B160" s="352" t="str">
        <f>IF(LEN('ID Numbers'!A160)=10,"000"&amp;'ID Numbers'!A160,IF(LEN('ID Numbers'!A160)=11,"00"&amp;'ID Numbers'!A160,IF(LEN('ID Numbers'!A160)=12,"0"&amp;'ID Numbers'!A160,'ID Numbers'!A160)))</f>
        <v>8305055987080</v>
      </c>
    </row>
    <row r="161" spans="1:2">
      <c r="A161" t="s">
        <v>1915</v>
      </c>
      <c r="B161" s="352" t="str">
        <f>IF(LEN('ID Numbers'!A161)=10,"000"&amp;'ID Numbers'!A161,IF(LEN('ID Numbers'!A161)=11,"00"&amp;'ID Numbers'!A161,IF(LEN('ID Numbers'!A161)=12,"0"&amp;'ID Numbers'!A161,'ID Numbers'!A161)))</f>
        <v>8707195095080</v>
      </c>
    </row>
    <row r="162" spans="1:2">
      <c r="A162" t="s">
        <v>1916</v>
      </c>
      <c r="B162" s="352" t="str">
        <f>IF(LEN('ID Numbers'!A162)=10,"000"&amp;'ID Numbers'!A162,IF(LEN('ID Numbers'!A162)=11,"00"&amp;'ID Numbers'!A162,IF(LEN('ID Numbers'!A162)=12,"0"&amp;'ID Numbers'!A162,'ID Numbers'!A162)))</f>
        <v>9702055236089</v>
      </c>
    </row>
    <row r="163" spans="1:2">
      <c r="A163" t="s">
        <v>1917</v>
      </c>
      <c r="B163" s="352" t="str">
        <f>IF(LEN('ID Numbers'!A163)=10,"000"&amp;'ID Numbers'!A163,IF(LEN('ID Numbers'!A163)=11,"00"&amp;'ID Numbers'!A163,IF(LEN('ID Numbers'!A163)=12,"0"&amp;'ID Numbers'!A163,'ID Numbers'!A163)))</f>
        <v>9305265066088</v>
      </c>
    </row>
    <row r="164" spans="1:2">
      <c r="B164" s="352">
        <f>IF(LEN('ID Numbers'!A164)=10,"000"&amp;'ID Numbers'!A164,IF(LEN('ID Numbers'!A164)=11,"00"&amp;'ID Numbers'!A164,IF(LEN('ID Numbers'!A164)=12,"0"&amp;'ID Numbers'!A164,'ID Numbers'!A164)))</f>
        <v>0</v>
      </c>
    </row>
    <row r="165" spans="1:2">
      <c r="A165" t="s">
        <v>1918</v>
      </c>
      <c r="B165" s="352" t="str">
        <f>IF(LEN('ID Numbers'!A165)=10,"000"&amp;'ID Numbers'!A165,IF(LEN('ID Numbers'!A165)=11,"00"&amp;'ID Numbers'!A165,IF(LEN('ID Numbers'!A165)=12,"0"&amp;'ID Numbers'!A165,'ID Numbers'!A165)))</f>
        <v>0206055105087</v>
      </c>
    </row>
    <row r="166" spans="1:2">
      <c r="A166" t="s">
        <v>1919</v>
      </c>
      <c r="B166" s="352" t="str">
        <f>IF(LEN('ID Numbers'!A166)=10,"000"&amp;'ID Numbers'!A166,IF(LEN('ID Numbers'!A166)=11,"00"&amp;'ID Numbers'!A166,IF(LEN('ID Numbers'!A166)=12,"0"&amp;'ID Numbers'!A166,'ID Numbers'!A166)))</f>
        <v>0705135233082</v>
      </c>
    </row>
    <row r="167" spans="1:2">
      <c r="A167" t="s">
        <v>1920</v>
      </c>
      <c r="B167" s="352" t="str">
        <f>IF(LEN('ID Numbers'!A167)=10,"000"&amp;'ID Numbers'!A167,IF(LEN('ID Numbers'!A167)=11,"00"&amp;'ID Numbers'!A167,IF(LEN('ID Numbers'!A167)=12,"0"&amp;'ID Numbers'!A167,'ID Numbers'!A167)))</f>
        <v>0601185609083</v>
      </c>
    </row>
    <row r="168" spans="1:2">
      <c r="A168" t="s">
        <v>1921</v>
      </c>
      <c r="B168" s="352" t="str">
        <f>IF(LEN('ID Numbers'!A168)=10,"000"&amp;'ID Numbers'!A168,IF(LEN('ID Numbers'!A168)=11,"00"&amp;'ID Numbers'!A168,IF(LEN('ID Numbers'!A168)=12,"0"&amp;'ID Numbers'!A168,'ID Numbers'!A168)))</f>
        <v>0608226574085</v>
      </c>
    </row>
    <row r="169" spans="1:2">
      <c r="A169" t="s">
        <v>1922</v>
      </c>
      <c r="B169" s="352" t="str">
        <f>IF(LEN('ID Numbers'!A169)=10,"000"&amp;'ID Numbers'!A169,IF(LEN('ID Numbers'!A169)=11,"00"&amp;'ID Numbers'!A169,IF(LEN('ID Numbers'!A169)=12,"0"&amp;'ID Numbers'!A169,'ID Numbers'!A169)))</f>
        <v>0904065178082</v>
      </c>
    </row>
    <row r="170" spans="1:2">
      <c r="A170" t="s">
        <v>1923</v>
      </c>
      <c r="B170" s="352" t="str">
        <f>IF(LEN('ID Numbers'!A170)=10,"000"&amp;'ID Numbers'!A170,IF(LEN('ID Numbers'!A170)=11,"00"&amp;'ID Numbers'!A170,IF(LEN('ID Numbers'!A170)=12,"0"&amp;'ID Numbers'!A170,'ID Numbers'!A170)))</f>
        <v>7605175093086</v>
      </c>
    </row>
    <row r="171" spans="1:2">
      <c r="A171" t="s">
        <v>1924</v>
      </c>
      <c r="B171" s="352" t="str">
        <f>IF(LEN('ID Numbers'!A171)=10,"000"&amp;'ID Numbers'!A171,IF(LEN('ID Numbers'!A171)=11,"00"&amp;'ID Numbers'!A171,IF(LEN('ID Numbers'!A171)=12,"0"&amp;'ID Numbers'!A171,'ID Numbers'!A171)))</f>
        <v>0809146118082</v>
      </c>
    </row>
    <row r="172" spans="1:2">
      <c r="A172" t="s">
        <v>1925</v>
      </c>
      <c r="B172" s="352" t="str">
        <f>IF(LEN('ID Numbers'!A172)=10,"000"&amp;'ID Numbers'!A172,IF(LEN('ID Numbers'!A172)=11,"00"&amp;'ID Numbers'!A172,IF(LEN('ID Numbers'!A172)=12,"0"&amp;'ID Numbers'!A172,'ID Numbers'!A172)))</f>
        <v>0706095202083</v>
      </c>
    </row>
    <row r="173" spans="1:2">
      <c r="A173" t="s">
        <v>1926</v>
      </c>
      <c r="B173" s="352" t="str">
        <f>IF(LEN('ID Numbers'!A173)=10,"000"&amp;'ID Numbers'!A173,IF(LEN('ID Numbers'!A173)=11,"00"&amp;'ID Numbers'!A173,IF(LEN('ID Numbers'!A173)=12,"0"&amp;'ID Numbers'!A173,'ID Numbers'!A173)))</f>
        <v>0712086036084</v>
      </c>
    </row>
    <row r="174" spans="1:2">
      <c r="A174" t="s">
        <v>1927</v>
      </c>
      <c r="B174" s="352" t="str">
        <f>IF(LEN('ID Numbers'!A174)=10,"000"&amp;'ID Numbers'!A174,IF(LEN('ID Numbers'!A174)=11,"00"&amp;'ID Numbers'!A174,IF(LEN('ID Numbers'!A174)=12,"0"&amp;'ID Numbers'!A174,'ID Numbers'!A174)))</f>
        <v>060320 5591 085</v>
      </c>
    </row>
    <row r="175" spans="1:2">
      <c r="A175" t="s">
        <v>1928</v>
      </c>
      <c r="B175" s="352" t="str">
        <f>IF(LEN('ID Numbers'!A175)=10,"000"&amp;'ID Numbers'!A175,IF(LEN('ID Numbers'!A175)=11,"00"&amp;'ID Numbers'!A175,IF(LEN('ID Numbers'!A175)=12,"0"&amp;'ID Numbers'!A175,'ID Numbers'!A175)))</f>
        <v>0001085265088</v>
      </c>
    </row>
    <row r="176" spans="1:2">
      <c r="A176" t="s">
        <v>1929</v>
      </c>
      <c r="B176" s="352" t="str">
        <f>IF(LEN('ID Numbers'!A176)=10,"000"&amp;'ID Numbers'!A176,IF(LEN('ID Numbers'!A176)=11,"00"&amp;'ID Numbers'!A176,IF(LEN('ID Numbers'!A176)=12,"0"&amp;'ID Numbers'!A176,'ID Numbers'!A176)))</f>
        <v>8605085059085</v>
      </c>
    </row>
    <row r="177" spans="1:2">
      <c r="A177" t="s">
        <v>1930</v>
      </c>
      <c r="B177" s="352" t="str">
        <f>IF(LEN('ID Numbers'!A177)=10,"000"&amp;'ID Numbers'!A177,IF(LEN('ID Numbers'!A177)=11,"00"&amp;'ID Numbers'!A177,IF(LEN('ID Numbers'!A177)=12,"0"&amp;'ID Numbers'!A177,'ID Numbers'!A177)))</f>
        <v>0312215155085</v>
      </c>
    </row>
    <row r="178" spans="1:2">
      <c r="A178" t="s">
        <v>1931</v>
      </c>
      <c r="B178" s="352" t="str">
        <f>IF(LEN('ID Numbers'!A178)=10,"000"&amp;'ID Numbers'!A178,IF(LEN('ID Numbers'!A178)=11,"00"&amp;'ID Numbers'!A178,IF(LEN('ID Numbers'!A178)=12,"0"&amp;'ID Numbers'!A178,'ID Numbers'!A178)))</f>
        <v>6911085293084</v>
      </c>
    </row>
    <row r="179" spans="1:2">
      <c r="B179" s="352">
        <f>IF(LEN('ID Numbers'!A179)=10,"000"&amp;'ID Numbers'!A179,IF(LEN('ID Numbers'!A179)=11,"00"&amp;'ID Numbers'!A179,IF(LEN('ID Numbers'!A179)=12,"0"&amp;'ID Numbers'!A179,'ID Numbers'!A179)))</f>
        <v>0</v>
      </c>
    </row>
    <row r="180" spans="1:2">
      <c r="A180" t="s">
        <v>1932</v>
      </c>
      <c r="B180" s="352" t="str">
        <f>IF(LEN('ID Numbers'!A180)=10,"000"&amp;'ID Numbers'!A180,IF(LEN('ID Numbers'!A180)=11,"00"&amp;'ID Numbers'!A180,IF(LEN('ID Numbers'!A180)=12,"0"&amp;'ID Numbers'!A180,'ID Numbers'!A180)))</f>
        <v>0601275580087</v>
      </c>
    </row>
    <row r="181" spans="1:2">
      <c r="A181" t="s">
        <v>1933</v>
      </c>
      <c r="B181" s="352" t="str">
        <f>IF(LEN('ID Numbers'!A181)=10,"000"&amp;'ID Numbers'!A181,IF(LEN('ID Numbers'!A181)=11,"00"&amp;'ID Numbers'!A181,IF(LEN('ID Numbers'!A181)=12,"0"&amp;'ID Numbers'!A181,'ID Numbers'!A181)))</f>
        <v>8406045148088</v>
      </c>
    </row>
    <row r="182" spans="1:2">
      <c r="A182" t="s">
        <v>1934</v>
      </c>
      <c r="B182" s="352" t="str">
        <f>IF(LEN('ID Numbers'!A182)=10,"000"&amp;'ID Numbers'!A182,IF(LEN('ID Numbers'!A182)=11,"00"&amp;'ID Numbers'!A182,IF(LEN('ID Numbers'!A182)=12,"0"&amp;'ID Numbers'!A182,'ID Numbers'!A182)))</f>
        <v>0008160247089</v>
      </c>
    </row>
    <row r="183" spans="1:2">
      <c r="A183" t="s">
        <v>1935</v>
      </c>
      <c r="B183" s="352" t="str">
        <f>IF(LEN('ID Numbers'!A183)=10,"000"&amp;'ID Numbers'!A183,IF(LEN('ID Numbers'!A183)=11,"00"&amp;'ID Numbers'!A183,IF(LEN('ID Numbers'!A183)=12,"0"&amp;'ID Numbers'!A183,'ID Numbers'!A183)))</f>
        <v>0201290113087</v>
      </c>
    </row>
    <row r="184" spans="1:2">
      <c r="A184" t="s">
        <v>1936</v>
      </c>
      <c r="B184" s="352" t="str">
        <f>IF(LEN('ID Numbers'!A184)=10,"000"&amp;'ID Numbers'!A184,IF(LEN('ID Numbers'!A184)=11,"00"&amp;'ID Numbers'!A184,IF(LEN('ID Numbers'!A184)=12,"0"&amp;'ID Numbers'!A184,'ID Numbers'!A184)))</f>
        <v>0102265280085</v>
      </c>
    </row>
    <row r="185" spans="1:2">
      <c r="A185" t="s">
        <v>1937</v>
      </c>
      <c r="B185" s="352" t="str">
        <f>IF(LEN('ID Numbers'!A185)=10,"000"&amp;'ID Numbers'!A185,IF(LEN('ID Numbers'!A185)=11,"00"&amp;'ID Numbers'!A185,IF(LEN('ID Numbers'!A185)=12,"0"&amp;'ID Numbers'!A185,'ID Numbers'!A185)))</f>
        <v>9712255188089</v>
      </c>
    </row>
    <row r="186" spans="1:2">
      <c r="A186" t="s">
        <v>1938</v>
      </c>
      <c r="B186" s="352" t="str">
        <f>IF(LEN('ID Numbers'!A186)=10,"000"&amp;'ID Numbers'!A186,IF(LEN('ID Numbers'!A186)=11,"00"&amp;'ID Numbers'!A186,IF(LEN('ID Numbers'!A186)=12,"0"&amp;'ID Numbers'!A186,'ID Numbers'!A186)))</f>
        <v>9410245080082</v>
      </c>
    </row>
    <row r="187" spans="1:2">
      <c r="A187" t="s">
        <v>1939</v>
      </c>
      <c r="B187" s="352" t="str">
        <f>IF(LEN('ID Numbers'!A187)=10,"000"&amp;'ID Numbers'!A187,IF(LEN('ID Numbers'!A187)=11,"00"&amp;'ID Numbers'!A187,IF(LEN('ID Numbers'!A187)=12,"0"&amp;'ID Numbers'!A187,'ID Numbers'!A187)))</f>
        <v>7403155253080</v>
      </c>
    </row>
    <row r="188" spans="1:2">
      <c r="A188" t="s">
        <v>1940</v>
      </c>
      <c r="B188" s="352" t="str">
        <f>IF(LEN('ID Numbers'!A188)=10,"000"&amp;'ID Numbers'!A188,IF(LEN('ID Numbers'!A188)=11,"00"&amp;'ID Numbers'!A188,IF(LEN('ID Numbers'!A188)=12,"0"&amp;'ID Numbers'!A188,'ID Numbers'!A188)))</f>
        <v>jakeshayward@gmail.com</v>
      </c>
    </row>
    <row r="189" spans="1:2">
      <c r="A189" t="s">
        <v>1941</v>
      </c>
      <c r="B189" s="352" t="str">
        <f>IF(LEN('ID Numbers'!A189)=10,"000"&amp;'ID Numbers'!A189,IF(LEN('ID Numbers'!A189)=11,"00"&amp;'ID Numbers'!A189,IF(LEN('ID Numbers'!A189)=12,"0"&amp;'ID Numbers'!A189,'ID Numbers'!A189)))</f>
        <v>9212105070082</v>
      </c>
    </row>
    <row r="190" spans="1:2">
      <c r="A190" t="s">
        <v>1942</v>
      </c>
      <c r="B190" s="352" t="str">
        <f>IF(LEN('ID Numbers'!A190)=10,"000"&amp;'ID Numbers'!A190,IF(LEN('ID Numbers'!A190)=11,"00"&amp;'ID Numbers'!A190,IF(LEN('ID Numbers'!A190)=12,"0"&amp;'ID Numbers'!A190,'ID Numbers'!A190)))</f>
        <v>9103215043087</v>
      </c>
    </row>
    <row r="191" spans="1:2">
      <c r="A191" t="s">
        <v>1943</v>
      </c>
      <c r="B191" s="352" t="str">
        <f>IF(LEN('ID Numbers'!A191)=10,"000"&amp;'ID Numbers'!A191,IF(LEN('ID Numbers'!A191)=11,"00"&amp;'ID Numbers'!A191,IF(LEN('ID Numbers'!A191)=12,"0"&amp;'ID Numbers'!A191,'ID Numbers'!A191)))</f>
        <v>0007315093083</v>
      </c>
    </row>
    <row r="192" spans="1:2">
      <c r="A192" t="s">
        <v>1944</v>
      </c>
      <c r="B192" s="352" t="str">
        <f>IF(LEN('ID Numbers'!A192)=10,"000"&amp;'ID Numbers'!A192,IF(LEN('ID Numbers'!A192)=11,"00"&amp;'ID Numbers'!A192,IF(LEN('ID Numbers'!A192)=12,"0"&amp;'ID Numbers'!A192,'ID Numbers'!A192)))</f>
        <v>8909125064083</v>
      </c>
    </row>
    <row r="193" spans="1:2">
      <c r="A193" t="s">
        <v>1945</v>
      </c>
      <c r="B193" s="352" t="str">
        <f>IF(LEN('ID Numbers'!A193)=10,"000"&amp;'ID Numbers'!A193,IF(LEN('ID Numbers'!A193)=11,"00"&amp;'ID Numbers'!A193,IF(LEN('ID Numbers'!A193)=12,"0"&amp;'ID Numbers'!A193,'ID Numbers'!A193)))</f>
        <v>0509015217086</v>
      </c>
    </row>
    <row r="194" spans="1:2">
      <c r="A194" t="s">
        <v>1946</v>
      </c>
      <c r="B194" s="352" t="str">
        <f>IF(LEN('ID Numbers'!A194)=10,"000"&amp;'ID Numbers'!A194,IF(LEN('ID Numbers'!A194)=11,"00"&amp;'ID Numbers'!A194,IF(LEN('ID Numbers'!A194)=12,"0"&amp;'ID Numbers'!A194,'ID Numbers'!A194)))</f>
        <v>9207095229086</v>
      </c>
    </row>
    <row r="195" spans="1:2">
      <c r="A195" t="s">
        <v>1947</v>
      </c>
      <c r="B195" s="352" t="str">
        <f>IF(LEN('ID Numbers'!A195)=10,"000"&amp;'ID Numbers'!A195,IF(LEN('ID Numbers'!A195)=11,"00"&amp;'ID Numbers'!A195,IF(LEN('ID Numbers'!A195)=12,"0"&amp;'ID Numbers'!A195,'ID Numbers'!A195)))</f>
        <v>8903105162082</v>
      </c>
    </row>
    <row r="196" spans="1:2">
      <c r="A196" t="s">
        <v>1948</v>
      </c>
      <c r="B196" s="352" t="str">
        <f>IF(LEN('ID Numbers'!A196)=10,"000"&amp;'ID Numbers'!A196,IF(LEN('ID Numbers'!A196)=11,"00"&amp;'ID Numbers'!A196,IF(LEN('ID Numbers'!A196)=12,"0"&amp;'ID Numbers'!A196,'ID Numbers'!A196)))</f>
        <v>0804075398086</v>
      </c>
    </row>
    <row r="197" spans="1:2">
      <c r="A197" t="s">
        <v>1949</v>
      </c>
      <c r="B197" s="352" t="str">
        <f>IF(LEN('ID Numbers'!A197)=10,"000"&amp;'ID Numbers'!A197,IF(LEN('ID Numbers'!A197)=11,"00"&amp;'ID Numbers'!A197,IF(LEN('ID Numbers'!A197)=12,"0"&amp;'ID Numbers'!A197,'ID Numbers'!A197)))</f>
        <v>7607075060082</v>
      </c>
    </row>
    <row r="198" spans="1:2">
      <c r="A198" t="s">
        <v>1950</v>
      </c>
      <c r="B198" s="352" t="str">
        <f>IF(LEN('ID Numbers'!A198)=10,"000"&amp;'ID Numbers'!A198,IF(LEN('ID Numbers'!A198)=11,"00"&amp;'ID Numbers'!A198,IF(LEN('ID Numbers'!A198)=12,"0"&amp;'ID Numbers'!A198,'ID Numbers'!A198)))</f>
        <v>8202135014087</v>
      </c>
    </row>
    <row r="199" spans="1:2">
      <c r="A199" t="s">
        <v>1951</v>
      </c>
      <c r="B199" s="352" t="str">
        <f>IF(LEN('ID Numbers'!A199)=10,"000"&amp;'ID Numbers'!A199,IF(LEN('ID Numbers'!A199)=11,"00"&amp;'ID Numbers'!A199,IF(LEN('ID Numbers'!A199)=12,"0"&amp;'ID Numbers'!A199,'ID Numbers'!A199)))</f>
        <v>0903115718087</v>
      </c>
    </row>
    <row r="200" spans="1:2">
      <c r="A200" t="s">
        <v>1952</v>
      </c>
      <c r="B200" s="352" t="str">
        <f>IF(LEN('ID Numbers'!A200)=10,"000"&amp;'ID Numbers'!A200,IF(LEN('ID Numbers'!A200)=11,"00"&amp;'ID Numbers'!A200,IF(LEN('ID Numbers'!A200)=12,"0"&amp;'ID Numbers'!A200,'ID Numbers'!A200)))</f>
        <v>7803155040082</v>
      </c>
    </row>
    <row r="201" spans="1:2">
      <c r="A201" t="s">
        <v>1953</v>
      </c>
      <c r="B201" s="352" t="str">
        <f>IF(LEN('ID Numbers'!A201)=10,"000"&amp;'ID Numbers'!A201,IF(LEN('ID Numbers'!A201)=11,"00"&amp;'ID Numbers'!A201,IF(LEN('ID Numbers'!A201)=12,"0"&amp;'ID Numbers'!A201,'ID Numbers'!A201)))</f>
        <v>9709020080088</v>
      </c>
    </row>
    <row r="202" spans="1:2">
      <c r="A202" t="s">
        <v>1954</v>
      </c>
      <c r="B202" s="352" t="str">
        <f>IF(LEN('ID Numbers'!A202)=10,"000"&amp;'ID Numbers'!A202,IF(LEN('ID Numbers'!A202)=11,"00"&amp;'ID Numbers'!A202,IF(LEN('ID Numbers'!A202)=12,"0"&amp;'ID Numbers'!A202,'ID Numbers'!A202)))</f>
        <v>9705075211081</v>
      </c>
    </row>
    <row r="203" spans="1:2">
      <c r="A203" t="s">
        <v>1955</v>
      </c>
      <c r="B203" s="352" t="str">
        <f>IF(LEN('ID Numbers'!A203)=10,"000"&amp;'ID Numbers'!A203,IF(LEN('ID Numbers'!A203)=11,"00"&amp;'ID Numbers'!A203,IF(LEN('ID Numbers'!A203)=12,"0"&amp;'ID Numbers'!A203,'ID Numbers'!A203)))</f>
        <v>9809025205084</v>
      </c>
    </row>
    <row r="204" spans="1:2">
      <c r="A204" t="s">
        <v>1956</v>
      </c>
      <c r="B204" s="352" t="str">
        <f>IF(LEN('ID Numbers'!A204)=10,"000"&amp;'ID Numbers'!A204,IF(LEN('ID Numbers'!A204)=11,"00"&amp;'ID Numbers'!A204,IF(LEN('ID Numbers'!A204)=12,"0"&amp;'ID Numbers'!A204,'ID Numbers'!A204)))</f>
        <v>0702095268083</v>
      </c>
    </row>
    <row r="205" spans="1:2">
      <c r="A205" t="s">
        <v>1957</v>
      </c>
      <c r="B205" s="352" t="str">
        <f>IF(LEN('ID Numbers'!A205)=10,"000"&amp;'ID Numbers'!A205,IF(LEN('ID Numbers'!A205)=11,"00"&amp;'ID Numbers'!A205,IF(LEN('ID Numbers'!A205)=12,"0"&amp;'ID Numbers'!A205,'ID Numbers'!A205)))</f>
        <v>0812156447086</v>
      </c>
    </row>
    <row r="206" spans="1:2">
      <c r="A206" t="s">
        <v>1958</v>
      </c>
      <c r="B206" s="352" t="str">
        <f>IF(LEN('ID Numbers'!A206)=10,"000"&amp;'ID Numbers'!A206,IF(LEN('ID Numbers'!A206)=11,"00"&amp;'ID Numbers'!A206,IF(LEN('ID Numbers'!A206)=12,"0"&amp;'ID Numbers'!A206,'ID Numbers'!A206)))</f>
        <v>0604185803086</v>
      </c>
    </row>
    <row r="207" spans="1:2">
      <c r="A207" t="s">
        <v>1959</v>
      </c>
      <c r="B207" s="352" t="str">
        <f>IF(LEN('ID Numbers'!A207)=10,"000"&amp;'ID Numbers'!A207,IF(LEN('ID Numbers'!A207)=11,"00"&amp;'ID Numbers'!A207,IF(LEN('ID Numbers'!A207)=12,"0"&amp;'ID Numbers'!A207,'ID Numbers'!A207)))</f>
        <v>0404055111086</v>
      </c>
    </row>
    <row r="208" spans="1:2">
      <c r="A208" t="s">
        <v>1960</v>
      </c>
      <c r="B208" s="352" t="str">
        <f>IF(LEN('ID Numbers'!A208)=10,"000"&amp;'ID Numbers'!A208,IF(LEN('ID Numbers'!A208)=11,"00"&amp;'ID Numbers'!A208,IF(LEN('ID Numbers'!A208)=12,"0"&amp;'ID Numbers'!A208,'ID Numbers'!A208)))</f>
        <v>9109025124082</v>
      </c>
    </row>
    <row r="209" spans="1:2">
      <c r="A209" t="s">
        <v>1961</v>
      </c>
      <c r="B209" s="352" t="str">
        <f>IF(LEN('ID Numbers'!A209)=10,"000"&amp;'ID Numbers'!A209,IF(LEN('ID Numbers'!A209)=11,"00"&amp;'ID Numbers'!A209,IF(LEN('ID Numbers'!A209)=12,"0"&amp;'ID Numbers'!A209,'ID Numbers'!A209)))</f>
        <v>9005220197081</v>
      </c>
    </row>
    <row r="210" spans="1:2">
      <c r="A210" t="s">
        <v>1962</v>
      </c>
      <c r="B210" s="352" t="str">
        <f>IF(LEN('ID Numbers'!A210)=10,"000"&amp;'ID Numbers'!A210,IF(LEN('ID Numbers'!A210)=11,"00"&amp;'ID Numbers'!A210,IF(LEN('ID Numbers'!A210)=12,"0"&amp;'ID Numbers'!A210,'ID Numbers'!A210)))</f>
        <v>050906</v>
      </c>
    </row>
    <row r="211" spans="1:2">
      <c r="A211" t="s">
        <v>1963</v>
      </c>
      <c r="B211" s="352" t="str">
        <f>IF(LEN('ID Numbers'!A211)=10,"000"&amp;'ID Numbers'!A211,IF(LEN('ID Numbers'!A211)=11,"00"&amp;'ID Numbers'!A211,IF(LEN('ID Numbers'!A211)=12,"0"&amp;'ID Numbers'!A211,'ID Numbers'!A211)))</f>
        <v>0802185375085</v>
      </c>
    </row>
    <row r="212" spans="1:2">
      <c r="B212" s="352">
        <f>IF(LEN('ID Numbers'!A212)=10,"000"&amp;'ID Numbers'!A212,IF(LEN('ID Numbers'!A212)=11,"00"&amp;'ID Numbers'!A212,IF(LEN('ID Numbers'!A212)=12,"0"&amp;'ID Numbers'!A212,'ID Numbers'!A212)))</f>
        <v>0</v>
      </c>
    </row>
    <row r="213" spans="1:2">
      <c r="B213" s="352">
        <f>IF(LEN('ID Numbers'!A213)=10,"000"&amp;'ID Numbers'!A213,IF(LEN('ID Numbers'!A213)=11,"00"&amp;'ID Numbers'!A213,IF(LEN('ID Numbers'!A213)=12,"0"&amp;'ID Numbers'!A213,'ID Numbers'!A213)))</f>
        <v>0</v>
      </c>
    </row>
    <row r="214" spans="1:2">
      <c r="A214" t="s">
        <v>1964</v>
      </c>
      <c r="B214" s="352" t="str">
        <f>IF(LEN('ID Numbers'!A214)=10,"000"&amp;'ID Numbers'!A214,IF(LEN('ID Numbers'!A214)=11,"00"&amp;'ID Numbers'!A214,IF(LEN('ID Numbers'!A214)=12,"0"&amp;'ID Numbers'!A214,'ID Numbers'!A214)))</f>
        <v>0701246411099</v>
      </c>
    </row>
    <row r="215" spans="1:2">
      <c r="A215" t="s">
        <v>1965</v>
      </c>
      <c r="B215" s="352" t="str">
        <f>IF(LEN('ID Numbers'!A215)=10,"000"&amp;'ID Numbers'!A215,IF(LEN('ID Numbers'!A215)=11,"00"&amp;'ID Numbers'!A215,IF(LEN('ID Numbers'!A215)=12,"0"&amp;'ID Numbers'!A215,'ID Numbers'!A215)))</f>
        <v>8804145905060</v>
      </c>
    </row>
    <row r="216" spans="1:2">
      <c r="A216" t="s">
        <v>1966</v>
      </c>
      <c r="B216" s="352" t="str">
        <f>IF(LEN('ID Numbers'!A216)=10,"000"&amp;'ID Numbers'!A216,IF(LEN('ID Numbers'!A216)=11,"00"&amp;'ID Numbers'!A216,IF(LEN('ID Numbers'!A216)=12,"0"&amp;'ID Numbers'!A216,'ID Numbers'!A216)))</f>
        <v>0601305554086</v>
      </c>
    </row>
    <row r="217" spans="1:2">
      <c r="A217" t="s">
        <v>1967</v>
      </c>
      <c r="B217" s="352" t="str">
        <f>IF(LEN('ID Numbers'!A217)=10,"000"&amp;'ID Numbers'!A217,IF(LEN('ID Numbers'!A217)=11,"00"&amp;'ID Numbers'!A217,IF(LEN('ID Numbers'!A217)=12,"0"&amp;'ID Numbers'!A217,'ID Numbers'!A217)))</f>
        <v>0805205669080</v>
      </c>
    </row>
    <row r="218" spans="1:2">
      <c r="B218" s="352">
        <f>IF(LEN('ID Numbers'!A218)=10,"000"&amp;'ID Numbers'!A218,IF(LEN('ID Numbers'!A218)=11,"00"&amp;'ID Numbers'!A218,IF(LEN('ID Numbers'!A218)=12,"0"&amp;'ID Numbers'!A218,'ID Numbers'!A218)))</f>
        <v>0</v>
      </c>
    </row>
    <row r="219" spans="1:2">
      <c r="A219" t="s">
        <v>1968</v>
      </c>
      <c r="B219" s="352" t="str">
        <f>IF(LEN('ID Numbers'!A219)=10,"000"&amp;'ID Numbers'!A219,IF(LEN('ID Numbers'!A219)=11,"00"&amp;'ID Numbers'!A219,IF(LEN('ID Numbers'!A219)=12,"0"&amp;'ID Numbers'!A219,'ID Numbers'!A219)))</f>
        <v>6911295227088</v>
      </c>
    </row>
    <row r="220" spans="1:2">
      <c r="A220" t="s">
        <v>1969</v>
      </c>
      <c r="B220" s="352" t="str">
        <f>IF(LEN('ID Numbers'!A220)=10,"000"&amp;'ID Numbers'!A220,IF(LEN('ID Numbers'!A220)=11,"00"&amp;'ID Numbers'!A220,IF(LEN('ID Numbers'!A220)=12,"0"&amp;'ID Numbers'!A220,'ID Numbers'!A220)))</f>
        <v>9102130043081</v>
      </c>
    </row>
    <row r="221" spans="1:2">
      <c r="A221" t="s">
        <v>1970</v>
      </c>
      <c r="B221" s="352" t="str">
        <f>IF(LEN('ID Numbers'!A221)=10,"000"&amp;'ID Numbers'!A221,IF(LEN('ID Numbers'!A221)=11,"00"&amp;'ID Numbers'!A221,IF(LEN('ID Numbers'!A221)=12,"0"&amp;'ID Numbers'!A221,'ID Numbers'!A221)))</f>
        <v>0940315508008</v>
      </c>
    </row>
    <row r="222" spans="1:2">
      <c r="A222" t="s">
        <v>1971</v>
      </c>
      <c r="B222" s="352" t="str">
        <f>IF(LEN('ID Numbers'!A222)=10,"000"&amp;'ID Numbers'!A222,IF(LEN('ID Numbers'!A222)=11,"00"&amp;'ID Numbers'!A222,IF(LEN('ID Numbers'!A222)=12,"0"&amp;'ID Numbers'!A222,'ID Numbers'!A222)))</f>
        <v>0304275232086</v>
      </c>
    </row>
    <row r="223" spans="1:2">
      <c r="A223" t="s">
        <v>1972</v>
      </c>
      <c r="B223" s="352" t="str">
        <f>IF(LEN('ID Numbers'!A223)=10,"000"&amp;'ID Numbers'!A223,IF(LEN('ID Numbers'!A223)=11,"00"&amp;'ID Numbers'!A223,IF(LEN('ID Numbers'!A223)=12,"0"&amp;'ID Numbers'!A223,'ID Numbers'!A223)))</f>
        <v>0808125540084</v>
      </c>
    </row>
    <row r="224" spans="1:2">
      <c r="A224" t="s">
        <v>1973</v>
      </c>
      <c r="B224" s="352" t="str">
        <f>IF(LEN('ID Numbers'!A224)=10,"000"&amp;'ID Numbers'!A224,IF(LEN('ID Numbers'!A224)=11,"00"&amp;'ID Numbers'!A224,IF(LEN('ID Numbers'!A224)=12,"0"&amp;'ID Numbers'!A224,'ID Numbers'!A224)))</f>
        <v>9707040052087</v>
      </c>
    </row>
    <row r="225" spans="1:2">
      <c r="A225" t="s">
        <v>1974</v>
      </c>
      <c r="B225" s="352" t="str">
        <f>IF(LEN('ID Numbers'!A225)=10,"000"&amp;'ID Numbers'!A225,IF(LEN('ID Numbers'!A225)=11,"00"&amp;'ID Numbers'!A225,IF(LEN('ID Numbers'!A225)=12,"0"&amp;'ID Numbers'!A225,'ID Numbers'!A225)))</f>
        <v>8512280258084</v>
      </c>
    </row>
    <row r="226" spans="1:2">
      <c r="A226" t="s">
        <v>1975</v>
      </c>
      <c r="B226" s="352" t="str">
        <f>IF(LEN('ID Numbers'!A226)=10,"000"&amp;'ID Numbers'!A226,IF(LEN('ID Numbers'!A226)=11,"00"&amp;'ID Numbers'!A226,IF(LEN('ID Numbers'!A226)=12,"0"&amp;'ID Numbers'!A226,'ID Numbers'!A226)))</f>
        <v>8807145101085</v>
      </c>
    </row>
    <row r="227" spans="1:2">
      <c r="A227" t="s">
        <v>1976</v>
      </c>
      <c r="B227" s="352" t="str">
        <f>IF(LEN('ID Numbers'!A227)=10,"000"&amp;'ID Numbers'!A227,IF(LEN('ID Numbers'!A227)=11,"00"&amp;'ID Numbers'!A227,IF(LEN('ID Numbers'!A227)=12,"0"&amp;'ID Numbers'!A227,'ID Numbers'!A227)))</f>
        <v>8704185194080</v>
      </c>
    </row>
    <row r="228" spans="1:2">
      <c r="A228" t="s">
        <v>1977</v>
      </c>
      <c r="B228" s="352" t="str">
        <f>IF(LEN('ID Numbers'!A228)=10,"000"&amp;'ID Numbers'!A228,IF(LEN('ID Numbers'!A228)=11,"00"&amp;'ID Numbers'!A228,IF(LEN('ID Numbers'!A228)=12,"0"&amp;'ID Numbers'!A228,'ID Numbers'!A228)))</f>
        <v>0212235234086</v>
      </c>
    </row>
    <row r="229" spans="1:2">
      <c r="A229" t="s">
        <v>1978</v>
      </c>
      <c r="B229" s="352" t="str">
        <f>IF(LEN('ID Numbers'!A229)=10,"000"&amp;'ID Numbers'!A229,IF(LEN('ID Numbers'!A229)=11,"00"&amp;'ID Numbers'!A229,IF(LEN('ID Numbers'!A229)=12,"0"&amp;'ID Numbers'!A229,'ID Numbers'!A229)))</f>
        <v>9111125154084</v>
      </c>
    </row>
    <row r="230" spans="1:2">
      <c r="A230" t="s">
        <v>1979</v>
      </c>
      <c r="B230" s="352" t="str">
        <f>IF(LEN('ID Numbers'!A230)=10,"000"&amp;'ID Numbers'!A230,IF(LEN('ID Numbers'!A230)=11,"00"&amp;'ID Numbers'!A230,IF(LEN('ID Numbers'!A230)=12,"0"&amp;'ID Numbers'!A230,'ID Numbers'!A230)))</f>
        <v>8409285105081</v>
      </c>
    </row>
    <row r="231" spans="1:2">
      <c r="A231" t="s">
        <v>1980</v>
      </c>
      <c r="B231" s="352" t="str">
        <f>IF(LEN('ID Numbers'!A231)=10,"000"&amp;'ID Numbers'!A231,IF(LEN('ID Numbers'!A231)=11,"00"&amp;'ID Numbers'!A231,IF(LEN('ID Numbers'!A231)=12,"0"&amp;'ID Numbers'!A231,'ID Numbers'!A231)))</f>
        <v>5704165095086</v>
      </c>
    </row>
    <row r="232" spans="1:2">
      <c r="B232" s="352">
        <f>IF(LEN('ID Numbers'!A232)=10,"000"&amp;'ID Numbers'!A232,IF(LEN('ID Numbers'!A232)=11,"00"&amp;'ID Numbers'!A232,IF(LEN('ID Numbers'!A232)=12,"0"&amp;'ID Numbers'!A232,'ID Numbers'!A232)))</f>
        <v>0</v>
      </c>
    </row>
    <row r="233" spans="1:2">
      <c r="A233" t="s">
        <v>1981</v>
      </c>
      <c r="B233" s="352" t="str">
        <f>IF(LEN('ID Numbers'!A233)=10,"000"&amp;'ID Numbers'!A233,IF(LEN('ID Numbers'!A233)=11,"00"&amp;'ID Numbers'!A233,IF(LEN('ID Numbers'!A233)=12,"0"&amp;'ID Numbers'!A233,'ID Numbers'!A233)))</f>
        <v>0706255233084</v>
      </c>
    </row>
    <row r="234" spans="1:2">
      <c r="A234" t="s">
        <v>1982</v>
      </c>
      <c r="B234" s="352" t="str">
        <f>IF(LEN('ID Numbers'!A234)=10,"000"&amp;'ID Numbers'!A234,IF(LEN('ID Numbers'!A234)=11,"00"&amp;'ID Numbers'!A234,IF(LEN('ID Numbers'!A234)=12,"0"&amp;'ID Numbers'!A234,'ID Numbers'!A234)))</f>
        <v>6802055220084</v>
      </c>
    </row>
    <row r="235" spans="1:2">
      <c r="B235" s="352">
        <f>IF(LEN('ID Numbers'!A235)=10,"000"&amp;'ID Numbers'!A235,IF(LEN('ID Numbers'!A235)=11,"00"&amp;'ID Numbers'!A235,IF(LEN('ID Numbers'!A235)=12,"0"&amp;'ID Numbers'!A235,'ID Numbers'!A235)))</f>
        <v>0</v>
      </c>
    </row>
    <row r="236" spans="1:2">
      <c r="A236" t="s">
        <v>1983</v>
      </c>
      <c r="B236" s="352" t="str">
        <f>IF(LEN('ID Numbers'!A236)=10,"000"&amp;'ID Numbers'!A236,IF(LEN('ID Numbers'!A236)=11,"00"&amp;'ID Numbers'!A236,IF(LEN('ID Numbers'!A236)=12,"0"&amp;'ID Numbers'!A236,'ID Numbers'!A236)))</f>
        <v>0312245056089</v>
      </c>
    </row>
    <row r="237" spans="1:2">
      <c r="A237" t="s">
        <v>1984</v>
      </c>
      <c r="B237" s="352" t="str">
        <f>IF(LEN('ID Numbers'!A237)=10,"000"&amp;'ID Numbers'!A237,IF(LEN('ID Numbers'!A237)=11,"00"&amp;'ID Numbers'!A237,IF(LEN('ID Numbers'!A237)=12,"0"&amp;'ID Numbers'!A237,'ID Numbers'!A237)))</f>
        <v>9510185078085</v>
      </c>
    </row>
    <row r="238" spans="1:2">
      <c r="A238" t="s">
        <v>1985</v>
      </c>
      <c r="B238" s="352" t="str">
        <f>IF(LEN('ID Numbers'!A238)=10,"000"&amp;'ID Numbers'!A238,IF(LEN('ID Numbers'!A238)=11,"00"&amp;'ID Numbers'!A238,IF(LEN('ID Numbers'!A238)=12,"0"&amp;'ID Numbers'!A238,'ID Numbers'!A238)))</f>
        <v>8808115020081</v>
      </c>
    </row>
    <row r="239" spans="1:2">
      <c r="B239" s="352">
        <f>IF(LEN('ID Numbers'!A239)=10,"000"&amp;'ID Numbers'!A239,IF(LEN('ID Numbers'!A239)=11,"00"&amp;'ID Numbers'!A239,IF(LEN('ID Numbers'!A239)=12,"0"&amp;'ID Numbers'!A239,'ID Numbers'!A239)))</f>
        <v>0</v>
      </c>
    </row>
    <row r="240" spans="1:2">
      <c r="A240" t="s">
        <v>1986</v>
      </c>
      <c r="B240" s="352" t="str">
        <f>IF(LEN('ID Numbers'!A240)=10,"000"&amp;'ID Numbers'!A240,IF(LEN('ID Numbers'!A240)=11,"00"&amp;'ID Numbers'!A240,IF(LEN('ID Numbers'!A240)=12,"0"&amp;'ID Numbers'!A240,'ID Numbers'!A240)))</f>
        <v>9403035042081</v>
      </c>
    </row>
    <row r="241" spans="1:2">
      <c r="A241" t="s">
        <v>1987</v>
      </c>
      <c r="B241" s="352" t="str">
        <f>IF(LEN('ID Numbers'!A241)=10,"000"&amp;'ID Numbers'!A241,IF(LEN('ID Numbers'!A241)=11,"00"&amp;'ID Numbers'!A241,IF(LEN('ID Numbers'!A241)=12,"0"&amp;'ID Numbers'!A241,'ID Numbers'!A241)))</f>
        <v>5723082</v>
      </c>
    </row>
    <row r="242" spans="1:2">
      <c r="A242" t="s">
        <v>1988</v>
      </c>
      <c r="B242" s="352" t="str">
        <f>IF(LEN('ID Numbers'!A242)=10,"000"&amp;'ID Numbers'!A242,IF(LEN('ID Numbers'!A242)=11,"00"&amp;'ID Numbers'!A242,IF(LEN('ID Numbers'!A242)=12,"0"&amp;'ID Numbers'!A242,'ID Numbers'!A242)))</f>
        <v>9003065133089</v>
      </c>
    </row>
    <row r="243" spans="1:2">
      <c r="A243" t="s">
        <v>1989</v>
      </c>
      <c r="B243" s="352" t="str">
        <f>IF(LEN('ID Numbers'!A243)=10,"000"&amp;'ID Numbers'!A243,IF(LEN('ID Numbers'!A243)=11,"00"&amp;'ID Numbers'!A243,IF(LEN('ID Numbers'!A243)=12,"0"&amp;'ID Numbers'!A243,'ID Numbers'!A243)))</f>
        <v>0907295969089</v>
      </c>
    </row>
    <row r="244" spans="1:2">
      <c r="A244" t="s">
        <v>1990</v>
      </c>
      <c r="B244" s="352" t="str">
        <f>IF(LEN('ID Numbers'!A244)=10,"000"&amp;'ID Numbers'!A244,IF(LEN('ID Numbers'!A244)=11,"00"&amp;'ID Numbers'!A244,IF(LEN('ID Numbers'!A244)=12,"0"&amp;'ID Numbers'!A244,'ID Numbers'!A244)))</f>
        <v>9312035308089</v>
      </c>
    </row>
    <row r="245" spans="1:2">
      <c r="A245" t="s">
        <v>1991</v>
      </c>
      <c r="B245" s="352" t="str">
        <f>IF(LEN('ID Numbers'!A245)=10,"000"&amp;'ID Numbers'!A245,IF(LEN('ID Numbers'!A245)=11,"00"&amp;'ID Numbers'!A245,IF(LEN('ID Numbers'!A245)=12,"0"&amp;'ID Numbers'!A245,'ID Numbers'!A245)))</f>
        <v>9705295087089</v>
      </c>
    </row>
    <row r="246" spans="1:2">
      <c r="A246" t="s">
        <v>1992</v>
      </c>
      <c r="B246" s="352" t="str">
        <f>IF(LEN('ID Numbers'!A246)=10,"000"&amp;'ID Numbers'!A246,IF(LEN('ID Numbers'!A246)=11,"00"&amp;'ID Numbers'!A246,IF(LEN('ID Numbers'!A246)=12,"0"&amp;'ID Numbers'!A246,'ID Numbers'!A246)))</f>
        <v>9707265081084</v>
      </c>
    </row>
    <row r="247" spans="1:2">
      <c r="A247" t="s">
        <v>1993</v>
      </c>
      <c r="B247" s="352" t="str">
        <f>IF(LEN('ID Numbers'!A247)=10,"000"&amp;'ID Numbers'!A247,IF(LEN('ID Numbers'!A247)=11,"00"&amp;'ID Numbers'!A247,IF(LEN('ID Numbers'!A247)=12,"0"&amp;'ID Numbers'!A247,'ID Numbers'!A247)))</f>
        <v>9111095111080</v>
      </c>
    </row>
    <row r="248" spans="1:2">
      <c r="A248" t="s">
        <v>1994</v>
      </c>
      <c r="B248" s="352" t="str">
        <f>IF(LEN('ID Numbers'!A248)=10,"000"&amp;'ID Numbers'!A248,IF(LEN('ID Numbers'!A248)=11,"00"&amp;'ID Numbers'!A248,IF(LEN('ID Numbers'!A248)=12,"0"&amp;'ID Numbers'!A248,'ID Numbers'!A248)))</f>
        <v>0001275031084</v>
      </c>
    </row>
    <row r="249" spans="1:2">
      <c r="A249" t="s">
        <v>1995</v>
      </c>
      <c r="B249" s="352" t="str">
        <f>IF(LEN('ID Numbers'!A249)=10,"000"&amp;'ID Numbers'!A249,IF(LEN('ID Numbers'!A249)=11,"00"&amp;'ID Numbers'!A249,IF(LEN('ID Numbers'!A249)=12,"0"&amp;'ID Numbers'!A249,'ID Numbers'!A249)))</f>
        <v>7003285037088</v>
      </c>
    </row>
    <row r="250" spans="1:2">
      <c r="A250" t="s">
        <v>1996</v>
      </c>
      <c r="B250" s="352" t="str">
        <f>IF(LEN('ID Numbers'!A250)=10,"000"&amp;'ID Numbers'!A250,IF(LEN('ID Numbers'!A250)=11,"00"&amp;'ID Numbers'!A250,IF(LEN('ID Numbers'!A250)=12,"0"&amp;'ID Numbers'!A250,'ID Numbers'!A250)))</f>
        <v>0706085115089</v>
      </c>
    </row>
    <row r="251" spans="1:2">
      <c r="A251" t="s">
        <v>1997</v>
      </c>
      <c r="B251" s="352" t="str">
        <f>IF(LEN('ID Numbers'!A251)=10,"000"&amp;'ID Numbers'!A251,IF(LEN('ID Numbers'!A251)=11,"00"&amp;'ID Numbers'!A251,IF(LEN('ID Numbers'!A251)=12,"0"&amp;'ID Numbers'!A251,'ID Numbers'!A251)))</f>
        <v>0411065165085</v>
      </c>
    </row>
    <row r="252" spans="1:2">
      <c r="A252" t="s">
        <v>1998</v>
      </c>
      <c r="B252" s="352" t="str">
        <f>IF(LEN('ID Numbers'!A252)=10,"000"&amp;'ID Numbers'!A252,IF(LEN('ID Numbers'!A252)=11,"00"&amp;'ID Numbers'!A252,IF(LEN('ID Numbers'!A252)=12,"0"&amp;'ID Numbers'!A252,'ID Numbers'!A252)))</f>
        <v>8701065011087</v>
      </c>
    </row>
    <row r="253" spans="1:2">
      <c r="A253" t="s">
        <v>1999</v>
      </c>
      <c r="B253" s="352" t="str">
        <f>IF(LEN('ID Numbers'!A253)=10,"000"&amp;'ID Numbers'!A253,IF(LEN('ID Numbers'!A253)=11,"00"&amp;'ID Numbers'!A253,IF(LEN('ID Numbers'!A253)=12,"0"&amp;'ID Numbers'!A253,'ID Numbers'!A253)))</f>
        <v>0508280052087</v>
      </c>
    </row>
    <row r="254" spans="1:2">
      <c r="A254" t="s">
        <v>2000</v>
      </c>
      <c r="B254" s="352" t="str">
        <f>IF(LEN('ID Numbers'!A254)=10,"000"&amp;'ID Numbers'!A254,IF(LEN('ID Numbers'!A254)=11,"00"&amp;'ID Numbers'!A254,IF(LEN('ID Numbers'!A254)=12,"0"&amp;'ID Numbers'!A254,'ID Numbers'!A254)))</f>
        <v>9408105267088</v>
      </c>
    </row>
    <row r="255" spans="1:2">
      <c r="A255" t="s">
        <v>2001</v>
      </c>
      <c r="B255" s="352" t="str">
        <f>IF(LEN('ID Numbers'!A255)=10,"000"&amp;'ID Numbers'!A255,IF(LEN('ID Numbers'!A255)=11,"00"&amp;'ID Numbers'!A255,IF(LEN('ID Numbers'!A255)=12,"0"&amp;'ID Numbers'!A255,'ID Numbers'!A255)))</f>
        <v>0608296347081</v>
      </c>
    </row>
    <row r="256" spans="1:2">
      <c r="B256" s="352">
        <f>IF(LEN('ID Numbers'!A256)=10,"000"&amp;'ID Numbers'!A256,IF(LEN('ID Numbers'!A256)=11,"00"&amp;'ID Numbers'!A256,IF(LEN('ID Numbers'!A256)=12,"0"&amp;'ID Numbers'!A256,'ID Numbers'!A256)))</f>
        <v>0</v>
      </c>
    </row>
    <row r="257" spans="1:2">
      <c r="A257" t="s">
        <v>2002</v>
      </c>
      <c r="B257" s="352" t="str">
        <f>IF(LEN('ID Numbers'!A257)=10,"000"&amp;'ID Numbers'!A257,IF(LEN('ID Numbers'!A257)=11,"00"&amp;'ID Numbers'!A257,IF(LEN('ID Numbers'!A257)=12,"0"&amp;'ID Numbers'!A257,'ID Numbers'!A257)))</f>
        <v>0809255771085</v>
      </c>
    </row>
    <row r="258" spans="1:2">
      <c r="A258" t="s">
        <v>2003</v>
      </c>
      <c r="B258" s="352" t="str">
        <f>IF(LEN('ID Numbers'!A258)=10,"000"&amp;'ID Numbers'!A258,IF(LEN('ID Numbers'!A258)=11,"00"&amp;'ID Numbers'!A258,IF(LEN('ID Numbers'!A258)=12,"0"&amp;'ID Numbers'!A258,'ID Numbers'!A258)))</f>
        <v>7606075071081</v>
      </c>
    </row>
    <row r="259" spans="1:2">
      <c r="A259" t="s">
        <v>2004</v>
      </c>
      <c r="B259" s="352" t="str">
        <f>IF(LEN('ID Numbers'!A259)=10,"000"&amp;'ID Numbers'!A259,IF(LEN('ID Numbers'!A259)=11,"00"&amp;'ID Numbers'!A259,IF(LEN('ID Numbers'!A259)=12,"0"&amp;'ID Numbers'!A259,'ID Numbers'!A259)))</f>
        <v>0905265374082</v>
      </c>
    </row>
    <row r="260" spans="1:2">
      <c r="A260" t="s">
        <v>2005</v>
      </c>
      <c r="B260" s="352" t="str">
        <f>IF(LEN('ID Numbers'!A260)=10,"000"&amp;'ID Numbers'!A260,IF(LEN('ID Numbers'!A260)=11,"00"&amp;'ID Numbers'!A260,IF(LEN('ID Numbers'!A260)=12,"0"&amp;'ID Numbers'!A260,'ID Numbers'!A260)))</f>
        <v>6703225011082</v>
      </c>
    </row>
    <row r="261" spans="1:2">
      <c r="B261" s="352">
        <f>IF(LEN('ID Numbers'!A261)=10,"000"&amp;'ID Numbers'!A261,IF(LEN('ID Numbers'!A261)=11,"00"&amp;'ID Numbers'!A261,IF(LEN('ID Numbers'!A261)=12,"0"&amp;'ID Numbers'!A261,'ID Numbers'!A261)))</f>
        <v>0</v>
      </c>
    </row>
    <row r="262" spans="1:2">
      <c r="A262" t="s">
        <v>2006</v>
      </c>
      <c r="B262" s="352" t="str">
        <f>IF(LEN('ID Numbers'!A262)=10,"000"&amp;'ID Numbers'!A262,IF(LEN('ID Numbers'!A262)=11,"00"&amp;'ID Numbers'!A262,IF(LEN('ID Numbers'!A262)=12,"0"&amp;'ID Numbers'!A262,'ID Numbers'!A262)))</f>
        <v>8702035061087</v>
      </c>
    </row>
    <row r="263" spans="1:2">
      <c r="A263" t="s">
        <v>2007</v>
      </c>
      <c r="B263" s="352" t="str">
        <f>IF(LEN('ID Numbers'!A263)=10,"000"&amp;'ID Numbers'!A263,IF(LEN('ID Numbers'!A263)=11,"00"&amp;'ID Numbers'!A263,IF(LEN('ID Numbers'!A263)=12,"0"&amp;'ID Numbers'!A263,'ID Numbers'!A263)))</f>
        <v>9912010224084</v>
      </c>
    </row>
    <row r="264" spans="1:2">
      <c r="A264" t="s">
        <v>2008</v>
      </c>
      <c r="B264" s="352" t="str">
        <f>IF(LEN('ID Numbers'!A264)=10,"000"&amp;'ID Numbers'!A264,IF(LEN('ID Numbers'!A264)=11,"00"&amp;'ID Numbers'!A264,IF(LEN('ID Numbers'!A264)=12,"0"&amp;'ID Numbers'!A264,'ID Numbers'!A264)))</f>
        <v>0201020152086</v>
      </c>
    </row>
    <row r="265" spans="1:2">
      <c r="A265" t="s">
        <v>2009</v>
      </c>
      <c r="B265" s="352" t="str">
        <f>IF(LEN('ID Numbers'!A265)=10,"000"&amp;'ID Numbers'!A265,IF(LEN('ID Numbers'!A265)=11,"00"&amp;'ID Numbers'!A265,IF(LEN('ID Numbers'!A265)=12,"0"&amp;'ID Numbers'!A265,'ID Numbers'!A265)))</f>
        <v>7204160131083</v>
      </c>
    </row>
    <row r="266" spans="1:2">
      <c r="A266" t="s">
        <v>2010</v>
      </c>
      <c r="B266" s="352" t="str">
        <f>IF(LEN('ID Numbers'!A266)=10,"000"&amp;'ID Numbers'!A266,IF(LEN('ID Numbers'!A266)=11,"00"&amp;'ID Numbers'!A266,IF(LEN('ID Numbers'!A266)=12,"0"&amp;'ID Numbers'!A266,'ID Numbers'!A266)))</f>
        <v>7208145133080</v>
      </c>
    </row>
    <row r="267" spans="1:2">
      <c r="B267" s="352">
        <f>IF(LEN('ID Numbers'!A267)=10,"000"&amp;'ID Numbers'!A267,IF(LEN('ID Numbers'!A267)=11,"00"&amp;'ID Numbers'!A267,IF(LEN('ID Numbers'!A267)=12,"0"&amp;'ID Numbers'!A267,'ID Numbers'!A267)))</f>
        <v>0</v>
      </c>
    </row>
    <row r="268" spans="1:2">
      <c r="A268" t="s">
        <v>2011</v>
      </c>
      <c r="B268" s="352" t="str">
        <f>IF(LEN('ID Numbers'!A268)=10,"000"&amp;'ID Numbers'!A268,IF(LEN('ID Numbers'!A268)=11,"00"&amp;'ID Numbers'!A268,IF(LEN('ID Numbers'!A268)=12,"0"&amp;'ID Numbers'!A268,'ID Numbers'!A268)))</f>
        <v>8101060011085</v>
      </c>
    </row>
    <row r="269" spans="1:2">
      <c r="A269" t="s">
        <v>2012</v>
      </c>
      <c r="B269" s="352" t="str">
        <f>IF(LEN('ID Numbers'!A269)=10,"000"&amp;'ID Numbers'!A269,IF(LEN('ID Numbers'!A269)=11,"00"&amp;'ID Numbers'!A269,IF(LEN('ID Numbers'!A269)=12,"0"&amp;'ID Numbers'!A269,'ID Numbers'!A269)))</f>
        <v>8509275283085</v>
      </c>
    </row>
    <row r="270" spans="1:2">
      <c r="A270" t="s">
        <v>2013</v>
      </c>
      <c r="B270" s="352" t="str">
        <f>IF(LEN('ID Numbers'!A270)=10,"000"&amp;'ID Numbers'!A270,IF(LEN('ID Numbers'!A270)=11,"00"&amp;'ID Numbers'!A270,IF(LEN('ID Numbers'!A270)=12,"0"&amp;'ID Numbers'!A270,'ID Numbers'!A270)))</f>
        <v>6904255010081</v>
      </c>
    </row>
    <row r="271" spans="1:2">
      <c r="A271" t="s">
        <v>2014</v>
      </c>
      <c r="B271" s="352" t="str">
        <f>IF(LEN('ID Numbers'!A271)=10,"000"&amp;'ID Numbers'!A271,IF(LEN('ID Numbers'!A271)=11,"00"&amp;'ID Numbers'!A271,IF(LEN('ID Numbers'!A271)=12,"0"&amp;'ID Numbers'!A271,'ID Numbers'!A271)))</f>
        <v>0404166221089</v>
      </c>
    </row>
    <row r="272" spans="1:2">
      <c r="A272" t="s">
        <v>2015</v>
      </c>
      <c r="B272" s="352" t="str">
        <f>IF(LEN('ID Numbers'!A272)=10,"000"&amp;'ID Numbers'!A272,IF(LEN('ID Numbers'!A272)=11,"00"&amp;'ID Numbers'!A272,IF(LEN('ID Numbers'!A272)=12,"0"&amp;'ID Numbers'!A272,'ID Numbers'!A272)))</f>
        <v>7209285031084</v>
      </c>
    </row>
    <row r="273" spans="1:2">
      <c r="B273" s="352">
        <f>IF(LEN('ID Numbers'!A273)=10,"000"&amp;'ID Numbers'!A273,IF(LEN('ID Numbers'!A273)=11,"00"&amp;'ID Numbers'!A273,IF(LEN('ID Numbers'!A273)=12,"0"&amp;'ID Numbers'!A273,'ID Numbers'!A273)))</f>
        <v>0</v>
      </c>
    </row>
    <row r="274" spans="1:2">
      <c r="B274" s="352">
        <f>IF(LEN('ID Numbers'!A274)=10,"000"&amp;'ID Numbers'!A274,IF(LEN('ID Numbers'!A274)=11,"00"&amp;'ID Numbers'!A274,IF(LEN('ID Numbers'!A274)=12,"0"&amp;'ID Numbers'!A274,'ID Numbers'!A274)))</f>
        <v>0</v>
      </c>
    </row>
    <row r="275" spans="1:2">
      <c r="A275" t="s">
        <v>2016</v>
      </c>
      <c r="B275" s="352" t="str">
        <f>IF(LEN('ID Numbers'!A275)=10,"000"&amp;'ID Numbers'!A275,IF(LEN('ID Numbers'!A275)=11,"00"&amp;'ID Numbers'!A275,IF(LEN('ID Numbers'!A275)=12,"0"&amp;'ID Numbers'!A275,'ID Numbers'!A275)))</f>
        <v>8607080158086</v>
      </c>
    </row>
    <row r="276" spans="1:2">
      <c r="A276" t="s">
        <v>1795</v>
      </c>
      <c r="B276" s="352" t="str">
        <f>IF(LEN('ID Numbers'!A276)=10,"000"&amp;'ID Numbers'!A276,IF(LEN('ID Numbers'!A276)=11,"00"&amp;'ID Numbers'!A276,IF(LEN('ID Numbers'!A276)=12,"0"&amp;'ID Numbers'!A276,'ID Numbers'!A276)))</f>
        <v>710674358</v>
      </c>
    </row>
    <row r="277" spans="1:2">
      <c r="A277" t="s">
        <v>2017</v>
      </c>
      <c r="B277" s="352" t="str">
        <f>IF(LEN('ID Numbers'!A277)=10,"000"&amp;'ID Numbers'!A277,IF(LEN('ID Numbers'!A277)=11,"00"&amp;'ID Numbers'!A277,IF(LEN('ID Numbers'!A277)=12,"0"&amp;'ID Numbers'!A277,'ID Numbers'!A277)))</f>
        <v>6511085023083</v>
      </c>
    </row>
    <row r="278" spans="1:2">
      <c r="A278" t="s">
        <v>2018</v>
      </c>
      <c r="B278" s="352" t="str">
        <f>IF(LEN('ID Numbers'!A278)=10,"000"&amp;'ID Numbers'!A278,IF(LEN('ID Numbers'!A278)=11,"00"&amp;'ID Numbers'!A278,IF(LEN('ID Numbers'!A278)=12,"0"&amp;'ID Numbers'!A278,'ID Numbers'!A278)))</f>
        <v>0303175204088</v>
      </c>
    </row>
    <row r="279" spans="1:2">
      <c r="A279" t="s">
        <v>2019</v>
      </c>
      <c r="B279" s="352" t="str">
        <f>IF(LEN('ID Numbers'!A279)=10,"000"&amp;'ID Numbers'!A279,IF(LEN('ID Numbers'!A279)=11,"00"&amp;'ID Numbers'!A279,IF(LEN('ID Numbers'!A279)=12,"0"&amp;'ID Numbers'!A279,'ID Numbers'!A279)))</f>
        <v>0000605JOSHUA</v>
      </c>
    </row>
    <row r="280" spans="1:2">
      <c r="A280" t="s">
        <v>2020</v>
      </c>
      <c r="B280" s="352" t="str">
        <f>IF(LEN('ID Numbers'!A280)=10,"000"&amp;'ID Numbers'!A280,IF(LEN('ID Numbers'!A280)=11,"00"&amp;'ID Numbers'!A280,IF(LEN('ID Numbers'!A280)=12,"0"&amp;'ID Numbers'!A280,'ID Numbers'!A280)))</f>
        <v>7009260130087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250"/>
  <sheetViews>
    <sheetView workbookViewId="0"/>
  </sheetViews>
  <sheetFormatPr defaultColWidth="9.140625" defaultRowHeight="12.75"/>
  <cols>
    <col min="1" max="1" width="25.140625" style="12" bestFit="1" customWidth="1"/>
    <col min="2" max="2" width="22.140625" style="15" customWidth="1"/>
    <col min="3" max="3" width="24.42578125" style="15" customWidth="1"/>
    <col min="4" max="4" width="14.140625" style="16" customWidth="1"/>
    <col min="5" max="5" width="19" style="11" customWidth="1"/>
    <col min="6" max="6" width="21" style="11" customWidth="1"/>
    <col min="7" max="7" width="20" style="12" customWidth="1"/>
    <col min="8" max="8" width="28" style="11" bestFit="1" customWidth="1"/>
    <col min="9" max="9" width="21.42578125" style="17" bestFit="1" customWidth="1"/>
    <col min="10" max="12" width="18.7109375" style="17" customWidth="1"/>
    <col min="13" max="13" width="19.85546875" style="11" bestFit="1" customWidth="1"/>
    <col min="14" max="14" width="13.42578125" style="11" customWidth="1"/>
    <col min="15" max="16384" width="9.140625" style="11"/>
  </cols>
  <sheetData>
    <row r="1" spans="1:14" s="34" customFormat="1" ht="15.75">
      <c r="A1" s="32"/>
      <c r="B1" s="33" t="str">
        <f ca="1">RIGHT(CELL("filename",D2),LEN(CELL("filename",D2))-FIND("]",CELL("filename",D2)))</f>
        <v>W2W</v>
      </c>
      <c r="C1" s="33"/>
      <c r="D1" s="34" t="s">
        <v>105</v>
      </c>
      <c r="E1" s="32"/>
      <c r="F1" s="35"/>
      <c r="G1" s="35"/>
      <c r="H1" s="35"/>
      <c r="J1" s="32"/>
      <c r="K1" s="35"/>
      <c r="L1" s="35"/>
      <c r="M1" s="35"/>
    </row>
    <row r="2" spans="1:14" s="49" customFormat="1" ht="15.75">
      <c r="A2" s="45" t="s">
        <v>270</v>
      </c>
      <c r="B2" s="46" t="s">
        <v>10</v>
      </c>
      <c r="C2" s="46" t="s">
        <v>9</v>
      </c>
      <c r="D2" s="47" t="s">
        <v>111</v>
      </c>
      <c r="E2" s="48" t="s">
        <v>62</v>
      </c>
      <c r="F2" s="48" t="s">
        <v>63</v>
      </c>
      <c r="G2" s="45" t="s">
        <v>64</v>
      </c>
      <c r="H2" s="48" t="s">
        <v>57</v>
      </c>
      <c r="I2" s="48" t="s">
        <v>61</v>
      </c>
      <c r="J2" s="48" t="s">
        <v>58</v>
      </c>
      <c r="K2" s="48" t="s">
        <v>59</v>
      </c>
      <c r="L2" s="48" t="s">
        <v>60</v>
      </c>
      <c r="M2" s="48" t="s">
        <v>112</v>
      </c>
      <c r="N2" s="48" t="s">
        <v>113</v>
      </c>
    </row>
    <row r="3" spans="1:14">
      <c r="A3" s="8"/>
      <c r="B3" s="99" t="str">
        <f>IFERROR(IF($A3="","&lt;-- Enter Race Number",(VLOOKUP($A3,EntryList!$A$3:$H$291,3,FALSE))),"ERROR - No Name with this number in Entry List")</f>
        <v>&lt;-- Enter Race Number</v>
      </c>
      <c r="C3" s="99" t="str">
        <f>IFERROR(IF($A3="","",(VLOOKUP($A3,EntryList!$A$3:$H$291,4,FALSE))),"ERROR - No Name with this number in Master List")</f>
        <v/>
      </c>
      <c r="D3" s="99" t="str">
        <f>IFERROR(IF($A3="","",(VLOOKUP($A3,EntryList!$A$3:$H$291,5,FALSE))),"ERROR - No Name with this number in Master List")</f>
        <v/>
      </c>
      <c r="G3" s="11"/>
      <c r="M3" s="13"/>
    </row>
    <row r="4" spans="1:14">
      <c r="A4" s="8"/>
      <c r="B4" s="99" t="str">
        <f>IFERROR(IF($A4="","&lt;-- Enter Race Number",(VLOOKUP($A4,EntryList!$A$3:$H$291,3,FALSE))),"ERROR - No Name with this number in Entry List")</f>
        <v>&lt;-- Enter Race Number</v>
      </c>
      <c r="C4" s="99" t="str">
        <f>IFERROR(IF($A4="","",(VLOOKUP($A4,EntryList!$A$3:$H$291,4,FALSE))),"ERROR - No Name with this number in Master List")</f>
        <v/>
      </c>
      <c r="D4" s="99" t="str">
        <f>IFERROR(IF($A4="","",(VLOOKUP($A4,EntryList!$A$3:$H$291,5,FALSE))),"ERROR - No Name with this number in Master List")</f>
        <v/>
      </c>
      <c r="G4" s="11"/>
      <c r="H4" s="14"/>
      <c r="M4" s="13"/>
    </row>
    <row r="5" spans="1:14">
      <c r="A5" s="8"/>
      <c r="B5" s="99" t="str">
        <f>IFERROR(IF($A5="","&lt;-- Enter Race Number",(VLOOKUP($A5,EntryList!$A$3:$H$291,3,FALSE))),"ERROR - No Name with this number in Entry List")</f>
        <v>&lt;-- Enter Race Number</v>
      </c>
      <c r="C5" s="99" t="str">
        <f>IFERROR(IF($A5="","",(VLOOKUP($A5,EntryList!$A$3:$H$291,4,FALSE))),"ERROR - No Name with this number in Master List")</f>
        <v/>
      </c>
      <c r="D5" s="99" t="str">
        <f>IFERROR(IF($A5="","",(VLOOKUP($A5,EntryList!$A$3:$H$291,5,FALSE))),"ERROR - No Name with this number in Master List")</f>
        <v/>
      </c>
      <c r="G5" s="11"/>
      <c r="M5" s="13"/>
    </row>
    <row r="6" spans="1:14">
      <c r="A6" s="8"/>
      <c r="B6" s="99" t="str">
        <f>IFERROR(IF($A6="","&lt;-- Enter Race Number",(VLOOKUP($A6,EntryList!$A$3:$H$291,3,FALSE))),"ERROR - No Name with this number in Entry List")</f>
        <v>&lt;-- Enter Race Number</v>
      </c>
      <c r="C6" s="99" t="str">
        <f>IFERROR(IF($A6="","",(VLOOKUP($A6,EntryList!$A$3:$H$291,4,FALSE))),"ERROR - No Name with this number in Master List")</f>
        <v/>
      </c>
      <c r="D6" s="99" t="str">
        <f>IFERROR(IF($A6="","",(VLOOKUP($A6,EntryList!$A$3:$H$291,5,FALSE))),"ERROR - No Name with this number in Master List")</f>
        <v/>
      </c>
      <c r="G6" s="11"/>
      <c r="H6" s="14"/>
      <c r="M6" s="13"/>
    </row>
    <row r="7" spans="1:14">
      <c r="A7" s="8"/>
      <c r="B7" s="99" t="str">
        <f>IFERROR(IF($A7="","&lt;-- Enter Race Number",(VLOOKUP($A7,EntryList!$A$3:$H$291,3,FALSE))),"ERROR - No Name with this number in Entry List")</f>
        <v>&lt;-- Enter Race Number</v>
      </c>
      <c r="C7" s="99" t="str">
        <f>IFERROR(IF($A7="","",(VLOOKUP($A7,EntryList!$A$3:$H$291,4,FALSE))),"ERROR - No Name with this number in Master List")</f>
        <v/>
      </c>
      <c r="D7" s="99" t="str">
        <f>IFERROR(IF($A7="","",(VLOOKUP($A7,EntryList!$A$3:$H$291,5,FALSE))),"ERROR - No Name with this number in Master List")</f>
        <v/>
      </c>
      <c r="G7" s="11"/>
      <c r="H7" s="14"/>
      <c r="M7" s="13"/>
    </row>
    <row r="8" spans="1:14">
      <c r="A8" s="8"/>
      <c r="B8" s="99" t="str">
        <f>IFERROR(IF($A8="","&lt;-- Enter Race Number",(VLOOKUP($A8,EntryList!$A$3:$H$291,3,FALSE))),"ERROR - No Name with this number in Entry List")</f>
        <v>&lt;-- Enter Race Number</v>
      </c>
      <c r="C8" s="99" t="str">
        <f>IFERROR(IF($A8="","",(VLOOKUP($A8,EntryList!$A$3:$H$291,4,FALSE))),"ERROR - No Name with this number in Master List")</f>
        <v/>
      </c>
      <c r="D8" s="99" t="str">
        <f>IFERROR(IF($A8="","",(VLOOKUP($A8,EntryList!$A$3:$H$291,5,FALSE))),"ERROR - No Name with this number in Master List")</f>
        <v/>
      </c>
      <c r="G8" s="11"/>
      <c r="H8" s="14"/>
      <c r="M8" s="13"/>
    </row>
    <row r="9" spans="1:14">
      <c r="A9" s="8"/>
      <c r="B9" s="99" t="str">
        <f>IFERROR(IF($A9="","&lt;-- Enter Race Number",(VLOOKUP($A9,EntryList!$A$3:$H$291,3,FALSE))),"ERROR - No Name with this number in Entry List")</f>
        <v>&lt;-- Enter Race Number</v>
      </c>
      <c r="C9" s="99" t="str">
        <f>IFERROR(IF($A9="","",(VLOOKUP($A9,EntryList!$A$3:$H$291,4,FALSE))),"ERROR - No Name with this number in Master List")</f>
        <v/>
      </c>
      <c r="D9" s="99" t="str">
        <f>IFERROR(IF($A9="","",(VLOOKUP($A9,EntryList!$A$3:$H$291,5,FALSE))),"ERROR - No Name with this number in Master List")</f>
        <v/>
      </c>
      <c r="G9" s="11"/>
      <c r="H9" s="14"/>
      <c r="I9" s="11"/>
      <c r="J9" s="11"/>
      <c r="K9" s="11"/>
      <c r="L9" s="11"/>
      <c r="M9" s="13"/>
    </row>
    <row r="10" spans="1:14">
      <c r="A10" s="8"/>
      <c r="B10" s="99" t="str">
        <f>IFERROR(IF($A10="","&lt;-- Enter Race Number",(VLOOKUP($A10,EntryList!$A$3:$H$291,3,FALSE))),"ERROR - No Name with this number in Entry List")</f>
        <v>&lt;-- Enter Race Number</v>
      </c>
      <c r="C10" s="99" t="str">
        <f>IFERROR(IF($A10="","",(VLOOKUP($A10,EntryList!$A$3:$H$291,4,FALSE))),"ERROR - No Name with this number in Master List")</f>
        <v/>
      </c>
      <c r="D10" s="99" t="str">
        <f>IFERROR(IF($A10="","",(VLOOKUP($A10,EntryList!$A$3:$H$291,5,FALSE))),"ERROR - No Name with this number in Master List")</f>
        <v/>
      </c>
      <c r="G10" s="11"/>
      <c r="H10" s="14"/>
      <c r="M10" s="13"/>
    </row>
    <row r="11" spans="1:14">
      <c r="A11" s="8"/>
      <c r="B11" s="99" t="str">
        <f>IFERROR(IF($A11="","&lt;-- Enter Race Number",(VLOOKUP($A11,EntryList!$A$3:$H$291,3,FALSE))),"ERROR - No Name with this number in Entry List")</f>
        <v>&lt;-- Enter Race Number</v>
      </c>
      <c r="C11" s="99" t="str">
        <f>IFERROR(IF($A11="","",(VLOOKUP($A11,EntryList!$A$3:$H$291,4,FALSE))),"ERROR - No Name with this number in Master List")</f>
        <v/>
      </c>
      <c r="D11" s="99" t="str">
        <f>IFERROR(IF($A11="","",(VLOOKUP($A11,EntryList!$A$3:$H$291,5,FALSE))),"ERROR - No Name with this number in Master List")</f>
        <v/>
      </c>
      <c r="G11" s="11"/>
      <c r="H11" s="14"/>
      <c r="M11" s="13"/>
    </row>
    <row r="12" spans="1:14">
      <c r="A12" s="8"/>
      <c r="B12" s="99" t="str">
        <f>IFERROR(IF($A12="","&lt;-- Enter Race Number",(VLOOKUP($A12,EntryList!$A$3:$H$291,3,FALSE))),"ERROR - No Name with this number in Entry List")</f>
        <v>&lt;-- Enter Race Number</v>
      </c>
      <c r="C12" s="99" t="str">
        <f>IFERROR(IF($A12="","",(VLOOKUP($A12,EntryList!$A$3:$H$291,4,FALSE))),"ERROR - No Name with this number in Master List")</f>
        <v/>
      </c>
      <c r="D12" s="99" t="str">
        <f>IFERROR(IF($A12="","",(VLOOKUP($A12,EntryList!$A$3:$H$291,5,FALSE))),"ERROR - No Name with this number in Master List")</f>
        <v/>
      </c>
      <c r="G12" s="11"/>
      <c r="H12" s="14"/>
      <c r="M12" s="13"/>
    </row>
    <row r="13" spans="1:14">
      <c r="A13" s="8"/>
      <c r="B13" s="99" t="str">
        <f>IFERROR(IF($A13="","&lt;-- Enter Race Number",(VLOOKUP($A13,EntryList!$A$3:$H$291,3,FALSE))),"ERROR - No Name with this number in Entry List")</f>
        <v>&lt;-- Enter Race Number</v>
      </c>
      <c r="C13" s="99" t="str">
        <f>IFERROR(IF($A13="","",(VLOOKUP($A13,EntryList!$A$3:$H$291,4,FALSE))),"ERROR - No Name with this number in Master List")</f>
        <v/>
      </c>
      <c r="D13" s="99" t="str">
        <f>IFERROR(IF($A13="","",(VLOOKUP($A13,EntryList!$A$3:$H$291,5,FALSE))),"ERROR - No Name with this number in Master List")</f>
        <v/>
      </c>
      <c r="G13" s="11"/>
      <c r="H13" s="14"/>
      <c r="M13" s="13"/>
    </row>
    <row r="14" spans="1:14">
      <c r="A14" s="8"/>
      <c r="B14" s="99" t="str">
        <f>IFERROR(IF($A14="","&lt;-- Enter Race Number",(VLOOKUP($A14,EntryList!$A$3:$H$291,3,FALSE))),"ERROR - No Name with this number in Entry List")</f>
        <v>&lt;-- Enter Race Number</v>
      </c>
      <c r="C14" s="99" t="str">
        <f>IFERROR(IF($A14="","",(VLOOKUP($A14,EntryList!$A$3:$H$291,4,FALSE))),"ERROR - No Name with this number in Master List")</f>
        <v/>
      </c>
      <c r="D14" s="99" t="str">
        <f>IFERROR(IF($A14="","",(VLOOKUP($A14,EntryList!$A$3:$H$291,5,FALSE))),"ERROR - No Name with this number in Master List")</f>
        <v/>
      </c>
      <c r="G14" s="11"/>
      <c r="H14" s="14"/>
      <c r="M14" s="13"/>
    </row>
    <row r="15" spans="1:14">
      <c r="A15" s="8"/>
      <c r="B15" s="99" t="str">
        <f>IFERROR(IF($A15="","&lt;-- Enter Race Number",(VLOOKUP($A15,EntryList!$A$3:$H$291,3,FALSE))),"ERROR - No Name with this number in Entry List")</f>
        <v>&lt;-- Enter Race Number</v>
      </c>
      <c r="C15" s="99" t="str">
        <f>IFERROR(IF($A15="","",(VLOOKUP($A15,EntryList!$A$3:$H$291,4,FALSE))),"ERROR - No Name with this number in Master List")</f>
        <v/>
      </c>
      <c r="D15" s="99" t="str">
        <f>IFERROR(IF($A15="","",(VLOOKUP($A15,EntryList!$A$3:$H$291,5,FALSE))),"ERROR - No Name with this number in Master List")</f>
        <v/>
      </c>
      <c r="G15" s="11"/>
      <c r="H15" s="14"/>
      <c r="M15" s="13"/>
    </row>
    <row r="16" spans="1:14">
      <c r="A16" s="8"/>
      <c r="B16" s="99" t="str">
        <f>IFERROR(IF($A16="","&lt;-- Enter Race Number",(VLOOKUP($A16,EntryList!$A$3:$H$291,3,FALSE))),"ERROR - No Name with this number in Entry List")</f>
        <v>&lt;-- Enter Race Number</v>
      </c>
      <c r="C16" s="99" t="str">
        <f>IFERROR(IF($A16="","",(VLOOKUP($A16,EntryList!$A$3:$H$291,4,FALSE))),"ERROR - No Name with this number in Master List")</f>
        <v/>
      </c>
      <c r="D16" s="99" t="str">
        <f>IFERROR(IF($A16="","",(VLOOKUP($A16,EntryList!$A$3:$H$291,5,FALSE))),"ERROR - No Name with this number in Master List")</f>
        <v/>
      </c>
      <c r="G16" s="11"/>
      <c r="H16" s="14"/>
      <c r="M16" s="13"/>
    </row>
    <row r="17" spans="1:13">
      <c r="A17" s="8"/>
      <c r="B17" s="99" t="str">
        <f>IFERROR(IF($A17="","&lt;-- Enter Race Number",(VLOOKUP($A17,EntryList!$A$3:$H$291,3,FALSE))),"ERROR - No Name with this number in Entry List")</f>
        <v>&lt;-- Enter Race Number</v>
      </c>
      <c r="C17" s="99" t="str">
        <f>IFERROR(IF($A17="","",(VLOOKUP($A17,EntryList!$A$3:$H$291,4,FALSE))),"ERROR - No Name with this number in Master List")</f>
        <v/>
      </c>
      <c r="D17" s="99" t="str">
        <f>IFERROR(IF($A17="","",(VLOOKUP($A17,EntryList!$A$3:$H$291,5,FALSE))),"ERROR - No Name with this number in Master List")</f>
        <v/>
      </c>
      <c r="G17" s="11"/>
      <c r="H17" s="14"/>
      <c r="M17" s="13"/>
    </row>
    <row r="18" spans="1:13">
      <c r="A18" s="8"/>
      <c r="B18" s="99" t="str">
        <f>IFERROR(IF($A18="","&lt;-- Enter Race Number",(VLOOKUP($A18,EntryList!$A$3:$H$291,3,FALSE))),"ERROR - No Name with this number in Entry List")</f>
        <v>&lt;-- Enter Race Number</v>
      </c>
      <c r="C18" s="99" t="str">
        <f>IFERROR(IF($A18="","",(VLOOKUP($A18,EntryList!$A$3:$H$291,4,FALSE))),"ERROR - No Name with this number in Master List")</f>
        <v/>
      </c>
      <c r="D18" s="99" t="str">
        <f>IFERROR(IF($A18="","",(VLOOKUP($A18,EntryList!$A$3:$H$291,5,FALSE))),"ERROR - No Name with this number in Master List")</f>
        <v/>
      </c>
      <c r="G18" s="11"/>
      <c r="H18" s="14"/>
      <c r="M18" s="13"/>
    </row>
    <row r="19" spans="1:13">
      <c r="A19" s="8"/>
      <c r="B19" s="99" t="str">
        <f>IFERROR(IF($A19="","&lt;-- Enter Race Number",(VLOOKUP($A19,EntryList!$A$3:$H$291,3,FALSE))),"ERROR - No Name with this number in Entry List")</f>
        <v>&lt;-- Enter Race Number</v>
      </c>
      <c r="C19" s="99" t="str">
        <f>IFERROR(IF($A19="","",(VLOOKUP($A19,EntryList!$A$3:$H$291,4,FALSE))),"ERROR - No Name with this number in Master List")</f>
        <v/>
      </c>
      <c r="D19" s="99" t="str">
        <f>IFERROR(IF($A19="","",(VLOOKUP($A19,EntryList!$A$3:$H$291,5,FALSE))),"ERROR - No Name with this number in Master List")</f>
        <v/>
      </c>
      <c r="G19" s="11"/>
      <c r="H19" s="14"/>
      <c r="M19" s="13"/>
    </row>
    <row r="20" spans="1:13">
      <c r="A20" s="8"/>
      <c r="B20" s="99" t="str">
        <f>IFERROR(IF($A20="","&lt;-- Enter Race Number",(VLOOKUP($A20,EntryList!$A$3:$H$291,3,FALSE))),"ERROR - No Name with this number in Entry List")</f>
        <v>&lt;-- Enter Race Number</v>
      </c>
      <c r="C20" s="99" t="str">
        <f>IFERROR(IF($A20="","",(VLOOKUP($A20,EntryList!$A$3:$H$291,4,FALSE))),"ERROR - No Name with this number in Master List")</f>
        <v/>
      </c>
      <c r="D20" s="99" t="str">
        <f>IFERROR(IF($A20="","",(VLOOKUP($A20,EntryList!$A$3:$H$291,5,FALSE))),"ERROR - No Name with this number in Master List")</f>
        <v/>
      </c>
      <c r="G20" s="11"/>
      <c r="H20" s="14"/>
      <c r="M20" s="13"/>
    </row>
    <row r="21" spans="1:13">
      <c r="A21" s="8"/>
      <c r="B21" s="99" t="str">
        <f>IFERROR(IF($A21="","&lt;-- Enter Race Number",(VLOOKUP($A21,EntryList!$A$3:$H$291,3,FALSE))),"ERROR - No Name with this number in Entry List")</f>
        <v>&lt;-- Enter Race Number</v>
      </c>
      <c r="C21" s="99" t="str">
        <f>IFERROR(IF($A21="","",(VLOOKUP($A21,EntryList!$A$3:$H$291,4,FALSE))),"ERROR - No Name with this number in Master List")</f>
        <v/>
      </c>
      <c r="D21" s="99" t="str">
        <f>IFERROR(IF($A21="","",(VLOOKUP($A21,EntryList!$A$3:$H$291,5,FALSE))),"ERROR - No Name with this number in Master List")</f>
        <v/>
      </c>
      <c r="G21" s="11"/>
      <c r="H21" s="14"/>
      <c r="M21" s="13"/>
    </row>
    <row r="22" spans="1:13">
      <c r="A22" s="8"/>
      <c r="B22" s="99" t="str">
        <f>IFERROR(IF($A22="","&lt;-- Enter Race Number",(VLOOKUP($A22,EntryList!$A$3:$H$291,3,FALSE))),"ERROR - No Name with this number in Entry List")</f>
        <v>&lt;-- Enter Race Number</v>
      </c>
      <c r="C22" s="99" t="str">
        <f>IFERROR(IF($A22="","",(VLOOKUP($A22,EntryList!$A$3:$H$291,4,FALSE))),"ERROR - No Name with this number in Master List")</f>
        <v/>
      </c>
      <c r="D22" s="99" t="str">
        <f>IFERROR(IF($A22="","",(VLOOKUP($A22,EntryList!$A$3:$H$291,5,FALSE))),"ERROR - No Name with this number in Master List")</f>
        <v/>
      </c>
      <c r="G22" s="11"/>
      <c r="H22" s="14"/>
    </row>
    <row r="23" spans="1:13">
      <c r="A23" s="8"/>
      <c r="B23" s="99" t="str">
        <f>IFERROR(IF($A23="","&lt;-- Enter Race Number",(VLOOKUP($A23,EntryList!$A$3:$H$291,3,FALSE))),"ERROR - No Name with this number in Entry List")</f>
        <v>&lt;-- Enter Race Number</v>
      </c>
      <c r="C23" s="99" t="str">
        <f>IFERROR(IF($A23="","",(VLOOKUP($A23,EntryList!$A$3:$H$291,4,FALSE))),"ERROR - No Name with this number in Master List")</f>
        <v/>
      </c>
      <c r="D23" s="99" t="str">
        <f>IFERROR(IF($A23="","",(VLOOKUP($A23,EntryList!$A$3:$H$291,5,FALSE))),"ERROR - No Name with this number in Master List")</f>
        <v/>
      </c>
      <c r="G23" s="11"/>
      <c r="H23" s="14"/>
    </row>
    <row r="24" spans="1:13">
      <c r="A24" s="8"/>
      <c r="B24" s="99" t="str">
        <f>IFERROR(IF($A24="","&lt;-- Enter Race Number",(VLOOKUP($A24,EntryList!$A$3:$H$291,3,FALSE))),"ERROR - No Name with this number in Entry List")</f>
        <v>&lt;-- Enter Race Number</v>
      </c>
      <c r="C24" s="99" t="str">
        <f>IFERROR(IF($A24="","",(VLOOKUP($A24,EntryList!$A$3:$H$291,4,FALSE))),"ERROR - No Name with this number in Master List")</f>
        <v/>
      </c>
      <c r="D24" s="99" t="str">
        <f>IFERROR(IF($A24="","",(VLOOKUP($A24,EntryList!$A$3:$H$291,5,FALSE))),"ERROR - No Name with this number in Master List")</f>
        <v/>
      </c>
      <c r="G24" s="11"/>
      <c r="H24" s="14"/>
    </row>
    <row r="25" spans="1:13">
      <c r="A25" s="8"/>
      <c r="B25" s="99" t="str">
        <f>IFERROR(IF($A25="","&lt;-- Enter Race Number",(VLOOKUP($A25,EntryList!$A$3:$H$291,3,FALSE))),"ERROR - No Name with this number in Entry List")</f>
        <v>&lt;-- Enter Race Number</v>
      </c>
      <c r="C25" s="99" t="str">
        <f>IFERROR(IF($A25="","",(VLOOKUP($A25,EntryList!$A$3:$H$291,4,FALSE))),"ERROR - No Name with this number in Master List")</f>
        <v/>
      </c>
      <c r="D25" s="99" t="str">
        <f>IFERROR(IF($A25="","",(VLOOKUP($A25,EntryList!$A$3:$H$291,5,FALSE))),"ERROR - No Name with this number in Master List")</f>
        <v/>
      </c>
      <c r="G25" s="11"/>
      <c r="H25" s="14"/>
    </row>
    <row r="26" spans="1:13">
      <c r="A26" s="8"/>
      <c r="B26" s="99" t="str">
        <f>IFERROR(IF($A26="","&lt;-- Enter Race Number",(VLOOKUP($A26,EntryList!$A$3:$H$291,3,FALSE))),"ERROR - No Name with this number in Entry List")</f>
        <v>&lt;-- Enter Race Number</v>
      </c>
      <c r="C26" s="99" t="str">
        <f>IFERROR(IF($A26="","",(VLOOKUP($A26,EntryList!$A$3:$H$291,4,FALSE))),"ERROR - No Name with this number in Master List")</f>
        <v/>
      </c>
      <c r="D26" s="99" t="str">
        <f>IFERROR(IF($A26="","",(VLOOKUP($A26,EntryList!$A$3:$H$291,5,FALSE))),"ERROR - No Name with this number in Master List")</f>
        <v/>
      </c>
      <c r="G26" s="11"/>
      <c r="H26" s="14"/>
    </row>
    <row r="27" spans="1:13">
      <c r="A27" s="8"/>
      <c r="B27" s="99" t="str">
        <f>IFERROR(IF($A27="","&lt;-- Enter Race Number",(VLOOKUP($A27,EntryList!$A$3:$H$291,3,FALSE))),"ERROR - No Name with this number in Entry List")</f>
        <v>&lt;-- Enter Race Number</v>
      </c>
      <c r="C27" s="99" t="str">
        <f>IFERROR(IF($A27="","",(VLOOKUP($A27,EntryList!$A$3:$H$291,4,FALSE))),"ERROR - No Name with this number in Master List")</f>
        <v/>
      </c>
      <c r="D27" s="99" t="str">
        <f>IFERROR(IF($A27="","",(VLOOKUP($A27,EntryList!$A$3:$H$291,5,FALSE))),"ERROR - No Name with this number in Master List")</f>
        <v/>
      </c>
      <c r="G27" s="11"/>
      <c r="H27" s="14"/>
    </row>
    <row r="28" spans="1:13">
      <c r="A28" s="8"/>
      <c r="B28" s="99" t="str">
        <f>IFERROR(IF($A28="","&lt;-- Enter Race Number",(VLOOKUP($A28,EntryList!$A$3:$H$291,3,FALSE))),"ERROR - No Name with this number in Entry List")</f>
        <v>&lt;-- Enter Race Number</v>
      </c>
      <c r="C28" s="99" t="str">
        <f>IFERROR(IF($A28="","",(VLOOKUP($A28,EntryList!$A$3:$H$291,4,FALSE))),"ERROR - No Name with this number in Master List")</f>
        <v/>
      </c>
      <c r="D28" s="99" t="str">
        <f>IFERROR(IF($A28="","",(VLOOKUP($A28,EntryList!$A$3:$H$291,5,FALSE))),"ERROR - No Name with this number in Master List")</f>
        <v/>
      </c>
      <c r="G28" s="11"/>
      <c r="H28" s="14"/>
    </row>
    <row r="29" spans="1:13">
      <c r="A29" s="8"/>
      <c r="B29" s="99" t="str">
        <f>IFERROR(IF($A29="","&lt;-- Enter Race Number",(VLOOKUP($A29,EntryList!$A$3:$H$291,3,FALSE))),"ERROR - No Name with this number in Entry List")</f>
        <v>&lt;-- Enter Race Number</v>
      </c>
      <c r="C29" s="99" t="str">
        <f>IFERROR(IF($A29="","",(VLOOKUP($A29,EntryList!$A$3:$H$291,4,FALSE))),"ERROR - No Name with this number in Master List")</f>
        <v/>
      </c>
      <c r="D29" s="99" t="str">
        <f>IFERROR(IF($A29="","",(VLOOKUP($A29,EntryList!$A$3:$H$291,5,FALSE))),"ERROR - No Name with this number in Master List")</f>
        <v/>
      </c>
      <c r="G29" s="11"/>
      <c r="H29" s="14"/>
    </row>
    <row r="30" spans="1:13">
      <c r="A30" s="8"/>
      <c r="B30" s="99" t="str">
        <f>IFERROR(IF($A30="","&lt;-- Enter Race Number",(VLOOKUP($A30,EntryList!$A$3:$H$291,3,FALSE))),"ERROR - No Name with this number in Entry List")</f>
        <v>&lt;-- Enter Race Number</v>
      </c>
      <c r="C30" s="99" t="str">
        <f>IFERROR(IF($A30="","",(VLOOKUP($A30,EntryList!$A$3:$H$291,4,FALSE))),"ERROR - No Name with this number in Master List")</f>
        <v/>
      </c>
      <c r="D30" s="99" t="str">
        <f>IFERROR(IF($A30="","",(VLOOKUP($A30,EntryList!$A$3:$H$291,5,FALSE))),"ERROR - No Name with this number in Master List")</f>
        <v/>
      </c>
      <c r="G30" s="11"/>
      <c r="H30" s="14"/>
    </row>
    <row r="31" spans="1:13">
      <c r="A31" s="8"/>
      <c r="B31" s="99" t="str">
        <f>IFERROR(IF($A31="","&lt;-- Enter Race Number",(VLOOKUP($A31,EntryList!$A$3:$H$291,3,FALSE))),"ERROR - No Name with this number in Entry List")</f>
        <v>&lt;-- Enter Race Number</v>
      </c>
      <c r="C31" s="99" t="str">
        <f>IFERROR(IF($A31="","",(VLOOKUP($A31,EntryList!$A$3:$H$291,4,FALSE))),"ERROR - No Name with this number in Master List")</f>
        <v/>
      </c>
      <c r="D31" s="99" t="str">
        <f>IFERROR(IF($A31="","",(VLOOKUP($A31,EntryList!$A$3:$H$291,5,FALSE))),"ERROR - No Name with this number in Master List")</f>
        <v/>
      </c>
      <c r="G31" s="11"/>
      <c r="H31" s="14"/>
    </row>
    <row r="32" spans="1:13">
      <c r="A32" s="8"/>
      <c r="B32" s="99" t="str">
        <f>IFERROR(IF($A32="","&lt;-- Enter Race Number",(VLOOKUP($A32,EntryList!$A$3:$H$291,3,FALSE))),"ERROR - No Name with this number in Entry List")</f>
        <v>&lt;-- Enter Race Number</v>
      </c>
      <c r="C32" s="99" t="str">
        <f>IFERROR(IF($A32="","",(VLOOKUP($A32,EntryList!$A$3:$H$291,4,FALSE))),"ERROR - No Name with this number in Master List")</f>
        <v/>
      </c>
      <c r="D32" s="99" t="str">
        <f>IFERROR(IF($A32="","",(VLOOKUP($A32,EntryList!$A$3:$H$291,5,FALSE))),"ERROR - No Name with this number in Master List")</f>
        <v/>
      </c>
      <c r="G32" s="11"/>
      <c r="H32" s="14"/>
    </row>
    <row r="33" spans="1:8">
      <c r="A33" s="8"/>
      <c r="B33" s="99" t="str">
        <f>IFERROR(IF($A33="","&lt;-- Enter Race Number",(VLOOKUP($A33,EntryList!$A$3:$H$291,3,FALSE))),"ERROR - No Name with this number in Entry List")</f>
        <v>&lt;-- Enter Race Number</v>
      </c>
      <c r="C33" s="99" t="str">
        <f>IFERROR(IF($A33="","",(VLOOKUP($A33,EntryList!$A$3:$H$291,4,FALSE))),"ERROR - No Name with this number in Master List")</f>
        <v/>
      </c>
      <c r="D33" s="99" t="str">
        <f>IFERROR(IF($A33="","",(VLOOKUP($A33,EntryList!$A$3:$H$291,5,FALSE))),"ERROR - No Name with this number in Master List")</f>
        <v/>
      </c>
      <c r="G33" s="11"/>
      <c r="H33" s="14"/>
    </row>
    <row r="34" spans="1:8">
      <c r="A34" s="8"/>
      <c r="B34" s="99" t="str">
        <f>IFERROR(IF($A34="","&lt;-- Enter Race Number",(VLOOKUP($A34,EntryList!$A$3:$H$291,3,FALSE))),"ERROR - No Name with this number in Entry List")</f>
        <v>&lt;-- Enter Race Number</v>
      </c>
      <c r="C34" s="99" t="str">
        <f>IFERROR(IF($A34="","",(VLOOKUP($A34,EntryList!$A$3:$H$291,4,FALSE))),"ERROR - No Name with this number in Master List")</f>
        <v/>
      </c>
      <c r="D34" s="99" t="str">
        <f>IFERROR(IF($A34="","",(VLOOKUP($A34,EntryList!$A$3:$H$291,5,FALSE))),"ERROR - No Name with this number in Master List")</f>
        <v/>
      </c>
      <c r="G34" s="11"/>
      <c r="H34" s="14"/>
    </row>
    <row r="35" spans="1:8">
      <c r="A35" s="8"/>
      <c r="B35" s="99" t="str">
        <f>IFERROR(IF($A35="","&lt;-- Enter Race Number",(VLOOKUP($A35,EntryList!$A$3:$H$291,3,FALSE))),"ERROR - No Name with this number in Entry List")</f>
        <v>&lt;-- Enter Race Number</v>
      </c>
      <c r="C35" s="99" t="str">
        <f>IFERROR(IF($A35="","",(VLOOKUP($A35,EntryList!$A$3:$H$291,4,FALSE))),"ERROR - No Name with this number in Master List")</f>
        <v/>
      </c>
      <c r="D35" s="99" t="str">
        <f>IFERROR(IF($A35="","",(VLOOKUP($A35,EntryList!$A$3:$H$291,5,FALSE))),"ERROR - No Name with this number in Master List")</f>
        <v/>
      </c>
      <c r="G35" s="11"/>
      <c r="H35" s="14"/>
    </row>
    <row r="36" spans="1:8">
      <c r="A36" s="8"/>
      <c r="B36" s="99" t="str">
        <f>IFERROR(IF($A36="","&lt;-- Enter Race Number",(VLOOKUP($A36,EntryList!$A$3:$H$291,3,FALSE))),"ERROR - No Name with this number in Entry List")</f>
        <v>&lt;-- Enter Race Number</v>
      </c>
      <c r="C36" s="99" t="str">
        <f>IFERROR(IF($A36="","",(VLOOKUP($A36,EntryList!$A$3:$H$291,4,FALSE))),"ERROR - No Name with this number in Master List")</f>
        <v/>
      </c>
      <c r="D36" s="99" t="str">
        <f>IFERROR(IF($A36="","",(VLOOKUP($A36,EntryList!$A$3:$H$291,5,FALSE))),"ERROR - No Name with this number in Master List")</f>
        <v/>
      </c>
      <c r="G36" s="11"/>
      <c r="H36" s="14"/>
    </row>
    <row r="37" spans="1:8">
      <c r="A37" s="8"/>
      <c r="B37" s="99" t="str">
        <f>IFERROR(IF($A37="","&lt;-- Enter Race Number",(VLOOKUP($A37,EntryList!$A$3:$H$291,3,FALSE))),"ERROR - No Name with this number in Entry List")</f>
        <v>&lt;-- Enter Race Number</v>
      </c>
      <c r="C37" s="99" t="str">
        <f>IFERROR(IF($A37="","",(VLOOKUP($A37,EntryList!$A$3:$H$291,4,FALSE))),"ERROR - No Name with this number in Master List")</f>
        <v/>
      </c>
      <c r="D37" s="99" t="str">
        <f>IFERROR(IF($A37="","",(VLOOKUP($A37,EntryList!$A$3:$H$291,5,FALSE))),"ERROR - No Name with this number in Master List")</f>
        <v/>
      </c>
      <c r="G37" s="11"/>
      <c r="H37" s="14"/>
    </row>
    <row r="38" spans="1:8">
      <c r="A38" s="8"/>
      <c r="B38" s="99" t="str">
        <f>IFERROR(IF($A38="","&lt;-- Enter Race Number",(VLOOKUP($A38,EntryList!$A$3:$H$291,3,FALSE))),"ERROR - No Name with this number in Entry List")</f>
        <v>&lt;-- Enter Race Number</v>
      </c>
      <c r="C38" s="99" t="str">
        <f>IFERROR(IF($A38="","",(VLOOKUP($A38,EntryList!$A$3:$H$291,4,FALSE))),"ERROR - No Name with this number in Master List")</f>
        <v/>
      </c>
      <c r="D38" s="99" t="str">
        <f>IFERROR(IF($A38="","",(VLOOKUP($A38,EntryList!$A$3:$H$291,5,FALSE))),"ERROR - No Name with this number in Master List")</f>
        <v/>
      </c>
      <c r="G38" s="11"/>
      <c r="H38" s="14"/>
    </row>
    <row r="39" spans="1:8">
      <c r="A39" s="8"/>
      <c r="B39" s="99" t="str">
        <f>IFERROR(IF($A39="","&lt;-- Enter Race Number",(VLOOKUP($A39,EntryList!$A$3:$H$291,3,FALSE))),"ERROR - No Name with this number in Entry List")</f>
        <v>&lt;-- Enter Race Number</v>
      </c>
      <c r="C39" s="99" t="str">
        <f>IFERROR(IF($A39="","",(VLOOKUP($A39,EntryList!$A$3:$H$291,4,FALSE))),"ERROR - No Name with this number in Master List")</f>
        <v/>
      </c>
      <c r="D39" s="99" t="str">
        <f>IFERROR(IF($A39="","",(VLOOKUP($A39,EntryList!$A$3:$H$291,5,FALSE))),"ERROR - No Name with this number in Master List")</f>
        <v/>
      </c>
      <c r="G39" s="11"/>
      <c r="H39" s="14"/>
    </row>
    <row r="40" spans="1:8">
      <c r="A40" s="8"/>
      <c r="B40" s="99" t="str">
        <f>IFERROR(IF($A40="","&lt;-- Enter Race Number",(VLOOKUP($A40,EntryList!$A$3:$H$291,3,FALSE))),"ERROR - No Name with this number in Entry List")</f>
        <v>&lt;-- Enter Race Number</v>
      </c>
      <c r="C40" s="99" t="str">
        <f>IFERROR(IF($A40="","",(VLOOKUP($A40,EntryList!$A$3:$H$291,4,FALSE))),"ERROR - No Name with this number in Master List")</f>
        <v/>
      </c>
      <c r="D40" s="99" t="str">
        <f>IFERROR(IF($A40="","",(VLOOKUP($A40,EntryList!$A$3:$H$291,5,FALSE))),"ERROR - No Name with this number in Master List")</f>
        <v/>
      </c>
      <c r="G40" s="11"/>
      <c r="H40" s="14"/>
    </row>
    <row r="41" spans="1:8">
      <c r="A41" s="8"/>
      <c r="B41" s="99" t="str">
        <f>IFERROR(IF($A41="","&lt;-- Enter Race Number",(VLOOKUP($A41,EntryList!$A$3:$H$291,3,FALSE))),"ERROR - No Name with this number in Entry List")</f>
        <v>&lt;-- Enter Race Number</v>
      </c>
      <c r="C41" s="99" t="str">
        <f>IFERROR(IF($A41="","",(VLOOKUP($A41,EntryList!$A$3:$H$291,4,FALSE))),"ERROR - No Name with this number in Master List")</f>
        <v/>
      </c>
      <c r="D41" s="99" t="str">
        <f>IFERROR(IF($A41="","",(VLOOKUP($A41,EntryList!$A$3:$H$291,5,FALSE))),"ERROR - No Name with this number in Master List")</f>
        <v/>
      </c>
      <c r="G41" s="11"/>
      <c r="H41" s="14"/>
    </row>
    <row r="42" spans="1:8">
      <c r="A42" s="8"/>
      <c r="B42" s="99" t="str">
        <f>IFERROR(IF($A42="","&lt;-- Enter Race Number",(VLOOKUP($A42,EntryList!$A$3:$H$291,3,FALSE))),"ERROR - No Name with this number in Entry List")</f>
        <v>&lt;-- Enter Race Number</v>
      </c>
      <c r="C42" s="99" t="str">
        <f>IFERROR(IF($A42="","",(VLOOKUP($A42,EntryList!$A$3:$H$291,4,FALSE))),"ERROR - No Name with this number in Master List")</f>
        <v/>
      </c>
      <c r="D42" s="99" t="str">
        <f>IFERROR(IF($A42="","",(VLOOKUP($A42,EntryList!$A$3:$H$291,5,FALSE))),"ERROR - No Name with this number in Master List")</f>
        <v/>
      </c>
      <c r="G42" s="11"/>
      <c r="H42" s="14"/>
    </row>
    <row r="43" spans="1:8">
      <c r="A43" s="8"/>
      <c r="B43" s="99" t="str">
        <f>IFERROR(IF($A43="","&lt;-- Enter Race Number",(VLOOKUP($A43,EntryList!$A$3:$H$291,3,FALSE))),"ERROR - No Name with this number in Entry List")</f>
        <v>&lt;-- Enter Race Number</v>
      </c>
      <c r="C43" s="99" t="str">
        <f>IFERROR(IF($A43="","",(VLOOKUP($A43,EntryList!$A$3:$H$291,4,FALSE))),"ERROR - No Name with this number in Master List")</f>
        <v/>
      </c>
      <c r="D43" s="99" t="str">
        <f>IFERROR(IF($A43="","",(VLOOKUP($A43,EntryList!$A$3:$H$291,5,FALSE))),"ERROR - No Name with this number in Master List")</f>
        <v/>
      </c>
      <c r="G43" s="11"/>
      <c r="H43" s="14"/>
    </row>
    <row r="44" spans="1:8">
      <c r="A44" s="8"/>
      <c r="B44" s="99" t="str">
        <f>IFERROR(IF($A44="","&lt;-- Enter Race Number",(VLOOKUP($A44,EntryList!$A$3:$H$291,3,FALSE))),"ERROR - No Name with this number in Entry List")</f>
        <v>&lt;-- Enter Race Number</v>
      </c>
      <c r="C44" s="99" t="str">
        <f>IFERROR(IF($A44="","",(VLOOKUP($A44,EntryList!$A$3:$H$291,4,FALSE))),"ERROR - No Name with this number in Master List")</f>
        <v/>
      </c>
      <c r="D44" s="99" t="str">
        <f>IFERROR(IF($A44="","",(VLOOKUP($A44,EntryList!$A$3:$H$291,5,FALSE))),"ERROR - No Name with this number in Master List")</f>
        <v/>
      </c>
      <c r="G44" s="11"/>
      <c r="H44" s="14"/>
    </row>
    <row r="45" spans="1:8">
      <c r="A45" s="8"/>
      <c r="B45" s="99" t="str">
        <f>IFERROR(IF($A45="","&lt;-- Enter Race Number",(VLOOKUP($A45,EntryList!$A$3:$H$291,3,FALSE))),"ERROR - No Name with this number in Entry List")</f>
        <v>&lt;-- Enter Race Number</v>
      </c>
      <c r="C45" s="99" t="str">
        <f>IFERROR(IF($A45="","",(VLOOKUP($A45,EntryList!$A$3:$H$291,4,FALSE))),"ERROR - No Name with this number in Master List")</f>
        <v/>
      </c>
      <c r="D45" s="99" t="str">
        <f>IFERROR(IF($A45="","",(VLOOKUP($A45,EntryList!$A$3:$H$291,5,FALSE))),"ERROR - No Name with this number in Master List")</f>
        <v/>
      </c>
      <c r="G45" s="11"/>
      <c r="H45" s="14"/>
    </row>
    <row r="46" spans="1:8">
      <c r="A46" s="8"/>
      <c r="B46" s="99" t="str">
        <f>IFERROR(IF($A46="","&lt;-- Enter Race Number",(VLOOKUP($A46,EntryList!$A$3:$H$291,3,FALSE))),"ERROR - No Name with this number in Entry List")</f>
        <v>&lt;-- Enter Race Number</v>
      </c>
      <c r="C46" s="99" t="str">
        <f>IFERROR(IF($A46="","",(VLOOKUP($A46,EntryList!$A$3:$H$291,4,FALSE))),"ERROR - No Name with this number in Master List")</f>
        <v/>
      </c>
      <c r="D46" s="99" t="str">
        <f>IFERROR(IF($A46="","",(VLOOKUP($A46,EntryList!$A$3:$H$291,5,FALSE))),"ERROR - No Name with this number in Master List")</f>
        <v/>
      </c>
      <c r="G46" s="11"/>
      <c r="H46" s="14"/>
    </row>
    <row r="47" spans="1:8">
      <c r="A47" s="8"/>
      <c r="B47" s="99" t="str">
        <f>IFERROR(IF($A47="","&lt;-- Enter Race Number",(VLOOKUP($A47,EntryList!$A$3:$H$291,3,FALSE))),"ERROR - No Name with this number in Entry List")</f>
        <v>&lt;-- Enter Race Number</v>
      </c>
      <c r="C47" s="99" t="str">
        <f>IFERROR(IF($A47="","",(VLOOKUP($A47,EntryList!$A$3:$H$291,4,FALSE))),"ERROR - No Name with this number in Master List")</f>
        <v/>
      </c>
      <c r="D47" s="99" t="str">
        <f>IFERROR(IF($A47="","",(VLOOKUP($A47,EntryList!$A$3:$H$291,5,FALSE))),"ERROR - No Name with this number in Master List")</f>
        <v/>
      </c>
      <c r="G47" s="11"/>
      <c r="H47" s="14"/>
    </row>
    <row r="48" spans="1:8">
      <c r="A48" s="8"/>
      <c r="B48" s="99" t="str">
        <f>IFERROR(IF($A48="","&lt;-- Enter Race Number",(VLOOKUP($A48,EntryList!$A$3:$H$291,3,FALSE))),"ERROR - No Name with this number in Entry List")</f>
        <v>&lt;-- Enter Race Number</v>
      </c>
      <c r="C48" s="99" t="str">
        <f>IFERROR(IF($A48="","",(VLOOKUP($A48,EntryList!$A$3:$H$291,4,FALSE))),"ERROR - No Name with this number in Master List")</f>
        <v/>
      </c>
      <c r="D48" s="99" t="str">
        <f>IFERROR(IF($A48="","",(VLOOKUP($A48,EntryList!$A$3:$H$291,5,FALSE))),"ERROR - No Name with this number in Master List")</f>
        <v/>
      </c>
      <c r="G48" s="11"/>
      <c r="H48" s="14"/>
    </row>
    <row r="49" spans="1:8">
      <c r="A49" s="8"/>
      <c r="B49" s="99" t="str">
        <f>IFERROR(IF($A49="","&lt;-- Enter Race Number",(VLOOKUP($A49,EntryList!$A$3:$H$291,3,FALSE))),"ERROR - No Name with this number in Entry List")</f>
        <v>&lt;-- Enter Race Number</v>
      </c>
      <c r="C49" s="99" t="str">
        <f>IFERROR(IF($A49="","",(VLOOKUP($A49,EntryList!$A$3:$H$291,4,FALSE))),"ERROR - No Name with this number in Master List")</f>
        <v/>
      </c>
      <c r="D49" s="99" t="str">
        <f>IFERROR(IF($A49="","",(VLOOKUP($A49,EntryList!$A$3:$H$291,5,FALSE))),"ERROR - No Name with this number in Master List")</f>
        <v/>
      </c>
      <c r="G49" s="11"/>
      <c r="H49" s="14"/>
    </row>
    <row r="50" spans="1:8">
      <c r="A50" s="8"/>
      <c r="B50" s="99" t="str">
        <f>IFERROR(IF($A50="","&lt;-- Enter Race Number",(VLOOKUP($A50,EntryList!$A$3:$H$291,3,FALSE))),"ERROR - No Name with this number in Entry List")</f>
        <v>&lt;-- Enter Race Number</v>
      </c>
      <c r="C50" s="99" t="str">
        <f>IFERROR(IF($A50="","",(VLOOKUP($A50,EntryList!$A$3:$H$291,4,FALSE))),"ERROR - No Name with this number in Master List")</f>
        <v/>
      </c>
      <c r="D50" s="99" t="str">
        <f>IFERROR(IF($A50="","",(VLOOKUP($A50,EntryList!$A$3:$H$291,5,FALSE))),"ERROR - No Name with this number in Master List")</f>
        <v/>
      </c>
      <c r="G50" s="11"/>
      <c r="H50" s="14"/>
    </row>
    <row r="51" spans="1:8">
      <c r="A51" s="8"/>
      <c r="B51" s="99" t="str">
        <f>IFERROR(IF($A51="","&lt;-- Enter Race Number",(VLOOKUP($A51,EntryList!$A$3:$H$291,3,FALSE))),"ERROR - No Name with this number in Entry List")</f>
        <v>&lt;-- Enter Race Number</v>
      </c>
      <c r="C51" s="99" t="str">
        <f>IFERROR(IF($A51="","",(VLOOKUP($A51,EntryList!$A$3:$H$291,4,FALSE))),"ERROR - No Name with this number in Master List")</f>
        <v/>
      </c>
      <c r="D51" s="99" t="str">
        <f>IFERROR(IF($A51="","",(VLOOKUP($A51,EntryList!$A$3:$H$291,5,FALSE))),"ERROR - No Name with this number in Master List")</f>
        <v/>
      </c>
      <c r="G51" s="11"/>
      <c r="H51" s="14"/>
    </row>
    <row r="52" spans="1:8">
      <c r="A52" s="8"/>
      <c r="B52" s="99" t="str">
        <f>IFERROR(IF($A52="","&lt;-- Enter Race Number",(VLOOKUP($A52,EntryList!$A$3:$H$291,3,FALSE))),"ERROR - No Name with this number in Entry List")</f>
        <v>&lt;-- Enter Race Number</v>
      </c>
      <c r="C52" s="99" t="str">
        <f>IFERROR(IF($A52="","",(VLOOKUP($A52,EntryList!$A$3:$H$291,4,FALSE))),"ERROR - No Name with this number in Master List")</f>
        <v/>
      </c>
      <c r="D52" s="99" t="str">
        <f>IFERROR(IF($A52="","",(VLOOKUP($A52,EntryList!$A$3:$H$291,5,FALSE))),"ERROR - No Name with this number in Master List")</f>
        <v/>
      </c>
      <c r="G52" s="11"/>
      <c r="H52" s="14"/>
    </row>
    <row r="53" spans="1:8">
      <c r="A53" s="8"/>
      <c r="B53" s="99" t="str">
        <f>IFERROR(IF($A53="","&lt;-- Enter Race Number",(VLOOKUP($A53,EntryList!$A$3:$H$291,3,FALSE))),"ERROR - No Name with this number in Entry List")</f>
        <v>&lt;-- Enter Race Number</v>
      </c>
      <c r="C53" s="99" t="str">
        <f>IFERROR(IF($A53="","",(VLOOKUP($A53,EntryList!$A$3:$H$291,4,FALSE))),"ERROR - No Name with this number in Master List")</f>
        <v/>
      </c>
      <c r="D53" s="99" t="str">
        <f>IFERROR(IF($A53="","",(VLOOKUP($A53,EntryList!$A$3:$H$291,5,FALSE))),"ERROR - No Name with this number in Master List")</f>
        <v/>
      </c>
      <c r="G53" s="11"/>
      <c r="H53" s="14"/>
    </row>
    <row r="54" spans="1:8">
      <c r="A54" s="8"/>
      <c r="B54" s="99" t="str">
        <f>IFERROR(IF($A54="","&lt;-- Enter Race Number",(VLOOKUP($A54,EntryList!$A$3:$H$291,3,FALSE))),"ERROR - No Name with this number in Entry List")</f>
        <v>&lt;-- Enter Race Number</v>
      </c>
      <c r="C54" s="99" t="str">
        <f>IFERROR(IF($A54="","",(VLOOKUP($A54,EntryList!$A$3:$H$291,4,FALSE))),"ERROR - No Name with this number in Master List")</f>
        <v/>
      </c>
      <c r="D54" s="99" t="str">
        <f>IFERROR(IF($A54="","",(VLOOKUP($A54,EntryList!$A$3:$H$291,5,FALSE))),"ERROR - No Name with this number in Master List")</f>
        <v/>
      </c>
      <c r="G54" s="11"/>
      <c r="H54" s="14"/>
    </row>
    <row r="55" spans="1:8">
      <c r="A55" s="8"/>
      <c r="B55" s="99" t="str">
        <f>IFERROR(IF($A55="","&lt;-- Enter Race Number",(VLOOKUP($A55,EntryList!$A$3:$H$291,3,FALSE))),"ERROR - No Name with this number in Entry List")</f>
        <v>&lt;-- Enter Race Number</v>
      </c>
      <c r="C55" s="99" t="str">
        <f>IFERROR(IF($A55="","",(VLOOKUP($A55,EntryList!$A$3:$H$291,4,FALSE))),"ERROR - No Name with this number in Master List")</f>
        <v/>
      </c>
      <c r="D55" s="99" t="str">
        <f>IFERROR(IF($A55="","",(VLOOKUP($A55,EntryList!$A$3:$H$291,5,FALSE))),"ERROR - No Name with this number in Master List")</f>
        <v/>
      </c>
      <c r="G55" s="11"/>
      <c r="H55" s="14"/>
    </row>
    <row r="56" spans="1:8">
      <c r="A56" s="8"/>
      <c r="B56" s="99" t="str">
        <f>IFERROR(IF($A56="","&lt;-- Enter Race Number",(VLOOKUP($A56,EntryList!$A$3:$H$291,3,FALSE))),"ERROR - No Name with this number in Entry List")</f>
        <v>&lt;-- Enter Race Number</v>
      </c>
      <c r="C56" s="99" t="str">
        <f>IFERROR(IF($A56="","",(VLOOKUP($A56,EntryList!$A$3:$H$291,4,FALSE))),"ERROR - No Name with this number in Master List")</f>
        <v/>
      </c>
      <c r="D56" s="99" t="str">
        <f>IFERROR(IF($A56="","",(VLOOKUP($A56,EntryList!$A$3:$H$291,5,FALSE))),"ERROR - No Name with this number in Master List")</f>
        <v/>
      </c>
      <c r="G56" s="11"/>
      <c r="H56" s="14"/>
    </row>
    <row r="57" spans="1:8">
      <c r="A57" s="8"/>
      <c r="B57" s="99" t="str">
        <f>IFERROR(IF($A57="","&lt;-- Enter Race Number",(VLOOKUP($A57,EntryList!$A$3:$H$291,3,FALSE))),"ERROR - No Name with this number in Entry List")</f>
        <v>&lt;-- Enter Race Number</v>
      </c>
      <c r="C57" s="99" t="str">
        <f>IFERROR(IF($A57="","",(VLOOKUP($A57,EntryList!$A$3:$H$291,4,FALSE))),"ERROR - No Name with this number in Master List")</f>
        <v/>
      </c>
      <c r="D57" s="99" t="str">
        <f>IFERROR(IF($A57="","",(VLOOKUP($A57,EntryList!$A$3:$H$291,5,FALSE))),"ERROR - No Name with this number in Master List")</f>
        <v/>
      </c>
      <c r="G57" s="11"/>
      <c r="H57" s="14"/>
    </row>
    <row r="58" spans="1:8">
      <c r="A58" s="8"/>
      <c r="B58" s="99" t="str">
        <f>IFERROR(IF($A58="","&lt;-- Enter Race Number",(VLOOKUP($A58,EntryList!$A$3:$H$291,3,FALSE))),"ERROR - No Name with this number in Entry List")</f>
        <v>&lt;-- Enter Race Number</v>
      </c>
      <c r="C58" s="99" t="str">
        <f>IFERROR(IF($A58="","",(VLOOKUP($A58,EntryList!$A$3:$H$291,4,FALSE))),"ERROR - No Name with this number in Master List")</f>
        <v/>
      </c>
      <c r="D58" s="99" t="str">
        <f>IFERROR(IF($A58="","",(VLOOKUP($A58,EntryList!$A$3:$H$291,5,FALSE))),"ERROR - No Name with this number in Master List")</f>
        <v/>
      </c>
      <c r="G58" s="11"/>
      <c r="H58" s="14"/>
    </row>
    <row r="59" spans="1:8">
      <c r="A59" s="8"/>
      <c r="B59" s="99" t="str">
        <f>IFERROR(IF($A59="","&lt;-- Enter Race Number",(VLOOKUP($A59,EntryList!$A$3:$H$291,3,FALSE))),"ERROR - No Name with this number in Entry List")</f>
        <v>&lt;-- Enter Race Number</v>
      </c>
      <c r="C59" s="99" t="str">
        <f>IFERROR(IF($A59="","",(VLOOKUP($A59,EntryList!$A$3:$H$291,4,FALSE))),"ERROR - No Name with this number in Master List")</f>
        <v/>
      </c>
      <c r="D59" s="99" t="str">
        <f>IFERROR(IF($A59="","",(VLOOKUP($A59,EntryList!$A$3:$H$291,5,FALSE))),"ERROR - No Name with this number in Master List")</f>
        <v/>
      </c>
      <c r="G59" s="11"/>
      <c r="H59" s="14"/>
    </row>
    <row r="60" spans="1:8">
      <c r="A60" s="8"/>
      <c r="B60" s="99" t="str">
        <f>IFERROR(IF($A60="","&lt;-- Enter Race Number",(VLOOKUP($A60,EntryList!$A$3:$H$291,3,FALSE))),"ERROR - No Name with this number in Entry List")</f>
        <v>&lt;-- Enter Race Number</v>
      </c>
      <c r="C60" s="99" t="str">
        <f>IFERROR(IF($A60="","",(VLOOKUP($A60,EntryList!$A$3:$H$291,4,FALSE))),"ERROR - No Name with this number in Master List")</f>
        <v/>
      </c>
      <c r="D60" s="99" t="str">
        <f>IFERROR(IF($A60="","",(VLOOKUP($A60,EntryList!$A$3:$H$291,5,FALSE))),"ERROR - No Name with this number in Master List")</f>
        <v/>
      </c>
      <c r="G60" s="11"/>
      <c r="H60" s="14"/>
    </row>
    <row r="61" spans="1:8">
      <c r="A61" s="8"/>
      <c r="B61" s="99" t="str">
        <f>IFERROR(IF($A61="","&lt;-- Enter Race Number",(VLOOKUP($A61,EntryList!$A$3:$H$291,3,FALSE))),"ERROR - No Name with this number in Entry List")</f>
        <v>&lt;-- Enter Race Number</v>
      </c>
      <c r="C61" s="99" t="str">
        <f>IFERROR(IF($A61="","",(VLOOKUP($A61,EntryList!$A$3:$H$291,4,FALSE))),"ERROR - No Name with this number in Master List")</f>
        <v/>
      </c>
      <c r="D61" s="99" t="str">
        <f>IFERROR(IF($A61="","",(VLOOKUP($A61,EntryList!$A$3:$H$291,5,FALSE))),"ERROR - No Name with this number in Master List")</f>
        <v/>
      </c>
      <c r="G61" s="11"/>
      <c r="H61" s="14"/>
    </row>
    <row r="62" spans="1:8">
      <c r="A62" s="8"/>
      <c r="B62" s="99" t="str">
        <f>IFERROR(IF($A62="","&lt;-- Enter Race Number",(VLOOKUP($A62,EntryList!$A$3:$H$291,3,FALSE))),"ERROR - No Name with this number in Entry List")</f>
        <v>&lt;-- Enter Race Number</v>
      </c>
      <c r="C62" s="99" t="str">
        <f>IFERROR(IF($A62="","",(VLOOKUP($A62,EntryList!$A$3:$H$291,4,FALSE))),"ERROR - No Name with this number in Master List")</f>
        <v/>
      </c>
      <c r="D62" s="99" t="str">
        <f>IFERROR(IF($A62="","",(VLOOKUP($A62,EntryList!$A$3:$H$291,5,FALSE))),"ERROR - No Name with this number in Master List")</f>
        <v/>
      </c>
      <c r="G62" s="11"/>
      <c r="H62" s="14"/>
    </row>
    <row r="63" spans="1:8">
      <c r="A63" s="8"/>
      <c r="B63" s="99" t="str">
        <f>IFERROR(IF($A63="","&lt;-- Enter Race Number",(VLOOKUP($A63,EntryList!$A$3:$H$291,3,FALSE))),"ERROR - No Name with this number in Entry List")</f>
        <v>&lt;-- Enter Race Number</v>
      </c>
      <c r="C63" s="99" t="str">
        <f>IFERROR(IF($A63="","",(VLOOKUP($A63,EntryList!$A$3:$H$291,4,FALSE))),"ERROR - No Name with this number in Master List")</f>
        <v/>
      </c>
      <c r="D63" s="99" t="str">
        <f>IFERROR(IF($A63="","",(VLOOKUP($A63,EntryList!$A$3:$H$291,5,FALSE))),"ERROR - No Name with this number in Master List")</f>
        <v/>
      </c>
      <c r="G63" s="11"/>
      <c r="H63" s="14"/>
    </row>
    <row r="64" spans="1:8">
      <c r="A64" s="8"/>
      <c r="B64" s="99" t="str">
        <f>IFERROR(IF($A64="","&lt;-- Enter Race Number",(VLOOKUP($A64,EntryList!$A$3:$H$291,3,FALSE))),"ERROR - No Name with this number in Entry List")</f>
        <v>&lt;-- Enter Race Number</v>
      </c>
      <c r="C64" s="99" t="str">
        <f>IFERROR(IF($A64="","",(VLOOKUP($A64,EntryList!$A$3:$H$291,4,FALSE))),"ERROR - No Name with this number in Master List")</f>
        <v/>
      </c>
      <c r="D64" s="99" t="str">
        <f>IFERROR(IF($A64="","",(VLOOKUP($A64,EntryList!$A$3:$H$291,5,FALSE))),"ERROR - No Name with this number in Master List")</f>
        <v/>
      </c>
      <c r="G64" s="11"/>
      <c r="H64" s="14"/>
    </row>
    <row r="65" spans="1:8">
      <c r="A65" s="8"/>
      <c r="B65" s="99" t="str">
        <f>IFERROR(IF($A65="","&lt;-- Enter Race Number",(VLOOKUP($A65,EntryList!$A$3:$H$291,3,FALSE))),"ERROR - No Name with this number in Entry List")</f>
        <v>&lt;-- Enter Race Number</v>
      </c>
      <c r="C65" s="99" t="str">
        <f>IFERROR(IF($A65="","",(VLOOKUP($A65,EntryList!$A$3:$H$291,4,FALSE))),"ERROR - No Name with this number in Master List")</f>
        <v/>
      </c>
      <c r="D65" s="99" t="str">
        <f>IFERROR(IF($A65="","",(VLOOKUP($A65,EntryList!$A$3:$H$291,5,FALSE))),"ERROR - No Name with this number in Master List")</f>
        <v/>
      </c>
      <c r="G65" s="11"/>
      <c r="H65" s="14"/>
    </row>
    <row r="66" spans="1:8">
      <c r="A66" s="8"/>
      <c r="B66" s="99" t="str">
        <f>IFERROR(IF($A66="","&lt;-- Enter Race Number",(VLOOKUP($A66,EntryList!$A$3:$H$291,3,FALSE))),"ERROR - No Name with this number in Entry List")</f>
        <v>&lt;-- Enter Race Number</v>
      </c>
      <c r="C66" s="99" t="str">
        <f>IFERROR(IF($A66="","",(VLOOKUP($A66,EntryList!$A$3:$H$291,4,FALSE))),"ERROR - No Name with this number in Master List")</f>
        <v/>
      </c>
      <c r="D66" s="99" t="str">
        <f>IFERROR(IF($A66="","",(VLOOKUP($A66,EntryList!$A$3:$H$291,5,FALSE))),"ERROR - No Name with this number in Master List")</f>
        <v/>
      </c>
      <c r="G66" s="11"/>
      <c r="H66" s="14"/>
    </row>
    <row r="67" spans="1:8">
      <c r="A67" s="8"/>
      <c r="B67" s="99" t="str">
        <f>IFERROR(IF($A67="","&lt;-- Enter Race Number",(VLOOKUP($A67,EntryList!$A$3:$H$291,3,FALSE))),"ERROR - No Name with this number in Entry List")</f>
        <v>&lt;-- Enter Race Number</v>
      </c>
      <c r="C67" s="99" t="str">
        <f>IFERROR(IF($A67="","",(VLOOKUP($A67,EntryList!$A$3:$H$291,4,FALSE))),"ERROR - No Name with this number in Master List")</f>
        <v/>
      </c>
      <c r="D67" s="99" t="str">
        <f>IFERROR(IF($A67="","",(VLOOKUP($A67,EntryList!$A$3:$H$291,5,FALSE))),"ERROR - No Name with this number in Master List")</f>
        <v/>
      </c>
      <c r="G67" s="11"/>
      <c r="H67" s="14"/>
    </row>
    <row r="68" spans="1:8">
      <c r="A68" s="8"/>
      <c r="B68" s="99" t="str">
        <f>IFERROR(IF($A68="","&lt;-- Enter Race Number",(VLOOKUP($A68,EntryList!$A$3:$H$291,3,FALSE))),"ERROR - No Name with this number in Entry List")</f>
        <v>&lt;-- Enter Race Number</v>
      </c>
      <c r="C68" s="99" t="str">
        <f>IFERROR(IF($A68="","",(VLOOKUP($A68,EntryList!$A$3:$H$291,4,FALSE))),"ERROR - No Name with this number in Master List")</f>
        <v/>
      </c>
      <c r="D68" s="99" t="str">
        <f>IFERROR(IF($A68="","",(VLOOKUP($A68,EntryList!$A$3:$H$291,5,FALSE))),"ERROR - No Name with this number in Master List")</f>
        <v/>
      </c>
      <c r="G68" s="11"/>
      <c r="H68" s="14"/>
    </row>
    <row r="69" spans="1:8">
      <c r="A69" s="8"/>
      <c r="B69" s="99" t="str">
        <f>IFERROR(IF($A69="","&lt;-- Enter Race Number",(VLOOKUP($A69,EntryList!$A$3:$H$291,3,FALSE))),"ERROR - No Name with this number in Entry List")</f>
        <v>&lt;-- Enter Race Number</v>
      </c>
      <c r="C69" s="99" t="str">
        <f>IFERROR(IF($A69="","",(VLOOKUP($A69,EntryList!$A$3:$H$291,4,FALSE))),"ERROR - No Name with this number in Master List")</f>
        <v/>
      </c>
      <c r="D69" s="99" t="str">
        <f>IFERROR(IF($A69="","",(VLOOKUP($A69,EntryList!$A$3:$H$291,5,FALSE))),"ERROR - No Name with this number in Master List")</f>
        <v/>
      </c>
      <c r="G69" s="11"/>
      <c r="H69" s="14"/>
    </row>
    <row r="70" spans="1:8">
      <c r="A70" s="8"/>
      <c r="B70" s="99" t="str">
        <f>IFERROR(IF($A70="","&lt;-- Enter Race Number",(VLOOKUP($A70,EntryList!$A$3:$H$291,3,FALSE))),"ERROR - No Name with this number in Entry List")</f>
        <v>&lt;-- Enter Race Number</v>
      </c>
      <c r="C70" s="99" t="str">
        <f>IFERROR(IF($A70="","",(VLOOKUP($A70,EntryList!$A$3:$H$291,4,FALSE))),"ERROR - No Name with this number in Master List")</f>
        <v/>
      </c>
      <c r="D70" s="99" t="str">
        <f>IFERROR(IF($A70="","",(VLOOKUP($A70,EntryList!$A$3:$H$291,5,FALSE))),"ERROR - No Name with this number in Master List")</f>
        <v/>
      </c>
      <c r="G70" s="11"/>
      <c r="H70" s="14"/>
    </row>
    <row r="71" spans="1:8">
      <c r="A71" s="8"/>
      <c r="B71" s="99" t="str">
        <f>IFERROR(IF($A71="","&lt;-- Enter Race Number",(VLOOKUP($A71,EntryList!$A$3:$H$291,3,FALSE))),"ERROR - No Name with this number in Entry List")</f>
        <v>&lt;-- Enter Race Number</v>
      </c>
      <c r="C71" s="99" t="str">
        <f>IFERROR(IF($A71="","",(VLOOKUP($A71,EntryList!$A$3:$H$291,4,FALSE))),"ERROR - No Name with this number in Master List")</f>
        <v/>
      </c>
      <c r="D71" s="99" t="str">
        <f>IFERROR(IF($A71="","",(VLOOKUP($A71,EntryList!$A$3:$H$291,5,FALSE))),"ERROR - No Name with this number in Master List")</f>
        <v/>
      </c>
      <c r="G71" s="11"/>
      <c r="H71" s="14"/>
    </row>
    <row r="72" spans="1:8">
      <c r="A72" s="8"/>
      <c r="B72" s="99" t="str">
        <f>IFERROR(IF($A72="","&lt;-- Enter Race Number",(VLOOKUP($A72,EntryList!$A$3:$H$291,3,FALSE))),"ERROR - No Name with this number in Entry List")</f>
        <v>&lt;-- Enter Race Number</v>
      </c>
      <c r="C72" s="99" t="str">
        <f>IFERROR(IF($A72="","",(VLOOKUP($A72,EntryList!$A$3:$H$291,4,FALSE))),"ERROR - No Name with this number in Master List")</f>
        <v/>
      </c>
      <c r="D72" s="99" t="str">
        <f>IFERROR(IF($A72="","",(VLOOKUP($A72,EntryList!$A$3:$H$291,5,FALSE))),"ERROR - No Name with this number in Master List")</f>
        <v/>
      </c>
      <c r="G72" s="11"/>
      <c r="H72" s="14"/>
    </row>
    <row r="73" spans="1:8">
      <c r="A73" s="8"/>
      <c r="B73" s="99" t="str">
        <f>IFERROR(IF($A73="","&lt;-- Enter Race Number",(VLOOKUP($A73,EntryList!$A$3:$H$291,3,FALSE))),"ERROR - No Name with this number in Entry List")</f>
        <v>&lt;-- Enter Race Number</v>
      </c>
      <c r="C73" s="99" t="str">
        <f>IFERROR(IF($A73="","",(VLOOKUP($A73,EntryList!$A$3:$H$291,4,FALSE))),"ERROR - No Name with this number in Master List")</f>
        <v/>
      </c>
      <c r="D73" s="99" t="str">
        <f>IFERROR(IF($A73="","",(VLOOKUP($A73,EntryList!$A$3:$H$291,5,FALSE))),"ERROR - No Name with this number in Master List")</f>
        <v/>
      </c>
      <c r="G73" s="11"/>
      <c r="H73" s="14"/>
    </row>
    <row r="74" spans="1:8">
      <c r="A74" s="8"/>
      <c r="B74" s="99" t="str">
        <f>IFERROR(IF($A74="","&lt;-- Enter Race Number",(VLOOKUP($A74,EntryList!$A$3:$H$291,3,FALSE))),"ERROR - No Name with this number in Entry List")</f>
        <v>&lt;-- Enter Race Number</v>
      </c>
      <c r="C74" s="99" t="str">
        <f>IFERROR(IF($A74="","",(VLOOKUP($A74,EntryList!$A$3:$H$291,4,FALSE))),"ERROR - No Name with this number in Master List")</f>
        <v/>
      </c>
      <c r="D74" s="99" t="str">
        <f>IFERROR(IF($A74="","",(VLOOKUP($A74,EntryList!$A$3:$H$291,5,FALSE))),"ERROR - No Name with this number in Master List")</f>
        <v/>
      </c>
      <c r="G74" s="11"/>
      <c r="H74" s="14"/>
    </row>
    <row r="75" spans="1:8">
      <c r="A75" s="8"/>
      <c r="B75" s="99" t="str">
        <f>IFERROR(IF($A75="","&lt;-- Enter Race Number",(VLOOKUP($A75,EntryList!$A$3:$H$291,3,FALSE))),"ERROR - No Name with this number in Entry List")</f>
        <v>&lt;-- Enter Race Number</v>
      </c>
      <c r="C75" s="99" t="str">
        <f>IFERROR(IF($A75="","",(VLOOKUP($A75,EntryList!$A$3:$H$291,4,FALSE))),"ERROR - No Name with this number in Master List")</f>
        <v/>
      </c>
      <c r="D75" s="99" t="str">
        <f>IFERROR(IF($A75="","",(VLOOKUP($A75,EntryList!$A$3:$H$291,5,FALSE))),"ERROR - No Name with this number in Master List")</f>
        <v/>
      </c>
      <c r="G75" s="11"/>
      <c r="H75" s="14"/>
    </row>
    <row r="76" spans="1:8">
      <c r="A76" s="8"/>
      <c r="B76" s="99" t="str">
        <f>IFERROR(IF($A76="","&lt;-- Enter Race Number",(VLOOKUP($A76,EntryList!$A$3:$H$291,3,FALSE))),"ERROR - No Name with this number in Entry List")</f>
        <v>&lt;-- Enter Race Number</v>
      </c>
      <c r="C76" s="99" t="str">
        <f>IFERROR(IF($A76="","",(VLOOKUP($A76,EntryList!$A$3:$H$291,4,FALSE))),"ERROR - No Name with this number in Master List")</f>
        <v/>
      </c>
      <c r="D76" s="99" t="str">
        <f>IFERROR(IF($A76="","",(VLOOKUP($A76,EntryList!$A$3:$H$291,5,FALSE))),"ERROR - No Name with this number in Master List")</f>
        <v/>
      </c>
      <c r="G76" s="11"/>
      <c r="H76" s="14"/>
    </row>
    <row r="77" spans="1:8">
      <c r="A77" s="8"/>
      <c r="B77" s="99" t="str">
        <f>IFERROR(IF($A77="","&lt;-- Enter Race Number",(VLOOKUP($A77,EntryList!$A$3:$H$291,3,FALSE))),"ERROR - No Name with this number in Entry List")</f>
        <v>&lt;-- Enter Race Number</v>
      </c>
      <c r="C77" s="99" t="str">
        <f>IFERROR(IF($A77="","",(VLOOKUP($A77,EntryList!$A$3:$H$291,4,FALSE))),"ERROR - No Name with this number in Master List")</f>
        <v/>
      </c>
      <c r="D77" s="99" t="str">
        <f>IFERROR(IF($A77="","",(VLOOKUP($A77,EntryList!$A$3:$H$291,5,FALSE))),"ERROR - No Name with this number in Master List")</f>
        <v/>
      </c>
      <c r="G77" s="11"/>
      <c r="H77" s="14"/>
    </row>
    <row r="78" spans="1:8">
      <c r="A78" s="8"/>
      <c r="B78" s="99" t="str">
        <f>IFERROR(IF($A78="","&lt;-- Enter Race Number",(VLOOKUP($A78,EntryList!$A$3:$H$291,3,FALSE))),"ERROR - No Name with this number in Entry List")</f>
        <v>&lt;-- Enter Race Number</v>
      </c>
      <c r="C78" s="99" t="str">
        <f>IFERROR(IF($A78="","",(VLOOKUP($A78,EntryList!$A$3:$H$291,4,FALSE))),"ERROR - No Name with this number in Master List")</f>
        <v/>
      </c>
      <c r="D78" s="99" t="str">
        <f>IFERROR(IF($A78="","",(VLOOKUP($A78,EntryList!$A$3:$H$291,5,FALSE))),"ERROR - No Name with this number in Master List")</f>
        <v/>
      </c>
      <c r="G78" s="11"/>
      <c r="H78" s="14"/>
    </row>
    <row r="79" spans="1:8">
      <c r="A79" s="8"/>
      <c r="B79" s="99" t="str">
        <f>IFERROR(IF($A79="","&lt;-- Enter Race Number",(VLOOKUP($A79,EntryList!$A$3:$H$291,3,FALSE))),"ERROR - No Name with this number in Entry List")</f>
        <v>&lt;-- Enter Race Number</v>
      </c>
      <c r="C79" s="99" t="str">
        <f>IFERROR(IF($A79="","",(VLOOKUP($A79,EntryList!$A$3:$H$291,4,FALSE))),"ERROR - No Name with this number in Master List")</f>
        <v/>
      </c>
      <c r="D79" s="99" t="str">
        <f>IFERROR(IF($A79="","",(VLOOKUP($A79,EntryList!$A$3:$H$291,5,FALSE))),"ERROR - No Name with this number in Master List")</f>
        <v/>
      </c>
      <c r="G79" s="11"/>
      <c r="H79" s="14"/>
    </row>
    <row r="80" spans="1:8">
      <c r="A80" s="8"/>
      <c r="B80" s="99" t="str">
        <f>IFERROR(IF($A80="","&lt;-- Enter Race Number",(VLOOKUP($A80,EntryList!$A$3:$H$291,3,FALSE))),"ERROR - No Name with this number in Entry List")</f>
        <v>&lt;-- Enter Race Number</v>
      </c>
      <c r="C80" s="99" t="str">
        <f>IFERROR(IF($A80="","",(VLOOKUP($A80,EntryList!$A$3:$H$291,4,FALSE))),"ERROR - No Name with this number in Master List")</f>
        <v/>
      </c>
      <c r="D80" s="99" t="str">
        <f>IFERROR(IF($A80="","",(VLOOKUP($A80,EntryList!$A$3:$H$291,5,FALSE))),"ERROR - No Name with this number in Master List")</f>
        <v/>
      </c>
      <c r="G80" s="11"/>
      <c r="H80" s="14"/>
    </row>
    <row r="81" spans="1:8">
      <c r="A81" s="8"/>
      <c r="B81" s="99" t="str">
        <f>IFERROR(IF($A81="","&lt;-- Enter Race Number",(VLOOKUP($A81,EntryList!$A$3:$H$291,3,FALSE))),"ERROR - No Name with this number in Entry List")</f>
        <v>&lt;-- Enter Race Number</v>
      </c>
      <c r="C81" s="99" t="str">
        <f>IFERROR(IF($A81="","",(VLOOKUP($A81,EntryList!$A$3:$H$291,4,FALSE))),"ERROR - No Name with this number in Master List")</f>
        <v/>
      </c>
      <c r="D81" s="99" t="str">
        <f>IFERROR(IF($A81="","",(VLOOKUP($A81,EntryList!$A$3:$H$291,5,FALSE))),"ERROR - No Name with this number in Master List")</f>
        <v/>
      </c>
      <c r="G81" s="11"/>
      <c r="H81" s="14"/>
    </row>
    <row r="82" spans="1:8">
      <c r="A82" s="8"/>
      <c r="B82" s="99" t="str">
        <f>IFERROR(IF($A82="","&lt;-- Enter Race Number",(VLOOKUP($A82,EntryList!$A$3:$H$291,3,FALSE))),"ERROR - No Name with this number in Entry List")</f>
        <v>&lt;-- Enter Race Number</v>
      </c>
      <c r="C82" s="99" t="str">
        <f>IFERROR(IF($A82="","",(VLOOKUP($A82,EntryList!$A$3:$H$291,4,FALSE))),"ERROR - No Name with this number in Master List")</f>
        <v/>
      </c>
      <c r="D82" s="99" t="str">
        <f>IFERROR(IF($A82="","",(VLOOKUP($A82,EntryList!$A$3:$H$291,5,FALSE))),"ERROR - No Name with this number in Master List")</f>
        <v/>
      </c>
      <c r="G82" s="11"/>
      <c r="H82" s="14"/>
    </row>
    <row r="83" spans="1:8">
      <c r="A83" s="8"/>
      <c r="B83" s="99" t="str">
        <f>IFERROR(IF($A83="","&lt;-- Enter Race Number",(VLOOKUP($A83,EntryList!$A$3:$H$291,3,FALSE))),"ERROR - No Name with this number in Entry List")</f>
        <v>&lt;-- Enter Race Number</v>
      </c>
      <c r="C83" s="99" t="str">
        <f>IFERROR(IF($A83="","",(VLOOKUP($A83,EntryList!$A$3:$H$291,4,FALSE))),"ERROR - No Name with this number in Master List")</f>
        <v/>
      </c>
      <c r="D83" s="99" t="str">
        <f>IFERROR(IF($A83="","",(VLOOKUP($A83,EntryList!$A$3:$H$291,5,FALSE))),"ERROR - No Name with this number in Master List")</f>
        <v/>
      </c>
      <c r="G83" s="11"/>
      <c r="H83" s="14"/>
    </row>
    <row r="84" spans="1:8">
      <c r="A84" s="8"/>
      <c r="B84" s="99" t="str">
        <f>IFERROR(IF($A84="","&lt;-- Enter Race Number",(VLOOKUP($A84,EntryList!$A$3:$H$291,3,FALSE))),"ERROR - No Name with this number in Entry List")</f>
        <v>&lt;-- Enter Race Number</v>
      </c>
      <c r="C84" s="99" t="str">
        <f>IFERROR(IF($A84="","",(VLOOKUP($A84,EntryList!$A$3:$H$291,4,FALSE))),"ERROR - No Name with this number in Master List")</f>
        <v/>
      </c>
      <c r="D84" s="99" t="str">
        <f>IFERROR(IF($A84="","",(VLOOKUP($A84,EntryList!$A$3:$H$291,5,FALSE))),"ERROR - No Name with this number in Master List")</f>
        <v/>
      </c>
      <c r="G84" s="11"/>
      <c r="H84" s="14"/>
    </row>
    <row r="85" spans="1:8">
      <c r="A85" s="8"/>
      <c r="B85" s="99" t="str">
        <f>IFERROR(IF($A85="","&lt;-- Enter Race Number",(VLOOKUP($A85,EntryList!$A$3:$H$291,3,FALSE))),"ERROR - No Name with this number in Entry List")</f>
        <v>&lt;-- Enter Race Number</v>
      </c>
      <c r="C85" s="99" t="str">
        <f>IFERROR(IF($A85="","",(VLOOKUP($A85,EntryList!$A$3:$H$291,4,FALSE))),"ERROR - No Name with this number in Master List")</f>
        <v/>
      </c>
      <c r="D85" s="99" t="str">
        <f>IFERROR(IF($A85="","",(VLOOKUP($A85,EntryList!$A$3:$H$291,5,FALSE))),"ERROR - No Name with this number in Master List")</f>
        <v/>
      </c>
      <c r="G85" s="11"/>
      <c r="H85" s="14"/>
    </row>
    <row r="86" spans="1:8">
      <c r="A86" s="8"/>
      <c r="B86" s="99" t="str">
        <f>IFERROR(IF($A86="","&lt;-- Enter Race Number",(VLOOKUP($A86,EntryList!$A$3:$H$291,3,FALSE))),"ERROR - No Name with this number in Entry List")</f>
        <v>&lt;-- Enter Race Number</v>
      </c>
      <c r="C86" s="99" t="str">
        <f>IFERROR(IF($A86="","",(VLOOKUP($A86,EntryList!$A$3:$H$291,4,FALSE))),"ERROR - No Name with this number in Master List")</f>
        <v/>
      </c>
      <c r="D86" s="99" t="str">
        <f>IFERROR(IF($A86="","",(VLOOKUP($A86,EntryList!$A$3:$H$291,5,FALSE))),"ERROR - No Name with this number in Master List")</f>
        <v/>
      </c>
      <c r="G86" s="11"/>
      <c r="H86" s="14"/>
    </row>
    <row r="87" spans="1:8">
      <c r="A87" s="8"/>
      <c r="B87" s="99" t="str">
        <f>IFERROR(IF($A87="","&lt;-- Enter Race Number",(VLOOKUP($A87,EntryList!$A$3:$H$291,3,FALSE))),"ERROR - No Name with this number in Entry List")</f>
        <v>&lt;-- Enter Race Number</v>
      </c>
      <c r="C87" s="99" t="str">
        <f>IFERROR(IF($A87="","",(VLOOKUP($A87,EntryList!$A$3:$H$291,4,FALSE))),"ERROR - No Name with this number in Master List")</f>
        <v/>
      </c>
      <c r="D87" s="99" t="str">
        <f>IFERROR(IF($A87="","",(VLOOKUP($A87,EntryList!$A$3:$H$291,5,FALSE))),"ERROR - No Name with this number in Master List")</f>
        <v/>
      </c>
      <c r="G87" s="11"/>
      <c r="H87" s="14"/>
    </row>
    <row r="88" spans="1:8">
      <c r="A88" s="8"/>
      <c r="B88" s="99" t="str">
        <f>IFERROR(IF($A88="","&lt;-- Enter Race Number",(VLOOKUP($A88,EntryList!$A$3:$H$291,3,FALSE))),"ERROR - No Name with this number in Entry List")</f>
        <v>&lt;-- Enter Race Number</v>
      </c>
      <c r="C88" s="99" t="str">
        <f>IFERROR(IF($A88="","",(VLOOKUP($A88,EntryList!$A$3:$H$291,4,FALSE))),"ERROR - No Name with this number in Master List")</f>
        <v/>
      </c>
      <c r="D88" s="99" t="str">
        <f>IFERROR(IF($A88="","",(VLOOKUP($A88,EntryList!$A$3:$H$291,5,FALSE))),"ERROR - No Name with this number in Master List")</f>
        <v/>
      </c>
      <c r="G88" s="11"/>
      <c r="H88" s="14"/>
    </row>
    <row r="89" spans="1:8">
      <c r="A89" s="8"/>
      <c r="B89" s="99" t="str">
        <f>IFERROR(IF($A89="","&lt;-- Enter Race Number",(VLOOKUP($A89,EntryList!$A$3:$H$291,3,FALSE))),"ERROR - No Name with this number in Entry List")</f>
        <v>&lt;-- Enter Race Number</v>
      </c>
      <c r="C89" s="99" t="str">
        <f>IFERROR(IF($A89="","",(VLOOKUP($A89,EntryList!$A$3:$H$291,4,FALSE))),"ERROR - No Name with this number in Master List")</f>
        <v/>
      </c>
      <c r="D89" s="99" t="str">
        <f>IFERROR(IF($A89="","",(VLOOKUP($A89,EntryList!$A$3:$H$291,5,FALSE))),"ERROR - No Name with this number in Master List")</f>
        <v/>
      </c>
      <c r="G89" s="11"/>
      <c r="H89" s="14"/>
    </row>
    <row r="90" spans="1:8">
      <c r="A90" s="8"/>
      <c r="B90" s="99" t="str">
        <f>IFERROR(IF($A90="","&lt;-- Enter Race Number",(VLOOKUP($A90,EntryList!$A$3:$H$291,3,FALSE))),"ERROR - No Name with this number in Entry List")</f>
        <v>&lt;-- Enter Race Number</v>
      </c>
      <c r="C90" s="99" t="str">
        <f>IFERROR(IF($A90="","",(VLOOKUP($A90,EntryList!$A$3:$H$291,4,FALSE))),"ERROR - No Name with this number in Master List")</f>
        <v/>
      </c>
      <c r="D90" s="99" t="str">
        <f>IFERROR(IF($A90="","",(VLOOKUP($A90,EntryList!$A$3:$H$291,5,FALSE))),"ERROR - No Name with this number in Master List")</f>
        <v/>
      </c>
      <c r="G90" s="11"/>
      <c r="H90" s="14"/>
    </row>
    <row r="91" spans="1:8">
      <c r="A91" s="8"/>
      <c r="B91" s="99" t="str">
        <f>IFERROR(IF($A91="","&lt;-- Enter Race Number",(VLOOKUP($A91,EntryList!$A$3:$H$291,3,FALSE))),"ERROR - No Name with this number in Entry List")</f>
        <v>&lt;-- Enter Race Number</v>
      </c>
      <c r="C91" s="99" t="str">
        <f>IFERROR(IF($A91="","",(VLOOKUP($A91,EntryList!$A$3:$H$291,4,FALSE))),"ERROR - No Name with this number in Master List")</f>
        <v/>
      </c>
      <c r="D91" s="99" t="str">
        <f>IFERROR(IF($A91="","",(VLOOKUP($A91,EntryList!$A$3:$H$291,5,FALSE))),"ERROR - No Name with this number in Master List")</f>
        <v/>
      </c>
      <c r="G91" s="11"/>
      <c r="H91" s="14"/>
    </row>
    <row r="92" spans="1:8">
      <c r="A92" s="8"/>
      <c r="B92" s="99" t="str">
        <f>IFERROR(IF($A92="","&lt;-- Enter Race Number",(VLOOKUP($A92,EntryList!$A$3:$H$291,3,FALSE))),"ERROR - No Name with this number in Entry List")</f>
        <v>&lt;-- Enter Race Number</v>
      </c>
      <c r="C92" s="99" t="str">
        <f>IFERROR(IF($A92="","",(VLOOKUP($A92,EntryList!$A$3:$H$291,4,FALSE))),"ERROR - No Name with this number in Master List")</f>
        <v/>
      </c>
      <c r="D92" s="99" t="str">
        <f>IFERROR(IF($A92="","",(VLOOKUP($A92,EntryList!$A$3:$H$291,5,FALSE))),"ERROR - No Name with this number in Master List")</f>
        <v/>
      </c>
      <c r="G92" s="11"/>
      <c r="H92" s="14"/>
    </row>
    <row r="93" spans="1:8">
      <c r="A93" s="8"/>
      <c r="B93" s="99" t="str">
        <f>IFERROR(IF($A93="","&lt;-- Enter Race Number",(VLOOKUP($A93,EntryList!$A$3:$H$291,3,FALSE))),"ERROR - No Name with this number in Entry List")</f>
        <v>&lt;-- Enter Race Number</v>
      </c>
      <c r="C93" s="99" t="str">
        <f>IFERROR(IF($A93="","",(VLOOKUP($A93,EntryList!$A$3:$H$291,4,FALSE))),"ERROR - No Name with this number in Master List")</f>
        <v/>
      </c>
      <c r="D93" s="99" t="str">
        <f>IFERROR(IF($A93="","",(VLOOKUP($A93,EntryList!$A$3:$H$291,5,FALSE))),"ERROR - No Name with this number in Master List")</f>
        <v/>
      </c>
      <c r="G93" s="11"/>
      <c r="H93" s="14"/>
    </row>
    <row r="94" spans="1:8">
      <c r="A94" s="8"/>
      <c r="B94" s="99" t="str">
        <f>IFERROR(IF($A94="","&lt;-- Enter Race Number",(VLOOKUP($A94,EntryList!$A$3:$H$291,3,FALSE))),"ERROR - No Name with this number in Entry List")</f>
        <v>&lt;-- Enter Race Number</v>
      </c>
      <c r="C94" s="99" t="str">
        <f>IFERROR(IF($A94="","",(VLOOKUP($A94,EntryList!$A$3:$H$291,4,FALSE))),"ERROR - No Name with this number in Master List")</f>
        <v/>
      </c>
      <c r="D94" s="99" t="str">
        <f>IFERROR(IF($A94="","",(VLOOKUP($A94,EntryList!$A$3:$H$291,5,FALSE))),"ERROR - No Name with this number in Master List")</f>
        <v/>
      </c>
      <c r="G94" s="11"/>
      <c r="H94" s="14"/>
    </row>
    <row r="95" spans="1:8">
      <c r="A95" s="8"/>
      <c r="B95" s="99" t="str">
        <f>IFERROR(IF($A95="","&lt;-- Enter Race Number",(VLOOKUP($A95,EntryList!$A$3:$H$291,3,FALSE))),"ERROR - No Name with this number in Entry List")</f>
        <v>&lt;-- Enter Race Number</v>
      </c>
      <c r="C95" s="99" t="str">
        <f>IFERROR(IF($A95="","",(VLOOKUP($A95,EntryList!$A$3:$H$291,4,FALSE))),"ERROR - No Name with this number in Master List")</f>
        <v/>
      </c>
      <c r="D95" s="99" t="str">
        <f>IFERROR(IF($A95="","",(VLOOKUP($A95,EntryList!$A$3:$H$291,5,FALSE))),"ERROR - No Name with this number in Master List")</f>
        <v/>
      </c>
      <c r="G95" s="11"/>
      <c r="H95" s="14"/>
    </row>
    <row r="96" spans="1:8">
      <c r="A96" s="8"/>
      <c r="B96" s="99" t="str">
        <f>IFERROR(IF($A96="","&lt;-- Enter Race Number",(VLOOKUP($A96,EntryList!$A$3:$H$291,3,FALSE))),"ERROR - No Name with this number in Entry List")</f>
        <v>&lt;-- Enter Race Number</v>
      </c>
      <c r="C96" s="99" t="str">
        <f>IFERROR(IF($A96="","",(VLOOKUP($A96,EntryList!$A$3:$H$291,4,FALSE))),"ERROR - No Name with this number in Master List")</f>
        <v/>
      </c>
      <c r="D96" s="99" t="str">
        <f>IFERROR(IF($A96="","",(VLOOKUP($A96,EntryList!$A$3:$H$291,5,FALSE))),"ERROR - No Name with this number in Master List")</f>
        <v/>
      </c>
      <c r="G96" s="11"/>
      <c r="H96" s="14"/>
    </row>
    <row r="97" spans="1:8">
      <c r="A97" s="8"/>
      <c r="B97" s="99" t="str">
        <f>IFERROR(IF($A97="","&lt;-- Enter Race Number",(VLOOKUP($A97,EntryList!$A$3:$H$291,3,FALSE))),"ERROR - No Name with this number in Entry List")</f>
        <v>&lt;-- Enter Race Number</v>
      </c>
      <c r="C97" s="99" t="str">
        <f>IFERROR(IF($A97="","",(VLOOKUP($A97,EntryList!$A$3:$H$291,4,FALSE))),"ERROR - No Name with this number in Master List")</f>
        <v/>
      </c>
      <c r="D97" s="99" t="str">
        <f>IFERROR(IF($A97="","",(VLOOKUP($A97,EntryList!$A$3:$H$291,5,FALSE))),"ERROR - No Name with this number in Master List")</f>
        <v/>
      </c>
      <c r="G97" s="11"/>
      <c r="H97" s="14"/>
    </row>
    <row r="98" spans="1:8">
      <c r="A98" s="8"/>
      <c r="B98" s="99" t="str">
        <f>IFERROR(IF($A98="","&lt;-- Enter Race Number",(VLOOKUP($A98,EntryList!$A$3:$H$291,3,FALSE))),"ERROR - No Name with this number in Entry List")</f>
        <v>&lt;-- Enter Race Number</v>
      </c>
      <c r="C98" s="99" t="str">
        <f>IFERROR(IF($A98="","",(VLOOKUP($A98,EntryList!$A$3:$H$291,4,FALSE))),"ERROR - No Name with this number in Master List")</f>
        <v/>
      </c>
      <c r="D98" s="99" t="str">
        <f>IFERROR(IF($A98="","",(VLOOKUP($A98,EntryList!$A$3:$H$291,5,FALSE))),"ERROR - No Name with this number in Master List")</f>
        <v/>
      </c>
      <c r="G98" s="11"/>
      <c r="H98" s="14"/>
    </row>
    <row r="99" spans="1:8">
      <c r="A99" s="8"/>
      <c r="B99" s="99" t="str">
        <f>IFERROR(IF($A99="","&lt;-- Enter Race Number",(VLOOKUP($A99,EntryList!$A$3:$H$291,3,FALSE))),"ERROR - No Name with this number in Entry List")</f>
        <v>&lt;-- Enter Race Number</v>
      </c>
      <c r="C99" s="99" t="str">
        <f>IFERROR(IF($A99="","",(VLOOKUP($A99,EntryList!$A$3:$H$291,4,FALSE))),"ERROR - No Name with this number in Master List")</f>
        <v/>
      </c>
      <c r="D99" s="99" t="str">
        <f>IFERROR(IF($A99="","",(VLOOKUP($A99,EntryList!$A$3:$H$291,5,FALSE))),"ERROR - No Name with this number in Master List")</f>
        <v/>
      </c>
      <c r="G99" s="11"/>
      <c r="H99" s="14"/>
    </row>
    <row r="100" spans="1:8">
      <c r="A100" s="8"/>
      <c r="B100" s="99" t="str">
        <f>IFERROR(IF($A100="","&lt;-- Enter Race Number",(VLOOKUP($A100,EntryList!$A$3:$H$291,3,FALSE))),"ERROR - No Name with this number in Entry List")</f>
        <v>&lt;-- Enter Race Number</v>
      </c>
      <c r="C100" s="99" t="str">
        <f>IFERROR(IF($A100="","",(VLOOKUP($A100,EntryList!$A$3:$H$291,4,FALSE))),"ERROR - No Name with this number in Master List")</f>
        <v/>
      </c>
      <c r="D100" s="99" t="str">
        <f>IFERROR(IF($A100="","",(VLOOKUP($A100,EntryList!$A$3:$H$291,5,FALSE))),"ERROR - No Name with this number in Master List")</f>
        <v/>
      </c>
      <c r="G100" s="11"/>
      <c r="H100" s="14"/>
    </row>
    <row r="101" spans="1:8">
      <c r="A101" s="8"/>
      <c r="B101" s="99" t="str">
        <f>IFERROR(IF($A101="","&lt;-- Enter Race Number",(VLOOKUP($A101,EntryList!$A$3:$H$291,3,FALSE))),"ERROR - No Name with this number in Entry List")</f>
        <v>&lt;-- Enter Race Number</v>
      </c>
      <c r="C101" s="99" t="str">
        <f>IFERROR(IF($A101="","",(VLOOKUP($A101,EntryList!$A$3:$H$291,4,FALSE))),"ERROR - No Name with this number in Master List")</f>
        <v/>
      </c>
      <c r="D101" s="99" t="str">
        <f>IFERROR(IF($A101="","",(VLOOKUP($A101,EntryList!$A$3:$H$291,5,FALSE))),"ERROR - No Name with this number in Master List")</f>
        <v/>
      </c>
      <c r="G101" s="11"/>
      <c r="H101" s="14"/>
    </row>
    <row r="102" spans="1:8">
      <c r="A102" s="8"/>
      <c r="B102" s="99" t="str">
        <f>IFERROR(IF($A102="","&lt;-- Enter Race Number",(VLOOKUP($A102,EntryList!$A$3:$H$291,3,FALSE))),"ERROR - No Name with this number in Entry List")</f>
        <v>&lt;-- Enter Race Number</v>
      </c>
      <c r="C102" s="99" t="str">
        <f>IFERROR(IF($A102="","",(VLOOKUP($A102,EntryList!$A$3:$H$291,4,FALSE))),"ERROR - No Name with this number in Master List")</f>
        <v/>
      </c>
      <c r="D102" s="99" t="str">
        <f>IFERROR(IF($A102="","",(VLOOKUP($A102,EntryList!$A$3:$H$291,5,FALSE))),"ERROR - No Name with this number in Master List")</f>
        <v/>
      </c>
      <c r="G102" s="11"/>
      <c r="H102" s="14"/>
    </row>
    <row r="103" spans="1:8">
      <c r="A103" s="8"/>
      <c r="B103" s="99" t="str">
        <f>IFERROR(IF($A103="","&lt;-- Enter Race Number",(VLOOKUP($A103,EntryList!$A$3:$H$291,3,FALSE))),"ERROR - No Name with this number in Entry List")</f>
        <v>&lt;-- Enter Race Number</v>
      </c>
      <c r="C103" s="99" t="str">
        <f>IFERROR(IF($A103="","",(VLOOKUP($A103,EntryList!$A$3:$H$291,4,FALSE))),"ERROR - No Name with this number in Master List")</f>
        <v/>
      </c>
      <c r="D103" s="99" t="str">
        <f>IFERROR(IF($A103="","",(VLOOKUP($A103,EntryList!$A$3:$H$291,5,FALSE))),"ERROR - No Name with this number in Master List")</f>
        <v/>
      </c>
      <c r="G103" s="11"/>
      <c r="H103" s="14"/>
    </row>
    <row r="104" spans="1:8">
      <c r="A104" s="8"/>
      <c r="B104" s="99" t="str">
        <f>IFERROR(IF($A104="","&lt;-- Enter Race Number",(VLOOKUP($A104,EntryList!$A$3:$H$291,3,FALSE))),"ERROR - No Name with this number in Entry List")</f>
        <v>&lt;-- Enter Race Number</v>
      </c>
      <c r="C104" s="99" t="str">
        <f>IFERROR(IF($A104="","",(VLOOKUP($A104,EntryList!$A$3:$H$291,4,FALSE))),"ERROR - No Name with this number in Master List")</f>
        <v/>
      </c>
      <c r="D104" s="99" t="str">
        <f>IFERROR(IF($A104="","",(VLOOKUP($A104,EntryList!$A$3:$H$291,5,FALSE))),"ERROR - No Name with this number in Master List")</f>
        <v/>
      </c>
      <c r="G104" s="11"/>
      <c r="H104" s="14"/>
    </row>
    <row r="105" spans="1:8">
      <c r="A105" s="8"/>
      <c r="B105" s="99" t="str">
        <f>IFERROR(IF($A105="","&lt;-- Enter Race Number",(VLOOKUP($A105,EntryList!$A$3:$H$291,3,FALSE))),"ERROR - No Name with this number in Entry List")</f>
        <v>&lt;-- Enter Race Number</v>
      </c>
      <c r="C105" s="99" t="str">
        <f>IFERROR(IF($A105="","",(VLOOKUP($A105,EntryList!$A$3:$H$291,4,FALSE))),"ERROR - No Name with this number in Master List")</f>
        <v/>
      </c>
      <c r="D105" s="99" t="str">
        <f>IFERROR(IF($A105="","",(VLOOKUP($A105,EntryList!$A$3:$H$291,5,FALSE))),"ERROR - No Name with this number in Master List")</f>
        <v/>
      </c>
      <c r="G105" s="11"/>
      <c r="H105" s="14"/>
    </row>
    <row r="106" spans="1:8">
      <c r="A106" s="8"/>
      <c r="B106" s="99" t="str">
        <f>IFERROR(IF($A106="","&lt;-- Enter Race Number",(VLOOKUP($A106,EntryList!$A$3:$H$291,3,FALSE))),"ERROR - No Name with this number in Entry List")</f>
        <v>&lt;-- Enter Race Number</v>
      </c>
      <c r="C106" s="99" t="str">
        <f>IFERROR(IF($A106="","",(VLOOKUP($A106,EntryList!$A$3:$H$291,4,FALSE))),"ERROR - No Name with this number in Master List")</f>
        <v/>
      </c>
      <c r="D106" s="99" t="str">
        <f>IFERROR(IF($A106="","",(VLOOKUP($A106,EntryList!$A$3:$H$291,5,FALSE))),"ERROR - No Name with this number in Master List")</f>
        <v/>
      </c>
      <c r="G106" s="11"/>
      <c r="H106" s="14"/>
    </row>
    <row r="107" spans="1:8">
      <c r="A107" s="8"/>
      <c r="B107" s="99" t="str">
        <f>IFERROR(IF($A107="","&lt;-- Enter Race Number",(VLOOKUP($A107,EntryList!$A$3:$H$291,3,FALSE))),"ERROR - No Name with this number in Entry List")</f>
        <v>&lt;-- Enter Race Number</v>
      </c>
      <c r="C107" s="99" t="str">
        <f>IFERROR(IF($A107="","",(VLOOKUP($A107,EntryList!$A$3:$H$291,4,FALSE))),"ERROR - No Name with this number in Master List")</f>
        <v/>
      </c>
      <c r="D107" s="99" t="str">
        <f>IFERROR(IF($A107="","",(VLOOKUP($A107,EntryList!$A$3:$H$291,5,FALSE))),"ERROR - No Name with this number in Master List")</f>
        <v/>
      </c>
      <c r="G107" s="11"/>
      <c r="H107" s="14"/>
    </row>
    <row r="108" spans="1:8">
      <c r="A108" s="8"/>
      <c r="B108" s="99" t="str">
        <f>IFERROR(IF($A108="","&lt;-- Enter Race Number",(VLOOKUP($A108,EntryList!$A$3:$H$291,3,FALSE))),"ERROR - No Name with this number in Entry List")</f>
        <v>&lt;-- Enter Race Number</v>
      </c>
      <c r="C108" s="99" t="str">
        <f>IFERROR(IF($A108="","",(VLOOKUP($A108,EntryList!$A$3:$H$291,4,FALSE))),"ERROR - No Name with this number in Master List")</f>
        <v/>
      </c>
      <c r="D108" s="99" t="str">
        <f>IFERROR(IF($A108="","",(VLOOKUP($A108,EntryList!$A$3:$H$291,5,FALSE))),"ERROR - No Name with this number in Master List")</f>
        <v/>
      </c>
      <c r="G108" s="11"/>
      <c r="H108" s="14"/>
    </row>
    <row r="109" spans="1:8">
      <c r="A109" s="8"/>
      <c r="B109" s="99" t="str">
        <f>IFERROR(IF($A109="","&lt;-- Enter Race Number",(VLOOKUP($A109,EntryList!$A$3:$H$291,3,FALSE))),"ERROR - No Name with this number in Entry List")</f>
        <v>&lt;-- Enter Race Number</v>
      </c>
      <c r="C109" s="99" t="str">
        <f>IFERROR(IF($A109="","",(VLOOKUP($A109,EntryList!$A$3:$H$291,4,FALSE))),"ERROR - No Name with this number in Master List")</f>
        <v/>
      </c>
      <c r="D109" s="99" t="str">
        <f>IFERROR(IF($A109="","",(VLOOKUP($A109,EntryList!$A$3:$H$291,5,FALSE))),"ERROR - No Name with this number in Master List")</f>
        <v/>
      </c>
      <c r="G109" s="11"/>
      <c r="H109" s="14"/>
    </row>
    <row r="110" spans="1:8">
      <c r="A110" s="8"/>
      <c r="B110" s="99" t="str">
        <f>IFERROR(IF($A110="","&lt;-- Enter Race Number",(VLOOKUP($A110,EntryList!$A$3:$H$291,3,FALSE))),"ERROR - No Name with this number in Entry List")</f>
        <v>&lt;-- Enter Race Number</v>
      </c>
      <c r="C110" s="99" t="str">
        <f>IFERROR(IF($A110="","",(VLOOKUP($A110,EntryList!$A$3:$H$291,4,FALSE))),"ERROR - No Name with this number in Master List")</f>
        <v/>
      </c>
      <c r="D110" s="99" t="str">
        <f>IFERROR(IF($A110="","",(VLOOKUP($A110,EntryList!$A$3:$H$291,5,FALSE))),"ERROR - No Name with this number in Master List")</f>
        <v/>
      </c>
      <c r="G110" s="11"/>
      <c r="H110" s="14"/>
    </row>
    <row r="111" spans="1:8">
      <c r="A111" s="8"/>
      <c r="B111" s="99" t="str">
        <f>IFERROR(IF($A111="","&lt;-- Enter Race Number",(VLOOKUP($A111,EntryList!$A$3:$H$291,3,FALSE))),"ERROR - No Name with this number in Entry List")</f>
        <v>&lt;-- Enter Race Number</v>
      </c>
      <c r="C111" s="99" t="str">
        <f>IFERROR(IF($A111="","",(VLOOKUP($A111,EntryList!$A$3:$H$291,4,FALSE))),"ERROR - No Name with this number in Master List")</f>
        <v/>
      </c>
      <c r="D111" s="99" t="str">
        <f>IFERROR(IF($A111="","",(VLOOKUP($A111,EntryList!$A$3:$H$291,5,FALSE))),"ERROR - No Name with this number in Master List")</f>
        <v/>
      </c>
      <c r="G111" s="11"/>
      <c r="H111" s="14"/>
    </row>
    <row r="112" spans="1:8">
      <c r="A112" s="8"/>
      <c r="B112" s="99" t="str">
        <f>IFERROR(IF($A112="","&lt;-- Enter Race Number",(VLOOKUP($A112,EntryList!$A$3:$H$291,3,FALSE))),"ERROR - No Name with this number in Entry List")</f>
        <v>&lt;-- Enter Race Number</v>
      </c>
      <c r="C112" s="99" t="str">
        <f>IFERROR(IF($A112="","",(VLOOKUP($A112,EntryList!$A$3:$H$291,4,FALSE))),"ERROR - No Name with this number in Master List")</f>
        <v/>
      </c>
      <c r="D112" s="99" t="str">
        <f>IFERROR(IF($A112="","",(VLOOKUP($A112,EntryList!$A$3:$H$291,5,FALSE))),"ERROR - No Name with this number in Master List")</f>
        <v/>
      </c>
      <c r="G112" s="11"/>
      <c r="H112" s="14"/>
    </row>
    <row r="113" spans="1:8">
      <c r="A113" s="8"/>
      <c r="B113" s="99" t="str">
        <f>IFERROR(IF($A113="","&lt;-- Enter Race Number",(VLOOKUP($A113,EntryList!$A$3:$H$291,3,FALSE))),"ERROR - No Name with this number in Entry List")</f>
        <v>&lt;-- Enter Race Number</v>
      </c>
      <c r="C113" s="99" t="str">
        <f>IFERROR(IF($A113="","",(VLOOKUP($A113,EntryList!$A$3:$H$291,4,FALSE))),"ERROR - No Name with this number in Master List")</f>
        <v/>
      </c>
      <c r="D113" s="99" t="str">
        <f>IFERROR(IF($A113="","",(VLOOKUP($A113,EntryList!$A$3:$H$291,5,FALSE))),"ERROR - No Name with this number in Master List")</f>
        <v/>
      </c>
      <c r="G113" s="11"/>
      <c r="H113" s="14"/>
    </row>
    <row r="114" spans="1:8">
      <c r="A114" s="8"/>
      <c r="B114" s="99" t="str">
        <f>IFERROR(IF($A114="","&lt;-- Enter Race Number",(VLOOKUP($A114,EntryList!$A$3:$H$291,3,FALSE))),"ERROR - No Name with this number in Entry List")</f>
        <v>&lt;-- Enter Race Number</v>
      </c>
      <c r="C114" s="99" t="str">
        <f>IFERROR(IF($A114="","",(VLOOKUP($A114,EntryList!$A$3:$H$291,4,FALSE))),"ERROR - No Name with this number in Master List")</f>
        <v/>
      </c>
      <c r="D114" s="99" t="str">
        <f>IFERROR(IF($A114="","",(VLOOKUP($A114,EntryList!$A$3:$H$291,5,FALSE))),"ERROR - No Name with this number in Master List")</f>
        <v/>
      </c>
      <c r="G114" s="11"/>
      <c r="H114" s="14"/>
    </row>
    <row r="115" spans="1:8">
      <c r="A115" s="8"/>
      <c r="B115" s="99" t="str">
        <f>IFERROR(IF($A115="","&lt;-- Enter Race Number",(VLOOKUP($A115,EntryList!$A$3:$H$291,3,FALSE))),"ERROR - No Name with this number in Entry List")</f>
        <v>&lt;-- Enter Race Number</v>
      </c>
      <c r="C115" s="99" t="str">
        <f>IFERROR(IF($A115="","",(VLOOKUP($A115,EntryList!$A$3:$H$291,4,FALSE))),"ERROR - No Name with this number in Master List")</f>
        <v/>
      </c>
      <c r="D115" s="99" t="str">
        <f>IFERROR(IF($A115="","",(VLOOKUP($A115,EntryList!$A$3:$H$291,5,FALSE))),"ERROR - No Name with this number in Master List")</f>
        <v/>
      </c>
      <c r="G115" s="11"/>
      <c r="H115" s="14"/>
    </row>
    <row r="116" spans="1:8">
      <c r="A116" s="8"/>
      <c r="B116" s="99" t="str">
        <f>IFERROR(IF($A116="","&lt;-- Enter Race Number",(VLOOKUP($A116,EntryList!$A$3:$H$291,3,FALSE))),"ERROR - No Name with this number in Entry List")</f>
        <v>&lt;-- Enter Race Number</v>
      </c>
      <c r="C116" s="99" t="str">
        <f>IFERROR(IF($A116="","",(VLOOKUP($A116,EntryList!$A$3:$H$291,4,FALSE))),"ERROR - No Name with this number in Master List")</f>
        <v/>
      </c>
      <c r="D116" s="99" t="str">
        <f>IFERROR(IF($A116="","",(VLOOKUP($A116,EntryList!$A$3:$H$291,5,FALSE))),"ERROR - No Name with this number in Master List")</f>
        <v/>
      </c>
      <c r="G116" s="11"/>
      <c r="H116" s="14"/>
    </row>
    <row r="117" spans="1:8">
      <c r="A117" s="8"/>
      <c r="B117" s="99" t="str">
        <f>IFERROR(IF($A117="","&lt;-- Enter Race Number",(VLOOKUP($A117,EntryList!$A$3:$H$291,3,FALSE))),"ERROR - No Name with this number in Entry List")</f>
        <v>&lt;-- Enter Race Number</v>
      </c>
      <c r="C117" s="99" t="str">
        <f>IFERROR(IF($A117="","",(VLOOKUP($A117,EntryList!$A$3:$H$291,4,FALSE))),"ERROR - No Name with this number in Master List")</f>
        <v/>
      </c>
      <c r="D117" s="99" t="str">
        <f>IFERROR(IF($A117="","",(VLOOKUP($A117,EntryList!$A$3:$H$291,5,FALSE))),"ERROR - No Name with this number in Master List")</f>
        <v/>
      </c>
      <c r="G117" s="11"/>
      <c r="H117" s="14"/>
    </row>
    <row r="118" spans="1:8">
      <c r="A118" s="8"/>
      <c r="B118" s="99" t="str">
        <f>IFERROR(IF($A118="","&lt;-- Enter Race Number",(VLOOKUP($A118,EntryList!$A$3:$H$291,3,FALSE))),"ERROR - No Name with this number in Entry List")</f>
        <v>&lt;-- Enter Race Number</v>
      </c>
      <c r="C118" s="99" t="str">
        <f>IFERROR(IF($A118="","",(VLOOKUP($A118,EntryList!$A$3:$H$291,4,FALSE))),"ERROR - No Name with this number in Master List")</f>
        <v/>
      </c>
      <c r="D118" s="99" t="str">
        <f>IFERROR(IF($A118="","",(VLOOKUP($A118,EntryList!$A$3:$H$291,5,FALSE))),"ERROR - No Name with this number in Master List")</f>
        <v/>
      </c>
      <c r="G118" s="11"/>
      <c r="H118" s="14"/>
    </row>
    <row r="119" spans="1:8">
      <c r="A119" s="8"/>
      <c r="B119" s="99" t="str">
        <f>IFERROR(IF($A119="","&lt;-- Enter Race Number",(VLOOKUP($A119,EntryList!$A$3:$H$291,3,FALSE))),"ERROR - No Name with this number in Entry List")</f>
        <v>&lt;-- Enter Race Number</v>
      </c>
      <c r="C119" s="99" t="str">
        <f>IFERROR(IF($A119="","",(VLOOKUP($A119,EntryList!$A$3:$H$291,4,FALSE))),"ERROR - No Name with this number in Master List")</f>
        <v/>
      </c>
      <c r="D119" s="99" t="str">
        <f>IFERROR(IF($A119="","",(VLOOKUP($A119,EntryList!$A$3:$H$291,5,FALSE))),"ERROR - No Name with this number in Master List")</f>
        <v/>
      </c>
      <c r="G119" s="11"/>
      <c r="H119" s="14"/>
    </row>
    <row r="120" spans="1:8">
      <c r="A120" s="8"/>
      <c r="B120" s="99" t="str">
        <f>IFERROR(IF($A120="","&lt;-- Enter Race Number",(VLOOKUP($A120,EntryList!$A$3:$H$291,3,FALSE))),"ERROR - No Name with this number in Entry List")</f>
        <v>&lt;-- Enter Race Number</v>
      </c>
      <c r="C120" s="99" t="str">
        <f>IFERROR(IF($A120="","",(VLOOKUP($A120,EntryList!$A$3:$H$291,4,FALSE))),"ERROR - No Name with this number in Master List")</f>
        <v/>
      </c>
      <c r="D120" s="99" t="str">
        <f>IFERROR(IF($A120="","",(VLOOKUP($A120,EntryList!$A$3:$H$291,5,FALSE))),"ERROR - No Name with this number in Master List")</f>
        <v/>
      </c>
      <c r="G120" s="11"/>
      <c r="H120" s="14"/>
    </row>
    <row r="121" spans="1:8">
      <c r="A121" s="8"/>
      <c r="B121" s="99" t="str">
        <f>IFERROR(IF($A121="","&lt;-- Enter Race Number",(VLOOKUP($A121,EntryList!$A$3:$H$291,3,FALSE))),"ERROR - No Name with this number in Entry List")</f>
        <v>&lt;-- Enter Race Number</v>
      </c>
      <c r="C121" s="99" t="str">
        <f>IFERROR(IF($A121="","",(VLOOKUP($A121,EntryList!$A$3:$H$291,4,FALSE))),"ERROR - No Name with this number in Master List")</f>
        <v/>
      </c>
      <c r="D121" s="99" t="str">
        <f>IFERROR(IF($A121="","",(VLOOKUP($A121,EntryList!$A$3:$H$291,5,FALSE))),"ERROR - No Name with this number in Master List")</f>
        <v/>
      </c>
      <c r="G121" s="11"/>
      <c r="H121" s="14"/>
    </row>
    <row r="122" spans="1:8">
      <c r="A122" s="8"/>
      <c r="B122" s="99" t="str">
        <f>IFERROR(IF($A122="","&lt;-- Enter Race Number",(VLOOKUP($A122,EntryList!$A$3:$H$291,3,FALSE))),"ERROR - No Name with this number in Entry List")</f>
        <v>&lt;-- Enter Race Number</v>
      </c>
      <c r="C122" s="99" t="str">
        <f>IFERROR(IF($A122="","",(VLOOKUP($A122,EntryList!$A$3:$H$291,4,FALSE))),"ERROR - No Name with this number in Master List")</f>
        <v/>
      </c>
      <c r="D122" s="99" t="str">
        <f>IFERROR(IF($A122="","",(VLOOKUP($A122,EntryList!$A$3:$H$291,5,FALSE))),"ERROR - No Name with this number in Master List")</f>
        <v/>
      </c>
      <c r="G122" s="11"/>
      <c r="H122" s="14"/>
    </row>
    <row r="123" spans="1:8">
      <c r="A123" s="8"/>
      <c r="B123" s="99" t="str">
        <f>IFERROR(IF($A123="","&lt;-- Enter Race Number",(VLOOKUP($A123,EntryList!$A$3:$H$291,3,FALSE))),"ERROR - No Name with this number in Entry List")</f>
        <v>&lt;-- Enter Race Number</v>
      </c>
      <c r="C123" s="99" t="str">
        <f>IFERROR(IF($A123="","",(VLOOKUP($A123,EntryList!$A$3:$H$291,4,FALSE))),"ERROR - No Name with this number in Master List")</f>
        <v/>
      </c>
      <c r="D123" s="99" t="str">
        <f>IFERROR(IF($A123="","",(VLOOKUP($A123,EntryList!$A$3:$H$291,5,FALSE))),"ERROR - No Name with this number in Master List")</f>
        <v/>
      </c>
      <c r="G123" s="11"/>
      <c r="H123" s="14"/>
    </row>
    <row r="124" spans="1:8">
      <c r="A124" s="8"/>
      <c r="B124" s="99" t="str">
        <f>IFERROR(IF($A124="","&lt;-- Enter Race Number",(VLOOKUP($A124,EntryList!$A$3:$H$291,3,FALSE))),"ERROR - No Name with this number in Entry List")</f>
        <v>&lt;-- Enter Race Number</v>
      </c>
      <c r="C124" s="99" t="str">
        <f>IFERROR(IF($A124="","",(VLOOKUP($A124,EntryList!$A$3:$H$291,4,FALSE))),"ERROR - No Name with this number in Master List")</f>
        <v/>
      </c>
      <c r="D124" s="99" t="str">
        <f>IFERROR(IF($A124="","",(VLOOKUP($A124,EntryList!$A$3:$H$291,5,FALSE))),"ERROR - No Name with this number in Master List")</f>
        <v/>
      </c>
      <c r="G124" s="11"/>
      <c r="H124" s="14"/>
    </row>
    <row r="125" spans="1:8">
      <c r="A125" s="8"/>
      <c r="B125" s="99" t="str">
        <f>IFERROR(IF($A125="","&lt;-- Enter Race Number",(VLOOKUP($A125,EntryList!$A$3:$H$291,3,FALSE))),"ERROR - No Name with this number in Entry List")</f>
        <v>&lt;-- Enter Race Number</v>
      </c>
      <c r="C125" s="99" t="str">
        <f>IFERROR(IF($A125="","",(VLOOKUP($A125,EntryList!$A$3:$H$291,4,FALSE))),"ERROR - No Name with this number in Master List")</f>
        <v/>
      </c>
      <c r="D125" s="99" t="str">
        <f>IFERROR(IF($A125="","",(VLOOKUP($A125,EntryList!$A$3:$H$291,5,FALSE))),"ERROR - No Name with this number in Master List")</f>
        <v/>
      </c>
      <c r="G125" s="11"/>
      <c r="H125" s="14"/>
    </row>
    <row r="126" spans="1:8">
      <c r="A126" s="8"/>
      <c r="B126" s="99" t="str">
        <f>IFERROR(IF($A126="","&lt;-- Enter Race Number",(VLOOKUP($A126,EntryList!$A$3:$H$291,3,FALSE))),"ERROR - No Name with this number in Entry List")</f>
        <v>&lt;-- Enter Race Number</v>
      </c>
      <c r="C126" s="99" t="str">
        <f>IFERROR(IF($A126="","",(VLOOKUP($A126,EntryList!$A$3:$H$291,4,FALSE))),"ERROR - No Name with this number in Master List")</f>
        <v/>
      </c>
      <c r="D126" s="99" t="str">
        <f>IFERROR(IF($A126="","",(VLOOKUP($A126,EntryList!$A$3:$H$291,5,FALSE))),"ERROR - No Name with this number in Master List")</f>
        <v/>
      </c>
      <c r="G126" s="11"/>
      <c r="H126" s="14"/>
    </row>
    <row r="127" spans="1:8">
      <c r="A127" s="8"/>
      <c r="B127" s="99" t="str">
        <f>IFERROR(IF($A127="","&lt;-- Enter Race Number",(VLOOKUP($A127,EntryList!$A$3:$H$291,3,FALSE))),"ERROR - No Name with this number in Entry List")</f>
        <v>&lt;-- Enter Race Number</v>
      </c>
      <c r="C127" s="99" t="str">
        <f>IFERROR(IF($A127="","",(VLOOKUP($A127,EntryList!$A$3:$H$291,4,FALSE))),"ERROR - No Name with this number in Master List")</f>
        <v/>
      </c>
      <c r="D127" s="99" t="str">
        <f>IFERROR(IF($A127="","",(VLOOKUP($A127,EntryList!$A$3:$H$291,5,FALSE))),"ERROR - No Name with this number in Master List")</f>
        <v/>
      </c>
      <c r="G127" s="11"/>
      <c r="H127" s="14"/>
    </row>
    <row r="128" spans="1:8">
      <c r="A128" s="8"/>
      <c r="B128" s="99" t="str">
        <f>IFERROR(IF($A128="","&lt;-- Enter Race Number",(VLOOKUP($A128,EntryList!$A$3:$H$291,3,FALSE))),"ERROR - No Name with this number in Entry List")</f>
        <v>&lt;-- Enter Race Number</v>
      </c>
      <c r="C128" s="99" t="str">
        <f>IFERROR(IF($A128="","",(VLOOKUP($A128,EntryList!$A$3:$H$291,4,FALSE))),"ERROR - No Name with this number in Master List")</f>
        <v/>
      </c>
      <c r="D128" s="99" t="str">
        <f>IFERROR(IF($A128="","",(VLOOKUP($A128,EntryList!$A$3:$H$291,5,FALSE))),"ERROR - No Name with this number in Master List")</f>
        <v/>
      </c>
      <c r="G128" s="11"/>
      <c r="H128" s="14"/>
    </row>
    <row r="129" spans="1:8">
      <c r="A129" s="8"/>
      <c r="B129" s="99" t="str">
        <f>IFERROR(IF($A129="","&lt;-- Enter Race Number",(VLOOKUP($A129,EntryList!$A$3:$H$291,3,FALSE))),"ERROR - No Name with this number in Entry List")</f>
        <v>&lt;-- Enter Race Number</v>
      </c>
      <c r="C129" s="99" t="str">
        <f>IFERROR(IF($A129="","",(VLOOKUP($A129,EntryList!$A$3:$H$291,4,FALSE))),"ERROR - No Name with this number in Master List")</f>
        <v/>
      </c>
      <c r="D129" s="99" t="str">
        <f>IFERROR(IF($A129="","",(VLOOKUP($A129,EntryList!$A$3:$H$291,5,FALSE))),"ERROR - No Name with this number in Master List")</f>
        <v/>
      </c>
      <c r="G129" s="11"/>
      <c r="H129" s="14"/>
    </row>
    <row r="130" spans="1:8">
      <c r="A130" s="8"/>
      <c r="B130" s="99" t="str">
        <f>IFERROR(IF($A130="","&lt;-- Enter Race Number",(VLOOKUP($A130,EntryList!$A$3:$H$291,3,FALSE))),"ERROR - No Name with this number in Entry List")</f>
        <v>&lt;-- Enter Race Number</v>
      </c>
      <c r="C130" s="99" t="str">
        <f>IFERROR(IF($A130="","",(VLOOKUP($A130,EntryList!$A$3:$H$291,4,FALSE))),"ERROR - No Name with this number in Master List")</f>
        <v/>
      </c>
      <c r="D130" s="99" t="str">
        <f>IFERROR(IF($A130="","",(VLOOKUP($A130,EntryList!$A$3:$H$291,5,FALSE))),"ERROR - No Name with this number in Master List")</f>
        <v/>
      </c>
      <c r="G130" s="11"/>
      <c r="H130" s="14"/>
    </row>
    <row r="131" spans="1:8">
      <c r="A131" s="8"/>
      <c r="B131" s="99" t="str">
        <f>IFERROR(IF($A131="","&lt;-- Enter Race Number",(VLOOKUP($A131,EntryList!$A$3:$H$291,3,FALSE))),"ERROR - No Name with this number in Entry List")</f>
        <v>&lt;-- Enter Race Number</v>
      </c>
      <c r="C131" s="99" t="str">
        <f>IFERROR(IF($A131="","",(VLOOKUP($A131,EntryList!$A$3:$H$291,4,FALSE))),"ERROR - No Name with this number in Master List")</f>
        <v/>
      </c>
      <c r="D131" s="99" t="str">
        <f>IFERROR(IF($A131="","",(VLOOKUP($A131,EntryList!$A$3:$H$291,5,FALSE))),"ERROR - No Name with this number in Master List")</f>
        <v/>
      </c>
      <c r="G131" s="11"/>
      <c r="H131" s="14"/>
    </row>
    <row r="132" spans="1:8">
      <c r="A132" s="8"/>
      <c r="B132" s="99" t="str">
        <f>IFERROR(IF($A132="","&lt;-- Enter Race Number",(VLOOKUP($A132,EntryList!$A$3:$H$291,3,FALSE))),"ERROR - No Name with this number in Entry List")</f>
        <v>&lt;-- Enter Race Number</v>
      </c>
      <c r="C132" s="99" t="str">
        <f>IFERROR(IF($A132="","",(VLOOKUP($A132,EntryList!$A$3:$H$291,4,FALSE))),"ERROR - No Name with this number in Master List")</f>
        <v/>
      </c>
      <c r="D132" s="99" t="str">
        <f>IFERROR(IF($A132="","",(VLOOKUP($A132,EntryList!$A$3:$H$291,5,FALSE))),"ERROR - No Name with this number in Master List")</f>
        <v/>
      </c>
      <c r="G132" s="11"/>
      <c r="H132" s="14"/>
    </row>
    <row r="133" spans="1:8">
      <c r="A133" s="8"/>
      <c r="B133" s="99" t="str">
        <f>IFERROR(IF($A133="","&lt;-- Enter Race Number",(VLOOKUP($A133,EntryList!$A$3:$H$291,3,FALSE))),"ERROR - No Name with this number in Entry List")</f>
        <v>&lt;-- Enter Race Number</v>
      </c>
      <c r="C133" s="99" t="str">
        <f>IFERROR(IF($A133="","",(VLOOKUP($A133,EntryList!$A$3:$H$291,4,FALSE))),"ERROR - No Name with this number in Master List")</f>
        <v/>
      </c>
      <c r="D133" s="99" t="str">
        <f>IFERROR(IF($A133="","",(VLOOKUP($A133,EntryList!$A$3:$H$291,5,FALSE))),"ERROR - No Name with this number in Master List")</f>
        <v/>
      </c>
      <c r="G133" s="11"/>
      <c r="H133" s="14"/>
    </row>
    <row r="134" spans="1:8">
      <c r="A134" s="8"/>
      <c r="B134" s="99" t="str">
        <f>IFERROR(IF($A134="","&lt;-- Enter Race Number",(VLOOKUP($A134,EntryList!$A$3:$H$291,3,FALSE))),"ERROR - No Name with this number in Entry List")</f>
        <v>&lt;-- Enter Race Number</v>
      </c>
      <c r="C134" s="99" t="str">
        <f>IFERROR(IF($A134="","",(VLOOKUP($A134,EntryList!$A$3:$H$291,4,FALSE))),"ERROR - No Name with this number in Master List")</f>
        <v/>
      </c>
      <c r="D134" s="99" t="str">
        <f>IFERROR(IF($A134="","",(VLOOKUP($A134,EntryList!$A$3:$H$291,5,FALSE))),"ERROR - No Name with this number in Master List")</f>
        <v/>
      </c>
      <c r="G134" s="11"/>
      <c r="H134" s="14"/>
    </row>
    <row r="135" spans="1:8">
      <c r="A135" s="8"/>
      <c r="B135" s="99" t="str">
        <f>IFERROR(IF($A135="","&lt;-- Enter Race Number",(VLOOKUP($A135,EntryList!$A$3:$H$291,3,FALSE))),"ERROR - No Name with this number in Entry List")</f>
        <v>&lt;-- Enter Race Number</v>
      </c>
      <c r="C135" s="99" t="str">
        <f>IFERROR(IF($A135="","",(VLOOKUP($A135,EntryList!$A$3:$H$291,4,FALSE))),"ERROR - No Name with this number in Master List")</f>
        <v/>
      </c>
      <c r="D135" s="99" t="str">
        <f>IFERROR(IF($A135="","",(VLOOKUP($A135,EntryList!$A$3:$H$291,5,FALSE))),"ERROR - No Name with this number in Master List")</f>
        <v/>
      </c>
      <c r="G135" s="11"/>
      <c r="H135" s="14"/>
    </row>
    <row r="136" spans="1:8">
      <c r="A136" s="8"/>
      <c r="B136" s="99" t="str">
        <f>IFERROR(IF($A136="","&lt;-- Enter Race Number",(VLOOKUP($A136,EntryList!$A$3:$H$291,3,FALSE))),"ERROR - No Name with this number in Entry List")</f>
        <v>&lt;-- Enter Race Number</v>
      </c>
      <c r="C136" s="99" t="str">
        <f>IFERROR(IF($A136="","",(VLOOKUP($A136,EntryList!$A$3:$H$291,4,FALSE))),"ERROR - No Name with this number in Master List")</f>
        <v/>
      </c>
      <c r="D136" s="99" t="str">
        <f>IFERROR(IF($A136="","",(VLOOKUP($A136,EntryList!$A$3:$H$291,5,FALSE))),"ERROR - No Name with this number in Master List")</f>
        <v/>
      </c>
      <c r="G136" s="11"/>
      <c r="H136" s="14"/>
    </row>
    <row r="137" spans="1:8">
      <c r="A137" s="8"/>
      <c r="B137" s="99" t="str">
        <f>IFERROR(IF($A137="","&lt;-- Enter Race Number",(VLOOKUP($A137,EntryList!$A$3:$H$291,3,FALSE))),"ERROR - No Name with this number in Entry List")</f>
        <v>&lt;-- Enter Race Number</v>
      </c>
      <c r="C137" s="99" t="str">
        <f>IFERROR(IF($A137="","",(VLOOKUP($A137,EntryList!$A$3:$H$291,4,FALSE))),"ERROR - No Name with this number in Master List")</f>
        <v/>
      </c>
      <c r="D137" s="99" t="str">
        <f>IFERROR(IF($A137="","",(VLOOKUP($A137,EntryList!$A$3:$H$291,5,FALSE))),"ERROR - No Name with this number in Master List")</f>
        <v/>
      </c>
      <c r="G137" s="11"/>
      <c r="H137" s="14"/>
    </row>
    <row r="138" spans="1:8">
      <c r="A138" s="8"/>
      <c r="B138" s="99" t="str">
        <f>IFERROR(IF($A138="","&lt;-- Enter Race Number",(VLOOKUP($A138,EntryList!$A$3:$H$291,3,FALSE))),"ERROR - No Name with this number in Entry List")</f>
        <v>&lt;-- Enter Race Number</v>
      </c>
      <c r="C138" s="99" t="str">
        <f>IFERROR(IF($A138="","",(VLOOKUP($A138,EntryList!$A$3:$H$291,4,FALSE))),"ERROR - No Name with this number in Master List")</f>
        <v/>
      </c>
      <c r="D138" s="99" t="str">
        <f>IFERROR(IF($A138="","",(VLOOKUP($A138,EntryList!$A$3:$H$291,5,FALSE))),"ERROR - No Name with this number in Master List")</f>
        <v/>
      </c>
      <c r="G138" s="11"/>
      <c r="H138" s="14"/>
    </row>
    <row r="139" spans="1:8">
      <c r="A139" s="8"/>
      <c r="B139" s="99" t="str">
        <f>IFERROR(IF($A139="","&lt;-- Enter Race Number",(VLOOKUP($A139,EntryList!$A$3:$H$291,3,FALSE))),"ERROR - No Name with this number in Entry List")</f>
        <v>&lt;-- Enter Race Number</v>
      </c>
      <c r="C139" s="99" t="str">
        <f>IFERROR(IF($A139="","",(VLOOKUP($A139,EntryList!$A$3:$H$291,4,FALSE))),"ERROR - No Name with this number in Master List")</f>
        <v/>
      </c>
      <c r="D139" s="99" t="str">
        <f>IFERROR(IF($A139="","",(VLOOKUP($A139,EntryList!$A$3:$H$291,5,FALSE))),"ERROR - No Name with this number in Master List")</f>
        <v/>
      </c>
      <c r="G139" s="11"/>
      <c r="H139" s="14"/>
    </row>
    <row r="140" spans="1:8">
      <c r="A140" s="8"/>
      <c r="B140" s="99" t="str">
        <f>IFERROR(IF($A140="","&lt;-- Enter Race Number",(VLOOKUP($A140,EntryList!$A$3:$H$291,3,FALSE))),"ERROR - No Name with this number in Entry List")</f>
        <v>&lt;-- Enter Race Number</v>
      </c>
      <c r="C140" s="99" t="str">
        <f>IFERROR(IF($A140="","",(VLOOKUP($A140,EntryList!$A$3:$H$291,4,FALSE))),"ERROR - No Name with this number in Master List")</f>
        <v/>
      </c>
      <c r="D140" s="99" t="str">
        <f>IFERROR(IF($A140="","",(VLOOKUP($A140,EntryList!$A$3:$H$291,5,FALSE))),"ERROR - No Name with this number in Master List")</f>
        <v/>
      </c>
      <c r="G140" s="11"/>
      <c r="H140" s="14"/>
    </row>
    <row r="141" spans="1:8">
      <c r="A141" s="8"/>
      <c r="B141" s="99" t="str">
        <f>IFERROR(IF($A141="","&lt;-- Enter Race Number",(VLOOKUP($A141,EntryList!$A$3:$H$291,3,FALSE))),"ERROR - No Name with this number in Entry List")</f>
        <v>&lt;-- Enter Race Number</v>
      </c>
      <c r="C141" s="99" t="str">
        <f>IFERROR(IF($A141="","",(VLOOKUP($A141,EntryList!$A$3:$H$291,4,FALSE))),"ERROR - No Name with this number in Master List")</f>
        <v/>
      </c>
      <c r="D141" s="99" t="str">
        <f>IFERROR(IF($A141="","",(VLOOKUP($A141,EntryList!$A$3:$H$291,5,FALSE))),"ERROR - No Name with this number in Master List")</f>
        <v/>
      </c>
      <c r="G141" s="11"/>
      <c r="H141" s="14"/>
    </row>
    <row r="142" spans="1:8">
      <c r="A142" s="8"/>
      <c r="B142" s="99" t="str">
        <f>IFERROR(IF($A142="","&lt;-- Enter Race Number",(VLOOKUP($A142,EntryList!$A$3:$H$291,3,FALSE))),"ERROR - No Name with this number in Entry List")</f>
        <v>&lt;-- Enter Race Number</v>
      </c>
      <c r="C142" s="99" t="str">
        <f>IFERROR(IF($A142="","",(VLOOKUP($A142,EntryList!$A$3:$H$291,4,FALSE))),"ERROR - No Name with this number in Master List")</f>
        <v/>
      </c>
      <c r="D142" s="99" t="str">
        <f>IFERROR(IF($A142="","",(VLOOKUP($A142,EntryList!$A$3:$H$291,5,FALSE))),"ERROR - No Name with this number in Master List")</f>
        <v/>
      </c>
      <c r="G142" s="11"/>
      <c r="H142" s="14"/>
    </row>
    <row r="143" spans="1:8">
      <c r="A143" s="8"/>
      <c r="B143" s="99" t="str">
        <f>IFERROR(IF($A143="","&lt;-- Enter Race Number",(VLOOKUP($A143,EntryList!$A$3:$H$291,3,FALSE))),"ERROR - No Name with this number in Entry List")</f>
        <v>&lt;-- Enter Race Number</v>
      </c>
      <c r="C143" s="99" t="str">
        <f>IFERROR(IF($A143="","",(VLOOKUP($A143,EntryList!$A$3:$H$291,4,FALSE))),"ERROR - No Name with this number in Master List")</f>
        <v/>
      </c>
      <c r="D143" s="99" t="str">
        <f>IFERROR(IF($A143="","",(VLOOKUP($A143,EntryList!$A$3:$H$291,5,FALSE))),"ERROR - No Name with this number in Master List")</f>
        <v/>
      </c>
      <c r="G143" s="11"/>
      <c r="H143" s="14"/>
    </row>
    <row r="144" spans="1:8">
      <c r="A144" s="8"/>
      <c r="B144" s="99" t="str">
        <f>IFERROR(IF($A144="","&lt;-- Enter Race Number",(VLOOKUP($A144,EntryList!$A$3:$H$291,3,FALSE))),"ERROR - No Name with this number in Entry List")</f>
        <v>&lt;-- Enter Race Number</v>
      </c>
      <c r="C144" s="99" t="str">
        <f>IFERROR(IF($A144="","",(VLOOKUP($A144,EntryList!$A$3:$H$291,4,FALSE))),"ERROR - No Name with this number in Master List")</f>
        <v/>
      </c>
      <c r="D144" s="99" t="str">
        <f>IFERROR(IF($A144="","",(VLOOKUP($A144,EntryList!$A$3:$H$291,5,FALSE))),"ERROR - No Name with this number in Master List")</f>
        <v/>
      </c>
      <c r="G144" s="11"/>
      <c r="H144" s="14"/>
    </row>
    <row r="145" spans="1:8">
      <c r="A145" s="8"/>
      <c r="B145" s="99" t="str">
        <f>IFERROR(IF($A145="","&lt;-- Enter Race Number",(VLOOKUP($A145,EntryList!$A$3:$H$291,3,FALSE))),"ERROR - No Name with this number in Entry List")</f>
        <v>&lt;-- Enter Race Number</v>
      </c>
      <c r="C145" s="99" t="str">
        <f>IFERROR(IF($A145="","",(VLOOKUP($A145,EntryList!$A$3:$H$291,4,FALSE))),"ERROR - No Name with this number in Master List")</f>
        <v/>
      </c>
      <c r="D145" s="99" t="str">
        <f>IFERROR(IF($A145="","",(VLOOKUP($A145,EntryList!$A$3:$H$291,5,FALSE))),"ERROR - No Name with this number in Master List")</f>
        <v/>
      </c>
      <c r="G145" s="11"/>
      <c r="H145" s="14"/>
    </row>
    <row r="146" spans="1:8">
      <c r="A146" s="8"/>
      <c r="B146" s="99" t="str">
        <f>IFERROR(IF($A146="","&lt;-- Enter Race Number",(VLOOKUP($A146,EntryList!$A$3:$H$291,3,FALSE))),"ERROR - No Name with this number in Entry List")</f>
        <v>&lt;-- Enter Race Number</v>
      </c>
      <c r="C146" s="99" t="str">
        <f>IFERROR(IF($A146="","",(VLOOKUP($A146,EntryList!$A$3:$H$291,4,FALSE))),"ERROR - No Name with this number in Master List")</f>
        <v/>
      </c>
      <c r="D146" s="99" t="str">
        <f>IFERROR(IF($A146="","",(VLOOKUP($A146,EntryList!$A$3:$H$291,5,FALSE))),"ERROR - No Name with this number in Master List")</f>
        <v/>
      </c>
      <c r="G146" s="11"/>
      <c r="H146" s="14"/>
    </row>
    <row r="147" spans="1:8">
      <c r="A147" s="8"/>
      <c r="B147" s="99" t="str">
        <f>IFERROR(IF($A147="","&lt;-- Enter Race Number",(VLOOKUP($A147,EntryList!$A$3:$H$291,3,FALSE))),"ERROR - No Name with this number in Entry List")</f>
        <v>&lt;-- Enter Race Number</v>
      </c>
      <c r="C147" s="99" t="str">
        <f>IFERROR(IF($A147="","",(VLOOKUP($A147,EntryList!$A$3:$H$291,4,FALSE))),"ERROR - No Name with this number in Master List")</f>
        <v/>
      </c>
      <c r="D147" s="99" t="str">
        <f>IFERROR(IF($A147="","",(VLOOKUP($A147,EntryList!$A$3:$H$291,5,FALSE))),"ERROR - No Name with this number in Master List")</f>
        <v/>
      </c>
      <c r="G147" s="11"/>
      <c r="H147" s="14"/>
    </row>
    <row r="148" spans="1:8">
      <c r="A148" s="8"/>
      <c r="B148" s="99" t="str">
        <f>IFERROR(IF($A148="","&lt;-- Enter Race Number",(VLOOKUP($A148,EntryList!$A$3:$H$291,3,FALSE))),"ERROR - No Name with this number in Entry List")</f>
        <v>&lt;-- Enter Race Number</v>
      </c>
      <c r="C148" s="99" t="str">
        <f>IFERROR(IF($A148="","",(VLOOKUP($A148,EntryList!$A$3:$H$291,4,FALSE))),"ERROR - No Name with this number in Master List")</f>
        <v/>
      </c>
      <c r="D148" s="99" t="str">
        <f>IFERROR(IF($A148="","",(VLOOKUP($A148,EntryList!$A$3:$H$291,5,FALSE))),"ERROR - No Name with this number in Master List")</f>
        <v/>
      </c>
      <c r="G148" s="11"/>
      <c r="H148" s="14"/>
    </row>
    <row r="149" spans="1:8">
      <c r="A149" s="8"/>
      <c r="B149" s="99" t="str">
        <f>IFERROR(IF($A149="","&lt;-- Enter Race Number",(VLOOKUP($A149,EntryList!$A$3:$H$291,3,FALSE))),"ERROR - No Name with this number in Entry List")</f>
        <v>&lt;-- Enter Race Number</v>
      </c>
      <c r="C149" s="99" t="str">
        <f>IFERROR(IF($A149="","",(VLOOKUP($A149,EntryList!$A$3:$H$291,4,FALSE))),"ERROR - No Name with this number in Master List")</f>
        <v/>
      </c>
      <c r="D149" s="99" t="str">
        <f>IFERROR(IF($A149="","",(VLOOKUP($A149,EntryList!$A$3:$H$291,5,FALSE))),"ERROR - No Name with this number in Master List")</f>
        <v/>
      </c>
      <c r="G149" s="11"/>
      <c r="H149" s="14"/>
    </row>
    <row r="150" spans="1:8">
      <c r="A150" s="8"/>
      <c r="B150" s="99" t="str">
        <f>IFERROR(IF($A150="","&lt;-- Enter Race Number",(VLOOKUP($A150,EntryList!$A$3:$H$291,3,FALSE))),"ERROR - No Name with this number in Entry List")</f>
        <v>&lt;-- Enter Race Number</v>
      </c>
      <c r="C150" s="99" t="str">
        <f>IFERROR(IF($A150="","",(VLOOKUP($A150,EntryList!$A$3:$H$291,4,FALSE))),"ERROR - No Name with this number in Master List")</f>
        <v/>
      </c>
      <c r="D150" s="99" t="str">
        <f>IFERROR(IF($A150="","",(VLOOKUP($A150,EntryList!$A$3:$H$291,5,FALSE))),"ERROR - No Name with this number in Master List")</f>
        <v/>
      </c>
      <c r="G150" s="11"/>
      <c r="H150" s="14"/>
    </row>
    <row r="151" spans="1:8">
      <c r="A151" s="8"/>
      <c r="B151" s="99" t="str">
        <f>IFERROR(IF($A151="","&lt;-- Enter Race Number",(VLOOKUP($A151,EntryList!$A$3:$H$291,3,FALSE))),"ERROR - No Name with this number in Entry List")</f>
        <v>&lt;-- Enter Race Number</v>
      </c>
      <c r="C151" s="99" t="str">
        <f>IFERROR(IF($A151="","",(VLOOKUP($A151,EntryList!$A$3:$H$291,4,FALSE))),"ERROR - No Name with this number in Master List")</f>
        <v/>
      </c>
      <c r="D151" s="99" t="str">
        <f>IFERROR(IF($A151="","",(VLOOKUP($A151,EntryList!$A$3:$H$291,5,FALSE))),"ERROR - No Name with this number in Master List")</f>
        <v/>
      </c>
      <c r="G151" s="11"/>
      <c r="H151" s="14"/>
    </row>
    <row r="152" spans="1:8">
      <c r="A152" s="8"/>
      <c r="B152" s="99" t="str">
        <f>IFERROR(IF($A152="","&lt;-- Enter Race Number",(VLOOKUP($A152,EntryList!$A$3:$H$291,3,FALSE))),"ERROR - No Name with this number in Entry List")</f>
        <v>&lt;-- Enter Race Number</v>
      </c>
      <c r="C152" s="99" t="str">
        <f>IFERROR(IF($A152="","",(VLOOKUP($A152,EntryList!$A$3:$H$291,4,FALSE))),"ERROR - No Name with this number in Master List")</f>
        <v/>
      </c>
      <c r="D152" s="99" t="str">
        <f>IFERROR(IF($A152="","",(VLOOKUP($A152,EntryList!$A$3:$H$291,5,FALSE))),"ERROR - No Name with this number in Master List")</f>
        <v/>
      </c>
      <c r="G152" s="11"/>
      <c r="H152" s="14"/>
    </row>
    <row r="153" spans="1:8">
      <c r="A153" s="8"/>
      <c r="B153" s="99" t="str">
        <f>IFERROR(IF($A153="","&lt;-- Enter Race Number",(VLOOKUP($A153,EntryList!$A$3:$H$291,3,FALSE))),"ERROR - No Name with this number in Entry List")</f>
        <v>&lt;-- Enter Race Number</v>
      </c>
      <c r="C153" s="99" t="str">
        <f>IFERROR(IF($A153="","",(VLOOKUP($A153,EntryList!$A$3:$H$291,4,FALSE))),"ERROR - No Name with this number in Master List")</f>
        <v/>
      </c>
      <c r="D153" s="99" t="str">
        <f>IFERROR(IF($A153="","",(VLOOKUP($A153,EntryList!$A$3:$H$291,5,FALSE))),"ERROR - No Name with this number in Master List")</f>
        <v/>
      </c>
      <c r="G153" s="11"/>
      <c r="H153" s="14"/>
    </row>
    <row r="154" spans="1:8">
      <c r="A154" s="8"/>
      <c r="B154" s="99" t="str">
        <f>IFERROR(IF($A154="","&lt;-- Enter Race Number",(VLOOKUP($A154,EntryList!$A$3:$H$291,3,FALSE))),"ERROR - No Name with this number in Entry List")</f>
        <v>&lt;-- Enter Race Number</v>
      </c>
      <c r="C154" s="99" t="str">
        <f>IFERROR(IF($A154="","",(VLOOKUP($A154,EntryList!$A$3:$H$291,4,FALSE))),"ERROR - No Name with this number in Master List")</f>
        <v/>
      </c>
      <c r="D154" s="99" t="str">
        <f>IFERROR(IF($A154="","",(VLOOKUP($A154,EntryList!$A$3:$H$291,5,FALSE))),"ERROR - No Name with this number in Master List")</f>
        <v/>
      </c>
      <c r="G154" s="11"/>
      <c r="H154" s="14"/>
    </row>
    <row r="155" spans="1:8">
      <c r="A155" s="8"/>
      <c r="B155" s="99" t="str">
        <f>IFERROR(IF($A155="","&lt;-- Enter Race Number",(VLOOKUP($A155,EntryList!$A$3:$H$291,3,FALSE))),"ERROR - No Name with this number in Entry List")</f>
        <v>&lt;-- Enter Race Number</v>
      </c>
      <c r="C155" s="99" t="str">
        <f>IFERROR(IF($A155="","",(VLOOKUP($A155,EntryList!$A$3:$H$291,4,FALSE))),"ERROR - No Name with this number in Master List")</f>
        <v/>
      </c>
      <c r="D155" s="99" t="str">
        <f>IFERROR(IF($A155="","",(VLOOKUP($A155,EntryList!$A$3:$H$291,5,FALSE))),"ERROR - No Name with this number in Master List")</f>
        <v/>
      </c>
      <c r="G155" s="11"/>
      <c r="H155" s="14"/>
    </row>
    <row r="156" spans="1:8">
      <c r="A156" s="8"/>
      <c r="B156" s="99" t="str">
        <f>IFERROR(IF($A156="","&lt;-- Enter Race Number",(VLOOKUP($A156,EntryList!$A$3:$H$291,3,FALSE))),"ERROR - No Name with this number in Entry List")</f>
        <v>&lt;-- Enter Race Number</v>
      </c>
      <c r="C156" s="99" t="str">
        <f>IFERROR(IF($A156="","",(VLOOKUP($A156,EntryList!$A$3:$H$291,4,FALSE))),"ERROR - No Name with this number in Master List")</f>
        <v/>
      </c>
      <c r="D156" s="99" t="str">
        <f>IFERROR(IF($A156="","",(VLOOKUP($A156,EntryList!$A$3:$H$291,5,FALSE))),"ERROR - No Name with this number in Master List")</f>
        <v/>
      </c>
      <c r="G156" s="11"/>
      <c r="H156" s="14"/>
    </row>
    <row r="157" spans="1:8">
      <c r="A157" s="8"/>
      <c r="B157" s="99" t="str">
        <f>IFERROR(IF($A157="","&lt;-- Enter Race Number",(VLOOKUP($A157,EntryList!$A$3:$H$291,3,FALSE))),"ERROR - No Name with this number in Entry List")</f>
        <v>&lt;-- Enter Race Number</v>
      </c>
      <c r="C157" s="99" t="str">
        <f>IFERROR(IF($A157="","",(VLOOKUP($A157,EntryList!$A$3:$H$291,4,FALSE))),"ERROR - No Name with this number in Master List")</f>
        <v/>
      </c>
      <c r="D157" s="99" t="str">
        <f>IFERROR(IF($A157="","",(VLOOKUP($A157,EntryList!$A$3:$H$291,5,FALSE))),"ERROR - No Name with this number in Master List")</f>
        <v/>
      </c>
      <c r="G157" s="11"/>
      <c r="H157" s="14"/>
    </row>
    <row r="158" spans="1:8">
      <c r="A158" s="8"/>
      <c r="B158" s="99" t="str">
        <f>IFERROR(IF($A158="","&lt;-- Enter Race Number",(VLOOKUP($A158,EntryList!$A$3:$H$291,3,FALSE))),"ERROR - No Name with this number in Entry List")</f>
        <v>&lt;-- Enter Race Number</v>
      </c>
      <c r="C158" s="99" t="str">
        <f>IFERROR(IF($A158="","",(VLOOKUP($A158,EntryList!$A$3:$H$291,4,FALSE))),"ERROR - No Name with this number in Master List")</f>
        <v/>
      </c>
      <c r="D158" s="99" t="str">
        <f>IFERROR(IF($A158="","",(VLOOKUP($A158,EntryList!$A$3:$H$291,5,FALSE))),"ERROR - No Name with this number in Master List")</f>
        <v/>
      </c>
      <c r="G158" s="11"/>
      <c r="H158" s="14"/>
    </row>
    <row r="159" spans="1:8">
      <c r="A159" s="8"/>
      <c r="B159" s="99" t="str">
        <f>IFERROR(IF($A159="","&lt;-- Enter Race Number",(VLOOKUP($A159,EntryList!$A$3:$H$291,3,FALSE))),"ERROR - No Name with this number in Entry List")</f>
        <v>&lt;-- Enter Race Number</v>
      </c>
      <c r="C159" s="99" t="str">
        <f>IFERROR(IF($A159="","",(VLOOKUP($A159,EntryList!$A$3:$H$291,4,FALSE))),"ERROR - No Name with this number in Master List")</f>
        <v/>
      </c>
      <c r="D159" s="99" t="str">
        <f>IFERROR(IF($A159="","",(VLOOKUP($A159,EntryList!$A$3:$H$291,5,FALSE))),"ERROR - No Name with this number in Master List")</f>
        <v/>
      </c>
      <c r="G159" s="11"/>
      <c r="H159" s="14"/>
    </row>
    <row r="160" spans="1:8">
      <c r="A160" s="8"/>
      <c r="B160" s="99" t="str">
        <f>IFERROR(IF($A160="","&lt;-- Enter Race Number",(VLOOKUP($A160,EntryList!$A$3:$H$291,3,FALSE))),"ERROR - No Name with this number in Entry List")</f>
        <v>&lt;-- Enter Race Number</v>
      </c>
      <c r="C160" s="99" t="str">
        <f>IFERROR(IF($A160="","",(VLOOKUP($A160,EntryList!$A$3:$H$291,4,FALSE))),"ERROR - No Name with this number in Master List")</f>
        <v/>
      </c>
      <c r="D160" s="99" t="str">
        <f>IFERROR(IF($A160="","",(VLOOKUP($A160,EntryList!$A$3:$H$291,5,FALSE))),"ERROR - No Name with this number in Master List")</f>
        <v/>
      </c>
      <c r="G160" s="11"/>
      <c r="H160" s="14"/>
    </row>
    <row r="161" spans="1:8">
      <c r="A161" s="8"/>
      <c r="B161" s="99" t="str">
        <f>IFERROR(IF($A161="","&lt;-- Enter Race Number",(VLOOKUP($A161,EntryList!$A$3:$H$291,3,FALSE))),"ERROR - No Name with this number in Entry List")</f>
        <v>&lt;-- Enter Race Number</v>
      </c>
      <c r="C161" s="99" t="str">
        <f>IFERROR(IF($A161="","",(VLOOKUP($A161,EntryList!$A$3:$H$291,4,FALSE))),"ERROR - No Name with this number in Master List")</f>
        <v/>
      </c>
      <c r="D161" s="99" t="str">
        <f>IFERROR(IF($A161="","",(VLOOKUP($A161,EntryList!$A$3:$H$291,5,FALSE))),"ERROR - No Name with this number in Master List")</f>
        <v/>
      </c>
      <c r="G161" s="11"/>
      <c r="H161" s="14"/>
    </row>
    <row r="162" spans="1:8">
      <c r="A162" s="8"/>
      <c r="B162" s="99" t="str">
        <f>IFERROR(IF($A162="","&lt;-- Enter Race Number",(VLOOKUP($A162,EntryList!$A$3:$H$291,3,FALSE))),"ERROR - No Name with this number in Entry List")</f>
        <v>&lt;-- Enter Race Number</v>
      </c>
      <c r="C162" s="99" t="str">
        <f>IFERROR(IF($A162="","",(VLOOKUP($A162,EntryList!$A$3:$H$291,4,FALSE))),"ERROR - No Name with this number in Master List")</f>
        <v/>
      </c>
      <c r="D162" s="99" t="str">
        <f>IFERROR(IF($A162="","",(VLOOKUP($A162,EntryList!$A$3:$H$291,5,FALSE))),"ERROR - No Name with this number in Master List")</f>
        <v/>
      </c>
      <c r="G162" s="11"/>
      <c r="H162" s="14"/>
    </row>
    <row r="163" spans="1:8">
      <c r="A163" s="8"/>
      <c r="B163" s="99" t="str">
        <f>IFERROR(IF($A163="","&lt;-- Enter Race Number",(VLOOKUP($A163,EntryList!$A$3:$H$291,3,FALSE))),"ERROR - No Name with this number in Entry List")</f>
        <v>&lt;-- Enter Race Number</v>
      </c>
      <c r="C163" s="99" t="str">
        <f>IFERROR(IF($A163="","",(VLOOKUP($A163,EntryList!$A$3:$H$291,4,FALSE))),"ERROR - No Name with this number in Master List")</f>
        <v/>
      </c>
      <c r="D163" s="99" t="str">
        <f>IFERROR(IF($A163="","",(VLOOKUP($A163,EntryList!$A$3:$H$291,5,FALSE))),"ERROR - No Name with this number in Master List")</f>
        <v/>
      </c>
      <c r="G163" s="11"/>
      <c r="H163" s="14"/>
    </row>
    <row r="164" spans="1:8">
      <c r="A164" s="8"/>
      <c r="B164" s="99" t="str">
        <f>IFERROR(IF($A164="","&lt;-- Enter Race Number",(VLOOKUP($A164,EntryList!$A$3:$H$291,3,FALSE))),"ERROR - No Name with this number in Entry List")</f>
        <v>&lt;-- Enter Race Number</v>
      </c>
      <c r="C164" s="99" t="str">
        <f>IFERROR(IF($A164="","",(VLOOKUP($A164,EntryList!$A$3:$H$291,4,FALSE))),"ERROR - No Name with this number in Master List")</f>
        <v/>
      </c>
      <c r="D164" s="99" t="str">
        <f>IFERROR(IF($A164="","",(VLOOKUP($A164,EntryList!$A$3:$H$291,5,FALSE))),"ERROR - No Name with this number in Master List")</f>
        <v/>
      </c>
      <c r="G164" s="11"/>
      <c r="H164" s="14"/>
    </row>
    <row r="165" spans="1:8">
      <c r="A165" s="8"/>
      <c r="B165" s="99" t="str">
        <f>IFERROR(IF($A165="","&lt;-- Enter Race Number",(VLOOKUP($A165,EntryList!$A$3:$H$291,3,FALSE))),"ERROR - No Name with this number in Entry List")</f>
        <v>&lt;-- Enter Race Number</v>
      </c>
      <c r="C165" s="99" t="str">
        <f>IFERROR(IF($A165="","",(VLOOKUP($A165,EntryList!$A$3:$H$291,4,FALSE))),"ERROR - No Name with this number in Master List")</f>
        <v/>
      </c>
      <c r="D165" s="99" t="str">
        <f>IFERROR(IF($A165="","",(VLOOKUP($A165,EntryList!$A$3:$H$291,5,FALSE))),"ERROR - No Name with this number in Master List")</f>
        <v/>
      </c>
      <c r="G165" s="11"/>
      <c r="H165" s="14"/>
    </row>
    <row r="166" spans="1:8">
      <c r="A166" s="8"/>
      <c r="B166" s="99" t="str">
        <f>IFERROR(IF($A166="","&lt;-- Enter Race Number",(VLOOKUP($A166,EntryList!$A$3:$H$291,3,FALSE))),"ERROR - No Name with this number in Entry List")</f>
        <v>&lt;-- Enter Race Number</v>
      </c>
      <c r="C166" s="99" t="str">
        <f>IFERROR(IF($A166="","",(VLOOKUP($A166,EntryList!$A$3:$H$291,4,FALSE))),"ERROR - No Name with this number in Master List")</f>
        <v/>
      </c>
      <c r="D166" s="99" t="str">
        <f>IFERROR(IF($A166="","",(VLOOKUP($A166,EntryList!$A$3:$H$291,5,FALSE))),"ERROR - No Name with this number in Master List")</f>
        <v/>
      </c>
      <c r="G166" s="11"/>
      <c r="H166" s="14"/>
    </row>
    <row r="167" spans="1:8">
      <c r="A167" s="8"/>
      <c r="B167" s="99" t="str">
        <f>IFERROR(IF($A167="","&lt;-- Enter Race Number",(VLOOKUP($A167,EntryList!$A$3:$H$291,3,FALSE))),"ERROR - No Name with this number in Entry List")</f>
        <v>&lt;-- Enter Race Number</v>
      </c>
      <c r="C167" s="99" t="str">
        <f>IFERROR(IF($A167="","",(VLOOKUP($A167,EntryList!$A$3:$H$291,4,FALSE))),"ERROR - No Name with this number in Master List")</f>
        <v/>
      </c>
      <c r="D167" s="99" t="str">
        <f>IFERROR(IF($A167="","",(VLOOKUP($A167,EntryList!$A$3:$H$291,5,FALSE))),"ERROR - No Name with this number in Master List")</f>
        <v/>
      </c>
      <c r="G167" s="11"/>
      <c r="H167" s="14"/>
    </row>
    <row r="168" spans="1:8">
      <c r="A168" s="8"/>
      <c r="B168" s="99" t="str">
        <f>IFERROR(IF($A168="","&lt;-- Enter Race Number",(VLOOKUP($A168,EntryList!$A$3:$H$291,3,FALSE))),"ERROR - No Name with this number in Entry List")</f>
        <v>&lt;-- Enter Race Number</v>
      </c>
      <c r="C168" s="99" t="str">
        <f>IFERROR(IF($A168="","",(VLOOKUP($A168,EntryList!$A$3:$H$291,4,FALSE))),"ERROR - No Name with this number in Master List")</f>
        <v/>
      </c>
      <c r="D168" s="99" t="str">
        <f>IFERROR(IF($A168="","",(VLOOKUP($A168,EntryList!$A$3:$H$291,5,FALSE))),"ERROR - No Name with this number in Master List")</f>
        <v/>
      </c>
      <c r="G168" s="11"/>
      <c r="H168" s="14"/>
    </row>
    <row r="169" spans="1:8">
      <c r="A169" s="8"/>
      <c r="B169" s="99" t="str">
        <f>IFERROR(IF($A169="","&lt;-- Enter Race Number",(VLOOKUP($A169,EntryList!$A$3:$H$291,3,FALSE))),"ERROR - No Name with this number in Entry List")</f>
        <v>&lt;-- Enter Race Number</v>
      </c>
      <c r="C169" s="99" t="str">
        <f>IFERROR(IF($A169="","",(VLOOKUP($A169,EntryList!$A$3:$H$291,4,FALSE))),"ERROR - No Name with this number in Master List")</f>
        <v/>
      </c>
      <c r="D169" s="99" t="str">
        <f>IFERROR(IF($A169="","",(VLOOKUP($A169,EntryList!$A$3:$H$291,5,FALSE))),"ERROR - No Name with this number in Master List")</f>
        <v/>
      </c>
      <c r="G169" s="11"/>
      <c r="H169" s="14"/>
    </row>
    <row r="170" spans="1:8">
      <c r="A170" s="8"/>
      <c r="B170" s="99" t="str">
        <f>IFERROR(IF($A170="","&lt;-- Enter Race Number",(VLOOKUP($A170,EntryList!$A$3:$H$291,3,FALSE))),"ERROR - No Name with this number in Entry List")</f>
        <v>&lt;-- Enter Race Number</v>
      </c>
      <c r="C170" s="99" t="str">
        <f>IFERROR(IF($A170="","",(VLOOKUP($A170,EntryList!$A$3:$H$291,4,FALSE))),"ERROR - No Name with this number in Master List")</f>
        <v/>
      </c>
      <c r="D170" s="99" t="str">
        <f>IFERROR(IF($A170="","",(VLOOKUP($A170,EntryList!$A$3:$H$291,5,FALSE))),"ERROR - No Name with this number in Master List")</f>
        <v/>
      </c>
      <c r="G170" s="11"/>
      <c r="H170" s="14"/>
    </row>
    <row r="171" spans="1:8">
      <c r="A171" s="8"/>
      <c r="B171" s="99" t="str">
        <f>IFERROR(IF($A171="","&lt;-- Enter Race Number",(VLOOKUP($A171,EntryList!$A$3:$H$291,3,FALSE))),"ERROR - No Name with this number in Entry List")</f>
        <v>&lt;-- Enter Race Number</v>
      </c>
      <c r="C171" s="99" t="str">
        <f>IFERROR(IF($A171="","",(VLOOKUP($A171,EntryList!$A$3:$H$291,4,FALSE))),"ERROR - No Name with this number in Master List")</f>
        <v/>
      </c>
      <c r="D171" s="99" t="str">
        <f>IFERROR(IF($A171="","",(VLOOKUP($A171,EntryList!$A$3:$H$291,5,FALSE))),"ERROR - No Name with this number in Master List")</f>
        <v/>
      </c>
      <c r="G171" s="11"/>
      <c r="H171" s="14"/>
    </row>
    <row r="172" spans="1:8">
      <c r="A172" s="8"/>
      <c r="B172" s="99" t="str">
        <f>IFERROR(IF($A172="","&lt;-- Enter Race Number",(VLOOKUP($A172,EntryList!$A$3:$H$291,3,FALSE))),"ERROR - No Name with this number in Entry List")</f>
        <v>&lt;-- Enter Race Number</v>
      </c>
      <c r="C172" s="99" t="str">
        <f>IFERROR(IF($A172="","",(VLOOKUP($A172,EntryList!$A$3:$H$291,4,FALSE))),"ERROR - No Name with this number in Master List")</f>
        <v/>
      </c>
      <c r="D172" s="99" t="str">
        <f>IFERROR(IF($A172="","",(VLOOKUP($A172,EntryList!$A$3:$H$291,5,FALSE))),"ERROR - No Name with this number in Master List")</f>
        <v/>
      </c>
      <c r="G172" s="11"/>
      <c r="H172" s="14"/>
    </row>
    <row r="173" spans="1:8">
      <c r="A173" s="8"/>
      <c r="B173" s="99" t="str">
        <f>IFERROR(IF($A173="","&lt;-- Enter Race Number",(VLOOKUP($A173,EntryList!$A$3:$H$291,3,FALSE))),"ERROR - No Name with this number in Entry List")</f>
        <v>&lt;-- Enter Race Number</v>
      </c>
      <c r="C173" s="99" t="str">
        <f>IFERROR(IF($A173="","",(VLOOKUP($A173,EntryList!$A$3:$H$291,4,FALSE))),"ERROR - No Name with this number in Master List")</f>
        <v/>
      </c>
      <c r="D173" s="99" t="str">
        <f>IFERROR(IF($A173="","",(VLOOKUP($A173,EntryList!$A$3:$H$291,5,FALSE))),"ERROR - No Name with this number in Master List")</f>
        <v/>
      </c>
      <c r="G173" s="11"/>
      <c r="H173" s="14"/>
    </row>
    <row r="174" spans="1:8">
      <c r="A174" s="8"/>
      <c r="B174" s="99" t="str">
        <f>IFERROR(IF($A174="","&lt;-- Enter Race Number",(VLOOKUP($A174,EntryList!$A$3:$H$291,3,FALSE))),"ERROR - No Name with this number in Entry List")</f>
        <v>&lt;-- Enter Race Number</v>
      </c>
      <c r="C174" s="99" t="str">
        <f>IFERROR(IF($A174="","",(VLOOKUP($A174,EntryList!$A$3:$H$291,4,FALSE))),"ERROR - No Name with this number in Master List")</f>
        <v/>
      </c>
      <c r="D174" s="99" t="str">
        <f>IFERROR(IF($A174="","",(VLOOKUP($A174,EntryList!$A$3:$H$291,5,FALSE))),"ERROR - No Name with this number in Master List")</f>
        <v/>
      </c>
      <c r="G174" s="11"/>
      <c r="H174" s="14"/>
    </row>
    <row r="175" spans="1:8">
      <c r="A175" s="8"/>
      <c r="B175" s="99" t="str">
        <f>IFERROR(IF($A175="","&lt;-- Enter Race Number",(VLOOKUP($A175,EntryList!$A$3:$H$291,3,FALSE))),"ERROR - No Name with this number in Entry List")</f>
        <v>&lt;-- Enter Race Number</v>
      </c>
      <c r="C175" s="99" t="str">
        <f>IFERROR(IF($A175="","",(VLOOKUP($A175,EntryList!$A$3:$H$291,4,FALSE))),"ERROR - No Name with this number in Master List")</f>
        <v/>
      </c>
      <c r="D175" s="99" t="str">
        <f>IFERROR(IF($A175="","",(VLOOKUP($A175,EntryList!$A$3:$H$291,5,FALSE))),"ERROR - No Name with this number in Master List")</f>
        <v/>
      </c>
      <c r="G175" s="11"/>
      <c r="H175" s="14"/>
    </row>
    <row r="176" spans="1:8">
      <c r="A176" s="8"/>
      <c r="B176" s="99" t="str">
        <f>IFERROR(IF($A176="","&lt;-- Enter Race Number",(VLOOKUP($A176,EntryList!$A$3:$H$291,3,FALSE))),"ERROR - No Name with this number in Entry List")</f>
        <v>&lt;-- Enter Race Number</v>
      </c>
      <c r="C176" s="99" t="str">
        <f>IFERROR(IF($A176="","",(VLOOKUP($A176,EntryList!$A$3:$H$291,4,FALSE))),"ERROR - No Name with this number in Master List")</f>
        <v/>
      </c>
      <c r="D176" s="99" t="str">
        <f>IFERROR(IF($A176="","",(VLOOKUP($A176,EntryList!$A$3:$H$291,5,FALSE))),"ERROR - No Name with this number in Master List")</f>
        <v/>
      </c>
      <c r="G176" s="11"/>
      <c r="H176" s="14"/>
    </row>
    <row r="177" spans="1:8">
      <c r="A177" s="8"/>
      <c r="B177" s="99" t="str">
        <f>IFERROR(IF($A177="","&lt;-- Enter Race Number",(VLOOKUP($A177,EntryList!$A$3:$H$291,3,FALSE))),"ERROR - No Name with this number in Entry List")</f>
        <v>&lt;-- Enter Race Number</v>
      </c>
      <c r="C177" s="99" t="str">
        <f>IFERROR(IF($A177="","",(VLOOKUP($A177,EntryList!$A$3:$H$291,4,FALSE))),"ERROR - No Name with this number in Master List")</f>
        <v/>
      </c>
      <c r="D177" s="99" t="str">
        <f>IFERROR(IF($A177="","",(VLOOKUP($A177,EntryList!$A$3:$H$291,5,FALSE))),"ERROR - No Name with this number in Master List")</f>
        <v/>
      </c>
      <c r="G177" s="11"/>
      <c r="H177" s="14"/>
    </row>
    <row r="178" spans="1:8">
      <c r="A178" s="8"/>
      <c r="B178" s="99" t="str">
        <f>IFERROR(IF($A178="","&lt;-- Enter Race Number",(VLOOKUP($A178,EntryList!$A$3:$H$291,3,FALSE))),"ERROR - No Name with this number in Entry List")</f>
        <v>&lt;-- Enter Race Number</v>
      </c>
      <c r="C178" s="99" t="str">
        <f>IFERROR(IF($A178="","",(VLOOKUP($A178,EntryList!$A$3:$H$291,4,FALSE))),"ERROR - No Name with this number in Master List")</f>
        <v/>
      </c>
      <c r="D178" s="99" t="str">
        <f>IFERROR(IF($A178="","",(VLOOKUP($A178,EntryList!$A$3:$H$291,5,FALSE))),"ERROR - No Name with this number in Master List")</f>
        <v/>
      </c>
      <c r="G178" s="11"/>
      <c r="H178" s="14"/>
    </row>
    <row r="179" spans="1:8">
      <c r="A179" s="8"/>
      <c r="B179" s="99" t="str">
        <f>IFERROR(IF($A179="","&lt;-- Enter Race Number",(VLOOKUP($A179,EntryList!$A$3:$H$291,3,FALSE))),"ERROR - No Name with this number in Entry List")</f>
        <v>&lt;-- Enter Race Number</v>
      </c>
      <c r="C179" s="99" t="str">
        <f>IFERROR(IF($A179="","",(VLOOKUP($A179,EntryList!$A$3:$H$291,4,FALSE))),"ERROR - No Name with this number in Master List")</f>
        <v/>
      </c>
      <c r="D179" s="99" t="str">
        <f>IFERROR(IF($A179="","",(VLOOKUP($A179,EntryList!$A$3:$H$291,5,FALSE))),"ERROR - No Name with this number in Master List")</f>
        <v/>
      </c>
      <c r="G179" s="11"/>
      <c r="H179" s="14"/>
    </row>
    <row r="180" spans="1:8">
      <c r="A180" s="8"/>
      <c r="B180" s="99" t="str">
        <f>IFERROR(IF($A180="","&lt;-- Enter Race Number",(VLOOKUP($A180,EntryList!$A$3:$H$291,3,FALSE))),"ERROR - No Name with this number in Entry List")</f>
        <v>&lt;-- Enter Race Number</v>
      </c>
      <c r="C180" s="99" t="str">
        <f>IFERROR(IF($A180="","",(VLOOKUP($A180,EntryList!$A$3:$H$291,4,FALSE))),"ERROR - No Name with this number in Master List")</f>
        <v/>
      </c>
      <c r="D180" s="99" t="str">
        <f>IFERROR(IF($A180="","",(VLOOKUP($A180,EntryList!$A$3:$H$291,5,FALSE))),"ERROR - No Name with this number in Master List")</f>
        <v/>
      </c>
      <c r="G180" s="11"/>
      <c r="H180" s="14"/>
    </row>
    <row r="181" spans="1:8">
      <c r="A181" s="8"/>
      <c r="B181" s="99" t="str">
        <f>IFERROR(IF($A181="","&lt;-- Enter Race Number",(VLOOKUP($A181,EntryList!$A$3:$H$291,3,FALSE))),"ERROR - No Name with this number in Entry List")</f>
        <v>&lt;-- Enter Race Number</v>
      </c>
      <c r="C181" s="99" t="str">
        <f>IFERROR(IF($A181="","",(VLOOKUP($A181,EntryList!$A$3:$H$291,4,FALSE))),"ERROR - No Name with this number in Master List")</f>
        <v/>
      </c>
      <c r="D181" s="99" t="str">
        <f>IFERROR(IF($A181="","",(VLOOKUP($A181,EntryList!$A$3:$H$291,5,FALSE))),"ERROR - No Name with this number in Master List")</f>
        <v/>
      </c>
      <c r="G181" s="11"/>
      <c r="H181" s="14"/>
    </row>
    <row r="182" spans="1:8">
      <c r="A182" s="8"/>
      <c r="B182" s="99" t="str">
        <f>IFERROR(IF($A182="","&lt;-- Enter Race Number",(VLOOKUP($A182,EntryList!$A$3:$H$291,3,FALSE))),"ERROR - No Name with this number in Entry List")</f>
        <v>&lt;-- Enter Race Number</v>
      </c>
      <c r="C182" s="99" t="str">
        <f>IFERROR(IF($A182="","",(VLOOKUP($A182,EntryList!$A$3:$H$291,4,FALSE))),"ERROR - No Name with this number in Master List")</f>
        <v/>
      </c>
      <c r="D182" s="99" t="str">
        <f>IFERROR(IF($A182="","",(VLOOKUP($A182,EntryList!$A$3:$H$291,5,FALSE))),"ERROR - No Name with this number in Master List")</f>
        <v/>
      </c>
      <c r="G182" s="11"/>
      <c r="H182" s="14"/>
    </row>
    <row r="183" spans="1:8">
      <c r="A183" s="8"/>
      <c r="B183" s="99" t="str">
        <f>IFERROR(IF($A183="","&lt;-- Enter Race Number",(VLOOKUP($A183,EntryList!$A$3:$H$291,3,FALSE))),"ERROR - No Name with this number in Entry List")</f>
        <v>&lt;-- Enter Race Number</v>
      </c>
      <c r="C183" s="99" t="str">
        <f>IFERROR(IF($A183="","",(VLOOKUP($A183,EntryList!$A$3:$H$291,4,FALSE))),"ERROR - No Name with this number in Master List")</f>
        <v/>
      </c>
      <c r="D183" s="99" t="str">
        <f>IFERROR(IF($A183="","",(VLOOKUP($A183,EntryList!$A$3:$H$291,5,FALSE))),"ERROR - No Name with this number in Master List")</f>
        <v/>
      </c>
      <c r="G183" s="11"/>
      <c r="H183" s="14"/>
    </row>
    <row r="184" spans="1:8">
      <c r="A184" s="8"/>
      <c r="B184" s="99" t="str">
        <f>IFERROR(IF($A184="","&lt;-- Enter Race Number",(VLOOKUP($A184,EntryList!$A$3:$H$291,3,FALSE))),"ERROR - No Name with this number in Entry List")</f>
        <v>&lt;-- Enter Race Number</v>
      </c>
      <c r="C184" s="99" t="str">
        <f>IFERROR(IF($A184="","",(VLOOKUP($A184,EntryList!$A$3:$H$291,4,FALSE))),"ERROR - No Name with this number in Master List")</f>
        <v/>
      </c>
      <c r="D184" s="99" t="str">
        <f>IFERROR(IF($A184="","",(VLOOKUP($A184,EntryList!$A$3:$H$291,5,FALSE))),"ERROR - No Name with this number in Master List")</f>
        <v/>
      </c>
      <c r="G184" s="11"/>
      <c r="H184" s="14"/>
    </row>
    <row r="185" spans="1:8">
      <c r="A185" s="8"/>
      <c r="B185" s="99" t="str">
        <f>IFERROR(IF($A185="","&lt;-- Enter Race Number",(VLOOKUP($A185,EntryList!$A$3:$H$291,3,FALSE))),"ERROR - No Name with this number in Entry List")</f>
        <v>&lt;-- Enter Race Number</v>
      </c>
      <c r="C185" s="99" t="str">
        <f>IFERROR(IF($A185="","",(VLOOKUP($A185,EntryList!$A$3:$H$291,4,FALSE))),"ERROR - No Name with this number in Master List")</f>
        <v/>
      </c>
      <c r="D185" s="99" t="str">
        <f>IFERROR(IF($A185="","",(VLOOKUP($A185,EntryList!$A$3:$H$291,5,FALSE))),"ERROR - No Name with this number in Master List")</f>
        <v/>
      </c>
      <c r="G185" s="11"/>
      <c r="H185" s="14"/>
    </row>
    <row r="186" spans="1:8">
      <c r="A186" s="8"/>
      <c r="B186" s="99" t="str">
        <f>IFERROR(IF($A186="","&lt;-- Enter Race Number",(VLOOKUP($A186,EntryList!$A$3:$H$291,3,FALSE))),"ERROR - No Name with this number in Entry List")</f>
        <v>&lt;-- Enter Race Number</v>
      </c>
      <c r="C186" s="99" t="str">
        <f>IFERROR(IF($A186="","",(VLOOKUP($A186,EntryList!$A$3:$H$291,4,FALSE))),"ERROR - No Name with this number in Master List")</f>
        <v/>
      </c>
      <c r="D186" s="99" t="str">
        <f>IFERROR(IF($A186="","",(VLOOKUP($A186,EntryList!$A$3:$H$291,5,FALSE))),"ERROR - No Name with this number in Master List")</f>
        <v/>
      </c>
      <c r="G186" s="11"/>
      <c r="H186" s="14"/>
    </row>
    <row r="187" spans="1:8">
      <c r="A187" s="8"/>
      <c r="B187" s="99" t="str">
        <f>IFERROR(IF($A187="","&lt;-- Enter Race Number",(VLOOKUP($A187,EntryList!$A$3:$H$291,3,FALSE))),"ERROR - No Name with this number in Entry List")</f>
        <v>&lt;-- Enter Race Number</v>
      </c>
      <c r="C187" s="99" t="str">
        <f>IFERROR(IF($A187="","",(VLOOKUP($A187,EntryList!$A$3:$H$291,4,FALSE))),"ERROR - No Name with this number in Master List")</f>
        <v/>
      </c>
      <c r="D187" s="99" t="str">
        <f>IFERROR(IF($A187="","",(VLOOKUP($A187,EntryList!$A$3:$H$291,5,FALSE))),"ERROR - No Name with this number in Master List")</f>
        <v/>
      </c>
      <c r="G187" s="11"/>
      <c r="H187" s="14"/>
    </row>
    <row r="188" spans="1:8">
      <c r="A188" s="8"/>
      <c r="B188" s="99" t="str">
        <f>IFERROR(IF($A188="","&lt;-- Enter Race Number",(VLOOKUP($A188,EntryList!$A$3:$H$291,3,FALSE))),"ERROR - No Name with this number in Entry List")</f>
        <v>&lt;-- Enter Race Number</v>
      </c>
      <c r="C188" s="99" t="str">
        <f>IFERROR(IF($A188="","",(VLOOKUP($A188,EntryList!$A$3:$H$291,4,FALSE))),"ERROR - No Name with this number in Master List")</f>
        <v/>
      </c>
      <c r="D188" s="99" t="str">
        <f>IFERROR(IF($A188="","",(VLOOKUP($A188,EntryList!$A$3:$H$291,5,FALSE))),"ERROR - No Name with this number in Master List")</f>
        <v/>
      </c>
      <c r="G188" s="11"/>
      <c r="H188" s="14"/>
    </row>
    <row r="189" spans="1:8">
      <c r="A189" s="8"/>
      <c r="B189" s="99" t="str">
        <f>IFERROR(IF($A189="","&lt;-- Enter Race Number",(VLOOKUP($A189,EntryList!$A$3:$H$291,3,FALSE))),"ERROR - No Name with this number in Entry List")</f>
        <v>&lt;-- Enter Race Number</v>
      </c>
      <c r="C189" s="99" t="str">
        <f>IFERROR(IF($A189="","",(VLOOKUP($A189,EntryList!$A$3:$H$291,4,FALSE))),"ERROR - No Name with this number in Master List")</f>
        <v/>
      </c>
      <c r="D189" s="99" t="str">
        <f>IFERROR(IF($A189="","",(VLOOKUP($A189,EntryList!$A$3:$H$291,5,FALSE))),"ERROR - No Name with this number in Master List")</f>
        <v/>
      </c>
      <c r="G189" s="11"/>
      <c r="H189" s="14"/>
    </row>
    <row r="190" spans="1:8">
      <c r="A190" s="8"/>
      <c r="B190" s="99" t="str">
        <f>IFERROR(IF($A190="","&lt;-- Enter Race Number",(VLOOKUP($A190,EntryList!$A$3:$H$291,3,FALSE))),"ERROR - No Name with this number in Entry List")</f>
        <v>&lt;-- Enter Race Number</v>
      </c>
      <c r="C190" s="99" t="str">
        <f>IFERROR(IF($A190="","",(VLOOKUP($A190,EntryList!$A$3:$H$291,4,FALSE))),"ERROR - No Name with this number in Master List")</f>
        <v/>
      </c>
      <c r="D190" s="99" t="str">
        <f>IFERROR(IF($A190="","",(VLOOKUP($A190,EntryList!$A$3:$H$291,5,FALSE))),"ERROR - No Name with this number in Master List")</f>
        <v/>
      </c>
      <c r="G190" s="11"/>
      <c r="H190" s="14"/>
    </row>
    <row r="191" spans="1:8">
      <c r="A191" s="8"/>
      <c r="B191" s="99" t="str">
        <f>IFERROR(IF($A191="","&lt;-- Enter Race Number",(VLOOKUP($A191,EntryList!$A$3:$H$291,3,FALSE))),"ERROR - No Name with this number in Entry List")</f>
        <v>&lt;-- Enter Race Number</v>
      </c>
      <c r="C191" s="99" t="str">
        <f>IFERROR(IF($A191="","",(VLOOKUP($A191,EntryList!$A$3:$H$291,4,FALSE))),"ERROR - No Name with this number in Master List")</f>
        <v/>
      </c>
      <c r="D191" s="99" t="str">
        <f>IFERROR(IF($A191="","",(VLOOKUP($A191,EntryList!$A$3:$H$291,5,FALSE))),"ERROR - No Name with this number in Master List")</f>
        <v/>
      </c>
      <c r="G191" s="11"/>
      <c r="H191" s="14"/>
    </row>
    <row r="192" spans="1:8">
      <c r="A192" s="8"/>
      <c r="B192" s="99" t="str">
        <f>IFERROR(IF($A192="","&lt;-- Enter Race Number",(VLOOKUP($A192,EntryList!$A$3:$H$291,3,FALSE))),"ERROR - No Name with this number in Entry List")</f>
        <v>&lt;-- Enter Race Number</v>
      </c>
      <c r="C192" s="99" t="str">
        <f>IFERROR(IF($A192="","",(VLOOKUP($A192,EntryList!$A$3:$H$291,4,FALSE))),"ERROR - No Name with this number in Master List")</f>
        <v/>
      </c>
      <c r="D192" s="99" t="str">
        <f>IFERROR(IF($A192="","",(VLOOKUP($A192,EntryList!$A$3:$H$291,5,FALSE))),"ERROR - No Name with this number in Master List")</f>
        <v/>
      </c>
      <c r="G192" s="11"/>
      <c r="H192" s="14"/>
    </row>
    <row r="193" spans="1:8">
      <c r="A193" s="8"/>
      <c r="B193" s="99" t="str">
        <f>IFERROR(IF($A193="","&lt;-- Enter Race Number",(VLOOKUP($A193,EntryList!$A$3:$H$291,3,FALSE))),"ERROR - No Name with this number in Entry List")</f>
        <v>&lt;-- Enter Race Number</v>
      </c>
      <c r="C193" s="99" t="str">
        <f>IFERROR(IF($A193="","",(VLOOKUP($A193,EntryList!$A$3:$H$291,4,FALSE))),"ERROR - No Name with this number in Master List")</f>
        <v/>
      </c>
      <c r="D193" s="99" t="str">
        <f>IFERROR(IF($A193="","",(VLOOKUP($A193,EntryList!$A$3:$H$291,5,FALSE))),"ERROR - No Name with this number in Master List")</f>
        <v/>
      </c>
      <c r="G193" s="11"/>
      <c r="H193" s="14"/>
    </row>
    <row r="194" spans="1:8">
      <c r="A194" s="8"/>
      <c r="B194" s="99" t="str">
        <f>IFERROR(IF($A194="","&lt;-- Enter Race Number",(VLOOKUP($A194,EntryList!$A$3:$H$291,3,FALSE))),"ERROR - No Name with this number in Entry List")</f>
        <v>&lt;-- Enter Race Number</v>
      </c>
      <c r="C194" s="99" t="str">
        <f>IFERROR(IF($A194="","",(VLOOKUP($A194,EntryList!$A$3:$H$291,4,FALSE))),"ERROR - No Name with this number in Master List")</f>
        <v/>
      </c>
      <c r="D194" s="99" t="str">
        <f>IFERROR(IF($A194="","",(VLOOKUP($A194,EntryList!$A$3:$H$291,5,FALSE))),"ERROR - No Name with this number in Master List")</f>
        <v/>
      </c>
      <c r="G194" s="11"/>
      <c r="H194" s="14"/>
    </row>
    <row r="195" spans="1:8">
      <c r="A195" s="8"/>
      <c r="B195" s="99" t="str">
        <f>IFERROR(IF($A195="","&lt;-- Enter Race Number",(VLOOKUP($A195,EntryList!$A$3:$H$291,3,FALSE))),"ERROR - No Name with this number in Entry List")</f>
        <v>&lt;-- Enter Race Number</v>
      </c>
      <c r="C195" s="99" t="str">
        <f>IFERROR(IF($A195="","",(VLOOKUP($A195,EntryList!$A$3:$H$291,4,FALSE))),"ERROR - No Name with this number in Master List")</f>
        <v/>
      </c>
      <c r="D195" s="99" t="str">
        <f>IFERROR(IF($A195="","",(VLOOKUP($A195,EntryList!$A$3:$H$291,5,FALSE))),"ERROR - No Name with this number in Master List")</f>
        <v/>
      </c>
      <c r="G195" s="11"/>
      <c r="H195" s="14"/>
    </row>
    <row r="196" spans="1:8">
      <c r="A196" s="8"/>
      <c r="B196" s="99" t="str">
        <f>IFERROR(IF($A196="","&lt;-- Enter Race Number",(VLOOKUP($A196,EntryList!$A$3:$H$291,3,FALSE))),"ERROR - No Name with this number in Entry List")</f>
        <v>&lt;-- Enter Race Number</v>
      </c>
      <c r="C196" s="99" t="str">
        <f>IFERROR(IF($A196="","",(VLOOKUP($A196,EntryList!$A$3:$H$291,4,FALSE))),"ERROR - No Name with this number in Master List")</f>
        <v/>
      </c>
      <c r="D196" s="99" t="str">
        <f>IFERROR(IF($A196="","",(VLOOKUP($A196,EntryList!$A$3:$H$291,5,FALSE))),"ERROR - No Name with this number in Master List")</f>
        <v/>
      </c>
      <c r="G196" s="11"/>
      <c r="H196" s="14"/>
    </row>
    <row r="197" spans="1:8">
      <c r="A197" s="8"/>
      <c r="B197" s="99" t="str">
        <f>IFERROR(IF($A197="","&lt;-- Enter Race Number",(VLOOKUP($A197,EntryList!$A$3:$H$291,3,FALSE))),"ERROR - No Name with this number in Entry List")</f>
        <v>&lt;-- Enter Race Number</v>
      </c>
      <c r="C197" s="99" t="str">
        <f>IFERROR(IF($A197="","",(VLOOKUP($A197,EntryList!$A$3:$H$291,4,FALSE))),"ERROR - No Name with this number in Master List")</f>
        <v/>
      </c>
      <c r="D197" s="99" t="str">
        <f>IFERROR(IF($A197="","",(VLOOKUP($A197,EntryList!$A$3:$H$291,5,FALSE))),"ERROR - No Name with this number in Master List")</f>
        <v/>
      </c>
      <c r="G197" s="11"/>
      <c r="H197" s="14"/>
    </row>
    <row r="198" spans="1:8">
      <c r="A198" s="8"/>
      <c r="B198" s="99" t="str">
        <f>IFERROR(IF($A198="","&lt;-- Enter Race Number",(VLOOKUP($A198,EntryList!$A$3:$H$291,3,FALSE))),"ERROR - No Name with this number in Entry List")</f>
        <v>&lt;-- Enter Race Number</v>
      </c>
      <c r="C198" s="99" t="str">
        <f>IFERROR(IF($A198="","",(VLOOKUP($A198,EntryList!$A$3:$H$291,4,FALSE))),"ERROR - No Name with this number in Master List")</f>
        <v/>
      </c>
      <c r="D198" s="99" t="str">
        <f>IFERROR(IF($A198="","",(VLOOKUP($A198,EntryList!$A$3:$H$291,5,FALSE))),"ERROR - No Name with this number in Master List")</f>
        <v/>
      </c>
      <c r="G198" s="11"/>
      <c r="H198" s="14"/>
    </row>
    <row r="199" spans="1:8">
      <c r="A199" s="8"/>
      <c r="B199" s="99" t="str">
        <f>IFERROR(IF($A199="","&lt;-- Enter Race Number",(VLOOKUP($A199,EntryList!$A$3:$H$291,3,FALSE))),"ERROR - No Name with this number in Entry List")</f>
        <v>&lt;-- Enter Race Number</v>
      </c>
      <c r="C199" s="99" t="str">
        <f>IFERROR(IF($A199="","",(VLOOKUP($A199,EntryList!$A$3:$H$291,4,FALSE))),"ERROR - No Name with this number in Master List")</f>
        <v/>
      </c>
      <c r="D199" s="99" t="str">
        <f>IFERROR(IF($A199="","",(VLOOKUP($A199,EntryList!$A$3:$H$291,5,FALSE))),"ERROR - No Name with this number in Master List")</f>
        <v/>
      </c>
      <c r="G199" s="11"/>
      <c r="H199" s="14"/>
    </row>
    <row r="200" spans="1:8">
      <c r="A200" s="8"/>
      <c r="B200" s="99" t="str">
        <f>IFERROR(IF($A200="","&lt;-- Enter Race Number",(VLOOKUP($A200,EntryList!$A$3:$H$291,3,FALSE))),"ERROR - No Name with this number in Entry List")</f>
        <v>&lt;-- Enter Race Number</v>
      </c>
      <c r="C200" s="99" t="str">
        <f>IFERROR(IF($A200="","",(VLOOKUP($A200,EntryList!$A$3:$H$291,4,FALSE))),"ERROR - No Name with this number in Master List")</f>
        <v/>
      </c>
      <c r="D200" s="99" t="str">
        <f>IFERROR(IF($A200="","",(VLOOKUP($A200,EntryList!$A$3:$H$291,5,FALSE))),"ERROR - No Name with this number in Master List")</f>
        <v/>
      </c>
      <c r="G200" s="11"/>
      <c r="H200" s="14"/>
    </row>
    <row r="201" spans="1:8">
      <c r="A201" s="8"/>
      <c r="B201" s="99" t="str">
        <f>IFERROR(IF($A201="","&lt;-- Enter Race Number",(VLOOKUP($A201,EntryList!$A$3:$H$291,3,FALSE))),"ERROR - No Name with this number in Entry List")</f>
        <v>&lt;-- Enter Race Number</v>
      </c>
      <c r="C201" s="99" t="str">
        <f>IFERROR(IF($A201="","",(VLOOKUP($A201,EntryList!$A$3:$H$291,4,FALSE))),"ERROR - No Name with this number in Master List")</f>
        <v/>
      </c>
      <c r="D201" s="99" t="str">
        <f>IFERROR(IF($A201="","",(VLOOKUP($A201,EntryList!$A$3:$H$291,5,FALSE))),"ERROR - No Name with this number in Master List")</f>
        <v/>
      </c>
      <c r="G201" s="11"/>
    </row>
    <row r="202" spans="1:8">
      <c r="A202" s="8"/>
      <c r="B202" s="99" t="str">
        <f>IFERROR(IF($A202="","&lt;-- Enter Race Number",(VLOOKUP($A202,EntryList!$A$3:$H$291,3,FALSE))),"ERROR - No Name with this number in Entry List")</f>
        <v>&lt;-- Enter Race Number</v>
      </c>
      <c r="C202" s="99" t="str">
        <f>IFERROR(IF($A202="","",(VLOOKUP($A202,EntryList!$A$3:$H$291,4,FALSE))),"ERROR - No Name with this number in Master List")</f>
        <v/>
      </c>
      <c r="D202" s="99" t="str">
        <f>IFERROR(IF($A202="","",(VLOOKUP($A202,EntryList!$A$3:$H$291,5,FALSE))),"ERROR - No Name with this number in Master List")</f>
        <v/>
      </c>
      <c r="G202" s="11"/>
    </row>
    <row r="203" spans="1:8">
      <c r="A203" s="8"/>
      <c r="B203" s="99" t="str">
        <f>IFERROR(IF($A203="","&lt;-- Enter Race Number",(VLOOKUP($A203,EntryList!$A$3:$H$291,3,FALSE))),"ERROR - No Name with this number in Entry List")</f>
        <v>&lt;-- Enter Race Number</v>
      </c>
      <c r="C203" s="99" t="str">
        <f>IFERROR(IF($A203="","",(VLOOKUP($A203,EntryList!$A$3:$H$291,4,FALSE))),"ERROR - No Name with this number in Master List")</f>
        <v/>
      </c>
      <c r="D203" s="99" t="str">
        <f>IFERROR(IF($A203="","",(VLOOKUP($A203,EntryList!$A$3:$H$291,5,FALSE))),"ERROR - No Name with this number in Master List")</f>
        <v/>
      </c>
      <c r="G203" s="11"/>
    </row>
    <row r="204" spans="1:8">
      <c r="A204" s="8"/>
      <c r="B204" s="99" t="str">
        <f>IFERROR(IF($A204="","&lt;-- Enter Race Number",(VLOOKUP($A204,EntryList!$A$3:$H$291,3,FALSE))),"ERROR - No Name with this number in Entry List")</f>
        <v>&lt;-- Enter Race Number</v>
      </c>
      <c r="C204" s="99" t="str">
        <f>IFERROR(IF($A204="","",(VLOOKUP($A204,EntryList!$A$3:$H$291,4,FALSE))),"ERROR - No Name with this number in Master List")</f>
        <v/>
      </c>
      <c r="D204" s="99" t="str">
        <f>IFERROR(IF($A204="","",(VLOOKUP($A204,EntryList!$A$3:$H$291,5,FALSE))),"ERROR - No Name with this number in Master List")</f>
        <v/>
      </c>
      <c r="G204" s="11"/>
    </row>
    <row r="205" spans="1:8">
      <c r="A205" s="8"/>
      <c r="B205" s="99" t="str">
        <f>IFERROR(IF($A205="","&lt;-- Enter Race Number",(VLOOKUP($A205,EntryList!$A$3:$H$291,3,FALSE))),"ERROR - No Name with this number in Entry List")</f>
        <v>&lt;-- Enter Race Number</v>
      </c>
      <c r="C205" s="99" t="str">
        <f>IFERROR(IF($A205="","",(VLOOKUP($A205,EntryList!$A$3:$H$291,4,FALSE))),"ERROR - No Name with this number in Master List")</f>
        <v/>
      </c>
      <c r="D205" s="99" t="str">
        <f>IFERROR(IF($A205="","",(VLOOKUP($A205,EntryList!$A$3:$H$291,5,FALSE))),"ERROR - No Name with this number in Master List")</f>
        <v/>
      </c>
      <c r="G205" s="11"/>
    </row>
    <row r="206" spans="1:8">
      <c r="A206" s="8"/>
      <c r="B206" s="99" t="str">
        <f>IFERROR(IF($A206="","&lt;-- Enter Race Number",(VLOOKUP($A206,EntryList!$A$3:$H$291,3,FALSE))),"ERROR - No Name with this number in Entry List")</f>
        <v>&lt;-- Enter Race Number</v>
      </c>
      <c r="C206" s="99" t="str">
        <f>IFERROR(IF($A206="","",(VLOOKUP($A206,EntryList!$A$3:$H$291,4,FALSE))),"ERROR - No Name with this number in Master List")</f>
        <v/>
      </c>
      <c r="D206" s="99" t="str">
        <f>IFERROR(IF($A206="","",(VLOOKUP($A206,EntryList!$A$3:$H$291,5,FALSE))),"ERROR - No Name with this number in Master List")</f>
        <v/>
      </c>
      <c r="G206" s="11"/>
    </row>
    <row r="207" spans="1:8">
      <c r="A207" s="8"/>
      <c r="B207" s="99" t="str">
        <f>IFERROR(IF($A207="","&lt;-- Enter Race Number",(VLOOKUP($A207,EntryList!$A$3:$H$291,3,FALSE))),"ERROR - No Name with this number in Entry List")</f>
        <v>&lt;-- Enter Race Number</v>
      </c>
      <c r="C207" s="99" t="str">
        <f>IFERROR(IF($A207="","",(VLOOKUP($A207,EntryList!$A$3:$H$291,4,FALSE))),"ERROR - No Name with this number in Master List")</f>
        <v/>
      </c>
      <c r="D207" s="99" t="str">
        <f>IFERROR(IF($A207="","",(VLOOKUP($A207,EntryList!$A$3:$H$291,5,FALSE))),"ERROR - No Name with this number in Master List")</f>
        <v/>
      </c>
      <c r="G207" s="11"/>
    </row>
    <row r="208" spans="1:8">
      <c r="A208" s="8"/>
      <c r="B208" s="99" t="str">
        <f>IFERROR(IF($A208="","&lt;-- Enter Race Number",(VLOOKUP($A208,EntryList!$A$3:$H$291,3,FALSE))),"ERROR - No Name with this number in Entry List")</f>
        <v>&lt;-- Enter Race Number</v>
      </c>
      <c r="C208" s="99" t="str">
        <f>IFERROR(IF($A208="","",(VLOOKUP($A208,EntryList!$A$3:$H$291,4,FALSE))),"ERROR - No Name with this number in Master List")</f>
        <v/>
      </c>
      <c r="D208" s="99" t="str">
        <f>IFERROR(IF($A208="","",(VLOOKUP($A208,EntryList!$A$3:$H$291,5,FALSE))),"ERROR - No Name with this number in Master List")</f>
        <v/>
      </c>
      <c r="G208" s="11"/>
    </row>
    <row r="209" spans="1:7">
      <c r="A209" s="8"/>
      <c r="B209" s="99" t="str">
        <f>IFERROR(IF($A209="","&lt;-- Enter Race Number",(VLOOKUP($A209,EntryList!$A$3:$H$291,3,FALSE))),"ERROR - No Name with this number in Entry List")</f>
        <v>&lt;-- Enter Race Number</v>
      </c>
      <c r="C209" s="99" t="str">
        <f>IFERROR(IF($A209="","",(VLOOKUP($A209,EntryList!$A$3:$H$291,4,FALSE))),"ERROR - No Name with this number in Master List")</f>
        <v/>
      </c>
      <c r="D209" s="99" t="str">
        <f>IFERROR(IF($A209="","",(VLOOKUP($A209,EntryList!$A$3:$H$291,5,FALSE))),"ERROR - No Name with this number in Master List")</f>
        <v/>
      </c>
      <c r="G209" s="11"/>
    </row>
    <row r="210" spans="1:7">
      <c r="A210" s="8"/>
      <c r="B210" s="99" t="str">
        <f>IFERROR(IF($A210="","&lt;-- Enter Race Number",(VLOOKUP($A210,EntryList!$A$3:$H$291,3,FALSE))),"ERROR - No Name with this number in Entry List")</f>
        <v>&lt;-- Enter Race Number</v>
      </c>
      <c r="C210" s="99" t="str">
        <f>IFERROR(IF($A210="","",(VLOOKUP($A210,EntryList!$A$3:$H$291,4,FALSE))),"ERROR - No Name with this number in Master List")</f>
        <v/>
      </c>
      <c r="D210" s="99" t="str">
        <f>IFERROR(IF($A210="","",(VLOOKUP($A210,EntryList!$A$3:$H$291,5,FALSE))),"ERROR - No Name with this number in Master List")</f>
        <v/>
      </c>
      <c r="G210" s="11"/>
    </row>
    <row r="211" spans="1:7">
      <c r="A211" s="8"/>
      <c r="B211" s="99" t="str">
        <f>IFERROR(IF($A211="","&lt;-- Enter Race Number",(VLOOKUP($A211,EntryList!$A$3:$H$291,3,FALSE))),"ERROR - No Name with this number in Entry List")</f>
        <v>&lt;-- Enter Race Number</v>
      </c>
      <c r="C211" s="99" t="str">
        <f>IFERROR(IF($A211="","",(VLOOKUP($A211,EntryList!$A$3:$H$291,4,FALSE))),"ERROR - No Name with this number in Master List")</f>
        <v/>
      </c>
      <c r="D211" s="99" t="str">
        <f>IFERROR(IF($A211="","",(VLOOKUP($A211,EntryList!$A$3:$H$291,5,FALSE))),"ERROR - No Name with this number in Master List")</f>
        <v/>
      </c>
      <c r="G211" s="11"/>
    </row>
    <row r="212" spans="1:7">
      <c r="A212" s="8"/>
      <c r="B212" s="99" t="str">
        <f>IFERROR(IF($A212="","&lt;-- Enter Race Number",(VLOOKUP($A212,EntryList!$A$3:$H$291,3,FALSE))),"ERROR - No Name with this number in Entry List")</f>
        <v>&lt;-- Enter Race Number</v>
      </c>
      <c r="C212" s="99" t="str">
        <f>IFERROR(IF($A212="","",(VLOOKUP($A212,EntryList!$A$3:$H$291,4,FALSE))),"ERROR - No Name with this number in Master List")</f>
        <v/>
      </c>
      <c r="D212" s="99" t="str">
        <f>IFERROR(IF($A212="","",(VLOOKUP($A212,EntryList!$A$3:$H$291,5,FALSE))),"ERROR - No Name with this number in Master List")</f>
        <v/>
      </c>
      <c r="G212" s="11"/>
    </row>
    <row r="213" spans="1:7">
      <c r="A213" s="8"/>
      <c r="B213" s="99" t="str">
        <f>IFERROR(IF($A213="","&lt;-- Enter Race Number",(VLOOKUP($A213,EntryList!$A$3:$H$291,3,FALSE))),"ERROR - No Name with this number in Entry List")</f>
        <v>&lt;-- Enter Race Number</v>
      </c>
      <c r="C213" s="99" t="str">
        <f>IFERROR(IF($A213="","",(VLOOKUP($A213,EntryList!$A$3:$H$291,4,FALSE))),"ERROR - No Name with this number in Master List")</f>
        <v/>
      </c>
      <c r="D213" s="99" t="str">
        <f>IFERROR(IF($A213="","",(VLOOKUP($A213,EntryList!$A$3:$H$291,5,FALSE))),"ERROR - No Name with this number in Master List")</f>
        <v/>
      </c>
      <c r="G213" s="11"/>
    </row>
    <row r="214" spans="1:7">
      <c r="A214" s="8"/>
      <c r="B214" s="99" t="str">
        <f>IFERROR(IF($A214="","&lt;-- Enter Race Number",(VLOOKUP($A214,EntryList!$A$3:$H$291,3,FALSE))),"ERROR - No Name with this number in Entry List")</f>
        <v>&lt;-- Enter Race Number</v>
      </c>
      <c r="C214" s="99" t="str">
        <f>IFERROR(IF($A214="","",(VLOOKUP($A214,EntryList!$A$3:$H$291,4,FALSE))),"ERROR - No Name with this number in Master List")</f>
        <v/>
      </c>
      <c r="D214" s="99" t="str">
        <f>IFERROR(IF($A214="","",(VLOOKUP($A214,EntryList!$A$3:$H$291,5,FALSE))),"ERROR - No Name with this number in Master List")</f>
        <v/>
      </c>
      <c r="G214" s="11"/>
    </row>
    <row r="215" spans="1:7">
      <c r="A215" s="8"/>
      <c r="B215" s="99" t="str">
        <f>IFERROR(IF($A215="","&lt;-- Enter Race Number",(VLOOKUP($A215,EntryList!$A$3:$H$291,3,FALSE))),"ERROR - No Name with this number in Entry List")</f>
        <v>&lt;-- Enter Race Number</v>
      </c>
      <c r="C215" s="99" t="str">
        <f>IFERROR(IF($A215="","",(VLOOKUP($A215,EntryList!$A$3:$H$291,4,FALSE))),"ERROR - No Name with this number in Master List")</f>
        <v/>
      </c>
      <c r="D215" s="99" t="str">
        <f>IFERROR(IF($A215="","",(VLOOKUP($A215,EntryList!$A$3:$H$291,5,FALSE))),"ERROR - No Name with this number in Master List")</f>
        <v/>
      </c>
      <c r="G215" s="11"/>
    </row>
    <row r="216" spans="1:7">
      <c r="A216" s="8"/>
      <c r="B216" s="99" t="str">
        <f>IFERROR(IF($A216="","&lt;-- Enter Race Number",(VLOOKUP($A216,EntryList!$A$3:$H$291,3,FALSE))),"ERROR - No Name with this number in Entry List")</f>
        <v>&lt;-- Enter Race Number</v>
      </c>
      <c r="C216" s="99" t="str">
        <f>IFERROR(IF($A216="","",(VLOOKUP($A216,EntryList!$A$3:$H$291,4,FALSE))),"ERROR - No Name with this number in Master List")</f>
        <v/>
      </c>
      <c r="D216" s="99" t="str">
        <f>IFERROR(IF($A216="","",(VLOOKUP($A216,EntryList!$A$3:$H$291,5,FALSE))),"ERROR - No Name with this number in Master List")</f>
        <v/>
      </c>
      <c r="G216" s="11"/>
    </row>
    <row r="217" spans="1:7">
      <c r="A217" s="8"/>
      <c r="B217" s="99" t="str">
        <f>IFERROR(IF($A217="","&lt;-- Enter Race Number",(VLOOKUP($A217,EntryList!$A$3:$H$291,3,FALSE))),"ERROR - No Name with this number in Entry List")</f>
        <v>&lt;-- Enter Race Number</v>
      </c>
      <c r="C217" s="99" t="str">
        <f>IFERROR(IF($A217="","",(VLOOKUP($A217,EntryList!$A$3:$H$291,4,FALSE))),"ERROR - No Name with this number in Master List")</f>
        <v/>
      </c>
      <c r="D217" s="99" t="str">
        <f>IFERROR(IF($A217="","",(VLOOKUP($A217,EntryList!$A$3:$H$291,5,FALSE))),"ERROR - No Name with this number in Master List")</f>
        <v/>
      </c>
      <c r="G217" s="11"/>
    </row>
    <row r="218" spans="1:7">
      <c r="A218" s="8"/>
      <c r="B218" s="99" t="str">
        <f>IFERROR(IF($A218="","&lt;-- Enter Race Number",(VLOOKUP($A218,EntryList!$A$3:$H$291,3,FALSE))),"ERROR - No Name with this number in Entry List")</f>
        <v>&lt;-- Enter Race Number</v>
      </c>
      <c r="C218" s="99" t="str">
        <f>IFERROR(IF($A218="","",(VLOOKUP($A218,EntryList!$A$3:$H$291,4,FALSE))),"ERROR - No Name with this number in Master List")</f>
        <v/>
      </c>
      <c r="D218" s="99" t="str">
        <f>IFERROR(IF($A218="","",(VLOOKUP($A218,EntryList!$A$3:$H$291,5,FALSE))),"ERROR - No Name with this number in Master List")</f>
        <v/>
      </c>
      <c r="G218" s="11"/>
    </row>
    <row r="219" spans="1:7">
      <c r="A219" s="8"/>
      <c r="B219" s="99" t="str">
        <f>IFERROR(IF($A219="","&lt;-- Enter Race Number",(VLOOKUP($A219,EntryList!$A$3:$H$291,3,FALSE))),"ERROR - No Name with this number in Entry List")</f>
        <v>&lt;-- Enter Race Number</v>
      </c>
      <c r="C219" s="99" t="str">
        <f>IFERROR(IF($A219="","",(VLOOKUP($A219,EntryList!$A$3:$H$291,4,FALSE))),"ERROR - No Name with this number in Master List")</f>
        <v/>
      </c>
      <c r="D219" s="99" t="str">
        <f>IFERROR(IF($A219="","",(VLOOKUP($A219,EntryList!$A$3:$H$291,5,FALSE))),"ERROR - No Name with this number in Master List")</f>
        <v/>
      </c>
      <c r="G219" s="11"/>
    </row>
    <row r="220" spans="1:7">
      <c r="A220" s="8"/>
      <c r="B220" s="99" t="str">
        <f>IFERROR(IF($A220="","&lt;-- Enter Race Number",(VLOOKUP($A220,EntryList!$A$3:$H$291,3,FALSE))),"ERROR - No Name with this number in Entry List")</f>
        <v>&lt;-- Enter Race Number</v>
      </c>
      <c r="C220" s="99" t="str">
        <f>IFERROR(IF($A220="","",(VLOOKUP($A220,EntryList!$A$3:$H$291,4,FALSE))),"ERROR - No Name with this number in Master List")</f>
        <v/>
      </c>
      <c r="D220" s="99" t="str">
        <f>IFERROR(IF($A220="","",(VLOOKUP($A220,EntryList!$A$3:$H$291,5,FALSE))),"ERROR - No Name with this number in Master List")</f>
        <v/>
      </c>
      <c r="G220" s="11"/>
    </row>
    <row r="221" spans="1:7">
      <c r="A221" s="8"/>
      <c r="B221" s="99" t="str">
        <f>IFERROR(IF($A221="","&lt;-- Enter Race Number",(VLOOKUP($A221,EntryList!$A$3:$H$291,3,FALSE))),"ERROR - No Name with this number in Entry List")</f>
        <v>&lt;-- Enter Race Number</v>
      </c>
      <c r="C221" s="99" t="str">
        <f>IFERROR(IF($A221="","",(VLOOKUP($A221,EntryList!$A$3:$H$291,4,FALSE))),"ERROR - No Name with this number in Master List")</f>
        <v/>
      </c>
      <c r="D221" s="99" t="str">
        <f>IFERROR(IF($A221="","",(VLOOKUP($A221,EntryList!$A$3:$H$291,5,FALSE))),"ERROR - No Name with this number in Master List")</f>
        <v/>
      </c>
      <c r="G221" s="11"/>
    </row>
    <row r="222" spans="1:7">
      <c r="A222" s="8"/>
      <c r="B222" s="99" t="str">
        <f>IFERROR(IF($A222="","&lt;-- Enter Race Number",(VLOOKUP($A222,EntryList!$A$3:$H$291,3,FALSE))),"ERROR - No Name with this number in Entry List")</f>
        <v>&lt;-- Enter Race Number</v>
      </c>
      <c r="C222" s="99" t="str">
        <f>IFERROR(IF($A222="","",(VLOOKUP($A222,EntryList!$A$3:$H$291,4,FALSE))),"ERROR - No Name with this number in Master List")</f>
        <v/>
      </c>
      <c r="D222" s="99" t="str">
        <f>IFERROR(IF($A222="","",(VLOOKUP($A222,EntryList!$A$3:$H$291,5,FALSE))),"ERROR - No Name with this number in Master List")</f>
        <v/>
      </c>
      <c r="G222" s="11"/>
    </row>
    <row r="223" spans="1:7">
      <c r="A223" s="8"/>
      <c r="B223" s="99" t="str">
        <f>IFERROR(IF($A223="","&lt;-- Enter Race Number",(VLOOKUP($A223,EntryList!$A$3:$H$291,3,FALSE))),"ERROR - No Name with this number in Entry List")</f>
        <v>&lt;-- Enter Race Number</v>
      </c>
      <c r="C223" s="99" t="str">
        <f>IFERROR(IF($A223="","",(VLOOKUP($A223,EntryList!$A$3:$H$291,4,FALSE))),"ERROR - No Name with this number in Master List")</f>
        <v/>
      </c>
      <c r="D223" s="99" t="str">
        <f>IFERROR(IF($A223="","",(VLOOKUP($A223,EntryList!$A$3:$H$291,5,FALSE))),"ERROR - No Name with this number in Master List")</f>
        <v/>
      </c>
      <c r="G223" s="11"/>
    </row>
    <row r="224" spans="1:7">
      <c r="A224" s="8"/>
      <c r="B224" s="99" t="str">
        <f>IFERROR(IF($A224="","&lt;-- Enter Race Number",(VLOOKUP($A224,EntryList!$A$3:$H$291,3,FALSE))),"ERROR - No Name with this number in Entry List")</f>
        <v>&lt;-- Enter Race Number</v>
      </c>
      <c r="C224" s="99" t="str">
        <f>IFERROR(IF($A224="","",(VLOOKUP($A224,EntryList!$A$3:$H$291,4,FALSE))),"ERROR - No Name with this number in Master List")</f>
        <v/>
      </c>
      <c r="D224" s="99" t="str">
        <f>IFERROR(IF($A224="","",(VLOOKUP($A224,EntryList!$A$3:$H$291,5,FALSE))),"ERROR - No Name with this number in Master List")</f>
        <v/>
      </c>
      <c r="G224" s="11"/>
    </row>
    <row r="225" spans="1:7">
      <c r="A225" s="8"/>
      <c r="B225" s="99" t="str">
        <f>IFERROR(IF($A225="","&lt;-- Enter Race Number",(VLOOKUP($A225,EntryList!$A$3:$H$291,3,FALSE))),"ERROR - No Name with this number in Entry List")</f>
        <v>&lt;-- Enter Race Number</v>
      </c>
      <c r="C225" s="99" t="str">
        <f>IFERROR(IF($A225="","",(VLOOKUP($A225,EntryList!$A$3:$H$291,4,FALSE))),"ERROR - No Name with this number in Master List")</f>
        <v/>
      </c>
      <c r="D225" s="99" t="str">
        <f>IFERROR(IF($A225="","",(VLOOKUP($A225,EntryList!$A$3:$H$291,5,FALSE))),"ERROR - No Name with this number in Master List")</f>
        <v/>
      </c>
      <c r="G225" s="11"/>
    </row>
    <row r="226" spans="1:7">
      <c r="A226" s="8"/>
      <c r="B226" s="99" t="str">
        <f>IFERROR(IF($A226="","&lt;-- Enter Race Number",(VLOOKUP($A226,EntryList!$A$3:$H$291,3,FALSE))),"ERROR - No Name with this number in Entry List")</f>
        <v>&lt;-- Enter Race Number</v>
      </c>
      <c r="C226" s="99" t="str">
        <f>IFERROR(IF($A226="","",(VLOOKUP($A226,EntryList!$A$3:$H$291,4,FALSE))),"ERROR - No Name with this number in Master List")</f>
        <v/>
      </c>
      <c r="D226" s="99" t="str">
        <f>IFERROR(IF($A226="","",(VLOOKUP($A226,EntryList!$A$3:$H$291,5,FALSE))),"ERROR - No Name with this number in Master List")</f>
        <v/>
      </c>
      <c r="G226" s="11"/>
    </row>
    <row r="227" spans="1:7">
      <c r="A227" s="8"/>
      <c r="B227" s="99" t="str">
        <f>IFERROR(IF($A227="","&lt;-- Enter Race Number",(VLOOKUP($A227,EntryList!$A$3:$H$291,3,FALSE))),"ERROR - No Name with this number in Entry List")</f>
        <v>&lt;-- Enter Race Number</v>
      </c>
      <c r="C227" s="99" t="str">
        <f>IFERROR(IF($A227="","",(VLOOKUP($A227,EntryList!$A$3:$H$291,4,FALSE))),"ERROR - No Name with this number in Master List")</f>
        <v/>
      </c>
      <c r="D227" s="99" t="str">
        <f>IFERROR(IF($A227="","",(VLOOKUP($A227,EntryList!$A$3:$H$291,5,FALSE))),"ERROR - No Name with this number in Master List")</f>
        <v/>
      </c>
      <c r="G227" s="11"/>
    </row>
    <row r="228" spans="1:7">
      <c r="A228" s="8"/>
      <c r="B228" s="99" t="str">
        <f>IFERROR(IF($A228="","&lt;-- Enter Race Number",(VLOOKUP($A228,EntryList!$A$3:$H$291,3,FALSE))),"ERROR - No Name with this number in Entry List")</f>
        <v>&lt;-- Enter Race Number</v>
      </c>
      <c r="C228" s="99" t="str">
        <f>IFERROR(IF($A228="","",(VLOOKUP($A228,EntryList!$A$3:$H$291,4,FALSE))),"ERROR - No Name with this number in Master List")</f>
        <v/>
      </c>
      <c r="D228" s="99" t="str">
        <f>IFERROR(IF($A228="","",(VLOOKUP($A228,EntryList!$A$3:$H$291,5,FALSE))),"ERROR - No Name with this number in Master List")</f>
        <v/>
      </c>
      <c r="G228" s="11"/>
    </row>
    <row r="229" spans="1:7">
      <c r="A229" s="8"/>
      <c r="B229" s="99" t="str">
        <f>IFERROR(IF($A229="","&lt;-- Enter Race Number",(VLOOKUP($A229,EntryList!$A$3:$H$291,3,FALSE))),"ERROR - No Name with this number in Entry List")</f>
        <v>&lt;-- Enter Race Number</v>
      </c>
      <c r="C229" s="99" t="str">
        <f>IFERROR(IF($A229="","",(VLOOKUP($A229,EntryList!$A$3:$H$291,4,FALSE))),"ERROR - No Name with this number in Master List")</f>
        <v/>
      </c>
      <c r="D229" s="99" t="str">
        <f>IFERROR(IF($A229="","",(VLOOKUP($A229,EntryList!$A$3:$H$291,5,FALSE))),"ERROR - No Name with this number in Master List")</f>
        <v/>
      </c>
      <c r="G229" s="11"/>
    </row>
    <row r="230" spans="1:7">
      <c r="A230" s="8"/>
      <c r="B230" s="99" t="str">
        <f>IFERROR(IF($A230="","&lt;-- Enter Race Number",(VLOOKUP($A230,EntryList!$A$3:$H$291,3,FALSE))),"ERROR - No Name with this number in Entry List")</f>
        <v>&lt;-- Enter Race Number</v>
      </c>
      <c r="C230" s="99" t="str">
        <f>IFERROR(IF($A230="","",(VLOOKUP($A230,EntryList!$A$3:$H$291,4,FALSE))),"ERROR - No Name with this number in Master List")</f>
        <v/>
      </c>
      <c r="D230" s="99" t="str">
        <f>IFERROR(IF($A230="","",(VLOOKUP($A230,EntryList!$A$3:$H$291,5,FALSE))),"ERROR - No Name with this number in Master List")</f>
        <v/>
      </c>
      <c r="G230" s="11"/>
    </row>
    <row r="231" spans="1:7">
      <c r="A231" s="8"/>
      <c r="B231" s="99" t="str">
        <f>IFERROR(IF($A231="","&lt;-- Enter Race Number",(VLOOKUP($A231,EntryList!$A$3:$H$291,3,FALSE))),"ERROR - No Name with this number in Entry List")</f>
        <v>&lt;-- Enter Race Number</v>
      </c>
      <c r="C231" s="99" t="str">
        <f>IFERROR(IF($A231="","",(VLOOKUP($A231,EntryList!$A$3:$H$291,4,FALSE))),"ERROR - No Name with this number in Master List")</f>
        <v/>
      </c>
      <c r="D231" s="99" t="str">
        <f>IFERROR(IF($A231="","",(VLOOKUP($A231,EntryList!$A$3:$H$291,5,FALSE))),"ERROR - No Name with this number in Master List")</f>
        <v/>
      </c>
      <c r="G231" s="11"/>
    </row>
    <row r="232" spans="1:7">
      <c r="A232" s="8"/>
      <c r="B232" s="99" t="str">
        <f>IFERROR(IF($A232="","&lt;-- Enter Race Number",(VLOOKUP($A232,EntryList!$A$3:$H$291,3,FALSE))),"ERROR - No Name with this number in Entry List")</f>
        <v>&lt;-- Enter Race Number</v>
      </c>
      <c r="C232" s="99" t="str">
        <f>IFERROR(IF($A232="","",(VLOOKUP($A232,EntryList!$A$3:$H$291,4,FALSE))),"ERROR - No Name with this number in Master List")</f>
        <v/>
      </c>
      <c r="D232" s="99" t="str">
        <f>IFERROR(IF($A232="","",(VLOOKUP($A232,EntryList!$A$3:$H$291,5,FALSE))),"ERROR - No Name with this number in Master List")</f>
        <v/>
      </c>
      <c r="G232" s="11"/>
    </row>
    <row r="233" spans="1:7">
      <c r="A233" s="8"/>
      <c r="B233" s="99" t="str">
        <f>IFERROR(IF($A233="","&lt;-- Enter Race Number",(VLOOKUP($A233,EntryList!$A$3:$H$291,3,FALSE))),"ERROR - No Name with this number in Entry List")</f>
        <v>&lt;-- Enter Race Number</v>
      </c>
      <c r="C233" s="99" t="str">
        <f>IFERROR(IF($A233="","",(VLOOKUP($A233,EntryList!$A$3:$H$291,4,FALSE))),"ERROR - No Name with this number in Master List")</f>
        <v/>
      </c>
      <c r="D233" s="99" t="str">
        <f>IFERROR(IF($A233="","",(VLOOKUP($A233,EntryList!$A$3:$H$291,5,FALSE))),"ERROR - No Name with this number in Master List")</f>
        <v/>
      </c>
      <c r="G233" s="11"/>
    </row>
    <row r="234" spans="1:7">
      <c r="A234" s="8"/>
      <c r="B234" s="99" t="str">
        <f>IFERROR(IF($A234="","&lt;-- Enter Race Number",(VLOOKUP($A234,EntryList!$A$3:$H$291,3,FALSE))),"ERROR - No Name with this number in Entry List")</f>
        <v>&lt;-- Enter Race Number</v>
      </c>
      <c r="C234" s="99" t="str">
        <f>IFERROR(IF($A234="","",(VLOOKUP($A234,EntryList!$A$3:$H$291,4,FALSE))),"ERROR - No Name with this number in Master List")</f>
        <v/>
      </c>
      <c r="D234" s="99" t="str">
        <f>IFERROR(IF($A234="","",(VLOOKUP($A234,EntryList!$A$3:$H$291,5,FALSE))),"ERROR - No Name with this number in Master List")</f>
        <v/>
      </c>
      <c r="G234" s="11"/>
    </row>
    <row r="235" spans="1:7">
      <c r="A235" s="8"/>
      <c r="B235" s="99" t="str">
        <f>IFERROR(IF($A235="","&lt;-- Enter Race Number",(VLOOKUP($A235,EntryList!$A$3:$H$291,3,FALSE))),"ERROR - No Name with this number in Entry List")</f>
        <v>&lt;-- Enter Race Number</v>
      </c>
      <c r="C235" s="99" t="str">
        <f>IFERROR(IF($A235="","",(VLOOKUP($A235,EntryList!$A$3:$H$291,4,FALSE))),"ERROR - No Name with this number in Master List")</f>
        <v/>
      </c>
      <c r="D235" s="99" t="str">
        <f>IFERROR(IF($A235="","",(VLOOKUP($A235,EntryList!$A$3:$H$291,5,FALSE))),"ERROR - No Name with this number in Master List")</f>
        <v/>
      </c>
      <c r="G235" s="11"/>
    </row>
    <row r="236" spans="1:7">
      <c r="A236" s="8"/>
      <c r="B236" s="99" t="str">
        <f>IFERROR(IF($A236="","&lt;-- Enter Race Number",(VLOOKUP($A236,EntryList!$A$3:$H$291,3,FALSE))),"ERROR - No Name with this number in Entry List")</f>
        <v>&lt;-- Enter Race Number</v>
      </c>
      <c r="C236" s="99" t="str">
        <f>IFERROR(IF($A236="","",(VLOOKUP($A236,EntryList!$A$3:$H$291,4,FALSE))),"ERROR - No Name with this number in Master List")</f>
        <v/>
      </c>
      <c r="D236" s="99" t="str">
        <f>IFERROR(IF($A236="","",(VLOOKUP($A236,EntryList!$A$3:$H$291,5,FALSE))),"ERROR - No Name with this number in Master List")</f>
        <v/>
      </c>
      <c r="G236" s="11"/>
    </row>
    <row r="237" spans="1:7">
      <c r="A237" s="8"/>
      <c r="B237" s="99" t="str">
        <f>IFERROR(IF($A237="","&lt;-- Enter Race Number",(VLOOKUP($A237,EntryList!$A$3:$H$291,3,FALSE))),"ERROR - No Name with this number in Entry List")</f>
        <v>&lt;-- Enter Race Number</v>
      </c>
      <c r="C237" s="99" t="str">
        <f>IFERROR(IF($A237="","",(VLOOKUP($A237,EntryList!$A$3:$H$291,4,FALSE))),"ERROR - No Name with this number in Master List")</f>
        <v/>
      </c>
      <c r="D237" s="99" t="str">
        <f>IFERROR(IF($A237="","",(VLOOKUP($A237,EntryList!$A$3:$H$291,5,FALSE))),"ERROR - No Name with this number in Master List")</f>
        <v/>
      </c>
      <c r="G237" s="11"/>
    </row>
    <row r="238" spans="1:7">
      <c r="A238" s="8"/>
      <c r="B238" s="99" t="str">
        <f>IFERROR(IF($A238="","&lt;-- Enter Race Number",(VLOOKUP($A238,EntryList!$A$3:$H$291,3,FALSE))),"ERROR - No Name with this number in Entry List")</f>
        <v>&lt;-- Enter Race Number</v>
      </c>
      <c r="C238" s="99" t="str">
        <f>IFERROR(IF($A238="","",(VLOOKUP($A238,EntryList!$A$3:$H$291,4,FALSE))),"ERROR - No Name with this number in Master List")</f>
        <v/>
      </c>
      <c r="D238" s="99" t="str">
        <f>IFERROR(IF($A238="","",(VLOOKUP($A238,EntryList!$A$3:$H$291,5,FALSE))),"ERROR - No Name with this number in Master List")</f>
        <v/>
      </c>
      <c r="G238" s="11"/>
    </row>
    <row r="239" spans="1:7">
      <c r="A239" s="8"/>
      <c r="B239" s="99" t="str">
        <f>IFERROR(IF($A239="","&lt;-- Enter Race Number",(VLOOKUP($A239,EntryList!$A$3:$H$291,3,FALSE))),"ERROR - No Name with this number in Entry List")</f>
        <v>&lt;-- Enter Race Number</v>
      </c>
      <c r="C239" s="99" t="str">
        <f>IFERROR(IF($A239="","",(VLOOKUP($A239,EntryList!$A$3:$H$291,4,FALSE))),"ERROR - No Name with this number in Master List")</f>
        <v/>
      </c>
      <c r="D239" s="99" t="str">
        <f>IFERROR(IF($A239="","",(VLOOKUP($A239,EntryList!$A$3:$H$291,5,FALSE))),"ERROR - No Name with this number in Master List")</f>
        <v/>
      </c>
      <c r="G239" s="11"/>
    </row>
    <row r="240" spans="1:7">
      <c r="A240" s="8"/>
      <c r="B240" s="99" t="str">
        <f>IFERROR(IF($A240="","&lt;-- Enter Race Number",(VLOOKUP($A240,EntryList!$A$3:$H$291,3,FALSE))),"ERROR - No Name with this number in Entry List")</f>
        <v>&lt;-- Enter Race Number</v>
      </c>
      <c r="C240" s="99" t="str">
        <f>IFERROR(IF($A240="","",(VLOOKUP($A240,EntryList!$A$3:$H$291,4,FALSE))),"ERROR - No Name with this number in Master List")</f>
        <v/>
      </c>
      <c r="D240" s="99" t="str">
        <f>IFERROR(IF($A240="","",(VLOOKUP($A240,EntryList!$A$3:$H$291,5,FALSE))),"ERROR - No Name with this number in Master List")</f>
        <v/>
      </c>
      <c r="G240" s="11"/>
    </row>
    <row r="241" spans="1:7">
      <c r="A241" s="8"/>
      <c r="B241" s="99" t="str">
        <f>IFERROR(IF($A241="","&lt;-- Enter Race Number",(VLOOKUP($A241,EntryList!$A$3:$H$291,3,FALSE))),"ERROR - No Name with this number in Entry List")</f>
        <v>&lt;-- Enter Race Number</v>
      </c>
      <c r="C241" s="99" t="str">
        <f>IFERROR(IF($A241="","",(VLOOKUP($A241,EntryList!$A$3:$H$291,4,FALSE))),"ERROR - No Name with this number in Master List")</f>
        <v/>
      </c>
      <c r="D241" s="99" t="str">
        <f>IFERROR(IF($A241="","",(VLOOKUP($A241,EntryList!$A$3:$H$291,5,FALSE))),"ERROR - No Name with this number in Master List")</f>
        <v/>
      </c>
      <c r="G241" s="11"/>
    </row>
    <row r="242" spans="1:7">
      <c r="A242" s="8"/>
      <c r="B242" s="99" t="str">
        <f>IFERROR(IF($A242="","&lt;-- Enter Race Number",(VLOOKUP($A242,EntryList!$A$3:$H$291,3,FALSE))),"ERROR - No Name with this number in Entry List")</f>
        <v>&lt;-- Enter Race Number</v>
      </c>
      <c r="C242" s="99" t="str">
        <f>IFERROR(IF($A242="","",(VLOOKUP($A242,EntryList!$A$3:$H$291,4,FALSE))),"ERROR - No Name with this number in Master List")</f>
        <v/>
      </c>
      <c r="D242" s="99" t="str">
        <f>IFERROR(IF($A242="","",(VLOOKUP($A242,EntryList!$A$3:$H$291,5,FALSE))),"ERROR - No Name with this number in Master List")</f>
        <v/>
      </c>
      <c r="G242" s="11"/>
    </row>
    <row r="243" spans="1:7">
      <c r="A243" s="8"/>
      <c r="B243" s="99" t="str">
        <f>IFERROR(IF($A243="","&lt;-- Enter Race Number",(VLOOKUP($A243,EntryList!$A$3:$H$291,3,FALSE))),"ERROR - No Name with this number in Entry List")</f>
        <v>&lt;-- Enter Race Number</v>
      </c>
      <c r="C243" s="99" t="str">
        <f>IFERROR(IF($A243="","",(VLOOKUP($A243,EntryList!$A$3:$H$291,4,FALSE))),"ERROR - No Name with this number in Master List")</f>
        <v/>
      </c>
      <c r="D243" s="99" t="str">
        <f>IFERROR(IF($A243="","",(VLOOKUP($A243,EntryList!$A$3:$H$291,5,FALSE))),"ERROR - No Name with this number in Master List")</f>
        <v/>
      </c>
      <c r="G243" s="11"/>
    </row>
    <row r="244" spans="1:7">
      <c r="A244" s="8"/>
      <c r="B244" s="99" t="str">
        <f>IFERROR(IF($A244="","&lt;-- Enter Race Number",(VLOOKUP($A244,EntryList!$A$3:$H$291,3,FALSE))),"ERROR - No Name with this number in Entry List")</f>
        <v>&lt;-- Enter Race Number</v>
      </c>
      <c r="C244" s="99" t="str">
        <f>IFERROR(IF($A244="","",(VLOOKUP($A244,EntryList!$A$3:$H$291,4,FALSE))),"ERROR - No Name with this number in Master List")</f>
        <v/>
      </c>
      <c r="D244" s="99" t="str">
        <f>IFERROR(IF($A244="","",(VLOOKUP($A244,EntryList!$A$3:$H$291,5,FALSE))),"ERROR - No Name with this number in Master List")</f>
        <v/>
      </c>
      <c r="G244" s="11"/>
    </row>
    <row r="245" spans="1:7">
      <c r="A245" s="8"/>
      <c r="B245" s="99" t="str">
        <f>IFERROR(IF($A245="","&lt;-- Enter Race Number",(VLOOKUP($A245,EntryList!$A$3:$H$291,3,FALSE))),"ERROR - No Name with this number in Entry List")</f>
        <v>&lt;-- Enter Race Number</v>
      </c>
      <c r="C245" s="99" t="str">
        <f>IFERROR(IF($A245="","",(VLOOKUP($A245,EntryList!$A$3:$H$291,4,FALSE))),"ERROR - No Name with this number in Master List")</f>
        <v/>
      </c>
      <c r="D245" s="99" t="str">
        <f>IFERROR(IF($A245="","",(VLOOKUP($A245,EntryList!$A$3:$H$291,5,FALSE))),"ERROR - No Name with this number in Master List")</f>
        <v/>
      </c>
      <c r="G245" s="11"/>
    </row>
    <row r="246" spans="1:7">
      <c r="A246" s="8"/>
      <c r="B246" s="99" t="str">
        <f>IFERROR(IF($A246="","&lt;-- Enter Race Number",(VLOOKUP($A246,EntryList!$A$3:$H$291,3,FALSE))),"ERROR - No Name with this number in Entry List")</f>
        <v>&lt;-- Enter Race Number</v>
      </c>
      <c r="C246" s="99" t="str">
        <f>IFERROR(IF($A246="","",(VLOOKUP($A246,EntryList!$A$3:$H$291,4,FALSE))),"ERROR - No Name with this number in Master List")</f>
        <v/>
      </c>
      <c r="D246" s="99" t="str">
        <f>IFERROR(IF($A246="","",(VLOOKUP($A246,EntryList!$A$3:$H$291,5,FALSE))),"ERROR - No Name with this number in Master List")</f>
        <v/>
      </c>
      <c r="G246" s="11"/>
    </row>
    <row r="247" spans="1:7">
      <c r="A247" s="8"/>
      <c r="B247" s="99" t="str">
        <f>IFERROR(IF($A247="","&lt;-- Enter Race Number",(VLOOKUP($A247,EntryList!$A$3:$H$291,3,FALSE))),"ERROR - No Name with this number in Entry List")</f>
        <v>&lt;-- Enter Race Number</v>
      </c>
      <c r="C247" s="99" t="str">
        <f>IFERROR(IF($A247="","",(VLOOKUP($A247,EntryList!$A$3:$H$291,4,FALSE))),"ERROR - No Name with this number in Master List")</f>
        <v/>
      </c>
      <c r="D247" s="99" t="str">
        <f>IFERROR(IF($A247="","",(VLOOKUP($A247,EntryList!$A$3:$H$291,5,FALSE))),"ERROR - No Name with this number in Master List")</f>
        <v/>
      </c>
      <c r="G247" s="11"/>
    </row>
    <row r="248" spans="1:7">
      <c r="A248" s="8"/>
      <c r="B248" s="99" t="str">
        <f>IFERROR(IF($A248="","&lt;-- Enter Race Number",(VLOOKUP($A248,EntryList!$A$3:$H$291,3,FALSE))),"ERROR - No Name with this number in Entry List")</f>
        <v>&lt;-- Enter Race Number</v>
      </c>
      <c r="C248" s="99" t="str">
        <f>IFERROR(IF($A248="","",(VLOOKUP($A248,EntryList!$A$3:$H$291,4,FALSE))),"ERROR - No Name with this number in Master List")</f>
        <v/>
      </c>
      <c r="D248" s="99" t="str">
        <f>IFERROR(IF($A248="","",(VLOOKUP($A248,EntryList!$A$3:$H$291,5,FALSE))),"ERROR - No Name with this number in Master List")</f>
        <v/>
      </c>
      <c r="G248" s="11"/>
    </row>
    <row r="249" spans="1:7">
      <c r="A249" s="8"/>
      <c r="B249" s="99" t="str">
        <f>IFERROR(IF($A249="","&lt;-- Enter Race Number",(VLOOKUP($A249,EntryList!$A$3:$H$291,3,FALSE))),"ERROR - No Name with this number in Entry List")</f>
        <v>&lt;-- Enter Race Number</v>
      </c>
      <c r="C249" s="99" t="str">
        <f>IFERROR(IF($A249="","",(VLOOKUP($A249,EntryList!$A$3:$H$291,4,FALSE))),"ERROR - No Name with this number in Master List")</f>
        <v/>
      </c>
      <c r="D249" s="99" t="str">
        <f>IFERROR(IF($A249="","",(VLOOKUP($A249,EntryList!$A$3:$H$291,5,FALSE))),"ERROR - No Name with this number in Master List")</f>
        <v/>
      </c>
      <c r="G249" s="11"/>
    </row>
    <row r="250" spans="1:7">
      <c r="A250" s="8"/>
      <c r="B250" s="99" t="str">
        <f>IFERROR(IF($A250="","&lt;-- Enter Race Number",(VLOOKUP($A250,EntryList!$A$3:$H$291,3,FALSE))),"ERROR - No Name with this number in Entry List")</f>
        <v>&lt;-- Enter Race Number</v>
      </c>
      <c r="C250" s="99" t="str">
        <f>IFERROR(IF($A250="","",(VLOOKUP($A250,EntryList!$A$3:$H$291,4,FALSE))),"ERROR - No Name with this number in Master List")</f>
        <v/>
      </c>
      <c r="D250" s="99" t="str">
        <f>IFERROR(IF($A250="","",(VLOOKUP($A250,EntryList!$A$3:$H$291,5,FALSE))),"ERROR - No Name with this number in Master List")</f>
        <v/>
      </c>
      <c r="G250" s="11"/>
    </row>
  </sheetData>
  <sheetProtection selectLockedCells="1"/>
  <conditionalFormatting sqref="H3:H8 H10:H250">
    <cfRule type="containsText" dxfId="1819" priority="15" stopIfTrue="1" operator="containsText" text="complete">
      <formula>NOT(ISERROR(SEARCH("complete",H3)))</formula>
    </cfRule>
  </conditionalFormatting>
  <conditionalFormatting sqref="E3:E250">
    <cfRule type="cellIs" dxfId="1818" priority="14" stopIfTrue="1" operator="equal">
      <formula>B3</formula>
    </cfRule>
  </conditionalFormatting>
  <conditionalFormatting sqref="G3:G250">
    <cfRule type="cellIs" dxfId="1817" priority="13" stopIfTrue="1" operator="equal">
      <formula>A3</formula>
    </cfRule>
  </conditionalFormatting>
  <conditionalFormatting sqref="F3:F250">
    <cfRule type="cellIs" dxfId="1816" priority="9" stopIfTrue="1" operator="equal">
      <formula>C3</formula>
    </cfRule>
  </conditionalFormatting>
  <conditionalFormatting sqref="I3:I250">
    <cfRule type="containsText" dxfId="1815" priority="16" stopIfTrue="1" operator="containsText" text="Failed">
      <formula>NOT(ISERROR(SEARCH("Failed",I3)))</formula>
    </cfRule>
    <cfRule type="containsText" dxfId="1814" priority="17" stopIfTrue="1" operator="containsText" text="Success">
      <formula>NOT(ISERROR(SEARCH("Success",I3)))</formula>
    </cfRule>
  </conditionalFormatting>
  <conditionalFormatting sqref="J3:J250">
    <cfRule type="containsText" dxfId="1813" priority="7" stopIfTrue="1" operator="containsText" text="Failed">
      <formula>NOT(ISERROR(SEARCH("Failed",J3)))</formula>
    </cfRule>
    <cfRule type="containsText" dxfId="1812" priority="8" stopIfTrue="1" operator="containsText" text="Success">
      <formula>NOT(ISERROR(SEARCH("Success",J3)))</formula>
    </cfRule>
  </conditionalFormatting>
  <conditionalFormatting sqref="K3:K250">
    <cfRule type="containsText" dxfId="1811" priority="5" stopIfTrue="1" operator="containsText" text="Failed">
      <formula>NOT(ISERROR(SEARCH("Failed",K3)))</formula>
    </cfRule>
    <cfRule type="containsText" dxfId="1810" priority="6" stopIfTrue="1" operator="containsText" text="Success">
      <formula>NOT(ISERROR(SEARCH("Success",K3)))</formula>
    </cfRule>
  </conditionalFormatting>
  <conditionalFormatting sqref="L3:L250">
    <cfRule type="containsText" dxfId="1809" priority="3" stopIfTrue="1" operator="containsText" text="Failed">
      <formula>NOT(ISERROR(SEARCH("Failed",L3)))</formula>
    </cfRule>
    <cfRule type="containsText" dxfId="1808" priority="4" stopIfTrue="1" operator="containsText" text="Success">
      <formula>NOT(ISERROR(SEARCH("Success",L3)))</formula>
    </cfRule>
  </conditionalFormatting>
  <conditionalFormatting sqref="H9">
    <cfRule type="containsText" dxfId="1807" priority="2" stopIfTrue="1" operator="containsText" text="complete">
      <formula>NOT(ISERROR(SEARCH("complete",H9)))</formula>
    </cfRule>
  </conditionalFormatting>
  <conditionalFormatting sqref="A3:A250">
    <cfRule type="duplicateValues" dxfId="1806" priority="1"/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55" r:id="rId4" name="CommandButton1">
          <controlPr defaultSize="0" print="0" autoLine="0" r:id="rId5">
            <anchor>
              <from>
                <xdr:col>12</xdr:col>
                <xdr:colOff>561975</xdr:colOff>
                <xdr:row>0</xdr:row>
                <xdr:rowOff>0</xdr:rowOff>
              </from>
              <to>
                <xdr:col>14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2055" r:id="rId4" name="CommandButton1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autoPageBreaks="0"/>
  </sheetPr>
  <dimension ref="A1:AS32"/>
  <sheetViews>
    <sheetView topLeftCell="B1" workbookViewId="0">
      <selection activeCell="F17" sqref="F17"/>
    </sheetView>
  </sheetViews>
  <sheetFormatPr defaultColWidth="29" defaultRowHeight="12.75"/>
  <cols>
    <col min="1" max="1" width="23.85546875" bestFit="1" customWidth="1"/>
    <col min="2" max="2" width="15.140625" bestFit="1" customWidth="1"/>
    <col min="3" max="3" width="29.140625" bestFit="1" customWidth="1"/>
    <col min="4" max="4" width="17" bestFit="1" customWidth="1"/>
    <col min="5" max="5" width="14.28515625" bestFit="1" customWidth="1"/>
    <col min="6" max="6" width="35.7109375" bestFit="1" customWidth="1"/>
    <col min="7" max="7" width="12.7109375" bestFit="1" customWidth="1"/>
    <col min="8" max="8" width="13.42578125" bestFit="1" customWidth="1"/>
    <col min="9" max="9" width="13.42578125" style="203" customWidth="1"/>
    <col min="10" max="10" width="44.28515625" bestFit="1" customWidth="1"/>
    <col min="11" max="11" width="45.85546875" bestFit="1" customWidth="1"/>
    <col min="12" max="12" width="24.140625" bestFit="1" customWidth="1"/>
    <col min="13" max="13" width="24.5703125" bestFit="1" customWidth="1"/>
    <col min="14" max="14" width="17" bestFit="1" customWidth="1"/>
    <col min="15" max="15" width="30.7109375" bestFit="1" customWidth="1"/>
    <col min="16" max="16" width="31.140625" bestFit="1" customWidth="1"/>
    <col min="17" max="17" width="17" bestFit="1" customWidth="1"/>
    <col min="18" max="18" width="11.7109375" bestFit="1" customWidth="1"/>
    <col min="19" max="19" width="15" bestFit="1" customWidth="1"/>
    <col min="20" max="20" width="8.5703125" bestFit="1" customWidth="1"/>
    <col min="21" max="21" width="16.7109375" bestFit="1" customWidth="1"/>
  </cols>
  <sheetData>
    <row r="1" spans="1:45" s="119" customFormat="1">
      <c r="A1" s="126" t="s">
        <v>219</v>
      </c>
      <c r="B1" s="119" t="s">
        <v>218</v>
      </c>
      <c r="C1" s="126" t="s">
        <v>16</v>
      </c>
      <c r="D1" s="119" t="s">
        <v>12</v>
      </c>
      <c r="E1" s="120"/>
      <c r="F1" s="120" t="s">
        <v>95</v>
      </c>
      <c r="G1" s="200" t="s">
        <v>327</v>
      </c>
      <c r="H1" s="200" t="s">
        <v>325</v>
      </c>
      <c r="I1" s="202" t="s">
        <v>331</v>
      </c>
      <c r="J1" s="200"/>
      <c r="K1" s="122"/>
      <c r="L1" s="122"/>
      <c r="M1" s="81"/>
      <c r="N1" s="81"/>
      <c r="O1" s="81"/>
      <c r="P1" s="81"/>
      <c r="Q1" s="122"/>
      <c r="R1" s="122"/>
      <c r="S1" s="122"/>
      <c r="T1" s="122"/>
    </row>
    <row r="2" spans="1:45" s="113" customFormat="1" ht="25.5">
      <c r="A2" s="127"/>
      <c r="B2" s="128"/>
      <c r="C2" s="128"/>
      <c r="D2" s="139"/>
      <c r="E2" s="128"/>
      <c r="F2" s="128" t="s">
        <v>220</v>
      </c>
      <c r="G2" s="201" t="s">
        <v>328</v>
      </c>
      <c r="H2" s="201" t="s">
        <v>326</v>
      </c>
      <c r="I2" s="202" t="s">
        <v>332</v>
      </c>
      <c r="J2" s="121" t="s">
        <v>493</v>
      </c>
      <c r="K2" s="121" t="s">
        <v>488</v>
      </c>
      <c r="L2" s="249" t="s">
        <v>489</v>
      </c>
      <c r="M2" s="121" t="s">
        <v>490</v>
      </c>
      <c r="N2" s="122"/>
      <c r="O2" s="122"/>
      <c r="P2" s="122"/>
      <c r="AQ2" s="113" t="s">
        <v>498</v>
      </c>
      <c r="AR2" s="113" t="s">
        <v>422</v>
      </c>
      <c r="AS2" s="113" t="s">
        <v>322</v>
      </c>
    </row>
    <row r="3" spans="1:45">
      <c r="A3" s="252">
        <v>9</v>
      </c>
      <c r="B3" s="252">
        <v>10</v>
      </c>
      <c r="C3" s="252" t="s">
        <v>580</v>
      </c>
      <c r="D3" s="252" t="s">
        <v>581</v>
      </c>
      <c r="E3" s="252" t="s">
        <v>96</v>
      </c>
      <c r="F3" s="252" t="s">
        <v>17</v>
      </c>
      <c r="G3" s="81">
        <f>IF(COUNTIFS(EntryList!G:G,AgeCategories!D3,EntryList!O:O,TRUE)=0,"-",COUNTIFS(EntryList!G:G,AgeCategories!D3,EntryList!O:O,TRUE))</f>
        <v>3</v>
      </c>
      <c r="H3" s="81" t="str">
        <f>IFERROR(IF(COUNTIFS(EntryList!G:G,AgeCategories!D3,EntryList!P:P,TRUE)-G3&gt;=0,"All Back",COUNTIFS(EntryList!G:G,AgeCategories!D3,EntryList!P:P,TRUE)),"-")</f>
        <v>All Back</v>
      </c>
      <c r="I3" s="204">
        <f>IFERROR((G3/Helpers!$AA$2),"")</f>
        <v>1.0380622837370242E-2</v>
      </c>
      <c r="J3" s="250">
        <f>Helpers!$E$2</f>
        <v>3</v>
      </c>
      <c r="K3" s="250">
        <f>Helpers!$E$2</f>
        <v>3</v>
      </c>
      <c r="L3" t="str">
        <f>IF(G3&lt;3,"&lt;3 in Cat","")</f>
        <v/>
      </c>
      <c r="M3" s="250" t="str">
        <f>IF(G3&lt;5,"&lt;5 in Cat","")</f>
        <v>&lt;5 in Cat</v>
      </c>
      <c r="N3" s="250"/>
      <c r="O3" s="250"/>
      <c r="P3" s="250"/>
    </row>
    <row r="4" spans="1:45">
      <c r="A4" s="252">
        <v>11</v>
      </c>
      <c r="B4" s="252">
        <v>12</v>
      </c>
      <c r="C4" s="252" t="s">
        <v>582</v>
      </c>
      <c r="D4" s="252" t="s">
        <v>583</v>
      </c>
      <c r="E4" s="252" t="s">
        <v>96</v>
      </c>
      <c r="F4" s="252" t="s">
        <v>19</v>
      </c>
      <c r="G4" s="81">
        <f>IF(COUNTIFS(EntryList!G:G,AgeCategories!D4,EntryList!O:O,TRUE)=0,"-",COUNTIFS(EntryList!G:G,AgeCategories!D4,EntryList!O:O,TRUE))</f>
        <v>5</v>
      </c>
      <c r="H4" s="81" t="str">
        <f>IFERROR(IF(COUNTIFS(EntryList!G:G,AgeCategories!D4,EntryList!P:P,TRUE)-G4&gt;=0,"All Back",COUNTIFS(EntryList!G:G,AgeCategories!D4,EntryList!P:P,TRUE)),"-")</f>
        <v>All Back</v>
      </c>
      <c r="I4" s="204">
        <f>IFERROR((G4/Helpers!$AA$2),"")</f>
        <v>1.7301038062283738E-2</v>
      </c>
      <c r="J4" s="250">
        <f>Helpers!$E$2</f>
        <v>3</v>
      </c>
      <c r="K4" s="250">
        <f>Helpers!$E$2</f>
        <v>3</v>
      </c>
      <c r="L4" t="str">
        <f t="shared" ref="L4:L32" si="0">IF(G4&lt;3,"&lt;3 in Cat","")</f>
        <v/>
      </c>
      <c r="M4" s="250" t="str">
        <f t="shared" ref="M4:M32" si="1">IF(G4&lt;5,"&lt;5 in Cat","")</f>
        <v/>
      </c>
      <c r="N4" s="250"/>
      <c r="O4" s="250"/>
      <c r="P4" s="250"/>
    </row>
    <row r="5" spans="1:45">
      <c r="A5" s="252">
        <v>13</v>
      </c>
      <c r="B5" s="252">
        <v>14</v>
      </c>
      <c r="C5" s="252" t="s">
        <v>584</v>
      </c>
      <c r="D5" s="252" t="s">
        <v>585</v>
      </c>
      <c r="E5" s="252" t="s">
        <v>96</v>
      </c>
      <c r="F5" s="252" t="s">
        <v>586</v>
      </c>
      <c r="G5" s="81">
        <f>IF(COUNTIFS(EntryList!G:G,AgeCategories!D5,EntryList!O:O,TRUE)=0,"-",COUNTIFS(EntryList!G:G,AgeCategories!D5,EntryList!O:O,TRUE))</f>
        <v>23</v>
      </c>
      <c r="H5" s="81">
        <f>IFERROR(IF(COUNTIFS(EntryList!G:G,AgeCategories!D5,EntryList!P:P,TRUE)-G5&gt;=0,"All Back",COUNTIFS(EntryList!G:G,AgeCategories!D5,EntryList!P:P,TRUE)),"-")</f>
        <v>22</v>
      </c>
      <c r="I5" s="204">
        <f>IFERROR((G5/Helpers!$AA$2),"")</f>
        <v>7.9584775086505188E-2</v>
      </c>
      <c r="J5" s="250">
        <v>3</v>
      </c>
      <c r="K5" s="250">
        <v>3</v>
      </c>
      <c r="L5" t="str">
        <f t="shared" si="0"/>
        <v/>
      </c>
      <c r="M5" s="250" t="str">
        <f t="shared" si="1"/>
        <v/>
      </c>
      <c r="N5" s="250"/>
      <c r="O5" s="250"/>
      <c r="P5" s="250"/>
    </row>
    <row r="6" spans="1:45">
      <c r="A6" s="252">
        <v>15</v>
      </c>
      <c r="B6" s="252">
        <v>16</v>
      </c>
      <c r="C6" s="252" t="s">
        <v>561</v>
      </c>
      <c r="D6" s="252" t="s">
        <v>587</v>
      </c>
      <c r="E6" s="252" t="s">
        <v>96</v>
      </c>
      <c r="F6" s="252" t="s">
        <v>588</v>
      </c>
      <c r="G6" s="81">
        <f>IF(COUNTIFS(EntryList!G:G,AgeCategories!D6,EntryList!O:O,TRUE)=0,"-",COUNTIFS(EntryList!G:G,AgeCategories!D6,EntryList!O:O,TRUE))</f>
        <v>29</v>
      </c>
      <c r="H6" s="81" t="str">
        <f>IFERROR(IF(COUNTIFS(EntryList!G:G,AgeCategories!D6,EntryList!P:P,TRUE)-G6&gt;=0,"All Back",COUNTIFS(EntryList!G:G,AgeCategories!D6,EntryList!P:P,TRUE)),"-")</f>
        <v>All Back</v>
      </c>
      <c r="I6" s="204">
        <f>IFERROR((G6/Helpers!$AA$2),"")</f>
        <v>0.10034602076124567</v>
      </c>
      <c r="J6" s="250">
        <f>Helpers!$D$2</f>
        <v>5</v>
      </c>
      <c r="K6" s="250">
        <f>Helpers!$D$2</f>
        <v>5</v>
      </c>
      <c r="L6" t="str">
        <f t="shared" si="0"/>
        <v/>
      </c>
      <c r="M6" s="250" t="str">
        <f t="shared" si="1"/>
        <v/>
      </c>
      <c r="N6" s="250"/>
      <c r="O6" s="250"/>
      <c r="P6" s="250"/>
    </row>
    <row r="7" spans="1:45">
      <c r="A7" s="252">
        <v>17</v>
      </c>
      <c r="B7" s="252">
        <v>18</v>
      </c>
      <c r="C7" s="252" t="s">
        <v>22</v>
      </c>
      <c r="D7" s="252" t="s">
        <v>320</v>
      </c>
      <c r="E7" s="252" t="s">
        <v>96</v>
      </c>
      <c r="F7" s="252" t="s">
        <v>11</v>
      </c>
      <c r="G7" s="81">
        <f>IF(COUNTIFS(EntryList!G:G,AgeCategories!D7,EntryList!O:O,TRUE)=0,"-",COUNTIFS(EntryList!G:G,AgeCategories!D7,EntryList!O:O,TRUE))</f>
        <v>10</v>
      </c>
      <c r="H7" s="81" t="str">
        <f>IFERROR(IF(COUNTIFS(EntryList!G:G,AgeCategories!D7,EntryList!P:P,TRUE)-G7&gt;=0,"All Back",COUNTIFS(EntryList!G:G,AgeCategories!D7,EntryList!P:P,TRUE)),"-")</f>
        <v>All Back</v>
      </c>
      <c r="I7" s="204">
        <f>IFERROR((G7/Helpers!$AA$2),"")</f>
        <v>3.4602076124567477E-2</v>
      </c>
      <c r="J7" s="250">
        <f>Helpers!$D$2</f>
        <v>5</v>
      </c>
      <c r="K7" s="250">
        <f>Helpers!$D$2</f>
        <v>5</v>
      </c>
      <c r="L7" t="str">
        <f t="shared" si="0"/>
        <v/>
      </c>
      <c r="M7" s="250" t="str">
        <f t="shared" si="1"/>
        <v/>
      </c>
      <c r="N7" s="250"/>
      <c r="O7" s="250"/>
      <c r="P7" s="250"/>
    </row>
    <row r="8" spans="1:45">
      <c r="A8" s="252">
        <v>19</v>
      </c>
      <c r="B8" s="252">
        <v>29</v>
      </c>
      <c r="C8" s="252" t="s">
        <v>589</v>
      </c>
      <c r="D8" s="252" t="s">
        <v>590</v>
      </c>
      <c r="E8" s="252" t="s">
        <v>96</v>
      </c>
      <c r="F8" s="252" t="s">
        <v>591</v>
      </c>
      <c r="G8" s="81" t="str">
        <f>IF(COUNTIFS(EntryList!G:G,AgeCategories!#REF!,EntryList!O:O,TRUE)=0,"-",COUNTIFS(EntryList!G:G,AgeCategories!#REF!,EntryList!O:O,TRUE))</f>
        <v>-</v>
      </c>
      <c r="H8" s="81" t="str">
        <f>IFERROR(IF(COUNTIFS(EntryList!G:G,AgeCategories!#REF!,EntryList!P:P,TRUE)-G8&gt;=0,"All Back",COUNTIFS(EntryList!G:G,AgeCategories!#REF!,EntryList!P:P,TRUE)),"-")</f>
        <v>-</v>
      </c>
      <c r="I8" s="204" t="str">
        <f>IFERROR((G8/Helpers!$AA$2),"")</f>
        <v/>
      </c>
      <c r="J8" s="250">
        <f>Helpers!$D$2</f>
        <v>5</v>
      </c>
      <c r="K8" s="250">
        <f>Helpers!$D$2</f>
        <v>5</v>
      </c>
      <c r="L8" t="str">
        <f t="shared" si="0"/>
        <v/>
      </c>
      <c r="M8" s="250" t="str">
        <f t="shared" si="1"/>
        <v/>
      </c>
      <c r="N8" s="250"/>
      <c r="O8" s="250"/>
      <c r="P8" s="250"/>
    </row>
    <row r="9" spans="1:45">
      <c r="A9" s="252">
        <v>30</v>
      </c>
      <c r="B9" s="252">
        <v>100</v>
      </c>
      <c r="C9" s="252" t="s">
        <v>616</v>
      </c>
      <c r="D9" s="252" t="s">
        <v>497</v>
      </c>
      <c r="E9" s="252" t="s">
        <v>96</v>
      </c>
      <c r="F9" s="252" t="s">
        <v>15</v>
      </c>
      <c r="G9" s="81">
        <f>IF(COUNTIFS(EntryList!G:G,AgeCategories!D8,EntryList!O:O,TRUE)=0,"-",COUNTIFS(EntryList!G:G,AgeCategories!D8,EntryList!O:O,TRUE))</f>
        <v>35</v>
      </c>
      <c r="H9" s="81" t="str">
        <f>IFERROR(IF(COUNTIFS(EntryList!G:G,AgeCategories!D8,EntryList!P:P,TRUE)-G9&gt;=0,"All Back",COUNTIFS(EntryList!G:G,AgeCategories!D8,EntryList!P:P,TRUE)),"-")</f>
        <v>All Back</v>
      </c>
      <c r="I9" s="204">
        <f>IFERROR((G9/Helpers!$AA$2),"")</f>
        <v>0.12110726643598616</v>
      </c>
      <c r="J9" s="250">
        <f>Helpers!$D$2</f>
        <v>5</v>
      </c>
      <c r="K9" s="250">
        <f>Helpers!$D$2</f>
        <v>5</v>
      </c>
      <c r="L9" t="str">
        <f t="shared" si="0"/>
        <v/>
      </c>
      <c r="M9" s="250" t="str">
        <f t="shared" si="1"/>
        <v/>
      </c>
      <c r="N9" s="250"/>
      <c r="O9" s="250"/>
      <c r="P9" s="250"/>
    </row>
    <row r="10" spans="1:45">
      <c r="A10" s="252" t="s">
        <v>208</v>
      </c>
      <c r="B10" s="252" t="s">
        <v>208</v>
      </c>
      <c r="C10" s="252" t="s">
        <v>208</v>
      </c>
      <c r="D10" s="252" t="s">
        <v>208</v>
      </c>
      <c r="E10" s="252" t="s">
        <v>208</v>
      </c>
      <c r="F10" s="252" t="s">
        <v>208</v>
      </c>
      <c r="G10" s="81" t="str">
        <f>IF(COUNTIFS(EntryList!G:G,AgeCategories!D10,EntryList!O:O,TRUE)=0,"-",COUNTIFS(EntryList!G:G,AgeCategories!D10,EntryList!O:O,TRUE))</f>
        <v>-</v>
      </c>
      <c r="H10" s="81" t="str">
        <f>IFERROR(IF(COUNTIFS(EntryList!G:G,AgeCategories!D10,EntryList!P:P,TRUE)-G10&gt;=0,"All Back",COUNTIFS(EntryList!G:G,AgeCategories!D10,EntryList!P:P,TRUE)),"-")</f>
        <v>-</v>
      </c>
      <c r="I10" s="204" t="str">
        <f>IFERROR((G10/Helpers!$AA$2),"")</f>
        <v/>
      </c>
      <c r="J10" s="250">
        <f>Helpers!$D$2</f>
        <v>5</v>
      </c>
      <c r="K10" s="250">
        <f>Helpers!$D$2</f>
        <v>5</v>
      </c>
      <c r="L10" t="str">
        <f t="shared" si="0"/>
        <v/>
      </c>
      <c r="M10" s="250" t="str">
        <f t="shared" si="1"/>
        <v/>
      </c>
      <c r="N10" s="250"/>
      <c r="O10" s="250"/>
      <c r="P10" s="250"/>
    </row>
    <row r="11" spans="1:45">
      <c r="A11" s="252" t="s">
        <v>208</v>
      </c>
      <c r="B11" s="252" t="s">
        <v>208</v>
      </c>
      <c r="C11" s="252" t="s">
        <v>208</v>
      </c>
      <c r="D11" s="252" t="s">
        <v>208</v>
      </c>
      <c r="E11" s="252" t="s">
        <v>208</v>
      </c>
      <c r="F11" s="252" t="s">
        <v>208</v>
      </c>
      <c r="G11" s="81" t="str">
        <f>IF(COUNTIFS(EntryList!G:G,AgeCategories!D11,EntryList!O:O,TRUE)=0,"-",COUNTIFS(EntryList!G:G,AgeCategories!D11,EntryList!O:O,TRUE))</f>
        <v>-</v>
      </c>
      <c r="H11" s="81" t="str">
        <f>IFERROR(IF(COUNTIFS(EntryList!G:G,AgeCategories!D11,EntryList!P:P,TRUE)-G11&gt;=0,"All Back",COUNTIFS(EntryList!G:G,AgeCategories!D11,EntryList!P:P,TRUE)),"-")</f>
        <v>-</v>
      </c>
      <c r="I11" s="204" t="str">
        <f>IFERROR((G11/Helpers!$AA$2),"")</f>
        <v/>
      </c>
      <c r="J11" s="250">
        <f>Helpers!$D$2</f>
        <v>5</v>
      </c>
      <c r="K11" s="250">
        <f>Helpers!$D$2</f>
        <v>5</v>
      </c>
      <c r="L11" t="str">
        <f t="shared" si="0"/>
        <v/>
      </c>
      <c r="M11" s="250" t="str">
        <f t="shared" si="1"/>
        <v/>
      </c>
      <c r="N11" s="250"/>
      <c r="O11" s="250"/>
      <c r="P11" s="250"/>
    </row>
    <row r="12" spans="1:45">
      <c r="A12" s="252" t="s">
        <v>208</v>
      </c>
      <c r="B12" s="252" t="s">
        <v>208</v>
      </c>
      <c r="C12" s="252" t="s">
        <v>208</v>
      </c>
      <c r="D12" s="252" t="s">
        <v>208</v>
      </c>
      <c r="E12" s="252" t="s">
        <v>208</v>
      </c>
      <c r="F12" s="252" t="s">
        <v>208</v>
      </c>
      <c r="G12" s="81">
        <f>IF(COUNTIFS(EntryList!G:G,AgeCategories!D9,EntryList!O:O,TRUE)=0,"-",COUNTIFS(EntryList!G:G,AgeCategories!D9,EntryList!O:O,TRUE))</f>
        <v>52</v>
      </c>
      <c r="H12" s="81" t="str">
        <f>IFERROR(IF(COUNTIFS(EntryList!G:G,AgeCategories!D9,EntryList!P:P,TRUE)-G12&gt;=0,"All Back",COUNTIFS(EntryList!G:G,AgeCategories!D9,EntryList!P:P,TRUE)),"-")</f>
        <v>All Back</v>
      </c>
      <c r="I12" s="204">
        <f>IFERROR((G12/Helpers!$AA$2),"")</f>
        <v>0.17993079584775087</v>
      </c>
      <c r="J12" s="250">
        <f>Helpers!$D$2</f>
        <v>5</v>
      </c>
      <c r="K12" s="250">
        <f>Helpers!$D$2</f>
        <v>5</v>
      </c>
      <c r="L12" t="str">
        <f t="shared" si="0"/>
        <v/>
      </c>
      <c r="M12" s="250" t="str">
        <f t="shared" si="1"/>
        <v/>
      </c>
      <c r="N12" s="250"/>
      <c r="O12" s="250"/>
      <c r="P12" s="250"/>
    </row>
    <row r="13" spans="1:45">
      <c r="A13" s="252" t="s">
        <v>208</v>
      </c>
      <c r="B13" s="252" t="s">
        <v>208</v>
      </c>
      <c r="C13" s="252" t="s">
        <v>208</v>
      </c>
      <c r="D13" s="252" t="s">
        <v>208</v>
      </c>
      <c r="E13" s="252" t="s">
        <v>208</v>
      </c>
      <c r="F13" s="252" t="s">
        <v>208</v>
      </c>
      <c r="G13" s="81" t="str">
        <f>IF(COUNTIFS(EntryList!G:G,AgeCategories!D13,EntryList!O:O,TRUE)=0,"-",COUNTIFS(EntryList!G:G,AgeCategories!D13,EntryList!O:O,TRUE))</f>
        <v>-</v>
      </c>
      <c r="H13" s="81" t="str">
        <f>IFERROR(IF(COUNTIFS(EntryList!G:G,AgeCategories!D13,EntryList!P:P,TRUE)-G13&gt;=0,"All Back",COUNTIFS(EntryList!G:G,AgeCategories!D13,EntryList!P:P,TRUE)),"-")</f>
        <v>-</v>
      </c>
      <c r="I13" s="204" t="str">
        <f>IFERROR((G13/Helpers!$AA$2),"")</f>
        <v/>
      </c>
      <c r="J13" s="250">
        <f>Helpers!$D$2</f>
        <v>5</v>
      </c>
      <c r="K13" s="250">
        <f>Helpers!$D$2</f>
        <v>5</v>
      </c>
      <c r="L13" t="str">
        <f t="shared" si="0"/>
        <v/>
      </c>
      <c r="M13" s="250" t="str">
        <f t="shared" si="1"/>
        <v/>
      </c>
      <c r="N13" s="250"/>
      <c r="O13" s="250"/>
      <c r="P13" s="250"/>
    </row>
    <row r="14" spans="1:45">
      <c r="A14" s="253">
        <v>9</v>
      </c>
      <c r="B14" s="253">
        <v>10</v>
      </c>
      <c r="C14" s="253" t="s">
        <v>580</v>
      </c>
      <c r="D14" s="253" t="s">
        <v>592</v>
      </c>
      <c r="E14" s="253" t="s">
        <v>97</v>
      </c>
      <c r="F14" s="253" t="s">
        <v>18</v>
      </c>
      <c r="G14" s="81">
        <f>IF(COUNTIFS(EntryList!G:G,AgeCategories!D14,EntryList!O:O,TRUE)=0,"-",COUNTIFS(EntryList!G:G,AgeCategories!D14,EntryList!O:O,TRUE))</f>
        <v>1</v>
      </c>
      <c r="H14" s="81" t="str">
        <f>IFERROR(IF(COUNTIFS(EntryList!G:G,AgeCategories!D14,EntryList!P:P,TRUE)-G14&gt;=0,"All Back",COUNTIFS(EntryList!G:G,AgeCategories!D14,EntryList!P:P,TRUE)),"-")</f>
        <v>All Back</v>
      </c>
      <c r="I14" s="204">
        <f>IFERROR((G14/Helpers!$AA$2),"")</f>
        <v>3.4602076124567475E-3</v>
      </c>
      <c r="J14" s="250">
        <f>Helpers!$E$2</f>
        <v>3</v>
      </c>
      <c r="K14" s="250">
        <f>Helpers!$E$2</f>
        <v>3</v>
      </c>
      <c r="L14" t="str">
        <f t="shared" si="0"/>
        <v>&lt;3 in Cat</v>
      </c>
      <c r="M14" s="250" t="str">
        <f t="shared" si="1"/>
        <v>&lt;5 in Cat</v>
      </c>
      <c r="N14" s="250"/>
      <c r="O14" s="250"/>
      <c r="P14" s="250"/>
    </row>
    <row r="15" spans="1:45">
      <c r="A15" s="253">
        <v>11</v>
      </c>
      <c r="B15" s="253">
        <v>12</v>
      </c>
      <c r="C15" s="253" t="s">
        <v>582</v>
      </c>
      <c r="D15" s="253" t="s">
        <v>593</v>
      </c>
      <c r="E15" s="253" t="s">
        <v>97</v>
      </c>
      <c r="F15" s="253" t="s">
        <v>20</v>
      </c>
      <c r="G15" s="81" t="str">
        <f>IF(COUNTIFS(EntryList!G:G,AgeCategories!D15,EntryList!O:O,TRUE)=0,"-",COUNTIFS(EntryList!G:G,AgeCategories!D15,EntryList!O:O,TRUE))</f>
        <v>-</v>
      </c>
      <c r="H15" s="81" t="str">
        <f>IFERROR(IF(COUNTIFS(EntryList!G:G,AgeCategories!D15,EntryList!P:P,TRUE)-G15&gt;=0,"All Back",COUNTIFS(EntryList!G:G,AgeCategories!D15,EntryList!P:P,TRUE)),"-")</f>
        <v>-</v>
      </c>
      <c r="I15" s="204" t="str">
        <f>IFERROR((G15/Helpers!$AA$2),"")</f>
        <v/>
      </c>
      <c r="J15" s="250">
        <f>Helpers!$E$2</f>
        <v>3</v>
      </c>
      <c r="K15" s="250">
        <f>Helpers!$E$2</f>
        <v>3</v>
      </c>
      <c r="L15" t="str">
        <f t="shared" si="0"/>
        <v/>
      </c>
      <c r="M15" s="250" t="str">
        <f t="shared" si="1"/>
        <v/>
      </c>
      <c r="N15" s="251"/>
      <c r="O15" s="251"/>
      <c r="P15" s="251"/>
    </row>
    <row r="16" spans="1:45">
      <c r="A16" s="253">
        <v>13</v>
      </c>
      <c r="B16" s="253">
        <v>14</v>
      </c>
      <c r="C16" s="253" t="s">
        <v>584</v>
      </c>
      <c r="D16" s="253" t="s">
        <v>594</v>
      </c>
      <c r="E16" s="253" t="s">
        <v>97</v>
      </c>
      <c r="F16" s="253" t="s">
        <v>21</v>
      </c>
      <c r="G16" s="81">
        <f>IF(COUNTIFS(EntryList!G:G,AgeCategories!D16,EntryList!O:O,TRUE)=0,"-",COUNTIFS(EntryList!G:G,AgeCategories!D16,EntryList!O:O,TRUE))</f>
        <v>1</v>
      </c>
      <c r="H16" s="81" t="str">
        <f>IFERROR(IF(COUNTIFS(EntryList!G:G,AgeCategories!D16,EntryList!P:P,TRUE)-G16&gt;=0,"All Back",COUNTIFS(EntryList!G:G,AgeCategories!D16,EntryList!P:P,TRUE)),"-")</f>
        <v>All Back</v>
      </c>
      <c r="I16" s="204">
        <f>IFERROR((G16/Helpers!$AA$2),"")</f>
        <v>3.4602076124567475E-3</v>
      </c>
      <c r="J16" s="250">
        <v>3</v>
      </c>
      <c r="K16" s="250">
        <v>3</v>
      </c>
      <c r="L16" t="str">
        <f t="shared" si="0"/>
        <v>&lt;3 in Cat</v>
      </c>
      <c r="M16" s="250" t="str">
        <f t="shared" si="1"/>
        <v>&lt;5 in Cat</v>
      </c>
      <c r="N16" s="251"/>
      <c r="O16" s="251"/>
      <c r="P16" s="251"/>
    </row>
    <row r="17" spans="1:16">
      <c r="A17" s="253">
        <v>15</v>
      </c>
      <c r="B17" s="253">
        <v>16</v>
      </c>
      <c r="C17" s="253" t="s">
        <v>561</v>
      </c>
      <c r="D17" s="253" t="s">
        <v>595</v>
      </c>
      <c r="E17" s="253" t="s">
        <v>97</v>
      </c>
      <c r="F17" s="253" t="s">
        <v>596</v>
      </c>
      <c r="G17" s="81" t="str">
        <f>IF(COUNTIFS(EntryList!G:G,AgeCategories!D17,EntryList!O:O,TRUE)=0,"-",COUNTIFS(EntryList!G:G,AgeCategories!D17,EntryList!O:O,TRUE))</f>
        <v>-</v>
      </c>
      <c r="H17" s="81" t="str">
        <f>IFERROR(IF(COUNTIFS(EntryList!G:G,AgeCategories!D17,EntryList!P:P,TRUE)-G17&gt;=0,"All Back",COUNTIFS(EntryList!G:G,AgeCategories!D17,EntryList!P:P,TRUE)),"-")</f>
        <v>-</v>
      </c>
      <c r="I17" s="204" t="str">
        <f>IFERROR((G17/Helpers!$AA$2),"")</f>
        <v/>
      </c>
      <c r="J17" s="250">
        <f>Helpers!$D$2</f>
        <v>5</v>
      </c>
      <c r="K17" s="250">
        <f>Helpers!$D$2</f>
        <v>5</v>
      </c>
      <c r="L17" t="str">
        <f t="shared" si="0"/>
        <v/>
      </c>
      <c r="M17" s="250" t="str">
        <f t="shared" si="1"/>
        <v/>
      </c>
      <c r="N17" s="251"/>
      <c r="O17" s="251"/>
      <c r="P17" s="251"/>
    </row>
    <row r="18" spans="1:16">
      <c r="A18" s="253">
        <v>17</v>
      </c>
      <c r="B18" s="253">
        <v>18</v>
      </c>
      <c r="C18" s="253" t="s">
        <v>22</v>
      </c>
      <c r="D18" s="253" t="s">
        <v>617</v>
      </c>
      <c r="E18" s="253" t="s">
        <v>97</v>
      </c>
      <c r="F18" s="253" t="s">
        <v>597</v>
      </c>
      <c r="G18" s="81" t="str">
        <f>IF(COUNTIFS(EntryList!G:G,AgeCategories!D18,EntryList!O:O,TRUE)=0,"-",COUNTIFS(EntryList!G:G,AgeCategories!D18,EntryList!O:O,TRUE))</f>
        <v>-</v>
      </c>
      <c r="H18" s="81" t="str">
        <f>IFERROR(IF(COUNTIFS(EntryList!G:G,AgeCategories!D18,EntryList!P:P,TRUE)-G18&gt;=0,"All Back",COUNTIFS(EntryList!G:G,AgeCategories!D18,EntryList!P:P,TRUE)),"-")</f>
        <v>-</v>
      </c>
      <c r="I18" s="204" t="str">
        <f>IFERROR((G18/Helpers!$AA$2),"")</f>
        <v/>
      </c>
      <c r="J18" s="250">
        <f>Helpers!$D$2</f>
        <v>5</v>
      </c>
      <c r="K18" s="250">
        <f>Helpers!$D$2</f>
        <v>5</v>
      </c>
      <c r="L18" t="str">
        <f t="shared" si="0"/>
        <v/>
      </c>
      <c r="M18" s="250" t="str">
        <f t="shared" si="1"/>
        <v/>
      </c>
      <c r="N18" s="251"/>
      <c r="O18" s="251"/>
      <c r="P18" s="251"/>
    </row>
    <row r="19" spans="1:16">
      <c r="A19" s="253">
        <v>19</v>
      </c>
      <c r="B19" s="253">
        <v>29</v>
      </c>
      <c r="C19" s="253" t="s">
        <v>589</v>
      </c>
      <c r="D19" s="253" t="s">
        <v>618</v>
      </c>
      <c r="E19" s="253" t="s">
        <v>97</v>
      </c>
      <c r="F19" s="253" t="s">
        <v>619</v>
      </c>
      <c r="G19" s="81" t="str">
        <f>IF(COUNTIFS(EntryList!G:G,AgeCategories!#REF!,EntryList!O:O,TRUE)=0,"-",COUNTIFS(EntryList!G:G,AgeCategories!#REF!,EntryList!O:O,TRUE))</f>
        <v>-</v>
      </c>
      <c r="H19" s="81" t="str">
        <f>IFERROR(IF(COUNTIFS(EntryList!G:G,AgeCategories!#REF!,EntryList!P:P,TRUE)-G19&gt;=0,"All Back",COUNTIFS(EntryList!G:G,AgeCategories!#REF!,EntryList!P:P,TRUE)),"-")</f>
        <v>-</v>
      </c>
      <c r="I19" s="204" t="str">
        <f>IFERROR((G19/Helpers!$AA$2),"")</f>
        <v/>
      </c>
      <c r="J19" s="250">
        <f>Helpers!$D$2</f>
        <v>5</v>
      </c>
      <c r="K19" s="250">
        <f>Helpers!$D$2</f>
        <v>5</v>
      </c>
      <c r="L19" t="str">
        <f t="shared" si="0"/>
        <v/>
      </c>
      <c r="M19" s="250" t="str">
        <f t="shared" si="1"/>
        <v/>
      </c>
      <c r="N19" s="251"/>
      <c r="O19" s="251"/>
      <c r="P19" s="251"/>
    </row>
    <row r="20" spans="1:16">
      <c r="A20" s="253">
        <v>30</v>
      </c>
      <c r="B20" s="253">
        <v>100</v>
      </c>
      <c r="C20" s="253" t="s">
        <v>616</v>
      </c>
      <c r="D20" s="253" t="s">
        <v>622</v>
      </c>
      <c r="E20" s="253" t="s">
        <v>97</v>
      </c>
      <c r="F20" s="253" t="s">
        <v>623</v>
      </c>
      <c r="G20" s="81">
        <f>IF(COUNTIFS(EntryList!G:G,AgeCategories!D19,EntryList!O:O,TRUE)=0,"-",COUNTIFS(EntryList!G:G,AgeCategories!D19,EntryList!O:O,TRUE))</f>
        <v>3</v>
      </c>
      <c r="H20" s="81" t="str">
        <f>IFERROR(IF(COUNTIFS(EntryList!G:G,AgeCategories!D19,EntryList!P:P,TRUE)-G20&gt;=0,"All Back",COUNTIFS(EntryList!G:G,AgeCategories!D19,EntryList!P:P,TRUE)),"-")</f>
        <v>All Back</v>
      </c>
      <c r="I20" s="204">
        <f>IFERROR((G20/Helpers!$AA$2),"")</f>
        <v>1.0380622837370242E-2</v>
      </c>
      <c r="J20" s="250">
        <f>Helpers!$D$2</f>
        <v>5</v>
      </c>
      <c r="K20" s="250">
        <f>Helpers!$D$2</f>
        <v>5</v>
      </c>
      <c r="L20" t="str">
        <f t="shared" si="0"/>
        <v/>
      </c>
      <c r="M20" s="250" t="str">
        <f t="shared" si="1"/>
        <v>&lt;5 in Cat</v>
      </c>
      <c r="N20" s="251"/>
      <c r="O20" s="251"/>
      <c r="P20" s="251"/>
    </row>
    <row r="21" spans="1:16">
      <c r="A21" s="312" t="s">
        <v>208</v>
      </c>
      <c r="B21" s="312" t="s">
        <v>208</v>
      </c>
      <c r="C21" s="312" t="s">
        <v>208</v>
      </c>
      <c r="D21" s="312" t="s">
        <v>208</v>
      </c>
      <c r="E21" s="312" t="s">
        <v>208</v>
      </c>
      <c r="F21" s="312" t="s">
        <v>208</v>
      </c>
      <c r="G21" s="81" t="str">
        <f>IF(COUNTIFS(EntryList!G:G,AgeCategories!D21,EntryList!O:O,TRUE)=0,"-",COUNTIFS(EntryList!G:G,AgeCategories!D21,EntryList!O:O,TRUE))</f>
        <v>-</v>
      </c>
      <c r="H21" s="81" t="str">
        <f>IFERROR(IF(COUNTIFS(EntryList!G:G,AgeCategories!D21,EntryList!P:P,TRUE)-G21&gt;=0,"All Back",COUNTIFS(EntryList!G:G,AgeCategories!D21,EntryList!P:P,TRUE)),"-")</f>
        <v>-</v>
      </c>
      <c r="I21" s="204" t="str">
        <f>IFERROR((G21/Helpers!$AA$2),"")</f>
        <v/>
      </c>
      <c r="J21" s="250">
        <f>Helpers!$D$2</f>
        <v>5</v>
      </c>
      <c r="K21" s="250">
        <f>Helpers!$D$2</f>
        <v>5</v>
      </c>
      <c r="L21" t="str">
        <f t="shared" si="0"/>
        <v/>
      </c>
      <c r="M21" s="250" t="str">
        <f t="shared" si="1"/>
        <v/>
      </c>
      <c r="N21" s="251"/>
      <c r="O21" s="251"/>
      <c r="P21" s="251"/>
    </row>
    <row r="22" spans="1:16">
      <c r="A22" s="312" t="s">
        <v>208</v>
      </c>
      <c r="B22" s="312" t="s">
        <v>208</v>
      </c>
      <c r="C22" s="312" t="s">
        <v>208</v>
      </c>
      <c r="D22" s="312" t="s">
        <v>208</v>
      </c>
      <c r="E22" s="312" t="s">
        <v>208</v>
      </c>
      <c r="F22" s="312" t="s">
        <v>208</v>
      </c>
      <c r="G22" s="81" t="str">
        <f>IF(COUNTIFS(EntryList!G:G,AgeCategories!D22,EntryList!O:O,TRUE)=0,"-",COUNTIFS(EntryList!G:G,AgeCategories!D22,EntryList!O:O,TRUE))</f>
        <v>-</v>
      </c>
      <c r="H22" s="81" t="str">
        <f>IFERROR(IF(COUNTIFS(EntryList!G:G,AgeCategories!D22,EntryList!P:P,TRUE)-G22&gt;=0,"All Back",COUNTIFS(EntryList!G:G,AgeCategories!D22,EntryList!P:P,TRUE)),"-")</f>
        <v>-</v>
      </c>
      <c r="I22" s="204" t="str">
        <f>IFERROR((G22/Helpers!$AA$2),"")</f>
        <v/>
      </c>
      <c r="J22" s="250">
        <f>Helpers!$D$2</f>
        <v>5</v>
      </c>
      <c r="K22" s="250">
        <f>Helpers!$D$2</f>
        <v>5</v>
      </c>
      <c r="L22" t="str">
        <f t="shared" si="0"/>
        <v/>
      </c>
      <c r="M22" s="250" t="str">
        <f t="shared" si="1"/>
        <v/>
      </c>
      <c r="N22" s="251"/>
      <c r="O22" s="251"/>
      <c r="P22" s="251"/>
    </row>
    <row r="23" spans="1:16">
      <c r="A23" s="312" t="s">
        <v>208</v>
      </c>
      <c r="B23" s="312" t="s">
        <v>208</v>
      </c>
      <c r="C23" s="312" t="s">
        <v>208</v>
      </c>
      <c r="D23" s="312" t="s">
        <v>208</v>
      </c>
      <c r="E23" s="312" t="s">
        <v>208</v>
      </c>
      <c r="F23" s="312" t="s">
        <v>208</v>
      </c>
      <c r="G23" s="81">
        <f>IF(COUNTIFS(EntryList!G:G,AgeCategories!D20,EntryList!O:O,TRUE)=0,"-",COUNTIFS(EntryList!G:G,AgeCategories!D20,EntryList!O:O,TRUE))</f>
        <v>3</v>
      </c>
      <c r="H23" s="81" t="str">
        <f>IFERROR(IF(COUNTIFS(EntryList!G:G,AgeCategories!D20,EntryList!P:P,TRUE)-G23&gt;=0,"All Back",COUNTIFS(EntryList!G:G,AgeCategories!D20,EntryList!P:P,TRUE)),"-")</f>
        <v>All Back</v>
      </c>
      <c r="I23" s="204">
        <f>IFERROR((G23/Helpers!$AA$2),"")</f>
        <v>1.0380622837370242E-2</v>
      </c>
      <c r="J23" s="250">
        <f>Helpers!$D$2</f>
        <v>5</v>
      </c>
      <c r="K23" s="250">
        <f>Helpers!$D$2</f>
        <v>5</v>
      </c>
      <c r="L23" t="str">
        <f t="shared" si="0"/>
        <v/>
      </c>
      <c r="M23" s="250" t="str">
        <f t="shared" si="1"/>
        <v>&lt;5 in Cat</v>
      </c>
      <c r="N23" s="251"/>
      <c r="O23" s="251"/>
      <c r="P23" s="251"/>
    </row>
    <row r="24" spans="1:16">
      <c r="A24" s="312" t="s">
        <v>208</v>
      </c>
      <c r="B24" s="312" t="s">
        <v>208</v>
      </c>
      <c r="C24" s="312" t="s">
        <v>208</v>
      </c>
      <c r="D24" s="312" t="s">
        <v>208</v>
      </c>
      <c r="E24" s="312" t="s">
        <v>208</v>
      </c>
      <c r="F24" s="312" t="s">
        <v>208</v>
      </c>
      <c r="G24" s="81" t="str">
        <f>IF(COUNTIFS(EntryList!G:G,AgeCategories!D24,EntryList!O:O,TRUE)=0,"-",COUNTIFS(EntryList!G:G,AgeCategories!D24,EntryList!O:O,TRUE))</f>
        <v>-</v>
      </c>
      <c r="H24" s="81" t="str">
        <f>IFERROR(IF(COUNTIFS(EntryList!G:G,AgeCategories!D24,EntryList!P:P,TRUE)-G24&gt;=0,"All Back",COUNTIFS(EntryList!G:G,AgeCategories!D24,EntryList!P:P,TRUE)),"-")</f>
        <v>-</v>
      </c>
      <c r="I24" s="204" t="str">
        <f>IFERROR((G24/Helpers!$AA$2),"")</f>
        <v/>
      </c>
      <c r="J24" s="250">
        <f>Helpers!$D$2</f>
        <v>5</v>
      </c>
      <c r="K24" s="250">
        <f>Helpers!$D$2</f>
        <v>5</v>
      </c>
      <c r="L24" t="str">
        <f t="shared" si="0"/>
        <v/>
      </c>
      <c r="M24" s="250" t="str">
        <f t="shared" si="1"/>
        <v/>
      </c>
      <c r="N24" s="251"/>
      <c r="O24" s="251"/>
      <c r="P24" s="251"/>
    </row>
    <row r="25" spans="1:16">
      <c r="A25" s="254">
        <v>8</v>
      </c>
      <c r="B25" s="254">
        <v>100</v>
      </c>
      <c r="C25" s="254" t="s">
        <v>560</v>
      </c>
      <c r="D25" s="255" t="s">
        <v>578</v>
      </c>
      <c r="E25" s="254" t="s">
        <v>96</v>
      </c>
      <c r="F25" s="254" t="s">
        <v>603</v>
      </c>
      <c r="G25" s="81">
        <f>IF(COUNTIFS(EntryList!G:G,AgeCategories!D25,EntryList!O:O,TRUE)=0,"-",COUNTIFS(EntryList!G:G,AgeCategories!D25,EntryList!O:O,TRUE))</f>
        <v>18</v>
      </c>
      <c r="H25" s="81" t="str">
        <f>IFERROR(IF(COUNTIFS(EntryList!G:G,AgeCategories!D25,EntryList!P:P,TRUE)-G25&gt;=0,"All Back",COUNTIFS(EntryList!G:G,AgeCategories!D25,EntryList!P:P,TRUE)),"-")</f>
        <v>All Back</v>
      </c>
      <c r="I25" s="204">
        <f>IFERROR((G25/Helpers!$AA$2),"")</f>
        <v>6.228373702422145E-2</v>
      </c>
      <c r="J25" s="250">
        <v>5</v>
      </c>
      <c r="K25" s="250">
        <v>5</v>
      </c>
      <c r="L25" t="str">
        <f t="shared" si="0"/>
        <v/>
      </c>
      <c r="M25" s="250" t="str">
        <f t="shared" si="1"/>
        <v/>
      </c>
      <c r="N25" s="251"/>
      <c r="O25" s="251"/>
      <c r="P25" s="251"/>
    </row>
    <row r="26" spans="1:16">
      <c r="A26" s="254">
        <v>8</v>
      </c>
      <c r="B26" s="254">
        <v>100</v>
      </c>
      <c r="C26" s="254" t="s">
        <v>560</v>
      </c>
      <c r="D26" s="255" t="s">
        <v>579</v>
      </c>
      <c r="E26" s="254" t="s">
        <v>97</v>
      </c>
      <c r="F26" s="254" t="s">
        <v>604</v>
      </c>
      <c r="G26" s="81">
        <f>IF(COUNTIFS(EntryList!G:G,AgeCategories!D26,EntryList!O:O,TRUE)=0,"-",COUNTIFS(EntryList!G:G,AgeCategories!D26,EntryList!O:O,TRUE))</f>
        <v>1</v>
      </c>
      <c r="H26" s="81" t="str">
        <f>IFERROR(IF(COUNTIFS(EntryList!G:G,AgeCategories!D26,EntryList!P:P,TRUE)-G26&gt;=0,"All Back",COUNTIFS(EntryList!G:G,AgeCategories!D26,EntryList!P:P,TRUE)),"-")</f>
        <v>All Back</v>
      </c>
      <c r="I26" s="204">
        <f>IFERROR((G26/Helpers!$AA$2),"")</f>
        <v>3.4602076124567475E-3</v>
      </c>
      <c r="J26" s="250">
        <v>5</v>
      </c>
      <c r="K26" s="250">
        <v>5</v>
      </c>
      <c r="L26" t="str">
        <f t="shared" si="0"/>
        <v>&lt;3 in Cat</v>
      </c>
      <c r="M26" s="250" t="str">
        <f t="shared" si="1"/>
        <v>&lt;5 in Cat</v>
      </c>
      <c r="N26" s="251"/>
      <c r="O26" s="251"/>
      <c r="P26" s="251"/>
    </row>
    <row r="27" spans="1:16">
      <c r="A27" s="254">
        <v>8</v>
      </c>
      <c r="B27" s="254">
        <v>100</v>
      </c>
      <c r="C27" s="254" t="s">
        <v>598</v>
      </c>
      <c r="D27" s="255" t="s">
        <v>599</v>
      </c>
      <c r="E27" s="254" t="s">
        <v>96</v>
      </c>
      <c r="F27" s="254" t="s">
        <v>600</v>
      </c>
      <c r="G27" s="81">
        <f>IF(COUNTIFS(EntryList!G:G,AgeCategories!D27,EntryList!O:O,TRUE)=0,"-",COUNTIFS(EntryList!G:G,AgeCategories!D27,EntryList!O:O,TRUE))</f>
        <v>8</v>
      </c>
      <c r="H27" s="81" t="str">
        <f>IFERROR(IF(COUNTIFS(EntryList!G:G,AgeCategories!D27,EntryList!P:P,TRUE)-G27&gt;=0,"All Back",COUNTIFS(EntryList!G:G,AgeCategories!D27,EntryList!P:P,TRUE)),"-")</f>
        <v>All Back</v>
      </c>
      <c r="I27" s="204">
        <f>IFERROR((G27/Helpers!$AA$2),"")</f>
        <v>2.768166089965398E-2</v>
      </c>
      <c r="J27" s="250">
        <f>Helpers!$E$2</f>
        <v>3</v>
      </c>
      <c r="K27" s="250">
        <f>Helpers!$E$2</f>
        <v>3</v>
      </c>
      <c r="L27" t="str">
        <f t="shared" si="0"/>
        <v/>
      </c>
      <c r="M27" s="250" t="str">
        <f t="shared" si="1"/>
        <v/>
      </c>
      <c r="N27" s="250"/>
      <c r="O27" s="225"/>
      <c r="P27" s="225"/>
    </row>
    <row r="28" spans="1:16">
      <c r="A28" s="254">
        <v>8</v>
      </c>
      <c r="B28" s="254">
        <v>100</v>
      </c>
      <c r="C28" s="254" t="s">
        <v>598</v>
      </c>
      <c r="D28" s="255" t="s">
        <v>601</v>
      </c>
      <c r="E28" s="254" t="s">
        <v>97</v>
      </c>
      <c r="F28" s="254" t="s">
        <v>602</v>
      </c>
      <c r="G28" s="81" t="str">
        <f>IF(COUNTIFS(EntryList!G:G,AgeCategories!D28,EntryList!O:O,TRUE)=0,"-",COUNTIFS(EntryList!G:G,AgeCategories!D28,EntryList!O:O,TRUE))</f>
        <v>-</v>
      </c>
      <c r="H28" s="81" t="str">
        <f>IFERROR(IF(COUNTIFS(EntryList!G:G,AgeCategories!D28,EntryList!P:P,TRUE)-G28&gt;=0,"All Back",COUNTIFS(EntryList!G:G,AgeCategories!D28,EntryList!P:P,TRUE)),"-")</f>
        <v>-</v>
      </c>
      <c r="I28" s="204" t="str">
        <f>IFERROR((G28/Helpers!$AA$2),"")</f>
        <v/>
      </c>
      <c r="J28" s="250">
        <f>Helpers!$E$2</f>
        <v>3</v>
      </c>
      <c r="K28" s="250">
        <f>Helpers!$E$2</f>
        <v>3</v>
      </c>
      <c r="L28" t="str">
        <f t="shared" si="0"/>
        <v/>
      </c>
      <c r="M28" s="250" t="str">
        <f t="shared" si="1"/>
        <v/>
      </c>
      <c r="N28" s="250"/>
      <c r="O28" s="225"/>
      <c r="P28" s="225"/>
    </row>
    <row r="29" spans="1:16">
      <c r="A29" s="254">
        <v>8</v>
      </c>
      <c r="B29" s="254">
        <v>100</v>
      </c>
      <c r="C29" s="254" t="s">
        <v>2601</v>
      </c>
      <c r="D29" s="255" t="s">
        <v>2602</v>
      </c>
      <c r="E29" s="254" t="s">
        <v>96</v>
      </c>
      <c r="F29" s="254" t="s">
        <v>2604</v>
      </c>
      <c r="G29" s="81">
        <f>IF(COUNTIFS(EntryList!G:G,AgeCategories!D29,EntryList!O:O,TRUE)=0,"-",COUNTIFS(EntryList!G:G,AgeCategories!D29,EntryList!O:O,TRUE))</f>
        <v>57</v>
      </c>
      <c r="H29" s="81" t="str">
        <f>IFERROR(IF(COUNTIFS(EntryList!G:G,AgeCategories!D29,EntryList!P:P,TRUE)-G29&gt;=0,"All Back",COUNTIFS(EntryList!G:G,AgeCategories!D29,EntryList!P:P,TRUE)),"-")</f>
        <v>All Back</v>
      </c>
      <c r="I29" s="204">
        <f>IFERROR((G29/Helpers!$AA$2),"")</f>
        <v>0.1972318339100346</v>
      </c>
      <c r="J29" s="250">
        <f>Helpers!$E$2</f>
        <v>3</v>
      </c>
      <c r="K29" s="250">
        <f>Helpers!$E$2</f>
        <v>3</v>
      </c>
      <c r="L29" t="str">
        <f t="shared" si="0"/>
        <v/>
      </c>
      <c r="M29" s="250" t="str">
        <f t="shared" si="1"/>
        <v/>
      </c>
      <c r="N29" s="250"/>
      <c r="O29" s="225"/>
      <c r="P29" s="225"/>
    </row>
    <row r="30" spans="1:16">
      <c r="A30" s="254">
        <v>8</v>
      </c>
      <c r="B30" s="254">
        <v>100</v>
      </c>
      <c r="C30" s="254" t="s">
        <v>2601</v>
      </c>
      <c r="D30" s="255" t="s">
        <v>2603</v>
      </c>
      <c r="E30" s="254" t="s">
        <v>97</v>
      </c>
      <c r="F30" s="254" t="s">
        <v>2605</v>
      </c>
      <c r="G30" s="81">
        <f>IF(COUNTIFS(EntryList!G:G,AgeCategories!D30,EntryList!O:O,TRUE)=0,"-",COUNTIFS(EntryList!G:G,AgeCategories!D30,EntryList!O:O,TRUE))</f>
        <v>9</v>
      </c>
      <c r="H30" s="81" t="str">
        <f>IFERROR(IF(COUNTIFS(EntryList!G:G,AgeCategories!D30,EntryList!P:P,TRUE)-G30&gt;=0,"All Back",COUNTIFS(EntryList!G:G,AgeCategories!D30,EntryList!P:P,TRUE)),"-")</f>
        <v>All Back</v>
      </c>
      <c r="I30" s="204">
        <f>IFERROR((G30/Helpers!$AA$2),"")</f>
        <v>3.1141868512110725E-2</v>
      </c>
      <c r="J30" s="250">
        <f>Helpers!$E$2</f>
        <v>3</v>
      </c>
      <c r="K30" s="250">
        <f>Helpers!$E$2</f>
        <v>3</v>
      </c>
      <c r="L30" t="str">
        <f t="shared" si="0"/>
        <v/>
      </c>
      <c r="M30" s="250" t="str">
        <f t="shared" si="1"/>
        <v/>
      </c>
      <c r="N30" s="250"/>
      <c r="O30" s="225"/>
      <c r="P30" s="225"/>
    </row>
    <row r="31" spans="1:16">
      <c r="A31" s="254" t="s">
        <v>208</v>
      </c>
      <c r="B31" s="254" t="s">
        <v>208</v>
      </c>
      <c r="C31" s="254" t="s">
        <v>208</v>
      </c>
      <c r="D31" s="255" t="s">
        <v>208</v>
      </c>
      <c r="E31" s="254" t="s">
        <v>208</v>
      </c>
      <c r="F31" s="254" t="s">
        <v>208</v>
      </c>
      <c r="G31" s="81" t="str">
        <f>IF(COUNTIFS(EntryList!G:G,AgeCategories!D31,EntryList!O:O,TRUE)=0,"-",COUNTIFS(EntryList!G:G,AgeCategories!D31,EntryList!O:O,TRUE))</f>
        <v>-</v>
      </c>
      <c r="H31" s="81" t="str">
        <f>IFERROR(IF(COUNTIFS(EntryList!G:G,AgeCategories!D31,EntryList!P:P,TRUE)-G31&gt;=0,"All Back",COUNTIFS(EntryList!G:G,AgeCategories!D31,EntryList!P:P,TRUE)),"-")</f>
        <v>-</v>
      </c>
      <c r="I31" s="204" t="str">
        <f>IFERROR((G31/Helpers!$AA$2),"")</f>
        <v/>
      </c>
      <c r="J31" s="250">
        <f>Helpers!$D$2</f>
        <v>5</v>
      </c>
      <c r="K31" s="250">
        <f>Helpers!$D$2</f>
        <v>5</v>
      </c>
      <c r="L31" t="str">
        <f t="shared" si="0"/>
        <v/>
      </c>
      <c r="M31" s="250" t="str">
        <f t="shared" si="1"/>
        <v/>
      </c>
      <c r="N31" s="113"/>
      <c r="O31" s="113"/>
      <c r="P31" s="113"/>
    </row>
    <row r="32" spans="1:16">
      <c r="A32" s="254" t="s">
        <v>208</v>
      </c>
      <c r="B32" s="254" t="s">
        <v>208</v>
      </c>
      <c r="C32" s="254" t="s">
        <v>208</v>
      </c>
      <c r="D32" s="255" t="s">
        <v>208</v>
      </c>
      <c r="E32" s="254" t="s">
        <v>208</v>
      </c>
      <c r="F32" s="254" t="s">
        <v>208</v>
      </c>
      <c r="G32" s="81" t="str">
        <f>IF(COUNTIFS(EntryList!G:G,AgeCategories!D32,EntryList!O:O,TRUE)=0,"-",COUNTIFS(EntryList!G:G,AgeCategories!D32,EntryList!O:O,TRUE))</f>
        <v>-</v>
      </c>
      <c r="H32" s="81" t="str">
        <f>IFERROR(IF(COUNTIFS(EntryList!G:G,AgeCategories!D32,EntryList!P:P,TRUE)-G32&gt;=0,"All Back",COUNTIFS(EntryList!G:G,AgeCategories!D32,EntryList!P:P,TRUE)),"-")</f>
        <v>-</v>
      </c>
      <c r="I32" s="204" t="str">
        <f>IFERROR((G32/Helpers!$AA$2),"")</f>
        <v/>
      </c>
      <c r="J32" s="250">
        <f>Helpers!$D$2</f>
        <v>5</v>
      </c>
      <c r="K32" s="250">
        <f>Helpers!$D$2</f>
        <v>5</v>
      </c>
      <c r="L32" t="str">
        <f t="shared" si="0"/>
        <v/>
      </c>
      <c r="M32" s="250" t="str">
        <f t="shared" si="1"/>
        <v/>
      </c>
      <c r="N32" s="122"/>
      <c r="O32" s="122"/>
      <c r="P32" s="122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9" r:id="rId4" name="Button 3">
              <controlPr defaultSize="0" print="0" autoFill="0" autoPict="0" macro="[0]!EditCategories">
                <anchor moveWithCells="1">
                  <from>
                    <xdr:col>3</xdr:col>
                    <xdr:colOff>361950</xdr:colOff>
                    <xdr:row>0</xdr:row>
                    <xdr:rowOff>9525</xdr:rowOff>
                  </from>
                  <to>
                    <xdr:col>5</xdr:col>
                    <xdr:colOff>114300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autoPageBreaks="0"/>
  </sheetPr>
  <dimension ref="A1:R234"/>
  <sheetViews>
    <sheetView zoomScaleNormal="100" workbookViewId="0">
      <selection activeCell="D10" sqref="D10"/>
    </sheetView>
  </sheetViews>
  <sheetFormatPr defaultRowHeight="12.75"/>
  <cols>
    <col min="1" max="1" width="25.7109375" style="22" customWidth="1"/>
    <col min="2" max="2" width="9.85546875" bestFit="1" customWidth="1"/>
    <col min="3" max="3" width="20.7109375" style="190" customWidth="1"/>
    <col min="4" max="4" width="25.7109375" customWidth="1"/>
    <col min="5" max="5" width="21.85546875" style="135" customWidth="1"/>
    <col min="7" max="7" width="11.5703125" style="131" customWidth="1"/>
    <col min="8" max="8" width="10.42578125" style="137" bestFit="1" customWidth="1"/>
    <col min="9" max="9" width="13.85546875" style="131" customWidth="1"/>
    <col min="10" max="10" width="10.28515625" style="131" customWidth="1"/>
    <col min="11" max="11" width="11.7109375" style="129" bestFit="1" customWidth="1"/>
    <col min="13" max="13" width="19.5703125" bestFit="1" customWidth="1"/>
    <col min="14" max="14" width="14.42578125" bestFit="1" customWidth="1"/>
    <col min="15" max="15" width="16.28515625" bestFit="1" customWidth="1"/>
    <col min="17" max="17" width="11.7109375" bestFit="1" customWidth="1"/>
  </cols>
  <sheetData>
    <row r="1" spans="1:17" ht="25.5">
      <c r="A1" s="237">
        <f>EntryList!$A$1</f>
        <v>0</v>
      </c>
      <c r="B1" s="74" t="s">
        <v>417</v>
      </c>
      <c r="C1" s="185" t="s">
        <v>247</v>
      </c>
      <c r="D1" s="181" t="str">
        <f>Helpers!A2</f>
        <v>Jonkershoek Enduro</v>
      </c>
      <c r="E1" s="164" t="s">
        <v>246</v>
      </c>
      <c r="G1" s="385" t="s">
        <v>167</v>
      </c>
      <c r="H1" s="385"/>
      <c r="I1" s="385"/>
      <c r="J1" s="385"/>
      <c r="K1" s="385"/>
      <c r="L1" s="114"/>
      <c r="M1" s="385" t="s">
        <v>225</v>
      </c>
      <c r="N1" s="385"/>
      <c r="O1" s="385"/>
      <c r="P1" s="385"/>
      <c r="Q1" s="385"/>
    </row>
    <row r="2" spans="1:17" ht="28.35" customHeight="1">
      <c r="A2" s="101"/>
      <c r="B2" s="20" t="s">
        <v>418</v>
      </c>
      <c r="C2" s="187">
        <v>0</v>
      </c>
      <c r="D2" s="191" t="str">
        <f>IFERROR(VLOOKUP(C3,EntryList!$A$3:$N$596,2,FALSE),"")</f>
        <v>Adriaan De Lange</v>
      </c>
      <c r="E2" s="4"/>
      <c r="F2" s="113"/>
      <c r="G2" s="130" t="s">
        <v>109</v>
      </c>
      <c r="H2" s="136" t="s">
        <v>166</v>
      </c>
      <c r="I2" s="130" t="s">
        <v>135</v>
      </c>
      <c r="J2" s="130" t="s">
        <v>168</v>
      </c>
      <c r="K2" s="130" t="s">
        <v>221</v>
      </c>
      <c r="L2" s="114"/>
      <c r="M2" s="130" t="s">
        <v>23</v>
      </c>
      <c r="N2" s="130" t="s">
        <v>168</v>
      </c>
      <c r="O2" s="130" t="s">
        <v>135</v>
      </c>
      <c r="P2" s="130" t="s">
        <v>166</v>
      </c>
      <c r="Q2" s="130" t="s">
        <v>221</v>
      </c>
    </row>
    <row r="3" spans="1:17">
      <c r="A3" s="50"/>
      <c r="B3" s="74" t="s">
        <v>122</v>
      </c>
      <c r="C3" s="187">
        <v>226</v>
      </c>
      <c r="D3" s="50" t="str">
        <f>CONCATENATE(TRIM(B3)," ", TRIM(C3))</f>
        <v>Watch No: 226</v>
      </c>
      <c r="E3" s="4"/>
      <c r="F3" s="9"/>
      <c r="M3" s="131"/>
      <c r="N3" s="131"/>
      <c r="O3" s="131"/>
      <c r="P3" s="131"/>
      <c r="Q3" s="129"/>
    </row>
    <row r="4" spans="1:17">
      <c r="A4" s="84"/>
      <c r="B4" s="74" t="s">
        <v>121</v>
      </c>
      <c r="C4" s="188" t="str">
        <f>IF(LEN(VLOOKUP(C3,EntryList!A3:T596,7,FALSE))=0,"-",VLOOKUP(C3,EntryList!A3:T596,7,FALSE))</f>
        <v>Elite Men</v>
      </c>
      <c r="D4" s="84" t="str">
        <f>CONCATENATE(TRIM(B4)," ", TRIM(C4))</f>
        <v>Cat: Elite Men</v>
      </c>
      <c r="E4" s="4"/>
      <c r="F4" s="113"/>
      <c r="M4" s="131"/>
      <c r="N4" s="131"/>
      <c r="O4" s="131"/>
      <c r="P4" s="131"/>
      <c r="Q4" s="129"/>
    </row>
    <row r="5" spans="1:17">
      <c r="A5" s="55"/>
      <c r="B5" s="74" t="s">
        <v>138</v>
      </c>
      <c r="C5" s="189"/>
      <c r="D5" s="55" t="str">
        <f>IF($E5="DNS/DNF","-",CONCATENATE((B5),"  ", TEXT(E5,"[hh]:mm:ss.000")))</f>
        <v>SS1  00:05:22.090</v>
      </c>
      <c r="E5" s="162">
        <f>IF(ISNA(VLOOKUP($C$3,SortedDownload!$A$3:BM499,47,FALSE)),"",VLOOKUP($C$3,SortedDownload!$A$3:BM499,47,FALSE))</f>
        <v>3.7278935185185184E-3</v>
      </c>
      <c r="G5" s="132" t="str">
        <f>IFERROR(IF((COUNTIF(G$2:G4,G4)&lt;3)*(COUNTIF(OverallResults!$H$3:$H$500,G4)&gt;COUNTIF(G$2:G4,G4)),G4,INDEX(OverallResults!$H$3:$H$500,MATCH(0,INDEX(COUNTIF(G$2:G4,OverallResults!$H$3:$H$500&amp;""),0,0),0))&amp;""),"")</f>
        <v>Master Men</v>
      </c>
      <c r="H5" s="138">
        <f t="array" ref="H5">IF($G5="","",SMALL(IF(OverallResults!$H$3:$H$500=$G5,OverallResults!$C$3:$C$500,""),COUNTIF($G$2:$G5,$G5)))</f>
        <v>1</v>
      </c>
      <c r="I5" s="133" t="str">
        <f t="array" ref="I5">IFERROR(INDEX(OverallResults!$D$3:$D$500, MATCH(0, IF($G5&amp;$H5=OverallResults!$H$3:$H$500&amp;OverallResults!$C$3:$C$500,0,1)+COUNTIF(I$2:I2, OverallResults!$D$3:$D$500&amp;""), 0))&amp;"", "")</f>
        <v>Johann Potgieter</v>
      </c>
      <c r="J5" s="133">
        <f t="array" ref="J5">IF($G5="","",SMALL(IF(OverallResults!$H$3:$H$500=$G5,OverallResults!$B$3:$B$500,""),COUNTIF($G$2:$G5,$G5)))</f>
        <v>1</v>
      </c>
      <c r="K5" s="134" t="str">
        <f>IF($I5="","",TEXT(VLOOKUP($I5,SortedDownload!$B$3:$Z$499,13,FALSE),"[hh]:mm:ss.000"))</f>
        <v>00:16:50.021</v>
      </c>
      <c r="L5" s="115"/>
      <c r="M5" s="132" t="str">
        <f>IFERROR(IF((COUNTIF(M$2:M2,M2)&lt;3)*(COUNTIF(OverallResults!$G$3:$G$500,M2)&gt;COUNTIF(M$2:M2,M2)),M2,INDEX(OverallResults!$G$3:$G$500,MATCH(0,INDEX(COUNTIF(M$2:M2,OverallResults!$G$3:$G$500&amp;""),0,0),0))&amp;""),"")</f>
        <v>M</v>
      </c>
      <c r="N5" s="133">
        <f t="array" ref="N5">IF($M5="","",SMALL(IF(OverallResults!$G$3:$G$500=$M5,OverallResults!$B$3:$B$500,""),COUNTIF($M$2:$M5,$M5)))</f>
        <v>1</v>
      </c>
      <c r="O5" s="133" t="str">
        <f t="array" ref="O5">IFERROR(INDEX(OverallResults!$D$3:$D$500, MATCH(0, IF($M5&amp;$N5=OverallResults!$G$3:$G$500&amp;OverallResults!$B$3:$B$500,0,1)+COUNTIF(O$2:O2, OverallResults!$D$3:$D$500&amp;""), 0))&amp;"", "")</f>
        <v>Johann Potgieter</v>
      </c>
      <c r="P5" s="133">
        <f t="array" ref="P5">IF($M5="","",SMALL(IF(OverallResults!$G$3:$G$500=$M5,OverallResults!$C$3:$C$500,""),COUNTIF($M$2:$M5,$M5)))</f>
        <v>1</v>
      </c>
      <c r="Q5" s="134" t="str">
        <f>IF($O5="","",TEXT(VLOOKUP($O5,SortedDownload!$B$3:$Z$499,13,FALSE),"[hh]:mm:ss.0"))</f>
        <v>00:16:50.0</v>
      </c>
    </row>
    <row r="6" spans="1:17">
      <c r="A6" s="55"/>
      <c r="B6" s="74" t="s">
        <v>139</v>
      </c>
      <c r="C6" s="189"/>
      <c r="D6" s="55" t="str">
        <f>IF($E6="DNS/DNF","-",CONCATENATE((B6),"  ", TEXT(E6,"[hh]:mm:ss.000")))</f>
        <v>SS2  00:04:27.588</v>
      </c>
      <c r="E6" s="162">
        <f>IF(ISNA(VLOOKUP($C$3,SortedDownload!$A$3:BM499,48,FALSE)),"",VLOOKUP($C$3,SortedDownload!$A$3:BM499,48,FALSE))</f>
        <v>3.0970833333333332E-3</v>
      </c>
      <c r="G6" s="132" t="str">
        <f>IFERROR(IF((COUNTIF(G$2:G5,G5)&lt;3)*(COUNTIF(OverallResults!$H$3:$H$500,G5)&gt;COUNTIF(G$2:G5,G5)),G5,INDEX(OverallResults!$H$3:$H$500,MATCH(0,INDEX(COUNTIF(G$2:G5,OverallResults!$H$3:$H$500&amp;""),0,0),0))&amp;""),"")</f>
        <v>Master Men</v>
      </c>
      <c r="H6" s="138">
        <f t="array" ref="H6">IF($G6="","",SMALL(IF(OverallResults!$H$3:$H$500=$G6,OverallResults!$C$3:$C$500,""),COUNTIF($G$2:$G6,$G6)))</f>
        <v>2</v>
      </c>
      <c r="I6" s="133" t="str">
        <f t="array" ref="I6">IFERROR(INDEX(OverallResults!$D$3:$D$500, MATCH(0, IF($G6&amp;$H6=OverallResults!$H$3:$H$500&amp;OverallResults!$C$3:$C$500,0,1)+COUNTIF(I$2:I3, OverallResults!$D$3:$D$500&amp;""), 0))&amp;"", "")</f>
        <v>Lance Morris</v>
      </c>
      <c r="J6" s="133">
        <f t="array" ref="J6">IF($G6="","",SMALL(IF(OverallResults!$H$3:$H$500=$G6,OverallResults!$B$3:$B$500,""),COUNTIF($G$2:$G6,$G6)))</f>
        <v>5</v>
      </c>
      <c r="K6" s="134" t="str">
        <f>IF($I6="","",TEXT(VLOOKUP($I6,SortedDownload!$B$3:$Z$499,13,FALSE),"[hh]:mm:ss.000"))</f>
        <v>00:17:25.411</v>
      </c>
      <c r="L6" s="115"/>
      <c r="M6" s="132" t="str">
        <f>IFERROR(IF((COUNTIF(M$2:M3,M3)&lt;3)*(COUNTIF(OverallResults!$G$3:$G$500,M3)&gt;COUNTIF(M$2:M3,M3)),M3,INDEX(OverallResults!$G$3:$G$500,MATCH(0,INDEX(COUNTIF(M$2:M3,OverallResults!$G$3:$G$500&amp;""),0,0),0))&amp;""),"")</f>
        <v>M</v>
      </c>
      <c r="N6" s="133">
        <f t="array" ref="N6">IF($M6="","",SMALL(IF(OverallResults!$G$3:$G$500=$M6,OverallResults!$B$3:$B$500,""),COUNTIF($M$2:$M6,$M6)))</f>
        <v>2</v>
      </c>
      <c r="O6" s="133" t="str">
        <f t="array" ref="O6">IFERROR(INDEX(OverallResults!$D$3:$D$500, MATCH(0, IF($M6&amp;$N6=OverallResults!$G$3:$G$500&amp;OverallResults!$B$3:$B$500,0,1)+COUNTIF(O$2:O3, OverallResults!$D$3:$D$500&amp;""), 0))&amp;"", "")</f>
        <v>Duran Van Eeden</v>
      </c>
      <c r="P6" s="133">
        <f t="array" ref="P6">IF($M6="","",SMALL(IF(OverallResults!$G$3:$G$500=$M6,OverallResults!$C$3:$C$500,""),COUNTIF($M$2:$M6,$M6)))</f>
        <v>1</v>
      </c>
      <c r="Q6" s="134" t="str">
        <f>IF($O6="","",TEXT(VLOOKUP($O6,SortedDownload!$B$3:$Z$499,13,FALSE),"[hh]:mm:ss.0"))</f>
        <v>00:16:58.4</v>
      </c>
    </row>
    <row r="7" spans="1:17">
      <c r="A7" s="55"/>
      <c r="B7" s="74" t="s">
        <v>140</v>
      </c>
      <c r="C7" s="189"/>
      <c r="D7" s="55" t="str">
        <f t="shared" ref="D7:D12" si="0">IF($E7="DNS/DNF","-",CONCATENATE((B7),"  ", TEXT(E7,"[hh]:mm:ss.000")))</f>
        <v>SS3  00:02:16.248</v>
      </c>
      <c r="E7" s="162">
        <f>IF(ISNA(VLOOKUP($C$3,SortedDownload!$A$3:BM499,49,FALSE)),"",VLOOKUP($C$3,SortedDownload!$A$3:BM499,49,FALSE))</f>
        <v>1.5769444444444444E-3</v>
      </c>
      <c r="G7" s="132" t="str">
        <f>IFERROR(IF((COUNTIF(G$2:G6,G6)&lt;3)*(COUNTIF(OverallResults!$H$3:$H$500,G6)&gt;COUNTIF(G$2:G6,G6)),G6,INDEX(OverallResults!$H$3:$H$500,MATCH(0,INDEX(COUNTIF(G$2:G6,OverallResults!$H$3:$H$500&amp;""),0,0),0))&amp;""),"")</f>
        <v>Master Men</v>
      </c>
      <c r="H7" s="138">
        <f t="array" ref="H7">IF($G7="","",SMALL(IF(OverallResults!$H$3:$H$500=$G7,OverallResults!$C$3:$C$500,""),COUNTIF($G$2:$G7,$G7)))</f>
        <v>3</v>
      </c>
      <c r="I7" s="133" t="str">
        <f t="array" ref="I7">IFERROR(INDEX(OverallResults!$D$3:$D$500, MATCH(0, IF($G7&amp;$H7=OverallResults!$H$3:$H$500&amp;OverallResults!$C$3:$C$500,0,1)+COUNTIF(I$2:I4, OverallResults!$D$3:$D$500&amp;""), 0))&amp;"", "")</f>
        <v>Dane Olsen</v>
      </c>
      <c r="J7" s="133">
        <f t="array" ref="J7">IF($G7="","",SMALL(IF(OverallResults!$H$3:$H$500=$G7,OverallResults!$B$3:$B$500,""),COUNTIF($G$2:$G7,$G7)))</f>
        <v>13</v>
      </c>
      <c r="K7" s="134" t="str">
        <f>IF($I7="","",TEXT(VLOOKUP($I7,SortedDownload!$B$3:$Z$499,13,FALSE),"[hh]:mm:ss.000"))</f>
        <v>00:18:03.176</v>
      </c>
      <c r="L7" s="115"/>
      <c r="M7" s="132" t="str">
        <f>IFERROR(IF((COUNTIF(M$2:M4,M4)&lt;3)*(COUNTIF(OverallResults!$G$3:$G$500,M4)&gt;COUNTIF(M$2:M4,M4)),M4,INDEX(OverallResults!$G$3:$G$500,MATCH(0,INDEX(COUNTIF(M$2:M4,OverallResults!$G$3:$G$500&amp;""),0,0),0))&amp;""),"")</f>
        <v>M</v>
      </c>
      <c r="N7" s="133">
        <f t="array" ref="N7">IF($M7="","",SMALL(IF(OverallResults!$G$3:$G$500=$M7,OverallResults!$B$3:$B$500,""),COUNTIF($M$2:$M7,$M7)))</f>
        <v>3</v>
      </c>
      <c r="O7" s="133" t="str">
        <f t="array" ref="O7">IFERROR(INDEX(OverallResults!$D$3:$D$500, MATCH(0, IF($M7&amp;$N7=OverallResults!$G$3:$G$500&amp;OverallResults!$B$3:$B$500,0,1)+COUNTIF(O$2:O4, OverallResults!$D$3:$D$500&amp;""), 0))&amp;"", "")</f>
        <v>Philip Van Schalkwyk</v>
      </c>
      <c r="P7" s="133">
        <f t="array" ref="P7">IF($M7="","",SMALL(IF(OverallResults!$G$3:$G$500=$M7,OverallResults!$C$3:$C$500,""),COUNTIF($M$2:$M7,$M7)))</f>
        <v>1</v>
      </c>
      <c r="Q7" s="134" t="str">
        <f>IF($O7="","",TEXT(VLOOKUP($O7,SortedDownload!$B$3:$Z$499,13,FALSE),"[hh]:mm:ss.0"))</f>
        <v>00:17:11.7</v>
      </c>
    </row>
    <row r="8" spans="1:17">
      <c r="A8" s="55"/>
      <c r="B8" s="74" t="s">
        <v>141</v>
      </c>
      <c r="C8" s="189"/>
      <c r="D8" s="55" t="str">
        <f>IF($E8="DNS/DNF","-",CONCATENATE((B8),"  ", TEXT(E8,"[hh]:mm:ss.000")))</f>
        <v>SS4  00:04:35.541</v>
      </c>
      <c r="E8" s="162">
        <f>IF(ISNA(VLOOKUP($C$3,SortedDownload!$A$3:BM499,50,FALSE)),"",VLOOKUP($C$3,SortedDownload!$A$3:BM499,50,FALSE))</f>
        <v>3.1891319444444445E-3</v>
      </c>
      <c r="G8" s="132" t="str">
        <f>IFERROR(IF((COUNTIF(G$2:G7,G7)&lt;3)*(COUNTIF(OverallResults!$H$3:$H$500,G7)&gt;COUNTIF(G$2:G7,G7)),G7,INDEX(OverallResults!$H$3:$H$500,MATCH(0,INDEX(COUNTIF(G$2:G7,OverallResults!$H$3:$H$500&amp;""),0,0),0))&amp;""),"")</f>
        <v>E-Bike M</v>
      </c>
      <c r="H8" s="138">
        <f t="array" ref="H8">IF($G8="","",SMALL(IF(OverallResults!$H$3:$H$500=$G8,OverallResults!$C$3:$C$500,""),COUNTIF($G$2:$G8,$G8)))</f>
        <v>1</v>
      </c>
      <c r="I8" s="133" t="str">
        <f t="array" ref="I8">IFERROR(INDEX(OverallResults!$D$3:$D$500, MATCH(0, IF($G8&amp;$H8=OverallResults!$H$3:$H$500&amp;OverallResults!$C$3:$C$500,0,1)+COUNTIF(I$2:I5, OverallResults!$D$3:$D$500&amp;""), 0))&amp;"", "")</f>
        <v>Duran Van Eeden</v>
      </c>
      <c r="J8" s="133">
        <f t="array" ref="J8">IF($G8="","",SMALL(IF(OverallResults!$H$3:$H$500=$G8,OverallResults!$B$3:$B$500,""),COUNTIF($G$2:$G8,$G8)))</f>
        <v>2</v>
      </c>
      <c r="K8" s="134" t="str">
        <f>IF($I8="","",TEXT(VLOOKUP($I8,SortedDownload!$B$3:$Z$499,13,FALSE),"[hh]:mm:ss.000"))</f>
        <v>00:16:58.413</v>
      </c>
      <c r="L8" s="115"/>
      <c r="M8" s="132" t="str">
        <f>IFERROR(IF((COUNTIF(M$2:M5,M5)&lt;3)*(COUNTIF(OverallResults!$G$3:$G$500,M5)&gt;COUNTIF(M$2:M5,M5)),M5,INDEX(OverallResults!$G$3:$G$500,MATCH(0,INDEX(COUNTIF(M$2:M5,OverallResults!$G$3:$G$500&amp;""),0,0),0))&amp;""),"")</f>
        <v>M</v>
      </c>
      <c r="N8" s="133">
        <f t="array" ref="N8">IF($M8="","",SMALL(IF(OverallResults!$G$3:$G$500=$M8,OverallResults!$B$3:$B$500,""),COUNTIF($M$2:$M8,$M8)))</f>
        <v>4</v>
      </c>
      <c r="O8" s="133" t="str">
        <f t="array" ref="O8">IFERROR(INDEX(OverallResults!$D$3:$D$500, MATCH(0, IF($M8&amp;$N8=OverallResults!$G$3:$G$500&amp;OverallResults!$B$3:$B$500,0,1)+COUNTIF(O$2:O5, OverallResults!$D$3:$D$500&amp;""), 0))&amp;"", "")</f>
        <v>Gert Heyns</v>
      </c>
      <c r="P8" s="133">
        <f t="array" ref="P8">IF($M8="","",SMALL(IF(OverallResults!$G$3:$G$500=$M8,OverallResults!$C$3:$C$500,""),COUNTIF($M$2:$M8,$M8)))</f>
        <v>1</v>
      </c>
      <c r="Q8" s="134" t="str">
        <f>IF($O8="","",TEXT(VLOOKUP($O8,SortedDownload!$B$3:$Z$499,13,FALSE),"[hh]:mm:ss.0"))</f>
        <v>00:17:17.4</v>
      </c>
    </row>
    <row r="9" spans="1:17">
      <c r="A9" s="55"/>
      <c r="B9" s="74" t="s">
        <v>142</v>
      </c>
      <c r="C9" s="189"/>
      <c r="D9" s="55" t="str">
        <f t="shared" si="0"/>
        <v>SS5  00:05:24.980</v>
      </c>
      <c r="E9" s="162">
        <f>IF(ISNA(VLOOKUP($C$3,SortedDownload!$A$3:BM499,51,FALSE)),"",VLOOKUP($C$3,SortedDownload!$A$3:BM499,51,FALSE))</f>
        <v>3.7613425925925926E-3</v>
      </c>
      <c r="G9" s="132" t="str">
        <f>IFERROR(IF((COUNTIF(G$2:G8,G8)&lt;3)*(COUNTIF(OverallResults!$H$3:$H$500,G8)&gt;COUNTIF(G$2:G8,G8)),G8,INDEX(OverallResults!$H$3:$H$500,MATCH(0,INDEX(COUNTIF(G$2:G8,OverallResults!$H$3:$H$500&amp;""),0,0),0))&amp;""),"")</f>
        <v>E-Bike M</v>
      </c>
      <c r="H9" s="138">
        <f t="array" ref="H9">IF($G9="","",SMALL(IF(OverallResults!$H$3:$H$500=$G9,OverallResults!$C$3:$C$500,""),COUNTIF($G$2:$G9,$G9)))</f>
        <v>2</v>
      </c>
      <c r="I9" s="133" t="str">
        <f t="array" ref="I9">IFERROR(INDEX(OverallResults!$D$3:$D$500, MATCH(0, IF($G9&amp;$H9=OverallResults!$H$3:$H$500&amp;OverallResults!$C$3:$C$500,0,1)+COUNTIF(I$2:I6, OverallResults!$D$3:$D$500&amp;""), 0))&amp;"", "")</f>
        <v>Gary Barnard</v>
      </c>
      <c r="J9" s="133">
        <f t="array" ref="J9">IF($G9="","",SMALL(IF(OverallResults!$H$3:$H$500=$G9,OverallResults!$B$3:$B$500,""),COUNTIF($G$2:$G9,$G9)))</f>
        <v>7</v>
      </c>
      <c r="K9" s="134" t="str">
        <f>IF($I9="","",TEXT(VLOOKUP($I9,SortedDownload!$B$3:$Z$499,13,FALSE),"[hh]:mm:ss.000"))</f>
        <v>00:17:28.605</v>
      </c>
      <c r="L9" s="115"/>
      <c r="M9" s="132" t="str">
        <f>IFERROR(IF((COUNTIF(M$2:M6,M6)&lt;3)*(COUNTIF(OverallResults!$G$3:$G$500,M6)&gt;COUNTIF(M$2:M6,M6)),M6,INDEX(OverallResults!$G$3:$G$500,MATCH(0,INDEX(COUNTIF(M$2:M6,OverallResults!$G$3:$G$500&amp;""),0,0),0))&amp;""),"")</f>
        <v>M</v>
      </c>
      <c r="N9" s="133">
        <f t="array" ref="N9">IF($M9="","",SMALL(IF(OverallResults!$G$3:$G$500=$M9,OverallResults!$B$3:$B$500,""),COUNTIF($M$2:$M9,$M9)))</f>
        <v>5</v>
      </c>
      <c r="O9" s="133" t="str">
        <f t="array" ref="O9">IFERROR(INDEX(OverallResults!$D$3:$D$500, MATCH(0, IF($M9&amp;$N9=OverallResults!$G$3:$G$500&amp;OverallResults!$B$3:$B$500,0,1)+COUNTIF(O$2:O6, OverallResults!$D$3:$D$500&amp;""), 0))&amp;"", "")</f>
        <v>Lance Morris</v>
      </c>
      <c r="P9" s="133">
        <f t="array" ref="P9">IF($M9="","",SMALL(IF(OverallResults!$G$3:$G$500=$M9,OverallResults!$C$3:$C$500,""),COUNTIF($M$2:$M9,$M9)))</f>
        <v>1</v>
      </c>
      <c r="Q9" s="134" t="str">
        <f>IF($O9="","",TEXT(VLOOKUP($O9,SortedDownload!$B$3:$Z$499,13,FALSE),"[hh]:mm:ss.0"))</f>
        <v>00:17:25.4</v>
      </c>
    </row>
    <row r="10" spans="1:17">
      <c r="A10" s="55"/>
      <c r="B10" s="74" t="s">
        <v>143</v>
      </c>
      <c r="C10" s="189"/>
      <c r="D10" s="55" t="str">
        <f t="shared" si="0"/>
        <v>-</v>
      </c>
      <c r="E10" s="162" t="str">
        <f>IF(ISNA(VLOOKUP($C$3,SortedDownload!$A$3:BM499,52,FALSE)),"",VLOOKUP($C$3,SortedDownload!$A$3:BM499,52,FALSE))</f>
        <v>DNS/DNF</v>
      </c>
      <c r="G10" s="132" t="str">
        <f>IFERROR(IF((COUNTIF(G$2:G9,G9)&lt;3)*(COUNTIF(OverallResults!$H$3:$H$500,G9)&gt;COUNTIF(G$2:G9,G9)),G9,INDEX(OverallResults!$H$3:$H$500,MATCH(0,INDEX(COUNTIF(G$2:G9,OverallResults!$H$3:$H$500&amp;""),0,0),0))&amp;""),"")</f>
        <v>E-Bike M</v>
      </c>
      <c r="H10" s="138">
        <f t="array" ref="H10">IF($G10="","",SMALL(IF(OverallResults!$H$3:$H$500=$G10,OverallResults!$C$3:$C$500,""),COUNTIF($G$2:$G10,$G10)))</f>
        <v>3</v>
      </c>
      <c r="I10" s="133" t="str">
        <f t="array" ref="I10">IFERROR(INDEX(OverallResults!$D$3:$D$500, MATCH(0, IF($G10&amp;$H10=OverallResults!$H$3:$H$500&amp;OverallResults!$C$3:$C$500,0,1)+COUNTIF(I$2:I7, OverallResults!$D$3:$D$500&amp;""), 0))&amp;"", "")</f>
        <v>Justin Novella</v>
      </c>
      <c r="J10" s="133">
        <f t="array" ref="J10">IF($G10="","",SMALL(IF(OverallResults!$H$3:$H$500=$G10,OverallResults!$B$3:$B$500,""),COUNTIF($G$2:$G10,$G10)))</f>
        <v>9</v>
      </c>
      <c r="K10" s="134" t="str">
        <f>IF($I10="","",TEXT(VLOOKUP($I10,SortedDownload!$B$3:$Z$499,13,FALSE),"[hh]:mm:ss.000"))</f>
        <v>00:17:32.653</v>
      </c>
      <c r="L10" s="115"/>
      <c r="M10" s="132" t="str">
        <f>IFERROR(IF((COUNTIF(M$2:M7,M7)&lt;3)*(COUNTIF(OverallResults!$G$3:$G$500,M7)&gt;COUNTIF(M$2:M7,M7)),M7,INDEX(OverallResults!$G$3:$G$500,MATCH(0,INDEX(COUNTIF(M$2:M7,OverallResults!$G$3:$G$500&amp;""),0,0),0))&amp;""),"")</f>
        <v>F</v>
      </c>
      <c r="N10" s="133">
        <f t="array" ref="N10">IF($M10="","",SMALL(IF(OverallResults!$G$3:$G$500=$M10,OverallResults!$B$3:$B$500,""),COUNTIF($M$2:$M10,$M10)))</f>
        <v>49</v>
      </c>
      <c r="O10" s="133" t="str">
        <f t="array" ref="O10">IFERROR(INDEX(OverallResults!$D$3:$D$500, MATCH(0, IF($M10&amp;$N10=OverallResults!$G$3:$G$500&amp;OverallResults!$B$3:$B$500,0,1)+COUNTIF(O$2:O7, OverallResults!$D$3:$D$500&amp;""), 0))&amp;"", "")</f>
        <v>Frankie Du Toit</v>
      </c>
      <c r="P10" s="133">
        <f t="array" ref="P10">IF($M10="","",SMALL(IF(OverallResults!$G$3:$G$500=$M10,OverallResults!$C$3:$C$500,""),COUNTIF($M$2:$M10,$M10)))</f>
        <v>1</v>
      </c>
      <c r="Q10" s="134" t="str">
        <f>IF($O10="","",TEXT(VLOOKUP($O10,SortedDownload!$B$3:$Z$499,13,FALSE),"[hh]:mm:ss.0"))</f>
        <v>00:19:42.5</v>
      </c>
    </row>
    <row r="11" spans="1:17">
      <c r="A11" s="55"/>
      <c r="B11" s="74" t="s">
        <v>144</v>
      </c>
      <c r="C11" s="189"/>
      <c r="D11" s="55" t="str">
        <f t="shared" si="0"/>
        <v>-</v>
      </c>
      <c r="E11" s="162" t="str">
        <f>IF(ISNA(VLOOKUP($C$3,SortedDownload!$A$3:BM499,53,FALSE)),"",VLOOKUP($C$3,SortedDownload!$A$3:BM499,53,FALSE))</f>
        <v>DNS/DNF</v>
      </c>
      <c r="G11" s="132" t="str">
        <f>IFERROR(IF((COUNTIF(G$2:G10,G10)&lt;3)*(COUNTIF(OverallResults!$H$3:$H$500,G10)&gt;COUNTIF(G$2:G10,G10)),G10,INDEX(OverallResults!$H$3:$H$500,MATCH(0,INDEX(COUNTIF(G$2:G10,OverallResults!$H$3:$H$500&amp;""),0,0),0))&amp;""),"")</f>
        <v>Junior Men</v>
      </c>
      <c r="H11" s="138">
        <f t="array" ref="H11">IF($G11="","",SMALL(IF(OverallResults!$H$3:$H$500=$G11,OverallResults!$C$3:$C$500,""),COUNTIF($G$2:$G11,$G11)))</f>
        <v>1</v>
      </c>
      <c r="I11" s="133" t="str">
        <f t="array" ref="I11">IFERROR(INDEX(OverallResults!$D$3:$D$500, MATCH(0, IF($G11&amp;$H11=OverallResults!$H$3:$H$500&amp;OverallResults!$C$3:$C$500,0,1)+COUNTIF(I$2:I8, OverallResults!$D$3:$D$500&amp;""), 0))&amp;"", "")</f>
        <v>Philip Van Schalkwyk</v>
      </c>
      <c r="J11" s="133">
        <f t="array" ref="J11">IF($G11="","",SMALL(IF(OverallResults!$H$3:$H$500=$G11,OverallResults!$B$3:$B$500,""),COUNTIF($G$2:$G11,$G11)))</f>
        <v>3</v>
      </c>
      <c r="K11" s="134" t="str">
        <f>IF($I11="","",TEXT(VLOOKUP($I11,SortedDownload!$B$3:$Z$499,13,FALSE),"[hh]:mm:ss.000"))</f>
        <v>00:17:11.727</v>
      </c>
      <c r="L11" s="115"/>
      <c r="M11" s="132" t="str">
        <f>IFERROR(IF((COUNTIF(M$2:M8,M8)&lt;3)*(COUNTIF(OverallResults!$G$3:$G$500,M8)&gt;COUNTIF(M$2:M8,M8)),M8,INDEX(OverallResults!$G$3:$G$500,MATCH(0,INDEX(COUNTIF(M$2:M8,OverallResults!$G$3:$G$500&amp;""),0,0),0))&amp;""),"")</f>
        <v>F</v>
      </c>
      <c r="N11" s="133">
        <f t="array" ref="N11">IF($M11="","",SMALL(IF(OverallResults!$G$3:$G$500=$M11,OverallResults!$B$3:$B$500,""),COUNTIF($M$2:$M11,$M11)))</f>
        <v>79</v>
      </c>
      <c r="O11" s="133" t="str">
        <f t="array" ref="O11">IFERROR(INDEX(OverallResults!$D$3:$D$500, MATCH(0, IF($M11&amp;$N11=OverallResults!$G$3:$G$500&amp;OverallResults!$B$3:$B$500,0,1)+COUNTIF(O$2:O8, OverallResults!$D$3:$D$500&amp;""), 0))&amp;"", "")</f>
        <v>Jessi Nixon</v>
      </c>
      <c r="P11" s="133">
        <f t="array" ref="P11">IF($M11="","",SMALL(IF(OverallResults!$G$3:$G$500=$M11,OverallResults!$C$3:$C$500,""),COUNTIF($M$2:$M11,$M11)))</f>
        <v>1</v>
      </c>
      <c r="Q11" s="134" t="str">
        <f>IF($O11="","",TEXT(VLOOKUP($O11,SortedDownload!$B$3:$Z$499,13,FALSE),"[hh]:mm:ss.0"))</f>
        <v>00:21:42.6</v>
      </c>
    </row>
    <row r="12" spans="1:17">
      <c r="A12" s="55"/>
      <c r="B12" s="74" t="s">
        <v>145</v>
      </c>
      <c r="C12" s="189"/>
      <c r="D12" s="55" t="str">
        <f t="shared" si="0"/>
        <v>-</v>
      </c>
      <c r="E12" s="162" t="str">
        <f>IF(ISNA(VLOOKUP($C$3,SortedDownload!$A$3:BM499,54,FALSE)),"",VLOOKUP($C$3,SortedDownload!$A$3:BM499,54,FALSE))</f>
        <v>DNS/DNF</v>
      </c>
      <c r="G12" s="132" t="str">
        <f>IFERROR(IF((COUNTIF(G$2:G11,G11)&lt;3)*(COUNTIF(OverallResults!$H$3:$H$500,G11)&gt;COUNTIF(G$2:G11,G11)),G11,INDEX(OverallResults!$H$3:$H$500,MATCH(0,INDEX(COUNTIF(G$2:G11,OverallResults!$H$3:$H$500&amp;""),0,0),0))&amp;""),"")</f>
        <v>Junior Men</v>
      </c>
      <c r="H12" s="138">
        <f t="array" ref="H12">IF($G12="","",SMALL(IF(OverallResults!$H$3:$H$500=$G12,OverallResults!$C$3:$C$500,""),COUNTIF($G$2:$G12,$G12)))</f>
        <v>2</v>
      </c>
      <c r="I12" s="133" t="str">
        <f t="array" ref="I12">IFERROR(INDEX(OverallResults!$D$3:$D$500, MATCH(0, IF($G12&amp;$H12=OverallResults!$H$3:$H$500&amp;OverallResults!$C$3:$C$500,0,1)+COUNTIF(I$2:I9, OverallResults!$D$3:$D$500&amp;""), 0))&amp;"", "")</f>
        <v>Henning Venter</v>
      </c>
      <c r="J12" s="133">
        <f t="array" ref="J12">IF($G12="","",SMALL(IF(OverallResults!$H$3:$H$500=$G12,OverallResults!$B$3:$B$500,""),COUNTIF($G$2:$G12,$G12)))</f>
        <v>15</v>
      </c>
      <c r="K12" s="134" t="str">
        <f>IF($I12="","",TEXT(VLOOKUP($I12,SortedDownload!$B$3:$Z$499,13,FALSE),"[hh]:mm:ss.000"))</f>
        <v>00:18:13.619</v>
      </c>
      <c r="L12" s="115"/>
      <c r="M12" s="132" t="str">
        <f>IFERROR(IF((COUNTIF(M$2:M9,M9)&lt;3)*(COUNTIF(OverallResults!$G$3:$G$500,M9)&gt;COUNTIF(M$2:M9,M9)),M9,INDEX(OverallResults!$G$3:$G$500,MATCH(0,INDEX(COUNTIF(M$2:M9,OverallResults!$G$3:$G$500&amp;""),0,0),0))&amp;""),"")</f>
        <v>F</v>
      </c>
      <c r="N12" s="133">
        <f t="array" ref="N12">IF($M12="","",SMALL(IF(OverallResults!$G$3:$G$500=$M12,OverallResults!$B$3:$B$500,""),COUNTIF($M$2:$M12,$M12)))</f>
        <v>85</v>
      </c>
      <c r="O12" s="133" t="str">
        <f t="array" ref="O12">IFERROR(INDEX(OverallResults!$D$3:$D$500, MATCH(0, IF($M12&amp;$N12=OverallResults!$G$3:$G$500&amp;OverallResults!$B$3:$B$500,0,1)+COUNTIF(O$2:O9, OverallResults!$D$3:$D$500&amp;""), 0))&amp;"", "")</f>
        <v>Gina Nixon</v>
      </c>
      <c r="P12" s="133">
        <f t="array" ref="P12">IF($M12="","",SMALL(IF(OverallResults!$G$3:$G$500=$M12,OverallResults!$C$3:$C$500,""),COUNTIF($M$2:$M12,$M12)))</f>
        <v>1</v>
      </c>
      <c r="Q12" s="134" t="str">
        <f>IF($O12="","",TEXT(VLOOKUP($O12,SortedDownload!$B$3:$Z$499,13,FALSE),"[hh]:mm:ss.0"))</f>
        <v>00:22:14.7</v>
      </c>
    </row>
    <row r="13" spans="1:17" ht="16.5" thickBot="1">
      <c r="A13" s="163"/>
      <c r="B13" s="74"/>
      <c r="C13" s="189"/>
      <c r="D13" s="163" t="str">
        <f>TEXT(E13,"[hh]:mm:ss.000")</f>
        <v>00:22:06.447</v>
      </c>
      <c r="E13" s="162">
        <f>IF(ISNA(VLOOKUP($C$3,SortedDownload!$A$3:BM499,14,FALSE)),"",VLOOKUP($C$3,SortedDownload!$A$3:BM499,14,FALSE))</f>
        <v>1.5352395833333332E-2</v>
      </c>
      <c r="G13" s="132" t="str">
        <f>IFERROR(IF((COUNTIF(G$2:G12,G12)&lt;3)*(COUNTIF(OverallResults!$H$3:$H$500,G12)&gt;COUNTIF(G$2:G12,G12)),G12,INDEX(OverallResults!$H$3:$H$500,MATCH(0,INDEX(COUNTIF(G$2:G12,OverallResults!$H$3:$H$500&amp;""),0,0),0))&amp;""),"")</f>
        <v>Junior Men</v>
      </c>
      <c r="H13" s="138">
        <f t="array" ref="H13">IF($G13="","",SMALL(IF(OverallResults!$H$3:$H$500=$G13,OverallResults!$C$3:$C$500,""),COUNTIF($G$2:$G13,$G13)))</f>
        <v>3</v>
      </c>
      <c r="I13" s="133" t="str">
        <f t="array" ref="I13">IFERROR(INDEX(OverallResults!$D$3:$D$500, MATCH(0, IF($G13&amp;$H13=OverallResults!$H$3:$H$500&amp;OverallResults!$C$3:$C$500,0,1)+COUNTIF(I$2:I10, OverallResults!$D$3:$D$500&amp;""), 0))&amp;"", "")</f>
        <v>Hendre De Villiers</v>
      </c>
      <c r="J13" s="133">
        <f t="array" ref="J13">IF($G13="","",SMALL(IF(OverallResults!$H$3:$H$500=$G13,OverallResults!$B$3:$B$500,""),COUNTIF($G$2:$G13,$G13)))</f>
        <v>25</v>
      </c>
      <c r="K13" s="134" t="str">
        <f>IF($I13="","",TEXT(VLOOKUP($I13,SortedDownload!$B$3:$Z$499,13,FALSE),"[hh]:mm:ss.000"))</f>
        <v>00:18:48.131</v>
      </c>
      <c r="L13" s="115"/>
      <c r="M13" s="132" t="str">
        <f>IFERROR(IF((COUNTIF(M$2:M10,M10)&lt;3)*(COUNTIF(OverallResults!$G$3:$G$500,M10)&gt;COUNTIF(M$2:M10,M10)),M10,INDEX(OverallResults!$G$3:$G$500,MATCH(0,INDEX(COUNTIF(M$2:M10,OverallResults!$G$3:$G$500&amp;""),0,0),0))&amp;""),"")</f>
        <v>F</v>
      </c>
      <c r="N13" s="133">
        <f t="array" ref="N13">IF($M13="","",SMALL(IF(OverallResults!$G$3:$G$500=$M13,OverallResults!$B$3:$B$500,""),COUNTIF($M$2:$M13,$M13)))</f>
        <v>103</v>
      </c>
      <c r="O13" s="133" t="str">
        <f t="array" ref="O13">IFERROR(INDEX(OverallResults!$D$3:$D$500, MATCH(0, IF($M13&amp;$N13=OverallResults!$G$3:$G$500&amp;OverallResults!$B$3:$B$500,0,1)+COUNTIF(O$2:O10, OverallResults!$D$3:$D$500&amp;""), 0))&amp;"", "")</f>
        <v>Annemi Pfister</v>
      </c>
      <c r="P13" s="133">
        <f t="array" ref="P13">IF($M13="","",SMALL(IF(OverallResults!$G$3:$G$500=$M13,OverallResults!$C$3:$C$500,""),COUNTIF($M$2:$M13,$M13)))</f>
        <v>1</v>
      </c>
      <c r="Q13" s="134" t="str">
        <f>IF($O13="","",TEXT(VLOOKUP($O13,SortedDownload!$B$3:$Z$499,13,FALSE),"[hh]:mm:ss.0"))</f>
        <v>00:23:20.4</v>
      </c>
    </row>
    <row r="14" spans="1:17" ht="43.5" customHeight="1" thickTop="1">
      <c r="B14" s="74" t="s">
        <v>395</v>
      </c>
      <c r="C14" s="228">
        <f>IFERROR((VLOOKUP(C4,AgeCategories!$D$3:$H$32,4,FALSE))-(VLOOKUP(C4,AgeCategories!$D$3:$H$32,5,FALSE)),0)</f>
        <v>0</v>
      </c>
      <c r="D14" s="231" t="str">
        <f>CONCATENATE("Current leader ",K5,"")</f>
        <v>Current leader 00:16:50.021</v>
      </c>
      <c r="E14" s="4"/>
      <c r="G14" s="132" t="str">
        <f>IFERROR(IF((COUNTIF(G$2:G13,G13)&lt;3)*(COUNTIF(OverallResults!$H$3:$H$500,G13)&gt;COUNTIF(G$2:G13,G13)),G13,INDEX(OverallResults!$H$3:$H$500,MATCH(0,INDEX(COUNTIF(G$2:G13,OverallResults!$H$3:$H$500&amp;""),0,0),0))&amp;""),"")</f>
        <v>Elite Men</v>
      </c>
      <c r="H14" s="138">
        <f t="array" ref="H14">IF($G14="","",SMALL(IF(OverallResults!$H$3:$H$500=$G14,OverallResults!$C$3:$C$500,""),COUNTIF($G$2:$G14,$G14)))</f>
        <v>1</v>
      </c>
      <c r="I14" s="133" t="str">
        <f t="array" ref="I14">IFERROR(INDEX(OverallResults!$D$3:$D$500, MATCH(0, IF($G14&amp;$H14=OverallResults!$H$3:$H$500&amp;OverallResults!$C$3:$C$500,0,1)+COUNTIF(I$2:I11, OverallResults!$D$3:$D$500&amp;""), 0))&amp;"", "")</f>
        <v>Gert Heyns</v>
      </c>
      <c r="J14" s="133">
        <f t="array" ref="J14">IF($G14="","",SMALL(IF(OverallResults!$H$3:$H$500=$G14,OverallResults!$B$3:$B$500,""),COUNTIF($G$2:$G14,$G14)))</f>
        <v>4</v>
      </c>
      <c r="K14" s="134" t="str">
        <f>IF($I14="","",TEXT(VLOOKUP($I14,SortedDownload!$B$3:$Z$499,13,FALSE),"[hh]:mm:ss.000"))</f>
        <v>00:17:17.441</v>
      </c>
      <c r="L14" s="115"/>
      <c r="M14" s="132" t="str">
        <f>IFERROR(IF((COUNTIF(M$2:M11,M11)&lt;3)*(COUNTIF(OverallResults!$G$3:$G$500,M11)&gt;COUNTIF(M$2:M11,M11)),M11,INDEX(OverallResults!$G$3:$G$500,MATCH(0,INDEX(COUNTIF(M$2:M11,OverallResults!$G$3:$G$500&amp;""),0,0),0))&amp;""),"")</f>
        <v>F</v>
      </c>
      <c r="N14" s="133">
        <f t="array" ref="N14">IF($M14="","",SMALL(IF(OverallResults!$G$3:$G$500=$M14,OverallResults!$B$3:$B$500,""),COUNTIF($M$2:$M14,$M14)))</f>
        <v>106</v>
      </c>
      <c r="O14" s="133" t="str">
        <f t="array" ref="O14">IFERROR(INDEX(OverallResults!$D$3:$D$500, MATCH(0, IF($M14&amp;$N14=OverallResults!$G$3:$G$500&amp;OverallResults!$B$3:$B$500,0,1)+COUNTIF(O$2:O11, OverallResults!$D$3:$D$500&amp;""), 0))&amp;"", "")</f>
        <v>Robyn Emslie</v>
      </c>
      <c r="P14" s="133">
        <f t="array" ref="P14">IF($M14="","",SMALL(IF(OverallResults!$G$3:$G$500=$M14,OverallResults!$C$3:$C$500,""),COUNTIF($M$2:$M14,$M14)))</f>
        <v>2</v>
      </c>
      <c r="Q14" s="134" t="str">
        <f>IF($O14="","",TEXT(VLOOKUP($O14,SortedDownload!$B$3:$Z$499,13,FALSE),"[hh]:mm:ss.0"))</f>
        <v>00:23:35.6</v>
      </c>
    </row>
    <row r="15" spans="1:17" ht="31.5" customHeight="1">
      <c r="A15" s="22" t="str">
        <f>C15&amp;IF(AND(MOD(ABS(C15),100)&gt;=10,MOD(ABS(C15),100)&lt;=14),"th", CHOOSE(MOD(ABS(C15),10)+1,"th","st","nd","rd","th","th","th","th","th","th"))</f>
        <v>23rd</v>
      </c>
      <c r="B15" s="74" t="s">
        <v>396</v>
      </c>
      <c r="C15" s="190">
        <f>IFERROR(VLOOKUP(C3,OverallResults!$A$3:$C$500,3,FALSE),"")</f>
        <v>23</v>
      </c>
      <c r="D15" s="232" t="str">
        <f>CONCATENATE("You are currently ",A16," of ",Helpers!M2," finishers  &amp; ",A15," in your category")</f>
        <v>You are currently 84th of 260 finishers  &amp; 23rd in your category</v>
      </c>
      <c r="E15"/>
      <c r="G15" s="132" t="str">
        <f>IFERROR(IF((COUNTIF(G$2:G14,G14)&lt;3)*(COUNTIF(OverallResults!$H$3:$H$500,G14)&gt;COUNTIF(G$2:G14,G14)),G14,INDEX(OverallResults!$H$3:$H$500,MATCH(0,INDEX(COUNTIF(G$2:G14,OverallResults!$H$3:$H$500&amp;""),0,0),0))&amp;""),"")</f>
        <v>Elite Men</v>
      </c>
      <c r="H15" s="138">
        <f t="array" ref="H15">IF($G15="","",SMALL(IF(OverallResults!$H$3:$H$500=$G15,OverallResults!$C$3:$C$500,""),COUNTIF($G$2:$G15,$G15)))</f>
        <v>2</v>
      </c>
      <c r="I15" s="133" t="str">
        <f t="array" ref="I15">IFERROR(INDEX(OverallResults!$D$3:$D$500, MATCH(0, IF($G15&amp;$H15=OverallResults!$H$3:$H$500&amp;OverallResults!$C$3:$C$500,0,1)+COUNTIF(I$2:I12, OverallResults!$D$3:$D$500&amp;""), 0))&amp;"", "")</f>
        <v>Matt Lombardi</v>
      </c>
      <c r="J15" s="133">
        <f t="array" ref="J15">IF($G15="","",SMALL(IF(OverallResults!$H$3:$H$500=$G15,OverallResults!$B$3:$B$500,""),COUNTIF($G$2:$G15,$G15)))</f>
        <v>6</v>
      </c>
      <c r="K15" s="134" t="str">
        <f>IF($I15="","",TEXT(VLOOKUP($I15,SortedDownload!$B$3:$Z$499,13,FALSE),"[hh]:mm:ss.000"))</f>
        <v>00:17:26.644</v>
      </c>
      <c r="L15" s="115"/>
      <c r="M15" s="132" t="str">
        <f>IFERROR(IF((COUNTIF(M$2:M12,M12)&lt;3)*(COUNTIF(OverallResults!$G$3:$G$500,M12)&gt;COUNTIF(M$2:M12,M12)),M12,INDEX(OverallResults!$G$3:$G$500,MATCH(0,INDEX(COUNTIF(M$2:M12,OverallResults!$G$3:$G$500&amp;""),0,0),0))&amp;""),"")</f>
        <v/>
      </c>
      <c r="N15" s="133" t="str">
        <f t="array" ref="N15">IF($M15="","",SMALL(IF(OverallResults!$G$3:$G$500=$M15,OverallResults!$B$3:$B$500,""),COUNTIF($M$2:$M15,$M15)))</f>
        <v/>
      </c>
      <c r="O15" s="133" t="str">
        <f t="array" ref="O15">IFERROR(INDEX(OverallResults!$D$3:$D$500, MATCH(0, IF($M15&amp;$N15=OverallResults!$G$3:$G$500&amp;OverallResults!$B$3:$B$500,0,1)+COUNTIF(O$2:O12, OverallResults!$D$3:$D$500&amp;""), 0))&amp;"", "")</f>
        <v/>
      </c>
      <c r="P15" s="133" t="str">
        <f t="array" ref="P15">IF($M15="","",SMALL(IF(OverallResults!$G$3:$G$500=$M15,OverallResults!$C$3:$C$500,""),COUNTIF($M$2:$M15,$M15)))</f>
        <v/>
      </c>
      <c r="Q15" s="134" t="str">
        <f>IF($O15="","",TEXT(VLOOKUP($O15,SortedDownload!$B$3:$Z$499,13,FALSE),"[hh]:mm:ss.0"))</f>
        <v/>
      </c>
    </row>
    <row r="16" spans="1:17" ht="36" customHeight="1">
      <c r="A16" s="22" t="str">
        <f>C16&amp;IF(AND(MOD(ABS(C16),100)&gt;=10,MOD(ABS(C16),100)&lt;=14),"th", CHOOSE(MOD(ABS(C16),10)+1,"th","st","nd","rd","th","th","th","th","th","th"))</f>
        <v>84th</v>
      </c>
      <c r="B16" s="74" t="s">
        <v>397</v>
      </c>
      <c r="C16" s="190">
        <f>IFERROR(VLOOKUP(C3,OverallResults!$A$3:$C$500,2,FALSE),"")</f>
        <v>84</v>
      </c>
      <c r="E16"/>
      <c r="G16" s="132" t="str">
        <f>IFERROR(IF((COUNTIF(G$2:G15,G15)&lt;3)*(COUNTIF(OverallResults!$H$3:$H$500,G15)&gt;COUNTIF(G$2:G15,G15)),G15,INDEX(OverallResults!$H$3:$H$500,MATCH(0,INDEX(COUNTIF(G$2:G15,OverallResults!$H$3:$H$500&amp;""),0,0),0))&amp;""),"")</f>
        <v>Elite Men</v>
      </c>
      <c r="H16" s="138">
        <f t="array" ref="H16">IF($G16="","",SMALL(IF(OverallResults!$H$3:$H$500=$G16,OverallResults!$C$3:$C$500,""),COUNTIF($G$2:$G16,$G16)))</f>
        <v>3</v>
      </c>
      <c r="I16" s="133" t="str">
        <f t="array" ref="I16">IFERROR(INDEX(OverallResults!$D$3:$D$500, MATCH(0, IF($G16&amp;$H16=OverallResults!$H$3:$H$500&amp;OverallResults!$C$3:$C$500,0,1)+COUNTIF(I$2:I13, OverallResults!$D$3:$D$500&amp;""), 0))&amp;"", "")</f>
        <v>Michard Meets</v>
      </c>
      <c r="J16" s="133">
        <f t="array" ref="J16">IF($G16="","",SMALL(IF(OverallResults!$H$3:$H$500=$G16,OverallResults!$B$3:$B$500,""),COUNTIF($G$2:$G16,$G16)))</f>
        <v>8</v>
      </c>
      <c r="K16" s="134" t="str">
        <f>IF($I16="","",TEXT(VLOOKUP($I16,SortedDownload!$B$3:$Z$499,13,FALSE),"[hh]:mm:ss.000"))</f>
        <v>00:17:31.052</v>
      </c>
      <c r="L16" s="115"/>
      <c r="M16" s="132" t="str">
        <f>IFERROR(IF((COUNTIF(M$2:M13,M13)&lt;3)*(COUNTIF(OverallResults!$G$3:$G$500,M13)&gt;COUNTIF(M$2:M13,M13)),M13,INDEX(OverallResults!$G$3:$G$500,MATCH(0,INDEX(COUNTIF(M$2:M13,OverallResults!$G$3:$G$500&amp;""),0,0),0))&amp;""),"")</f>
        <v/>
      </c>
      <c r="N16" s="133" t="str">
        <f t="array" ref="N16">IF($M16="","",SMALL(IF(OverallResults!$G$3:$G$500=$M16,OverallResults!$B$3:$B$500,""),COUNTIF($M$2:$M16,$M16)))</f>
        <v/>
      </c>
      <c r="O16" s="133" t="str">
        <f t="array" ref="O16">IFERROR(INDEX(OverallResults!$D$3:$D$500, MATCH(0, IF($M16&amp;$N16=OverallResults!$G$3:$G$500&amp;OverallResults!$B$3:$B$500,0,1)+COUNTIF(O$2:O13, OverallResults!$D$3:$D$500&amp;""), 0))&amp;"", "")</f>
        <v/>
      </c>
      <c r="P16" s="133" t="str">
        <f t="array" ref="P16">IF($M16="","",SMALL(IF(OverallResults!$G$3:$G$500=$M16,OverallResults!$C$3:$C$500,""),COUNTIF($M$2:$M16,$M16)))</f>
        <v/>
      </c>
      <c r="Q16" s="134" t="str">
        <f>IF($O16="","",TEXT(VLOOKUP($O16,SortedDownload!$B$3:$Z$499,13,FALSE),"[hh]:mm:ss.0"))</f>
        <v/>
      </c>
    </row>
    <row r="17" spans="1:17" ht="15.75">
      <c r="A17" s="165" t="s">
        <v>227</v>
      </c>
      <c r="C17" s="182" t="s">
        <v>226</v>
      </c>
      <c r="D17" s="233" t="s">
        <v>301</v>
      </c>
      <c r="E17" s="182" t="s">
        <v>340</v>
      </c>
      <c r="G17" s="132" t="str">
        <f>IFERROR(IF((COUNTIF(G$2:G16,G16)&lt;3)*(COUNTIF(OverallResults!$H$3:$H$500,G16)&gt;COUNTIF(G$2:G16,G16)),G16,INDEX(OverallResults!$H$3:$H$500,MATCH(0,INDEX(COUNTIF(G$2:G16,OverallResults!$H$3:$H$500&amp;""),0,0),0))&amp;""),"")</f>
        <v>Youth Men</v>
      </c>
      <c r="H17" s="138">
        <f t="array" ref="H17">IF($G17="","",SMALL(IF(OverallResults!$H$3:$H$500=$G17,OverallResults!$C$3:$C$500,""),COUNTIF($G$2:$G17,$G17)))</f>
        <v>1</v>
      </c>
      <c r="I17" s="133" t="str">
        <f t="array" ref="I17">IFERROR(INDEX(OverallResults!$D$3:$D$500, MATCH(0, IF($G17&amp;$H17=OverallResults!$H$3:$H$500&amp;OverallResults!$C$3:$C$500,0,1)+COUNTIF(I$2:I14, OverallResults!$D$3:$D$500&amp;""), 0))&amp;"", "")</f>
        <v>Pieter Venter</v>
      </c>
      <c r="J17" s="133">
        <f t="array" ref="J17">IF($G17="","",SMALL(IF(OverallResults!$H$3:$H$500=$G17,OverallResults!$B$3:$B$500,""),COUNTIF($G$2:$G17,$G17)))</f>
        <v>12</v>
      </c>
      <c r="K17" s="134" t="str">
        <f>IF($I17="","",TEXT(VLOOKUP($I17,SortedDownload!$B$3:$Z$499,13,FALSE),"[hh]:mm:ss.000"))</f>
        <v>00:17:48.827</v>
      </c>
      <c r="L17" s="115"/>
      <c r="M17" s="132" t="str">
        <f>IFERROR(IF((COUNTIF(M$2:M14,M14)&lt;3)*(COUNTIF(OverallResults!$G$3:$G$500,M14)&gt;COUNTIF(M$2:M14,M14)),M14,INDEX(OverallResults!$G$3:$G$500,MATCH(0,INDEX(COUNTIF(M$2:M14,OverallResults!$G$3:$G$500&amp;""),0,0),0))&amp;""),"")</f>
        <v/>
      </c>
      <c r="N17" s="133" t="str">
        <f t="array" ref="N17">IF($M17="","",SMALL(IF(OverallResults!$G$3:$G$500=$M17,OverallResults!$B$3:$B$500,""),COUNTIF($M$2:$M17,$M17)))</f>
        <v/>
      </c>
      <c r="O17" s="133" t="str">
        <f t="array" ref="O17">IFERROR(INDEX(OverallResults!$D$3:$D$500, MATCH(0, IF($M17&amp;$N17=OverallResults!$G$3:$G$500&amp;OverallResults!$B$3:$B$500,0,1)+COUNTIF(O$2:O14, OverallResults!$D$3:$D$500&amp;""), 0))&amp;"", "")</f>
        <v/>
      </c>
      <c r="P17" s="133" t="str">
        <f t="array" ref="P17">IF($M17="","",SMALL(IF(OverallResults!$G$3:$G$500=$M17,OverallResults!$C$3:$C$500,""),COUNTIF($M$2:$M17,$M17)))</f>
        <v/>
      </c>
      <c r="Q17" s="134" t="str">
        <f>IF($O17="","",TEXT(VLOOKUP($O17,SortedDownload!$B$3:$Z$499,13,FALSE),"[hh]:mm:ss.0"))</f>
        <v/>
      </c>
    </row>
    <row r="18" spans="1:17">
      <c r="A18" s="238" t="str">
        <f>Helpers!A2</f>
        <v>Jonkershoek Enduro</v>
      </c>
      <c r="C18" s="186" t="str">
        <f>Helpers!A2</f>
        <v>Jonkershoek Enduro</v>
      </c>
      <c r="E18" s="186" t="str">
        <f>Helpers!A2</f>
        <v>Jonkershoek Enduro</v>
      </c>
      <c r="G18" s="132" t="str">
        <f>IFERROR(IF((COUNTIF(G$2:G17,G17)&lt;3)*(COUNTIF(OverallResults!$H$3:$H$500,G17)&gt;COUNTIF(G$2:G17,G17)),G17,INDEX(OverallResults!$H$3:$H$500,MATCH(0,INDEX(COUNTIF(G$2:G17,OverallResults!$H$3:$H$500&amp;""),0,0),0))&amp;""),"")</f>
        <v>Youth Men</v>
      </c>
      <c r="H18" s="138">
        <f t="array" ref="H18">IF($G18="","",SMALL(IF(OverallResults!$H$3:$H$500=$G18,OverallResults!$C$3:$C$500,""),COUNTIF($G$2:$G18,$G18)))</f>
        <v>2</v>
      </c>
      <c r="I18" s="133" t="str">
        <f t="array" ref="I18">IFERROR(INDEX(OverallResults!$D$3:$D$500, MATCH(0, IF($G18&amp;$H18=OverallResults!$H$3:$H$500&amp;OverallResults!$C$3:$C$500,0,1)+COUNTIF(I$2:I15, OverallResults!$D$3:$D$500&amp;""), 0))&amp;"", "")</f>
        <v>Fourie Van Wyk</v>
      </c>
      <c r="J18" s="133">
        <f t="array" ref="J18">IF($G18="","",SMALL(IF(OverallResults!$H$3:$H$500=$G18,OverallResults!$B$3:$B$500,""),COUNTIF($G$2:$G18,$G18)))</f>
        <v>16</v>
      </c>
      <c r="K18" s="134" t="str">
        <f>IF($I18="","",TEXT(VLOOKUP($I18,SortedDownload!$B$3:$Z$499,13,FALSE),"[hh]:mm:ss.000"))</f>
        <v>00:18:20.939</v>
      </c>
      <c r="L18" s="115"/>
      <c r="M18" s="132" t="str">
        <f>IFERROR(IF((COUNTIF(M$2:M15,M15)&lt;3)*(COUNTIF(OverallResults!$G$3:$G$500,M15)&gt;COUNTIF(M$2:M15,M15)),M15,INDEX(OverallResults!$G$3:$G$500,MATCH(0,INDEX(COUNTIF(M$2:M15,OverallResults!$G$3:$G$500&amp;""),0,0),0))&amp;""),"")</f>
        <v/>
      </c>
      <c r="N18" s="133" t="str">
        <f t="array" ref="N18">IF($M18="","",SMALL(IF(OverallResults!$G$3:$G$500=$M18,OverallResults!$B$3:$B$500,""),COUNTIF($M$2:$M18,$M18)))</f>
        <v/>
      </c>
      <c r="O18" s="133" t="str">
        <f t="array" ref="O18">IFERROR(INDEX(OverallResults!$D$3:$D$500, MATCH(0, IF($M18&amp;$N18=OverallResults!$G$3:$G$500&amp;OverallResults!$B$3:$B$500,0,1)+COUNTIF(O$2:O15, OverallResults!$D$3:$D$500&amp;""), 0))&amp;"", "")</f>
        <v/>
      </c>
      <c r="P18" s="133" t="str">
        <f t="array" ref="P18">IF($M18="","",SMALL(IF(OverallResults!$G$3:$G$500=$M18,OverallResults!$C$3:$C$500,""),COUNTIF($M$2:$M18,$M18)))</f>
        <v/>
      </c>
      <c r="Q18" s="134" t="str">
        <f>IF($O18="","",TEXT(VLOOKUP($O18,SortedDownload!$B$3:$Z$499,13,FALSE),"[hh]:mm:ss.0"))</f>
        <v/>
      </c>
    </row>
    <row r="19" spans="1:17">
      <c r="A19" s="239" t="str">
        <f>PrintedResults!G1</f>
        <v>Category Top 3</v>
      </c>
      <c r="C19" s="183" t="str">
        <f>M1</f>
        <v>Overall Top 5</v>
      </c>
      <c r="E19" s="224"/>
      <c r="G19" s="132" t="str">
        <f>IFERROR(IF((COUNTIF(G$2:G18,G18)&lt;3)*(COUNTIF(OverallResults!$H$3:$H$500,G18)&gt;COUNTIF(G$2:G18,G18)),G18,INDEX(OverallResults!$H$3:$H$500,MATCH(0,INDEX(COUNTIF(G$2:G18,OverallResults!$H$3:$H$500&amp;""),0,0),0))&amp;""),"")</f>
        <v>Youth Men</v>
      </c>
      <c r="H19" s="138">
        <f t="array" ref="H19">IF($G19="","",SMALL(IF(OverallResults!$H$3:$H$500=$G19,OverallResults!$C$3:$C$500,""),COUNTIF($G$2:$G19,$G19)))</f>
        <v>3</v>
      </c>
      <c r="I19" s="133" t="str">
        <f t="array" ref="I19">IFERROR(INDEX(OverallResults!$D$3:$D$500, MATCH(0, IF($G19&amp;$H19=OverallResults!$H$3:$H$500&amp;OverallResults!$C$3:$C$500,0,1)+COUNTIF(I$2:I16, OverallResults!$D$3:$D$500&amp;""), 0))&amp;"", "")</f>
        <v>Samuel Cleary</v>
      </c>
      <c r="J19" s="133">
        <f t="array" ref="J19">IF($G19="","",SMALL(IF(OverallResults!$H$3:$H$500=$G19,OverallResults!$B$3:$B$500,""),COUNTIF($G$2:$G19,$G19)))</f>
        <v>18</v>
      </c>
      <c r="K19" s="134" t="str">
        <f>IF($I19="","",TEXT(VLOOKUP($I19,SortedDownload!$B$3:$Z$499,13,FALSE),"[hh]:mm:ss.000"))</f>
        <v>00:18:25.604</v>
      </c>
      <c r="L19" s="115"/>
      <c r="M19" s="132" t="str">
        <f>IFERROR(IF((COUNTIF(M$2:M16,M16)&lt;3)*(COUNTIF(OverallResults!$G$3:$G$500,M16)&gt;COUNTIF(M$2:M16,M16)),M16,INDEX(OverallResults!$G$3:$G$500,MATCH(0,INDEX(COUNTIF(M$2:M16,OverallResults!$G$3:$G$500&amp;""),0,0),0))&amp;""),"")</f>
        <v/>
      </c>
      <c r="N19" s="133" t="str">
        <f t="array" ref="N19">IF($M19="","",SMALL(IF(OverallResults!$G$3:$G$500=$M19,OverallResults!$B$3:$B$500,""),COUNTIF($M$2:$M19,$M19)))</f>
        <v/>
      </c>
      <c r="O19" s="133" t="str">
        <f t="array" ref="O19">IFERROR(INDEX(OverallResults!$D$3:$D$500, MATCH(0, IF($M19&amp;$N19=OverallResults!$G$3:$G$500&amp;OverallResults!$B$3:$B$500,0,1)+COUNTIF(O$2:O16, OverallResults!$D$3:$D$500&amp;""), 0))&amp;"", "")</f>
        <v/>
      </c>
      <c r="P19" s="133" t="str">
        <f t="array" ref="P19">IF($M19="","",SMALL(IF(OverallResults!$G$3:$G$500=$M19,OverallResults!$C$3:$C$500,""),COUNTIF($M$2:$M19,$M19)))</f>
        <v/>
      </c>
      <c r="Q19" s="134" t="str">
        <f>IF($O19="","",TEXT(VLOOKUP($O19,SortedDownload!$B$3:$Z$499,13,FALSE),"[hh]:mm:ss.0"))</f>
        <v/>
      </c>
    </row>
    <row r="20" spans="1:17">
      <c r="A20" s="240" t="s">
        <v>323</v>
      </c>
      <c r="C20" s="197" t="s">
        <v>324</v>
      </c>
      <c r="E20" s="205" t="str">
        <f>CONCATENATE(Helpers!W1&amp;" "&amp;Helpers!W2)&amp;"yrs"</f>
        <v>Youngest Rider 9yrs</v>
      </c>
      <c r="G20" s="132" t="str">
        <f>IFERROR(IF((COUNTIF(G$2:G19,G19)&lt;3)*(COUNTIF(OverallResults!$H$3:$H$500,G19)&gt;COUNTIF(G$2:G19,G19)),G19,INDEX(OverallResults!$H$3:$H$500,MATCH(0,INDEX(COUNTIF(G$2:G19,OverallResults!$H$3:$H$500&amp;""),0,0),0))&amp;""),"")</f>
        <v>Elite Women</v>
      </c>
      <c r="H20" s="138">
        <f t="array" ref="H20">IF($G20="","",SMALL(IF(OverallResults!$H$3:$H$500=$G20,OverallResults!$C$3:$C$500,""),COUNTIF($G$2:$G20,$G20)))</f>
        <v>1</v>
      </c>
      <c r="I20" s="133" t="str">
        <f t="array" ref="I20">IFERROR(INDEX(OverallResults!$D$3:$D$500, MATCH(0, IF($G20&amp;$H20=OverallResults!$H$3:$H$500&amp;OverallResults!$C$3:$C$500,0,1)+COUNTIF(I$2:I17, OverallResults!$D$3:$D$500&amp;""), 0))&amp;"", "")</f>
        <v>Frankie Du Toit</v>
      </c>
      <c r="J20" s="133">
        <f t="array" ref="J20">IF($G20="","",SMALL(IF(OverallResults!$H$3:$H$500=$G20,OverallResults!$B$3:$B$500,""),COUNTIF($G$2:$G20,$G20)))</f>
        <v>49</v>
      </c>
      <c r="K20" s="134" t="str">
        <f>IF($I20="","",TEXT(VLOOKUP($I20,SortedDownload!$B$3:$Z$499,13,FALSE),"[hh]:mm:ss.000"))</f>
        <v>00:19:42.485</v>
      </c>
      <c r="L20" s="115"/>
      <c r="M20" s="132" t="str">
        <f>IFERROR(IF((COUNTIF(M$2:M17,M17)&lt;3)*(COUNTIF(OverallResults!$G$3:$G$500,M17)&gt;COUNTIF(M$2:M17,M17)),M17,INDEX(OverallResults!$G$3:$G$500,MATCH(0,INDEX(COUNTIF(M$2:M17,OverallResults!$G$3:$G$500&amp;""),0,0),0))&amp;""),"")</f>
        <v/>
      </c>
      <c r="N20" s="133" t="str">
        <f t="array" ref="N20">IF($M20="","",SMALL(IF(OverallResults!$G$3:$G$500=$M20,OverallResults!$B$3:$B$500,""),COUNTIF($M$2:$M20,$M20)))</f>
        <v/>
      </c>
      <c r="O20" s="133" t="str">
        <f t="array" ref="O20">IFERROR(INDEX(OverallResults!$D$3:$D$500, MATCH(0, IF($M20&amp;$N20=OverallResults!$G$3:$G$500&amp;OverallResults!$B$3:$B$500,0,1)+COUNTIF(O$2:O17, OverallResults!$D$3:$D$500&amp;""), 0))&amp;"", "")</f>
        <v/>
      </c>
      <c r="P20" s="133" t="str">
        <f t="array" ref="P20">IF($M20="","",SMALL(IF(OverallResults!$G$3:$G$500=$M20,OverallResults!$C$3:$C$500,""),COUNTIF($M$2:$M20,$M20)))</f>
        <v/>
      </c>
      <c r="Q20" s="134" t="str">
        <f>IF($O20="","",TEXT(VLOOKUP($O20,SortedDownload!$B$3:$Z$499,13,FALSE),"[hh]:mm:ss.0"))</f>
        <v/>
      </c>
    </row>
    <row r="21" spans="1:17" ht="38.25" customHeight="1">
      <c r="A21" s="196" t="str">
        <f>IF(PrintedResults!G5="","","("&amp;(PrintedResults!H5)&amp; ")"&amp;" " &amp;  (PrintedResults!G5) &amp;"| "&amp;CHAR(10)&amp; PrintedResults!I5&amp;"| "&amp;CHAR(10)&amp; PrintedResults!K5 )</f>
        <v>(1) Master Men| 
Johann Potgieter| 
00:16:50.021</v>
      </c>
      <c r="C21" s="198" t="str">
        <f>IF(PrintedResults!O5="",""," (" &amp;PrintedResults!N5&amp;") "&amp;PrintedResults!O5&amp;" | " &amp;CHAR(10) &amp;"Time: " &amp;  PrintedResults!Q5 )</f>
        <v xml:space="preserve"> (1) Johann Potgieter | 
Time: 00:16:50.0</v>
      </c>
      <c r="E21" s="221" t="str">
        <f>CONCATENATE(Helpers!X1&amp;" ",Helpers!X2)&amp;"yrs"</f>
        <v>Oldest Rider 780115yrs</v>
      </c>
      <c r="G21" s="132" t="str">
        <f>IFERROR(IF((COUNTIF(G$2:G20,G20)&lt;3)*(COUNTIF(OverallResults!$H$3:$H$500,G20)&gt;COUNTIF(G$2:G20,G20)),G20,INDEX(OverallResults!$H$3:$H$500,MATCH(0,INDEX(COUNTIF(G$2:G20,OverallResults!$H$3:$H$500&amp;""),0,0),0))&amp;""),"")</f>
        <v>Elite Women</v>
      </c>
      <c r="H21" s="138">
        <f t="array" ref="H21">IF($G21="","",SMALL(IF(OverallResults!$H$3:$H$500=$G21,OverallResults!$C$3:$C$500,""),COUNTIF($G$2:$G21,$G21)))</f>
        <v>2</v>
      </c>
      <c r="I21" s="133" t="str">
        <f t="array" ref="I21">IFERROR(INDEX(OverallResults!$D$3:$D$500, MATCH(0, IF($G21&amp;$H21=OverallResults!$H$3:$H$500&amp;OverallResults!$C$3:$C$500,0,1)+COUNTIF(I$2:I18, OverallResults!$D$3:$D$500&amp;""), 0))&amp;"", "")</f>
        <v>Jessi Nixon</v>
      </c>
      <c r="J21" s="133">
        <f t="array" ref="J21">IF($G21="","",SMALL(IF(OverallResults!$H$3:$H$500=$G21,OverallResults!$B$3:$B$500,""),COUNTIF($G$2:$G21,$G21)))</f>
        <v>79</v>
      </c>
      <c r="K21" s="134" t="str">
        <f>IF($I21="","",TEXT(VLOOKUP($I21,SortedDownload!$B$3:$Z$499,13,FALSE),"[hh]:mm:ss.000"))</f>
        <v>00:21:42.582</v>
      </c>
      <c r="L21" s="115"/>
      <c r="M21" s="132" t="str">
        <f>IFERROR(IF((COUNTIF(M$2:M18,M18)&lt;3)*(COUNTIF(OverallResults!$G$3:$G$500,M18)&gt;COUNTIF(M$2:M18,M18)),M18,INDEX(OverallResults!$G$3:$G$500,MATCH(0,INDEX(COUNTIF(M$2:M18,OverallResults!$G$3:$G$500&amp;""),0,0),0))&amp;""),"")</f>
        <v/>
      </c>
      <c r="N21" s="133" t="str">
        <f t="array" ref="N21">IF($M21="","",SMALL(IF(OverallResults!$G$3:$G$500=$M21,OverallResults!$B$3:$B$500,""),COUNTIF($M$2:$M21,$M21)))</f>
        <v/>
      </c>
      <c r="O21" s="133" t="str">
        <f t="array" ref="O21">IFERROR(INDEX(OverallResults!$D$3:$D$500, MATCH(0, IF($M21&amp;$N21=OverallResults!$G$3:$G$500&amp;OverallResults!$B$3:$B$500,0,1)+COUNTIF(O$2:O18, OverallResults!$D$3:$D$500&amp;""), 0))&amp;"", "")</f>
        <v/>
      </c>
      <c r="P21" s="133" t="str">
        <f t="array" ref="P21">IF($M21="","",SMALL(IF(OverallResults!$G$3:$G$500=$M21,OverallResults!$C$3:$C$500,""),COUNTIF($M$2:$M21,$M21)))</f>
        <v/>
      </c>
      <c r="Q21" s="134" t="str">
        <f>IF($O21="","",TEXT(VLOOKUP($O21,SortedDownload!$B$3:$Z$499,13,FALSE),"[hh]:mm:ss.0"))</f>
        <v/>
      </c>
    </row>
    <row r="22" spans="1:17" ht="38.25" customHeight="1">
      <c r="A22" s="196" t="str">
        <f>IF(PrintedResults!G6="","","("&amp;(PrintedResults!H6)&amp; ")"&amp;" " &amp;  (PrintedResults!G6) &amp;"| "&amp;CHAR(10)&amp; PrintedResults!I6&amp;"| "&amp;CHAR(10)&amp; PrintedResults!K6 )</f>
        <v>(2) Master Men| 
Lance Morris| 
00:17:25.411</v>
      </c>
      <c r="C22" s="198" t="str">
        <f>IF(PrintedResults!O6="",""," (" &amp;PrintedResults!N6&amp;") "&amp;PrintedResults!O6&amp;" | " &amp;CHAR(10) &amp;"Time: " &amp;  PrintedResults!Q6 )</f>
        <v xml:space="preserve"> (2) Duran Van Eeden | 
Time: 00:16:58.4</v>
      </c>
      <c r="E22" s="205" t="str">
        <f>CONCATENATE(Helpers!Y1&amp;" "&amp;Helpers!Y2)</f>
        <v>Number Men 269</v>
      </c>
      <c r="G22" s="132" t="str">
        <f>IFERROR(IF((COUNTIF(G$2:G21,G21)&lt;3)*(COUNTIF(OverallResults!$H$3:$H$500,G21)&gt;COUNTIF(G$2:G21,G21)),G21,INDEX(OverallResults!$H$3:$H$500,MATCH(0,INDEX(COUNTIF(G$2:G21,OverallResults!$H$3:$H$500&amp;""),0,0),0))&amp;""),"")</f>
        <v>Elite Women</v>
      </c>
      <c r="H22" s="138">
        <f t="array" ref="H22">IF($G22="","",SMALL(IF(OverallResults!$H$3:$H$500=$G22,OverallResults!$C$3:$C$500,""),COUNTIF($G$2:$G22,$G22)))</f>
        <v>3</v>
      </c>
      <c r="I22" s="133" t="str">
        <f t="array" ref="I22">IFERROR(INDEX(OverallResults!$D$3:$D$500, MATCH(0, IF($G22&amp;$H22=OverallResults!$H$3:$H$500&amp;OverallResults!$C$3:$C$500,0,1)+COUNTIF(I$2:I19, OverallResults!$D$3:$D$500&amp;""), 0))&amp;"", "")</f>
        <v>Robyn Emslie</v>
      </c>
      <c r="J22" s="133">
        <f t="array" ref="J22">IF($G22="","",SMALL(IF(OverallResults!$H$3:$H$500=$G22,OverallResults!$B$3:$B$500,""),COUNTIF($G$2:$G22,$G22)))</f>
        <v>106</v>
      </c>
      <c r="K22" s="134" t="str">
        <f>IF($I22="","",TEXT(VLOOKUP($I22,SortedDownload!$B$3:$Z$499,13,FALSE),"[hh]:mm:ss.000"))</f>
        <v>00:23:35.604</v>
      </c>
      <c r="L22" s="115"/>
      <c r="M22" s="132" t="str">
        <f>IFERROR(IF((COUNTIF(M$2:M19,M19)&lt;3)*(COUNTIF(OverallResults!$G$3:$G$500,M19)&gt;COUNTIF(M$2:M19,M19)),M19,INDEX(OverallResults!$G$3:$G$500,MATCH(0,INDEX(COUNTIF(M$2:M19,OverallResults!$G$3:$G$500&amp;""),0,0),0))&amp;""),"")</f>
        <v/>
      </c>
      <c r="N22" s="133" t="str">
        <f t="array" ref="N22">IF($M22="","",SMALL(IF(OverallResults!$G$3:$G$500=$M22,OverallResults!$B$3:$B$500,""),COUNTIF($M$2:$M22,$M22)))</f>
        <v/>
      </c>
      <c r="O22" s="133" t="str">
        <f t="array" ref="O22">IFERROR(INDEX(OverallResults!$D$3:$D$500, MATCH(0, IF($M22&amp;$N22=OverallResults!$G$3:$G$500&amp;OverallResults!$B$3:$B$500,0,1)+COUNTIF(O$2:O19, OverallResults!$D$3:$D$500&amp;""), 0))&amp;"", "")</f>
        <v/>
      </c>
      <c r="P22" s="133" t="str">
        <f t="array" ref="P22">IF($M22="","",SMALL(IF(OverallResults!$G$3:$G$500=$M22,OverallResults!$C$3:$C$500,""),COUNTIF($M$2:$M22,$M22)))</f>
        <v/>
      </c>
      <c r="Q22" s="134" t="str">
        <f>IF($O22="","",TEXT(VLOOKUP($O22,SortedDownload!$B$3:$Z$499,13,FALSE),"[hh]:mm:ss.0"))</f>
        <v/>
      </c>
    </row>
    <row r="23" spans="1:17" ht="38.25" customHeight="1">
      <c r="A23" s="196" t="str">
        <f>IF(PrintedResults!G7="","","("&amp;(PrintedResults!H7)&amp; ")"&amp;" " &amp;  (PrintedResults!G7) &amp;"| "&amp;CHAR(10)&amp; PrintedResults!I7&amp;"| "&amp;CHAR(10)&amp; PrintedResults!K7 )</f>
        <v>(3) Master Men| 
Dane Olsen| 
00:18:03.176</v>
      </c>
      <c r="C23" s="198" t="str">
        <f>IF(PrintedResults!O7="",""," (" &amp;PrintedResults!N7&amp;") "&amp;PrintedResults!O7&amp;" | " &amp;CHAR(10) &amp;"Time: " &amp;  PrintedResults!Q7 )</f>
        <v xml:space="preserve"> (3) Philip Van Schalkwyk | 
Time: 00:17:11.7</v>
      </c>
      <c r="E23" s="205" t="str">
        <f>CONCATENATE(Helpers!Z1&amp;" "&amp;Helpers!Z2)</f>
        <v>Number Women 20</v>
      </c>
      <c r="G23" s="132" t="str">
        <f>IFERROR(IF((COUNTIF(G$2:G22,G22)&lt;3)*(COUNTIF(OverallResults!$H$3:$H$500,G22)&gt;COUNTIF(G$2:G22,G22)),G22,INDEX(OverallResults!$H$3:$H$500,MATCH(0,INDEX(COUNTIF(G$2:G22,OverallResults!$H$3:$H$500&amp;""),0,0),0))&amp;""),"")</f>
        <v>E-Bike F</v>
      </c>
      <c r="H23" s="138">
        <f t="array" ref="H23">IF($G23="","",SMALL(IF(OverallResults!$H$3:$H$500=$G23,OverallResults!$C$3:$C$500,""),COUNTIF($G$2:$G23,$G23)))</f>
        <v>1</v>
      </c>
      <c r="I23" s="133" t="str">
        <f t="array" ref="I23">IFERROR(INDEX(OverallResults!$D$3:$D$500, MATCH(0, IF($G23&amp;$H23=OverallResults!$H$3:$H$500&amp;OverallResults!$C$3:$C$500,0,1)+COUNTIF(I$2:I20, OverallResults!$D$3:$D$500&amp;""), 0))&amp;"", "")</f>
        <v>Gina Nixon</v>
      </c>
      <c r="J23" s="133">
        <f t="array" ref="J23">IF($G23="","",SMALL(IF(OverallResults!$H$3:$H$500=$G23,OverallResults!$B$3:$B$500,""),COUNTIF($G$2:$G23,$G23)))</f>
        <v>85</v>
      </c>
      <c r="K23" s="134" t="str">
        <f>IF($I23="","",TEXT(VLOOKUP($I23,SortedDownload!$B$3:$Z$499,13,FALSE),"[hh]:mm:ss.000"))</f>
        <v>00:22:14.711</v>
      </c>
      <c r="L23" s="115"/>
      <c r="M23" s="132" t="str">
        <f>IFERROR(IF((COUNTIF(M$2:M20,M20)&lt;3)*(COUNTIF(OverallResults!$G$3:$G$500,M20)&gt;COUNTIF(M$2:M20,M20)),M20,INDEX(OverallResults!$G$3:$G$500,MATCH(0,INDEX(COUNTIF(M$2:M20,OverallResults!$G$3:$G$500&amp;""),0,0),0))&amp;""),"")</f>
        <v/>
      </c>
      <c r="N23" s="133" t="str">
        <f t="array" ref="N23">IF($M23="","",SMALL(IF(OverallResults!$G$3:$G$500=$M23,OverallResults!$B$3:$B$500,""),COUNTIF($M$2:$M23,$M23)))</f>
        <v/>
      </c>
      <c r="O23" s="133" t="str">
        <f t="array" ref="O23">IFERROR(INDEX(OverallResults!$D$3:$D$500, MATCH(0, IF($M23&amp;$N23=OverallResults!$G$3:$G$500&amp;OverallResults!$B$3:$B$500,0,1)+COUNTIF(O$2:O20, OverallResults!$D$3:$D$500&amp;""), 0))&amp;"", "")</f>
        <v/>
      </c>
      <c r="P23" s="133" t="str">
        <f t="array" ref="P23">IF($M23="","",SMALL(IF(OverallResults!$G$3:$G$500=$M23,OverallResults!$C$3:$C$500,""),COUNTIF($M$2:$M23,$M23)))</f>
        <v/>
      </c>
      <c r="Q23" s="134" t="str">
        <f>IF($O23="","",TEXT(VLOOKUP($O23,SortedDownload!$B$3:$Z$499,13,FALSE),"[hh]:mm:ss.0"))</f>
        <v/>
      </c>
    </row>
    <row r="24" spans="1:17" ht="38.25" customHeight="1">
      <c r="A24" s="196" t="str">
        <f>IF(PrintedResults!G8="","","("&amp;(PrintedResults!H8)&amp; ")"&amp;" " &amp;  (PrintedResults!G8) &amp;"| "&amp;CHAR(10)&amp; PrintedResults!I8&amp;"| "&amp;CHAR(10)&amp; PrintedResults!K8 )</f>
        <v>(1) E-Bike M| 
Duran Van Eeden| 
00:16:58.413</v>
      </c>
      <c r="C24" s="198" t="str">
        <f>IF(PrintedResults!O8="",""," (" &amp;PrintedResults!N8&amp;") "&amp;PrintedResults!O8&amp;" | " &amp;CHAR(10) &amp;"Time: " &amp;  PrintedResults!Q8 )</f>
        <v xml:space="preserve"> (4) Gert Heyns | 
Time: 00:17:17.4</v>
      </c>
      <c r="E24" s="304" t="str">
        <f>CONCATENATE(Helpers!AB1&amp;" "&amp;(TEXT(Helpers!AB2,"#%")))</f>
        <v>Percent Women 7%</v>
      </c>
      <c r="G24" s="132" t="str">
        <f>IFERROR(IF((COUNTIF(G$2:G23,G23)&lt;3)*(COUNTIF(OverallResults!$H$3:$H$500,G23)&gt;COUNTIF(G$2:G23,G23)),G23,INDEX(OverallResults!$H$3:$H$500,MATCH(0,INDEX(COUNTIF(G$2:G23,OverallResults!$H$3:$H$500&amp;""),0,0),0))&amp;""),"")</f>
        <v>Master Women</v>
      </c>
      <c r="H24" s="138">
        <f t="array" ref="H24">IF($G24="","",SMALL(IF(OverallResults!$H$3:$H$500=$G24,OverallResults!$C$3:$C$500,""),COUNTIF($G$2:$G24,$G24)))</f>
        <v>1</v>
      </c>
      <c r="I24" s="133" t="str">
        <f t="array" ref="I24">IFERROR(INDEX(OverallResults!$D$3:$D$500, MATCH(0, IF($G24&amp;$H24=OverallResults!$H$3:$H$500&amp;OverallResults!$C$3:$C$500,0,1)+COUNTIF(I$2:I21, OverallResults!$D$3:$D$500&amp;""), 0))&amp;"", "")</f>
        <v>Annemi Pfister</v>
      </c>
      <c r="J24" s="133">
        <f t="array" ref="J24">IF($G24="","",SMALL(IF(OverallResults!$H$3:$H$500=$G24,OverallResults!$B$3:$B$500,""),COUNTIF($G$2:$G24,$G24)))</f>
        <v>103</v>
      </c>
      <c r="K24" s="134" t="str">
        <f>IF($I24="","",TEXT(VLOOKUP($I24,SortedDownload!$B$3:$Z$499,13,FALSE),"[hh]:mm:ss.000"))</f>
        <v>00:23:20.436</v>
      </c>
      <c r="L24" s="115"/>
      <c r="M24" s="132" t="str">
        <f>IFERROR(IF((COUNTIF(M$2:M21,M21)&lt;3)*(COUNTIF(OverallResults!$G$3:$G$500,M21)&gt;COUNTIF(M$2:M21,M21)),M21,INDEX(OverallResults!$G$3:$G$500,MATCH(0,INDEX(COUNTIF(M$2:M21,OverallResults!$G$3:$G$500&amp;""),0,0),0))&amp;""),"")</f>
        <v/>
      </c>
      <c r="N24" s="133" t="str">
        <f t="array" ref="N24">IF($M24="","",SMALL(IF(OverallResults!$G$3:$G$500=$M24,OverallResults!$B$3:$B$500,""),COUNTIF($M$2:$M24,$M24)))</f>
        <v/>
      </c>
      <c r="O24" s="133" t="str">
        <f t="array" ref="O24">IFERROR(INDEX(OverallResults!$D$3:$D$500, MATCH(0, IF($M24&amp;$N24=OverallResults!$G$3:$G$500&amp;OverallResults!$B$3:$B$500,0,1)+COUNTIF(O$2:O21, OverallResults!$D$3:$D$500&amp;""), 0))&amp;"", "")</f>
        <v/>
      </c>
      <c r="P24" s="133" t="str">
        <f t="array" ref="P24">IF($M24="","",SMALL(IF(OverallResults!$G$3:$G$500=$M24,OverallResults!$C$3:$C$500,""),COUNTIF($M$2:$M24,$M24)))</f>
        <v/>
      </c>
      <c r="Q24" s="134" t="str">
        <f>IF($O24="","",TEXT(VLOOKUP($O24,SortedDownload!$B$3:$Z$499,13,FALSE),"[hh]:mm:ss.0"))</f>
        <v/>
      </c>
    </row>
    <row r="25" spans="1:17" ht="38.25" customHeight="1">
      <c r="A25" s="196" t="str">
        <f>IF(PrintedResults!G9="","","("&amp;(PrintedResults!H9)&amp; ")"&amp;" " &amp;  (PrintedResults!G9) &amp;"| "&amp;CHAR(10)&amp; PrintedResults!I9&amp;"| "&amp;CHAR(10)&amp; PrintedResults!K9 )</f>
        <v>(2) E-Bike M| 
Gary Barnard| 
00:17:28.605</v>
      </c>
      <c r="C25" s="198" t="str">
        <f>IF(PrintedResults!O9="",""," (" &amp;PrintedResults!N9&amp;") "&amp;PrintedResults!O9&amp;" | " &amp;CHAR(10) &amp;"Time: " &amp;  PrintedResults!Q9 )</f>
        <v xml:space="preserve"> (5) Lance Morris | 
Time: 00:17:25.4</v>
      </c>
      <c r="E25" s="205" t="str">
        <f>CONCATENATE(Helpers!AC1&amp;" "&amp;(TEXT(Helpers!AC2,"#%")))</f>
        <v>Percent Men 93%</v>
      </c>
      <c r="G25" s="132" t="str">
        <f>IFERROR(IF((COUNTIF(G$2:G24,G24)&lt;3)*(COUNTIF(OverallResults!$H$3:$H$500,G24)&gt;COUNTIF(G$2:G24,G24)),G24,INDEX(OverallResults!$H$3:$H$500,MATCH(0,INDEX(COUNTIF(G$2:G24,OverallResults!$H$3:$H$500&amp;""),0,0),0))&amp;""),"")</f>
        <v>Master Women</v>
      </c>
      <c r="H25" s="138" t="e">
        <f t="array" ref="H25">IF($G25="","",SMALL(IF(OverallResults!$H$3:$H$500=$G25,OverallResults!$C$3:$C$500,""),COUNTIF($G$2:$G25,$G25)))</f>
        <v>#NUM!</v>
      </c>
      <c r="I25" s="133" t="str">
        <f t="array" ref="I25">IFERROR(INDEX(OverallResults!$D$3:$D$500, MATCH(0, IF($G25&amp;$H25=OverallResults!$H$3:$H$500&amp;OverallResults!$C$3:$C$500,0,1)+COUNTIF(I$2:I22, OverallResults!$D$3:$D$500&amp;""), 0))&amp;"", "")</f>
        <v/>
      </c>
      <c r="J25" s="133" t="e">
        <f t="array" ref="J25">IF($G25="","",SMALL(IF(OverallResults!$H$3:$H$500=$G25,OverallResults!$B$3:$B$500,""),COUNTIF($G$2:$G25,$G25)))</f>
        <v>#NUM!</v>
      </c>
      <c r="K25" s="134" t="str">
        <f>IF($I25="","",TEXT(VLOOKUP($I25,SortedDownload!$B$3:$Z$499,13,FALSE),"[hh]:mm:ss.000"))</f>
        <v/>
      </c>
      <c r="M25" s="132" t="str">
        <f>IFERROR(IF((COUNTIF(M$2:M22,M22)&lt;3)*(COUNTIF(OverallResults!$G$3:$G$500,M22)&gt;COUNTIF(M$2:M22,M22)),M22,INDEX(OverallResults!$G$3:$G$500,MATCH(0,INDEX(COUNTIF(M$2:M22,OverallResults!$G$3:$G$500&amp;""),0,0),0))&amp;""),"")</f>
        <v/>
      </c>
      <c r="N25" s="133" t="str">
        <f t="array" ref="N25">IF($M25="","",SMALL(IF(OverallResults!$G$3:$G$500=$M25,OverallResults!$B$3:$B$500,""),COUNTIF($M$2:$M25,$M25)))</f>
        <v/>
      </c>
      <c r="O25" s="133" t="str">
        <f t="array" ref="O25">IFERROR(INDEX(OverallResults!$D$3:$D$500, MATCH(0, IF($M25&amp;$N25=OverallResults!$G$3:$G$500&amp;OverallResults!$B$3:$B$500,0,1)+COUNTIF(O$2:O22, OverallResults!$D$3:$D$500&amp;""), 0))&amp;"", "")</f>
        <v/>
      </c>
      <c r="P25" s="133" t="str">
        <f t="array" ref="P25">IF($M25="","",SMALL(IF(OverallResults!$G$3:$G$500=$M25,OverallResults!$C$3:$C$500,""),COUNTIF($M$2:$M25,$M25)))</f>
        <v/>
      </c>
      <c r="Q25" s="134" t="str">
        <f>IF($O25="","",TEXT(VLOOKUP($O25,SortedDownload!$B$3:$Z$499,13,FALSE),"[hh]:mm:ss.0"))</f>
        <v/>
      </c>
    </row>
    <row r="26" spans="1:17" ht="38.25" customHeight="1">
      <c r="A26" s="196" t="str">
        <f>IF(PrintedResults!G10="","","("&amp;(PrintedResults!H10)&amp; ")"&amp;" " &amp;  (PrintedResults!G10) &amp;"| "&amp;CHAR(10)&amp; PrintedResults!I10&amp;"| "&amp;CHAR(10)&amp; PrintedResults!K10 )</f>
        <v>(3) E-Bike M| 
Justin Novella| 
00:17:32.653</v>
      </c>
      <c r="C26" s="198" t="str">
        <f>IF(PrintedResults!O10="",""," (" &amp;PrintedResults!N10&amp;") "&amp;PrintedResults!O10&amp;" | " &amp;CHAR(10) &amp;"Time: " &amp;  PrintedResults!Q10 )</f>
        <v xml:space="preserve"> (49) Frankie Du Toit | 
Time: 00:19:42.5</v>
      </c>
      <c r="E26" s="205" t="str">
        <f>CONCATENATE(Helpers!K1&amp;" "&amp;Helpers!K2)</f>
        <v>Number of Entrants 289</v>
      </c>
      <c r="G26" s="132" t="str">
        <f>IFERROR(IF((COUNTIF(G$2:G25,G25)&lt;3)*(COUNTIF(OverallResults!$H$3:$H$500,G25)&gt;COUNTIF(G$2:G25,G25)),G25,INDEX(OverallResults!$H$3:$H$500,MATCH(0,INDEX(COUNTIF(G$2:G25,OverallResults!$H$3:$H$500&amp;""),0,0),0))&amp;""),"")</f>
        <v>Master Women</v>
      </c>
      <c r="H26" s="138" t="e">
        <f t="array" ref="H26">IF($G26="","",SMALL(IF(OverallResults!$H$3:$H$500=$G26,OverallResults!$C$3:$C$500,""),COUNTIF($G$2:$G26,$G26)))</f>
        <v>#NUM!</v>
      </c>
      <c r="I26" s="133" t="str">
        <f t="array" ref="I26">IFERROR(INDEX(OverallResults!$D$3:$D$500, MATCH(0, IF($G26&amp;$H26=OverallResults!$H$3:$H$500&amp;OverallResults!$C$3:$C$500,0,1)+COUNTIF(I$2:I23, OverallResults!$D$3:$D$500&amp;""), 0))&amp;"", "")</f>
        <v/>
      </c>
      <c r="J26" s="133" t="e">
        <f t="array" ref="J26">IF($G26="","",SMALL(IF(OverallResults!$H$3:$H$500=$G26,OverallResults!$B$3:$B$500,""),COUNTIF($G$2:$G26,$G26)))</f>
        <v>#NUM!</v>
      </c>
      <c r="K26" s="134" t="str">
        <f>IF($I26="","",TEXT(VLOOKUP($I26,SortedDownload!$B$3:$Z$499,13,FALSE),"[hh]:mm:ss.000"))</f>
        <v/>
      </c>
      <c r="M26" s="132" t="str">
        <f>IFERROR(IF((COUNTIF(M$2:M23,M23)&lt;3)*(COUNTIF(OverallResults!$G$3:$G$500,M23)&gt;COUNTIF(M$2:M23,M23)),M23,INDEX(OverallResults!$G$3:$G$500,MATCH(0,INDEX(COUNTIF(M$2:M23,OverallResults!$G$3:$G$500&amp;""),0,0),0))&amp;""),"")</f>
        <v/>
      </c>
      <c r="N26" s="133" t="str">
        <f t="array" ref="N26">IF($M26="","",SMALL(IF(OverallResults!$G$3:$G$500=$M26,OverallResults!$B$3:$B$500,""),COUNTIF($M$2:$M26,$M26)))</f>
        <v/>
      </c>
      <c r="O26" s="133" t="str">
        <f t="array" ref="O26">IFERROR(INDEX(OverallResults!$D$3:$D$500, MATCH(0, IF($M26&amp;$N26=OverallResults!$G$3:$G$500&amp;OverallResults!$B$3:$B$500,0,1)+COUNTIF(O$2:O23, OverallResults!$D$3:$D$500&amp;""), 0))&amp;"", "")</f>
        <v/>
      </c>
      <c r="P26" s="133" t="str">
        <f t="array" ref="P26">IF($M26="","",SMALL(IF(OverallResults!$G$3:$G$500=$M26,OverallResults!$C$3:$C$500,""),COUNTIF($M$2:$M26,$M26)))</f>
        <v/>
      </c>
      <c r="Q26" s="134" t="str">
        <f>IF($O26="","",TEXT(VLOOKUP($O26,SortedDownload!$B$3:$Z$499,13,FALSE),"[hh]:mm:ss.0"))</f>
        <v/>
      </c>
    </row>
    <row r="27" spans="1:17" ht="38.25" customHeight="1">
      <c r="A27" s="196" t="str">
        <f>IF(PrintedResults!G11="","","("&amp;(PrintedResults!H11)&amp; ")"&amp;" " &amp;  (PrintedResults!G11) &amp;"| "&amp;CHAR(10)&amp; PrintedResults!I11&amp;"| "&amp;CHAR(10)&amp; PrintedResults!K11 )</f>
        <v>(1) Junior Men| 
Philip Van Schalkwyk| 
00:17:11.727</v>
      </c>
      <c r="C27" s="198" t="str">
        <f>IF(PrintedResults!O11="",""," (" &amp;PrintedResults!N11&amp;") "&amp;PrintedResults!O11&amp;" | " &amp;CHAR(10) &amp;"Time: " &amp;  PrintedResults!Q11 )</f>
        <v xml:space="preserve"> (79) Jessi Nixon | 
Time: 00:21:42.6</v>
      </c>
      <c r="E27" s="205" t="str">
        <f>CONCATENATE(Helpers!L1&amp;" "&amp;Helpers!L2)</f>
        <v>Entrants Registered 258</v>
      </c>
      <c r="G27" s="132" t="str">
        <f>IFERROR(IF((COUNTIF(G$2:G26,G26)&lt;3)*(COUNTIF(OverallResults!$H$3:$H$500,G26)&gt;COUNTIF(G$2:G26,G26)),G26,INDEX(OverallResults!$H$3:$H$500,MATCH(0,INDEX(COUNTIF(G$2:G26,OverallResults!$H$3:$H$500&amp;""),0,0),0))&amp;""),"")</f>
        <v>Lite M</v>
      </c>
      <c r="H27" s="138">
        <f t="array" ref="H27">IF($G27="","",SMALL(IF(OverallResults!$H$3:$H$500=$G27,OverallResults!$C$3:$C$500,""),COUNTIF($G$2:$G27,$G27)))</f>
        <v>1</v>
      </c>
      <c r="I27" s="133" t="str">
        <f t="array" ref="I27">IFERROR(INDEX(OverallResults!$D$3:$D$500, MATCH(0, IF($G27&amp;$H27=OverallResults!$H$3:$H$500&amp;OverallResults!$C$3:$C$500,0,1)+COUNTIF(I$2:I24, OverallResults!$D$3:$D$500&amp;""), 0))&amp;"", "")</f>
        <v>Louis Van Der Walt</v>
      </c>
      <c r="J27" s="133">
        <f t="array" ref="J27">IF($G27="","",SMALL(IF(OverallResults!$H$3:$H$500=$G27,OverallResults!$B$3:$B$500,""),COUNTIF($G$2:$G27,$G27)))</f>
        <v>131</v>
      </c>
      <c r="K27" s="134" t="str">
        <f>IF($I27="","",TEXT(VLOOKUP($I27,SortedDownload!$B$3:$Z$499,13,FALSE),"[hh]:mm:ss.000"))</f>
        <v>00:11:10.123</v>
      </c>
      <c r="M27" s="132" t="str">
        <f>IFERROR(IF((COUNTIF(M$2:M24,M24)&lt;3)*(COUNTIF(OverallResults!$G$3:$G$500,M24)&gt;COUNTIF(M$2:M24,M24)),M24,INDEX(OverallResults!$G$3:$G$500,MATCH(0,INDEX(COUNTIF(M$2:M24,OverallResults!$G$3:$G$500&amp;""),0,0),0))&amp;""),"")</f>
        <v/>
      </c>
      <c r="N27" s="133" t="str">
        <f t="array" ref="N27">IF($M27="","",SMALL(IF(OverallResults!$G$3:$G$500=$M27,OverallResults!$B$3:$B$500,""),COUNTIF($M$2:$M27,$M27)))</f>
        <v/>
      </c>
      <c r="O27" s="133" t="str">
        <f t="array" ref="O27">IFERROR(INDEX(OverallResults!$D$3:$D$500, MATCH(0, IF($M27&amp;$N27=OverallResults!$G$3:$G$500&amp;OverallResults!$B$3:$B$500,0,1)+COUNTIF(O$2:O24, OverallResults!$D$3:$D$500&amp;""), 0))&amp;"", "")</f>
        <v/>
      </c>
      <c r="P27" s="133" t="str">
        <f t="array" ref="P27">IF($M27="","",SMALL(IF(OverallResults!$G$3:$G$500=$M27,OverallResults!$C$3:$C$500,""),COUNTIF($M$2:$M27,$M27)))</f>
        <v/>
      </c>
      <c r="Q27" s="134" t="str">
        <f>IF($O27="","",TEXT(VLOOKUP($O27,SortedDownload!$B$3:$Z$499,13,FALSE),"[hh]:mm:ss.0"))</f>
        <v/>
      </c>
    </row>
    <row r="28" spans="1:17" ht="38.25" customHeight="1">
      <c r="A28" s="196" t="str">
        <f>IF(PrintedResults!G12="","","("&amp;(PrintedResults!H12)&amp; ")"&amp;" " &amp;  (PrintedResults!G12) &amp;"| "&amp;CHAR(10)&amp; PrintedResults!I12&amp;"| "&amp;CHAR(10)&amp; PrintedResults!K12 )</f>
        <v>(2) Junior Men| 
Henning Venter| 
00:18:13.619</v>
      </c>
      <c r="C28" s="198" t="str">
        <f>IF(PrintedResults!O12="",""," (" &amp;PrintedResults!N12&amp;") "&amp;PrintedResults!O12&amp;" | " &amp;CHAR(10) &amp;"Time: " &amp;  PrintedResults!Q12 )</f>
        <v xml:space="preserve"> (85) Gina Nixon | 
Time: 00:22:14.7</v>
      </c>
      <c r="E28" s="205"/>
      <c r="G28" s="132" t="str">
        <f>IFERROR(IF((COUNTIF(G$2:G27,G27)&lt;3)*(COUNTIF(OverallResults!$H$3:$H$500,G27)&gt;COUNTIF(G$2:G27,G27)),G27,INDEX(OverallResults!$H$3:$H$500,MATCH(0,INDEX(COUNTIF(G$2:G27,OverallResults!$H$3:$H$500&amp;""),0,0),0))&amp;""),"")</f>
        <v>Lite M</v>
      </c>
      <c r="H28" s="138">
        <f t="array" ref="H28">IF($G28="","",SMALL(IF(OverallResults!$H$3:$H$500=$G28,OverallResults!$C$3:$C$500,""),COUNTIF($G$2:$G28,$G28)))</f>
        <v>2</v>
      </c>
      <c r="I28" s="133" t="str">
        <f t="array" ref="I28">IFERROR(INDEX(OverallResults!$D$3:$D$500, MATCH(0, IF($G28&amp;$H28=OverallResults!$H$3:$H$500&amp;OverallResults!$C$3:$C$500,0,1)+COUNTIF(I$2:I25, OverallResults!$D$3:$D$500&amp;""), 0))&amp;"", "")</f>
        <v>Pieter Heyns</v>
      </c>
      <c r="J28" s="133">
        <f t="array" ref="J28">IF($G28="","",SMALL(IF(OverallResults!$H$3:$H$500=$G28,OverallResults!$B$3:$B$500,""),COUNTIF($G$2:$G28,$G28)))</f>
        <v>134</v>
      </c>
      <c r="K28" s="134" t="str">
        <f>IF($I28="","",TEXT(VLOOKUP($I28,SortedDownload!$B$3:$Z$499,13,FALSE),"[hh]:mm:ss.000"))</f>
        <v>00:11:33.146</v>
      </c>
      <c r="M28" s="132" t="str">
        <f>IFERROR(IF((COUNTIF(M$2:M25,M25)&lt;3)*(COUNTIF(OverallResults!$G$3:$G$500,M25)&gt;COUNTIF(M$2:M25,M25)),M25,INDEX(OverallResults!$G$3:$G$500,MATCH(0,INDEX(COUNTIF(M$2:M25,OverallResults!$G$3:$G$500&amp;""),0,0),0))&amp;""),"")</f>
        <v/>
      </c>
      <c r="N28" s="133" t="str">
        <f t="array" ref="N28">IF($M28="","",SMALL(IF(OverallResults!$G$3:$G$500=$M28,OverallResults!$B$3:$B$500,""),COUNTIF($M$2:$M28,$M28)))</f>
        <v/>
      </c>
      <c r="O28" s="133" t="str">
        <f t="array" ref="O28">IFERROR(INDEX(OverallResults!$D$3:$D$500, MATCH(0, IF($M28&amp;$N28=OverallResults!$G$3:$G$500&amp;OverallResults!$B$3:$B$500,0,1)+COUNTIF(O$2:O25, OverallResults!$D$3:$D$500&amp;""), 0))&amp;"", "")</f>
        <v/>
      </c>
      <c r="P28" s="133" t="str">
        <f t="array" ref="P28">IF($M28="","",SMALL(IF(OverallResults!$G$3:$G$500=$M28,OverallResults!$C$3:$C$500,""),COUNTIF($M$2:$M28,$M28)))</f>
        <v/>
      </c>
      <c r="Q28" s="134" t="str">
        <f>IF($O28="","",TEXT(VLOOKUP($O28,SortedDownload!$B$3:$Z$499,13,FALSE),"[hh]:mm:ss.0"))</f>
        <v/>
      </c>
    </row>
    <row r="29" spans="1:17" ht="38.25" customHeight="1">
      <c r="A29" s="196" t="str">
        <f>IF(PrintedResults!G13="","","("&amp;(PrintedResults!H13)&amp; ")"&amp;" " &amp;  (PrintedResults!G13) &amp;"| "&amp;CHAR(10)&amp; PrintedResults!I13&amp;"| "&amp;CHAR(10)&amp; PrintedResults!K13 )</f>
        <v>(3) Junior Men| 
Hendre De Villiers| 
00:18:48.131</v>
      </c>
      <c r="C29" s="198" t="str">
        <f>IF(PrintedResults!O13="",""," (" &amp;PrintedResults!N13&amp;") "&amp;PrintedResults!O13&amp;" | " &amp;CHAR(10) &amp;"Time: " &amp;  PrintedResults!Q13 )</f>
        <v xml:space="preserve"> (103) Annemi Pfister | 
Time: 00:23:20.4</v>
      </c>
      <c r="G29" s="132" t="str">
        <f>IFERROR(IF((COUNTIF(G$2:G28,G28)&lt;3)*(COUNTIF(OverallResults!$H$3:$H$500,G28)&gt;COUNTIF(G$2:G28,G28)),G28,INDEX(OverallResults!$H$3:$H$500,MATCH(0,INDEX(COUNTIF(G$2:G28,OverallResults!$H$3:$H$500&amp;""),0,0),0))&amp;""),"")</f>
        <v>Lite M</v>
      </c>
      <c r="H29" s="138">
        <f t="array" ref="H29">IF($G29="","",SMALL(IF(OverallResults!$H$3:$H$500=$G29,OverallResults!$C$3:$C$500,""),COUNTIF($G$2:$G29,$G29)))</f>
        <v>3</v>
      </c>
      <c r="I29" s="133" t="str">
        <f t="array" ref="I29">IFERROR(INDEX(OverallResults!$D$3:$D$500, MATCH(0, IF($G29&amp;$H29=OverallResults!$H$3:$H$500&amp;OverallResults!$C$3:$C$500,0,1)+COUNTIF(I$2:I26, OverallResults!$D$3:$D$500&amp;""), 0))&amp;"", "")</f>
        <v>Wynand Mostert</v>
      </c>
      <c r="J29" s="133">
        <f t="array" ref="J29">IF($G29="","",SMALL(IF(OverallResults!$H$3:$H$500=$G29,OverallResults!$B$3:$B$500,""),COUNTIF($G$2:$G29,$G29)))</f>
        <v>135</v>
      </c>
      <c r="K29" s="134" t="str">
        <f>IF($I29="","",TEXT(VLOOKUP($I29,SortedDownload!$B$3:$Z$499,13,FALSE),"[hh]:mm:ss.000"))</f>
        <v>00:11:36.188</v>
      </c>
      <c r="M29" s="132" t="str">
        <f>IFERROR(IF((COUNTIF(M$2:M26,M26)&lt;3)*(COUNTIF(OverallResults!$G$3:$G$500,M26)&gt;COUNTIF(M$2:M26,M26)),M26,INDEX(OverallResults!$G$3:$G$500,MATCH(0,INDEX(COUNTIF(M$2:M26,OverallResults!$G$3:$G$500&amp;""),0,0),0))&amp;""),"")</f>
        <v/>
      </c>
      <c r="N29" s="133" t="str">
        <f t="array" ref="N29">IF($M29="","",SMALL(IF(OverallResults!$G$3:$G$500=$M29,OverallResults!$B$3:$B$500,""),COUNTIF($M$2:$M29,$M29)))</f>
        <v/>
      </c>
      <c r="O29" s="133" t="str">
        <f t="array" ref="O29">IFERROR(INDEX(OverallResults!$D$3:$D$500, MATCH(0, IF($M29&amp;$N29=OverallResults!$G$3:$G$500&amp;OverallResults!$B$3:$B$500,0,1)+COUNTIF(O$2:O26, OverallResults!$D$3:$D$500&amp;""), 0))&amp;"", "")</f>
        <v/>
      </c>
      <c r="P29" s="133" t="str">
        <f t="array" ref="P29">IF($M29="","",SMALL(IF(OverallResults!$G$3:$G$500=$M29,OverallResults!$C$3:$C$500,""),COUNTIF($M$2:$M29,$M29)))</f>
        <v/>
      </c>
      <c r="Q29" s="134" t="str">
        <f>IF($O29="","",TEXT(VLOOKUP($O29,SortedDownload!$B$3:$Z$499,13,FALSE),"[hh]:mm:ss.0"))</f>
        <v/>
      </c>
    </row>
    <row r="30" spans="1:17" ht="38.25" customHeight="1">
      <c r="A30" s="196" t="str">
        <f>IF(PrintedResults!G14="","","("&amp;(PrintedResults!H14)&amp; ")"&amp;" " &amp;  (PrintedResults!G14) &amp;"| "&amp;CHAR(10)&amp; PrintedResults!I14&amp;"| "&amp;CHAR(10)&amp; PrintedResults!K14 )</f>
        <v>(1) Elite Men| 
Gert Heyns| 
00:17:17.441</v>
      </c>
      <c r="C30" s="198" t="str">
        <f>IF(PrintedResults!O14="",""," (" &amp;PrintedResults!N14&amp;") "&amp;PrintedResults!O14&amp;" | " &amp;CHAR(10) &amp;"Time: " &amp;  PrintedResults!Q14 )</f>
        <v xml:space="preserve"> (106) Robyn Emslie | 
Time: 00:23:35.6</v>
      </c>
      <c r="G30" s="132" t="str">
        <f>IFERROR(IF((COUNTIF(G$2:G29,G29)&lt;3)*(COUNTIF(OverallResults!$H$3:$H$500,G29)&gt;COUNTIF(G$2:G29,G29)),G29,INDEX(OverallResults!$H$3:$H$500,MATCH(0,INDEX(COUNTIF(G$2:G29,OverallResults!$H$3:$H$500&amp;""),0,0),0))&amp;""),"")</f>
        <v>Sub Junior Boys</v>
      </c>
      <c r="H30" s="138">
        <f t="array" ref="H30">IF($G30="","",SMALL(IF(OverallResults!$H$3:$H$500=$G30,OverallResults!$C$3:$C$500,""),COUNTIF($G$2:$G30,$G30)))</f>
        <v>1</v>
      </c>
      <c r="I30" s="133" t="str">
        <f t="array" ref="I30">IFERROR(INDEX(OverallResults!$D$3:$D$500, MATCH(0, IF($G30&amp;$H30=OverallResults!$H$3:$H$500&amp;OverallResults!$C$3:$C$500,0,1)+COUNTIF(I$2:I27, OverallResults!$D$3:$D$500&amp;""), 0))&amp;"", "")</f>
        <v>Christiaan De Villiers</v>
      </c>
      <c r="J30" s="133">
        <f t="array" ref="J30">IF($G30="","",SMALL(IF(OverallResults!$H$3:$H$500=$G30,OverallResults!$B$3:$B$500,""),COUNTIF($G$2:$G30,$G30)))</f>
        <v>132</v>
      </c>
      <c r="K30" s="134" t="str">
        <f>IF($I30="","",TEXT(VLOOKUP($I30,SortedDownload!$B$3:$Z$499,13,FALSE),"[hh]:mm:ss.000"))</f>
        <v>00:11:11.777</v>
      </c>
      <c r="M30" s="132" t="str">
        <f>IFERROR(IF((COUNTIF(M$2:M27,M27)&lt;3)*(COUNTIF(OverallResults!$G$3:$G$500,M27)&gt;COUNTIF(M$2:M27,M27)),M27,INDEX(OverallResults!$G$3:$G$500,MATCH(0,INDEX(COUNTIF(M$2:M27,OverallResults!$G$3:$G$500&amp;""),0,0),0))&amp;""),"")</f>
        <v/>
      </c>
      <c r="N30" s="133" t="str">
        <f t="array" ref="N30">IF($M30="","",SMALL(IF(OverallResults!$G$3:$G$500=$M30,OverallResults!$B$3:$B$500,""),COUNTIF($M$2:$M30,$M30)))</f>
        <v/>
      </c>
      <c r="O30" s="133" t="str">
        <f t="array" ref="O30">IFERROR(INDEX(OverallResults!$D$3:$D$500, MATCH(0, IF($M30&amp;$N30=OverallResults!$G$3:$G$500&amp;OverallResults!$B$3:$B$500,0,1)+COUNTIF(O$2:O27, OverallResults!$D$3:$D$500&amp;""), 0))&amp;"", "")</f>
        <v/>
      </c>
      <c r="P30" s="133" t="str">
        <f t="array" ref="P30">IF($M30="","",SMALL(IF(OverallResults!$G$3:$G$500=$M30,OverallResults!$C$3:$C$500,""),COUNTIF($M$2:$M30,$M30)))</f>
        <v/>
      </c>
      <c r="Q30" s="134" t="str">
        <f>IF($O30="","",TEXT(VLOOKUP($O30,SortedDownload!$B$3:$Z$499,13,FALSE),"[hh]:mm:ss.0"))</f>
        <v/>
      </c>
    </row>
    <row r="31" spans="1:17" ht="38.25" customHeight="1">
      <c r="A31" s="196" t="str">
        <f>IF(PrintedResults!G15="","","("&amp;(PrintedResults!H15)&amp; ")"&amp;" " &amp;  (PrintedResults!G15) &amp;"| "&amp;CHAR(10)&amp; PrintedResults!I15&amp;"| "&amp;CHAR(10)&amp; PrintedResults!K15 )</f>
        <v>(2) Elite Men| 
Matt Lombardi| 
00:17:26.644</v>
      </c>
      <c r="C31" s="198" t="str">
        <f>IF(PrintedResults!O15="",""," (" &amp;PrintedResults!N15&amp;") "&amp;PrintedResults!O15&amp;" | " &amp;CHAR(10) &amp;"Time: " &amp;  PrintedResults!Q15 )</f>
        <v/>
      </c>
      <c r="G31" s="132" t="str">
        <f>IFERROR(IF((COUNTIF(G$2:G30,G30)&lt;3)*(COUNTIF(OverallResults!$H$3:$H$500,G30)&gt;COUNTIF(G$2:G30,G30)),G30,INDEX(OverallResults!$H$3:$H$500,MATCH(0,INDEX(COUNTIF(G$2:G30,OverallResults!$H$3:$H$500&amp;""),0,0),0))&amp;""),"")</f>
        <v>Sub Junior Boys</v>
      </c>
      <c r="H31" s="138">
        <f t="array" ref="H31">IF($G31="","",SMALL(IF(OverallResults!$H$3:$H$500=$G31,OverallResults!$C$3:$C$500,""),COUNTIF($G$2:$G31,$G31)))</f>
        <v>2</v>
      </c>
      <c r="I31" s="133" t="str">
        <f t="array" ref="I31">IFERROR(INDEX(OverallResults!$D$3:$D$500, MATCH(0, IF($G31&amp;$H31=OverallResults!$H$3:$H$500&amp;OverallResults!$C$3:$C$500,0,1)+COUNTIF(I$2:I28, OverallResults!$D$3:$D$500&amp;""), 0))&amp;"", "")</f>
        <v>Benjamin Fourie</v>
      </c>
      <c r="J31" s="133">
        <f t="array" ref="J31">IF($G31="","",SMALL(IF(OverallResults!$H$3:$H$500=$G31,OverallResults!$B$3:$B$500,""),COUNTIF($G$2:$G31,$G31)))</f>
        <v>136</v>
      </c>
      <c r="K31" s="134" t="str">
        <f>IF($I31="","",TEXT(VLOOKUP($I31,SortedDownload!$B$3:$Z$499,13,FALSE),"[hh]:mm:ss.000"))</f>
        <v>00:11:39.552</v>
      </c>
      <c r="M31" s="132" t="str">
        <f>IFERROR(IF((COUNTIF(M$2:M28,M28)&lt;3)*(COUNTIF(OverallResults!$G$3:$G$500,M28)&gt;COUNTIF(M$2:M28,M28)),M28,INDEX(OverallResults!$G$3:$G$500,MATCH(0,INDEX(COUNTIF(M$2:M28,OverallResults!$G$3:$G$500&amp;""),0,0),0))&amp;""),"")</f>
        <v/>
      </c>
      <c r="N31" s="133" t="str">
        <f t="array" ref="N31">IF($M31="","",SMALL(IF(OverallResults!$G$3:$G$500=$M31,OverallResults!$B$3:$B$500,""),COUNTIF($M$2:$M31,$M31)))</f>
        <v/>
      </c>
      <c r="O31" s="133" t="str">
        <f t="array" ref="O31">IFERROR(INDEX(OverallResults!$D$3:$D$500, MATCH(0, IF($M31&amp;$N31=OverallResults!$G$3:$G$500&amp;OverallResults!$B$3:$B$500,0,1)+COUNTIF(O$2:O28, OverallResults!$D$3:$D$500&amp;""), 0))&amp;"", "")</f>
        <v/>
      </c>
      <c r="P31" s="133" t="str">
        <f t="array" ref="P31">IF($M31="","",SMALL(IF(OverallResults!$G$3:$G$500=$M31,OverallResults!$C$3:$C$500,""),COUNTIF($M$2:$M31,$M31)))</f>
        <v/>
      </c>
      <c r="Q31" s="134" t="str">
        <f>IF($O31="","",TEXT(VLOOKUP($O31,SortedDownload!$B$3:$Z$499,13,FALSE),"[hh]:mm:ss.0"))</f>
        <v/>
      </c>
    </row>
    <row r="32" spans="1:17" ht="38.25" customHeight="1">
      <c r="A32" s="196" t="str">
        <f>IF(PrintedResults!G16="","","("&amp;(PrintedResults!H16)&amp; ")"&amp;" " &amp;  (PrintedResults!G16) &amp;"| "&amp;CHAR(10)&amp; PrintedResults!I16&amp;"| "&amp;CHAR(10)&amp; PrintedResults!K16 )</f>
        <v>(3) Elite Men| 
Michard Meets| 
00:17:31.052</v>
      </c>
      <c r="C32" s="198" t="str">
        <f>IF(PrintedResults!O16="",""," (" &amp;PrintedResults!N16&amp;") "&amp;PrintedResults!O16&amp;" | " &amp;CHAR(10) &amp;"Time: " &amp;  PrintedResults!Q16 )</f>
        <v/>
      </c>
      <c r="G32" s="132" t="str">
        <f>IFERROR(IF((COUNTIF(G$2:G31,G31)&lt;3)*(COUNTIF(OverallResults!$H$3:$H$500,G31)&gt;COUNTIF(G$2:G31,G31)),G31,INDEX(OverallResults!$H$3:$H$500,MATCH(0,INDEX(COUNTIF(G$2:G31,OverallResults!$H$3:$H$500&amp;""),0,0),0))&amp;""),"")</f>
        <v>Sub Junior Boys</v>
      </c>
      <c r="H32" s="138">
        <f t="array" ref="H32">IF($G32="","",SMALL(IF(OverallResults!$H$3:$H$500=$G32,OverallResults!$C$3:$C$500,""),COUNTIF($G$2:$G32,$G32)))</f>
        <v>3</v>
      </c>
      <c r="I32" s="133" t="str">
        <f t="array" ref="I32">IFERROR(INDEX(OverallResults!$D$3:$D$500, MATCH(0, IF($G32&amp;$H32=OverallResults!$H$3:$H$500&amp;OverallResults!$C$3:$C$500,0,1)+COUNTIF(I$2:I29, OverallResults!$D$3:$D$500&amp;""), 0))&amp;"", "")</f>
        <v>Jack Goosen</v>
      </c>
      <c r="J32" s="133">
        <f t="array" ref="J32">IF($G32="","",SMALL(IF(OverallResults!$H$3:$H$500=$G32,OverallResults!$B$3:$B$500,""),COUNTIF($G$2:$G32,$G32)))</f>
        <v>141</v>
      </c>
      <c r="K32" s="134" t="str">
        <f>IF($I32="","",TEXT(VLOOKUP($I32,SortedDownload!$B$3:$Z$499,13,FALSE),"[hh]:mm:ss.000"))</f>
        <v>00:12:26.764</v>
      </c>
      <c r="M32" s="132" t="str">
        <f>IFERROR(IF((COUNTIF(M$2:M29,M29)&lt;3)*(COUNTIF(OverallResults!$G$3:$G$500,M29)&gt;COUNTIF(M$2:M29,M29)),M29,INDEX(OverallResults!$G$3:$G$500,MATCH(0,INDEX(COUNTIF(M$2:M29,OverallResults!$G$3:$G$500&amp;""),0,0),0))&amp;""),"")</f>
        <v/>
      </c>
      <c r="N32" s="133" t="str">
        <f t="array" ref="N32">IF($M32="","",SMALL(IF(OverallResults!$G$3:$G$500=$M32,OverallResults!$B$3:$B$500,""),COUNTIF($M$2:$M32,$M32)))</f>
        <v/>
      </c>
      <c r="O32" s="133" t="str">
        <f t="array" ref="O32">IFERROR(INDEX(OverallResults!$D$3:$D$500, MATCH(0, IF($M32&amp;$N32=OverallResults!$G$3:$G$500&amp;OverallResults!$B$3:$B$500,0,1)+COUNTIF(O$2:O29, OverallResults!$D$3:$D$500&amp;""), 0))&amp;"", "")</f>
        <v/>
      </c>
      <c r="P32" s="133" t="str">
        <f t="array" ref="P32">IF($M32="","",SMALL(IF(OverallResults!$G$3:$G$500=$M32,OverallResults!$C$3:$C$500,""),COUNTIF($M$2:$M32,$M32)))</f>
        <v/>
      </c>
      <c r="Q32" s="134" t="str">
        <f>IF($O32="","",TEXT(VLOOKUP($O32,SortedDownload!$B$3:$Z$499,13,FALSE),"[hh]:mm:ss.0"))</f>
        <v/>
      </c>
    </row>
    <row r="33" spans="1:18" ht="38.25" customHeight="1">
      <c r="A33" s="196" t="str">
        <f>IF(PrintedResults!G17="","","("&amp;(PrintedResults!H17)&amp; ")"&amp;" " &amp;  (PrintedResults!G17) &amp;"| "&amp;CHAR(10)&amp; PrintedResults!I17&amp;"| "&amp;CHAR(10)&amp; PrintedResults!K17 )</f>
        <v>(1) Youth Men| 
Pieter Venter| 
00:17:48.827</v>
      </c>
      <c r="C33" s="198" t="str">
        <f>IF(PrintedResults!O17="",""," (" &amp;PrintedResults!N17&amp;") "&amp;PrintedResults!O17&amp;" | " &amp;CHAR(10) &amp;"Time: " &amp;  PrintedResults!Q17 )</f>
        <v/>
      </c>
      <c r="D33" s="75"/>
      <c r="E33" s="205"/>
      <c r="G33" s="132" t="str">
        <f>IFERROR(IF((COUNTIF(G$2:G32,G32)&lt;3)*(COUNTIF(OverallResults!$H$3:$H$500,G32)&gt;COUNTIF(G$2:G32,G32)),G32,INDEX(OverallResults!$H$3:$H$500,MATCH(0,INDEX(COUNTIF(G$2:G32,OverallResults!$H$3:$H$500&amp;""),0,0),0))&amp;""),"")</f>
        <v>Sprog Boys</v>
      </c>
      <c r="H33" s="138">
        <f t="array" ref="H33">IF($G33="","",SMALL(IF(OverallResults!$H$3:$H$500=$G33,OverallResults!$C$3:$C$500,""),COUNTIF($G$2:$G33,$G33)))</f>
        <v>1</v>
      </c>
      <c r="I33" s="133" t="str">
        <f t="array" ref="I33">IFERROR(INDEX(OverallResults!$D$3:$D$500, MATCH(0, IF($G33&amp;$H33=OverallResults!$H$3:$H$500&amp;OverallResults!$C$3:$C$500,0,1)+COUNTIF(I$2:I30, OverallResults!$D$3:$D$500&amp;""), 0))&amp;"", "")</f>
        <v>Sven Etsebeth</v>
      </c>
      <c r="J33" s="133">
        <f t="array" ref="J33">IF($G33="","",SMALL(IF(OverallResults!$H$3:$H$500=$G33,OverallResults!$B$3:$B$500,""),COUNTIF($G$2:$G33,$G33)))</f>
        <v>133</v>
      </c>
      <c r="K33" s="134" t="str">
        <f>IF($I33="","",TEXT(VLOOKUP($I33,SortedDownload!$B$3:$Z$499,13,FALSE),"[hh]:mm:ss.000"))</f>
        <v>00:11:25.743</v>
      </c>
      <c r="M33" s="132" t="str">
        <f>IFERROR(IF((COUNTIF(M$2:M30,M30)&lt;3)*(COUNTIF(OverallResults!$G$3:$G$500,M30)&gt;COUNTIF(M$2:M30,M30)),M30,INDEX(OverallResults!$G$3:$G$500,MATCH(0,INDEX(COUNTIF(M$2:M30,OverallResults!$G$3:$G$500&amp;""),0,0),0))&amp;""),"")</f>
        <v/>
      </c>
      <c r="N33" s="133" t="str">
        <f t="array" ref="N33">IF($M33="","",SMALL(IF(OverallResults!$G$3:$G$500=$M33,OverallResults!$B$3:$B$500,""),COUNTIF($M$2:$M33,$M33)))</f>
        <v/>
      </c>
      <c r="O33" s="133" t="str">
        <f t="array" ref="O33">IFERROR(INDEX(OverallResults!$D$3:$D$500, MATCH(0, IF($M33&amp;$N33=OverallResults!$G$3:$G$500&amp;OverallResults!$B$3:$B$500,0,1)+COUNTIF(O$2:O30, OverallResults!$D$3:$D$500&amp;""), 0))&amp;"", "")</f>
        <v/>
      </c>
      <c r="P33" s="133" t="str">
        <f t="array" ref="P33">IF($M33="","",SMALL(IF(OverallResults!$G$3:$G$500=$M33,OverallResults!$C$3:$C$500,""),COUNTIF($M$2:$M33,$M33)))</f>
        <v/>
      </c>
      <c r="Q33" s="134" t="str">
        <f>IF($O33="","",TEXT(VLOOKUP($O33,SortedDownload!$B$3:$Z$499,13,FALSE),"[hh]:mm:ss.0"))</f>
        <v/>
      </c>
    </row>
    <row r="34" spans="1:18" ht="38.25" customHeight="1">
      <c r="A34" s="196" t="str">
        <f>IF(PrintedResults!G18="","","("&amp;(PrintedResults!H18)&amp; ")"&amp;" " &amp;  (PrintedResults!G18) &amp;"| "&amp;CHAR(10)&amp; PrintedResults!I18&amp;"| "&amp;CHAR(10)&amp; PrintedResults!K18 )</f>
        <v>(2) Youth Men| 
Fourie Van Wyk| 
00:18:20.939</v>
      </c>
      <c r="C34" s="198" t="str">
        <f>IF(PrintedResults!O18="",""," (" &amp;PrintedResults!N18&amp;") "&amp;PrintedResults!O18&amp;" | " &amp;CHAR(10) &amp;"Time: " &amp;  PrintedResults!Q18 )</f>
        <v/>
      </c>
      <c r="D34" s="75"/>
      <c r="E34" s="198"/>
      <c r="G34" s="132" t="str">
        <f>IFERROR(IF((COUNTIF(G$2:G33,G33)&lt;3)*(COUNTIF(OverallResults!$H$3:$H$500,G33)&gt;COUNTIF(G$2:G33,G33)),G33,INDEX(OverallResults!$H$3:$H$500,MATCH(0,INDEX(COUNTIF(G$2:G33,OverallResults!$H$3:$H$500&amp;""),0,0),0))&amp;""),"")</f>
        <v>Sprog Boys</v>
      </c>
      <c r="H34" s="138">
        <f t="array" ref="H34">IF($G34="","",SMALL(IF(OverallResults!$H$3:$H$500=$G34,OverallResults!$C$3:$C$500,""),COUNTIF($G$2:$G34,$G34)))</f>
        <v>2</v>
      </c>
      <c r="I34" s="133" t="str">
        <f t="array" ref="I34">IFERROR(INDEX(OverallResults!$D$3:$D$500, MATCH(0, IF($G34&amp;$H34=OverallResults!$H$3:$H$500&amp;OverallResults!$C$3:$C$500,0,1)+COUNTIF(I$2:I31, OverallResults!$D$3:$D$500&amp;""), 0))&amp;"", "")</f>
        <v>Lian De Jager</v>
      </c>
      <c r="J34" s="133">
        <f t="array" ref="J34">IF($G34="","",SMALL(IF(OverallResults!$H$3:$H$500=$G34,OverallResults!$B$3:$B$500,""),COUNTIF($G$2:$G34,$G34)))</f>
        <v>144</v>
      </c>
      <c r="K34" s="134" t="str">
        <f>IF($I34="","",TEXT(VLOOKUP($I34,SortedDownload!$B$3:$Z$499,13,FALSE),"[hh]:mm:ss.000"))</f>
        <v>00:12:33.493</v>
      </c>
      <c r="M34" s="132" t="str">
        <f>IFERROR(IF((COUNTIF(M$2:M31,M31)&lt;3)*(COUNTIF(OverallResults!$G$3:$G$500,M31)&gt;COUNTIF(M$2:M31,M31)),M31,INDEX(OverallResults!$G$3:$G$500,MATCH(0,INDEX(COUNTIF(M$2:M31,OverallResults!$G$3:$G$500&amp;""),0,0),0))&amp;""),"")</f>
        <v/>
      </c>
      <c r="N34" s="133" t="str">
        <f t="array" ref="N34">IF($M34="","",SMALL(IF(OverallResults!$G$3:$G$500=$M34,OverallResults!$B$3:$B$500,""),COUNTIF($M$2:$M34,$M34)))</f>
        <v/>
      </c>
      <c r="O34" s="133" t="str">
        <f t="array" ref="O34">IFERROR(INDEX(OverallResults!$D$3:$D$500, MATCH(0, IF($M34&amp;$N34=OverallResults!$G$3:$G$500&amp;OverallResults!$B$3:$B$500,0,1)+COUNTIF(O$2:O31, OverallResults!$D$3:$D$500&amp;""), 0))&amp;"", "")</f>
        <v/>
      </c>
      <c r="P34" s="133" t="str">
        <f t="array" ref="P34">IF($M34="","",SMALL(IF(OverallResults!$G$3:$G$500=$M34,OverallResults!$C$3:$C$500,""),COUNTIF($M$2:$M34,$M34)))</f>
        <v/>
      </c>
      <c r="Q34" s="134" t="str">
        <f>IF($O34="","",TEXT(VLOOKUP($O34,SortedDownload!$B$3:$Z$499,13,FALSE),"[hh]:mm:ss.0"))</f>
        <v/>
      </c>
    </row>
    <row r="35" spans="1:18" ht="38.25" customHeight="1">
      <c r="A35" s="196" t="str">
        <f>IF(PrintedResults!G19="","","("&amp;(PrintedResults!H19)&amp; ")"&amp;" " &amp;  (PrintedResults!G19) &amp;"| "&amp;CHAR(10)&amp; PrintedResults!I19&amp;"| "&amp;CHAR(10)&amp; PrintedResults!K19 )</f>
        <v>(3) Youth Men| 
Samuel Cleary| 
00:18:25.604</v>
      </c>
      <c r="C35" s="198" t="str">
        <f>IF(PrintedResults!O19="",""," (" &amp;PrintedResults!N19&amp;") "&amp;PrintedResults!O19&amp;" | " &amp;CHAR(10) &amp;"Time: " &amp;  PrintedResults!Q19 )</f>
        <v/>
      </c>
      <c r="D35" s="75"/>
      <c r="E35" s="184"/>
      <c r="G35" s="132" t="str">
        <f>IFERROR(IF((COUNTIF(G$2:G34,G34)&lt;3)*(COUNTIF(OverallResults!$H$3:$H$500,G34)&gt;COUNTIF(G$2:G34,G34)),G34,INDEX(OverallResults!$H$3:$H$500,MATCH(0,INDEX(COUNTIF(G$2:G34,OverallResults!$H$3:$H$500&amp;""),0,0),0))&amp;""),"")</f>
        <v>Sprog Boys</v>
      </c>
      <c r="H35" s="138">
        <f t="array" ref="H35">IF($G35="","",SMALL(IF(OverallResults!$H$3:$H$500=$G35,OverallResults!$C$3:$C$500,""),COUNTIF($G$2:$G35,$G35)))</f>
        <v>3</v>
      </c>
      <c r="I35" s="133" t="str">
        <f t="array" ref="I35">IFERROR(INDEX(OverallResults!$D$3:$D$500, MATCH(0, IF($G35&amp;$H35=OverallResults!$H$3:$H$500&amp;OverallResults!$C$3:$C$500,0,1)+COUNTIF(I$2:I32, OverallResults!$D$3:$D$500&amp;""), 0))&amp;"", "")</f>
        <v>Luc Riley Rossouw</v>
      </c>
      <c r="J35" s="133">
        <f t="array" ref="J35">IF($G35="","",SMALL(IF(OverallResults!$H$3:$H$500=$G35,OverallResults!$B$3:$B$500,""),COUNTIF($G$2:$G35,$G35)))</f>
        <v>170</v>
      </c>
      <c r="K35" s="134" t="str">
        <f>IF($I35="","",TEXT(VLOOKUP($I35,SortedDownload!$B$3:$Z$499,13,FALSE),"[hh]:mm:ss.000"))</f>
        <v>00:13:28.711</v>
      </c>
      <c r="M35" s="132" t="str">
        <f>IFERROR(IF((COUNTIF(M$2:M32,M32)&lt;3)*(COUNTIF(OverallResults!$G$3:$G$500,M32)&gt;COUNTIF(M$2:M32,M32)),M32,INDEX(OverallResults!$G$3:$G$500,MATCH(0,INDEX(COUNTIF(M$2:M32,OverallResults!$G$3:$G$500&amp;""),0,0),0))&amp;""),"")</f>
        <v/>
      </c>
      <c r="N35" s="133" t="str">
        <f t="array" ref="N35">IF($M35="","",SMALL(IF(OverallResults!$G$3:$G$500=$M35,OverallResults!$B$3:$B$500,""),COUNTIF($M$2:$M35,$M35)))</f>
        <v/>
      </c>
      <c r="O35" s="133" t="str">
        <f t="array" ref="O35">IFERROR(INDEX(OverallResults!$D$3:$D$500, MATCH(0, IF($M35&amp;$N35=OverallResults!$G$3:$G$500&amp;OverallResults!$B$3:$B$500,0,1)+COUNTIF(O$2:O32, OverallResults!$D$3:$D$500&amp;""), 0))&amp;"", "")</f>
        <v/>
      </c>
      <c r="P35" s="133" t="str">
        <f t="array" ref="P35">IF($M35="","",SMALL(IF(OverallResults!$G$3:$G$500=$M35,OverallResults!$C$3:$C$500,""),COUNTIF($M$2:$M35,$M35)))</f>
        <v/>
      </c>
      <c r="Q35" s="134" t="str">
        <f>IF($O35="","",TEXT(VLOOKUP($O35,SortedDownload!$B$3:$Z$499,13,FALSE),"[hh]:mm:ss.0"))</f>
        <v/>
      </c>
    </row>
    <row r="36" spans="1:18" ht="38.25" customHeight="1">
      <c r="A36" s="196" t="str">
        <f>IF(PrintedResults!G20="","","("&amp;(PrintedResults!H20)&amp; ")"&amp;" " &amp;  (PrintedResults!G20) &amp;"| "&amp;CHAR(10)&amp; PrintedResults!I20&amp;"| "&amp;CHAR(10)&amp; PrintedResults!K20 )</f>
        <v>(1) Elite Women| 
Frankie Du Toit| 
00:19:42.485</v>
      </c>
      <c r="C36" s="198" t="str">
        <f>IF(PrintedResults!O20="",""," (" &amp;PrintedResults!N20&amp;") "&amp;PrintedResults!O20&amp;" | " &amp;CHAR(10) &amp;"Time: " &amp;  PrintedResults!Q20 )</f>
        <v/>
      </c>
      <c r="D36" s="75"/>
      <c r="E36" s="7"/>
      <c r="G36" s="132" t="str">
        <f>IFERROR(IF((COUNTIF(G$2:G35,G35)&lt;3)*(COUNTIF(OverallResults!$H$3:$H$500,G35)&gt;COUNTIF(G$2:G35,G35)),G35,INDEX(OverallResults!$H$3:$H$500,MATCH(0,INDEX(COUNTIF(G$2:G35,OverallResults!$H$3:$H$500&amp;""),0,0),0))&amp;""),"")</f>
        <v>E-Bike Lite M</v>
      </c>
      <c r="H36" s="138">
        <f t="array" ref="H36">IF($G36="","",SMALL(IF(OverallResults!$H$3:$H$500=$G36,OverallResults!$C$3:$C$500,""),COUNTIF($G$2:$G36,$G36)))</f>
        <v>1</v>
      </c>
      <c r="I36" s="133" t="str">
        <f t="array" ref="I36">IFERROR(INDEX(OverallResults!$D$3:$D$500, MATCH(0, IF($G36&amp;$H36=OverallResults!$H$3:$H$500&amp;OverallResults!$C$3:$C$500,0,1)+COUNTIF(I$2:I33, OverallResults!$D$3:$D$500&amp;""), 0))&amp;"", "")</f>
        <v>Phil Hulse</v>
      </c>
      <c r="J36" s="133">
        <f t="array" ref="J36">IF($G36="","",SMALL(IF(OverallResults!$H$3:$H$500=$G36,OverallResults!$B$3:$B$500,""),COUNTIF($G$2:$G36,$G36)))</f>
        <v>139</v>
      </c>
      <c r="K36" s="134" t="str">
        <f>IF($I36="","",TEXT(VLOOKUP($I36,SortedDownload!$B$3:$Z$499,13,FALSE),"[hh]:mm:ss.000"))</f>
        <v>00:11:59.419</v>
      </c>
      <c r="M36" s="132" t="str">
        <f>IFERROR(IF((COUNTIF(M$2:M33,M33)&lt;3)*(COUNTIF(OverallResults!$G$3:$G$500,M33)&gt;COUNTIF(M$2:M33,M33)),M33,INDEX(OverallResults!$G$3:$G$500,MATCH(0,INDEX(COUNTIF(M$2:M33,OverallResults!$G$3:$G$500&amp;""),0,0),0))&amp;""),"")</f>
        <v/>
      </c>
      <c r="N36" s="133" t="str">
        <f t="array" ref="N36">IF($M36="","",SMALL(IF(OverallResults!$G$3:$G$500=$M36,OverallResults!$B$3:$B$500,""),COUNTIF($M$2:$M36,$M36)))</f>
        <v/>
      </c>
      <c r="O36" s="133" t="str">
        <f t="array" ref="O36">IFERROR(INDEX(OverallResults!$D$3:$D$500, MATCH(0, IF($M36&amp;$N36=OverallResults!$G$3:$G$500&amp;OverallResults!$B$3:$B$500,0,1)+COUNTIF(O$2:O33, OverallResults!$D$3:$D$500&amp;""), 0))&amp;"", "")</f>
        <v/>
      </c>
      <c r="P36" s="133" t="str">
        <f t="array" ref="P36">IF($M36="","",SMALL(IF(OverallResults!$G$3:$G$500=$M36,OverallResults!$C$3:$C$500,""),COUNTIF($M$2:$M36,$M36)))</f>
        <v/>
      </c>
      <c r="Q36" s="134" t="str">
        <f>IF($O36="","",TEXT(VLOOKUP($O36,SortedDownload!$B$3:$Z$499,13,FALSE),"[hh]:mm:ss.0"))</f>
        <v/>
      </c>
    </row>
    <row r="37" spans="1:18" ht="38.25" customHeight="1">
      <c r="A37" s="196" t="str">
        <f>IF(PrintedResults!G21="","","("&amp;(PrintedResults!H21)&amp; ")"&amp;" " &amp;  (PrintedResults!G21) &amp;"| "&amp;CHAR(10)&amp; PrintedResults!I21&amp;"| "&amp;CHAR(10)&amp; PrintedResults!K21 )</f>
        <v>(2) Elite Women| 
Jessi Nixon| 
00:21:42.582</v>
      </c>
      <c r="C37" s="198" t="str">
        <f>IF(PrintedResults!O21="",""," (" &amp;PrintedResults!N21&amp;") "&amp;PrintedResults!O21&amp;" | " &amp;CHAR(10) &amp;"Time: " &amp;  PrintedResults!Q21 )</f>
        <v/>
      </c>
      <c r="D37" s="75"/>
      <c r="E37" s="20"/>
      <c r="G37" s="132" t="str">
        <f>IFERROR(IF((COUNTIF(G$2:G36,G36)&lt;3)*(COUNTIF(OverallResults!$H$3:$H$500,G36)&gt;COUNTIF(G$2:G36,G36)),G36,INDEX(OverallResults!$H$3:$H$500,MATCH(0,INDEX(COUNTIF(G$2:G36,OverallResults!$H$3:$H$500&amp;""),0,0),0))&amp;""),"")</f>
        <v>E-Bike Lite M</v>
      </c>
      <c r="H37" s="138">
        <f t="array" ref="H37">IF($G37="","",SMALL(IF(OverallResults!$H$3:$H$500=$G37,OverallResults!$C$3:$C$500,""),COUNTIF($G$2:$G37,$G37)))</f>
        <v>2</v>
      </c>
      <c r="I37" s="133" t="str">
        <f t="array" ref="I37">IFERROR(INDEX(OverallResults!$D$3:$D$500, MATCH(0, IF($G37&amp;$H37=OverallResults!$H$3:$H$500&amp;OverallResults!$C$3:$C$500,0,1)+COUNTIF(I$2:I34, OverallResults!$D$3:$D$500&amp;""), 0))&amp;"", "")</f>
        <v>Paul Combrinck</v>
      </c>
      <c r="J37" s="133">
        <f t="array" ref="J37">IF($G37="","",SMALL(IF(OverallResults!$H$3:$H$500=$G37,OverallResults!$B$3:$B$500,""),COUNTIF($G$2:$G37,$G37)))</f>
        <v>140</v>
      </c>
      <c r="K37" s="134" t="str">
        <f>IF($I37="","",TEXT(VLOOKUP($I37,SortedDownload!$B$3:$Z$499,13,FALSE),"[hh]:mm:ss.000"))</f>
        <v>00:12:17.200</v>
      </c>
      <c r="M37" s="132" t="str">
        <f>IFERROR(IF((COUNTIF(M$2:M34,M34)&lt;3)*(COUNTIF(OverallResults!$G$3:$G$500,M34)&gt;COUNTIF(M$2:M34,M34)),M34,INDEX(OverallResults!$G$3:$G$500,MATCH(0,INDEX(COUNTIF(M$2:M34,OverallResults!$G$3:$G$500&amp;""),0,0),0))&amp;""),"")</f>
        <v/>
      </c>
      <c r="N37" s="133" t="str">
        <f t="array" ref="N37">IF($M37="","",SMALL(IF(OverallResults!$G$3:$G$500=$M37,OverallResults!$B$3:$B$500,""),COUNTIF($M$2:$M37,$M37)))</f>
        <v/>
      </c>
      <c r="O37" s="133" t="str">
        <f t="array" ref="O37">IFERROR(INDEX(OverallResults!$D$3:$D$500, MATCH(0, IF($M37&amp;$N37=OverallResults!$G$3:$G$500&amp;OverallResults!$B$3:$B$500,0,1)+COUNTIF(O$2:O34, OverallResults!$D$3:$D$500&amp;""), 0))&amp;"", "")</f>
        <v/>
      </c>
      <c r="P37" s="133" t="str">
        <f t="array" ref="P37">IF($M37="","",SMALL(IF(OverallResults!$G$3:$G$500=$M37,OverallResults!$C$3:$C$500,""),COUNTIF($M$2:$M37,$M37)))</f>
        <v/>
      </c>
      <c r="Q37" s="134" t="str">
        <f>IF($O37="","",TEXT(VLOOKUP($O37,SortedDownload!$B$3:$Z$499,13,FALSE),"[hh]:mm:ss.0"))</f>
        <v/>
      </c>
    </row>
    <row r="38" spans="1:18" ht="38.25" customHeight="1">
      <c r="A38" s="196" t="str">
        <f>IF(PrintedResults!G22="","","("&amp;(PrintedResults!H22)&amp; ")"&amp;" " &amp;  (PrintedResults!G22) &amp;"| "&amp;CHAR(10)&amp; PrintedResults!I22&amp;"| "&amp;CHAR(10)&amp; PrintedResults!K22 )</f>
        <v>(3) Elite Women| 
Robyn Emslie| 
00:23:35.604</v>
      </c>
      <c r="C38" s="198" t="str">
        <f>IF(PrintedResults!O22="",""," (" &amp;PrintedResults!N22&amp;") "&amp;PrintedResults!O22&amp;" | " &amp;CHAR(10) &amp;"Time: " &amp;  PrintedResults!Q22 )</f>
        <v/>
      </c>
      <c r="D38" s="75"/>
      <c r="E38" s="20"/>
      <c r="G38" s="132" t="str">
        <f>IFERROR(IF((COUNTIF(G$2:G37,G37)&lt;3)*(COUNTIF(OverallResults!$H$3:$H$500,G37)&gt;COUNTIF(G$2:G37,G37)),G37,INDEX(OverallResults!$H$3:$H$500,MATCH(0,INDEX(COUNTIF(G$2:G37,OverallResults!$H$3:$H$500&amp;""),0,0),0))&amp;""),"")</f>
        <v>E-Bike Lite M</v>
      </c>
      <c r="H38" s="138">
        <f t="array" ref="H38">IF($G38="","",SMALL(IF(OverallResults!$H$3:$H$500=$G38,OverallResults!$C$3:$C$500,""),COUNTIF($G$2:$G38,$G38)))</f>
        <v>3</v>
      </c>
      <c r="I38" s="133" t="str">
        <f t="array" ref="I38">IFERROR(INDEX(OverallResults!$D$3:$D$500, MATCH(0, IF($G38&amp;$H38=OverallResults!$H$3:$H$500&amp;OverallResults!$C$3:$C$500,0,1)+COUNTIF(I$2:I35, OverallResults!$D$3:$D$500&amp;""), 0))&amp;"", "")</f>
        <v>Christiaan Steffens</v>
      </c>
      <c r="J38" s="133">
        <f t="array" ref="J38">IF($G38="","",SMALL(IF(OverallResults!$H$3:$H$500=$G38,OverallResults!$B$3:$B$500,""),COUNTIF($G$2:$G38,$G38)))</f>
        <v>165</v>
      </c>
      <c r="K38" s="134" t="str">
        <f>IF($I38="","",TEXT(VLOOKUP($I38,SortedDownload!$B$3:$Z$499,13,FALSE),"[hh]:mm:ss.000"))</f>
        <v>00:13:18.757</v>
      </c>
      <c r="M38" s="132" t="str">
        <f>IFERROR(IF((COUNTIF(M$2:M35,M35)&lt;3)*(COUNTIF(OverallResults!$G$3:$G$500,M35)&gt;COUNTIF(M$2:M35,M35)),M35,INDEX(OverallResults!$G$3:$G$500,MATCH(0,INDEX(COUNTIF(M$2:M35,OverallResults!$G$3:$G$500&amp;""),0,0),0))&amp;""),"")</f>
        <v/>
      </c>
      <c r="N38" s="133" t="str">
        <f t="array" ref="N38">IF($M38="","",SMALL(IF(OverallResults!$G$3:$G$500=$M38,OverallResults!$B$3:$B$500,""),COUNTIF($M$2:$M38,$M38)))</f>
        <v/>
      </c>
      <c r="O38" s="133" t="str">
        <f t="array" ref="O38">IFERROR(INDEX(OverallResults!$D$3:$D$500, MATCH(0, IF($M38&amp;$N38=OverallResults!$G$3:$G$500&amp;OverallResults!$B$3:$B$500,0,1)+COUNTIF(O$2:O35, OverallResults!$D$3:$D$500&amp;""), 0))&amp;"", "")</f>
        <v/>
      </c>
      <c r="P38" s="133" t="str">
        <f t="array" ref="P38">IF($M38="","",SMALL(IF(OverallResults!$G$3:$G$500=$M38,OverallResults!$C$3:$C$500,""),COUNTIF($M$2:$M38,$M38)))</f>
        <v/>
      </c>
      <c r="Q38" s="134" t="str">
        <f>IF($O38="","",TEXT(VLOOKUP($O38,SortedDownload!$B$3:$Z$499,13,FALSE),"[hh]:mm:ss.0"))</f>
        <v/>
      </c>
    </row>
    <row r="39" spans="1:18" ht="38.25" customHeight="1">
      <c r="A39" s="196" t="str">
        <f>IF(PrintedResults!G23="","","("&amp;(PrintedResults!H23)&amp; ")"&amp;" " &amp;  (PrintedResults!G23) &amp;"| "&amp;CHAR(10)&amp; PrintedResults!I23&amp;"| "&amp;CHAR(10)&amp; PrintedResults!K23 )</f>
        <v>(1) E-Bike F| 
Gina Nixon| 
00:22:14.711</v>
      </c>
      <c r="C39" s="198" t="str">
        <f>IF(PrintedResults!O23="",""," (" &amp;PrintedResults!N23&amp;") "&amp;PrintedResults!O23&amp;" | " &amp;CHAR(10) &amp;"Time: " &amp;  PrintedResults!Q23 )</f>
        <v/>
      </c>
      <c r="D39" s="75"/>
      <c r="E39" s="20"/>
      <c r="G39" s="132" t="str">
        <f>IFERROR(IF((COUNTIF(G$2:G38,G38)&lt;3)*(COUNTIF(OverallResults!$H$3:$H$500,G38)&gt;COUNTIF(G$2:G38,G38)),G38,INDEX(OverallResults!$H$3:$H$500,MATCH(0,INDEX(COUNTIF(G$2:G38,OverallResults!$H$3:$H$500&amp;""),0,0),0))&amp;""),"")</f>
        <v>Lite F</v>
      </c>
      <c r="H39" s="138">
        <f t="array" ref="H39">IF($G39="","",SMALL(IF(OverallResults!$H$3:$H$500=$G39,OverallResults!$C$3:$C$500,""),COUNTIF($G$2:$G39,$G39)))</f>
        <v>1</v>
      </c>
      <c r="I39" s="133" t="str">
        <f t="array" ref="I39">IFERROR(INDEX(OverallResults!$D$3:$D$500, MATCH(0, IF($G39&amp;$H39=OverallResults!$H$3:$H$500&amp;OverallResults!$C$3:$C$500,0,1)+COUNTIF(I$2:I36, OverallResults!$D$3:$D$500&amp;""), 0))&amp;"", "")</f>
        <v>Kylie Hanekom</v>
      </c>
      <c r="J39" s="133">
        <f t="array" ref="J39">IF($G39="","",SMALL(IF(OverallResults!$H$3:$H$500=$G39,OverallResults!$B$3:$B$500,""),COUNTIF($G$2:$G39,$G39)))</f>
        <v>157</v>
      </c>
      <c r="K39" s="134" t="str">
        <f>IF($I39="","",TEXT(VLOOKUP($I39,SortedDownload!$B$3:$Z$499,13,FALSE),"[hh]:mm:ss.000"))</f>
        <v>00:13:08.212</v>
      </c>
      <c r="M39" s="132" t="str">
        <f>IFERROR(IF((COUNTIF(M$2:M36,M36)&lt;3)*(COUNTIF(OverallResults!$G$3:$G$500,M36)&gt;COUNTIF(M$2:M36,M36)),M36,INDEX(OverallResults!$G$3:$G$500,MATCH(0,INDEX(COUNTIF(M$2:M36,OverallResults!$G$3:$G$500&amp;""),0,0),0))&amp;""),"")</f>
        <v/>
      </c>
      <c r="N39" s="133" t="str">
        <f t="array" ref="N39">IF($M39="","",SMALL(IF(OverallResults!$G$3:$G$500=$M39,OverallResults!$B$3:$B$500,""),COUNTIF($M$2:$M39,$M39)))</f>
        <v/>
      </c>
      <c r="O39" s="133" t="str">
        <f t="array" ref="O39">IFERROR(INDEX(OverallResults!$D$3:$D$500, MATCH(0, IF($M39&amp;$N39=OverallResults!$G$3:$G$500&amp;OverallResults!$B$3:$B$500,0,1)+COUNTIF(O$2:O36, OverallResults!$D$3:$D$500&amp;""), 0))&amp;"", "")</f>
        <v/>
      </c>
      <c r="P39" s="133" t="str">
        <f t="array" ref="P39">IF($M39="","",SMALL(IF(OverallResults!$G$3:$G$500=$M39,OverallResults!$C$3:$C$500,""),COUNTIF($M$2:$M39,$M39)))</f>
        <v/>
      </c>
      <c r="Q39" s="134" t="str">
        <f>IF($O39="","",TEXT(VLOOKUP($O39,SortedDownload!$B$3:$Z$499,13,FALSE),"[hh]:mm:ss.0"))</f>
        <v/>
      </c>
    </row>
    <row r="40" spans="1:18" ht="38.25" customHeight="1">
      <c r="A40" s="196" t="str">
        <f>IF(PrintedResults!G24="","","("&amp;(PrintedResults!H24)&amp; ")"&amp;" " &amp;  (PrintedResults!G24) &amp;"| "&amp;CHAR(10)&amp; PrintedResults!I24&amp;"| "&amp;CHAR(10)&amp; PrintedResults!K24 )</f>
        <v>(1) Master Women| 
Annemi Pfister| 
00:23:20.436</v>
      </c>
      <c r="C40" s="198" t="str">
        <f>IF(PrintedResults!O24="",""," (" &amp;PrintedResults!N24&amp;") "&amp;PrintedResults!O24&amp;" | " &amp;CHAR(10) &amp;"Time: " &amp;  PrintedResults!Q24 )</f>
        <v/>
      </c>
      <c r="D40" s="75"/>
      <c r="E40" s="20"/>
      <c r="G40" s="132" t="str">
        <f>IFERROR(IF((COUNTIF(G$2:G39,G39)&lt;3)*(COUNTIF(OverallResults!$H$3:$H$500,G39)&gt;COUNTIF(G$2:G39,G39)),G39,INDEX(OverallResults!$H$3:$H$500,MATCH(0,INDEX(COUNTIF(G$2:G39,OverallResults!$H$3:$H$500&amp;""),0,0),0))&amp;""),"")</f>
        <v>Lite F</v>
      </c>
      <c r="H40" s="138">
        <f t="array" ref="H40">IF($G40="","",SMALL(IF(OverallResults!$H$3:$H$500=$G40,OverallResults!$C$3:$C$500,""),COUNTIF($G$2:$G40,$G40)))</f>
        <v>2</v>
      </c>
      <c r="I40" s="133" t="str">
        <f t="array" ref="I40">IFERROR(INDEX(OverallResults!$D$3:$D$500, MATCH(0, IF($G40&amp;$H40=OverallResults!$H$3:$H$500&amp;OverallResults!$C$3:$C$500,0,1)+COUNTIF(I$2:I37, OverallResults!$D$3:$D$500&amp;""), 0))&amp;"", "")</f>
        <v>Michelle George</v>
      </c>
      <c r="J40" s="133">
        <f t="array" ref="J40">IF($G40="","",SMALL(IF(OverallResults!$H$3:$H$500=$G40,OverallResults!$B$3:$B$500,""),COUNTIF($G$2:$G40,$G40)))</f>
        <v>163</v>
      </c>
      <c r="K40" s="134" t="str">
        <f>IF($I40="","",TEXT(VLOOKUP($I40,SortedDownload!$B$3:$Z$499,13,FALSE),"[hh]:mm:ss.000"))</f>
        <v>00:13:16.804</v>
      </c>
      <c r="M40" s="132" t="str">
        <f>IFERROR(IF((COUNTIF(M$2:M37,M37)&lt;3)*(COUNTIF(OverallResults!$G$3:$G$500,M37)&gt;COUNTIF(M$2:M37,M37)),M37,INDEX(OverallResults!$G$3:$G$500,MATCH(0,INDEX(COUNTIF(M$2:M37,OverallResults!$G$3:$G$500&amp;""),0,0),0))&amp;""),"")</f>
        <v/>
      </c>
      <c r="N40" s="133" t="str">
        <f t="array" ref="N40">IF($M40="","",SMALL(IF(OverallResults!$G$3:$G$500=$M40,OverallResults!$B$3:$B$500,""),COUNTIF($M$2:$M40,$M40)))</f>
        <v/>
      </c>
      <c r="O40" s="133" t="str">
        <f t="array" ref="O40">IFERROR(INDEX(OverallResults!$D$3:$D$500, MATCH(0, IF($M40&amp;$N40=OverallResults!$G$3:$G$500&amp;OverallResults!$B$3:$B$500,0,1)+COUNTIF(O$2:O37, OverallResults!$D$3:$D$500&amp;""), 0))&amp;"", "")</f>
        <v/>
      </c>
      <c r="P40" s="133" t="str">
        <f t="array" ref="P40">IF($M40="","",SMALL(IF(OverallResults!$G$3:$G$500=$M40,OverallResults!$C$3:$C$500,""),COUNTIF($M$2:$M40,$M40)))</f>
        <v/>
      </c>
      <c r="Q40" s="134" t="str">
        <f>IF($O40="","",TEXT(VLOOKUP($O40,SortedDownload!$B$3:$Z$499,13,FALSE),"[hh]:mm:ss.0"))</f>
        <v/>
      </c>
    </row>
    <row r="41" spans="1:18" ht="38.25" customHeight="1">
      <c r="A41" s="196" t="e">
        <f>IF(PrintedResults!G25="","","("&amp;(PrintedResults!H25)&amp; ")"&amp;" " &amp;  (PrintedResults!G25) &amp;"| "&amp;CHAR(10)&amp; PrintedResults!I25&amp;"| "&amp;CHAR(10)&amp; PrintedResults!K25 )</f>
        <v>#NUM!</v>
      </c>
      <c r="C41" s="198" t="str">
        <f>IF(PrintedResults!O25="",""," (" &amp;PrintedResults!N25&amp;") "&amp;PrintedResults!O25&amp;" | " &amp;CHAR(10) &amp;"Time: " &amp;  PrintedResults!Q25 )</f>
        <v/>
      </c>
      <c r="D41" s="75"/>
      <c r="E41" s="20"/>
      <c r="G41" s="132" t="str">
        <f>IFERROR(IF((COUNTIF(G$2:G40,G40)&lt;3)*(COUNTIF(OverallResults!$H$3:$H$500,G40)&gt;COUNTIF(G$2:G40,G40)),G40,INDEX(OverallResults!$H$3:$H$500,MATCH(0,INDEX(COUNTIF(G$2:G40,OverallResults!$H$3:$H$500&amp;""),0,0),0))&amp;""),"")</f>
        <v>Lite F</v>
      </c>
      <c r="H41" s="138">
        <f t="array" ref="H41">IF($G41="","",SMALL(IF(OverallResults!$H$3:$H$500=$G41,OverallResults!$C$3:$C$500,""),COUNTIF($G$2:$G41,$G41)))</f>
        <v>3</v>
      </c>
      <c r="I41" s="133" t="str">
        <f t="array" ref="I41">IFERROR(INDEX(OverallResults!$D$3:$D$500, MATCH(0, IF($G41&amp;$H41=OverallResults!$H$3:$H$500&amp;OverallResults!$C$3:$C$500,0,1)+COUNTIF(I$2:I38, OverallResults!$D$3:$D$500&amp;""), 0))&amp;"", "")</f>
        <v>Amy Burton</v>
      </c>
      <c r="J41" s="133">
        <f t="array" ref="J41">IF($G41="","",SMALL(IF(OverallResults!$H$3:$H$500=$G41,OverallResults!$B$3:$B$500,""),COUNTIF($G$2:$G41,$G41)))</f>
        <v>168</v>
      </c>
      <c r="K41" s="134" t="str">
        <f>IF($I41="","",TEXT(VLOOKUP($I41,SortedDownload!$B$3:$Z$499,13,FALSE),"[hh]:mm:ss.000"))</f>
        <v>00:13:25.752</v>
      </c>
      <c r="M41" s="132" t="str">
        <f>IFERROR(IF((COUNTIF(M$2:M38,M38)&lt;3)*(COUNTIF(OverallResults!$G$3:$G$500,M38)&gt;COUNTIF(M$2:M38,M38)),M38,INDEX(OverallResults!$G$3:$G$500,MATCH(0,INDEX(COUNTIF(M$2:M38,OverallResults!$G$3:$G$500&amp;""),0,0),0))&amp;""),"")</f>
        <v/>
      </c>
      <c r="N41" s="133" t="str">
        <f t="array" ref="N41">IF($M41="","",SMALL(IF(OverallResults!$G$3:$G$500=$M41,OverallResults!$B$3:$B$500,""),COUNTIF($M$2:$M41,$M41)))</f>
        <v/>
      </c>
      <c r="O41" s="133" t="str">
        <f t="array" ref="O41">IFERROR(INDEX(OverallResults!$D$3:$D$500, MATCH(0, IF($M41&amp;$N41=OverallResults!$G$3:$G$500&amp;OverallResults!$B$3:$B$500,0,1)+COUNTIF(O$2:O38, OverallResults!$D$3:$D$500&amp;""), 0))&amp;"", "")</f>
        <v/>
      </c>
      <c r="P41" s="133" t="str">
        <f t="array" ref="P41">IF($M41="","",SMALL(IF(OverallResults!$G$3:$G$500=$M41,OverallResults!$C$3:$C$500,""),COUNTIF($M$2:$M41,$M41)))</f>
        <v/>
      </c>
      <c r="Q41" s="134" t="str">
        <f>IF($O41="","",TEXT(VLOOKUP($O41,SortedDownload!$B$3:$Z$499,13,FALSE),"[hh]:mm:ss.0"))</f>
        <v/>
      </c>
    </row>
    <row r="42" spans="1:18" ht="38.25" customHeight="1">
      <c r="A42" s="196" t="e">
        <f>IF(PrintedResults!G26="","","("&amp;(PrintedResults!H26)&amp; ")"&amp;" " &amp;  (PrintedResults!G26) &amp;"| "&amp;CHAR(10)&amp; PrintedResults!I26&amp;"| "&amp;CHAR(10)&amp; PrintedResults!K26 )</f>
        <v>#NUM!</v>
      </c>
      <c r="C42" s="198" t="str">
        <f>IF(PrintedResults!O26="",""," (" &amp;PrintedResults!N26&amp;") "&amp;PrintedResults!O26&amp;" | " &amp;CHAR(10) &amp;"Time: " &amp;  PrintedResults!Q26 )</f>
        <v/>
      </c>
      <c r="D42" s="75"/>
      <c r="E42" s="20"/>
      <c r="G42" s="132" t="str">
        <f>IFERROR(IF((COUNTIF(G$2:G41,G41)&lt;3)*(COUNTIF(OverallResults!$H$3:$H$500,G41)&gt;COUNTIF(G$2:G41,G41)),G41,INDEX(OverallResults!$H$3:$H$500,MATCH(0,INDEX(COUNTIF(G$2:G41,OverallResults!$H$3:$H$500&amp;""),0,0),0))&amp;""),"")</f>
        <v>Nipper Boys</v>
      </c>
      <c r="H42" s="138">
        <f t="array" ref="H42">IF($G42="","",SMALL(IF(OverallResults!$H$3:$H$500=$G42,OverallResults!$C$3:$C$500,""),COUNTIF($G$2:$G42,$G42)))</f>
        <v>1</v>
      </c>
      <c r="I42" s="133" t="str">
        <f t="array" ref="I42">IFERROR(INDEX(OverallResults!$D$3:$D$500, MATCH(0, IF($G42&amp;$H42=OverallResults!$H$3:$H$500&amp;OverallResults!$C$3:$C$500,0,1)+COUNTIF(I$2:I39, OverallResults!$D$3:$D$500&amp;""), 0))&amp;"", "")</f>
        <v>James Marais</v>
      </c>
      <c r="J42" s="133">
        <f t="array" ref="J42">IF($G42="","",SMALL(IF(OverallResults!$H$3:$H$500=$G42,OverallResults!$B$3:$B$500,""),COUNTIF($G$2:$G42,$G42)))</f>
        <v>177</v>
      </c>
      <c r="K42" s="134" t="str">
        <f>IF($I42="","",TEXT(VLOOKUP($I42,SortedDownload!$B$3:$Z$499,13,FALSE),"[hh]:mm:ss.000"))</f>
        <v>00:13:54.993</v>
      </c>
      <c r="M42" s="132" t="str">
        <f>IFERROR(IF((COUNTIF(M$2:M39,M39)&lt;3)*(COUNTIF(OverallResults!$G$3:$G$500,M39)&gt;COUNTIF(M$2:M39,M39)),M39,INDEX(OverallResults!$G$3:$G$500,MATCH(0,INDEX(COUNTIF(M$2:M39,OverallResults!$G$3:$G$500&amp;""),0,0),0))&amp;""),"")</f>
        <v/>
      </c>
      <c r="N42" s="133" t="str">
        <f t="array" ref="N42">IF($M42="","",SMALL(IF(OverallResults!$G$3:$G$500=$M42,OverallResults!$B$3:$B$500,""),COUNTIF($M$2:$M42,$M42)))</f>
        <v/>
      </c>
      <c r="O42" s="133" t="str">
        <f t="array" ref="O42">IFERROR(INDEX(OverallResults!$D$3:$D$500, MATCH(0, IF($M42&amp;$N42=OverallResults!$G$3:$G$500&amp;OverallResults!$B$3:$B$500,0,1)+COUNTIF(O$2:O39, OverallResults!$D$3:$D$500&amp;""), 0))&amp;"", "")</f>
        <v/>
      </c>
      <c r="P42" s="133" t="str">
        <f t="array" ref="P42">IF($M42="","",SMALL(IF(OverallResults!$G$3:$G$500=$M42,OverallResults!$C$3:$C$500,""),COUNTIF($M$2:$M42,$M42)))</f>
        <v/>
      </c>
      <c r="Q42" s="134" t="str">
        <f>IF($O42="","",TEXT(VLOOKUP($O42,SortedDownload!$B$3:$Z$499,13,FALSE),"[hh]:mm:ss.0"))</f>
        <v/>
      </c>
    </row>
    <row r="43" spans="1:18" ht="38.25" customHeight="1">
      <c r="A43" s="196" t="str">
        <f>IF(PrintedResults!G27="","","("&amp;(PrintedResults!H27)&amp; ")"&amp;" " &amp;  (PrintedResults!G27) &amp;"| "&amp;CHAR(10)&amp; PrintedResults!I27&amp;"| "&amp;CHAR(10)&amp; PrintedResults!K27 )</f>
        <v>(1) Lite M| 
Louis Van Der Walt| 
00:11:10.123</v>
      </c>
      <c r="C43" s="198" t="str">
        <f>IF(PrintedResults!O27="",""," (" &amp;PrintedResults!N27&amp;") "&amp;PrintedResults!O27&amp;" | " &amp;CHAR(10) &amp;"Time: " &amp;  PrintedResults!Q27 )</f>
        <v/>
      </c>
      <c r="D43" s="75"/>
      <c r="E43" s="20"/>
      <c r="F43" s="139"/>
      <c r="G43" s="132" t="str">
        <f>IFERROR(IF((COUNTIF(G$2:G42,G42)&lt;3)*(COUNTIF(OverallResults!$H$3:$H$500,G42)&gt;COUNTIF(G$2:G42,G42)),G42,INDEX(OverallResults!$H$3:$H$500,MATCH(0,INDEX(COUNTIF(G$2:G42,OverallResults!$H$3:$H$500&amp;""),0,0),0))&amp;""),"")</f>
        <v>Nipper Boys</v>
      </c>
      <c r="H43" s="138">
        <f t="array" ref="H43">IF($G43="","",SMALL(IF(OverallResults!$H$3:$H$500=$G43,OverallResults!$C$3:$C$500,""),COUNTIF($G$2:$G43,$G43)))</f>
        <v>2</v>
      </c>
      <c r="I43" s="133" t="str">
        <f t="array" ref="I43">IFERROR(INDEX(OverallResults!$D$3:$D$500, MATCH(0, IF($G43&amp;$H43=OverallResults!$H$3:$H$500&amp;OverallResults!$C$3:$C$500,0,1)+COUNTIF(I$2:I40, OverallResults!$D$3:$D$500&amp;""), 0))&amp;"", "")</f>
        <v>Robert-John Behan</v>
      </c>
      <c r="J43" s="133">
        <f t="array" ref="J43">IF($G43="","",SMALL(IF(OverallResults!$H$3:$H$500=$G43,OverallResults!$B$3:$B$500,""),COUNTIF($G$2:$G43,$G43)))</f>
        <v>209</v>
      </c>
      <c r="K43" s="134" t="str">
        <f>IF($I43="","",TEXT(VLOOKUP($I43,SortedDownload!$B$3:$Z$499,13,FALSE),"[hh]:mm:ss.000"))</f>
        <v>00:15:37.932</v>
      </c>
      <c r="L43" s="139"/>
      <c r="M43" s="139"/>
      <c r="N43" s="139"/>
      <c r="O43" s="139"/>
      <c r="P43" s="139"/>
      <c r="Q43" s="139"/>
      <c r="R43" s="139"/>
    </row>
    <row r="44" spans="1:18" ht="38.25" customHeight="1">
      <c r="A44" s="196" t="str">
        <f>IF(PrintedResults!G28="","","("&amp;(PrintedResults!H28)&amp; ")"&amp;" " &amp;  (PrintedResults!G28) &amp;"| "&amp;CHAR(10)&amp; PrintedResults!I28&amp;"| "&amp;CHAR(10)&amp; PrintedResults!K28 )</f>
        <v>(2) Lite M| 
Pieter Heyns| 
00:11:33.146</v>
      </c>
      <c r="C44" s="198" t="str">
        <f>IF(PrintedResults!O28="",""," (" &amp;PrintedResults!N28&amp;") "&amp;PrintedResults!O28&amp;" | " &amp;CHAR(10) &amp;"Time: " &amp;  PrintedResults!Q28 )</f>
        <v/>
      </c>
      <c r="D44" s="75"/>
      <c r="E44" s="20"/>
      <c r="F44" s="139"/>
      <c r="G44" s="132" t="str">
        <f>IFERROR(IF((COUNTIF(G$2:G43,G43)&lt;3)*(COUNTIF(OverallResults!$H$3:$H$500,G43)&gt;COUNTIF(G$2:G43,G43)),G43,INDEX(OverallResults!$H$3:$H$500,MATCH(0,INDEX(COUNTIF(G$2:G43,OverallResults!$H$3:$H$500&amp;""),0,0),0))&amp;""),"")</f>
        <v>Nipper Boys</v>
      </c>
      <c r="H44" s="138">
        <f t="array" ref="H44">IF($G44="","",SMALL(IF(OverallResults!$H$3:$H$500=$G44,OverallResults!$C$3:$C$500,""),COUNTIF($G$2:$G44,$G44)))</f>
        <v>3</v>
      </c>
      <c r="I44" s="133" t="str">
        <f t="array" ref="I44">IFERROR(INDEX(OverallResults!$D$3:$D$500, MATCH(0, IF($G44&amp;$H44=OverallResults!$H$3:$H$500&amp;OverallResults!$C$3:$C$500,0,1)+COUNTIF(I$2:I41, OverallResults!$D$3:$D$500&amp;""), 0))&amp;"", "")</f>
        <v>Spencer Van Zyl</v>
      </c>
      <c r="J44" s="133">
        <f t="array" ref="J44">IF($G44="","",SMALL(IF(OverallResults!$H$3:$H$500=$G44,OverallResults!$B$3:$B$500,""),COUNTIF($G$2:$G44,$G44)))</f>
        <v>224</v>
      </c>
      <c r="K44" s="134" t="str">
        <f>IF($I44="","",TEXT(VLOOKUP($I44,SortedDownload!$B$3:$Z$499,13,FALSE),"[hh]:mm:ss.000"))</f>
        <v>00:18:10.858</v>
      </c>
      <c r="L44" s="139"/>
      <c r="M44" s="139"/>
      <c r="N44" s="139"/>
      <c r="O44" s="139"/>
      <c r="P44" s="139"/>
      <c r="Q44" s="139"/>
      <c r="R44" s="139"/>
    </row>
    <row r="45" spans="1:18" ht="38.25" customHeight="1">
      <c r="A45" s="196" t="str">
        <f>IF(PrintedResults!G29="","","("&amp;(PrintedResults!H29)&amp; ")"&amp;" " &amp;  (PrintedResults!G29) &amp;"| "&amp;CHAR(10)&amp; PrintedResults!I29&amp;"| "&amp;CHAR(10)&amp; PrintedResults!K29 )</f>
        <v>(3) Lite M| 
Wynand Mostert| 
00:11:36.188</v>
      </c>
      <c r="C45" s="198" t="str">
        <f>IF(PrintedResults!O29="",""," (" &amp;PrintedResults!N29&amp;") "&amp;PrintedResults!O29&amp;" | " &amp;CHAR(10) &amp;"Time: " &amp;  PrintedResults!Q29 )</f>
        <v/>
      </c>
      <c r="D45" s="75"/>
      <c r="E45" s="20"/>
      <c r="F45" s="139"/>
      <c r="G45" s="132" t="str">
        <f>IFERROR(IF((COUNTIF(G$2:G44,G44)&lt;3)*(COUNTIF(OverallResults!$H$3:$H$500,G44)&gt;COUNTIF(G$2:G44,G44)),G44,INDEX(OverallResults!$H$3:$H$500,MATCH(0,INDEX(COUNTIF(G$2:G44,OverallResults!$H$3:$H$500&amp;""),0,0),0))&amp;""),"")</f>
        <v>Nipper Girls</v>
      </c>
      <c r="H45" s="138">
        <f t="array" ref="H45">IF($G45="","",SMALL(IF(OverallResults!$H$3:$H$500=$G45,OverallResults!$C$3:$C$500,""),COUNTIF($G$2:$G45,$G45)))</f>
        <v>1</v>
      </c>
      <c r="I45" s="133" t="str">
        <f t="array" ref="I45">IFERROR(INDEX(OverallResults!$D$3:$D$500, MATCH(0, IF($G45&amp;$H45=OverallResults!$H$3:$H$500&amp;OverallResults!$C$3:$C$500,0,1)+COUNTIF(I$2:I42, OverallResults!$D$3:$D$500&amp;""), 0))&amp;"", "")</f>
        <v>Isabella Stermin</v>
      </c>
      <c r="J45" s="133">
        <f t="array" ref="J45">IF($G45="","",SMALL(IF(OverallResults!$H$3:$H$500=$G45,OverallResults!$B$3:$B$500,""),COUNTIF($G$2:$G45,$G45)))</f>
        <v>225</v>
      </c>
      <c r="K45" s="134" t="str">
        <f>IF($I45="","",TEXT(VLOOKUP($I45,SortedDownload!$B$3:$Z$499,13,FALSE),"[hh]:mm:ss.000"))</f>
        <v>00:18:21.563</v>
      </c>
      <c r="L45" s="139"/>
      <c r="M45" s="139"/>
      <c r="N45" s="139"/>
      <c r="O45" s="139"/>
      <c r="P45" s="139"/>
      <c r="Q45" s="139"/>
      <c r="R45" s="139"/>
    </row>
    <row r="46" spans="1:18" ht="38.25" customHeight="1">
      <c r="A46" s="196" t="str">
        <f>IF(PrintedResults!G30="","","("&amp;(PrintedResults!H30)&amp; ")"&amp;" " &amp;  (PrintedResults!G30) &amp;"| "&amp;CHAR(10)&amp; PrintedResults!I30&amp;"| "&amp;CHAR(10)&amp; PrintedResults!K30 )</f>
        <v>(1) Sub Junior Boys| 
Christiaan De Villiers| 
00:11:11.777</v>
      </c>
      <c r="C46" s="198" t="str">
        <f>IF(PrintedResults!O30="",""," (" &amp;PrintedResults!N30&amp;") "&amp;PrintedResults!O30&amp;" | " &amp;CHAR(10) &amp;"Time: " &amp;  PrintedResults!Q30 )</f>
        <v/>
      </c>
      <c r="D46" s="75"/>
      <c r="E46" s="20"/>
      <c r="F46" s="139"/>
      <c r="G46" s="132" t="str">
        <f>IFERROR(IF((COUNTIF(G$2:G45,G45)&lt;3)*(COUNTIF(OverallResults!$H$3:$H$500,G45)&gt;COUNTIF(G$2:G45,G45)),G45,INDEX(OverallResults!$H$3:$H$500,MATCH(0,INDEX(COUNTIF(G$2:G45,OverallResults!$H$3:$H$500&amp;""),0,0),0))&amp;""),"")</f>
        <v>Sub Junior Girls</v>
      </c>
      <c r="H46" s="138" t="e">
        <f t="array" ref="H46">IF($G46="","",SMALL(IF(OverallResults!$H$3:$H$500=$G46,OverallResults!$C$3:$C$500,""),COUNTIF($G$2:$G46,$G46)))</f>
        <v>#NUM!</v>
      </c>
      <c r="I46" s="133" t="str">
        <f t="array" ref="I46">IFERROR(INDEX(OverallResults!$D$3:$D$500, MATCH(0, IF($G46&amp;$H46=OverallResults!$H$3:$H$500&amp;OverallResults!$C$3:$C$500,0,1)+COUNTIF(I$2:I43, OverallResults!$D$3:$D$500&amp;""), 0))&amp;"", "")</f>
        <v/>
      </c>
      <c r="J46" s="133" t="e">
        <f t="array" ref="J46">IF($G46="","",SMALL(IF(OverallResults!$H$3:$H$500=$G46,OverallResults!$B$3:$B$500,""),COUNTIF($G$2:$G46,$G46)))</f>
        <v>#NUM!</v>
      </c>
      <c r="K46" s="134" t="str">
        <f>IF($I46="","",TEXT(VLOOKUP($I46,SortedDownload!$B$3:$Z$499,13,FALSE),"[hh]:mm:ss.000"))</f>
        <v/>
      </c>
      <c r="L46" s="139"/>
      <c r="M46" s="139"/>
      <c r="N46" s="139"/>
      <c r="O46" s="139"/>
      <c r="P46" s="139"/>
      <c r="Q46" s="139"/>
      <c r="R46" s="139"/>
    </row>
    <row r="47" spans="1:18" ht="38.25" customHeight="1">
      <c r="A47" s="196" t="str">
        <f>IF(PrintedResults!G31="","","("&amp;(PrintedResults!H31)&amp; ")"&amp;" " &amp;  (PrintedResults!G31) &amp;"| "&amp;CHAR(10)&amp; PrintedResults!I31&amp;"| "&amp;CHAR(10)&amp; PrintedResults!K31 )</f>
        <v>(2) Sub Junior Boys| 
Benjamin Fourie| 
00:11:39.552</v>
      </c>
      <c r="C47" s="198" t="str">
        <f>IF(PrintedResults!O31="",""," (" &amp;PrintedResults!N31&amp;") "&amp;PrintedResults!O31&amp;" | " &amp;CHAR(10) &amp;"Time: " &amp;  PrintedResults!Q31 )</f>
        <v/>
      </c>
      <c r="D47" s="75"/>
      <c r="E47" s="20"/>
      <c r="F47" s="139"/>
      <c r="G47" s="132" t="str">
        <f>IFERROR(IF((COUNTIF(G$2:G46,G46)&lt;3)*(COUNTIF(OverallResults!$H$3:$H$500,G46)&gt;COUNTIF(G$2:G46,G46)),G46,INDEX(OverallResults!$H$3:$H$500,MATCH(0,INDEX(COUNTIF(G$2:G46,OverallResults!$H$3:$H$500&amp;""),0,0),0))&amp;""),"")</f>
        <v/>
      </c>
      <c r="H47" s="138" t="str">
        <f t="array" ref="H47">IF($G47="","",SMALL(IF(OverallResults!$H$3:$H$500=$G47,OverallResults!$C$3:$C$500,""),COUNTIF($G$2:$G47,$G47)))</f>
        <v/>
      </c>
      <c r="I47" s="133" t="str">
        <f t="array" ref="I47">IFERROR(INDEX(OverallResults!$D$3:$D$500, MATCH(0, IF($G47&amp;$H47=OverallResults!$H$3:$H$500&amp;OverallResults!$C$3:$C$500,0,1)+COUNTIF(I$2:I44, OverallResults!$D$3:$D$500&amp;""), 0))&amp;"", "")</f>
        <v/>
      </c>
      <c r="J47" s="133" t="str">
        <f t="array" ref="J47">IF($G47="","",SMALL(IF(OverallResults!$H$3:$H$500=$G47,OverallResults!$B$3:$B$500,""),COUNTIF($G$2:$G47,$G47)))</f>
        <v/>
      </c>
      <c r="K47" s="134" t="str">
        <f>IF($I47="","",TEXT(VLOOKUP($I47,SortedDownload!$B$3:$Z$499,13,FALSE),"[hh]:mm:ss.000"))</f>
        <v/>
      </c>
      <c r="L47" s="139"/>
      <c r="M47" s="139"/>
      <c r="N47" s="139"/>
      <c r="O47" s="139"/>
      <c r="P47" s="139"/>
      <c r="Q47" s="139"/>
      <c r="R47" s="139"/>
    </row>
    <row r="48" spans="1:18" ht="38.25" customHeight="1">
      <c r="A48" s="196" t="str">
        <f>IF(PrintedResults!G32="","","("&amp;(PrintedResults!H32)&amp; ")"&amp;" " &amp;  (PrintedResults!G32) &amp;"| "&amp;CHAR(10)&amp; PrintedResults!I32&amp;"| "&amp;CHAR(10)&amp; PrintedResults!K32 )</f>
        <v>(3) Sub Junior Boys| 
Jack Goosen| 
00:12:26.764</v>
      </c>
      <c r="C48" s="198" t="str">
        <f>IF(PrintedResults!O32="",""," (" &amp;PrintedResults!N32&amp;") "&amp;PrintedResults!O32&amp;" | " &amp;CHAR(10) &amp;"Time: " &amp;  PrintedResults!Q32 )</f>
        <v/>
      </c>
      <c r="D48" s="75"/>
      <c r="E48" s="20"/>
      <c r="F48" s="139"/>
      <c r="G48" s="132" t="str">
        <f>IFERROR(IF((COUNTIF(G$2:G47,G47)&lt;3)*(COUNTIF(OverallResults!$H$3:$H$500,G47)&gt;COUNTIF(G$2:G47,G47)),G47,INDEX(OverallResults!$H$3:$H$500,MATCH(0,INDEX(COUNTIF(G$2:G47,OverallResults!$H$3:$H$500&amp;""),0,0),0))&amp;""),"")</f>
        <v/>
      </c>
      <c r="H48" s="138" t="str">
        <f t="array" ref="H48">IF($G48="","",SMALL(IF(OverallResults!$H$3:$H$500=$G48,OverallResults!$C$3:$C$500,""),COUNTIF($G$2:$G48,$G48)))</f>
        <v/>
      </c>
      <c r="I48" s="133" t="str">
        <f t="array" ref="I48">IFERROR(INDEX(OverallResults!$D$3:$D$500, MATCH(0, IF($G48&amp;$H48=OverallResults!$H$3:$H$500&amp;OverallResults!$C$3:$C$500,0,1)+COUNTIF(I$2:I45, OverallResults!$D$3:$D$500&amp;""), 0))&amp;"", "")</f>
        <v/>
      </c>
      <c r="J48" s="133" t="str">
        <f t="array" ref="J48">IF($G48="","",SMALL(IF(OverallResults!$H$3:$H$500=$G48,OverallResults!$B$3:$B$500,""),COUNTIF($G$2:$G48,$G48)))</f>
        <v/>
      </c>
      <c r="K48" s="134" t="str">
        <f>IF($I48="","",TEXT(VLOOKUP($I48,SortedDownload!$B$3:$Z$499,13,FALSE),"[hh]:mm:ss.000"))</f>
        <v/>
      </c>
      <c r="L48" s="139"/>
      <c r="M48" s="139"/>
      <c r="N48" s="139"/>
      <c r="O48" s="139"/>
      <c r="P48" s="139"/>
      <c r="Q48" s="139"/>
      <c r="R48" s="139"/>
    </row>
    <row r="49" spans="1:18" ht="38.25" customHeight="1">
      <c r="A49" s="196" t="str">
        <f>IF(PrintedResults!G33="","","("&amp;(PrintedResults!H33)&amp; ")"&amp;" " &amp;  (PrintedResults!G33) &amp;"| "&amp;CHAR(10)&amp; PrintedResults!I33&amp;"| "&amp;CHAR(10)&amp; PrintedResults!K33 )</f>
        <v>(1) Sprog Boys| 
Sven Etsebeth| 
00:11:25.743</v>
      </c>
      <c r="C49" s="198" t="str">
        <f>IF(PrintedResults!O33="",""," (" &amp;PrintedResults!N33&amp;") "&amp;PrintedResults!O33&amp;" | " &amp;CHAR(10) &amp;"Time: " &amp;  PrintedResults!Q33 )</f>
        <v/>
      </c>
      <c r="D49" s="75"/>
      <c r="E49" s="20"/>
      <c r="F49" s="139"/>
      <c r="G49" s="132" t="str">
        <f>IFERROR(IF((COUNTIF(G$2:G48,G48)&lt;3)*(COUNTIF(OverallResults!$H$3:$H$500,G48)&gt;COUNTIF(G$2:G48,G48)),G48,INDEX(OverallResults!$H$3:$H$500,MATCH(0,INDEX(COUNTIF(G$2:G48,OverallResults!$H$3:$H$500&amp;""),0,0),0))&amp;""),"")</f>
        <v/>
      </c>
      <c r="H49" s="138" t="str">
        <f t="array" ref="H49">IF($G49="","",SMALL(IF(OverallResults!$H$3:$H$500=$G49,OverallResults!$C$3:$C$500,""),COUNTIF($G$2:$G49,$G49)))</f>
        <v/>
      </c>
      <c r="I49" s="133" t="str">
        <f t="array" ref="I49">IFERROR(INDEX(OverallResults!$D$3:$D$500, MATCH(0, IF($G49&amp;$H49=OverallResults!$H$3:$H$500&amp;OverallResults!$C$3:$C$500,0,1)+COUNTIF(I$2:I46, OverallResults!$D$3:$D$500&amp;""), 0))&amp;"", "")</f>
        <v/>
      </c>
      <c r="J49" s="133" t="str">
        <f t="array" ref="J49">IF($G49="","",SMALL(IF(OverallResults!$H$3:$H$500=$G49,OverallResults!$B$3:$B$500,""),COUNTIF($G$2:$G49,$G49)))</f>
        <v/>
      </c>
      <c r="K49" s="134" t="str">
        <f>IF($I49="","",TEXT(VLOOKUP($I49,SortedDownload!$B$3:$Z$499,13,FALSE),"[hh]:mm:ss.000"))</f>
        <v/>
      </c>
      <c r="L49" s="139"/>
      <c r="M49" s="139"/>
      <c r="N49" s="139"/>
      <c r="O49" s="139"/>
      <c r="P49" s="139"/>
      <c r="Q49" s="139"/>
      <c r="R49" s="139"/>
    </row>
    <row r="50" spans="1:18" ht="38.25" customHeight="1">
      <c r="A50" s="196" t="str">
        <f>IF(PrintedResults!G34="","","("&amp;(PrintedResults!H34)&amp; ")"&amp;" " &amp;  (PrintedResults!G34) &amp;"| "&amp;CHAR(10)&amp; PrintedResults!I34&amp;"| "&amp;CHAR(10)&amp; PrintedResults!K34 )</f>
        <v>(2) Sprog Boys| 
Lian De Jager| 
00:12:33.493</v>
      </c>
      <c r="C50" s="198" t="str">
        <f>IF(PrintedResults!O34="",""," (" &amp;PrintedResults!N34&amp;") "&amp;PrintedResults!O34&amp;" | " &amp;CHAR(10) &amp;"Time: " &amp;  PrintedResults!Q34 )</f>
        <v/>
      </c>
      <c r="D50" s="75"/>
      <c r="E50" s="20"/>
      <c r="F50" s="139"/>
      <c r="G50" s="132" t="str">
        <f>IFERROR(IF((COUNTIF(G$2:G49,G49)&lt;3)*(COUNTIF(OverallResults!$H$3:$H$500,G49)&gt;COUNTIF(G$2:G49,G49)),G49,INDEX(OverallResults!$H$3:$H$500,MATCH(0,INDEX(COUNTIF(G$2:G49,OverallResults!$H$3:$H$500&amp;""),0,0),0))&amp;""),"")</f>
        <v/>
      </c>
      <c r="H50" s="138" t="str">
        <f t="array" ref="H50">IF($G50="","",SMALL(IF(OverallResults!$H$3:$H$500=$G50,OverallResults!$C$3:$C$500,""),COUNTIF($G$2:$G50,$G50)))</f>
        <v/>
      </c>
      <c r="I50" s="133" t="str">
        <f t="array" ref="I50">IFERROR(INDEX(OverallResults!$D$3:$D$500, MATCH(0, IF($G50&amp;$H50=OverallResults!$H$3:$H$500&amp;OverallResults!$C$3:$C$500,0,1)+COUNTIF(I$2:I47, OverallResults!$D$3:$D$500&amp;""), 0))&amp;"", "")</f>
        <v/>
      </c>
      <c r="J50" s="133" t="str">
        <f t="array" ref="J50">IF($G50="","",SMALL(IF(OverallResults!$H$3:$H$500=$G50,OverallResults!$B$3:$B$500,""),COUNTIF($G$2:$G50,$G50)))</f>
        <v/>
      </c>
      <c r="K50" s="134" t="str">
        <f>IF($I50="","",TEXT(VLOOKUP($I50,SortedDownload!$B$3:$Z$499,13,FALSE),"[hh]:mm:ss.000"))</f>
        <v/>
      </c>
      <c r="L50" s="139"/>
      <c r="M50" s="139"/>
      <c r="N50" s="139"/>
      <c r="O50" s="139"/>
      <c r="P50" s="139"/>
      <c r="Q50" s="139"/>
      <c r="R50" s="139"/>
    </row>
    <row r="51" spans="1:18" ht="38.25" customHeight="1">
      <c r="A51" s="196" t="str">
        <f>IF(PrintedResults!G35="","","("&amp;(PrintedResults!H35)&amp; ")"&amp;" " &amp;  (PrintedResults!G35) &amp;"| "&amp;CHAR(10)&amp; PrintedResults!I35&amp;"| "&amp;CHAR(10)&amp; PrintedResults!K35 )</f>
        <v>(3) Sprog Boys| 
Luc Riley Rossouw| 
00:13:28.711</v>
      </c>
      <c r="C51" s="198" t="str">
        <f>IF(PrintedResults!O35="",""," (" &amp;PrintedResults!N35&amp;") "&amp;PrintedResults!O35&amp;" | " &amp;CHAR(10) &amp;"Time: " &amp;  PrintedResults!Q35 )</f>
        <v/>
      </c>
      <c r="D51" s="75"/>
      <c r="E51" s="20"/>
      <c r="F51" s="139"/>
      <c r="G51" s="132" t="str">
        <f>IFERROR(IF((COUNTIF(G$2:G50,G50)&lt;3)*(COUNTIF(OverallResults!$H$3:$H$500,G50)&gt;COUNTIF(G$2:G50,G50)),G50,INDEX(OverallResults!$H$3:$H$500,MATCH(0,INDEX(COUNTIF(G$2:G50,OverallResults!$H$3:$H$500&amp;""),0,0),0))&amp;""),"")</f>
        <v/>
      </c>
      <c r="H51" s="138" t="str">
        <f t="array" ref="H51">IF($G51="","",SMALL(IF(OverallResults!$H$3:$H$500=$G51,OverallResults!$C$3:$C$500,""),COUNTIF($G$2:$G51,$G51)))</f>
        <v/>
      </c>
      <c r="I51" s="133" t="str">
        <f t="array" ref="I51">IFERROR(INDEX(OverallResults!$D$3:$D$500, MATCH(0, IF($G51&amp;$H51=OverallResults!$H$3:$H$500&amp;OverallResults!$C$3:$C$500,0,1)+COUNTIF(I$2:I48, OverallResults!$D$3:$D$500&amp;""), 0))&amp;"", "")</f>
        <v/>
      </c>
      <c r="J51" s="133" t="str">
        <f t="array" ref="J51">IF($G51="","",SMALL(IF(OverallResults!$H$3:$H$500=$G51,OverallResults!$B$3:$B$500,""),COUNTIF($G$2:$G51,$G51)))</f>
        <v/>
      </c>
      <c r="K51" s="134" t="str">
        <f>IF($I51="","",TEXT(VLOOKUP($I51,SortedDownload!$B$3:$Z$499,13,FALSE),"[hh]:mm:ss.000"))</f>
        <v/>
      </c>
      <c r="L51" s="139"/>
      <c r="M51" s="139"/>
      <c r="N51" s="139"/>
      <c r="O51" s="139"/>
      <c r="P51" s="139"/>
      <c r="Q51" s="139"/>
      <c r="R51" s="139"/>
    </row>
    <row r="52" spans="1:18" ht="38.25" customHeight="1">
      <c r="A52" s="196" t="str">
        <f>IF(PrintedResults!G36="","","("&amp;(PrintedResults!H36)&amp; ")"&amp;" " &amp;  (PrintedResults!G36) &amp;"| "&amp;CHAR(10)&amp; PrintedResults!I36&amp;"| "&amp;CHAR(10)&amp; PrintedResults!K36 )</f>
        <v>(1) E-Bike Lite M| 
Phil Hulse| 
00:11:59.419</v>
      </c>
      <c r="C52" s="198" t="str">
        <f>IF(PrintedResults!O36="",""," (" &amp;PrintedResults!N36&amp;") "&amp;PrintedResults!O36&amp;" | " &amp;CHAR(10) &amp;"Time: " &amp;  PrintedResults!Q36 )</f>
        <v/>
      </c>
      <c r="D52" s="75"/>
      <c r="E52" s="20"/>
      <c r="F52" s="139"/>
      <c r="G52" s="132" t="str">
        <f>IFERROR(IF((COUNTIF(G$2:G51,G51)&lt;3)*(COUNTIF(OverallResults!$H$3:$H$500,G51)&gt;COUNTIF(G$2:G51,G51)),G51,INDEX(OverallResults!$H$3:$H$500,MATCH(0,INDEX(COUNTIF(G$2:G51,OverallResults!$H$3:$H$500&amp;""),0,0),0))&amp;""),"")</f>
        <v/>
      </c>
      <c r="H52" s="138" t="str">
        <f t="array" ref="H52">IF($G52="","",SMALL(IF(OverallResults!$H$3:$H$500=$G52,OverallResults!$C$3:$C$500,""),COUNTIF($G$2:$G52,$G52)))</f>
        <v/>
      </c>
      <c r="I52" s="133" t="str">
        <f t="array" ref="I52">IFERROR(INDEX(OverallResults!$D$3:$D$500, MATCH(0, IF($G52&amp;$H52=OverallResults!$H$3:$H$500&amp;OverallResults!$C$3:$C$500,0,1)+COUNTIF(I$2:I49, OverallResults!$D$3:$D$500&amp;""), 0))&amp;"", "")</f>
        <v/>
      </c>
      <c r="J52" s="133" t="str">
        <f t="array" ref="J52">IF($G52="","",SMALL(IF(OverallResults!$H$3:$H$500=$G52,OverallResults!$B$3:$B$500,""),COUNTIF($G$2:$G52,$G52)))</f>
        <v/>
      </c>
      <c r="K52" s="134" t="str">
        <f>IF($I52="","",TEXT(VLOOKUP($I52,SortedDownload!$B$3:$Z$499,13,FALSE),"[hh]:mm:ss.000"))</f>
        <v/>
      </c>
      <c r="L52" s="139"/>
      <c r="M52" s="139"/>
      <c r="N52" s="139"/>
      <c r="O52" s="139"/>
      <c r="P52" s="139"/>
      <c r="Q52" s="139"/>
      <c r="R52" s="139"/>
    </row>
    <row r="53" spans="1:18" ht="38.25" customHeight="1">
      <c r="A53" s="196" t="str">
        <f>IF(PrintedResults!G37="","","("&amp;(PrintedResults!H37)&amp; ")"&amp;" " &amp;  (PrintedResults!G37) &amp;"| "&amp;CHAR(10)&amp; PrintedResults!I37&amp;"| "&amp;CHAR(10)&amp; PrintedResults!K37 )</f>
        <v>(2) E-Bike Lite M| 
Paul Combrinck| 
00:12:17.200</v>
      </c>
      <c r="C53" s="198" t="str">
        <f>IF(PrintedResults!O37="",""," (" &amp;PrintedResults!N37&amp;") "&amp;PrintedResults!O37&amp;" | " &amp;CHAR(10) &amp;"Time: " &amp;  PrintedResults!Q37 )</f>
        <v/>
      </c>
      <c r="D53" s="75"/>
      <c r="E53" s="20"/>
      <c r="F53" s="139"/>
      <c r="G53" s="132" t="str">
        <f>IFERROR(IF((COUNTIF(G$2:G52,G52)&lt;3)*(COUNTIF(OverallResults!$H$3:$H$500,G52)&gt;COUNTIF(G$2:G52,G52)),G52,INDEX(OverallResults!$H$3:$H$500,MATCH(0,INDEX(COUNTIF(G$2:G52,OverallResults!$H$3:$H$500&amp;""),0,0),0))&amp;""),"")</f>
        <v/>
      </c>
      <c r="H53" s="138" t="str">
        <f t="array" ref="H53">IF($G53="","",SMALL(IF(OverallResults!$H$3:$H$500=$G53,OverallResults!$C$3:$C$500,""),COUNTIF($G$2:$G53,$G53)))</f>
        <v/>
      </c>
      <c r="I53" s="133" t="str">
        <f t="array" ref="I53">IFERROR(INDEX(OverallResults!$D$3:$D$500, MATCH(0, IF($G53&amp;$H53=OverallResults!$H$3:$H$500&amp;OverallResults!$C$3:$C$500,0,1)+COUNTIF(I$2:I50, OverallResults!$D$3:$D$500&amp;""), 0))&amp;"", "")</f>
        <v/>
      </c>
      <c r="J53" s="133" t="str">
        <f t="array" ref="J53">IF($G53="","",SMALL(IF(OverallResults!$H$3:$H$500=$G53,OverallResults!$B$3:$B$500,""),COUNTIF($G$2:$G53,$G53)))</f>
        <v/>
      </c>
      <c r="K53" s="134" t="str">
        <f>IF($I53="","",TEXT(VLOOKUP($I53,SortedDownload!$B$3:$Z$499,13,FALSE),"[hh]:mm:ss.000"))</f>
        <v/>
      </c>
      <c r="L53" s="139"/>
      <c r="M53" s="139"/>
      <c r="N53" s="139"/>
      <c r="O53" s="139"/>
      <c r="P53" s="139"/>
      <c r="Q53" s="139"/>
      <c r="R53" s="139"/>
    </row>
    <row r="54" spans="1:18" ht="38.25" customHeight="1">
      <c r="A54" s="196" t="str">
        <f>IF(PrintedResults!G38="","","("&amp;(PrintedResults!H38)&amp; ")"&amp;" " &amp;  (PrintedResults!G38) &amp;"| "&amp;CHAR(10)&amp; PrintedResults!I38&amp;"| "&amp;CHAR(10)&amp; PrintedResults!K38 )</f>
        <v>(3) E-Bike Lite M| 
Christiaan Steffens| 
00:13:18.757</v>
      </c>
      <c r="C54" s="198" t="str">
        <f>IF(PrintedResults!O38="",""," (" &amp;PrintedResults!N38&amp;") "&amp;PrintedResults!O38&amp;" | " &amp;CHAR(10) &amp;"Time: " &amp;  PrintedResults!Q38 )</f>
        <v/>
      </c>
      <c r="D54" s="75"/>
      <c r="E54" s="20"/>
      <c r="F54" s="139"/>
      <c r="G54" s="132" t="str">
        <f>IFERROR(IF((COUNTIF(G$2:G53,G53)&lt;3)*(COUNTIF(OverallResults!$H$3:$H$500,G53)&gt;COUNTIF(G$2:G53,G53)),G53,INDEX(OverallResults!$H$3:$H$500,MATCH(0,INDEX(COUNTIF(G$2:G53,OverallResults!$H$3:$H$500&amp;""),0,0),0))&amp;""),"")</f>
        <v/>
      </c>
      <c r="H54" s="138" t="str">
        <f t="array" ref="H54">IF($G54="","",SMALL(IF(OverallResults!$H$3:$H$500=$G54,OverallResults!$C$3:$C$500,""),COUNTIF($G$2:$G54,$G54)))</f>
        <v/>
      </c>
      <c r="I54" s="133" t="str">
        <f t="array" ref="I54">IFERROR(INDEX(OverallResults!$D$3:$D$500, MATCH(0, IF($G54&amp;$H54=OverallResults!$H$3:$H$500&amp;OverallResults!$C$3:$C$500,0,1)+COUNTIF(I$2:I51, OverallResults!$D$3:$D$500&amp;""), 0))&amp;"", "")</f>
        <v/>
      </c>
      <c r="J54" s="133" t="str">
        <f t="array" ref="J54">IF($G54="","",SMALL(IF(OverallResults!$H$3:$H$500=$G54,OverallResults!$B$3:$B$500,""),COUNTIF($G$2:$G54,$G54)))</f>
        <v/>
      </c>
      <c r="K54" s="134" t="str">
        <f>IF($I54="","",TEXT(VLOOKUP($I54,SortedDownload!$B$3:$Z$499,13,FALSE),"[hh]:mm:ss.000"))</f>
        <v/>
      </c>
      <c r="L54" s="139"/>
      <c r="M54" s="139"/>
      <c r="N54" s="139"/>
      <c r="O54" s="139"/>
      <c r="P54" s="139"/>
      <c r="Q54" s="139"/>
      <c r="R54" s="139"/>
    </row>
    <row r="55" spans="1:18" ht="38.25" customHeight="1">
      <c r="A55" s="196" t="str">
        <f>IF(PrintedResults!G39="","","("&amp;(PrintedResults!H39)&amp; ")"&amp;" " &amp;  (PrintedResults!G39) &amp;"| "&amp;CHAR(10)&amp; PrintedResults!I39&amp;"| "&amp;CHAR(10)&amp; PrintedResults!K39 )</f>
        <v>(1) Lite F| 
Kylie Hanekom| 
00:13:08.212</v>
      </c>
      <c r="C55" s="198" t="str">
        <f>IF(PrintedResults!O39="",""," (" &amp;PrintedResults!N39&amp;") "&amp;PrintedResults!O39&amp;" | " &amp;CHAR(10) &amp;"Time: " &amp;  PrintedResults!Q39 )</f>
        <v/>
      </c>
      <c r="D55" s="75"/>
      <c r="E55" s="20"/>
      <c r="F55" s="139"/>
      <c r="G55" s="132" t="str">
        <f>IFERROR(IF((COUNTIF(G$2:G54,G54)&lt;3)*(COUNTIF(OverallResults!$H$3:$H$500,G54)&gt;COUNTIF(G$2:G54,G54)),G54,INDEX(OverallResults!$H$3:$H$500,MATCH(0,INDEX(COUNTIF(G$2:G54,OverallResults!$H$3:$H$500&amp;""),0,0),0))&amp;""),"")</f>
        <v/>
      </c>
      <c r="H55" s="138" t="str">
        <f t="array" ref="H55">IF($G55="","",SMALL(IF(OverallResults!$H$3:$H$500=$G55,OverallResults!$C$3:$C$500,""),COUNTIF($G$2:$G55,$G55)))</f>
        <v/>
      </c>
      <c r="I55" s="133" t="str">
        <f t="array" ref="I55">IFERROR(INDEX(OverallResults!$D$3:$D$500, MATCH(0, IF($G55&amp;$H55=OverallResults!$H$3:$H$500&amp;OverallResults!$C$3:$C$500,0,1)+COUNTIF(I$2:I52, OverallResults!$D$3:$D$500&amp;""), 0))&amp;"", "")</f>
        <v/>
      </c>
      <c r="J55" s="133" t="str">
        <f t="array" ref="J55">IF($G55="","",SMALL(IF(OverallResults!$H$3:$H$500=$G55,OverallResults!$B$3:$B$500,""),COUNTIF($G$2:$G55,$G55)))</f>
        <v/>
      </c>
      <c r="K55" s="134" t="str">
        <f>IF($I55="","",TEXT(VLOOKUP($I55,SortedDownload!$B$3:$Z$499,13,FALSE),"[hh]:mm:ss.000"))</f>
        <v/>
      </c>
      <c r="L55" s="139"/>
      <c r="M55" s="139"/>
      <c r="N55" s="139"/>
      <c r="O55" s="139"/>
      <c r="P55" s="139"/>
      <c r="Q55" s="139"/>
      <c r="R55" s="139"/>
    </row>
    <row r="56" spans="1:18" ht="38.25" customHeight="1">
      <c r="A56" s="196" t="str">
        <f>IF(PrintedResults!G40="","","("&amp;(PrintedResults!H40)&amp; ")"&amp;" " &amp;  (PrintedResults!G40) &amp;"| "&amp;CHAR(10)&amp; PrintedResults!I40&amp;"| "&amp;CHAR(10)&amp; PrintedResults!K40 )</f>
        <v>(2) Lite F| 
Michelle George| 
00:13:16.804</v>
      </c>
      <c r="C56" s="198" t="str">
        <f>IF(PrintedResults!O40="",""," (" &amp;PrintedResults!N40&amp;") "&amp;PrintedResults!O40&amp;" | " &amp;CHAR(10) &amp;"Time: " &amp;  PrintedResults!Q40 )</f>
        <v/>
      </c>
      <c r="D56" s="75"/>
      <c r="E56" s="20"/>
      <c r="F56" s="139"/>
      <c r="G56" s="132" t="str">
        <f>IFERROR(IF((COUNTIF(G$2:G55,G55)&lt;3)*(COUNTIF(OverallResults!$H$3:$H$500,G55)&gt;COUNTIF(G$2:G55,G55)),G55,INDEX(OverallResults!$H$3:$H$500,MATCH(0,INDEX(COUNTIF(G$2:G55,OverallResults!$H$3:$H$500&amp;""),0,0),0))&amp;""),"")</f>
        <v/>
      </c>
      <c r="H56" s="138" t="str">
        <f t="array" ref="H56">IF($G56="","",SMALL(IF(OverallResults!$H$3:$H$500=$G56,OverallResults!$C$3:$C$500,""),COUNTIF($G$2:$G56,$G56)))</f>
        <v/>
      </c>
      <c r="I56" s="133" t="str">
        <f t="array" ref="I56">IFERROR(INDEX(OverallResults!$D$3:$D$500, MATCH(0, IF($G56&amp;$H56=OverallResults!$H$3:$H$500&amp;OverallResults!$C$3:$C$500,0,1)+COUNTIF(I$2:I53, OverallResults!$D$3:$D$500&amp;""), 0))&amp;"", "")</f>
        <v/>
      </c>
      <c r="J56" s="133" t="str">
        <f t="array" ref="J56">IF($G56="","",SMALL(IF(OverallResults!$H$3:$H$500=$G56,OverallResults!$B$3:$B$500,""),COUNTIF($G$2:$G56,$G56)))</f>
        <v/>
      </c>
      <c r="K56" s="134" t="str">
        <f>IF($I56="","",TEXT(VLOOKUP($I56,SortedDownload!$B$3:$Z$499,13,FALSE),"[hh]:mm:ss.000"))</f>
        <v/>
      </c>
      <c r="L56" s="139"/>
      <c r="M56" s="139"/>
      <c r="N56" s="139"/>
      <c r="O56" s="139"/>
      <c r="P56" s="139"/>
      <c r="Q56" s="139"/>
      <c r="R56" s="139"/>
    </row>
    <row r="57" spans="1:18" ht="38.25" customHeight="1">
      <c r="A57" s="196" t="str">
        <f>IF(PrintedResults!G41="","","("&amp;(PrintedResults!H41)&amp; ")"&amp;" " &amp;  (PrintedResults!G41) &amp;"| "&amp;CHAR(10)&amp; PrintedResults!I41&amp;"| "&amp;CHAR(10)&amp; PrintedResults!K41 )</f>
        <v>(3) Lite F| 
Amy Burton| 
00:13:25.752</v>
      </c>
      <c r="C57" s="198" t="str">
        <f>IF(PrintedResults!O41="",""," (" &amp;PrintedResults!N41&amp;") "&amp;PrintedResults!O41&amp;" | " &amp;CHAR(10) &amp;"Time: " &amp;  PrintedResults!Q41 )</f>
        <v/>
      </c>
      <c r="D57" s="75"/>
      <c r="E57" s="20"/>
      <c r="F57" s="139"/>
      <c r="G57" s="132" t="str">
        <f>IFERROR(IF((COUNTIF(G$2:G56,G56)&lt;3)*(COUNTIF(OverallResults!$H$3:$H$500,G56)&gt;COUNTIF(G$2:G56,G56)),G56,INDEX(OverallResults!$H$3:$H$500,MATCH(0,INDEX(COUNTIF(G$2:G56,OverallResults!$H$3:$H$500&amp;""),0,0),0))&amp;""),"")</f>
        <v/>
      </c>
      <c r="H57" s="138" t="str">
        <f t="array" ref="H57">IF($G57="","",SMALL(IF(OverallResults!$H$3:$H$500=$G57,OverallResults!$C$3:$C$500,""),COUNTIF($G$2:$G57,$G57)))</f>
        <v/>
      </c>
      <c r="I57" s="133" t="str">
        <f t="array" ref="I57">IFERROR(INDEX(OverallResults!$D$3:$D$500, MATCH(0, IF($G57&amp;$H57=OverallResults!$H$3:$H$500&amp;OverallResults!$C$3:$C$500,0,1)+COUNTIF(I$2:I54, OverallResults!$D$3:$D$500&amp;""), 0))&amp;"", "")</f>
        <v/>
      </c>
      <c r="J57" s="133" t="str">
        <f t="array" ref="J57">IF($G57="","",SMALL(IF(OverallResults!$H$3:$H$500=$G57,OverallResults!$B$3:$B$500,""),COUNTIF($G$2:$G57,$G57)))</f>
        <v/>
      </c>
      <c r="K57" s="134" t="str">
        <f>IF($I57="","",TEXT(VLOOKUP($I57,SortedDownload!$B$3:$Z$499,13,FALSE),"[hh]:mm:ss.000"))</f>
        <v/>
      </c>
      <c r="L57" s="139"/>
      <c r="M57" s="139"/>
      <c r="N57" s="139"/>
      <c r="O57" s="139"/>
      <c r="P57" s="139"/>
      <c r="Q57" s="139"/>
      <c r="R57" s="139"/>
    </row>
    <row r="58" spans="1:18" ht="38.25" customHeight="1">
      <c r="A58" s="196" t="str">
        <f>IF(PrintedResults!G42="","","("&amp;(PrintedResults!H42)&amp; ")"&amp;" " &amp;  (PrintedResults!G42) &amp;"| "&amp;CHAR(10)&amp; PrintedResults!I42&amp;"| "&amp;CHAR(10)&amp; PrintedResults!K42 )</f>
        <v>(1) Nipper Boys| 
James Marais| 
00:13:54.993</v>
      </c>
      <c r="C58" s="198" t="str">
        <f>IF(PrintedResults!O42="",""," (" &amp;PrintedResults!N42&amp;") "&amp;PrintedResults!O42&amp;" | " &amp;CHAR(10) &amp;"Time: " &amp;  PrintedResults!Q42 )</f>
        <v/>
      </c>
      <c r="D58" s="75"/>
      <c r="E58" s="20"/>
      <c r="F58" s="139"/>
      <c r="G58" s="132" t="str">
        <f>IFERROR(IF((COUNTIF(G$2:G57,G57)&lt;3)*(COUNTIF(OverallResults!$H$3:$H$500,G57)&gt;COUNTIF(G$2:G57,G57)),G57,INDEX(OverallResults!$H$3:$H$500,MATCH(0,INDEX(COUNTIF(G$2:G57,OverallResults!$H$3:$H$500&amp;""),0,0),0))&amp;""),"")</f>
        <v/>
      </c>
      <c r="H58" s="138" t="str">
        <f t="array" ref="H58">IF($G58="","",SMALL(IF(OverallResults!$H$3:$H$500=$G58,OverallResults!$C$3:$C$500,""),COUNTIF($G$2:$G58,$G58)))</f>
        <v/>
      </c>
      <c r="I58" s="133" t="str">
        <f t="array" ref="I58">IFERROR(INDEX(OverallResults!$D$3:$D$500, MATCH(0, IF($G58&amp;$H58=OverallResults!$H$3:$H$500&amp;OverallResults!$C$3:$C$500,0,1)+COUNTIF(I$2:I55, OverallResults!$D$3:$D$500&amp;""), 0))&amp;"", "")</f>
        <v/>
      </c>
      <c r="J58" s="133" t="str">
        <f t="array" ref="J58">IF($G58="","",SMALL(IF(OverallResults!$H$3:$H$500=$G58,OverallResults!$B$3:$B$500,""),COUNTIF($G$2:$G58,$G58)))</f>
        <v/>
      </c>
      <c r="K58" s="134" t="str">
        <f>IF($I58="","",TEXT(VLOOKUP($I58,SortedDownload!$B$3:$Z$499,13,FALSE),"[hh]:mm:ss.000"))</f>
        <v/>
      </c>
      <c r="L58" s="139"/>
      <c r="M58" s="139"/>
      <c r="N58" s="139"/>
      <c r="O58" s="139"/>
      <c r="P58" s="139"/>
      <c r="Q58" s="139"/>
      <c r="R58" s="139"/>
    </row>
    <row r="59" spans="1:18" ht="38.25" customHeight="1">
      <c r="A59" s="196" t="str">
        <f>IF(PrintedResults!G43="","","("&amp;(PrintedResults!H43)&amp; ")"&amp;" " &amp;  (PrintedResults!G43) &amp;"| "&amp;CHAR(10)&amp; PrintedResults!I43&amp;"| "&amp;CHAR(10)&amp; PrintedResults!K43 )</f>
        <v>(2) Nipper Boys| 
Robert-John Behan| 
00:15:37.932</v>
      </c>
      <c r="C59" s="199"/>
      <c r="D59" s="75"/>
      <c r="E59" s="20"/>
      <c r="F59" s="139"/>
      <c r="G59" s="132" t="str">
        <f>IFERROR(IF((COUNTIF(G$2:G58,G58)&lt;3)*(COUNTIF(OverallResults!$H$3:$H$500,G58)&gt;COUNTIF(G$2:G58,G58)),G58,INDEX(OverallResults!$H$3:$H$500,MATCH(0,INDEX(COUNTIF(G$2:G58,OverallResults!$H$3:$H$500&amp;""),0,0),0))&amp;""),"")</f>
        <v/>
      </c>
      <c r="H59" s="138" t="str">
        <f t="array" ref="H59">IF($G59="","",SMALL(IF(OverallResults!$H$3:$H$500=$G59,OverallResults!$C$3:$C$500,""),COUNTIF($G$2:$G59,$G59)))</f>
        <v/>
      </c>
      <c r="I59" s="133" t="str">
        <f t="array" ref="I59">IFERROR(INDEX(OverallResults!$D$3:$D$500, MATCH(0, IF($G59&amp;$H59=OverallResults!$H$3:$H$500&amp;OverallResults!$C$3:$C$500,0,1)+COUNTIF(I$2:I56, OverallResults!$D$3:$D$500&amp;""), 0))&amp;"", "")</f>
        <v/>
      </c>
      <c r="J59" s="133" t="str">
        <f t="array" ref="J59">IF($G59="","",SMALL(IF(OverallResults!$H$3:$H$500=$G59,OverallResults!$B$3:$B$500,""),COUNTIF($G$2:$G59,$G59)))</f>
        <v/>
      </c>
      <c r="K59" s="134" t="str">
        <f>IF($I59="","",TEXT(VLOOKUP($I59,SortedDownload!$B$3:$Z$499,13,FALSE),"[hh]:mm:ss.000"))</f>
        <v/>
      </c>
      <c r="L59" s="139"/>
      <c r="M59" s="139"/>
      <c r="N59" s="139"/>
      <c r="O59" s="139"/>
      <c r="P59" s="139"/>
      <c r="Q59" s="139"/>
      <c r="R59" s="139"/>
    </row>
    <row r="60" spans="1:18" ht="38.25" customHeight="1">
      <c r="A60" s="196" t="str">
        <f>IF(PrintedResults!G44="","","("&amp;(PrintedResults!H44)&amp; ")"&amp;" " &amp;  (PrintedResults!G44) &amp;"| "&amp;CHAR(10)&amp; PrintedResults!I44&amp;"| "&amp;CHAR(10)&amp; PrintedResults!K44 )</f>
        <v>(3) Nipper Boys| 
Spencer Van Zyl| 
00:18:10.858</v>
      </c>
      <c r="E60" s="20"/>
      <c r="F60" s="139"/>
      <c r="G60" s="132" t="str">
        <f>IFERROR(IF((COUNTIF(G$2:G59,G59)&lt;3)*(COUNTIF(OverallResults!$H$3:$H$500,G59)&gt;COUNTIF(G$2:G59,G59)),G59,INDEX(OverallResults!$H$3:$H$500,MATCH(0,INDEX(COUNTIF(G$2:G59,OverallResults!$H$3:$H$500&amp;""),0,0),0))&amp;""),"")</f>
        <v/>
      </c>
      <c r="H60" s="138" t="str">
        <f t="array" ref="H60">IF($G60="","",SMALL(IF(OverallResults!$H$3:$H$500=$G60,OverallResults!$C$3:$C$500,""),COUNTIF($G$2:$G60,$G60)))</f>
        <v/>
      </c>
      <c r="I60" s="133" t="str">
        <f t="array" ref="I60">IFERROR(INDEX(OverallResults!$D$3:$D$500, MATCH(0, IF($G60&amp;$H60=OverallResults!$H$3:$H$500&amp;OverallResults!$C$3:$C$500,0,1)+COUNTIF(I$2:I57, OverallResults!$D$3:$D$500&amp;""), 0))&amp;"", "")</f>
        <v/>
      </c>
      <c r="J60" s="133" t="str">
        <f t="array" ref="J60">IF($G60="","",SMALL(IF(OverallResults!$H$3:$H$500=$G60,OverallResults!$B$3:$B$500,""),COUNTIF($G$2:$G60,$G60)))</f>
        <v/>
      </c>
      <c r="K60" s="134" t="str">
        <f>IF($I60="","",TEXT(VLOOKUP($I60,SortedDownload!$B$3:$Z$499,13,FALSE),"[hh]:mm:ss.000"))</f>
        <v/>
      </c>
      <c r="L60" s="139"/>
      <c r="M60" s="139"/>
      <c r="N60" s="139"/>
      <c r="O60" s="139"/>
      <c r="P60" s="139"/>
      <c r="Q60" s="139"/>
      <c r="R60" s="139"/>
    </row>
    <row r="61" spans="1:18" ht="38.25" customHeight="1">
      <c r="A61" s="196" t="str">
        <f>IF(PrintedResults!G45="","","("&amp;(PrintedResults!H45)&amp; ")"&amp;" " &amp;  (PrintedResults!G45) &amp;"| "&amp;CHAR(10)&amp; PrintedResults!I45&amp;"| "&amp;CHAR(10)&amp; PrintedResults!K45 )</f>
        <v>(1) Nipper Girls| 
Isabella Stermin| 
00:18:21.563</v>
      </c>
      <c r="E61" s="20"/>
      <c r="F61" s="139"/>
      <c r="G61" s="132" t="str">
        <f>IFERROR(IF((COUNTIF(G$2:G60,G60)&lt;3)*(COUNTIF(OverallResults!$H$3:$H$500,G60)&gt;COUNTIF(G$2:G60,G60)),G60,INDEX(OverallResults!$H$3:$H$500,MATCH(0,INDEX(COUNTIF(G$2:G60,OverallResults!$H$3:$H$500&amp;""),0,0),0))&amp;""),"")</f>
        <v/>
      </c>
      <c r="H61" s="138" t="str">
        <f t="array" ref="H61">IF($G61="","",SMALL(IF(OverallResults!$H$3:$H$500=$G61,OverallResults!$C$3:$C$500,""),COUNTIF($G$2:$G61,$G61)))</f>
        <v/>
      </c>
      <c r="I61" s="133" t="str">
        <f t="array" ref="I61">IFERROR(INDEX(OverallResults!$D$3:$D$500, MATCH(0, IF($G61&amp;$H61=OverallResults!$H$3:$H$500&amp;OverallResults!$C$3:$C$500,0,1)+COUNTIF(I$2:I58, OverallResults!$D$3:$D$500&amp;""), 0))&amp;"", "")</f>
        <v/>
      </c>
      <c r="J61" s="133" t="str">
        <f t="array" ref="J61">IF($G61="","",SMALL(IF(OverallResults!$H$3:$H$500=$G61,OverallResults!$B$3:$B$500,""),COUNTIF($G$2:$G61,$G61)))</f>
        <v/>
      </c>
      <c r="K61" s="134" t="str">
        <f>IF($I61="","",TEXT(VLOOKUP($I61,SortedDownload!$B$3:$Z$499,13,FALSE),"[hh]:mm:ss.000"))</f>
        <v/>
      </c>
      <c r="L61" s="139"/>
      <c r="M61" s="139"/>
      <c r="N61" s="139"/>
      <c r="O61" s="139"/>
      <c r="P61" s="139"/>
      <c r="Q61" s="139"/>
      <c r="R61" s="139"/>
    </row>
    <row r="62" spans="1:18" ht="38.25" customHeight="1">
      <c r="A62" s="196" t="e">
        <f>IF(PrintedResults!G46="","","("&amp;(PrintedResults!H46)&amp; ")"&amp;" " &amp;  (PrintedResults!G46) &amp;"| "&amp;CHAR(10)&amp; PrintedResults!I46&amp;"| "&amp;CHAR(10)&amp; PrintedResults!K46 )</f>
        <v>#NUM!</v>
      </c>
      <c r="E62" s="20"/>
      <c r="F62" s="139"/>
      <c r="G62" s="132" t="str">
        <f>IFERROR(IF((COUNTIF(G$2:G61,G61)&lt;3)*(COUNTIF(OverallResults!$H$3:$H$500,G61)&gt;COUNTIF(G$2:G61,G61)),G61,INDEX(OverallResults!$H$3:$H$500,MATCH(0,INDEX(COUNTIF(G$2:G61,OverallResults!$H$3:$H$500&amp;""),0,0),0))&amp;""),"")</f>
        <v/>
      </c>
      <c r="H62" s="138" t="str">
        <f t="array" ref="H62">IF($G62="","",SMALL(IF(OverallResults!$H$3:$H$500=$G62,OverallResults!$C$3:$C$500,""),COUNTIF($G$2:$G62,$G62)))</f>
        <v/>
      </c>
      <c r="I62" s="133" t="str">
        <f t="array" ref="I62">IFERROR(INDEX(OverallResults!$D$3:$D$500, MATCH(0, IF($G62&amp;$H62=OverallResults!$H$3:$H$500&amp;OverallResults!$C$3:$C$500,0,1)+COUNTIF(I$2:I59, OverallResults!$D$3:$D$500&amp;""), 0))&amp;"", "")</f>
        <v/>
      </c>
      <c r="J62" s="133" t="str">
        <f t="array" ref="J62">IF($G62="","",SMALL(IF(OverallResults!$H$3:$H$500=$G62,OverallResults!$B$3:$B$500,""),COUNTIF($G$2:$G62,$G62)))</f>
        <v/>
      </c>
      <c r="K62" s="134" t="str">
        <f>IF($I62="","",TEXT(VLOOKUP($I62,SortedDownload!$B$3:$Z$499,13,FALSE),"[hh]:mm:ss.000"))</f>
        <v/>
      </c>
      <c r="L62" s="139"/>
      <c r="M62" s="139"/>
      <c r="N62" s="139"/>
      <c r="O62" s="139"/>
      <c r="P62" s="139"/>
      <c r="Q62" s="139"/>
      <c r="R62" s="139"/>
    </row>
    <row r="63" spans="1:18" ht="38.25" customHeight="1">
      <c r="A63" s="196" t="str">
        <f>IF(PrintedResults!G47="","","("&amp;(PrintedResults!H47)&amp; ")"&amp;" " &amp;  (PrintedResults!G47) &amp;"| "&amp;CHAR(10)&amp; PrintedResults!I47&amp;"| "&amp;CHAR(10)&amp; PrintedResults!K47 )</f>
        <v/>
      </c>
      <c r="E63" s="20"/>
      <c r="F63" s="139"/>
      <c r="G63" s="132" t="str">
        <f>IFERROR(IF((COUNTIF(G$2:G62,G62)&lt;3)*(COUNTIF(OverallResults!$H$3:$H$500,G62)&gt;COUNTIF(G$2:G62,G62)),G62,INDEX(OverallResults!$H$3:$H$500,MATCH(0,INDEX(COUNTIF(G$2:G62,OverallResults!$H$3:$H$500&amp;""),0,0),0))&amp;""),"")</f>
        <v/>
      </c>
      <c r="H63" s="138" t="str">
        <f t="array" ref="H63">IF($G63="","",SMALL(IF(OverallResults!$H$3:$H$500=$G63,OverallResults!$C$3:$C$500,""),COUNTIF($G$2:$G63,$G63)))</f>
        <v/>
      </c>
      <c r="I63" s="133" t="str">
        <f t="array" ref="I63">IFERROR(INDEX(OverallResults!$D$3:$D$500, MATCH(0, IF($G63&amp;$H63=OverallResults!$H$3:$H$500&amp;OverallResults!$C$3:$C$500,0,1)+COUNTIF(I$2:I60, OverallResults!$D$3:$D$500&amp;""), 0))&amp;"", "")</f>
        <v/>
      </c>
      <c r="J63" s="133" t="str">
        <f t="array" ref="J63">IF($G63="","",SMALL(IF(OverallResults!$H$3:$H$500=$G63,OverallResults!$B$3:$B$500,""),COUNTIF($G$2:$G63,$G63)))</f>
        <v/>
      </c>
      <c r="K63" s="134" t="str">
        <f>IF($I63="","",TEXT(VLOOKUP($I63,SortedDownload!$B$3:$Z$499,13,FALSE),"[hh]:mm:ss.000"))</f>
        <v/>
      </c>
      <c r="L63" s="139"/>
      <c r="M63" s="139"/>
      <c r="N63" s="139"/>
      <c r="O63" s="139"/>
      <c r="P63" s="139"/>
      <c r="Q63" s="139"/>
      <c r="R63" s="139"/>
    </row>
    <row r="64" spans="1:18" ht="38.25" customHeight="1">
      <c r="A64" s="196" t="str">
        <f>IF(PrintedResults!G48="","","("&amp;(PrintedResults!H48)&amp; ")"&amp;" " &amp;  (PrintedResults!G48) &amp;"| "&amp;CHAR(10)&amp; PrintedResults!I48&amp;"| "&amp;CHAR(10)&amp; PrintedResults!K48 )</f>
        <v/>
      </c>
      <c r="E64" s="213"/>
      <c r="F64" s="139"/>
      <c r="G64" s="132" t="str">
        <f>IFERROR(IF((COUNTIF(G$2:G63,G63)&lt;3)*(COUNTIF(OverallResults!$H$3:$H$500,G63)&gt;COUNTIF(G$2:G63,G63)),G63,INDEX(OverallResults!$H$3:$H$500,MATCH(0,INDEX(COUNTIF(G$2:G63,OverallResults!$H$3:$H$500&amp;""),0,0),0))&amp;""),"")</f>
        <v/>
      </c>
      <c r="H64" s="138" t="str">
        <f t="array" ref="H64">IF($G64="","",SMALL(IF(OverallResults!$H$3:$H$500=$G64,OverallResults!$C$3:$C$500,""),COUNTIF($G$2:$G64,$G64)))</f>
        <v/>
      </c>
      <c r="I64" s="133" t="str">
        <f t="array" ref="I64">IFERROR(INDEX(OverallResults!$D$3:$D$500, MATCH(0, IF($G64&amp;$H64=OverallResults!$H$3:$H$500&amp;OverallResults!$C$3:$C$500,0,1)+COUNTIF(I$2:I61, OverallResults!$D$3:$D$500&amp;""), 0))&amp;"", "")</f>
        <v/>
      </c>
      <c r="J64" s="133" t="str">
        <f t="array" ref="J64">IF($G64="","",SMALL(IF(OverallResults!$H$3:$H$500=$G64,OverallResults!$B$3:$B$500,""),COUNTIF($G$2:$G64,$G64)))</f>
        <v/>
      </c>
      <c r="K64" s="134" t="str">
        <f>IF($I64="","",TEXT(VLOOKUP($I64,SortedDownload!$B$3:$Z$499,13,FALSE),"[hh]:mm:ss.000"))</f>
        <v/>
      </c>
      <c r="L64" s="139"/>
      <c r="M64" s="139"/>
      <c r="N64" s="139"/>
      <c r="O64" s="139"/>
      <c r="P64" s="139"/>
      <c r="Q64" s="139"/>
      <c r="R64" s="139"/>
    </row>
    <row r="65" spans="1:18" ht="38.25" customHeight="1">
      <c r="A65" s="196" t="str">
        <f>IF(PrintedResults!G49="","","("&amp;(PrintedResults!H49)&amp; ")"&amp;" " &amp;  (PrintedResults!G49) &amp;"| "&amp;CHAR(10)&amp; PrintedResults!I49&amp;"| "&amp;CHAR(10)&amp; PrintedResults!K49 )</f>
        <v/>
      </c>
      <c r="E65" s="20"/>
      <c r="F65" s="139"/>
      <c r="G65" s="139"/>
      <c r="H65" s="140"/>
      <c r="I65" s="139"/>
      <c r="J65" s="139"/>
      <c r="K65" s="141"/>
      <c r="L65" s="139"/>
      <c r="M65" s="139"/>
      <c r="N65" s="139"/>
      <c r="O65" s="139"/>
      <c r="P65" s="139"/>
      <c r="Q65" s="139"/>
      <c r="R65" s="139"/>
    </row>
    <row r="66" spans="1:18" ht="38.25" customHeight="1">
      <c r="A66" s="196" t="str">
        <f>IF(PrintedResults!G50="","","("&amp;(PrintedResults!H50)&amp; ")"&amp;" " &amp;  (PrintedResults!G50) &amp;"| "&amp;CHAR(10)&amp; PrintedResults!I50&amp;"| "&amp;CHAR(10)&amp; PrintedResults!K50 )</f>
        <v/>
      </c>
      <c r="E66" s="20"/>
      <c r="F66" s="139"/>
      <c r="G66" s="139"/>
      <c r="H66" s="140"/>
      <c r="I66" s="139"/>
      <c r="J66" s="139"/>
      <c r="K66" s="141"/>
      <c r="L66" s="139"/>
      <c r="M66" s="139"/>
      <c r="N66" s="139"/>
      <c r="O66" s="139"/>
      <c r="P66" s="139"/>
      <c r="Q66" s="139"/>
      <c r="R66" s="139"/>
    </row>
    <row r="67" spans="1:18" ht="38.25" customHeight="1">
      <c r="A67" s="196" t="str">
        <f>IF(PrintedResults!G51="","","("&amp;(PrintedResults!H51)&amp; ")"&amp;" " &amp;  (PrintedResults!G51) &amp;"| "&amp;CHAR(10)&amp; PrintedResults!I51&amp;"| "&amp;CHAR(10)&amp; PrintedResults!K51 )</f>
        <v/>
      </c>
      <c r="E67" s="20"/>
      <c r="F67" s="139"/>
      <c r="G67" s="139"/>
      <c r="H67" s="140"/>
      <c r="I67" s="139"/>
      <c r="J67" s="139"/>
      <c r="K67" s="141"/>
      <c r="L67" s="139"/>
      <c r="M67" s="139"/>
      <c r="N67" s="139"/>
      <c r="O67" s="139"/>
      <c r="P67" s="139"/>
      <c r="Q67" s="139"/>
      <c r="R67" s="139"/>
    </row>
    <row r="68" spans="1:18" ht="38.25" customHeight="1">
      <c r="A68" s="196" t="str">
        <f>IF(PrintedResults!G52="","","("&amp;(PrintedResults!H52)&amp; ")"&amp;" " &amp;  (PrintedResults!G52) &amp;"| "&amp;CHAR(10)&amp; PrintedResults!I52&amp;"| "&amp;CHAR(10)&amp; PrintedResults!K52 )</f>
        <v/>
      </c>
      <c r="E68" s="20"/>
      <c r="F68" s="139"/>
      <c r="G68" s="139"/>
      <c r="H68" s="140"/>
      <c r="I68" s="139"/>
      <c r="J68" s="139"/>
      <c r="K68" s="141"/>
      <c r="L68" s="139"/>
      <c r="M68" s="139"/>
      <c r="N68" s="139"/>
      <c r="O68" s="139"/>
      <c r="P68" s="139"/>
      <c r="Q68" s="139"/>
      <c r="R68" s="139"/>
    </row>
    <row r="69" spans="1:18" ht="38.25" customHeight="1">
      <c r="A69" s="196" t="str">
        <f>IF(PrintedResults!G53="","","("&amp;(PrintedResults!H53)&amp; ")"&amp;" " &amp;  (PrintedResults!G53) &amp;"| "&amp;CHAR(10)&amp; PrintedResults!I53&amp;"| "&amp;CHAR(10)&amp; PrintedResults!K53 )</f>
        <v/>
      </c>
      <c r="E69" s="20"/>
      <c r="F69" s="139"/>
      <c r="G69" s="139"/>
      <c r="H69" s="140"/>
      <c r="I69" s="139"/>
      <c r="J69" s="139"/>
      <c r="K69" s="141"/>
      <c r="L69" s="139"/>
      <c r="M69" s="139"/>
      <c r="N69" s="139"/>
      <c r="O69" s="139"/>
      <c r="P69" s="139"/>
      <c r="Q69" s="139"/>
      <c r="R69" s="139"/>
    </row>
    <row r="70" spans="1:18" ht="38.25" customHeight="1">
      <c r="A70" s="196" t="str">
        <f>IF(PrintedResults!G54="","","("&amp;(PrintedResults!H54)&amp; ")"&amp;" " &amp;  (PrintedResults!G54) &amp;"| "&amp;CHAR(10)&amp; PrintedResults!I54&amp;"| "&amp;CHAR(10)&amp; PrintedResults!K54 )</f>
        <v/>
      </c>
      <c r="E70" s="20"/>
      <c r="F70" s="139"/>
      <c r="G70" s="139"/>
      <c r="H70" s="140"/>
      <c r="I70" s="139"/>
      <c r="J70" s="139"/>
      <c r="K70" s="141"/>
      <c r="L70" s="139"/>
      <c r="M70" s="139"/>
      <c r="N70" s="139"/>
      <c r="O70" s="139"/>
      <c r="P70" s="139"/>
      <c r="Q70" s="139"/>
      <c r="R70" s="139"/>
    </row>
    <row r="71" spans="1:18" ht="38.25" customHeight="1">
      <c r="A71" s="196" t="str">
        <f>IF(PrintedResults!G55="","","("&amp;(PrintedResults!H55)&amp; ")"&amp;" " &amp;  (PrintedResults!G55) &amp;"| "&amp;CHAR(10)&amp; PrintedResults!I55&amp;"| "&amp;CHAR(10)&amp; PrintedResults!K55 )</f>
        <v/>
      </c>
      <c r="E71" s="20"/>
      <c r="F71" s="139"/>
      <c r="G71" s="139"/>
      <c r="H71" s="140"/>
      <c r="I71" s="139"/>
      <c r="J71" s="139"/>
      <c r="K71" s="141"/>
      <c r="L71" s="139"/>
      <c r="M71" s="139"/>
      <c r="N71" s="139"/>
      <c r="O71" s="139"/>
      <c r="P71" s="139"/>
      <c r="Q71" s="139"/>
      <c r="R71" s="139"/>
    </row>
    <row r="72" spans="1:18" ht="38.25" customHeight="1">
      <c r="A72" s="196" t="str">
        <f>IF(PrintedResults!G56="","","("&amp;(PrintedResults!H56)&amp; ")"&amp;" " &amp;  (PrintedResults!G56) &amp;"| "&amp;CHAR(10)&amp; PrintedResults!I56&amp;"| "&amp;CHAR(10)&amp; PrintedResults!K56 )</f>
        <v/>
      </c>
      <c r="E72" s="20"/>
      <c r="F72" s="139"/>
      <c r="G72" s="139"/>
      <c r="H72" s="140"/>
      <c r="I72" s="139"/>
      <c r="J72" s="139"/>
      <c r="K72" s="141"/>
      <c r="L72" s="139"/>
      <c r="M72" s="139"/>
      <c r="N72" s="139"/>
      <c r="O72" s="139"/>
      <c r="P72" s="139"/>
      <c r="Q72" s="139"/>
      <c r="R72" s="139"/>
    </row>
    <row r="73" spans="1:18" ht="38.25" customHeight="1">
      <c r="A73" s="196" t="str">
        <f>IF(PrintedResults!G57="","","("&amp;(PrintedResults!H57)&amp; ")"&amp;" " &amp;  (PrintedResults!G57) &amp;"| "&amp;CHAR(10)&amp; PrintedResults!I57&amp;"| "&amp;CHAR(10)&amp; PrintedResults!K57 )</f>
        <v/>
      </c>
      <c r="E73" s="20"/>
      <c r="F73" s="139"/>
      <c r="G73" s="139"/>
      <c r="H73" s="140"/>
      <c r="I73" s="139"/>
      <c r="J73" s="139"/>
      <c r="K73" s="141"/>
      <c r="L73" s="139"/>
      <c r="M73" s="139"/>
      <c r="N73" s="139"/>
      <c r="O73" s="139"/>
      <c r="P73" s="139"/>
      <c r="Q73" s="139"/>
      <c r="R73" s="139"/>
    </row>
    <row r="74" spans="1:18" ht="38.25" customHeight="1">
      <c r="A74" s="196" t="str">
        <f>IF(PrintedResults!G58="","","("&amp;(PrintedResults!H58)&amp; ")"&amp;" " &amp;  (PrintedResults!G58) &amp;"| "&amp;CHAR(10)&amp; PrintedResults!I58&amp;"| "&amp;CHAR(10)&amp; PrintedResults!K58 )</f>
        <v/>
      </c>
      <c r="E74" s="20"/>
      <c r="F74" s="139"/>
      <c r="G74" s="139"/>
      <c r="H74" s="140"/>
      <c r="I74" s="139"/>
      <c r="J74" s="139"/>
      <c r="K74" s="141"/>
      <c r="L74" s="139"/>
      <c r="M74" s="139"/>
      <c r="N74" s="139"/>
      <c r="O74" s="139"/>
      <c r="P74" s="139"/>
      <c r="Q74" s="139"/>
      <c r="R74" s="139"/>
    </row>
    <row r="75" spans="1:18" ht="38.25" customHeight="1">
      <c r="A75" s="196" t="str">
        <f>IF(PrintedResults!G59="","","("&amp;(PrintedResults!H59)&amp; ")"&amp;" " &amp;  (PrintedResults!G59) &amp;"| "&amp;CHAR(10)&amp; PrintedResults!I59&amp;"| "&amp;CHAR(10)&amp; PrintedResults!K59 )</f>
        <v/>
      </c>
      <c r="E75" s="20"/>
      <c r="F75" s="139"/>
      <c r="G75" s="139"/>
      <c r="H75" s="140"/>
      <c r="I75" s="139"/>
      <c r="J75" s="139"/>
      <c r="K75" s="141"/>
      <c r="L75" s="139"/>
      <c r="M75" s="139"/>
      <c r="N75" s="139"/>
      <c r="O75" s="139"/>
      <c r="P75" s="139"/>
      <c r="Q75" s="139"/>
      <c r="R75" s="139"/>
    </row>
    <row r="76" spans="1:18" ht="38.25" customHeight="1">
      <c r="A76" s="196" t="str">
        <f>IF(PrintedResults!G60="","","("&amp;(PrintedResults!H60)&amp; ")"&amp;" " &amp;  (PrintedResults!G60) &amp;"| "&amp;CHAR(10)&amp; PrintedResults!I60&amp;"| "&amp;CHAR(10)&amp; PrintedResults!K60 )</f>
        <v/>
      </c>
      <c r="E76" s="20"/>
      <c r="F76" s="139"/>
      <c r="G76" s="139"/>
      <c r="H76" s="140"/>
      <c r="I76" s="139"/>
      <c r="J76" s="139"/>
      <c r="K76" s="141"/>
      <c r="L76" s="139"/>
      <c r="M76" s="139"/>
      <c r="N76" s="139"/>
      <c r="O76" s="139"/>
      <c r="P76" s="139"/>
      <c r="Q76" s="139"/>
      <c r="R76" s="139"/>
    </row>
    <row r="77" spans="1:18" ht="38.25" customHeight="1">
      <c r="A77" s="196" t="str">
        <f>IF(PrintedResults!G61="","","("&amp;(PrintedResults!H61)&amp; ")"&amp;" " &amp;  (PrintedResults!G61) &amp;"| "&amp;CHAR(10)&amp; PrintedResults!I61&amp;"| "&amp;CHAR(10)&amp; PrintedResults!K61 )</f>
        <v/>
      </c>
      <c r="E77" s="20"/>
      <c r="F77" s="139"/>
      <c r="G77" s="139"/>
      <c r="H77" s="140"/>
      <c r="I77" s="139"/>
      <c r="J77" s="139"/>
      <c r="K77" s="141"/>
      <c r="L77" s="139"/>
      <c r="M77" s="139"/>
      <c r="N77" s="139"/>
      <c r="O77" s="139"/>
      <c r="P77" s="139"/>
      <c r="Q77" s="139"/>
      <c r="R77" s="139"/>
    </row>
    <row r="78" spans="1:18" ht="38.25" customHeight="1">
      <c r="A78" s="196" t="str">
        <f>IF(PrintedResults!G62="","","("&amp;(PrintedResults!H62)&amp; ")"&amp;" " &amp;  (PrintedResults!G62) &amp;"| "&amp;CHAR(10)&amp; PrintedResults!I62&amp;"| "&amp;CHAR(10)&amp; PrintedResults!K62 )</f>
        <v/>
      </c>
      <c r="E78" s="20"/>
      <c r="F78" s="139"/>
      <c r="G78" s="139"/>
      <c r="H78" s="140"/>
      <c r="I78" s="139"/>
      <c r="J78" s="139"/>
      <c r="K78" s="141"/>
      <c r="L78" s="139"/>
      <c r="M78" s="139"/>
      <c r="N78" s="139"/>
      <c r="O78" s="139"/>
      <c r="P78" s="139"/>
      <c r="Q78" s="139"/>
      <c r="R78" s="139"/>
    </row>
    <row r="79" spans="1:18" ht="38.25" customHeight="1">
      <c r="A79" s="196" t="str">
        <f>IF(PrintedResults!G63="","","("&amp;(PrintedResults!H63)&amp; ")"&amp;" " &amp;  (PrintedResults!G63) &amp;"| "&amp;CHAR(10)&amp; PrintedResults!I63&amp;"| "&amp;CHAR(10)&amp; PrintedResults!K63 )</f>
        <v/>
      </c>
      <c r="E79" s="20"/>
      <c r="F79" s="139"/>
      <c r="G79" s="139"/>
      <c r="H79" s="140"/>
      <c r="I79" s="139"/>
      <c r="J79" s="139"/>
      <c r="K79" s="141"/>
      <c r="L79" s="139"/>
      <c r="M79" s="139"/>
      <c r="N79" s="139"/>
      <c r="O79" s="139"/>
      <c r="P79" s="139"/>
      <c r="Q79" s="139"/>
      <c r="R79" s="139"/>
    </row>
    <row r="80" spans="1:18" ht="38.25" customHeight="1">
      <c r="A80" s="196" t="str">
        <f>IF(PrintedResults!G64="","","("&amp;(PrintedResults!H64)&amp; ")"&amp;" " &amp;  (PrintedResults!G64) &amp;"| "&amp;CHAR(10)&amp; PrintedResults!I64&amp;"| "&amp;CHAR(10)&amp; PrintedResults!K64 )</f>
        <v/>
      </c>
      <c r="E80" s="20"/>
      <c r="F80" s="139"/>
      <c r="G80" s="139"/>
      <c r="H80" s="140"/>
      <c r="I80" s="139"/>
      <c r="J80" s="139"/>
      <c r="K80" s="141"/>
      <c r="L80" s="139"/>
      <c r="M80" s="139"/>
      <c r="N80" s="139"/>
      <c r="O80" s="139"/>
      <c r="P80" s="139"/>
      <c r="Q80" s="139"/>
      <c r="R80" s="139"/>
    </row>
    <row r="81" spans="1:18" ht="38.25" customHeight="1">
      <c r="A81" s="196" t="str">
        <f>IF(PrintedResults!G65="","","("&amp;(PrintedResults!H65)&amp; ")"&amp;" " &amp;  (PrintedResults!G65) &amp;"| "&amp;CHAR(10)&amp; PrintedResults!I65&amp;"| "&amp;CHAR(10)&amp; PrintedResults!K65 )</f>
        <v/>
      </c>
      <c r="E81" s="20"/>
      <c r="F81" s="139"/>
      <c r="G81" s="139"/>
      <c r="H81" s="140"/>
      <c r="I81" s="139"/>
      <c r="J81" s="139"/>
      <c r="K81" s="141"/>
      <c r="L81" s="139"/>
      <c r="M81" s="139"/>
      <c r="N81" s="139"/>
      <c r="O81" s="139"/>
      <c r="P81" s="139"/>
      <c r="Q81" s="139"/>
      <c r="R81" s="139"/>
    </row>
    <row r="82" spans="1:18" ht="38.25" customHeight="1">
      <c r="A82" s="196" t="str">
        <f>IF(PrintedResults!G66="","","("&amp;(PrintedResults!H66)&amp; ")"&amp;" " &amp;  (PrintedResults!G66) &amp;"| "&amp;CHAR(10)&amp; PrintedResults!I66&amp;"| "&amp;CHAR(10)&amp; PrintedResults!K66 )</f>
        <v/>
      </c>
      <c r="E82" s="20"/>
      <c r="F82" s="139"/>
      <c r="G82" s="139"/>
      <c r="H82" s="140"/>
      <c r="I82" s="139"/>
      <c r="J82" s="139"/>
      <c r="K82" s="141"/>
      <c r="L82" s="139"/>
      <c r="M82" s="139"/>
      <c r="N82" s="139"/>
      <c r="O82" s="139"/>
      <c r="P82" s="139"/>
      <c r="Q82" s="139"/>
      <c r="R82" s="139"/>
    </row>
    <row r="83" spans="1:18" ht="38.25" customHeight="1">
      <c r="A83" s="196" t="str">
        <f>IF(PrintedResults!G67="","","("&amp;(PrintedResults!H67)&amp; ")"&amp;" " &amp;  (PrintedResults!G67) &amp;"| "&amp;CHAR(10)&amp; PrintedResults!I67&amp;"| "&amp;CHAR(10)&amp; PrintedResults!K67 )</f>
        <v/>
      </c>
      <c r="E83" s="20"/>
      <c r="F83" s="139"/>
      <c r="G83" s="139"/>
      <c r="H83" s="140"/>
      <c r="I83" s="139"/>
      <c r="J83" s="139"/>
      <c r="K83" s="141"/>
      <c r="L83" s="139"/>
      <c r="M83" s="139"/>
      <c r="N83" s="139"/>
      <c r="O83" s="139"/>
      <c r="P83" s="139"/>
      <c r="Q83" s="139"/>
      <c r="R83" s="139"/>
    </row>
    <row r="84" spans="1:18" ht="38.25" customHeight="1">
      <c r="A84" s="196" t="str">
        <f>IF(PrintedResults!G68="","","("&amp;(PrintedResults!H68)&amp; ")"&amp;" " &amp;  (PrintedResults!G68) &amp;"| "&amp;CHAR(10)&amp; PrintedResults!I68&amp;"| "&amp;CHAR(10)&amp; PrintedResults!K68 )</f>
        <v/>
      </c>
      <c r="E84" s="20"/>
      <c r="F84" s="139"/>
      <c r="G84" s="139"/>
      <c r="H84" s="140"/>
      <c r="I84" s="139"/>
      <c r="J84" s="139"/>
      <c r="K84" s="141"/>
      <c r="L84" s="139"/>
      <c r="M84" s="139"/>
      <c r="N84" s="139"/>
      <c r="O84" s="139"/>
      <c r="P84" s="139"/>
      <c r="Q84" s="139"/>
      <c r="R84" s="139"/>
    </row>
    <row r="85" spans="1:18" ht="38.25" customHeight="1">
      <c r="A85" s="196" t="str">
        <f>IF(PrintedResults!G69="","","("&amp;(PrintedResults!H69)&amp; ")"&amp;" " &amp;  (PrintedResults!G69) &amp;"| "&amp;CHAR(10)&amp; PrintedResults!I69&amp;"| "&amp;CHAR(10)&amp; PrintedResults!K69 )</f>
        <v/>
      </c>
      <c r="E85" s="20"/>
      <c r="F85" s="139"/>
      <c r="G85" s="139"/>
      <c r="H85" s="140"/>
      <c r="I85" s="139"/>
      <c r="J85" s="139"/>
      <c r="K85" s="141"/>
      <c r="L85" s="139"/>
      <c r="M85" s="139"/>
      <c r="N85" s="139"/>
      <c r="O85" s="139"/>
      <c r="P85" s="139"/>
      <c r="Q85" s="139"/>
      <c r="R85" s="139"/>
    </row>
    <row r="86" spans="1:18" ht="38.25" customHeight="1">
      <c r="A86" s="196" t="str">
        <f>IF(PrintedResults!G70="","","("&amp;(PrintedResults!H70)&amp; ")"&amp;" " &amp;  (PrintedResults!G70) &amp;"| "&amp;CHAR(10)&amp; PrintedResults!I70&amp;"| "&amp;CHAR(10)&amp; PrintedResults!K70 )</f>
        <v/>
      </c>
      <c r="E86" s="20"/>
      <c r="F86" s="139"/>
      <c r="G86" s="139"/>
      <c r="H86" s="140"/>
      <c r="I86" s="139"/>
      <c r="J86" s="139"/>
      <c r="K86" s="141"/>
      <c r="L86" s="139"/>
      <c r="M86" s="139"/>
      <c r="N86" s="139"/>
      <c r="O86" s="139"/>
      <c r="P86" s="139"/>
      <c r="Q86" s="139"/>
      <c r="R86" s="139"/>
    </row>
    <row r="87" spans="1:18" ht="38.25" customHeight="1">
      <c r="A87" s="196" t="str">
        <f>IF(PrintedResults!G71="","","("&amp;(PrintedResults!H71)&amp; ")"&amp;" " &amp;  (PrintedResults!G71) &amp;"| "&amp;CHAR(10)&amp; PrintedResults!I71&amp;"| "&amp;CHAR(10)&amp; PrintedResults!K71 )</f>
        <v/>
      </c>
      <c r="E87" s="20"/>
      <c r="F87" s="139"/>
      <c r="G87" s="139"/>
      <c r="H87" s="140"/>
      <c r="I87" s="139"/>
      <c r="J87" s="139"/>
      <c r="K87" s="141"/>
      <c r="L87" s="139"/>
      <c r="M87" s="139"/>
      <c r="N87" s="139"/>
      <c r="O87" s="139"/>
      <c r="P87" s="139"/>
      <c r="Q87" s="139"/>
      <c r="R87" s="139"/>
    </row>
    <row r="88" spans="1:18" ht="38.25" customHeight="1">
      <c r="A88" s="196" t="str">
        <f>IF(PrintedResults!G72="","","("&amp;(PrintedResults!H72)&amp; ")"&amp;" " &amp;  (PrintedResults!G72) &amp;"| "&amp;CHAR(10)&amp; PrintedResults!I72&amp;"| "&amp;CHAR(10)&amp; PrintedResults!K72 )</f>
        <v/>
      </c>
      <c r="E88" s="20"/>
      <c r="F88" s="139"/>
      <c r="G88" s="139"/>
      <c r="H88" s="140"/>
      <c r="I88" s="139"/>
      <c r="J88" s="139"/>
      <c r="K88" s="141"/>
      <c r="L88" s="139"/>
      <c r="M88" s="139"/>
      <c r="N88" s="139"/>
      <c r="O88" s="139"/>
      <c r="P88" s="139"/>
      <c r="Q88" s="139"/>
      <c r="R88" s="139"/>
    </row>
    <row r="89" spans="1:18" ht="38.25" customHeight="1">
      <c r="A89" s="196" t="str">
        <f>IF(PrintedResults!G73="","","("&amp;(PrintedResults!H73)&amp; ")"&amp;" " &amp;  (PrintedResults!G73) &amp;"| "&amp;CHAR(10)&amp; PrintedResults!I73&amp;"| "&amp;CHAR(10)&amp; PrintedResults!K73 )</f>
        <v/>
      </c>
      <c r="E89" s="20"/>
      <c r="F89" s="139"/>
      <c r="G89" s="139"/>
      <c r="H89" s="140"/>
      <c r="I89" s="139"/>
      <c r="J89" s="139"/>
      <c r="K89" s="141"/>
      <c r="L89" s="139"/>
      <c r="M89" s="139"/>
      <c r="N89" s="139"/>
      <c r="O89" s="139"/>
      <c r="P89" s="139"/>
      <c r="Q89" s="139"/>
      <c r="R89" s="139"/>
    </row>
    <row r="90" spans="1:18" ht="38.25" customHeight="1">
      <c r="A90" s="196" t="str">
        <f>IF(PrintedResults!G74="","","("&amp;(PrintedResults!H74)&amp; ")"&amp;" " &amp;  (PrintedResults!G74) &amp;"| "&amp;CHAR(10)&amp; PrintedResults!I74&amp;"| "&amp;CHAR(10)&amp; PrintedResults!K74 )</f>
        <v/>
      </c>
      <c r="E90" s="20"/>
      <c r="F90" s="139"/>
      <c r="G90" s="139"/>
      <c r="H90" s="140"/>
      <c r="I90" s="139"/>
      <c r="J90" s="139"/>
      <c r="K90" s="141"/>
      <c r="L90" s="139"/>
      <c r="M90" s="139"/>
      <c r="N90" s="139"/>
      <c r="O90" s="139"/>
      <c r="P90" s="139"/>
      <c r="Q90" s="139"/>
      <c r="R90" s="139"/>
    </row>
    <row r="91" spans="1:18" ht="38.25" customHeight="1">
      <c r="A91" s="196" t="str">
        <f>IF(PrintedResults!G75="","","("&amp;(PrintedResults!H75)&amp; ")"&amp;" " &amp;  (PrintedResults!G75) &amp;"| "&amp;CHAR(10)&amp; PrintedResults!I75&amp;"| "&amp;CHAR(10)&amp; PrintedResults!K75 )</f>
        <v/>
      </c>
      <c r="E91" s="20"/>
      <c r="F91" s="139"/>
      <c r="G91" s="139"/>
      <c r="H91" s="140"/>
      <c r="I91" s="139"/>
      <c r="J91" s="139"/>
      <c r="K91" s="141"/>
      <c r="L91" s="139"/>
      <c r="M91" s="139"/>
      <c r="N91" s="139"/>
      <c r="O91" s="139"/>
      <c r="P91" s="139"/>
      <c r="Q91" s="139"/>
      <c r="R91" s="139"/>
    </row>
    <row r="92" spans="1:18" ht="38.25" customHeight="1">
      <c r="A92" s="196" t="str">
        <f>IF(PrintedResults!G76="","","("&amp;(PrintedResults!H76)&amp; ")"&amp;" " &amp;  (PrintedResults!G76) &amp;"| "&amp;CHAR(10)&amp; PrintedResults!I76&amp;"| "&amp;CHAR(10)&amp; PrintedResults!K76 )</f>
        <v/>
      </c>
      <c r="E92" s="20"/>
      <c r="F92" s="139"/>
      <c r="G92" s="139"/>
      <c r="H92" s="140"/>
      <c r="I92" s="139"/>
      <c r="J92" s="139"/>
      <c r="K92" s="141"/>
      <c r="L92" s="139"/>
      <c r="M92" s="139"/>
      <c r="N92" s="139"/>
      <c r="O92" s="139"/>
      <c r="P92" s="139"/>
      <c r="Q92" s="139"/>
      <c r="R92" s="139"/>
    </row>
    <row r="93" spans="1:18" ht="38.25" customHeight="1">
      <c r="A93" s="196" t="str">
        <f>IF(PrintedResults!G77="","","("&amp;(PrintedResults!H77)&amp; ")"&amp;" " &amp;  (PrintedResults!G77) &amp;"| "&amp;CHAR(10)&amp; PrintedResults!I77&amp;"| "&amp;CHAR(10)&amp; PrintedResults!K77 )</f>
        <v/>
      </c>
      <c r="E93" s="20"/>
      <c r="F93" s="139"/>
      <c r="G93" s="139"/>
      <c r="H93" s="140"/>
      <c r="I93" s="139"/>
      <c r="J93" s="139"/>
      <c r="K93" s="141"/>
      <c r="L93" s="139"/>
      <c r="M93" s="139"/>
      <c r="N93" s="139"/>
      <c r="O93" s="139"/>
      <c r="P93" s="139"/>
      <c r="Q93" s="139"/>
      <c r="R93" s="139"/>
    </row>
    <row r="94" spans="1:18" ht="38.25" customHeight="1">
      <c r="A94" s="196" t="str">
        <f>IF(PrintedResults!G78="","","("&amp;(PrintedResults!H78)&amp; ")"&amp;" " &amp;  (PrintedResults!G78) &amp;"| "&amp;CHAR(10)&amp; PrintedResults!I78&amp;"| "&amp;CHAR(10)&amp; PrintedResults!K78 )</f>
        <v/>
      </c>
      <c r="E94" s="20"/>
      <c r="F94" s="139"/>
      <c r="G94" s="139"/>
      <c r="H94" s="140"/>
      <c r="I94" s="139"/>
      <c r="J94" s="139"/>
      <c r="K94" s="141"/>
      <c r="L94" s="139"/>
      <c r="M94" s="139"/>
      <c r="N94" s="139"/>
      <c r="O94" s="139"/>
      <c r="P94" s="139"/>
      <c r="Q94" s="139"/>
      <c r="R94" s="139"/>
    </row>
    <row r="95" spans="1:18" ht="38.25" customHeight="1">
      <c r="A95" s="196" t="str">
        <f>IF(PrintedResults!G79="","","("&amp;(PrintedResults!H79)&amp; ")"&amp;" " &amp;  (PrintedResults!G79) &amp;"| "&amp;CHAR(10)&amp; PrintedResults!I79&amp;"| "&amp;CHAR(10)&amp; PrintedResults!K79 )</f>
        <v/>
      </c>
      <c r="E95" s="20"/>
      <c r="F95" s="139"/>
      <c r="G95" s="139"/>
      <c r="H95" s="140"/>
      <c r="I95" s="139"/>
      <c r="J95" s="139"/>
      <c r="K95" s="141"/>
      <c r="L95" s="139"/>
      <c r="M95" s="139"/>
      <c r="N95" s="139"/>
      <c r="O95" s="139"/>
      <c r="P95" s="139"/>
      <c r="Q95" s="139"/>
      <c r="R95" s="139"/>
    </row>
    <row r="96" spans="1:18" ht="38.25" customHeight="1">
      <c r="A96" s="196" t="str">
        <f>IF(PrintedResults!G80="","","("&amp;(PrintedResults!H80)&amp; ")"&amp;" " &amp;  (PrintedResults!G80) &amp;"| "&amp;CHAR(10)&amp; PrintedResults!I80&amp;"| "&amp;CHAR(10)&amp; PrintedResults!K80 )</f>
        <v/>
      </c>
      <c r="E96" s="20"/>
      <c r="F96" s="139"/>
      <c r="G96" s="139"/>
      <c r="H96" s="140"/>
      <c r="I96" s="139"/>
      <c r="J96" s="139"/>
      <c r="K96" s="141"/>
      <c r="L96" s="139"/>
      <c r="M96" s="139"/>
      <c r="N96" s="139"/>
      <c r="O96" s="139"/>
      <c r="P96" s="139"/>
      <c r="Q96" s="139"/>
      <c r="R96" s="139"/>
    </row>
    <row r="97" spans="1:18" ht="38.25" customHeight="1">
      <c r="A97" s="196" t="str">
        <f>IF(PrintedResults!G81="","","("&amp;(PrintedResults!H81)&amp; ")"&amp;" " &amp;  (PrintedResults!G81) &amp;"| "&amp;CHAR(10)&amp; PrintedResults!I81&amp;"| "&amp;CHAR(10)&amp; PrintedResults!K81 )</f>
        <v/>
      </c>
      <c r="E97" s="20"/>
      <c r="F97" s="139"/>
      <c r="G97" s="139"/>
      <c r="H97" s="140"/>
      <c r="I97" s="139"/>
      <c r="J97" s="139"/>
      <c r="K97" s="141"/>
      <c r="L97" s="139"/>
      <c r="M97" s="139"/>
      <c r="N97" s="139"/>
      <c r="O97" s="139"/>
      <c r="P97" s="139"/>
      <c r="Q97" s="139"/>
      <c r="R97" s="139"/>
    </row>
    <row r="98" spans="1:18" ht="38.25" customHeight="1">
      <c r="A98" s="196" t="str">
        <f>IF(PrintedResults!G82="","","("&amp;(PrintedResults!H82)&amp; ")"&amp;" " &amp;  (PrintedResults!G82) &amp;"| "&amp;CHAR(10)&amp; PrintedResults!I82&amp;"| "&amp;CHAR(10)&amp; PrintedResults!K82 )</f>
        <v/>
      </c>
      <c r="E98" s="20"/>
      <c r="F98" s="139"/>
      <c r="G98" s="139"/>
      <c r="H98" s="140"/>
      <c r="I98" s="139"/>
      <c r="J98" s="139"/>
      <c r="K98" s="141"/>
      <c r="L98" s="139"/>
      <c r="M98" s="139"/>
      <c r="N98" s="139"/>
      <c r="O98" s="139"/>
      <c r="P98" s="139"/>
      <c r="Q98" s="139"/>
      <c r="R98" s="139"/>
    </row>
    <row r="99" spans="1:18" ht="38.25" customHeight="1">
      <c r="A99" s="196" t="str">
        <f>IF(PrintedResults!G83="","","("&amp;(PrintedResults!H83)&amp; ")"&amp;" " &amp;  (PrintedResults!G83) &amp;"| "&amp;CHAR(10)&amp; PrintedResults!I83&amp;"| "&amp;CHAR(10)&amp; PrintedResults!K83 )</f>
        <v/>
      </c>
      <c r="E99" s="20"/>
      <c r="F99" s="139"/>
      <c r="G99" s="139"/>
      <c r="H99" s="140"/>
      <c r="I99" s="139"/>
      <c r="J99" s="139"/>
      <c r="K99" s="141"/>
      <c r="L99" s="139"/>
      <c r="M99" s="139"/>
      <c r="N99" s="139"/>
      <c r="O99" s="139"/>
      <c r="P99" s="139"/>
      <c r="Q99" s="139"/>
      <c r="R99" s="139"/>
    </row>
    <row r="100" spans="1:18" ht="38.25" customHeight="1">
      <c r="A100" s="196" t="str">
        <f>IF(PrintedResults!G84="","","("&amp;(PrintedResults!H84)&amp; ")"&amp;" " &amp;  (PrintedResults!G84) &amp;"| "&amp;CHAR(10)&amp; PrintedResults!I84&amp;"| "&amp;CHAR(10)&amp; PrintedResults!K84 )</f>
        <v/>
      </c>
      <c r="E100" s="20"/>
      <c r="F100" s="139"/>
      <c r="G100" s="139"/>
      <c r="H100" s="140"/>
      <c r="I100" s="139"/>
      <c r="J100" s="139"/>
      <c r="K100" s="141"/>
      <c r="L100" s="139"/>
      <c r="M100" s="139"/>
      <c r="N100" s="139"/>
      <c r="O100" s="139"/>
      <c r="P100" s="139"/>
      <c r="Q100" s="139"/>
      <c r="R100" s="139"/>
    </row>
    <row r="101" spans="1:18" ht="38.25" customHeight="1">
      <c r="A101" s="196" t="str">
        <f>IF(PrintedResults!G85="","","("&amp;(PrintedResults!H85)&amp; ")"&amp;" " &amp;  (PrintedResults!G85) &amp;"| "&amp;CHAR(10)&amp; PrintedResults!I85&amp;"| "&amp;CHAR(10)&amp; PrintedResults!K85 )</f>
        <v/>
      </c>
      <c r="E101" s="20"/>
      <c r="F101" s="139"/>
      <c r="G101" s="139"/>
      <c r="H101" s="140"/>
      <c r="I101" s="139"/>
      <c r="J101" s="139"/>
      <c r="K101" s="141"/>
      <c r="L101" s="139"/>
      <c r="M101" s="139"/>
      <c r="N101" s="139"/>
      <c r="O101" s="139"/>
      <c r="P101" s="139"/>
      <c r="Q101" s="139"/>
      <c r="R101" s="139"/>
    </row>
    <row r="102" spans="1:18" ht="38.25" customHeight="1">
      <c r="A102" s="196" t="str">
        <f>IF(PrintedResults!G86="","","("&amp;(PrintedResults!H86)&amp; ")"&amp;" " &amp;  (PrintedResults!G86) &amp;"| "&amp;CHAR(10)&amp; PrintedResults!I86&amp;"| "&amp;CHAR(10)&amp; PrintedResults!K86 )</f>
        <v/>
      </c>
      <c r="E102" s="20"/>
      <c r="F102" s="139"/>
      <c r="G102" s="139"/>
      <c r="H102" s="140"/>
      <c r="I102" s="139"/>
      <c r="J102" s="139"/>
      <c r="K102" s="141"/>
      <c r="L102" s="139"/>
      <c r="M102" s="139"/>
      <c r="N102" s="139"/>
      <c r="O102" s="139"/>
      <c r="P102" s="139"/>
      <c r="Q102" s="139"/>
      <c r="R102" s="139"/>
    </row>
    <row r="103" spans="1:18" ht="38.25" customHeight="1">
      <c r="A103" s="196" t="str">
        <f>IF(PrintedResults!G87="","","("&amp;(PrintedResults!H87)&amp; ")"&amp;" " &amp;  (PrintedResults!G87) &amp;"| "&amp;CHAR(10)&amp; PrintedResults!I87&amp;"| "&amp;CHAR(10)&amp; PrintedResults!K87 )</f>
        <v/>
      </c>
      <c r="E103" s="20"/>
      <c r="F103" s="139"/>
      <c r="G103" s="139"/>
      <c r="H103" s="140"/>
      <c r="I103" s="139"/>
      <c r="J103" s="139"/>
      <c r="K103" s="141"/>
      <c r="L103" s="139"/>
      <c r="M103" s="139"/>
      <c r="N103" s="139"/>
      <c r="O103" s="139"/>
      <c r="P103" s="139"/>
      <c r="Q103" s="139"/>
      <c r="R103" s="139"/>
    </row>
    <row r="104" spans="1:18" ht="38.25" customHeight="1">
      <c r="A104" s="196" t="str">
        <f>IF(PrintedResults!G88="","","("&amp;(PrintedResults!H88)&amp; ")"&amp;" " &amp;  (PrintedResults!G88) &amp;"| "&amp;CHAR(10)&amp; PrintedResults!I88&amp;"| "&amp;CHAR(10)&amp; PrintedResults!K88 )</f>
        <v/>
      </c>
      <c r="E104" s="20"/>
      <c r="F104" s="139"/>
      <c r="G104" s="139"/>
      <c r="H104" s="140"/>
      <c r="I104" s="139"/>
      <c r="J104" s="139"/>
      <c r="K104" s="141"/>
      <c r="L104" s="139"/>
      <c r="M104" s="139"/>
      <c r="N104" s="139"/>
      <c r="O104" s="139"/>
      <c r="P104" s="139"/>
      <c r="Q104" s="139"/>
      <c r="R104" s="139"/>
    </row>
    <row r="105" spans="1:18" ht="38.25" customHeight="1">
      <c r="A105" s="196" t="str">
        <f>IF(PrintedResults!G89="","","("&amp;(PrintedResults!H89)&amp; ")"&amp;" " &amp;  (PrintedResults!G89) &amp;"| "&amp;CHAR(10)&amp; PrintedResults!I89&amp;"| "&amp;CHAR(10)&amp; PrintedResults!K89 )</f>
        <v/>
      </c>
      <c r="E105" s="20"/>
      <c r="F105" s="139"/>
      <c r="G105" s="139"/>
      <c r="H105" s="140"/>
      <c r="I105" s="139"/>
      <c r="J105" s="139"/>
      <c r="K105" s="141"/>
      <c r="L105" s="139"/>
      <c r="M105" s="139"/>
      <c r="N105" s="139"/>
      <c r="O105" s="139"/>
      <c r="P105" s="139"/>
      <c r="Q105" s="139"/>
      <c r="R105" s="139"/>
    </row>
    <row r="106" spans="1:18" ht="38.25" customHeight="1">
      <c r="A106" s="196" t="str">
        <f>IF(PrintedResults!G90="","","("&amp;(PrintedResults!H90)&amp; ")"&amp;" " &amp;  (PrintedResults!G90) &amp;"| "&amp;CHAR(10)&amp; PrintedResults!I90&amp;"| "&amp;CHAR(10)&amp; PrintedResults!K90 )</f>
        <v/>
      </c>
      <c r="E106" s="20"/>
      <c r="F106" s="139"/>
      <c r="G106" s="139"/>
      <c r="H106" s="140"/>
      <c r="I106" s="139"/>
      <c r="J106" s="139"/>
      <c r="K106" s="141"/>
      <c r="L106" s="139"/>
      <c r="M106" s="139"/>
      <c r="N106" s="139"/>
      <c r="O106" s="139"/>
      <c r="P106" s="139"/>
      <c r="Q106" s="139"/>
      <c r="R106" s="139"/>
    </row>
    <row r="107" spans="1:18" ht="38.25" customHeight="1">
      <c r="A107" s="196" t="str">
        <f>IF(PrintedResults!G91="","","("&amp;(PrintedResults!H91)&amp; ")"&amp;" " &amp;  (PrintedResults!G91) &amp;"| "&amp;CHAR(10)&amp; PrintedResults!I91&amp;"| "&amp;CHAR(10)&amp; PrintedResults!K91 )</f>
        <v/>
      </c>
      <c r="E107" s="20"/>
      <c r="F107" s="139"/>
      <c r="G107" s="139" t="s">
        <v>146</v>
      </c>
      <c r="H107" s="140"/>
      <c r="I107" s="139"/>
      <c r="J107" s="139"/>
      <c r="K107" s="141" t="str">
        <f>IF($I107="","",TEXT(VLOOKUP($I107,SortedDownload!$B$3:$Z$169,13,FALSE),"[hh]:mm:ss.000"))</f>
        <v/>
      </c>
      <c r="L107" s="139"/>
      <c r="M107" s="139"/>
      <c r="N107" s="139"/>
      <c r="O107" s="139"/>
      <c r="P107" s="139"/>
      <c r="Q107" s="139"/>
      <c r="R107" s="139"/>
    </row>
    <row r="108" spans="1:18" ht="38.25" customHeight="1">
      <c r="A108" s="196" t="str">
        <f>IF(PrintedResults!G92="","","("&amp;(PrintedResults!H92)&amp; ")"&amp;" " &amp;  (PrintedResults!G92) &amp;"| "&amp;CHAR(10)&amp; PrintedResults!I92&amp;"| "&amp;CHAR(10)&amp; PrintedResults!K92 )</f>
        <v/>
      </c>
      <c r="E108" s="20"/>
      <c r="F108" s="139"/>
      <c r="G108" s="139" t="s">
        <v>146</v>
      </c>
      <c r="H108" s="140"/>
      <c r="I108" s="139"/>
      <c r="J108" s="139"/>
      <c r="K108" s="141" t="str">
        <f>IF($I108="","",TEXT(VLOOKUP($I108,SortedDownload!$B$3:$Z$169,13,FALSE),"[hh]:mm:ss.000"))</f>
        <v/>
      </c>
      <c r="L108" s="139"/>
      <c r="M108" s="139"/>
      <c r="N108" s="139"/>
      <c r="O108" s="139"/>
      <c r="P108" s="139"/>
      <c r="Q108" s="139"/>
      <c r="R108" s="139"/>
    </row>
    <row r="109" spans="1:18" ht="38.25" customHeight="1">
      <c r="A109" s="196" t="str">
        <f>IF(PrintedResults!G93="","","("&amp;(PrintedResults!H93)&amp; ")"&amp;" " &amp;  (PrintedResults!G93) &amp;"| "&amp;CHAR(10)&amp; PrintedResults!I93&amp;"| "&amp;CHAR(10)&amp; PrintedResults!K93 )</f>
        <v/>
      </c>
      <c r="E109" s="20"/>
      <c r="F109" s="139"/>
      <c r="G109" s="139" t="s">
        <v>146</v>
      </c>
      <c r="H109" s="140"/>
      <c r="I109" s="139"/>
      <c r="J109" s="139"/>
      <c r="K109" s="141" t="str">
        <f>IF($I109="","",TEXT(VLOOKUP($I109,SortedDownload!$B$3:$Z$169,13,FALSE),"[hh]:mm:ss.000"))</f>
        <v/>
      </c>
      <c r="L109" s="139"/>
      <c r="M109" s="139"/>
      <c r="N109" s="139"/>
      <c r="O109" s="139"/>
      <c r="P109" s="139"/>
      <c r="Q109" s="139"/>
      <c r="R109" s="139"/>
    </row>
    <row r="110" spans="1:18" ht="38.25" customHeight="1">
      <c r="A110" s="196" t="str">
        <f>IF(PrintedResults!G94="","","("&amp;(PrintedResults!H94)&amp; ")"&amp;" " &amp;  (PrintedResults!G94) &amp;"| "&amp;CHAR(10)&amp; PrintedResults!I94&amp;"| "&amp;CHAR(10)&amp; PrintedResults!K94 )</f>
        <v/>
      </c>
      <c r="E110" s="20"/>
      <c r="F110" s="139"/>
      <c r="G110" s="139" t="s">
        <v>146</v>
      </c>
      <c r="H110" s="140"/>
      <c r="I110" s="139"/>
      <c r="J110" s="139"/>
      <c r="K110" s="141" t="str">
        <f>IF($I110="","",TEXT(VLOOKUP($I110,SortedDownload!$B$3:$Z$169,13,FALSE),"[hh]:mm:ss.000"))</f>
        <v/>
      </c>
      <c r="L110" s="139"/>
      <c r="M110" s="139"/>
      <c r="N110" s="139"/>
      <c r="O110" s="139"/>
      <c r="P110" s="139"/>
      <c r="Q110" s="139"/>
      <c r="R110" s="139"/>
    </row>
    <row r="111" spans="1:18" ht="38.25" customHeight="1">
      <c r="A111" s="196" t="str">
        <f>IF(PrintedResults!G95="","","("&amp;(PrintedResults!H95)&amp; ")"&amp;" " &amp;  (PrintedResults!G95) &amp;"| "&amp;CHAR(10)&amp; PrintedResults!I95&amp;"| "&amp;CHAR(10)&amp; PrintedResults!K95 )</f>
        <v/>
      </c>
      <c r="E111" s="20"/>
      <c r="F111" s="139"/>
      <c r="G111" s="139" t="s">
        <v>146</v>
      </c>
      <c r="H111" s="140"/>
      <c r="I111" s="139"/>
      <c r="J111" s="139"/>
      <c r="K111" s="141" t="str">
        <f>IF($I111="","",TEXT(VLOOKUP($I111,SortedDownload!$B$3:$Z$169,13,FALSE),"[hh]:mm:ss.000"))</f>
        <v/>
      </c>
      <c r="L111" s="139"/>
      <c r="M111" s="139"/>
      <c r="N111" s="139"/>
      <c r="O111" s="139"/>
      <c r="P111" s="139"/>
      <c r="Q111" s="139"/>
      <c r="R111" s="139"/>
    </row>
    <row r="112" spans="1:18" ht="38.25" customHeight="1">
      <c r="A112" s="196" t="str">
        <f>IF(PrintedResults!G96="","","("&amp;(PrintedResults!H96)&amp; ")"&amp;" " &amp;  (PrintedResults!G96) &amp;"| "&amp;CHAR(10)&amp; PrintedResults!I96&amp;"| "&amp;CHAR(10)&amp; PrintedResults!K96 )</f>
        <v/>
      </c>
      <c r="E112" s="20"/>
      <c r="F112" s="139"/>
      <c r="G112" s="139" t="s">
        <v>146</v>
      </c>
      <c r="H112" s="140"/>
      <c r="I112" s="139"/>
      <c r="J112" s="139"/>
      <c r="K112" s="141" t="str">
        <f>IF($I112="","",TEXT(VLOOKUP($I112,SortedDownload!$B$3:$Z$169,13,FALSE),"[hh]:mm:ss.000"))</f>
        <v/>
      </c>
      <c r="L112" s="139"/>
      <c r="M112" s="139"/>
      <c r="N112" s="139"/>
      <c r="O112" s="139"/>
      <c r="P112" s="139"/>
      <c r="Q112" s="139"/>
      <c r="R112" s="139"/>
    </row>
    <row r="113" spans="1:18" ht="38.25" customHeight="1">
      <c r="A113" s="196" t="str">
        <f>IF(PrintedResults!G97="","","("&amp;(PrintedResults!H97)&amp; ")"&amp;" " &amp;  (PrintedResults!G97) &amp;"| "&amp;CHAR(10)&amp; PrintedResults!I97&amp;"| "&amp;CHAR(10)&amp; PrintedResults!K97 )</f>
        <v/>
      </c>
      <c r="E113" s="20"/>
      <c r="F113" s="139"/>
      <c r="G113" s="139" t="s">
        <v>146</v>
      </c>
      <c r="H113" s="140"/>
      <c r="I113" s="139"/>
      <c r="J113" s="139"/>
      <c r="K113" s="141" t="str">
        <f>IF($I113="","",TEXT(VLOOKUP($I113,SortedDownload!$B$3:$Z$169,13,FALSE),"[hh]:mm:ss.000"))</f>
        <v/>
      </c>
      <c r="L113" s="139"/>
      <c r="M113" s="139"/>
      <c r="N113" s="139"/>
      <c r="O113" s="139"/>
      <c r="P113" s="139"/>
      <c r="Q113" s="139"/>
      <c r="R113" s="139"/>
    </row>
    <row r="114" spans="1:18" ht="38.25" customHeight="1">
      <c r="A114" s="196" t="str">
        <f>IF(PrintedResults!G98="","","("&amp;(PrintedResults!H98)&amp; ")"&amp;" " &amp;  (PrintedResults!G98) &amp;"| "&amp;CHAR(10)&amp; PrintedResults!I98&amp;"| "&amp;CHAR(10)&amp; PrintedResults!K98 )</f>
        <v/>
      </c>
      <c r="E114" s="20"/>
      <c r="F114" s="139"/>
      <c r="G114" s="139" t="s">
        <v>146</v>
      </c>
      <c r="H114" s="140"/>
      <c r="I114" s="139"/>
      <c r="J114" s="139"/>
      <c r="K114" s="141" t="str">
        <f>IF($I114="","",TEXT(VLOOKUP($I114,SortedDownload!$B$3:$Z$169,13,FALSE),"[hh]:mm:ss.000"))</f>
        <v/>
      </c>
      <c r="L114" s="139"/>
      <c r="M114" s="139"/>
      <c r="N114" s="139"/>
      <c r="O114" s="139"/>
      <c r="P114" s="139"/>
      <c r="Q114" s="139"/>
      <c r="R114" s="139"/>
    </row>
    <row r="115" spans="1:18" ht="38.25" customHeight="1">
      <c r="A115" s="196" t="str">
        <f>IF(PrintedResults!G99="","","("&amp;(PrintedResults!H99)&amp; ")"&amp;" " &amp;  (PrintedResults!G99) &amp;"| "&amp;CHAR(10)&amp; PrintedResults!I99&amp;"| "&amp;CHAR(10)&amp; PrintedResults!K99 )</f>
        <v/>
      </c>
      <c r="E115" s="20"/>
      <c r="F115" s="139"/>
      <c r="G115" s="139" t="s">
        <v>146</v>
      </c>
      <c r="H115" s="140"/>
      <c r="I115" s="139"/>
      <c r="J115" s="139"/>
      <c r="K115" s="141" t="str">
        <f>IF($I115="","",TEXT(VLOOKUP($I115,SortedDownload!$B$3:$Z$169,13,FALSE),"[hh]:mm:ss.000"))</f>
        <v/>
      </c>
      <c r="L115" s="139"/>
      <c r="M115" s="139"/>
      <c r="N115" s="139"/>
      <c r="O115" s="139"/>
      <c r="P115" s="139"/>
      <c r="Q115" s="139"/>
      <c r="R115" s="139"/>
    </row>
    <row r="116" spans="1:18" ht="38.25" customHeight="1">
      <c r="A116" s="196" t="str">
        <f>IF(PrintedResults!G100="","","("&amp;(PrintedResults!H100)&amp; ")"&amp;" " &amp;  (PrintedResults!G100) &amp;"| "&amp;CHAR(10)&amp; PrintedResults!I100&amp;"| "&amp;CHAR(10)&amp; PrintedResults!K100 )</f>
        <v/>
      </c>
      <c r="E116" s="20"/>
      <c r="F116" s="139"/>
      <c r="G116" s="139" t="s">
        <v>146</v>
      </c>
      <c r="H116" s="140"/>
      <c r="I116" s="139"/>
      <c r="J116" s="139"/>
      <c r="K116" s="141" t="str">
        <f>IF($I116="","",TEXT(VLOOKUP($I116,SortedDownload!$B$3:$Z$169,13,FALSE),"[hh]:mm:ss.000"))</f>
        <v/>
      </c>
      <c r="L116" s="139"/>
      <c r="M116" s="139"/>
      <c r="N116" s="139"/>
      <c r="O116" s="139"/>
      <c r="P116" s="139"/>
      <c r="Q116" s="139"/>
      <c r="R116" s="139"/>
    </row>
    <row r="117" spans="1:18" ht="38.25" customHeight="1">
      <c r="A117" s="196" t="str">
        <f>IF(PrintedResults!G101="","","("&amp;(PrintedResults!H101)&amp; ")"&amp;" " &amp;  (PrintedResults!G101) &amp;"| "&amp;CHAR(10)&amp; PrintedResults!I101&amp;"| "&amp;CHAR(10)&amp; PrintedResults!K101 )</f>
        <v/>
      </c>
      <c r="E117" s="20"/>
      <c r="F117" s="139"/>
      <c r="G117" s="139" t="s">
        <v>146</v>
      </c>
      <c r="H117" s="140"/>
      <c r="I117" s="139"/>
      <c r="J117" s="139"/>
      <c r="K117" s="141" t="str">
        <f>IF($I117="","",TEXT(VLOOKUP($I117,SortedDownload!$B$3:$Z$169,13,FALSE),"[hh]:mm:ss.000"))</f>
        <v/>
      </c>
      <c r="L117" s="139"/>
      <c r="M117" s="139"/>
      <c r="N117" s="139"/>
      <c r="O117" s="139"/>
      <c r="P117" s="139"/>
      <c r="Q117" s="139"/>
      <c r="R117" s="139"/>
    </row>
    <row r="118" spans="1:18" ht="38.25" customHeight="1">
      <c r="A118" s="196" t="str">
        <f>IF(PrintedResults!G102="","","("&amp;(PrintedResults!H102)&amp; ")"&amp;" " &amp;  (PrintedResults!G102) &amp;"| "&amp;CHAR(10)&amp; PrintedResults!I102&amp;"| "&amp;CHAR(10)&amp; PrintedResults!K102 )</f>
        <v/>
      </c>
      <c r="E118" s="20"/>
      <c r="F118" s="139"/>
      <c r="G118" s="139" t="s">
        <v>146</v>
      </c>
      <c r="H118" s="140"/>
      <c r="I118" s="139"/>
      <c r="J118" s="139"/>
      <c r="K118" s="141" t="str">
        <f>IF($I118="","",TEXT(VLOOKUP($I118,SortedDownload!$B$3:$Z$169,13,FALSE),"[hh]:mm:ss.000"))</f>
        <v/>
      </c>
      <c r="L118" s="139"/>
      <c r="M118" s="139"/>
      <c r="N118" s="139"/>
      <c r="O118" s="139"/>
      <c r="P118" s="139"/>
      <c r="Q118" s="139"/>
      <c r="R118" s="139"/>
    </row>
    <row r="119" spans="1:18" ht="38.25" customHeight="1">
      <c r="A119" s="196" t="str">
        <f>IF(PrintedResults!G103="","","("&amp;(PrintedResults!H103)&amp; ")"&amp;" " &amp;  (PrintedResults!G103) &amp;"| "&amp;CHAR(10)&amp; PrintedResults!I103&amp;"| "&amp;CHAR(10)&amp; PrintedResults!K103 )</f>
        <v/>
      </c>
      <c r="E119" s="20"/>
      <c r="F119" s="139"/>
      <c r="G119" s="139" t="s">
        <v>146</v>
      </c>
      <c r="H119" s="140"/>
      <c r="I119" s="139"/>
      <c r="J119" s="139"/>
      <c r="K119" s="141" t="str">
        <f>IF($I119="","",TEXT(VLOOKUP($I119,SortedDownload!$B$3:$Z$169,13,FALSE),"[hh]:mm:ss.000"))</f>
        <v/>
      </c>
      <c r="L119" s="139"/>
      <c r="M119" s="139"/>
      <c r="N119" s="139"/>
      <c r="O119" s="139"/>
      <c r="P119" s="139"/>
      <c r="Q119" s="139"/>
      <c r="R119" s="139"/>
    </row>
    <row r="120" spans="1:18" ht="38.25" customHeight="1">
      <c r="A120" s="196" t="str">
        <f>IF(PrintedResults!G104="","","("&amp;(PrintedResults!H104)&amp; ")"&amp;" " &amp;  (PrintedResults!G104) &amp;"| "&amp;CHAR(10)&amp; PrintedResults!I104&amp;"| "&amp;CHAR(10)&amp; PrintedResults!K104 )</f>
        <v/>
      </c>
      <c r="E120" s="20"/>
      <c r="F120" s="139"/>
      <c r="G120" s="139" t="s">
        <v>146</v>
      </c>
      <c r="H120" s="140"/>
      <c r="I120" s="139"/>
      <c r="J120" s="139"/>
      <c r="K120" s="141" t="str">
        <f>IF($I120="","",TEXT(VLOOKUP($I120,SortedDownload!$B$3:$Z$169,13,FALSE),"[hh]:mm:ss.000"))</f>
        <v/>
      </c>
      <c r="L120" s="139"/>
      <c r="M120" s="139"/>
      <c r="N120" s="139"/>
      <c r="O120" s="139"/>
      <c r="P120" s="139"/>
      <c r="Q120" s="139"/>
      <c r="R120" s="139"/>
    </row>
    <row r="121" spans="1:18" ht="38.25" customHeight="1">
      <c r="A121" s="196" t="str">
        <f>IF(PrintedResults!G105="","","("&amp;(PrintedResults!H105)&amp; ")"&amp;" " &amp;  (PrintedResults!G105) &amp;"| "&amp;CHAR(10)&amp; PrintedResults!I105&amp;"| "&amp;CHAR(10)&amp; PrintedResults!K105 )</f>
        <v/>
      </c>
      <c r="E121" s="20"/>
      <c r="F121" s="139"/>
      <c r="G121" s="139" t="s">
        <v>146</v>
      </c>
      <c r="H121" s="140"/>
      <c r="I121" s="139"/>
      <c r="J121" s="139"/>
      <c r="K121" s="141" t="str">
        <f>IF($I121="","",TEXT(VLOOKUP($I121,SortedDownload!$B$3:$Z$169,13,FALSE),"[hh]:mm:ss.000"))</f>
        <v/>
      </c>
      <c r="L121" s="139"/>
      <c r="M121" s="139"/>
      <c r="N121" s="139"/>
      <c r="O121" s="139"/>
      <c r="P121" s="139"/>
      <c r="Q121" s="139"/>
      <c r="R121" s="139"/>
    </row>
    <row r="122" spans="1:18" ht="38.25" customHeight="1">
      <c r="A122" s="196" t="str">
        <f>IF(PrintedResults!G106="","","("&amp;(PrintedResults!H106)&amp; ")"&amp;" " &amp;  (PrintedResults!G106) &amp;"| "&amp;CHAR(10)&amp; PrintedResults!I106&amp;"| "&amp;CHAR(10)&amp; PrintedResults!K106 )</f>
        <v/>
      </c>
      <c r="E122" s="20"/>
      <c r="F122" s="139"/>
      <c r="G122" s="139" t="s">
        <v>146</v>
      </c>
      <c r="H122" s="140"/>
      <c r="I122" s="139"/>
      <c r="J122" s="139"/>
      <c r="K122" s="141" t="str">
        <f>IF($I122="","",TEXT(VLOOKUP($I122,SortedDownload!$B$3:$Z$169,13,FALSE),"[hh]:mm:ss.000"))</f>
        <v/>
      </c>
      <c r="L122" s="139"/>
      <c r="M122" s="139"/>
      <c r="N122" s="139"/>
      <c r="O122" s="139"/>
      <c r="P122" s="139"/>
      <c r="Q122" s="139"/>
      <c r="R122" s="139"/>
    </row>
    <row r="123" spans="1:18" ht="38.25" customHeight="1">
      <c r="A123" s="196" t="str">
        <f>IF(PrintedResults!G107="","","("&amp;(PrintedResults!H107)&amp; ")"&amp;" " &amp;  (PrintedResults!G107) &amp;"| "&amp;CHAR(10)&amp; PrintedResults!I107&amp;"| "&amp;CHAR(10)&amp; PrintedResults!K107 )</f>
        <v/>
      </c>
      <c r="E123" s="20"/>
      <c r="F123" s="139"/>
      <c r="G123" s="139" t="s">
        <v>146</v>
      </c>
      <c r="H123" s="140"/>
      <c r="I123" s="139"/>
      <c r="J123" s="139"/>
      <c r="K123" s="141" t="str">
        <f>IF($I123="","",TEXT(VLOOKUP($I123,SortedDownload!$B$3:$Z$169,13,FALSE),"[hh]:mm:ss.000"))</f>
        <v/>
      </c>
      <c r="L123" s="139"/>
      <c r="M123" s="139"/>
      <c r="N123" s="139"/>
      <c r="O123" s="139"/>
      <c r="P123" s="139"/>
      <c r="Q123" s="139"/>
      <c r="R123" s="139"/>
    </row>
    <row r="124" spans="1:18" ht="38.25" customHeight="1">
      <c r="A124" s="196" t="str">
        <f>IF(PrintedResults!G108="","","("&amp;(PrintedResults!H108)&amp; ")"&amp;" " &amp;  (PrintedResults!G108) &amp;"| "&amp;CHAR(10)&amp; PrintedResults!I108&amp;"| "&amp;CHAR(10)&amp; PrintedResults!K108 )</f>
        <v/>
      </c>
      <c r="E124" s="20"/>
      <c r="F124" s="139"/>
      <c r="G124" s="139" t="s">
        <v>146</v>
      </c>
      <c r="H124" s="140"/>
      <c r="I124" s="139"/>
      <c r="J124" s="139"/>
      <c r="K124" s="141" t="str">
        <f>IF($I124="","",TEXT(VLOOKUP($I124,SortedDownload!$B$3:$Z$169,13,FALSE),"[hh]:mm:ss.000"))</f>
        <v/>
      </c>
      <c r="L124" s="139"/>
      <c r="M124" s="139"/>
      <c r="N124" s="139"/>
      <c r="O124" s="139"/>
      <c r="P124" s="139"/>
      <c r="Q124" s="139"/>
      <c r="R124" s="139"/>
    </row>
    <row r="125" spans="1:18" ht="38.25" customHeight="1">
      <c r="A125" s="196" t="str">
        <f>IF(PrintedResults!G109="","","("&amp;(PrintedResults!H109)&amp; ")"&amp;" " &amp;  (PrintedResults!G109) &amp;"| "&amp;CHAR(10)&amp; PrintedResults!I109&amp;"| "&amp;CHAR(10)&amp; PrintedResults!K109 )</f>
        <v/>
      </c>
      <c r="E125" s="20"/>
      <c r="F125" s="139"/>
      <c r="G125" s="139" t="s">
        <v>146</v>
      </c>
      <c r="H125" s="140"/>
      <c r="I125" s="139"/>
      <c r="J125" s="139"/>
      <c r="K125" s="141" t="str">
        <f>IF($I125="","",TEXT(VLOOKUP($I125,SortedDownload!$B$3:$Z$169,13,FALSE),"[hh]:mm:ss.000"))</f>
        <v/>
      </c>
      <c r="L125" s="139"/>
      <c r="M125" s="139"/>
      <c r="N125" s="139"/>
      <c r="O125" s="139"/>
      <c r="P125" s="139"/>
      <c r="Q125" s="139"/>
      <c r="R125" s="139"/>
    </row>
    <row r="126" spans="1:18" ht="38.25" customHeight="1">
      <c r="A126" s="196" t="str">
        <f>IF(PrintedResults!G110="","","("&amp;(PrintedResults!H110)&amp; ")"&amp;" " &amp;  (PrintedResults!G110) &amp;"| "&amp;CHAR(10)&amp; PrintedResults!I110&amp;"| "&amp;CHAR(10)&amp; PrintedResults!K110 )</f>
        <v/>
      </c>
      <c r="E126" s="20"/>
      <c r="F126" s="139"/>
      <c r="G126" s="139" t="s">
        <v>146</v>
      </c>
      <c r="H126" s="140"/>
      <c r="I126" s="139"/>
      <c r="J126" s="139"/>
      <c r="K126" s="141" t="str">
        <f>IF($I126="","",TEXT(VLOOKUP($I126,SortedDownload!$B$3:$Z$169,13,FALSE),"[hh]:mm:ss.000"))</f>
        <v/>
      </c>
      <c r="L126" s="139"/>
      <c r="M126" s="139"/>
      <c r="N126" s="139"/>
      <c r="O126" s="139"/>
      <c r="P126" s="139"/>
      <c r="Q126" s="139"/>
      <c r="R126" s="139"/>
    </row>
    <row r="127" spans="1:18" ht="38.25" customHeight="1">
      <c r="A127" s="196" t="str">
        <f>IF(PrintedResults!G111="","","("&amp;(PrintedResults!H111)&amp; ")"&amp;" " &amp;  (PrintedResults!G111) &amp;"| "&amp;CHAR(10)&amp; PrintedResults!I111&amp;"| "&amp;CHAR(10)&amp; PrintedResults!K111 )</f>
        <v/>
      </c>
      <c r="E127" s="20"/>
      <c r="F127" s="139"/>
      <c r="G127" s="139" t="s">
        <v>146</v>
      </c>
      <c r="H127" s="140"/>
      <c r="I127" s="139"/>
      <c r="J127" s="139"/>
      <c r="K127" s="141" t="str">
        <f>IF($I127="","",TEXT(VLOOKUP($I127,SortedDownload!$B$3:$Z$169,13,FALSE),"[hh]:mm:ss.000"))</f>
        <v/>
      </c>
      <c r="L127" s="139"/>
      <c r="M127" s="139"/>
      <c r="N127" s="139"/>
      <c r="O127" s="139"/>
      <c r="P127" s="139"/>
      <c r="Q127" s="139"/>
      <c r="R127" s="139"/>
    </row>
    <row r="128" spans="1:18" ht="38.25" customHeight="1">
      <c r="A128" s="196" t="str">
        <f>IF(PrintedResults!G112="","","("&amp;(PrintedResults!H112)&amp; ")"&amp;" " &amp;  (PrintedResults!G112) &amp;"| "&amp;CHAR(10)&amp; PrintedResults!I112&amp;"| "&amp;CHAR(10)&amp; PrintedResults!K112 )</f>
        <v/>
      </c>
      <c r="E128" s="20"/>
      <c r="F128" s="139"/>
      <c r="G128" s="139" t="s">
        <v>146</v>
      </c>
      <c r="H128" s="140"/>
      <c r="I128" s="139"/>
      <c r="J128" s="139"/>
      <c r="K128" s="141" t="str">
        <f>IF($I128="","",TEXT(VLOOKUP($I128,SortedDownload!$B$3:$Z$169,13,FALSE),"[hh]:mm:ss.000"))</f>
        <v/>
      </c>
      <c r="L128" s="139"/>
      <c r="M128" s="139"/>
      <c r="N128" s="139"/>
      <c r="O128" s="139"/>
      <c r="P128" s="139"/>
      <c r="Q128" s="139"/>
      <c r="R128" s="139"/>
    </row>
    <row r="129" spans="1:18" ht="38.25" customHeight="1">
      <c r="A129" s="196" t="str">
        <f>IF(PrintedResults!G113="","","("&amp;(PrintedResults!H113)&amp; ")"&amp;" " &amp;  (PrintedResults!G113) &amp;"| "&amp;CHAR(10)&amp; PrintedResults!I113&amp;"| "&amp;CHAR(10)&amp; PrintedResults!K113 )</f>
        <v/>
      </c>
      <c r="E129" s="20"/>
      <c r="F129" s="139"/>
      <c r="G129" s="139" t="s">
        <v>146</v>
      </c>
      <c r="H129" s="140"/>
      <c r="I129" s="139"/>
      <c r="J129" s="139"/>
      <c r="K129" s="141" t="str">
        <f>IF($I129="","",TEXT(VLOOKUP($I129,SortedDownload!$B$3:$Z$169,13,FALSE),"[hh]:mm:ss.000"))</f>
        <v/>
      </c>
      <c r="L129" s="139"/>
      <c r="M129" s="139"/>
      <c r="N129" s="139"/>
      <c r="O129" s="139"/>
      <c r="P129" s="139"/>
      <c r="Q129" s="139"/>
      <c r="R129" s="139"/>
    </row>
    <row r="130" spans="1:18" ht="38.25" customHeight="1">
      <c r="A130" s="196" t="str">
        <f>IF(PrintedResults!G114="","","("&amp;(PrintedResults!H114)&amp; ")"&amp;" " &amp;  (PrintedResults!G114) &amp;"| "&amp;CHAR(10)&amp; PrintedResults!I114&amp;"| "&amp;CHAR(10)&amp; PrintedResults!K114 )</f>
        <v/>
      </c>
      <c r="E130" s="20"/>
      <c r="F130" s="139"/>
      <c r="G130" s="139" t="s">
        <v>146</v>
      </c>
      <c r="H130" s="140"/>
      <c r="I130" s="139"/>
      <c r="J130" s="139"/>
      <c r="K130" s="141" t="str">
        <f>IF($I130="","",TEXT(VLOOKUP($I130,SortedDownload!$B$3:$Z$169,13,FALSE),"[hh]:mm:ss.000"))</f>
        <v/>
      </c>
      <c r="L130" s="139"/>
      <c r="M130" s="139"/>
      <c r="N130" s="139"/>
      <c r="O130" s="139"/>
      <c r="P130" s="139"/>
      <c r="Q130" s="139"/>
      <c r="R130" s="139"/>
    </row>
    <row r="131" spans="1:18" ht="38.25" customHeight="1">
      <c r="A131" s="196" t="str">
        <f>IF(PrintedResults!G115="","","("&amp;(PrintedResults!H115)&amp; ")"&amp;" " &amp;  (PrintedResults!G115) &amp;"| "&amp;CHAR(10)&amp; PrintedResults!I115&amp;"| "&amp;CHAR(10)&amp; PrintedResults!K115 )</f>
        <v/>
      </c>
      <c r="E131" s="20"/>
      <c r="F131" s="139"/>
      <c r="G131" s="139" t="s">
        <v>146</v>
      </c>
      <c r="H131" s="140"/>
      <c r="I131" s="139"/>
      <c r="J131" s="139"/>
      <c r="K131" s="141" t="str">
        <f>IF($I131="","",TEXT(VLOOKUP($I131,SortedDownload!$B$3:$Z$169,13,FALSE),"[hh]:mm:ss.000"))</f>
        <v/>
      </c>
      <c r="L131" s="139"/>
      <c r="M131" s="139"/>
      <c r="N131" s="139"/>
      <c r="O131" s="139"/>
      <c r="P131" s="139"/>
      <c r="Q131" s="139"/>
      <c r="R131" s="139"/>
    </row>
    <row r="132" spans="1:18" ht="38.25" customHeight="1">
      <c r="A132" s="196" t="str">
        <f>IF(PrintedResults!G116="","","("&amp;(PrintedResults!H116)&amp; ")"&amp;" " &amp;  (PrintedResults!G116) &amp;"| "&amp;CHAR(10)&amp; PrintedResults!I116&amp;"| "&amp;CHAR(10)&amp; PrintedResults!K116 )</f>
        <v/>
      </c>
      <c r="E132" s="20"/>
      <c r="F132" s="139"/>
      <c r="G132" s="139" t="s">
        <v>146</v>
      </c>
      <c r="H132" s="140"/>
      <c r="I132" s="139"/>
      <c r="J132" s="139"/>
      <c r="K132" s="141" t="str">
        <f>IF($I132="","",TEXT(VLOOKUP($I132,SortedDownload!$B$3:$Z$169,13,FALSE),"[hh]:mm:ss.000"))</f>
        <v/>
      </c>
      <c r="L132" s="139"/>
      <c r="M132" s="139"/>
      <c r="N132" s="139"/>
      <c r="O132" s="139"/>
      <c r="P132" s="139"/>
      <c r="Q132" s="139"/>
      <c r="R132" s="139"/>
    </row>
    <row r="133" spans="1:18" ht="38.25" customHeight="1">
      <c r="A133" s="196" t="str">
        <f>IF(PrintedResults!G117="","","("&amp;(PrintedResults!H117)&amp; ")"&amp;" " &amp;  (PrintedResults!G117) &amp;"| "&amp;CHAR(10)&amp; PrintedResults!I117&amp;"| "&amp;CHAR(10)&amp; PrintedResults!K117 )</f>
        <v/>
      </c>
      <c r="E133" s="20"/>
      <c r="F133" s="139"/>
      <c r="G133" s="139" t="s">
        <v>146</v>
      </c>
      <c r="H133" s="140"/>
      <c r="I133" s="139"/>
      <c r="J133" s="139"/>
      <c r="K133" s="141" t="str">
        <f>IF($I133="","",TEXT(VLOOKUP($I133,SortedDownload!$B$3:$Z$169,13,FALSE),"[hh]:mm:ss.000"))</f>
        <v/>
      </c>
      <c r="L133" s="139"/>
      <c r="M133" s="139"/>
      <c r="N133" s="139"/>
      <c r="O133" s="139"/>
      <c r="P133" s="139"/>
      <c r="Q133" s="139"/>
      <c r="R133" s="139"/>
    </row>
    <row r="134" spans="1:18" ht="38.25" customHeight="1">
      <c r="A134" s="196" t="str">
        <f>IF(PrintedResults!G118="","","("&amp;(PrintedResults!H118)&amp; ")"&amp;" " &amp;  (PrintedResults!G118) &amp;"| "&amp;CHAR(10)&amp; PrintedResults!I118&amp;"| "&amp;CHAR(10)&amp; PrintedResults!K118 )</f>
        <v/>
      </c>
      <c r="E134" s="20"/>
      <c r="F134" s="139"/>
      <c r="G134" s="139" t="s">
        <v>146</v>
      </c>
      <c r="H134" s="140"/>
      <c r="I134" s="139"/>
      <c r="J134" s="139"/>
      <c r="K134" s="141" t="str">
        <f>IF($I134="","",TEXT(VLOOKUP($I134,SortedDownload!$B$3:$Z$169,13,FALSE),"[hh]:mm:ss.000"))</f>
        <v/>
      </c>
      <c r="L134" s="139"/>
      <c r="M134" s="139"/>
      <c r="N134" s="139"/>
      <c r="O134" s="139"/>
      <c r="P134" s="139"/>
      <c r="Q134" s="139"/>
      <c r="R134" s="139"/>
    </row>
    <row r="135" spans="1:18" ht="38.25" customHeight="1">
      <c r="A135" s="196" t="str">
        <f>IF(PrintedResults!G119="","","("&amp;(PrintedResults!H119)&amp; ")"&amp;" " &amp;  (PrintedResults!G119) &amp;"| "&amp;CHAR(10)&amp; PrintedResults!I119&amp;"| "&amp;CHAR(10)&amp; PrintedResults!K119 )</f>
        <v/>
      </c>
      <c r="E135" s="20"/>
      <c r="F135" s="139"/>
      <c r="G135" s="139" t="s">
        <v>146</v>
      </c>
      <c r="H135" s="140"/>
      <c r="I135" s="139"/>
      <c r="J135" s="139"/>
      <c r="K135" s="141" t="str">
        <f>IF($I135="","",TEXT(VLOOKUP($I135,SortedDownload!$B$3:$Z$169,13,FALSE),"[hh]:mm:ss.000"))</f>
        <v/>
      </c>
      <c r="L135" s="139"/>
      <c r="M135" s="139"/>
      <c r="N135" s="139"/>
      <c r="O135" s="139"/>
      <c r="P135" s="139"/>
      <c r="Q135" s="139"/>
      <c r="R135" s="139"/>
    </row>
    <row r="136" spans="1:18" ht="38.25" customHeight="1">
      <c r="A136" s="196" t="str">
        <f>IF(PrintedResults!G120="","","("&amp;(PrintedResults!H120)&amp; ")"&amp;" " &amp;  (PrintedResults!G120) &amp;"| "&amp;CHAR(10)&amp; PrintedResults!I120&amp;"| "&amp;CHAR(10)&amp; PrintedResults!K120 )</f>
        <v/>
      </c>
      <c r="E136" s="20"/>
      <c r="F136" s="139"/>
      <c r="G136" s="139" t="s">
        <v>146</v>
      </c>
      <c r="H136" s="140"/>
      <c r="I136" s="139"/>
      <c r="J136" s="139"/>
      <c r="K136" s="141" t="str">
        <f>IF($I136="","",TEXT(VLOOKUP($I136,SortedDownload!$B$3:$Z$169,13,FALSE),"[hh]:mm:ss.000"))</f>
        <v/>
      </c>
      <c r="L136" s="139"/>
      <c r="M136" s="139"/>
      <c r="N136" s="139"/>
      <c r="O136" s="139"/>
      <c r="P136" s="139"/>
      <c r="Q136" s="139"/>
      <c r="R136" s="139"/>
    </row>
    <row r="137" spans="1:18" ht="38.25" customHeight="1">
      <c r="A137" s="196" t="str">
        <f>IF(PrintedResults!G121="","","("&amp;(PrintedResults!H121)&amp; ")"&amp;" " &amp;  (PrintedResults!G121) &amp;"| "&amp;CHAR(10)&amp; PrintedResults!I121&amp;"| "&amp;CHAR(10)&amp; PrintedResults!K121 )</f>
        <v/>
      </c>
      <c r="E137" s="20"/>
      <c r="F137" s="139"/>
      <c r="G137" s="139" t="s">
        <v>146</v>
      </c>
      <c r="H137" s="140"/>
      <c r="I137" s="139"/>
      <c r="J137" s="139"/>
      <c r="K137" s="141" t="str">
        <f>IF($I137="","",TEXT(VLOOKUP($I137,SortedDownload!$B$3:$Z$169,13,FALSE),"[hh]:mm:ss.000"))</f>
        <v/>
      </c>
      <c r="L137" s="139"/>
      <c r="M137" s="139"/>
      <c r="N137" s="139"/>
      <c r="O137" s="139"/>
      <c r="P137" s="139"/>
      <c r="Q137" s="139"/>
      <c r="R137" s="139"/>
    </row>
    <row r="138" spans="1:18" ht="38.25" customHeight="1">
      <c r="A138" s="196" t="str">
        <f>IF(PrintedResults!G122="","","("&amp;(PrintedResults!H122)&amp; ")"&amp;" " &amp;  (PrintedResults!G122) &amp;"| "&amp;CHAR(10)&amp; PrintedResults!I122&amp;"| "&amp;CHAR(10)&amp; PrintedResults!K122 )</f>
        <v/>
      </c>
      <c r="E138" s="20"/>
      <c r="F138" s="139"/>
      <c r="G138" s="139" t="s">
        <v>146</v>
      </c>
      <c r="H138" s="140"/>
      <c r="I138" s="139"/>
      <c r="J138" s="139"/>
      <c r="K138" s="141" t="str">
        <f>IF($I138="","",TEXT(VLOOKUP($I138,SortedDownload!$B$3:$Z$169,13,FALSE),"[hh]:mm:ss.000"))</f>
        <v/>
      </c>
      <c r="L138" s="139"/>
      <c r="M138" s="139"/>
      <c r="N138" s="139"/>
      <c r="O138" s="139"/>
      <c r="P138" s="139"/>
      <c r="Q138" s="139"/>
      <c r="R138" s="139"/>
    </row>
    <row r="139" spans="1:18" ht="38.25" customHeight="1">
      <c r="A139" s="196" t="str">
        <f>IF(PrintedResults!G123="","","("&amp;(PrintedResults!H123)&amp; ")"&amp;" " &amp;  (PrintedResults!G123) &amp;"| "&amp;CHAR(10)&amp; PrintedResults!I123&amp;"| "&amp;CHAR(10)&amp; PrintedResults!K123 )</f>
        <v/>
      </c>
      <c r="E139" s="20"/>
      <c r="F139" s="139"/>
      <c r="G139" s="139" t="s">
        <v>146</v>
      </c>
      <c r="H139" s="140"/>
      <c r="I139" s="139"/>
      <c r="J139" s="139"/>
      <c r="K139" s="141" t="str">
        <f>IF($I139="","",TEXT(VLOOKUP($I139,SortedDownload!$B$3:$Z$169,13,FALSE),"[hh]:mm:ss.000"))</f>
        <v/>
      </c>
      <c r="L139" s="139"/>
      <c r="M139" s="139"/>
      <c r="N139" s="139"/>
      <c r="O139" s="139"/>
      <c r="P139" s="139"/>
      <c r="Q139" s="139"/>
      <c r="R139" s="139"/>
    </row>
    <row r="140" spans="1:18" ht="38.25" customHeight="1">
      <c r="A140" s="196" t="str">
        <f>IF(PrintedResults!G124="","","("&amp;(PrintedResults!H124)&amp; ")"&amp;" " &amp;  (PrintedResults!G124) &amp;"| "&amp;CHAR(10)&amp; PrintedResults!I124&amp;"| "&amp;CHAR(10)&amp; PrintedResults!K124 )</f>
        <v/>
      </c>
      <c r="E140" s="20"/>
      <c r="F140" s="139"/>
      <c r="G140" s="139" t="s">
        <v>146</v>
      </c>
      <c r="H140" s="140"/>
      <c r="I140" s="139"/>
      <c r="J140" s="139"/>
      <c r="K140" s="141" t="str">
        <f>IF($I140="","",TEXT(VLOOKUP($I140,SortedDownload!$B$3:$Z$169,13,FALSE),"[hh]:mm:ss.000"))</f>
        <v/>
      </c>
      <c r="L140" s="139"/>
      <c r="M140" s="139"/>
      <c r="N140" s="139"/>
      <c r="O140" s="139"/>
      <c r="P140" s="139"/>
      <c r="Q140" s="139"/>
      <c r="R140" s="139"/>
    </row>
    <row r="141" spans="1:18" ht="38.25" customHeight="1">
      <c r="A141" s="196" t="str">
        <f>IF(PrintedResults!G125="","","("&amp;(PrintedResults!H125)&amp; ")"&amp;" " &amp;  (PrintedResults!G125) &amp;"| "&amp;CHAR(10)&amp; PrintedResults!I125&amp;"| "&amp;CHAR(10)&amp; PrintedResults!K125 )</f>
        <v/>
      </c>
      <c r="E141" s="20"/>
      <c r="F141" s="139"/>
      <c r="G141" s="139" t="s">
        <v>146</v>
      </c>
      <c r="H141" s="140"/>
      <c r="I141" s="139"/>
      <c r="J141" s="139"/>
      <c r="K141" s="141" t="str">
        <f>IF($I141="","",TEXT(VLOOKUP($I141,SortedDownload!$B$3:$Z$169,13,FALSE),"[hh]:mm:ss.000"))</f>
        <v/>
      </c>
      <c r="L141" s="139"/>
      <c r="M141" s="139"/>
      <c r="N141" s="139"/>
      <c r="O141" s="139"/>
      <c r="P141" s="139"/>
      <c r="Q141" s="139"/>
      <c r="R141" s="139"/>
    </row>
    <row r="142" spans="1:18" ht="38.25" customHeight="1">
      <c r="A142" s="196" t="str">
        <f>IF(PrintedResults!G126="","","("&amp;(PrintedResults!H126)&amp; ")"&amp;" " &amp;  (PrintedResults!G126) &amp;"| "&amp;CHAR(10)&amp; PrintedResults!I126&amp;"| "&amp;CHAR(10)&amp; PrintedResults!K126 )</f>
        <v/>
      </c>
      <c r="E142" s="20"/>
      <c r="F142" s="139"/>
      <c r="G142" s="139" t="s">
        <v>146</v>
      </c>
      <c r="H142" s="140"/>
      <c r="I142" s="139"/>
      <c r="J142" s="139"/>
      <c r="K142" s="141" t="str">
        <f>IF($I142="","",TEXT(VLOOKUP($I142,SortedDownload!$B$3:$Z$169,13,FALSE),"[hh]:mm:ss.000"))</f>
        <v/>
      </c>
      <c r="L142" s="139"/>
      <c r="M142" s="139"/>
      <c r="N142" s="139"/>
      <c r="O142" s="139"/>
      <c r="P142" s="139"/>
      <c r="Q142" s="139"/>
      <c r="R142" s="139"/>
    </row>
    <row r="143" spans="1:18" ht="38.25" customHeight="1">
      <c r="A143" s="196" t="str">
        <f>IF(PrintedResults!G127="","","("&amp;(PrintedResults!H127)&amp; ")"&amp;" " &amp;  (PrintedResults!G127) &amp;"| "&amp;CHAR(10)&amp; PrintedResults!I127&amp;"| "&amp;CHAR(10)&amp; PrintedResults!K127 )</f>
        <v/>
      </c>
      <c r="E143" s="20"/>
      <c r="F143" s="139"/>
      <c r="G143" s="139" t="s">
        <v>146</v>
      </c>
      <c r="H143" s="140"/>
      <c r="I143" s="139"/>
      <c r="J143" s="139"/>
      <c r="K143" s="141" t="str">
        <f>IF($I143="","",TEXT(VLOOKUP($I143,SortedDownload!$B$3:$Z$169,13,FALSE),"[hh]:mm:ss.000"))</f>
        <v/>
      </c>
      <c r="L143" s="139"/>
      <c r="M143" s="139"/>
      <c r="N143" s="139"/>
      <c r="O143" s="139"/>
      <c r="P143" s="139"/>
      <c r="Q143" s="139"/>
      <c r="R143" s="139"/>
    </row>
    <row r="144" spans="1:18" ht="38.25" customHeight="1">
      <c r="A144" s="196" t="str">
        <f>IF(PrintedResults!G128="","","("&amp;(PrintedResults!H128)&amp; ")"&amp;" " &amp;  (PrintedResults!G128) &amp;"| "&amp;CHAR(10)&amp; PrintedResults!I128&amp;"| "&amp;CHAR(10)&amp; PrintedResults!K128 )</f>
        <v/>
      </c>
      <c r="E144" s="20"/>
      <c r="F144" s="139"/>
      <c r="G144" s="139" t="s">
        <v>146</v>
      </c>
      <c r="H144" s="140"/>
      <c r="I144" s="139"/>
      <c r="J144" s="139"/>
      <c r="K144" s="141" t="str">
        <f>IF($I144="","",TEXT(VLOOKUP($I144,SortedDownload!$B$3:$Z$169,13,FALSE),"[hh]:mm:ss.000"))</f>
        <v/>
      </c>
      <c r="L144" s="139"/>
      <c r="M144" s="139"/>
      <c r="N144" s="139"/>
      <c r="O144" s="139"/>
      <c r="P144" s="139"/>
      <c r="Q144" s="139"/>
      <c r="R144" s="139"/>
    </row>
    <row r="145" spans="1:18" ht="38.25" customHeight="1">
      <c r="A145" s="196" t="str">
        <f>IF(PrintedResults!G129="","","("&amp;(PrintedResults!H129)&amp; ")"&amp;" " &amp;  (PrintedResults!G129) &amp;"| "&amp;CHAR(10)&amp; PrintedResults!I129&amp;"| "&amp;CHAR(10)&amp; PrintedResults!K129 )</f>
        <v/>
      </c>
      <c r="E145" s="20"/>
      <c r="F145" s="139"/>
      <c r="G145" s="139" t="s">
        <v>146</v>
      </c>
      <c r="H145" s="140"/>
      <c r="I145" s="139"/>
      <c r="J145" s="139"/>
      <c r="K145" s="141" t="str">
        <f>IF($I145="","",TEXT(VLOOKUP($I145,SortedDownload!$B$3:$Z$169,13,FALSE),"[hh]:mm:ss.000"))</f>
        <v/>
      </c>
      <c r="L145" s="139"/>
      <c r="M145" s="139"/>
      <c r="N145" s="139"/>
      <c r="O145" s="139"/>
      <c r="P145" s="139"/>
      <c r="Q145" s="139"/>
      <c r="R145" s="139"/>
    </row>
    <row r="146" spans="1:18" ht="38.25" customHeight="1">
      <c r="A146" s="196" t="str">
        <f>IF(PrintedResults!G130="","","("&amp;(PrintedResults!H130)&amp; ")"&amp;" " &amp;  (PrintedResults!G130) &amp;"| "&amp;CHAR(10)&amp; PrintedResults!I130&amp;"| "&amp;CHAR(10)&amp; PrintedResults!K130 )</f>
        <v/>
      </c>
      <c r="E146" s="20"/>
      <c r="F146" s="139"/>
      <c r="G146" s="139" t="s">
        <v>146</v>
      </c>
      <c r="H146" s="140"/>
      <c r="I146" s="139"/>
      <c r="J146" s="139"/>
      <c r="K146" s="141" t="str">
        <f>IF($I146="","",TEXT(VLOOKUP($I146,SortedDownload!$B$3:$Z$169,13,FALSE),"[hh]:mm:ss.000"))</f>
        <v/>
      </c>
      <c r="L146" s="139"/>
      <c r="M146" s="139"/>
      <c r="N146" s="139"/>
      <c r="O146" s="139"/>
      <c r="P146" s="139"/>
      <c r="Q146" s="139"/>
      <c r="R146" s="139"/>
    </row>
    <row r="147" spans="1:18" ht="38.25" customHeight="1">
      <c r="A147" s="196" t="str">
        <f>IF(PrintedResults!G131="","","("&amp;(PrintedResults!H131)&amp; ")"&amp;" " &amp;  (PrintedResults!G131) &amp;"| "&amp;CHAR(10)&amp; PrintedResults!I131&amp;"| "&amp;CHAR(10)&amp; PrintedResults!K131 )</f>
        <v/>
      </c>
      <c r="E147" s="20"/>
      <c r="F147" s="139"/>
      <c r="G147" s="139" t="s">
        <v>146</v>
      </c>
      <c r="H147" s="140"/>
      <c r="I147" s="139"/>
      <c r="J147" s="139"/>
      <c r="K147" s="141" t="str">
        <f>IF($I147="","",TEXT(VLOOKUP($I147,SortedDownload!$B$3:$Z$169,13,FALSE),"[hh]:mm:ss.000"))</f>
        <v/>
      </c>
      <c r="L147" s="139"/>
      <c r="M147" s="139"/>
      <c r="N147" s="139"/>
      <c r="O147" s="139"/>
      <c r="P147" s="139"/>
      <c r="Q147" s="139"/>
      <c r="R147" s="139"/>
    </row>
    <row r="148" spans="1:18" ht="38.25" customHeight="1">
      <c r="A148" s="196" t="str">
        <f>IF(PrintedResults!G132="","","("&amp;(PrintedResults!H132)&amp; ")"&amp;" " &amp;  (PrintedResults!G132) &amp;"| "&amp;CHAR(10)&amp; PrintedResults!I132&amp;"| "&amp;CHAR(10)&amp; PrintedResults!K132 )</f>
        <v/>
      </c>
      <c r="E148" s="20"/>
      <c r="F148" s="139"/>
      <c r="G148" s="139" t="s">
        <v>146</v>
      </c>
      <c r="H148" s="140"/>
      <c r="I148" s="139"/>
      <c r="J148" s="139"/>
      <c r="K148" s="141" t="str">
        <f>IF($I148="","",TEXT(VLOOKUP($I148,SortedDownload!$B$3:$Z$169,13,FALSE),"[hh]:mm:ss.000"))</f>
        <v/>
      </c>
      <c r="L148" s="139"/>
      <c r="M148" s="139"/>
      <c r="N148" s="139"/>
      <c r="O148" s="139"/>
      <c r="P148" s="139"/>
      <c r="Q148" s="139"/>
      <c r="R148" s="139"/>
    </row>
    <row r="149" spans="1:18" ht="38.25" customHeight="1">
      <c r="A149" s="196" t="str">
        <f>IF(PrintedResults!G133="","","("&amp;(PrintedResults!H133)&amp; ")"&amp;" " &amp;  (PrintedResults!G133) &amp;"| "&amp;CHAR(10)&amp; PrintedResults!I133&amp;"| "&amp;CHAR(10)&amp; PrintedResults!K133 )</f>
        <v/>
      </c>
      <c r="E149" s="20"/>
      <c r="F149" s="139"/>
      <c r="G149" s="139" t="s">
        <v>146</v>
      </c>
      <c r="H149" s="140"/>
      <c r="I149" s="139"/>
      <c r="J149" s="139"/>
      <c r="K149" s="141" t="str">
        <f>IF($I149="","",TEXT(VLOOKUP($I149,SortedDownload!$B$3:$Z$169,13,FALSE),"[hh]:mm:ss.000"))</f>
        <v/>
      </c>
      <c r="L149" s="139"/>
      <c r="M149" s="139"/>
      <c r="N149" s="139"/>
      <c r="O149" s="139"/>
      <c r="P149" s="139"/>
      <c r="Q149" s="139"/>
      <c r="R149" s="139"/>
    </row>
    <row r="150" spans="1:18" ht="38.25" customHeight="1">
      <c r="A150" s="196" t="str">
        <f>IF(PrintedResults!G134="","","("&amp;(PrintedResults!H134)&amp; ")"&amp;" " &amp;  (PrintedResults!G134) &amp;"| "&amp;CHAR(10)&amp; PrintedResults!I134&amp;"| "&amp;CHAR(10)&amp; PrintedResults!K134 )</f>
        <v/>
      </c>
      <c r="E150" s="20"/>
      <c r="F150" s="139"/>
      <c r="G150" s="139" t="s">
        <v>146</v>
      </c>
      <c r="H150" s="140"/>
      <c r="I150" s="139"/>
      <c r="J150" s="139"/>
      <c r="K150" s="141" t="str">
        <f>IF($I150="","",TEXT(VLOOKUP($I150,SortedDownload!$B$3:$Z$169,13,FALSE),"[hh]:mm:ss.000"))</f>
        <v/>
      </c>
      <c r="L150" s="139"/>
      <c r="M150" s="139"/>
      <c r="N150" s="139"/>
      <c r="O150" s="139"/>
      <c r="P150" s="139"/>
      <c r="Q150" s="139"/>
      <c r="R150" s="139"/>
    </row>
    <row r="151" spans="1:18" ht="38.25" customHeight="1">
      <c r="A151" s="196" t="str">
        <f>IF(PrintedResults!G135="","","("&amp;(PrintedResults!H135)&amp; ")"&amp;" " &amp;  (PrintedResults!G135) &amp;"| "&amp;CHAR(10)&amp; PrintedResults!I135&amp;"| "&amp;CHAR(10)&amp; PrintedResults!K135 )</f>
        <v/>
      </c>
      <c r="E151" s="20"/>
      <c r="F151" s="139"/>
      <c r="G151" s="139" t="s">
        <v>146</v>
      </c>
      <c r="H151" s="140"/>
      <c r="I151" s="139"/>
      <c r="J151" s="139"/>
      <c r="K151" s="141" t="str">
        <f>IF($I151="","",TEXT(VLOOKUP($I151,SortedDownload!$B$3:$Z$169,13,FALSE),"[hh]:mm:ss.000"))</f>
        <v/>
      </c>
      <c r="L151" s="139"/>
      <c r="M151" s="139"/>
      <c r="N151" s="139"/>
      <c r="O151" s="139"/>
      <c r="P151" s="139"/>
      <c r="Q151" s="139"/>
      <c r="R151" s="139"/>
    </row>
    <row r="152" spans="1:18" ht="38.25" customHeight="1">
      <c r="A152" s="196" t="str">
        <f>IF(PrintedResults!G136="","","("&amp;(PrintedResults!H136)&amp; ")"&amp;" " &amp;  (PrintedResults!G136) &amp;"| "&amp;CHAR(10)&amp; PrintedResults!I136&amp;"| "&amp;CHAR(10)&amp; PrintedResults!K136 )</f>
        <v/>
      </c>
      <c r="E152" s="20"/>
      <c r="F152" s="139"/>
      <c r="G152" s="139" t="s">
        <v>146</v>
      </c>
      <c r="H152" s="140"/>
      <c r="I152" s="139"/>
      <c r="J152" s="139"/>
      <c r="K152" s="141" t="str">
        <f>IF($I152="","",TEXT(VLOOKUP($I152,SortedDownload!$B$3:$Z$169,13,FALSE),"[hh]:mm:ss.000"))</f>
        <v/>
      </c>
      <c r="L152" s="139"/>
      <c r="M152" s="139"/>
      <c r="N152" s="139"/>
      <c r="O152" s="139"/>
      <c r="P152" s="139"/>
      <c r="Q152" s="139"/>
      <c r="R152" s="139"/>
    </row>
    <row r="153" spans="1:18" ht="38.25" customHeight="1">
      <c r="A153" s="196" t="str">
        <f>IF(PrintedResults!G137="","","("&amp;(PrintedResults!H137)&amp; ")"&amp;" " &amp;  (PrintedResults!G137) &amp;"| "&amp;CHAR(10)&amp; PrintedResults!I137&amp;"| "&amp;CHAR(10)&amp; PrintedResults!K137 )</f>
        <v/>
      </c>
      <c r="E153" s="20"/>
      <c r="F153" s="139"/>
      <c r="G153" s="139" t="s">
        <v>146</v>
      </c>
      <c r="H153" s="140"/>
      <c r="I153" s="139"/>
      <c r="J153" s="139"/>
      <c r="K153" s="141" t="str">
        <f>IF($I153="","",TEXT(VLOOKUP($I153,SortedDownload!$B$3:$Z$169,13,FALSE),"[hh]:mm:ss.000"))</f>
        <v/>
      </c>
      <c r="L153" s="139"/>
      <c r="M153" s="139"/>
      <c r="N153" s="139"/>
      <c r="O153" s="139"/>
      <c r="P153" s="139"/>
      <c r="Q153" s="139"/>
      <c r="R153" s="139"/>
    </row>
    <row r="154" spans="1:18" ht="38.25" customHeight="1">
      <c r="A154" s="196" t="str">
        <f>IF(PrintedResults!G138="","","("&amp;(PrintedResults!H138)&amp; ")"&amp;" " &amp;  (PrintedResults!G138) &amp;"| "&amp;CHAR(10)&amp; PrintedResults!I138&amp;"| "&amp;CHAR(10)&amp; PrintedResults!K138 )</f>
        <v/>
      </c>
      <c r="E154" s="20"/>
      <c r="F154" s="139"/>
      <c r="G154" s="139" t="s">
        <v>146</v>
      </c>
      <c r="H154" s="140"/>
      <c r="I154" s="139"/>
      <c r="J154" s="139"/>
      <c r="K154" s="141" t="str">
        <f>IF($I154="","",TEXT(VLOOKUP($I154,SortedDownload!$B$3:$Z$169,13,FALSE),"[hh]:mm:ss.000"))</f>
        <v/>
      </c>
      <c r="L154" s="139"/>
      <c r="M154" s="139"/>
      <c r="N154" s="139"/>
      <c r="O154" s="139"/>
      <c r="P154" s="139"/>
      <c r="Q154" s="139"/>
      <c r="R154" s="139"/>
    </row>
    <row r="155" spans="1:18" ht="38.25" customHeight="1">
      <c r="A155" s="196" t="str">
        <f>IF(PrintedResults!G139="","","("&amp;(PrintedResults!H139)&amp; ")"&amp;" " &amp;  (PrintedResults!G139) &amp;"| "&amp;CHAR(10)&amp; PrintedResults!I139&amp;"| "&amp;CHAR(10)&amp; PrintedResults!K139 )</f>
        <v/>
      </c>
      <c r="E155" s="20"/>
      <c r="F155" s="139"/>
      <c r="G155" s="139" t="s">
        <v>146</v>
      </c>
      <c r="H155" s="140"/>
      <c r="I155" s="139"/>
      <c r="J155" s="139"/>
      <c r="K155" s="141" t="str">
        <f>IF($I155="","",TEXT(VLOOKUP($I155,SortedDownload!$B$3:$Z$169,13,FALSE),"[hh]:mm:ss.000"))</f>
        <v/>
      </c>
      <c r="L155" s="139"/>
      <c r="M155" s="139"/>
      <c r="N155" s="139"/>
      <c r="O155" s="139"/>
      <c r="P155" s="139"/>
      <c r="Q155" s="139"/>
      <c r="R155" s="139"/>
    </row>
    <row r="156" spans="1:18" ht="38.25" customHeight="1">
      <c r="A156" s="196" t="str">
        <f>IF(PrintedResults!G140="","","("&amp;(PrintedResults!H140)&amp; ")"&amp;" " &amp;  (PrintedResults!G140) &amp;"| "&amp;CHAR(10)&amp; PrintedResults!I140&amp;"| "&amp;CHAR(10)&amp; PrintedResults!K140 )</f>
        <v/>
      </c>
      <c r="E156" s="20"/>
      <c r="F156" s="139"/>
      <c r="G156" s="139" t="s">
        <v>146</v>
      </c>
      <c r="H156" s="140"/>
      <c r="I156" s="139"/>
      <c r="J156" s="139"/>
      <c r="K156" s="141" t="str">
        <f>IF($I156="","",TEXT(VLOOKUP($I156,SortedDownload!$B$3:$Z$169,13,FALSE),"[hh]:mm:ss.000"))</f>
        <v/>
      </c>
      <c r="L156" s="139"/>
      <c r="M156" s="139"/>
      <c r="N156" s="139"/>
      <c r="O156" s="139"/>
      <c r="P156" s="139"/>
      <c r="Q156" s="139"/>
      <c r="R156" s="139"/>
    </row>
    <row r="157" spans="1:18" ht="38.25" customHeight="1">
      <c r="A157" s="196" t="str">
        <f>IF(PrintedResults!G141="","","("&amp;(PrintedResults!H141)&amp; ")"&amp;" " &amp;  (PrintedResults!G141) &amp;"| "&amp;CHAR(10)&amp; PrintedResults!I141&amp;"| "&amp;CHAR(10)&amp; PrintedResults!K141 )</f>
        <v/>
      </c>
      <c r="E157" s="20"/>
      <c r="F157" s="139"/>
      <c r="G157" s="139" t="s">
        <v>146</v>
      </c>
      <c r="H157" s="140"/>
      <c r="I157" s="139"/>
      <c r="J157" s="139"/>
      <c r="K157" s="141" t="str">
        <f>IF($I157="","",TEXT(VLOOKUP($I157,SortedDownload!$B$3:$Z$169,13,FALSE),"[hh]:mm:ss.000"))</f>
        <v/>
      </c>
      <c r="L157" s="139"/>
      <c r="M157" s="139"/>
      <c r="N157" s="139"/>
      <c r="O157" s="139"/>
      <c r="P157" s="139"/>
      <c r="Q157" s="139"/>
      <c r="R157" s="139"/>
    </row>
    <row r="158" spans="1:18" ht="38.25" customHeight="1">
      <c r="A158" s="196" t="str">
        <f>IF(PrintedResults!G142="","","("&amp;(PrintedResults!H142)&amp; ")"&amp;" " &amp;  (PrintedResults!G142) &amp;"| "&amp;CHAR(10)&amp; PrintedResults!I142&amp;"| "&amp;CHAR(10)&amp; PrintedResults!K142 )</f>
        <v/>
      </c>
      <c r="E158" s="20"/>
      <c r="F158" s="139"/>
      <c r="G158" s="139" t="s">
        <v>146</v>
      </c>
      <c r="H158" s="140"/>
      <c r="I158" s="139"/>
      <c r="J158" s="139"/>
      <c r="K158" s="141" t="str">
        <f>IF($I158="","",TEXT(VLOOKUP($I158,SortedDownload!$B$3:$Z$169,13,FALSE),"[hh]:mm:ss.000"))</f>
        <v/>
      </c>
      <c r="L158" s="139"/>
      <c r="M158" s="139"/>
      <c r="N158" s="139"/>
      <c r="O158" s="139"/>
      <c r="P158" s="139"/>
      <c r="Q158" s="139"/>
      <c r="R158" s="139"/>
    </row>
    <row r="159" spans="1:18" ht="38.25" customHeight="1">
      <c r="A159" s="196" t="str">
        <f>IF(PrintedResults!G143="","","("&amp;(PrintedResults!H143)&amp; ")"&amp;" " &amp;  (PrintedResults!G143) &amp;"| "&amp;CHAR(10)&amp; PrintedResults!I143&amp;"| "&amp;CHAR(10)&amp; PrintedResults!K143 )</f>
        <v/>
      </c>
      <c r="E159" s="20"/>
      <c r="F159" s="139"/>
      <c r="G159" s="139" t="s">
        <v>146</v>
      </c>
      <c r="H159" s="140"/>
      <c r="I159" s="139"/>
      <c r="J159" s="139"/>
      <c r="K159" s="141" t="str">
        <f>IF($I159="","",TEXT(VLOOKUP($I159,SortedDownload!$B$3:$Z$169,13,FALSE),"[hh]:mm:ss.000"))</f>
        <v/>
      </c>
      <c r="L159" s="139"/>
      <c r="M159" s="139"/>
      <c r="N159" s="139"/>
      <c r="O159" s="139"/>
      <c r="P159" s="139"/>
      <c r="Q159" s="139"/>
      <c r="R159" s="139"/>
    </row>
    <row r="160" spans="1:18" ht="38.25" customHeight="1">
      <c r="A160" s="196" t="str">
        <f>IF(PrintedResults!G144="","","("&amp;(PrintedResults!H144)&amp; ")"&amp;" " &amp;  (PrintedResults!G144) &amp;"| "&amp;CHAR(10)&amp; PrintedResults!I144&amp;"| "&amp;CHAR(10)&amp; PrintedResults!K144 )</f>
        <v/>
      </c>
      <c r="E160" s="20"/>
      <c r="F160" s="139"/>
      <c r="G160" s="139" t="s">
        <v>146</v>
      </c>
      <c r="H160" s="140"/>
      <c r="I160" s="139"/>
      <c r="J160" s="139"/>
      <c r="K160" s="141" t="str">
        <f>IF($I160="","",TEXT(VLOOKUP($I160,SortedDownload!$B$3:$Z$169,13,FALSE),"[hh]:mm:ss.000"))</f>
        <v/>
      </c>
      <c r="L160" s="139"/>
      <c r="M160" s="139"/>
      <c r="N160" s="139"/>
      <c r="O160" s="139"/>
      <c r="P160" s="139"/>
      <c r="Q160" s="139"/>
      <c r="R160" s="139"/>
    </row>
    <row r="161" spans="1:18" ht="38.25" customHeight="1">
      <c r="A161" s="196" t="str">
        <f>IF(PrintedResults!G145="","","("&amp;(PrintedResults!H145)&amp; ")"&amp;" " &amp;  (PrintedResults!G145) &amp;"| "&amp;CHAR(10)&amp; PrintedResults!I145&amp;"| "&amp;CHAR(10)&amp; PrintedResults!K145 )</f>
        <v/>
      </c>
      <c r="E161" s="20"/>
      <c r="F161" s="139"/>
      <c r="G161" s="139" t="s">
        <v>146</v>
      </c>
      <c r="H161" s="140"/>
      <c r="I161" s="139"/>
      <c r="J161" s="139"/>
      <c r="K161" s="141" t="str">
        <f>IF($I161="","",TEXT(VLOOKUP($I161,SortedDownload!$B$3:$Z$169,13,FALSE),"[hh]:mm:ss.000"))</f>
        <v/>
      </c>
      <c r="L161" s="139"/>
      <c r="M161" s="139"/>
      <c r="N161" s="139"/>
      <c r="O161" s="139"/>
      <c r="P161" s="139"/>
      <c r="Q161" s="139"/>
      <c r="R161" s="139"/>
    </row>
    <row r="162" spans="1:18" ht="38.25" customHeight="1">
      <c r="A162" s="196" t="str">
        <f>IF(PrintedResults!G146="","","("&amp;(PrintedResults!H146)&amp; ")"&amp;" " &amp;  (PrintedResults!G146) &amp;"| "&amp;CHAR(10)&amp; PrintedResults!I146&amp;"| "&amp;CHAR(10)&amp; PrintedResults!K146 )</f>
        <v/>
      </c>
      <c r="E162" s="20"/>
      <c r="F162" s="139"/>
      <c r="G162" s="139" t="s">
        <v>146</v>
      </c>
      <c r="H162" s="140"/>
      <c r="I162" s="139"/>
      <c r="J162" s="139"/>
      <c r="K162" s="141" t="str">
        <f>IF($I162="","",TEXT(VLOOKUP($I162,SortedDownload!$B$3:$Z$169,13,FALSE),"[hh]:mm:ss.000"))</f>
        <v/>
      </c>
      <c r="L162" s="139"/>
      <c r="M162" s="139"/>
      <c r="N162" s="139"/>
      <c r="O162" s="139"/>
      <c r="P162" s="139"/>
      <c r="Q162" s="139"/>
      <c r="R162" s="139"/>
    </row>
    <row r="163" spans="1:18" ht="38.25" customHeight="1">
      <c r="A163" s="196" t="str">
        <f>IF(PrintedResults!G147="","","("&amp;(PrintedResults!H147)&amp; ")"&amp;" " &amp;  (PrintedResults!G147) &amp;"| "&amp;CHAR(10)&amp; PrintedResults!I147&amp;"| "&amp;CHAR(10)&amp; PrintedResults!K147 )</f>
        <v/>
      </c>
      <c r="E163" s="20"/>
      <c r="F163" s="139"/>
      <c r="G163" s="139" t="s">
        <v>146</v>
      </c>
      <c r="H163" s="140"/>
      <c r="I163" s="139"/>
      <c r="J163" s="139"/>
      <c r="K163" s="141" t="str">
        <f>IF($I163="","",TEXT(VLOOKUP($I163,SortedDownload!$B$3:$Z$169,13,FALSE),"[hh]:mm:ss.000"))</f>
        <v/>
      </c>
      <c r="L163" s="139"/>
      <c r="M163" s="139"/>
      <c r="N163" s="139"/>
      <c r="O163" s="139"/>
      <c r="P163" s="139"/>
      <c r="Q163" s="139"/>
      <c r="R163" s="139"/>
    </row>
    <row r="164" spans="1:18" ht="38.25" customHeight="1">
      <c r="A164" s="196" t="str">
        <f>IF(PrintedResults!G148="","","("&amp;(PrintedResults!H148)&amp; ")"&amp;" " &amp;  (PrintedResults!G148) &amp;"| "&amp;CHAR(10)&amp; PrintedResults!I148&amp;"| "&amp;CHAR(10)&amp; PrintedResults!K148 )</f>
        <v/>
      </c>
      <c r="E164" s="20"/>
      <c r="F164" s="139"/>
      <c r="G164" s="139" t="s">
        <v>146</v>
      </c>
      <c r="H164" s="140"/>
      <c r="I164" s="139"/>
      <c r="J164" s="139"/>
      <c r="K164" s="141" t="str">
        <f>IF($I164="","",TEXT(VLOOKUP($I164,SortedDownload!$B$3:$Z$169,13,FALSE),"[hh]:mm:ss.000"))</f>
        <v/>
      </c>
      <c r="L164" s="139"/>
      <c r="M164" s="139"/>
      <c r="N164" s="139"/>
      <c r="O164" s="139"/>
      <c r="P164" s="139"/>
      <c r="Q164" s="139"/>
      <c r="R164" s="139"/>
    </row>
    <row r="165" spans="1:18" ht="38.25" customHeight="1">
      <c r="A165" s="196" t="str">
        <f>IF(PrintedResults!G149="","","("&amp;(PrintedResults!H149)&amp; ")"&amp;" " &amp;  (PrintedResults!G149) &amp;"| "&amp;CHAR(10)&amp; PrintedResults!I149&amp;"| "&amp;CHAR(10)&amp; PrintedResults!K149 )</f>
        <v/>
      </c>
      <c r="E165" s="20"/>
      <c r="F165" s="139"/>
      <c r="G165" s="139" t="s">
        <v>146</v>
      </c>
      <c r="H165" s="140"/>
      <c r="I165" s="139"/>
      <c r="J165" s="139"/>
      <c r="K165" s="141" t="str">
        <f>IF($I165="","",TEXT(VLOOKUP($I165,SortedDownload!$B$3:$Z$169,13,FALSE),"[hh]:mm:ss.000"))</f>
        <v/>
      </c>
      <c r="L165" s="139"/>
      <c r="M165" s="139"/>
      <c r="N165" s="139"/>
      <c r="O165" s="139"/>
      <c r="P165" s="139"/>
      <c r="Q165" s="139"/>
      <c r="R165" s="139"/>
    </row>
    <row r="166" spans="1:18" ht="38.25" customHeight="1">
      <c r="A166" s="196" t="str">
        <f>IF(PrintedResults!G150="","","("&amp;(PrintedResults!H150)&amp; ")"&amp;" " &amp;  (PrintedResults!G150) &amp;"| "&amp;CHAR(10)&amp; PrintedResults!I150&amp;"| "&amp;CHAR(10)&amp; PrintedResults!K150 )</f>
        <v/>
      </c>
      <c r="E166" s="20"/>
      <c r="F166" s="139"/>
      <c r="G166" s="139" t="s">
        <v>146</v>
      </c>
      <c r="H166" s="140"/>
      <c r="I166" s="139"/>
      <c r="J166" s="139"/>
      <c r="K166" s="141" t="str">
        <f>IF($I166="","",TEXT(VLOOKUP($I166,SortedDownload!$B$3:$Z$169,13,FALSE),"[hh]:mm:ss.000"))</f>
        <v/>
      </c>
      <c r="L166" s="139"/>
      <c r="M166" s="139"/>
      <c r="N166" s="139"/>
      <c r="O166" s="139"/>
      <c r="P166" s="139"/>
      <c r="Q166" s="139"/>
      <c r="R166" s="139"/>
    </row>
    <row r="167" spans="1:18" ht="38.25" customHeight="1">
      <c r="A167" s="196" t="str">
        <f>IF(PrintedResults!G151="","","("&amp;(PrintedResults!H151)&amp; ")"&amp;" " &amp;  (PrintedResults!G151) &amp;"| "&amp;CHAR(10)&amp; PrintedResults!I151&amp;"| "&amp;CHAR(10)&amp; PrintedResults!K151 )</f>
        <v/>
      </c>
      <c r="E167" s="20"/>
      <c r="F167" s="139"/>
      <c r="G167" s="139" t="s">
        <v>146</v>
      </c>
      <c r="H167" s="140"/>
      <c r="I167" s="139"/>
      <c r="J167" s="139"/>
      <c r="K167" s="141" t="str">
        <f>IF($I167="","",TEXT(VLOOKUP($I167,SortedDownload!$B$3:$Z$169,13,FALSE),"[hh]:mm:ss.000"))</f>
        <v/>
      </c>
      <c r="L167" s="139"/>
      <c r="M167" s="139"/>
      <c r="N167" s="139"/>
      <c r="O167" s="139"/>
      <c r="P167" s="139"/>
      <c r="Q167" s="139"/>
      <c r="R167" s="139"/>
    </row>
    <row r="168" spans="1:18" ht="38.25" customHeight="1">
      <c r="A168" s="196" t="str">
        <f>IF(PrintedResults!G152="","","("&amp;(PrintedResults!H152)&amp; ")"&amp;" " &amp;  (PrintedResults!G152) &amp;"| "&amp;CHAR(10)&amp; PrintedResults!I152&amp;"| "&amp;CHAR(10)&amp; PrintedResults!K152 )</f>
        <v/>
      </c>
      <c r="E168" s="20"/>
      <c r="F168" s="139"/>
      <c r="G168" s="139" t="s">
        <v>146</v>
      </c>
      <c r="H168" s="140"/>
      <c r="I168" s="139"/>
      <c r="J168" s="139"/>
      <c r="K168" s="141" t="str">
        <f>IF($I168="","",TEXT(VLOOKUP($I168,SortedDownload!$B$3:$Z$169,13,FALSE),"[hh]:mm:ss.000"))</f>
        <v/>
      </c>
      <c r="L168" s="139"/>
      <c r="M168" s="139"/>
      <c r="N168" s="139"/>
      <c r="O168" s="139"/>
      <c r="P168" s="139"/>
      <c r="Q168" s="139"/>
      <c r="R168" s="139"/>
    </row>
    <row r="169" spans="1:18" ht="38.25" customHeight="1">
      <c r="A169" s="196" t="str">
        <f>IF(PrintedResults!G153="","","("&amp;(PrintedResults!H153)&amp; ")"&amp;" " &amp;  (PrintedResults!G153) &amp;"| "&amp;CHAR(10)&amp; PrintedResults!I153&amp;"| "&amp;CHAR(10)&amp; PrintedResults!K153 )</f>
        <v/>
      </c>
      <c r="E169" s="20"/>
      <c r="F169" s="139"/>
      <c r="G169" s="139" t="s">
        <v>146</v>
      </c>
      <c r="H169" s="140"/>
      <c r="I169" s="139"/>
      <c r="J169" s="139"/>
      <c r="K169" s="141" t="str">
        <f>IF($I169="","",TEXT(VLOOKUP($I169,SortedDownload!$B$3:$Z$169,13,FALSE),"[hh]:mm:ss.000"))</f>
        <v/>
      </c>
      <c r="L169" s="139"/>
      <c r="M169" s="139"/>
      <c r="N169" s="139"/>
      <c r="O169" s="139"/>
      <c r="P169" s="139"/>
      <c r="Q169" s="139"/>
      <c r="R169" s="139"/>
    </row>
    <row r="170" spans="1:18" ht="38.25" customHeight="1">
      <c r="A170" s="196" t="str">
        <f>IF(PrintedResults!G154="","","("&amp;(PrintedResults!H154)&amp; ")"&amp;" " &amp;  (PrintedResults!G154) &amp;"| "&amp;CHAR(10)&amp; PrintedResults!I154&amp;"| "&amp;CHAR(10)&amp; PrintedResults!K154 )</f>
        <v/>
      </c>
      <c r="E170" s="20"/>
      <c r="F170" s="139"/>
      <c r="G170" s="139" t="s">
        <v>146</v>
      </c>
      <c r="H170" s="140"/>
      <c r="I170" s="139"/>
      <c r="J170" s="139"/>
      <c r="K170" s="141" t="str">
        <f>IF($I170="","",TEXT(VLOOKUP($I170,SortedDownload!$B$3:$Z$169,13,FALSE),"[hh]:mm:ss.000"))</f>
        <v/>
      </c>
      <c r="L170" s="139"/>
      <c r="M170" s="139"/>
      <c r="N170" s="139"/>
      <c r="O170" s="139"/>
      <c r="P170" s="139"/>
      <c r="Q170" s="139"/>
      <c r="R170" s="139"/>
    </row>
    <row r="171" spans="1:18" ht="38.25" customHeight="1">
      <c r="A171" s="196" t="str">
        <f>IF(PrintedResults!G155="","","("&amp;(PrintedResults!H155)&amp; ")"&amp;" " &amp;  (PrintedResults!G155) &amp;"| "&amp;CHAR(10)&amp; PrintedResults!I155&amp;"| "&amp;CHAR(10)&amp; PrintedResults!K155 )</f>
        <v/>
      </c>
      <c r="E171" s="20"/>
      <c r="F171" s="139"/>
      <c r="G171" s="139" t="s">
        <v>146</v>
      </c>
      <c r="H171" s="140"/>
      <c r="I171" s="139"/>
      <c r="J171" s="139"/>
      <c r="K171" s="141" t="str">
        <f>IF($I171="","",TEXT(VLOOKUP($I171,SortedDownload!$B$3:$Z$169,13,FALSE),"[hh]:mm:ss.000"))</f>
        <v/>
      </c>
      <c r="L171" s="139"/>
      <c r="M171" s="139"/>
      <c r="N171" s="139"/>
      <c r="O171" s="139"/>
      <c r="P171" s="139"/>
      <c r="Q171" s="139"/>
      <c r="R171" s="139"/>
    </row>
    <row r="172" spans="1:18" ht="38.25" customHeight="1">
      <c r="A172" s="196" t="str">
        <f>IF(PrintedResults!G156="","","("&amp;(PrintedResults!H156)&amp; ")"&amp;" " &amp;  (PrintedResults!G156) &amp;"| "&amp;CHAR(10)&amp; PrintedResults!I156&amp;"| "&amp;CHAR(10)&amp; PrintedResults!K156 )</f>
        <v/>
      </c>
      <c r="E172" s="20"/>
      <c r="F172" s="139"/>
      <c r="G172" s="139" t="s">
        <v>146</v>
      </c>
      <c r="H172" s="140"/>
      <c r="I172" s="139"/>
      <c r="J172" s="139"/>
      <c r="K172" s="141" t="str">
        <f>IF($I172="","",TEXT(VLOOKUP($I172,SortedDownload!$B$3:$Z$169,13,FALSE),"[hh]:mm:ss.000"))</f>
        <v/>
      </c>
      <c r="L172" s="139"/>
      <c r="M172" s="139"/>
      <c r="N172" s="139"/>
      <c r="O172" s="139"/>
      <c r="P172" s="139"/>
      <c r="Q172" s="139"/>
      <c r="R172" s="139"/>
    </row>
    <row r="173" spans="1:18" ht="38.25" customHeight="1">
      <c r="A173" s="196" t="str">
        <f>IF(PrintedResults!G157="","","("&amp;(PrintedResults!H157)&amp; ")"&amp;" " &amp;  (PrintedResults!G157) &amp;"| "&amp;CHAR(10)&amp; PrintedResults!I157&amp;"| "&amp;CHAR(10)&amp; PrintedResults!K157 )</f>
        <v/>
      </c>
      <c r="E173" s="20"/>
      <c r="F173" s="139"/>
      <c r="G173" s="139" t="s">
        <v>146</v>
      </c>
      <c r="H173" s="140"/>
      <c r="I173" s="139"/>
      <c r="J173" s="139"/>
      <c r="K173" s="141" t="str">
        <f>IF($I173="","",TEXT(VLOOKUP($I173,SortedDownload!$B$3:$Z$169,13,FALSE),"[hh]:mm:ss.000"))</f>
        <v/>
      </c>
      <c r="L173" s="139"/>
      <c r="M173" s="139"/>
      <c r="N173" s="139"/>
      <c r="O173" s="139"/>
      <c r="P173" s="139"/>
      <c r="Q173" s="139"/>
      <c r="R173" s="139"/>
    </row>
    <row r="174" spans="1:18" ht="38.25" customHeight="1">
      <c r="A174" s="196" t="str">
        <f>IF(PrintedResults!G158="","","("&amp;(PrintedResults!H158)&amp; ")"&amp;" " &amp;  (PrintedResults!G158) &amp;"| "&amp;CHAR(10)&amp; PrintedResults!I158&amp;"| "&amp;CHAR(10)&amp; PrintedResults!K158 )</f>
        <v/>
      </c>
      <c r="E174" s="20"/>
      <c r="F174" s="139"/>
      <c r="G174" s="139" t="s">
        <v>146</v>
      </c>
      <c r="H174" s="140"/>
      <c r="I174" s="139"/>
      <c r="J174" s="139"/>
      <c r="K174" s="141" t="str">
        <f>IF($I174="","",TEXT(VLOOKUP($I174,SortedDownload!$B$3:$Z$169,13,FALSE),"[hh]:mm:ss.000"))</f>
        <v/>
      </c>
      <c r="L174" s="139"/>
      <c r="M174" s="139"/>
      <c r="N174" s="139"/>
      <c r="O174" s="139"/>
      <c r="P174" s="139"/>
      <c r="Q174" s="139"/>
      <c r="R174" s="139"/>
    </row>
    <row r="175" spans="1:18" ht="38.25" customHeight="1">
      <c r="A175" s="196" t="str">
        <f>IF(PrintedResults!G159="","","("&amp;(PrintedResults!H159)&amp; ")"&amp;" " &amp;  (PrintedResults!G159) &amp;"| "&amp;CHAR(10)&amp; PrintedResults!I159&amp;"| "&amp;CHAR(10)&amp; PrintedResults!K159 )</f>
        <v/>
      </c>
      <c r="E175" s="20"/>
      <c r="F175" s="139"/>
      <c r="G175" s="139" t="s">
        <v>146</v>
      </c>
      <c r="H175" s="140"/>
      <c r="I175" s="139"/>
      <c r="J175" s="139"/>
      <c r="K175" s="141" t="str">
        <f>IF($I175="","",TEXT(VLOOKUP($I175,SortedDownload!$B$3:$Z$169,13,FALSE),"[hh]:mm:ss.000"))</f>
        <v/>
      </c>
      <c r="L175" s="139"/>
      <c r="M175" s="139"/>
      <c r="N175" s="139"/>
      <c r="O175" s="139"/>
      <c r="P175" s="139"/>
      <c r="Q175" s="139"/>
      <c r="R175" s="139"/>
    </row>
    <row r="176" spans="1:18" ht="38.25" customHeight="1">
      <c r="A176" s="196" t="str">
        <f>IF(PrintedResults!G160="","","("&amp;(PrintedResults!H160)&amp; ")"&amp;" " &amp;  (PrintedResults!G160) &amp;"| "&amp;CHAR(10)&amp; PrintedResults!I160&amp;"| "&amp;CHAR(10)&amp; PrintedResults!K160 )</f>
        <v/>
      </c>
      <c r="E176" s="20"/>
      <c r="F176" s="139"/>
      <c r="G176" s="139" t="s">
        <v>146</v>
      </c>
      <c r="H176" s="140"/>
      <c r="I176" s="139"/>
      <c r="J176" s="139"/>
      <c r="K176" s="141" t="str">
        <f>IF($I176="","",TEXT(VLOOKUP($I176,SortedDownload!$B$3:$Z$169,13,FALSE),"[hh]:mm:ss.000"))</f>
        <v/>
      </c>
      <c r="L176" s="139"/>
      <c r="M176" s="139"/>
      <c r="N176" s="139"/>
      <c r="O176" s="139"/>
      <c r="P176" s="139"/>
      <c r="Q176" s="139"/>
      <c r="R176" s="139"/>
    </row>
    <row r="177" spans="1:18" ht="38.25" customHeight="1">
      <c r="A177" s="196" t="str">
        <f>IF(PrintedResults!G161="","","("&amp;(PrintedResults!H161)&amp; ")"&amp;" " &amp;  (PrintedResults!G161) &amp;"| "&amp;CHAR(10)&amp; PrintedResults!I161&amp;"| "&amp;CHAR(10)&amp; PrintedResults!K161 )</f>
        <v/>
      </c>
      <c r="E177" s="20"/>
      <c r="F177" s="139"/>
      <c r="G177" s="139" t="s">
        <v>146</v>
      </c>
      <c r="H177" s="140"/>
      <c r="I177" s="139"/>
      <c r="J177" s="139"/>
      <c r="K177" s="141" t="str">
        <f>IF($I177="","",TEXT(VLOOKUP($I177,SortedDownload!$B$3:$Z$169,13,FALSE),"[hh]:mm:ss.000"))</f>
        <v/>
      </c>
      <c r="L177" s="139"/>
      <c r="M177" s="139"/>
      <c r="N177" s="139"/>
      <c r="O177" s="139"/>
      <c r="P177" s="139"/>
      <c r="Q177" s="139"/>
      <c r="R177" s="139"/>
    </row>
    <row r="178" spans="1:18" ht="38.25" customHeight="1">
      <c r="A178" s="196" t="str">
        <f>IF(PrintedResults!G162="","","("&amp;(PrintedResults!H162)&amp; ")"&amp;" " &amp;  (PrintedResults!G162) &amp;"| "&amp;CHAR(10)&amp; PrintedResults!I162&amp;"| "&amp;CHAR(10)&amp; PrintedResults!K162 )</f>
        <v/>
      </c>
      <c r="E178" s="20"/>
      <c r="F178" s="139"/>
      <c r="G178" s="139" t="s">
        <v>146</v>
      </c>
      <c r="H178" s="140"/>
      <c r="I178" s="139"/>
      <c r="J178" s="139"/>
      <c r="K178" s="141" t="str">
        <f>IF($I178="","",TEXT(VLOOKUP($I178,SortedDownload!$B$3:$Z$169,13,FALSE),"[hh]:mm:ss.000"))</f>
        <v/>
      </c>
      <c r="L178" s="139"/>
      <c r="M178" s="139"/>
      <c r="N178" s="139"/>
      <c r="O178" s="139"/>
      <c r="P178" s="139"/>
      <c r="Q178" s="139"/>
      <c r="R178" s="139"/>
    </row>
    <row r="179" spans="1:18" ht="38.25" customHeight="1">
      <c r="A179" s="196" t="str">
        <f>IF(PrintedResults!G163="","","("&amp;(PrintedResults!H163)&amp; ")"&amp;" " &amp;  (PrintedResults!G163) &amp;"| "&amp;CHAR(10)&amp; PrintedResults!I163&amp;"| "&amp;CHAR(10)&amp; PrintedResults!K163 )</f>
        <v/>
      </c>
      <c r="E179" s="20"/>
      <c r="F179" s="139"/>
      <c r="G179" s="139" t="s">
        <v>146</v>
      </c>
      <c r="H179" s="140"/>
      <c r="I179" s="139"/>
      <c r="J179" s="139"/>
      <c r="K179" s="141" t="str">
        <f>IF($I179="","",TEXT(VLOOKUP($I179,SortedDownload!$B$3:$Z$169,13,FALSE),"[hh]:mm:ss.000"))</f>
        <v/>
      </c>
      <c r="L179" s="139"/>
      <c r="M179" s="139"/>
      <c r="N179" s="139"/>
      <c r="O179" s="139"/>
      <c r="P179" s="139"/>
      <c r="Q179" s="139"/>
      <c r="R179" s="139"/>
    </row>
    <row r="180" spans="1:18" ht="38.25" customHeight="1">
      <c r="A180" s="196" t="str">
        <f>IF(PrintedResults!G164="","","("&amp;(PrintedResults!H164)&amp; ")"&amp;" " &amp;  (PrintedResults!G164) &amp;"| "&amp;CHAR(10)&amp; PrintedResults!I164&amp;"| "&amp;CHAR(10)&amp; PrintedResults!K164 )</f>
        <v/>
      </c>
      <c r="E180" s="20"/>
      <c r="F180" s="139"/>
      <c r="G180" s="139" t="s">
        <v>146</v>
      </c>
      <c r="H180" s="140"/>
      <c r="I180" s="139"/>
      <c r="J180" s="139"/>
      <c r="K180" s="141" t="str">
        <f>IF($I180="","",TEXT(VLOOKUP($I180,SortedDownload!$B$3:$Z$169,13,FALSE),"[hh]:mm:ss.000"))</f>
        <v/>
      </c>
      <c r="L180" s="139"/>
      <c r="M180" s="139"/>
      <c r="N180" s="139"/>
      <c r="O180" s="139"/>
      <c r="P180" s="139"/>
      <c r="Q180" s="139"/>
      <c r="R180" s="139"/>
    </row>
    <row r="181" spans="1:18" ht="38.25" customHeight="1">
      <c r="A181" s="196" t="str">
        <f>IF(PrintedResults!G165="","","("&amp;(PrintedResults!H165)&amp; ")"&amp;" " &amp;  (PrintedResults!G165) &amp;"| "&amp;CHAR(10)&amp; PrintedResults!I165&amp;"| "&amp;CHAR(10)&amp; PrintedResults!K165 )</f>
        <v/>
      </c>
      <c r="E181" s="20"/>
      <c r="F181" s="139"/>
      <c r="G181" s="139" t="s">
        <v>146</v>
      </c>
      <c r="H181" s="140"/>
      <c r="I181" s="139"/>
      <c r="J181" s="139"/>
      <c r="K181" s="141" t="str">
        <f>IF($I181="","",TEXT(VLOOKUP($I181,SortedDownload!$B$3:$Z$169,13,FALSE),"[hh]:mm:ss.000"))</f>
        <v/>
      </c>
      <c r="L181" s="139"/>
      <c r="M181" s="139"/>
      <c r="N181" s="139"/>
      <c r="O181" s="139"/>
      <c r="P181" s="139"/>
      <c r="Q181" s="139"/>
      <c r="R181" s="139"/>
    </row>
    <row r="182" spans="1:18" ht="38.25" customHeight="1">
      <c r="A182" s="196" t="str">
        <f>IF(PrintedResults!G166="","","("&amp;(PrintedResults!H166)&amp; ")"&amp;" " &amp;  (PrintedResults!G166) &amp;"| "&amp;CHAR(10)&amp; PrintedResults!I166&amp;"| "&amp;CHAR(10)&amp; PrintedResults!K166 )</f>
        <v/>
      </c>
      <c r="E182" s="20"/>
      <c r="F182" s="139"/>
      <c r="G182" s="139" t="s">
        <v>146</v>
      </c>
      <c r="H182" s="140"/>
      <c r="I182" s="139"/>
      <c r="J182" s="139"/>
      <c r="K182" s="141" t="str">
        <f>IF($I182="","",TEXT(VLOOKUP($I182,SortedDownload!$B$3:$Z$169,13,FALSE),"[hh]:mm:ss.000"))</f>
        <v/>
      </c>
      <c r="L182" s="139"/>
      <c r="M182" s="139"/>
      <c r="N182" s="139"/>
      <c r="O182" s="139"/>
      <c r="P182" s="139"/>
      <c r="Q182" s="139"/>
      <c r="R182" s="139"/>
    </row>
    <row r="183" spans="1:18" ht="38.25" customHeight="1">
      <c r="A183" s="196" t="str">
        <f>IF(PrintedResults!G167="","","("&amp;(PrintedResults!H167)&amp; ")"&amp;" " &amp;  (PrintedResults!G167) &amp;"| "&amp;CHAR(10)&amp; PrintedResults!I167&amp;"| "&amp;CHAR(10)&amp; PrintedResults!K167 )</f>
        <v/>
      </c>
      <c r="E183" s="20"/>
      <c r="F183" s="139"/>
      <c r="G183" s="139" t="s">
        <v>146</v>
      </c>
      <c r="H183" s="140"/>
      <c r="I183" s="139"/>
      <c r="J183" s="139"/>
      <c r="K183" s="141" t="str">
        <f>IF($I183="","",TEXT(VLOOKUP($I183,SortedDownload!$B$3:$Z$169,13,FALSE),"[hh]:mm:ss.000"))</f>
        <v/>
      </c>
      <c r="L183" s="139"/>
      <c r="M183" s="139"/>
      <c r="N183" s="139"/>
      <c r="O183" s="139"/>
      <c r="P183" s="139"/>
      <c r="Q183" s="139"/>
      <c r="R183" s="139"/>
    </row>
    <row r="184" spans="1:18" ht="38.25" customHeight="1">
      <c r="A184" s="196" t="str">
        <f>IF(PrintedResults!G168="","","("&amp;(PrintedResults!H168)&amp; ")"&amp;" " &amp;  (PrintedResults!G168) &amp;"| "&amp;CHAR(10)&amp; PrintedResults!I168&amp;"| "&amp;CHAR(10)&amp; PrintedResults!K168 )</f>
        <v/>
      </c>
      <c r="E184" s="20"/>
      <c r="F184" s="139"/>
      <c r="G184" s="139" t="s">
        <v>146</v>
      </c>
      <c r="H184" s="140"/>
      <c r="I184" s="139"/>
      <c r="J184" s="139"/>
      <c r="K184" s="141" t="str">
        <f>IF($I184="","",TEXT(VLOOKUP($I184,SortedDownload!$B$3:$Z$169,13,FALSE),"[hh]:mm:ss.000"))</f>
        <v/>
      </c>
      <c r="L184" s="139"/>
      <c r="M184" s="139"/>
      <c r="N184" s="139"/>
      <c r="O184" s="139"/>
      <c r="P184" s="139"/>
      <c r="Q184" s="139"/>
      <c r="R184" s="139"/>
    </row>
    <row r="185" spans="1:18" ht="38.25" customHeight="1">
      <c r="A185" s="196" t="str">
        <f>IF(PrintedResults!G169="","","("&amp;(PrintedResults!H169)&amp; ")"&amp;" " &amp;  (PrintedResults!G169) &amp;"| "&amp;CHAR(10)&amp; PrintedResults!I169&amp;"| "&amp;CHAR(10)&amp; PrintedResults!K169 )</f>
        <v/>
      </c>
      <c r="E185" s="20"/>
      <c r="F185" s="139"/>
      <c r="G185" s="139" t="s">
        <v>146</v>
      </c>
      <c r="H185" s="140"/>
      <c r="I185" s="139"/>
      <c r="J185" s="139"/>
      <c r="K185" s="141" t="str">
        <f>IF($I185="","",TEXT(VLOOKUP($I185,SortedDownload!$B$3:$Z$169,13,FALSE),"[hh]:mm:ss.000"))</f>
        <v/>
      </c>
      <c r="L185" s="139"/>
      <c r="M185" s="139"/>
      <c r="N185" s="139"/>
      <c r="O185" s="139"/>
      <c r="P185" s="139"/>
      <c r="Q185" s="139"/>
      <c r="R185" s="139"/>
    </row>
    <row r="186" spans="1:18" ht="38.25" customHeight="1">
      <c r="A186" s="196" t="str">
        <f>IF(PrintedResults!G170="","","("&amp;(PrintedResults!H170)&amp; ")"&amp;" " &amp;  (PrintedResults!G170) &amp;"| "&amp;CHAR(10)&amp; PrintedResults!I170&amp;"| "&amp;CHAR(10)&amp; PrintedResults!K170 )</f>
        <v/>
      </c>
      <c r="E186" s="20"/>
      <c r="F186" s="139"/>
      <c r="G186" s="139" t="s">
        <v>146</v>
      </c>
      <c r="H186" s="140"/>
      <c r="I186" s="139"/>
      <c r="J186" s="139"/>
      <c r="K186" s="141" t="str">
        <f>IF($I186="","",TEXT(VLOOKUP($I186,SortedDownload!$B$3:$Z$169,13,FALSE),"[hh]:mm:ss.000"))</f>
        <v/>
      </c>
      <c r="L186" s="139"/>
      <c r="M186" s="139"/>
      <c r="N186" s="139"/>
      <c r="O186" s="139"/>
      <c r="P186" s="139"/>
      <c r="Q186" s="139"/>
      <c r="R186" s="139"/>
    </row>
    <row r="187" spans="1:18" ht="38.25" customHeight="1">
      <c r="A187" s="196" t="str">
        <f>IF(PrintedResults!G171="","","("&amp;(PrintedResults!H171)&amp; ")"&amp;" " &amp;  (PrintedResults!G171) &amp;"| "&amp;CHAR(10)&amp; PrintedResults!I171&amp;"| "&amp;CHAR(10)&amp; PrintedResults!K171 )</f>
        <v/>
      </c>
      <c r="E187" s="20"/>
      <c r="F187" s="139"/>
      <c r="G187" s="139" t="s">
        <v>146</v>
      </c>
      <c r="H187" s="140"/>
      <c r="I187" s="139"/>
      <c r="J187" s="139"/>
      <c r="K187" s="141" t="str">
        <f>IF($I187="","",TEXT(VLOOKUP($I187,SortedDownload!$B$3:$Z$169,13,FALSE),"[hh]:mm:ss.000"))</f>
        <v/>
      </c>
      <c r="L187" s="139"/>
      <c r="M187" s="139"/>
      <c r="N187" s="139"/>
      <c r="O187" s="139"/>
      <c r="P187" s="139"/>
      <c r="Q187" s="139"/>
      <c r="R187" s="139"/>
    </row>
    <row r="188" spans="1:18" ht="38.25" customHeight="1">
      <c r="A188" s="196" t="str">
        <f>IF(PrintedResults!G172="","","("&amp;(PrintedResults!H172)&amp; ")"&amp;" " &amp;  (PrintedResults!G172) &amp;"| "&amp;CHAR(10)&amp; PrintedResults!I172&amp;"| "&amp;CHAR(10)&amp; PrintedResults!K172 )</f>
        <v/>
      </c>
      <c r="E188" s="20"/>
      <c r="F188" s="139"/>
      <c r="G188" s="139" t="s">
        <v>146</v>
      </c>
      <c r="H188" s="140"/>
      <c r="I188" s="139"/>
      <c r="J188" s="139"/>
      <c r="K188" s="141" t="str">
        <f>IF($I188="","",TEXT(VLOOKUP($I188,SortedDownload!$B$3:$Z$169,13,FALSE),"[hh]:mm:ss.000"))</f>
        <v/>
      </c>
      <c r="L188" s="139"/>
      <c r="M188" s="139"/>
      <c r="N188" s="139"/>
      <c r="O188" s="139"/>
      <c r="P188" s="139"/>
      <c r="Q188" s="139"/>
      <c r="R188" s="139"/>
    </row>
    <row r="189" spans="1:18" ht="38.25" customHeight="1">
      <c r="A189" s="196" t="str">
        <f>IF(PrintedResults!G173="","","("&amp;(PrintedResults!H173)&amp; ")"&amp;" " &amp;  (PrintedResults!G173) &amp;"| "&amp;CHAR(10)&amp; PrintedResults!I173&amp;"| "&amp;CHAR(10)&amp; PrintedResults!K173 )</f>
        <v/>
      </c>
      <c r="E189" s="20"/>
      <c r="F189" s="139"/>
      <c r="G189" s="139" t="s">
        <v>146</v>
      </c>
      <c r="H189" s="140"/>
      <c r="I189" s="139"/>
      <c r="J189" s="139"/>
      <c r="K189" s="141" t="str">
        <f>IF($I189="","",TEXT(VLOOKUP($I189,SortedDownload!$B$3:$Z$169,13,FALSE),"[hh]:mm:ss.000"))</f>
        <v/>
      </c>
      <c r="L189" s="139"/>
      <c r="M189" s="139"/>
      <c r="N189" s="139"/>
      <c r="O189" s="139"/>
      <c r="P189" s="139"/>
      <c r="Q189" s="139"/>
      <c r="R189" s="139"/>
    </row>
    <row r="190" spans="1:18" ht="38.25" customHeight="1">
      <c r="A190" s="196" t="str">
        <f>IF(PrintedResults!G174="","","("&amp;(PrintedResults!H174)&amp; ")"&amp;" " &amp;  (PrintedResults!G174) &amp;"| "&amp;CHAR(10)&amp; PrintedResults!I174&amp;"| "&amp;CHAR(10)&amp; PrintedResults!K174 )</f>
        <v/>
      </c>
      <c r="E190" s="20"/>
      <c r="F190" s="139"/>
      <c r="G190" s="139" t="s">
        <v>146</v>
      </c>
      <c r="H190" s="140"/>
      <c r="I190" s="139"/>
      <c r="J190" s="139"/>
      <c r="K190" s="141" t="str">
        <f>IF($I190="","",TEXT(VLOOKUP($I190,SortedDownload!$B$3:$Z$169,13,FALSE),"[hh]:mm:ss.000"))</f>
        <v/>
      </c>
      <c r="L190" s="139"/>
      <c r="M190" s="139"/>
      <c r="N190" s="139"/>
      <c r="O190" s="139"/>
      <c r="P190" s="139"/>
      <c r="Q190" s="139"/>
      <c r="R190" s="139"/>
    </row>
    <row r="191" spans="1:18" ht="38.25" customHeight="1">
      <c r="A191" s="196" t="str">
        <f>IF(PrintedResults!G175="","","("&amp;(PrintedResults!H175)&amp; ")"&amp;" " &amp;  (PrintedResults!G175) &amp;"| "&amp;CHAR(10)&amp; PrintedResults!I175&amp;"| "&amp;CHAR(10)&amp; PrintedResults!K175 )</f>
        <v/>
      </c>
      <c r="E191" s="20"/>
      <c r="F191" s="139"/>
      <c r="G191" s="139" t="s">
        <v>146</v>
      </c>
      <c r="H191" s="140"/>
      <c r="I191" s="139"/>
      <c r="J191" s="139"/>
      <c r="K191" s="141" t="str">
        <f>IF($I191="","",TEXT(VLOOKUP($I191,SortedDownload!$B$3:$Z$169,13,FALSE),"[hh]:mm:ss.000"))</f>
        <v/>
      </c>
      <c r="L191" s="139"/>
      <c r="M191" s="139"/>
      <c r="N191" s="139"/>
      <c r="O191" s="139"/>
      <c r="P191" s="139"/>
      <c r="Q191" s="139"/>
      <c r="R191" s="139"/>
    </row>
    <row r="192" spans="1:18" ht="38.25" customHeight="1">
      <c r="A192" s="196" t="str">
        <f>IF(PrintedResults!G176="","","("&amp;(PrintedResults!H176)&amp; ")"&amp;" " &amp;  (PrintedResults!G176) &amp;"| "&amp;CHAR(10)&amp; PrintedResults!I176&amp;"| "&amp;CHAR(10)&amp; PrintedResults!K176 )</f>
        <v/>
      </c>
      <c r="E192" s="20"/>
      <c r="F192" s="139"/>
      <c r="G192" s="139" t="s">
        <v>146</v>
      </c>
      <c r="H192" s="140"/>
      <c r="I192" s="139"/>
      <c r="J192" s="139"/>
      <c r="K192" s="141" t="str">
        <f>IF($I192="","",TEXT(VLOOKUP($I192,SortedDownload!$B$3:$Z$169,13,FALSE),"[hh]:mm:ss.000"))</f>
        <v/>
      </c>
      <c r="L192" s="139"/>
      <c r="M192" s="139"/>
      <c r="N192" s="139"/>
      <c r="O192" s="139"/>
      <c r="P192" s="139"/>
      <c r="Q192" s="139"/>
      <c r="R192" s="139"/>
    </row>
    <row r="193" spans="1:18" ht="38.25" customHeight="1">
      <c r="A193" s="196" t="str">
        <f>IF(PrintedResults!G177="","","("&amp;(PrintedResults!H177)&amp; ")"&amp;" " &amp;  (PrintedResults!G177) &amp;"| "&amp;CHAR(10)&amp; PrintedResults!I177&amp;"| "&amp;CHAR(10)&amp; PrintedResults!K177 )</f>
        <v/>
      </c>
      <c r="E193" s="20"/>
      <c r="F193" s="139"/>
      <c r="G193" s="139" t="s">
        <v>146</v>
      </c>
      <c r="H193" s="140"/>
      <c r="I193" s="139"/>
      <c r="J193" s="139"/>
      <c r="K193" s="141" t="str">
        <f>IF($I193="","",TEXT(VLOOKUP($I193,SortedDownload!$B$3:$Z$169,13,FALSE),"[hh]:mm:ss.000"))</f>
        <v/>
      </c>
      <c r="L193" s="139"/>
      <c r="M193" s="139"/>
      <c r="N193" s="139"/>
      <c r="O193" s="139"/>
      <c r="P193" s="139"/>
      <c r="Q193" s="139"/>
      <c r="R193" s="139"/>
    </row>
    <row r="194" spans="1:18" ht="38.25" customHeight="1">
      <c r="A194" s="196" t="str">
        <f>IF(PrintedResults!G178="","","("&amp;(PrintedResults!H178)&amp; ")"&amp;" " &amp;  (PrintedResults!G178) &amp;"| "&amp;CHAR(10)&amp; PrintedResults!I178&amp;"| "&amp;CHAR(10)&amp; PrintedResults!K178 )</f>
        <v/>
      </c>
      <c r="E194" s="20"/>
      <c r="F194" s="139"/>
      <c r="G194" s="139" t="s">
        <v>146</v>
      </c>
      <c r="H194" s="140"/>
      <c r="I194" s="139"/>
      <c r="J194" s="139"/>
      <c r="K194" s="141" t="str">
        <f>IF($I194="","",TEXT(VLOOKUP($I194,SortedDownload!$B$3:$Z$169,13,FALSE),"[hh]:mm:ss.000"))</f>
        <v/>
      </c>
      <c r="L194" s="139"/>
      <c r="M194" s="139"/>
      <c r="N194" s="139"/>
      <c r="O194" s="139"/>
      <c r="P194" s="139"/>
      <c r="Q194" s="139"/>
      <c r="R194" s="139"/>
    </row>
    <row r="195" spans="1:18" ht="38.25" customHeight="1">
      <c r="A195" s="196" t="str">
        <f>IF(PrintedResults!G179="","","("&amp;(PrintedResults!H179)&amp; ")"&amp;" " &amp;  (PrintedResults!G179) &amp;"| "&amp;CHAR(10)&amp; PrintedResults!I179&amp;"| "&amp;CHAR(10)&amp; PrintedResults!K179 )</f>
        <v/>
      </c>
      <c r="E195" s="20"/>
      <c r="F195" s="139"/>
      <c r="G195" s="139" t="s">
        <v>146</v>
      </c>
      <c r="H195" s="140"/>
      <c r="I195" s="139"/>
      <c r="J195" s="139"/>
      <c r="K195" s="141" t="str">
        <f>IF($I195="","",TEXT(VLOOKUP($I195,SortedDownload!$B$3:$Z$169,13,FALSE),"[hh]:mm:ss.000"))</f>
        <v/>
      </c>
      <c r="L195" s="139"/>
      <c r="M195" s="139"/>
      <c r="N195" s="139"/>
      <c r="O195" s="139"/>
      <c r="P195" s="139"/>
      <c r="Q195" s="139"/>
      <c r="R195" s="139"/>
    </row>
    <row r="196" spans="1:18" ht="38.25" customHeight="1">
      <c r="A196" s="196" t="str">
        <f>IF(PrintedResults!G180="","","("&amp;(PrintedResults!H180)&amp; ")"&amp;" " &amp;  (PrintedResults!G180) &amp;"| "&amp;CHAR(10)&amp; PrintedResults!I180&amp;"| "&amp;CHAR(10)&amp; PrintedResults!K180 )</f>
        <v/>
      </c>
      <c r="E196" s="20"/>
      <c r="F196" s="139"/>
      <c r="G196" s="139" t="s">
        <v>146</v>
      </c>
      <c r="H196" s="140"/>
      <c r="I196" s="139"/>
      <c r="J196" s="139"/>
      <c r="K196" s="141" t="str">
        <f>IF($I196="","",TEXT(VLOOKUP($I196,SortedDownload!$B$3:$Z$169,13,FALSE),"[hh]:mm:ss.000"))</f>
        <v/>
      </c>
      <c r="L196" s="139"/>
      <c r="M196" s="139"/>
      <c r="N196" s="139"/>
      <c r="O196" s="139"/>
      <c r="P196" s="139"/>
      <c r="Q196" s="139"/>
      <c r="R196" s="139"/>
    </row>
    <row r="197" spans="1:18" ht="38.25" customHeight="1">
      <c r="A197" s="196" t="str">
        <f>IF(PrintedResults!G181="","","("&amp;(PrintedResults!H181)&amp; ")"&amp;" " &amp;  (PrintedResults!G181) &amp;"| "&amp;CHAR(10)&amp; PrintedResults!I181&amp;"| "&amp;CHAR(10)&amp; PrintedResults!K181 )</f>
        <v/>
      </c>
      <c r="E197" s="20"/>
      <c r="F197" s="139"/>
      <c r="G197" s="139" t="s">
        <v>146</v>
      </c>
      <c r="H197" s="140"/>
      <c r="I197" s="139"/>
      <c r="J197" s="139"/>
      <c r="K197" s="141" t="str">
        <f>IF($I197="","",TEXT(VLOOKUP($I197,SortedDownload!$B$3:$Z$169,13,FALSE),"[hh]:mm:ss.000"))</f>
        <v/>
      </c>
      <c r="L197" s="139"/>
      <c r="M197" s="139"/>
      <c r="N197" s="139"/>
      <c r="O197" s="139"/>
      <c r="P197" s="139"/>
      <c r="Q197" s="139"/>
      <c r="R197" s="139"/>
    </row>
    <row r="198" spans="1:18" ht="38.25" customHeight="1">
      <c r="A198" s="196" t="str">
        <f>IF(PrintedResults!G182="","","("&amp;(PrintedResults!H182)&amp; ")"&amp;" " &amp;  (PrintedResults!G182) &amp;"| "&amp;CHAR(10)&amp; PrintedResults!I182&amp;"| "&amp;CHAR(10)&amp; PrintedResults!K182 )</f>
        <v/>
      </c>
      <c r="E198" s="20"/>
      <c r="F198" s="139"/>
      <c r="G198" s="139" t="s">
        <v>146</v>
      </c>
      <c r="H198" s="140"/>
      <c r="I198" s="139"/>
      <c r="J198" s="139"/>
      <c r="K198" s="141" t="str">
        <f>IF($I198="","",TEXT(VLOOKUP($I198,SortedDownload!$B$3:$Z$169,13,FALSE),"[hh]:mm:ss.000"))</f>
        <v/>
      </c>
      <c r="L198" s="139"/>
      <c r="M198" s="139"/>
      <c r="N198" s="139"/>
      <c r="O198" s="139"/>
      <c r="P198" s="139"/>
      <c r="Q198" s="139"/>
      <c r="R198" s="139"/>
    </row>
    <row r="199" spans="1:18" ht="38.25" customHeight="1">
      <c r="A199" s="196" t="str">
        <f>IF(PrintedResults!G183="","","("&amp;(PrintedResults!H183)&amp; ")"&amp;" " &amp;  (PrintedResults!G183) &amp;"| "&amp;CHAR(10)&amp; PrintedResults!I183&amp;"| "&amp;CHAR(10)&amp; PrintedResults!K183 )</f>
        <v/>
      </c>
      <c r="E199" s="20"/>
      <c r="F199" s="139"/>
      <c r="G199" s="139" t="s">
        <v>146</v>
      </c>
      <c r="H199" s="140"/>
      <c r="I199" s="139"/>
      <c r="J199" s="139"/>
      <c r="K199" s="141" t="str">
        <f>IF($I199="","",TEXT(VLOOKUP($I199,SortedDownload!$B$3:$Z$169,13,FALSE),"[hh]:mm:ss.000"))</f>
        <v/>
      </c>
      <c r="L199" s="139"/>
      <c r="M199" s="139"/>
      <c r="N199" s="139"/>
      <c r="O199" s="139"/>
      <c r="P199" s="139"/>
      <c r="Q199" s="139"/>
      <c r="R199" s="139"/>
    </row>
    <row r="200" spans="1:18" ht="38.25" customHeight="1">
      <c r="A200" s="196" t="str">
        <f>IF(PrintedResults!G184="","","("&amp;(PrintedResults!H184)&amp; ")"&amp;" " &amp;  (PrintedResults!G184) &amp;"| "&amp;CHAR(10)&amp; PrintedResults!I184&amp;"| "&amp;CHAR(10)&amp; PrintedResults!K184 )</f>
        <v/>
      </c>
      <c r="E200" s="20"/>
      <c r="F200" s="139"/>
      <c r="G200" s="139" t="s">
        <v>146</v>
      </c>
      <c r="H200" s="140"/>
      <c r="I200" s="139"/>
      <c r="J200" s="139"/>
      <c r="K200" s="141" t="str">
        <f>IF($I200="","",TEXT(VLOOKUP($I200,SortedDownload!$B$3:$Z$169,13,FALSE),"[hh]:mm:ss.000"))</f>
        <v/>
      </c>
      <c r="L200" s="139"/>
      <c r="M200" s="139"/>
      <c r="N200" s="139"/>
      <c r="O200" s="139"/>
      <c r="P200" s="139"/>
      <c r="Q200" s="139"/>
      <c r="R200" s="139"/>
    </row>
    <row r="201" spans="1:18" ht="38.25" customHeight="1">
      <c r="A201" s="196" t="str">
        <f>IF(PrintedResults!G185="","","("&amp;(PrintedResults!H185)&amp; ")"&amp;" " &amp;  (PrintedResults!G185) &amp;"| "&amp;CHAR(10)&amp; PrintedResults!I185&amp;"| "&amp;CHAR(10)&amp; PrintedResults!K185 )</f>
        <v/>
      </c>
      <c r="E201" s="20"/>
      <c r="F201" s="139"/>
      <c r="G201" s="139" t="s">
        <v>146</v>
      </c>
      <c r="H201" s="140"/>
      <c r="I201" s="139"/>
      <c r="J201" s="139"/>
      <c r="K201" s="141" t="str">
        <f>IF($I201="","",TEXT(VLOOKUP($I201,SortedDownload!$B$3:$Z$169,13,FALSE),"[hh]:mm:ss.000"))</f>
        <v/>
      </c>
      <c r="L201" s="139"/>
      <c r="M201" s="139"/>
      <c r="N201" s="139"/>
      <c r="O201" s="139"/>
      <c r="P201" s="139"/>
      <c r="Q201" s="139"/>
      <c r="R201" s="139"/>
    </row>
    <row r="202" spans="1:18" ht="38.25" customHeight="1">
      <c r="A202" s="196" t="str">
        <f>IF(PrintedResults!G186="","","("&amp;(PrintedResults!H186)&amp; ")"&amp;" " &amp;  (PrintedResults!G186) &amp;"| "&amp;CHAR(10)&amp; PrintedResults!I186&amp;"| "&amp;CHAR(10)&amp; PrintedResults!K186 )</f>
        <v/>
      </c>
      <c r="E202" s="20"/>
      <c r="F202" s="139"/>
      <c r="G202" s="139" t="s">
        <v>146</v>
      </c>
      <c r="H202" s="140"/>
      <c r="I202" s="139"/>
      <c r="J202" s="139"/>
      <c r="K202" s="141" t="str">
        <f>IF($I202="","",TEXT(VLOOKUP($I202,SortedDownload!$B$3:$Z$169,13,FALSE),"[hh]:mm:ss.000"))</f>
        <v/>
      </c>
      <c r="L202" s="139"/>
      <c r="M202" s="139"/>
      <c r="N202" s="139"/>
      <c r="O202" s="139"/>
      <c r="P202" s="139"/>
      <c r="Q202" s="139"/>
      <c r="R202" s="139"/>
    </row>
    <row r="203" spans="1:18" ht="38.25" customHeight="1">
      <c r="A203" s="196" t="str">
        <f>IF(PrintedResults!G187="","","("&amp;(PrintedResults!H187)&amp; ")"&amp;" " &amp;  (PrintedResults!G187) &amp;"| "&amp;CHAR(10)&amp; PrintedResults!I187&amp;"| "&amp;CHAR(10)&amp; PrintedResults!K187 )</f>
        <v/>
      </c>
      <c r="E203" s="20"/>
      <c r="F203" s="139"/>
      <c r="G203" s="139" t="s">
        <v>146</v>
      </c>
      <c r="H203" s="140"/>
      <c r="I203" s="139"/>
      <c r="J203" s="139"/>
      <c r="K203" s="141" t="str">
        <f>IF($I203="","",TEXT(VLOOKUP($I203,SortedDownload!$B$3:$Z$169,13,FALSE),"[hh]:mm:ss.000"))</f>
        <v/>
      </c>
      <c r="L203" s="139"/>
      <c r="M203" s="139"/>
      <c r="N203" s="139"/>
      <c r="O203" s="139"/>
      <c r="P203" s="139"/>
      <c r="Q203" s="139"/>
      <c r="R203" s="139"/>
    </row>
    <row r="204" spans="1:18" ht="38.25" customHeight="1">
      <c r="A204" s="196" t="str">
        <f>IF(PrintedResults!G188="","","("&amp;(PrintedResults!H188)&amp; ")"&amp;" " &amp;  (PrintedResults!G188) &amp;"| "&amp;CHAR(10)&amp; PrintedResults!I188&amp;"| "&amp;CHAR(10)&amp; PrintedResults!K188 )</f>
        <v/>
      </c>
      <c r="E204" s="20"/>
      <c r="F204" s="139"/>
      <c r="G204" s="139" t="s">
        <v>146</v>
      </c>
      <c r="H204" s="140"/>
      <c r="I204" s="139"/>
      <c r="J204" s="139"/>
      <c r="K204" s="141" t="str">
        <f>IF($I204="","",TEXT(VLOOKUP($I204,SortedDownload!$B$3:$Z$169,13,FALSE),"[hh]:mm:ss.000"))</f>
        <v/>
      </c>
      <c r="L204" s="139"/>
      <c r="M204" s="139"/>
      <c r="N204" s="139"/>
      <c r="O204" s="139"/>
      <c r="P204" s="139"/>
      <c r="Q204" s="139"/>
      <c r="R204" s="139"/>
    </row>
    <row r="205" spans="1:18" ht="38.25" customHeight="1">
      <c r="A205" s="196" t="str">
        <f>IF(PrintedResults!G189="","","("&amp;(PrintedResults!H189)&amp; ")"&amp;" " &amp;  (PrintedResults!G189) &amp;"| "&amp;CHAR(10)&amp; PrintedResults!I189&amp;"| "&amp;CHAR(10)&amp; PrintedResults!K189 )</f>
        <v/>
      </c>
      <c r="E205" s="20"/>
      <c r="F205" s="139"/>
      <c r="G205" s="139" t="s">
        <v>146</v>
      </c>
      <c r="H205" s="140"/>
      <c r="I205" s="139"/>
      <c r="J205" s="139"/>
      <c r="K205" s="141" t="str">
        <f>IF($I205="","",TEXT(VLOOKUP($I205,SortedDownload!$B$3:$Z$169,13,FALSE),"[hh]:mm:ss.000"))</f>
        <v/>
      </c>
      <c r="L205" s="139"/>
      <c r="M205" s="139"/>
      <c r="N205" s="139"/>
      <c r="O205" s="139"/>
      <c r="P205" s="139"/>
      <c r="Q205" s="139"/>
      <c r="R205" s="139"/>
    </row>
    <row r="206" spans="1:18" ht="38.25" customHeight="1">
      <c r="A206" s="196" t="str">
        <f>IF(PrintedResults!G190="","","("&amp;(PrintedResults!H190)&amp; ")"&amp;" " &amp;  (PrintedResults!G190) &amp;"| "&amp;CHAR(10)&amp; PrintedResults!I190&amp;"| "&amp;CHAR(10)&amp; PrintedResults!K190 )</f>
        <v/>
      </c>
      <c r="E206" s="20"/>
      <c r="F206" s="139"/>
      <c r="G206" s="139" t="s">
        <v>146</v>
      </c>
      <c r="H206" s="140"/>
      <c r="I206" s="139"/>
      <c r="J206" s="139"/>
      <c r="K206" s="141" t="str">
        <f>IF($I206="","",TEXT(VLOOKUP($I206,SortedDownload!$B$3:$Z$169,13,FALSE),"[hh]:mm:ss.000"))</f>
        <v/>
      </c>
      <c r="L206" s="139"/>
      <c r="M206" s="139"/>
      <c r="N206" s="139"/>
      <c r="O206" s="139"/>
      <c r="P206" s="139"/>
      <c r="Q206" s="139"/>
      <c r="R206" s="139"/>
    </row>
    <row r="207" spans="1:18" ht="38.25" customHeight="1">
      <c r="A207" s="196" t="str">
        <f>IF(PrintedResults!G191="","","("&amp;(PrintedResults!H191)&amp; ")"&amp;" " &amp;  (PrintedResults!G191) &amp;"| "&amp;CHAR(10)&amp; PrintedResults!I191&amp;"| "&amp;CHAR(10)&amp; PrintedResults!K191 )</f>
        <v/>
      </c>
      <c r="E207" s="20"/>
      <c r="F207" s="139"/>
      <c r="G207" s="139" t="s">
        <v>146</v>
      </c>
      <c r="H207" s="140"/>
      <c r="I207" s="139"/>
      <c r="J207" s="139"/>
      <c r="K207" s="141" t="str">
        <f>IF($I207="","",TEXT(VLOOKUP($I207,SortedDownload!$B$3:$Z$169,13,FALSE),"[hh]:mm:ss.000"))</f>
        <v/>
      </c>
      <c r="L207" s="139"/>
      <c r="M207" s="139"/>
      <c r="N207" s="139"/>
      <c r="O207" s="139"/>
      <c r="P207" s="139"/>
      <c r="Q207" s="139"/>
      <c r="R207" s="139"/>
    </row>
    <row r="208" spans="1:18" ht="38.25" customHeight="1">
      <c r="A208" s="196" t="str">
        <f>IF(PrintedResults!G192="","","("&amp;(PrintedResults!H192)&amp; ")"&amp;" " &amp;  (PrintedResults!G192) &amp;"| "&amp;CHAR(10)&amp; PrintedResults!I192&amp;"| "&amp;CHAR(10)&amp; PrintedResults!K192 )</f>
        <v/>
      </c>
      <c r="E208" s="20"/>
      <c r="F208" s="139"/>
      <c r="G208" s="139" t="s">
        <v>146</v>
      </c>
      <c r="H208" s="140"/>
      <c r="I208" s="139"/>
      <c r="J208" s="139"/>
      <c r="K208" s="141" t="str">
        <f>IF($I208="","",TEXT(VLOOKUP($I208,SortedDownload!$B$3:$Z$169,13,FALSE),"[hh]:mm:ss.000"))</f>
        <v/>
      </c>
      <c r="L208" s="139"/>
      <c r="M208" s="139"/>
      <c r="N208" s="139"/>
      <c r="O208" s="139"/>
      <c r="P208" s="139"/>
      <c r="Q208" s="139"/>
      <c r="R208" s="139"/>
    </row>
    <row r="209" spans="1:18" ht="38.25" customHeight="1">
      <c r="A209" s="196" t="str">
        <f>IF(PrintedResults!G193="","","("&amp;(PrintedResults!H193)&amp; ")"&amp;" " &amp;  (PrintedResults!G193) &amp;"| "&amp;CHAR(10)&amp; PrintedResults!I193&amp;"| "&amp;CHAR(10)&amp; PrintedResults!K193 )</f>
        <v/>
      </c>
      <c r="E209" s="20"/>
      <c r="F209" s="139"/>
      <c r="G209" s="139" t="s">
        <v>146</v>
      </c>
      <c r="H209" s="140"/>
      <c r="I209" s="139"/>
      <c r="J209" s="139"/>
      <c r="K209" s="141" t="str">
        <f>IF($I209="","",TEXT(VLOOKUP($I209,SortedDownload!$B$3:$Z$169,13,FALSE),"[hh]:mm:ss.000"))</f>
        <v/>
      </c>
      <c r="L209" s="139"/>
      <c r="M209" s="139"/>
      <c r="N209" s="139"/>
      <c r="O209" s="139"/>
      <c r="P209" s="139"/>
      <c r="Q209" s="139"/>
      <c r="R209" s="139"/>
    </row>
    <row r="210" spans="1:18" ht="38.25" customHeight="1">
      <c r="A210" s="196" t="str">
        <f>IF(PrintedResults!G194="","","("&amp;(PrintedResults!H194)&amp; ")"&amp;" " &amp;  (PrintedResults!G194) &amp;"| "&amp;CHAR(10)&amp; PrintedResults!I194&amp;"| "&amp;CHAR(10)&amp; PrintedResults!K194 )</f>
        <v/>
      </c>
      <c r="E210" s="20"/>
      <c r="F210" s="139"/>
      <c r="G210" s="139" t="s">
        <v>146</v>
      </c>
      <c r="H210" s="140"/>
      <c r="I210" s="139"/>
      <c r="J210" s="139"/>
      <c r="K210" s="141" t="str">
        <f>IF($I210="","",TEXT(VLOOKUP($I210,SortedDownload!$B$3:$Z$169,13,FALSE),"[hh]:mm:ss.000"))</f>
        <v/>
      </c>
      <c r="L210" s="139"/>
      <c r="M210" s="139"/>
      <c r="N210" s="139"/>
      <c r="O210" s="139"/>
      <c r="P210" s="139"/>
      <c r="Q210" s="139"/>
      <c r="R210" s="139"/>
    </row>
    <row r="211" spans="1:18" ht="38.25" customHeight="1">
      <c r="A211" s="196" t="str">
        <f>IF(PrintedResults!G195="","","("&amp;(PrintedResults!H195)&amp; ")"&amp;" " &amp;  (PrintedResults!G195) &amp;"| "&amp;CHAR(10)&amp; PrintedResults!I195&amp;"| "&amp;CHAR(10)&amp; PrintedResults!K195 )</f>
        <v/>
      </c>
      <c r="E211" s="20"/>
      <c r="F211" s="139"/>
      <c r="G211" s="139" t="s">
        <v>146</v>
      </c>
      <c r="H211" s="140"/>
      <c r="I211" s="139"/>
      <c r="J211" s="139"/>
      <c r="K211" s="141" t="str">
        <f>IF($I211="","",TEXT(VLOOKUP($I211,SortedDownload!$B$3:$Z$169,13,FALSE),"[hh]:mm:ss.000"))</f>
        <v/>
      </c>
      <c r="L211" s="139"/>
      <c r="M211" s="139"/>
      <c r="N211" s="139"/>
      <c r="O211" s="139"/>
      <c r="P211" s="139"/>
      <c r="Q211" s="139"/>
      <c r="R211" s="139"/>
    </row>
    <row r="212" spans="1:18" ht="38.25" customHeight="1">
      <c r="A212" s="196" t="str">
        <f>IF(PrintedResults!G196="","","("&amp;(PrintedResults!H196)&amp; ")"&amp;" " &amp;  (PrintedResults!G196) &amp;"| "&amp;CHAR(10)&amp; PrintedResults!I196&amp;"| "&amp;CHAR(10)&amp; PrintedResults!K196 )</f>
        <v/>
      </c>
      <c r="E212" s="20"/>
      <c r="F212" s="139"/>
      <c r="G212" s="139" t="s">
        <v>146</v>
      </c>
      <c r="H212" s="140"/>
      <c r="I212" s="139"/>
      <c r="J212" s="139"/>
      <c r="K212" s="141" t="str">
        <f>IF($I212="","",TEXT(VLOOKUP($I212,SortedDownload!$B$3:$Z$169,13,FALSE),"[hh]:mm:ss.000"))</f>
        <v/>
      </c>
      <c r="L212" s="139"/>
      <c r="M212" s="139"/>
      <c r="N212" s="139"/>
      <c r="O212" s="139"/>
      <c r="P212" s="139"/>
      <c r="Q212" s="139"/>
      <c r="R212" s="139"/>
    </row>
    <row r="213" spans="1:18" ht="38.25" customHeight="1">
      <c r="A213" s="196" t="str">
        <f>IF(PrintedResults!G197="","","("&amp;(PrintedResults!H197)&amp; ")"&amp;" " &amp;  (PrintedResults!G197) &amp;"| "&amp;CHAR(10)&amp; PrintedResults!I197&amp;"| "&amp;CHAR(10)&amp; PrintedResults!K197 )</f>
        <v/>
      </c>
      <c r="E213" s="20"/>
      <c r="F213" s="139"/>
      <c r="G213" s="139" t="s">
        <v>146</v>
      </c>
      <c r="H213" s="140"/>
      <c r="I213" s="139"/>
      <c r="J213" s="139"/>
      <c r="K213" s="141" t="str">
        <f>IF($I213="","",TEXT(VLOOKUP($I213,SortedDownload!$B$3:$Z$169,13,FALSE),"[hh]:mm:ss.000"))</f>
        <v/>
      </c>
      <c r="L213" s="139"/>
      <c r="M213" s="139"/>
      <c r="N213" s="139"/>
      <c r="O213" s="139"/>
      <c r="P213" s="139"/>
      <c r="Q213" s="139"/>
      <c r="R213" s="139"/>
    </row>
    <row r="214" spans="1:18" ht="38.25" customHeight="1">
      <c r="A214" s="196" t="str">
        <f>IF(PrintedResults!G198="","","("&amp;(PrintedResults!H198)&amp; ")"&amp;" " &amp;  (PrintedResults!G198) &amp;"| "&amp;CHAR(10)&amp; PrintedResults!I198&amp;"| "&amp;CHAR(10)&amp; PrintedResults!K198 )</f>
        <v/>
      </c>
      <c r="E214" s="20"/>
      <c r="F214" s="139"/>
      <c r="G214" s="139" t="s">
        <v>146</v>
      </c>
      <c r="H214" s="140"/>
      <c r="I214" s="139"/>
      <c r="J214" s="139"/>
      <c r="K214" s="141" t="str">
        <f>IF($I214="","",TEXT(VLOOKUP($I214,SortedDownload!$B$3:$Z$169,13,FALSE),"[hh]:mm:ss.000"))</f>
        <v/>
      </c>
      <c r="L214" s="139"/>
      <c r="M214" s="139"/>
      <c r="N214" s="139"/>
      <c r="O214" s="139"/>
      <c r="P214" s="139"/>
      <c r="Q214" s="139"/>
      <c r="R214" s="139"/>
    </row>
    <row r="215" spans="1:18" ht="38.25" customHeight="1">
      <c r="A215" s="196" t="str">
        <f>IF(PrintedResults!G199="","","("&amp;(PrintedResults!H199)&amp; ")"&amp;" " &amp;  (PrintedResults!G199) &amp;"| "&amp;CHAR(10)&amp; PrintedResults!I199&amp;"| "&amp;CHAR(10)&amp; PrintedResults!K199 )</f>
        <v/>
      </c>
      <c r="E215" s="20"/>
      <c r="F215" s="139"/>
      <c r="G215" s="139" t="s">
        <v>146</v>
      </c>
      <c r="H215" s="140"/>
      <c r="I215" s="139"/>
      <c r="J215" s="139"/>
      <c r="K215" s="141" t="str">
        <f>IF($I215="","",TEXT(VLOOKUP($I215,SortedDownload!$B$3:$Z$169,13,FALSE),"[hh]:mm:ss.000"))</f>
        <v/>
      </c>
      <c r="L215" s="139"/>
      <c r="M215" s="139"/>
      <c r="N215" s="139"/>
      <c r="O215" s="139"/>
      <c r="P215" s="139"/>
      <c r="Q215" s="139"/>
      <c r="R215" s="139"/>
    </row>
    <row r="216" spans="1:18" ht="38.25" customHeight="1">
      <c r="A216" s="196" t="str">
        <f>IF(PrintedResults!G200="","","("&amp;(PrintedResults!H200)&amp; ")"&amp;" " &amp;  (PrintedResults!G200) &amp;"| "&amp;CHAR(10)&amp; PrintedResults!I200&amp;"| "&amp;CHAR(10)&amp; PrintedResults!K200 )</f>
        <v/>
      </c>
      <c r="E216" s="20"/>
      <c r="F216" s="139"/>
      <c r="G216" s="139" t="s">
        <v>146</v>
      </c>
      <c r="H216" s="140"/>
      <c r="I216" s="139"/>
      <c r="J216" s="139"/>
      <c r="K216" s="141" t="str">
        <f>IF($I216="","",TEXT(VLOOKUP($I216,SortedDownload!$B$3:$Z$169,13,FALSE),"[hh]:mm:ss.000"))</f>
        <v/>
      </c>
      <c r="L216" s="139"/>
      <c r="M216" s="139"/>
      <c r="N216" s="139"/>
      <c r="O216" s="139"/>
      <c r="P216" s="139"/>
      <c r="Q216" s="139"/>
      <c r="R216" s="139"/>
    </row>
    <row r="217" spans="1:18" ht="38.25" customHeight="1">
      <c r="A217" s="196" t="str">
        <f>IF(PrintedResults!G201="","","("&amp;(PrintedResults!H201)&amp; ")"&amp;" " &amp;  (PrintedResults!G201) &amp;"| "&amp;CHAR(10)&amp; PrintedResults!I201&amp;"| "&amp;CHAR(10)&amp; PrintedResults!K201 )</f>
        <v/>
      </c>
      <c r="E217" s="20"/>
      <c r="F217" s="139"/>
      <c r="G217" s="139" t="s">
        <v>146</v>
      </c>
      <c r="H217" s="140"/>
      <c r="I217" s="139"/>
      <c r="J217" s="139"/>
      <c r="K217" s="141" t="str">
        <f>IF($I217="","",TEXT(VLOOKUP($I217,SortedDownload!$B$3:$Z$169,13,FALSE),"[hh]:mm:ss.000"))</f>
        <v/>
      </c>
      <c r="L217" s="139"/>
      <c r="M217" s="139"/>
      <c r="N217" s="139"/>
      <c r="O217" s="139"/>
      <c r="P217" s="139"/>
      <c r="Q217" s="139"/>
      <c r="R217" s="139"/>
    </row>
    <row r="218" spans="1:18" ht="38.25" customHeight="1">
      <c r="A218" s="196" t="str">
        <f>IF(PrintedResults!G202="","","("&amp;(PrintedResults!H202)&amp; ")"&amp;" " &amp;  (PrintedResults!G202) &amp;"| "&amp;CHAR(10)&amp; PrintedResults!I202&amp;"| "&amp;CHAR(10)&amp; PrintedResults!K202 )</f>
        <v/>
      </c>
      <c r="E218" s="20"/>
      <c r="F218" s="139"/>
      <c r="G218" s="139" t="s">
        <v>146</v>
      </c>
      <c r="H218" s="140"/>
      <c r="I218" s="139"/>
      <c r="J218" s="139"/>
      <c r="K218" s="141" t="str">
        <f>IF($I218="","",TEXT(VLOOKUP($I218,SortedDownload!$B$3:$Z$169,13,FALSE),"[hh]:mm:ss.000"))</f>
        <v/>
      </c>
      <c r="L218" s="139"/>
      <c r="M218" s="139"/>
      <c r="N218" s="139"/>
      <c r="O218" s="139"/>
      <c r="P218" s="139"/>
      <c r="Q218" s="139"/>
      <c r="R218" s="139"/>
    </row>
    <row r="219" spans="1:18" ht="38.25" customHeight="1">
      <c r="A219" s="196" t="str">
        <f>IF(PrintedResults!G203="","","("&amp;(PrintedResults!H203)&amp; ")"&amp;" " &amp;  (PrintedResults!G203) &amp;"| "&amp;CHAR(10)&amp; PrintedResults!I203&amp;"| "&amp;CHAR(10)&amp; PrintedResults!K203 )</f>
        <v/>
      </c>
      <c r="E219" s="20"/>
      <c r="F219" s="139"/>
      <c r="G219" s="139" t="s">
        <v>146</v>
      </c>
      <c r="H219" s="140"/>
      <c r="I219" s="139"/>
      <c r="J219" s="139"/>
      <c r="K219" s="141" t="str">
        <f>IF($I219="","",TEXT(VLOOKUP($I219,SortedDownload!$B$3:$Z$169,13,FALSE),"[hh]:mm:ss.000"))</f>
        <v/>
      </c>
      <c r="L219" s="139"/>
      <c r="M219" s="139"/>
      <c r="N219" s="139"/>
      <c r="O219" s="139"/>
      <c r="P219" s="139"/>
      <c r="Q219" s="139"/>
      <c r="R219" s="139"/>
    </row>
    <row r="220" spans="1:18" ht="38.25" customHeight="1">
      <c r="A220" s="196" t="str">
        <f>IF(PrintedResults!G204="","","("&amp;(PrintedResults!H204)&amp; ")"&amp;" " &amp;  (PrintedResults!G204) &amp;"| "&amp;CHAR(10)&amp; PrintedResults!I204&amp;"| "&amp;CHAR(10)&amp; PrintedResults!K204 )</f>
        <v/>
      </c>
      <c r="E220" s="20"/>
      <c r="F220" s="139"/>
      <c r="G220" s="139" t="s">
        <v>146</v>
      </c>
      <c r="H220" s="140"/>
      <c r="I220" s="139"/>
      <c r="J220" s="139"/>
      <c r="K220" s="141" t="str">
        <f>IF($I220="","",TEXT(VLOOKUP($I220,SortedDownload!$B$3:$Z$169,13,FALSE),"[hh]:mm:ss.000"))</f>
        <v/>
      </c>
      <c r="L220" s="139"/>
      <c r="M220" s="139"/>
      <c r="N220" s="139"/>
      <c r="O220" s="139"/>
      <c r="P220" s="139"/>
      <c r="Q220" s="139"/>
      <c r="R220" s="139"/>
    </row>
    <row r="221" spans="1:18" ht="38.25" customHeight="1">
      <c r="A221" s="196" t="str">
        <f>IF(PrintedResults!G205="","","("&amp;(PrintedResults!H205)&amp; ")"&amp;" " &amp;  (PrintedResults!G205) &amp;"| "&amp;CHAR(10)&amp; PrintedResults!I205&amp;"| "&amp;CHAR(10)&amp; PrintedResults!K205 )</f>
        <v/>
      </c>
      <c r="E221" s="20"/>
      <c r="F221" s="139"/>
      <c r="G221" s="139" t="s">
        <v>146</v>
      </c>
      <c r="H221" s="140"/>
      <c r="I221" s="139"/>
      <c r="J221" s="139"/>
      <c r="K221" s="141" t="str">
        <f>IF($I221="","",TEXT(VLOOKUP($I221,SortedDownload!$B$3:$Z$169,13,FALSE),"[hh]:mm:ss.000"))</f>
        <v/>
      </c>
      <c r="L221" s="139"/>
      <c r="M221" s="139"/>
      <c r="N221" s="139"/>
      <c r="O221" s="139"/>
      <c r="P221" s="139"/>
      <c r="Q221" s="139"/>
      <c r="R221" s="139"/>
    </row>
    <row r="222" spans="1:18" ht="38.25" customHeight="1">
      <c r="A222" s="196" t="str">
        <f>IF(PrintedResults!G206="","","("&amp;(PrintedResults!H206)&amp; ")"&amp;" " &amp;  (PrintedResults!G206) &amp;"| "&amp;CHAR(10)&amp; PrintedResults!I206&amp;"| "&amp;CHAR(10)&amp; PrintedResults!K206 )</f>
        <v/>
      </c>
      <c r="E222" s="20"/>
      <c r="F222" s="139"/>
      <c r="G222" s="139" t="s">
        <v>146</v>
      </c>
      <c r="H222" s="140"/>
      <c r="I222" s="139"/>
      <c r="J222" s="139"/>
      <c r="K222" s="141" t="str">
        <f>IF($I222="","",TEXT(VLOOKUP($I222,SortedDownload!$B$3:$Z$169,13,FALSE),"[hh]:mm:ss.000"))</f>
        <v/>
      </c>
      <c r="L222" s="139"/>
      <c r="M222" s="139"/>
      <c r="N222" s="139"/>
      <c r="O222" s="139"/>
      <c r="P222" s="139"/>
      <c r="Q222" s="139"/>
      <c r="R222" s="139"/>
    </row>
    <row r="223" spans="1:18" ht="38.25" customHeight="1">
      <c r="A223" s="196" t="str">
        <f>IF(PrintedResults!G207="","","("&amp;(PrintedResults!H207)&amp; ")"&amp;" " &amp;  (PrintedResults!G207) &amp;"| "&amp;CHAR(10)&amp; PrintedResults!I207&amp;"| "&amp;CHAR(10)&amp; PrintedResults!K207 )</f>
        <v/>
      </c>
      <c r="E223" s="20"/>
      <c r="F223" s="139"/>
      <c r="G223" s="139" t="s">
        <v>146</v>
      </c>
      <c r="H223" s="140"/>
      <c r="I223" s="139"/>
      <c r="J223" s="139"/>
      <c r="K223" s="141" t="str">
        <f>IF($I223="","",TEXT(VLOOKUP($I223,SortedDownload!$B$3:$Z$169,13,FALSE),"[hh]:mm:ss.000"))</f>
        <v/>
      </c>
      <c r="L223" s="139"/>
      <c r="M223" s="139"/>
      <c r="N223" s="139"/>
      <c r="O223" s="139"/>
      <c r="P223" s="139"/>
      <c r="Q223" s="139"/>
      <c r="R223" s="139"/>
    </row>
    <row r="224" spans="1:18" ht="38.25" customHeight="1">
      <c r="A224" s="196" t="str">
        <f>IF(PrintedResults!G208="","","("&amp;(PrintedResults!H208)&amp; ")"&amp;" " &amp;  (PrintedResults!G208) &amp;"| "&amp;CHAR(10)&amp; PrintedResults!I208&amp;"| "&amp;CHAR(10)&amp; PrintedResults!K208 )</f>
        <v/>
      </c>
      <c r="E224" s="20"/>
      <c r="F224" s="139"/>
      <c r="G224" s="139" t="s">
        <v>146</v>
      </c>
      <c r="H224" s="140"/>
      <c r="I224" s="139"/>
      <c r="J224" s="139"/>
      <c r="K224" s="141" t="str">
        <f>IF($I224="","",TEXT(VLOOKUP($I224,SortedDownload!$B$3:$Z$169,13,FALSE),"[hh]:mm:ss.000"))</f>
        <v/>
      </c>
      <c r="L224" s="139"/>
      <c r="M224" s="139"/>
      <c r="N224" s="139"/>
      <c r="O224" s="139"/>
      <c r="P224" s="139"/>
      <c r="Q224" s="139"/>
      <c r="R224" s="139"/>
    </row>
    <row r="225" spans="1:18" ht="38.25" customHeight="1">
      <c r="A225" s="196" t="str">
        <f>IF(PrintedResults!G209="","","("&amp;(PrintedResults!H209)&amp; ")"&amp;" " &amp;  (PrintedResults!G209) &amp;"| "&amp;CHAR(10)&amp; PrintedResults!I209&amp;"| "&amp;CHAR(10)&amp; PrintedResults!K209 )</f>
        <v/>
      </c>
      <c r="E225" s="20"/>
      <c r="F225" s="139"/>
      <c r="G225" s="139" t="s">
        <v>146</v>
      </c>
      <c r="H225" s="140"/>
      <c r="I225" s="139"/>
      <c r="J225" s="139"/>
      <c r="K225" s="141" t="str">
        <f>IF($I225="","",TEXT(VLOOKUP($I225,SortedDownload!$B$3:$Z$169,13,FALSE),"[hh]:mm:ss.000"))</f>
        <v/>
      </c>
      <c r="L225" s="139"/>
      <c r="M225" s="139"/>
      <c r="N225" s="139"/>
      <c r="O225" s="139"/>
      <c r="P225" s="139"/>
      <c r="Q225" s="139"/>
      <c r="R225" s="139"/>
    </row>
    <row r="226" spans="1:18" ht="38.25" customHeight="1">
      <c r="A226" s="196" t="str">
        <f>IF(PrintedResults!G210="","","("&amp;(PrintedResults!H210)&amp; ")"&amp;" " &amp;  (PrintedResults!G210) &amp;"| "&amp;CHAR(10)&amp; PrintedResults!I210&amp;"| "&amp;CHAR(10)&amp; PrintedResults!K210 )</f>
        <v/>
      </c>
      <c r="E226" s="20"/>
      <c r="F226" s="139"/>
      <c r="G226" s="139" t="s">
        <v>146</v>
      </c>
      <c r="H226" s="140"/>
      <c r="I226" s="139"/>
      <c r="J226" s="139"/>
      <c r="K226" s="141" t="str">
        <f>IF($I226="","",TEXT(VLOOKUP($I226,SortedDownload!$B$3:$Z$169,13,FALSE),"[hh]:mm:ss.000"))</f>
        <v/>
      </c>
      <c r="L226" s="139"/>
      <c r="M226" s="139"/>
      <c r="N226" s="139"/>
      <c r="O226" s="139"/>
      <c r="P226" s="139"/>
      <c r="Q226" s="139"/>
      <c r="R226" s="139"/>
    </row>
    <row r="227" spans="1:18" ht="38.25" customHeight="1">
      <c r="A227" s="196" t="str">
        <f>IF(PrintedResults!G211="","","("&amp;(PrintedResults!H211)&amp; ")"&amp;" " &amp;  (PrintedResults!G211) &amp;"| "&amp;CHAR(10)&amp; PrintedResults!I211&amp;"| "&amp;CHAR(10)&amp; PrintedResults!K211 )</f>
        <v/>
      </c>
      <c r="E227" s="20"/>
      <c r="F227" s="139"/>
      <c r="G227" s="139" t="s">
        <v>146</v>
      </c>
      <c r="H227" s="140"/>
      <c r="I227" s="139"/>
      <c r="J227" s="139"/>
      <c r="K227" s="141" t="str">
        <f>IF($I227="","",TEXT(VLOOKUP($I227,SortedDownload!$B$3:$Z$169,13,FALSE),"[hh]:mm:ss.000"))</f>
        <v/>
      </c>
      <c r="L227" s="139"/>
      <c r="M227" s="139"/>
      <c r="N227" s="139"/>
      <c r="O227" s="139"/>
      <c r="P227" s="139"/>
      <c r="Q227" s="139"/>
      <c r="R227" s="139"/>
    </row>
    <row r="228" spans="1:18" ht="38.25" customHeight="1">
      <c r="A228" s="196" t="str">
        <f>IF(PrintedResults!G212="","","("&amp;(PrintedResults!H212)&amp; ")"&amp;" " &amp;  (PrintedResults!G212) &amp;"| "&amp;CHAR(10)&amp; PrintedResults!I212&amp;"| "&amp;CHAR(10)&amp; PrintedResults!K212 )</f>
        <v/>
      </c>
      <c r="E228" s="20"/>
      <c r="F228" s="139"/>
      <c r="G228" s="139" t="s">
        <v>146</v>
      </c>
      <c r="H228" s="140"/>
      <c r="I228" s="139"/>
      <c r="J228" s="139"/>
      <c r="K228" s="141" t="str">
        <f>IF($I228="","",TEXT(VLOOKUP($I228,SortedDownload!$B$3:$Z$169,13,FALSE),"[hh]:mm:ss.000"))</f>
        <v/>
      </c>
      <c r="L228" s="139"/>
      <c r="M228" s="139"/>
      <c r="N228" s="139"/>
      <c r="O228" s="139"/>
      <c r="P228" s="139"/>
      <c r="Q228" s="139"/>
      <c r="R228" s="139"/>
    </row>
    <row r="229" spans="1:18" ht="38.25" customHeight="1">
      <c r="A229" s="196" t="str">
        <f>IF(PrintedResults!G213="","","("&amp;(PrintedResults!H213)&amp; ")"&amp;" " &amp;  (PrintedResults!G213) &amp;"| "&amp;CHAR(10)&amp; PrintedResults!I213&amp;"| "&amp;CHAR(10)&amp; PrintedResults!K213 )</f>
        <v/>
      </c>
      <c r="E229" s="20"/>
      <c r="F229" s="139"/>
      <c r="G229" s="139" t="s">
        <v>146</v>
      </c>
      <c r="H229" s="140"/>
      <c r="I229" s="139"/>
      <c r="J229" s="139"/>
      <c r="K229" s="141" t="str">
        <f>IF($I229="","",TEXT(VLOOKUP($I229,SortedDownload!$B$3:$Z$169,13,FALSE),"[hh]:mm:ss.000"))</f>
        <v/>
      </c>
      <c r="L229" s="139"/>
      <c r="M229" s="139"/>
      <c r="N229" s="139"/>
      <c r="O229" s="139"/>
      <c r="P229" s="139"/>
      <c r="Q229" s="139"/>
      <c r="R229" s="139"/>
    </row>
    <row r="230" spans="1:18" ht="38.25" customHeight="1">
      <c r="A230" s="196" t="str">
        <f>IF(PrintedResults!G214="","","("&amp;(PrintedResults!H214)&amp; ")"&amp;" " &amp;  (PrintedResults!G214) &amp;"| "&amp;CHAR(10)&amp; PrintedResults!I214&amp;"| "&amp;CHAR(10)&amp; PrintedResults!K214 )</f>
        <v/>
      </c>
      <c r="E230" s="20"/>
      <c r="F230" s="139"/>
      <c r="G230" s="139" t="s">
        <v>146</v>
      </c>
      <c r="H230" s="140"/>
      <c r="I230" s="139"/>
      <c r="J230" s="139"/>
      <c r="K230" s="141" t="str">
        <f>IF($I230="","",TEXT(VLOOKUP($I230,SortedDownload!$B$3:$Z$169,13,FALSE),"[hh]:mm:ss.000"))</f>
        <v/>
      </c>
      <c r="L230" s="139"/>
      <c r="M230" s="139"/>
      <c r="N230" s="139"/>
      <c r="O230" s="139"/>
      <c r="P230" s="139"/>
      <c r="Q230" s="139"/>
      <c r="R230" s="139"/>
    </row>
    <row r="231" spans="1:18" ht="38.25" customHeight="1">
      <c r="A231" s="196" t="str">
        <f>IF(PrintedResults!G215="","","("&amp;(PrintedResults!H215)&amp; ")"&amp;" " &amp;  (PrintedResults!G215) &amp;"| "&amp;CHAR(10)&amp; PrintedResults!I215&amp;"| "&amp;CHAR(10)&amp; PrintedResults!K215 )</f>
        <v/>
      </c>
      <c r="E231" s="20"/>
      <c r="F231" s="139"/>
      <c r="G231" s="139" t="s">
        <v>146</v>
      </c>
      <c r="H231" s="140"/>
      <c r="I231" s="139"/>
      <c r="J231" s="139"/>
      <c r="K231" s="141" t="str">
        <f>IF($I231="","",TEXT(VLOOKUP($I231,SortedDownload!$B$3:$Z$169,13,FALSE),"[hh]:mm:ss.000"))</f>
        <v/>
      </c>
      <c r="L231" s="139"/>
      <c r="M231" s="139"/>
      <c r="N231" s="139"/>
      <c r="O231" s="139"/>
      <c r="P231" s="139"/>
      <c r="Q231" s="139"/>
      <c r="R231" s="139"/>
    </row>
    <row r="232" spans="1:18" ht="38.25" customHeight="1">
      <c r="A232" s="196" t="str">
        <f>IF(PrintedResults!G216="","","("&amp;(PrintedResults!H216)&amp; ")"&amp;" " &amp;  (PrintedResults!G216) &amp;"| "&amp;CHAR(10)&amp; PrintedResults!I216&amp;"| "&amp;CHAR(10)&amp; PrintedResults!K216 )</f>
        <v/>
      </c>
      <c r="E232" s="20"/>
      <c r="F232" s="139"/>
      <c r="G232" s="139" t="s">
        <v>146</v>
      </c>
      <c r="H232" s="140"/>
      <c r="I232" s="139"/>
      <c r="J232" s="139"/>
      <c r="K232" s="141" t="str">
        <f>IF($I232="","",TEXT(VLOOKUP($I232,SortedDownload!$B$3:$Z$169,13,FALSE),"[hh]:mm:ss.000"))</f>
        <v/>
      </c>
      <c r="L232" s="139"/>
      <c r="M232" s="139"/>
      <c r="N232" s="139"/>
      <c r="O232" s="139"/>
      <c r="P232" s="139"/>
      <c r="Q232" s="139"/>
      <c r="R232" s="139"/>
    </row>
    <row r="233" spans="1:18" ht="38.25" customHeight="1">
      <c r="A233" s="196" t="str">
        <f>IF(PrintedResults!G217="","","("&amp;(PrintedResults!H217)&amp; ")"&amp;" " &amp;  (PrintedResults!G217) &amp;"| "&amp;CHAR(10)&amp; PrintedResults!I217&amp;"| "&amp;CHAR(10)&amp; PrintedResults!K217 )</f>
        <v/>
      </c>
      <c r="E233" s="20"/>
      <c r="F233" s="139"/>
      <c r="G233" s="139" t="s">
        <v>146</v>
      </c>
      <c r="H233" s="140"/>
      <c r="I233" s="139"/>
      <c r="J233" s="139"/>
      <c r="K233" s="141" t="str">
        <f>IF($I233="","",TEXT(VLOOKUP($I233,SortedDownload!$B$3:$Z$169,13,FALSE),"[hh]:mm:ss.000"))</f>
        <v/>
      </c>
      <c r="L233" s="139"/>
      <c r="M233" s="139"/>
      <c r="N233" s="139"/>
      <c r="O233" s="139"/>
      <c r="P233" s="139"/>
      <c r="Q233" s="139"/>
      <c r="R233" s="139"/>
    </row>
    <row r="234" spans="1:18" ht="28.5" customHeight="1"/>
  </sheetData>
  <sortState ref="G3:G252">
    <sortCondition ref="G3:G252"/>
  </sortState>
  <mergeCells count="2">
    <mergeCell ref="G1:K1"/>
    <mergeCell ref="M1:Q1"/>
  </mergeCells>
  <conditionalFormatting sqref="A21:A233">
    <cfRule type="containsText" dxfId="1789" priority="3" operator="containsText" text="(1)">
      <formula>NOT(ISERROR(SEARCH("(1)",A21)))</formula>
    </cfRule>
  </conditionalFormatting>
  <conditionalFormatting sqref="E20 E33:E34 E26:E28 C21:C58">
    <cfRule type="containsText" dxfId="1788" priority="2" operator="containsText" text="(5)">
      <formula>NOT(ISERROR(SEARCH("(5)",C20)))</formula>
    </cfRule>
  </conditionalFormatting>
  <conditionalFormatting sqref="E22:E25">
    <cfRule type="containsText" dxfId="1787" priority="1" operator="containsText" text="(5)">
      <formula>NOT(ISERROR(SEARCH("(5)",E22)))</formula>
    </cfRule>
  </conditionalFormatting>
  <pageMargins left="0" right="0" top="0" bottom="0" header="0" footer="0"/>
  <pageSetup paperSize="179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BL500"/>
  <sheetViews>
    <sheetView workbookViewId="0"/>
  </sheetViews>
  <sheetFormatPr defaultColWidth="9.140625" defaultRowHeight="12.75"/>
  <cols>
    <col min="1" max="1" width="27" style="76" customWidth="1"/>
    <col min="2" max="2" width="22.140625" style="75" bestFit="1" customWidth="1"/>
    <col min="3" max="3" width="14.140625" style="75" customWidth="1"/>
    <col min="4" max="4" width="15.85546875" style="76" customWidth="1"/>
    <col min="5" max="6" width="12" style="83" customWidth="1"/>
    <col min="7" max="7" width="13.85546875" style="83" bestFit="1" customWidth="1"/>
    <col min="8" max="8" width="12" style="83" customWidth="1"/>
    <col min="9" max="9" width="12.7109375" style="83" bestFit="1" customWidth="1"/>
    <col min="10" max="10" width="12.7109375" style="83" customWidth="1"/>
    <col min="11" max="12" width="12" style="83" customWidth="1"/>
    <col min="13" max="13" width="15.140625" style="83" customWidth="1"/>
    <col min="14" max="14" width="23.42578125" style="63" customWidth="1"/>
    <col min="15" max="22" width="14.140625" style="75" customWidth="1"/>
    <col min="23" max="29" width="23.85546875" style="64" customWidth="1"/>
    <col min="30" max="30" width="24.5703125" style="64" customWidth="1"/>
    <col min="31" max="46" width="15.140625" style="75" customWidth="1"/>
    <col min="47" max="47" width="19.140625" style="63" bestFit="1" customWidth="1"/>
    <col min="48" max="48" width="19.140625" style="86" bestFit="1" customWidth="1"/>
    <col min="49" max="54" width="19.140625" style="63" bestFit="1" customWidth="1"/>
    <col min="55" max="55" width="18.5703125" style="75" bestFit="1" customWidth="1"/>
    <col min="56" max="63" width="15.28515625" style="53" bestFit="1" customWidth="1"/>
    <col min="64" max="16384" width="9.140625" style="75"/>
  </cols>
  <sheetData>
    <row r="1" spans="1:64" s="27" customFormat="1" ht="27" customHeight="1">
      <c r="A1" s="25" t="str">
        <f>Helpers!A2</f>
        <v>Jonkershoek Enduro</v>
      </c>
      <c r="B1" s="25" t="str">
        <f ca="1">RIGHT(CELL("filename",C2),LEN(CELL("filename",C2))-FIND("]",CELL("filename",C2)))</f>
        <v>DownloadResults</v>
      </c>
      <c r="C1" s="26"/>
      <c r="D1" s="24"/>
      <c r="E1" s="24"/>
      <c r="F1" s="66"/>
      <c r="G1" s="36"/>
      <c r="H1" s="67"/>
      <c r="I1" s="82"/>
      <c r="J1" s="82"/>
      <c r="K1" s="82"/>
      <c r="L1" s="82"/>
      <c r="M1" s="82"/>
      <c r="N1" s="66"/>
      <c r="W1" s="68"/>
      <c r="X1" s="68"/>
      <c r="Y1" s="69"/>
      <c r="Z1" s="68"/>
      <c r="AA1" s="68"/>
      <c r="AB1" s="68"/>
      <c r="AC1" s="68"/>
      <c r="AD1" s="68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</row>
    <row r="2" spans="1:64" s="23" customFormat="1" ht="15.75">
      <c r="A2" s="70" t="s">
        <v>72</v>
      </c>
      <c r="B2" s="71" t="s">
        <v>94</v>
      </c>
      <c r="C2" s="71" t="s">
        <v>111</v>
      </c>
      <c r="D2" s="70" t="s">
        <v>110</v>
      </c>
      <c r="E2" s="72" t="s">
        <v>147</v>
      </c>
      <c r="F2" s="72" t="s">
        <v>148</v>
      </c>
      <c r="G2" s="72" t="s">
        <v>149</v>
      </c>
      <c r="H2" s="72" t="s">
        <v>150</v>
      </c>
      <c r="I2" s="72" t="s">
        <v>151</v>
      </c>
      <c r="J2" s="72" t="s">
        <v>152</v>
      </c>
      <c r="K2" s="72" t="s">
        <v>153</v>
      </c>
      <c r="L2" s="72" t="s">
        <v>154</v>
      </c>
      <c r="M2" s="72" t="s">
        <v>155</v>
      </c>
      <c r="N2" s="72" t="s">
        <v>156</v>
      </c>
      <c r="O2" s="70" t="s">
        <v>51</v>
      </c>
      <c r="P2" s="70" t="s">
        <v>52</v>
      </c>
      <c r="Q2" s="70" t="s">
        <v>53</v>
      </c>
      <c r="R2" s="70" t="s">
        <v>54</v>
      </c>
      <c r="S2" s="70" t="s">
        <v>55</v>
      </c>
      <c r="T2" s="70" t="s">
        <v>56</v>
      </c>
      <c r="U2" s="70" t="s">
        <v>129</v>
      </c>
      <c r="V2" s="70" t="s">
        <v>130</v>
      </c>
      <c r="W2" s="73" t="s">
        <v>45</v>
      </c>
      <c r="X2" s="73" t="s">
        <v>46</v>
      </c>
      <c r="Y2" s="73" t="s">
        <v>47</v>
      </c>
      <c r="Z2" s="73" t="s">
        <v>48</v>
      </c>
      <c r="AA2" s="73" t="s">
        <v>50</v>
      </c>
      <c r="AB2" s="73" t="s">
        <v>49</v>
      </c>
      <c r="AC2" s="73" t="s">
        <v>131</v>
      </c>
      <c r="AD2" s="73" t="s">
        <v>132</v>
      </c>
      <c r="AE2" s="70" t="s">
        <v>245</v>
      </c>
      <c r="AF2" s="70" t="s">
        <v>39</v>
      </c>
      <c r="AG2" s="70" t="s">
        <v>34</v>
      </c>
      <c r="AH2" s="70" t="s">
        <v>40</v>
      </c>
      <c r="AI2" s="70" t="s">
        <v>35</v>
      </c>
      <c r="AJ2" s="70" t="s">
        <v>41</v>
      </c>
      <c r="AK2" s="70" t="s">
        <v>36</v>
      </c>
      <c r="AL2" s="70" t="s">
        <v>42</v>
      </c>
      <c r="AM2" s="70" t="s">
        <v>37</v>
      </c>
      <c r="AN2" s="70" t="s">
        <v>43</v>
      </c>
      <c r="AO2" s="70" t="s">
        <v>38</v>
      </c>
      <c r="AP2" s="70" t="s">
        <v>44</v>
      </c>
      <c r="AQ2" s="70" t="s">
        <v>123</v>
      </c>
      <c r="AR2" s="70" t="s">
        <v>124</v>
      </c>
      <c r="AS2" s="70" t="s">
        <v>125</v>
      </c>
      <c r="AT2" s="70" t="s">
        <v>126</v>
      </c>
      <c r="AU2" s="72" t="s">
        <v>157</v>
      </c>
      <c r="AV2" s="72" t="s">
        <v>158</v>
      </c>
      <c r="AW2" s="72" t="s">
        <v>159</v>
      </c>
      <c r="AX2" s="72" t="s">
        <v>160</v>
      </c>
      <c r="AY2" s="72" t="s">
        <v>161</v>
      </c>
      <c r="AZ2" s="72" t="s">
        <v>162</v>
      </c>
      <c r="BA2" s="72" t="s">
        <v>163</v>
      </c>
      <c r="BB2" s="72" t="s">
        <v>164</v>
      </c>
      <c r="BC2" s="147" t="s">
        <v>423</v>
      </c>
      <c r="BD2" s="147" t="s">
        <v>431</v>
      </c>
      <c r="BE2" s="147" t="s">
        <v>424</v>
      </c>
      <c r="BF2" s="147" t="s">
        <v>425</v>
      </c>
      <c r="BG2" s="147" t="s">
        <v>426</v>
      </c>
      <c r="BH2" s="147" t="s">
        <v>427</v>
      </c>
      <c r="BI2" s="147" t="s">
        <v>428</v>
      </c>
      <c r="BJ2" s="147" t="s">
        <v>429</v>
      </c>
      <c r="BK2" s="147" t="s">
        <v>430</v>
      </c>
    </row>
    <row r="3" spans="1:64">
      <c r="A3" s="53"/>
      <c r="B3" s="89" t="str">
        <f>IFERROR(VLOOKUP($A3,EntryList!$A$3:$N$645,2,FALSE),"")</f>
        <v/>
      </c>
      <c r="C3" s="74"/>
      <c r="D3" s="53">
        <f>COUNT($AU3:$BB3)</f>
        <v>0</v>
      </c>
      <c r="E3" s="62"/>
      <c r="F3" s="62"/>
      <c r="G3" s="62"/>
      <c r="H3" s="62"/>
      <c r="I3" s="62"/>
      <c r="J3" s="62"/>
      <c r="K3" s="62"/>
      <c r="L3" s="62"/>
      <c r="M3" s="62"/>
      <c r="N3" s="62">
        <f>SUM($AU3:$BB3)</f>
        <v>0</v>
      </c>
      <c r="O3" s="53" t="str">
        <f>IFERROR(RANK($AU3,AU$3:AU$500,1),"")</f>
        <v/>
      </c>
      <c r="P3" s="53" t="str">
        <f>IFERROR(RANK($AV3,AV$3:AV$500,1),"")</f>
        <v/>
      </c>
      <c r="Q3" s="53" t="str">
        <f>IFERROR(RANK($AW3,AW$3:AW$500,1),"")</f>
        <v/>
      </c>
      <c r="R3" s="53" t="str">
        <f>IFERROR(RANK($AX3,AX$3:AX$500,1),"")</f>
        <v/>
      </c>
      <c r="S3" s="53" t="str">
        <f>IFERROR(RANK($AY3,AY$3:AY$500,1),"")</f>
        <v/>
      </c>
      <c r="T3" s="53" t="str">
        <f>IFERROR(RANK($AZ3,AZ$3:AZ$500,1),"")</f>
        <v/>
      </c>
      <c r="U3" s="53" t="str">
        <f>IFERROR(RANK($BA3,BA$3:BA$500,1),"")</f>
        <v/>
      </c>
      <c r="V3" s="53" t="str">
        <f>IFERROR(RANK($BB3,BB$3:BB$500,1),"")</f>
        <v/>
      </c>
      <c r="W3" s="53" t="str">
        <f>CONCATENATE(TEXT($AU3,"[hh]:mm:ss.0")," ","(",$O3,")")</f>
        <v>DNS/DNF ()</v>
      </c>
      <c r="X3" s="53" t="str">
        <f>CONCATENATE(TEXT($AV3,"[hh]:mm:ss.0")," ","(",$P3,")")</f>
        <v>DNS/DNF ()</v>
      </c>
      <c r="Y3" s="53" t="str">
        <f>CONCATENATE(TEXT($AW3,"[hh]:mm:ss.0")," ","(",$Q3,")")</f>
        <v>DNS/DNF ()</v>
      </c>
      <c r="Z3" s="53" t="str">
        <f>CONCATENATE(TEXT($AX3,"[hh]:mm:ss.0")," ","(",$R3,")")</f>
        <v>DNS/DNF ()</v>
      </c>
      <c r="AA3" s="53" t="str">
        <f>CONCATENATE(TEXT($AY3,"[hh]:mm:ss.0")," ","(",$S3,")")</f>
        <v>DNS/DNF ()</v>
      </c>
      <c r="AB3" s="53" t="str">
        <f>CONCATENATE(TEXT($AZ3,"[hh]:mm:ss.0")," ","(",$T3,")")</f>
        <v>DNS/DNF ()</v>
      </c>
      <c r="AC3" s="53" t="str">
        <f>CONCATENATE(TEXT($BA3,"[hh]:mm:ss.0")," ","(",$U3,")")</f>
        <v>DNS/DNF ()</v>
      </c>
      <c r="AD3" s="53" t="str">
        <f>CONCATENATE(TEXT($BB3,"[hh]:mm:ss.0")," ","(",$V3,")")</f>
        <v>DNS/DNF ()</v>
      </c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62" t="str">
        <f>IF((OR($AE3=0,$AF3=0,$AF3-$AE3&lt;0)),"DNS/DNF",($AF3-$AE3)/86400000)</f>
        <v>DNS/DNF</v>
      </c>
      <c r="AV3" s="62" t="str">
        <f>IF((OR($AG3=0,$AH3=0,$AH3-$AG3&lt;0)),"DNS/DNF",($AH3-$AG3)/86400000)</f>
        <v>DNS/DNF</v>
      </c>
      <c r="AW3" s="62" t="str">
        <f>IF((OR($AI3=0,$AJ3=0,$AJ3-$AI3&lt;0)),"DNS/DNF",($AJ3-$AI3)/86400000)</f>
        <v>DNS/DNF</v>
      </c>
      <c r="AX3" s="62" t="str">
        <f>IF((OR($AK3=0,$AL3=0,$AL3-$AK3&lt;0)),"DNS/DNF",($AL3-$AK3)/86400000)</f>
        <v>DNS/DNF</v>
      </c>
      <c r="AY3" s="62" t="str">
        <f>IF((OR($AM3=0,$AM3=0,$AN3-$AM3&lt;0)),"DNS/DNF",($AN3-$AM3)/86400000)</f>
        <v>DNS/DNF</v>
      </c>
      <c r="AZ3" s="62" t="str">
        <f>IF((OR($AO3=0,$AP3=0,$AP3-$AO3&lt;0)),"DNS/DNF",($AP3-$AO3)/86400000)</f>
        <v>DNS/DNF</v>
      </c>
      <c r="BA3" s="62" t="str">
        <f>IF((OR($AQ3=0,$AR3=0,$AR3-$AQ3&lt;0)),"DNS/DNF",($AR3-$AQ3)/86400000)</f>
        <v>DNS/DNF</v>
      </c>
      <c r="BB3" s="62" t="str">
        <f>IF((OR($AS3=0,$AT3=0,$AT3-$AS3&lt;0)),"DNS/DNF",($AT3-$AS3)/86400000)</f>
        <v>DNS/DNF</v>
      </c>
      <c r="BC3" s="75" t="str">
        <f>IFERROR(ROUND(AVERAGE(O3:V3),0),"")</f>
        <v/>
      </c>
      <c r="BD3" s="53" t="str">
        <f>IFERROR((INDEX(($AU$3:$AU$500)*86400000,MATCH(BC3,$O$3:$O$500,0))),"")</f>
        <v/>
      </c>
      <c r="BE3" s="53" t="str">
        <f>IFERROR((INDEX(($AV$3:$AV$500)*86400000,MATCH(BC3,$P$3:$P$500,0))),"")</f>
        <v/>
      </c>
      <c r="BF3" s="53" t="str">
        <f>IFERROR((INDEX(($AW$3:$AW$500)*86400000,MATCH(BC3,$Q$3:$Q$500,0))),"")</f>
        <v/>
      </c>
      <c r="BG3" s="53" t="str">
        <f>IFERROR((INDEX(($AX$3:$AX$500)*86400000,MATCH(BC3,$R$3:$R$500,0))),"")</f>
        <v/>
      </c>
      <c r="BH3" s="53" t="str">
        <f>IFERROR((INDEX(($AY$3:$AY$500)*86400000,MATCH(BC3,$S$3:$S$500,0))),"")</f>
        <v/>
      </c>
      <c r="BI3" s="53" t="str">
        <f>IFERROR((INDEX(($AZ$3:$AZ$500)*86400000,MATCH(BC3,$T$3:$T$500,0))),"")</f>
        <v/>
      </c>
      <c r="BJ3" s="53" t="str">
        <f>IFERROR((INDEX(($BA$3:$BA$500)*86400000,MATCH(BC3,$U$3:$U$500,0))),"")</f>
        <v/>
      </c>
      <c r="BK3" s="53" t="str">
        <f>IFERROR((INDEX(($BB$3:$BB$500)*86400000,MATCH(BC3,$V$3:$V$500,0))),"")</f>
        <v/>
      </c>
    </row>
    <row r="4" spans="1:64">
      <c r="A4" s="53"/>
      <c r="B4" s="89" t="str">
        <f>IFERROR(VLOOKUP($A4,EntryList!$A$3:$N$645,2,FALSE),"")</f>
        <v/>
      </c>
      <c r="C4" s="74"/>
      <c r="D4" s="53">
        <f t="shared" ref="D4:D67" si="0">COUNT($AU4:$BB4)</f>
        <v>0</v>
      </c>
      <c r="E4" s="62"/>
      <c r="F4" s="62"/>
      <c r="G4" s="62"/>
      <c r="H4" s="62"/>
      <c r="I4" s="62"/>
      <c r="J4" s="62"/>
      <c r="K4" s="62"/>
      <c r="L4" s="62"/>
      <c r="M4" s="62"/>
      <c r="N4" s="62">
        <f t="shared" ref="N4:N67" si="1">SUM($AU4:$BB4)</f>
        <v>0</v>
      </c>
      <c r="O4" s="53" t="str">
        <f t="shared" ref="O4:O17" si="2">IFERROR(RANK($AU4,AU$3:AU$500,1),"")</f>
        <v/>
      </c>
      <c r="P4" s="53" t="str">
        <f t="shared" ref="P4:P17" si="3">IFERROR(RANK($AV4,AV$3:AV$500,1),"")</f>
        <v/>
      </c>
      <c r="Q4" s="53" t="str">
        <f t="shared" ref="Q4:Q17" si="4">IFERROR(RANK($AW4,AW$3:AW$500,1),"")</f>
        <v/>
      </c>
      <c r="R4" s="53" t="str">
        <f t="shared" ref="R4:R17" si="5">IFERROR(RANK($AX4,AX$3:AX$500,1),"")</f>
        <v/>
      </c>
      <c r="S4" s="53" t="str">
        <f t="shared" ref="S4:S17" si="6">IFERROR(RANK($AY4,AY$3:AY$500,1),"")</f>
        <v/>
      </c>
      <c r="T4" s="53" t="str">
        <f t="shared" ref="T4:T17" si="7">IFERROR(RANK($AZ4,AZ$3:AZ$500,1),"")</f>
        <v/>
      </c>
      <c r="U4" s="53" t="str">
        <f t="shared" ref="U4:U17" si="8">IFERROR(RANK($BA4,BA$3:BA$500,1),"")</f>
        <v/>
      </c>
      <c r="V4" s="53" t="str">
        <f t="shared" ref="V4:V17" si="9">IFERROR(RANK($BB4,BB$3:BB$500,1),"")</f>
        <v/>
      </c>
      <c r="W4" s="53" t="str">
        <f>CONCATENATE(TEXT($AU4,"[hh]:mm:ss.0")," ","(",$O4,")")</f>
        <v>DNS/DNF ()</v>
      </c>
      <c r="X4" s="53" t="str">
        <f t="shared" ref="X4:X67" si="10">CONCATENATE(TEXT($AV4,"[hh]:mm:ss.0")," ","(",$P4,")")</f>
        <v>DNS/DNF ()</v>
      </c>
      <c r="Y4" s="53" t="str">
        <f t="shared" ref="Y4:Y67" si="11">CONCATENATE(TEXT($AW4,"[hh]:mm:ss.0")," ","(",$Q4,")")</f>
        <v>DNS/DNF ()</v>
      </c>
      <c r="Z4" s="53" t="str">
        <f t="shared" ref="Z4:Z67" si="12">CONCATENATE(TEXT($AX4,"[hh]:mm:ss.0")," ","(",$R4,")")</f>
        <v>DNS/DNF ()</v>
      </c>
      <c r="AA4" s="53" t="str">
        <f t="shared" ref="AA4:AA67" si="13">CONCATENATE(TEXT($AY4,"[hh]:mm:ss.0")," ","(",$S4,")")</f>
        <v>DNS/DNF ()</v>
      </c>
      <c r="AB4" s="53" t="str">
        <f t="shared" ref="AB4:AB67" si="14">CONCATENATE(TEXT($AZ4,"[hh]:mm:ss.0")," ","(",$T4,")")</f>
        <v>DNS/DNF ()</v>
      </c>
      <c r="AC4" s="53" t="str">
        <f t="shared" ref="AC4:AC67" si="15">CONCATENATE(TEXT($BA4,"[hh]:mm:ss.0")," ","(",$U4,")")</f>
        <v>DNS/DNF ()</v>
      </c>
      <c r="AD4" s="53" t="str">
        <f t="shared" ref="AD4:AD67" si="16">CONCATENATE(TEXT($BB4,"[hh]:mm:ss.0")," ","(",$V4,")")</f>
        <v>DNS/DNF ()</v>
      </c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62" t="str">
        <f t="shared" ref="AU4:AU67" si="17">IF((OR($AE4=0,$AF4=0,$AF4-$AE4&lt;0)),"DNS/DNF",($AF4-$AE4)/86400000)</f>
        <v>DNS/DNF</v>
      </c>
      <c r="AV4" s="62" t="str">
        <f t="shared" ref="AV4:AV67" si="18">IF((OR($AG4=0,$AH4=0,$AH4-$AG4&lt;0)),"DNS/DNF",($AH4-$AG4)/86400000)</f>
        <v>DNS/DNF</v>
      </c>
      <c r="AW4" s="62" t="str">
        <f t="shared" ref="AW4:AW67" si="19">IF((OR($AI4=0,$AJ4=0,$AJ4-$AI4&lt;0)),"DNS/DNF",($AJ4-$AI4)/86400000)</f>
        <v>DNS/DNF</v>
      </c>
      <c r="AX4" s="62" t="str">
        <f t="shared" ref="AX4:AX67" si="20">IF((OR($AK4=0,$AL4=0,$AL4-$AK4&lt;0)),"DNS/DNF",($AL4-$AK4)/86400000)</f>
        <v>DNS/DNF</v>
      </c>
      <c r="AY4" s="62" t="str">
        <f t="shared" ref="AY4:AY67" si="21">IF((OR($AM4=0,$AM4=0,$AN4-$AM4&lt;0)),"DNS/DNF",($AN4-$AM4)/86400000)</f>
        <v>DNS/DNF</v>
      </c>
      <c r="AZ4" s="62" t="str">
        <f t="shared" ref="AZ4:AZ67" si="22">IF((OR($AO4=0,$AP4=0,$AP4-$AO4&lt;0)),"DNS/DNF",($AP4-$AO4)/86400000)</f>
        <v>DNS/DNF</v>
      </c>
      <c r="BA4" s="62" t="str">
        <f t="shared" ref="BA4:BA67" si="23">IF((OR($AQ4=0,$AR4=0,$AR4-$AQ4&lt;0)),"DNS/DNF",($AR4-$AQ4)/86400000)</f>
        <v>DNS/DNF</v>
      </c>
      <c r="BB4" s="62" t="str">
        <f t="shared" ref="BB4:BB67" si="24">IF((OR($AS4=0,$AT4=0,$AT4-$AS4&lt;0)),"DNS/DNF",($AT4-$AS4)/86400000)</f>
        <v>DNS/DNF</v>
      </c>
      <c r="BC4" s="75" t="str">
        <f t="shared" ref="BC4:BC67" si="25">IFERROR(ROUND(AVERAGE(O4:V4),0),"")</f>
        <v/>
      </c>
      <c r="BD4" s="53" t="str">
        <f t="shared" ref="BD4:BD67" si="26">IFERROR((INDEX(($AU$3:$AU$500)*86400000,MATCH(BC4,$O$3:$O$500,0))),"")</f>
        <v/>
      </c>
      <c r="BE4" s="53" t="str">
        <f t="shared" ref="BE4:BE67" si="27">IFERROR((INDEX(($AV$3:$AV$500)*86400000,MATCH(BC4,$P$3:$P$500,0))),"")</f>
        <v/>
      </c>
      <c r="BF4" s="53" t="str">
        <f t="shared" ref="BF4:BF67" si="28">IFERROR((INDEX(($AW$3:$AW$500)*86400000,MATCH(BC4,$Q$3:$Q$500,0))),"")</f>
        <v/>
      </c>
      <c r="BG4" s="53" t="str">
        <f t="shared" ref="BG4:BG67" si="29">IFERROR((INDEX(($AX$3:$AX$500)*86400000,MATCH(BC4,$R$3:$R$500,0))),"")</f>
        <v/>
      </c>
      <c r="BH4" s="53" t="str">
        <f t="shared" ref="BH4:BH67" si="30">IFERROR((INDEX(($AY$3:$AY$500)*86400000,MATCH(BC4,$S$3:$S$500,0))),"")</f>
        <v/>
      </c>
      <c r="BI4" s="53" t="str">
        <f t="shared" ref="BI4:BI67" si="31">IFERROR((INDEX(($AZ$3:$AZ$500)*86400000,MATCH(BC4,$T$3:$T$500,0))),"")</f>
        <v/>
      </c>
      <c r="BJ4" s="53" t="str">
        <f t="shared" ref="BJ4:BJ67" si="32">IFERROR((INDEX(($BA$3:$BA$500)*86400000,MATCH(BC4,$U$3:$U$500,0))),"")</f>
        <v/>
      </c>
      <c r="BK4" s="53" t="str">
        <f t="shared" ref="BK4:BK67" si="33">IFERROR((INDEX(($BB$3:$BB$500)*86400000,MATCH(BC4,$V$3:$V$500,0))),"")</f>
        <v/>
      </c>
    </row>
    <row r="5" spans="1:64">
      <c r="A5" s="53"/>
      <c r="B5" s="89" t="str">
        <f>IFERROR(VLOOKUP($A5,EntryList!$A$3:$N$645,2,FALSE),"")</f>
        <v/>
      </c>
      <c r="C5" s="74"/>
      <c r="D5" s="53">
        <f t="shared" si="0"/>
        <v>0</v>
      </c>
      <c r="E5" s="62"/>
      <c r="F5" s="62"/>
      <c r="G5" s="62"/>
      <c r="H5" s="62"/>
      <c r="I5" s="62"/>
      <c r="J5" s="62"/>
      <c r="K5" s="62"/>
      <c r="L5" s="62"/>
      <c r="M5" s="62"/>
      <c r="N5" s="62">
        <f t="shared" si="1"/>
        <v>0</v>
      </c>
      <c r="O5" s="53" t="str">
        <f t="shared" si="2"/>
        <v/>
      </c>
      <c r="P5" s="53" t="str">
        <f t="shared" si="3"/>
        <v/>
      </c>
      <c r="Q5" s="53" t="str">
        <f t="shared" si="4"/>
        <v/>
      </c>
      <c r="R5" s="53" t="str">
        <f t="shared" si="5"/>
        <v/>
      </c>
      <c r="S5" s="53" t="str">
        <f t="shared" si="6"/>
        <v/>
      </c>
      <c r="T5" s="53" t="str">
        <f t="shared" si="7"/>
        <v/>
      </c>
      <c r="U5" s="53" t="str">
        <f t="shared" si="8"/>
        <v/>
      </c>
      <c r="V5" s="53" t="str">
        <f t="shared" si="9"/>
        <v/>
      </c>
      <c r="W5" s="53" t="str">
        <f t="shared" ref="W5:W67" si="34">CONCATENATE(TEXT($AU5,"[hh]:mm:ss.0")," ","(",$O5,")")</f>
        <v>DNS/DNF ()</v>
      </c>
      <c r="X5" s="53" t="str">
        <f t="shared" si="10"/>
        <v>DNS/DNF ()</v>
      </c>
      <c r="Y5" s="53" t="str">
        <f t="shared" si="11"/>
        <v>DNS/DNF ()</v>
      </c>
      <c r="Z5" s="53" t="str">
        <f t="shared" si="12"/>
        <v>DNS/DNF ()</v>
      </c>
      <c r="AA5" s="53" t="str">
        <f t="shared" si="13"/>
        <v>DNS/DNF ()</v>
      </c>
      <c r="AB5" s="53" t="str">
        <f t="shared" si="14"/>
        <v>DNS/DNF ()</v>
      </c>
      <c r="AC5" s="53" t="str">
        <f t="shared" si="15"/>
        <v>DNS/DNF ()</v>
      </c>
      <c r="AD5" s="53" t="str">
        <f t="shared" si="16"/>
        <v>DNS/DNF ()</v>
      </c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62" t="str">
        <f t="shared" si="17"/>
        <v>DNS/DNF</v>
      </c>
      <c r="AV5" s="62" t="str">
        <f t="shared" si="18"/>
        <v>DNS/DNF</v>
      </c>
      <c r="AW5" s="62" t="str">
        <f t="shared" si="19"/>
        <v>DNS/DNF</v>
      </c>
      <c r="AX5" s="62" t="str">
        <f t="shared" si="20"/>
        <v>DNS/DNF</v>
      </c>
      <c r="AY5" s="62" t="str">
        <f t="shared" si="21"/>
        <v>DNS/DNF</v>
      </c>
      <c r="AZ5" s="62" t="str">
        <f t="shared" si="22"/>
        <v>DNS/DNF</v>
      </c>
      <c r="BA5" s="62" t="str">
        <f t="shared" si="23"/>
        <v>DNS/DNF</v>
      </c>
      <c r="BB5" s="62" t="str">
        <f t="shared" si="24"/>
        <v>DNS/DNF</v>
      </c>
      <c r="BC5" s="75" t="str">
        <f t="shared" si="25"/>
        <v/>
      </c>
      <c r="BD5" s="53" t="str">
        <f t="shared" si="26"/>
        <v/>
      </c>
      <c r="BE5" s="53" t="str">
        <f t="shared" si="27"/>
        <v/>
      </c>
      <c r="BF5" s="53" t="str">
        <f t="shared" si="28"/>
        <v/>
      </c>
      <c r="BG5" s="53" t="str">
        <f t="shared" si="29"/>
        <v/>
      </c>
      <c r="BH5" s="53" t="str">
        <f t="shared" si="30"/>
        <v/>
      </c>
      <c r="BI5" s="53" t="str">
        <f t="shared" si="31"/>
        <v/>
      </c>
      <c r="BJ5" s="53" t="str">
        <f t="shared" si="32"/>
        <v/>
      </c>
      <c r="BK5" s="53" t="str">
        <f t="shared" si="33"/>
        <v/>
      </c>
    </row>
    <row r="6" spans="1:64">
      <c r="A6" s="53"/>
      <c r="B6" s="89" t="str">
        <f>IFERROR(VLOOKUP($A6,EntryList!$A$3:$N$645,2,FALSE),"")</f>
        <v/>
      </c>
      <c r="C6" s="74"/>
      <c r="D6" s="53">
        <f t="shared" si="0"/>
        <v>0</v>
      </c>
      <c r="E6" s="62"/>
      <c r="F6" s="62"/>
      <c r="G6" s="62"/>
      <c r="H6" s="62"/>
      <c r="I6" s="62"/>
      <c r="J6" s="62"/>
      <c r="K6" s="62"/>
      <c r="L6" s="62"/>
      <c r="M6" s="62"/>
      <c r="N6" s="62">
        <f t="shared" si="1"/>
        <v>0</v>
      </c>
      <c r="O6" s="53" t="str">
        <f t="shared" si="2"/>
        <v/>
      </c>
      <c r="P6" s="53" t="str">
        <f t="shared" si="3"/>
        <v/>
      </c>
      <c r="Q6" s="53" t="str">
        <f t="shared" si="4"/>
        <v/>
      </c>
      <c r="R6" s="53" t="str">
        <f t="shared" si="5"/>
        <v/>
      </c>
      <c r="S6" s="53" t="str">
        <f t="shared" si="6"/>
        <v/>
      </c>
      <c r="T6" s="53" t="str">
        <f t="shared" si="7"/>
        <v/>
      </c>
      <c r="U6" s="53" t="str">
        <f t="shared" si="8"/>
        <v/>
      </c>
      <c r="V6" s="53" t="str">
        <f t="shared" si="9"/>
        <v/>
      </c>
      <c r="W6" s="53" t="str">
        <f t="shared" si="34"/>
        <v>DNS/DNF ()</v>
      </c>
      <c r="X6" s="53" t="str">
        <f t="shared" si="10"/>
        <v>DNS/DNF ()</v>
      </c>
      <c r="Y6" s="53" t="str">
        <f t="shared" si="11"/>
        <v>DNS/DNF ()</v>
      </c>
      <c r="Z6" s="53" t="str">
        <f t="shared" si="12"/>
        <v>DNS/DNF ()</v>
      </c>
      <c r="AA6" s="53" t="str">
        <f t="shared" si="13"/>
        <v>DNS/DNF ()</v>
      </c>
      <c r="AB6" s="53" t="str">
        <f t="shared" si="14"/>
        <v>DNS/DNF ()</v>
      </c>
      <c r="AC6" s="53" t="str">
        <f t="shared" si="15"/>
        <v>DNS/DNF ()</v>
      </c>
      <c r="AD6" s="53" t="str">
        <f t="shared" si="16"/>
        <v>DNS/DNF ()</v>
      </c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62" t="str">
        <f t="shared" si="17"/>
        <v>DNS/DNF</v>
      </c>
      <c r="AV6" s="62" t="str">
        <f t="shared" si="18"/>
        <v>DNS/DNF</v>
      </c>
      <c r="AW6" s="62" t="str">
        <f t="shared" si="19"/>
        <v>DNS/DNF</v>
      </c>
      <c r="AX6" s="62" t="str">
        <f t="shared" si="20"/>
        <v>DNS/DNF</v>
      </c>
      <c r="AY6" s="62" t="str">
        <f t="shared" si="21"/>
        <v>DNS/DNF</v>
      </c>
      <c r="AZ6" s="62" t="str">
        <f t="shared" si="22"/>
        <v>DNS/DNF</v>
      </c>
      <c r="BA6" s="62" t="str">
        <f t="shared" si="23"/>
        <v>DNS/DNF</v>
      </c>
      <c r="BB6" s="62" t="str">
        <f t="shared" si="24"/>
        <v>DNS/DNF</v>
      </c>
      <c r="BC6" s="75" t="str">
        <f t="shared" si="25"/>
        <v/>
      </c>
      <c r="BD6" s="53" t="str">
        <f t="shared" si="26"/>
        <v/>
      </c>
      <c r="BE6" s="53" t="str">
        <f t="shared" si="27"/>
        <v/>
      </c>
      <c r="BF6" s="53" t="str">
        <f t="shared" si="28"/>
        <v/>
      </c>
      <c r="BG6" s="53" t="str">
        <f t="shared" si="29"/>
        <v/>
      </c>
      <c r="BH6" s="53" t="str">
        <f t="shared" si="30"/>
        <v/>
      </c>
      <c r="BI6" s="53" t="str">
        <f t="shared" si="31"/>
        <v/>
      </c>
      <c r="BJ6" s="53" t="str">
        <f t="shared" si="32"/>
        <v/>
      </c>
      <c r="BK6" s="53" t="str">
        <f t="shared" si="33"/>
        <v/>
      </c>
    </row>
    <row r="7" spans="1:64">
      <c r="A7" s="53"/>
      <c r="B7" s="89" t="str">
        <f>IFERROR(VLOOKUP($A7,EntryList!$A$3:$N$645,2,FALSE),"")</f>
        <v/>
      </c>
      <c r="C7" s="74"/>
      <c r="D7" s="53">
        <f t="shared" si="0"/>
        <v>0</v>
      </c>
      <c r="E7" s="62"/>
      <c r="F7" s="62"/>
      <c r="G7" s="62"/>
      <c r="H7" s="62"/>
      <c r="I7" s="62"/>
      <c r="J7" s="62"/>
      <c r="K7" s="62"/>
      <c r="L7" s="62"/>
      <c r="M7" s="62"/>
      <c r="N7" s="62">
        <f t="shared" si="1"/>
        <v>0</v>
      </c>
      <c r="O7" s="53" t="str">
        <f t="shared" si="2"/>
        <v/>
      </c>
      <c r="P7" s="53" t="str">
        <f t="shared" si="3"/>
        <v/>
      </c>
      <c r="Q7" s="53" t="str">
        <f t="shared" si="4"/>
        <v/>
      </c>
      <c r="R7" s="53" t="str">
        <f t="shared" si="5"/>
        <v/>
      </c>
      <c r="S7" s="53" t="str">
        <f t="shared" si="6"/>
        <v/>
      </c>
      <c r="T7" s="53" t="str">
        <f t="shared" si="7"/>
        <v/>
      </c>
      <c r="U7" s="53" t="str">
        <f t="shared" si="8"/>
        <v/>
      </c>
      <c r="V7" s="53" t="str">
        <f t="shared" si="9"/>
        <v/>
      </c>
      <c r="W7" s="53" t="str">
        <f t="shared" si="34"/>
        <v>DNS/DNF ()</v>
      </c>
      <c r="X7" s="53" t="str">
        <f t="shared" si="10"/>
        <v>DNS/DNF ()</v>
      </c>
      <c r="Y7" s="53" t="str">
        <f t="shared" si="11"/>
        <v>DNS/DNF ()</v>
      </c>
      <c r="Z7" s="53" t="str">
        <f t="shared" si="12"/>
        <v>DNS/DNF ()</v>
      </c>
      <c r="AA7" s="53" t="str">
        <f t="shared" si="13"/>
        <v>DNS/DNF ()</v>
      </c>
      <c r="AB7" s="53" t="str">
        <f t="shared" si="14"/>
        <v>DNS/DNF ()</v>
      </c>
      <c r="AC7" s="53" t="str">
        <f t="shared" si="15"/>
        <v>DNS/DNF ()</v>
      </c>
      <c r="AD7" s="53" t="str">
        <f t="shared" si="16"/>
        <v>DNS/DNF ()</v>
      </c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62" t="str">
        <f t="shared" si="17"/>
        <v>DNS/DNF</v>
      </c>
      <c r="AV7" s="62" t="str">
        <f t="shared" si="18"/>
        <v>DNS/DNF</v>
      </c>
      <c r="AW7" s="62" t="str">
        <f t="shared" si="19"/>
        <v>DNS/DNF</v>
      </c>
      <c r="AX7" s="62" t="str">
        <f t="shared" si="20"/>
        <v>DNS/DNF</v>
      </c>
      <c r="AY7" s="62" t="str">
        <f t="shared" si="21"/>
        <v>DNS/DNF</v>
      </c>
      <c r="AZ7" s="62" t="str">
        <f t="shared" si="22"/>
        <v>DNS/DNF</v>
      </c>
      <c r="BA7" s="62" t="str">
        <f t="shared" si="23"/>
        <v>DNS/DNF</v>
      </c>
      <c r="BB7" s="62" t="str">
        <f t="shared" si="24"/>
        <v>DNS/DNF</v>
      </c>
      <c r="BC7" s="75" t="str">
        <f t="shared" si="25"/>
        <v/>
      </c>
      <c r="BD7" s="53" t="str">
        <f t="shared" si="26"/>
        <v/>
      </c>
      <c r="BE7" s="53" t="str">
        <f t="shared" si="27"/>
        <v/>
      </c>
      <c r="BF7" s="53" t="str">
        <f t="shared" si="28"/>
        <v/>
      </c>
      <c r="BG7" s="53" t="str">
        <f t="shared" si="29"/>
        <v/>
      </c>
      <c r="BH7" s="53" t="str">
        <f t="shared" si="30"/>
        <v/>
      </c>
      <c r="BI7" s="53" t="str">
        <f t="shared" si="31"/>
        <v/>
      </c>
      <c r="BJ7" s="53" t="str">
        <f t="shared" si="32"/>
        <v/>
      </c>
      <c r="BK7" s="53" t="str">
        <f t="shared" si="33"/>
        <v/>
      </c>
    </row>
    <row r="8" spans="1:64">
      <c r="A8" s="53"/>
      <c r="B8" s="89" t="str">
        <f>IFERROR(VLOOKUP($A8,EntryList!$A$3:$N$645,2,FALSE),"")</f>
        <v/>
      </c>
      <c r="C8" s="74"/>
      <c r="D8" s="53">
        <f t="shared" si="0"/>
        <v>0</v>
      </c>
      <c r="E8" s="62"/>
      <c r="F8" s="62"/>
      <c r="G8" s="62"/>
      <c r="H8" s="62"/>
      <c r="I8" s="62"/>
      <c r="J8" s="62"/>
      <c r="K8" s="62"/>
      <c r="L8" s="62"/>
      <c r="M8" s="62"/>
      <c r="N8" s="62">
        <f t="shared" si="1"/>
        <v>0</v>
      </c>
      <c r="O8" s="53" t="str">
        <f t="shared" si="2"/>
        <v/>
      </c>
      <c r="P8" s="53" t="str">
        <f t="shared" si="3"/>
        <v/>
      </c>
      <c r="Q8" s="53" t="str">
        <f t="shared" si="4"/>
        <v/>
      </c>
      <c r="R8" s="53" t="str">
        <f t="shared" si="5"/>
        <v/>
      </c>
      <c r="S8" s="53" t="str">
        <f t="shared" si="6"/>
        <v/>
      </c>
      <c r="T8" s="53" t="str">
        <f t="shared" si="7"/>
        <v/>
      </c>
      <c r="U8" s="53" t="str">
        <f t="shared" si="8"/>
        <v/>
      </c>
      <c r="V8" s="53" t="str">
        <f t="shared" si="9"/>
        <v/>
      </c>
      <c r="W8" s="53" t="str">
        <f t="shared" si="34"/>
        <v>DNS/DNF ()</v>
      </c>
      <c r="X8" s="53" t="str">
        <f t="shared" si="10"/>
        <v>DNS/DNF ()</v>
      </c>
      <c r="Y8" s="53" t="str">
        <f t="shared" si="11"/>
        <v>DNS/DNF ()</v>
      </c>
      <c r="Z8" s="53" t="str">
        <f t="shared" si="12"/>
        <v>DNS/DNF ()</v>
      </c>
      <c r="AA8" s="53" t="str">
        <f t="shared" si="13"/>
        <v>DNS/DNF ()</v>
      </c>
      <c r="AB8" s="53" t="str">
        <f t="shared" si="14"/>
        <v>DNS/DNF ()</v>
      </c>
      <c r="AC8" s="53" t="str">
        <f t="shared" si="15"/>
        <v>DNS/DNF ()</v>
      </c>
      <c r="AD8" s="53" t="str">
        <f t="shared" si="16"/>
        <v>DNS/DNF ()</v>
      </c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62" t="str">
        <f t="shared" si="17"/>
        <v>DNS/DNF</v>
      </c>
      <c r="AV8" s="62" t="str">
        <f t="shared" si="18"/>
        <v>DNS/DNF</v>
      </c>
      <c r="AW8" s="62" t="str">
        <f t="shared" si="19"/>
        <v>DNS/DNF</v>
      </c>
      <c r="AX8" s="62" t="str">
        <f t="shared" si="20"/>
        <v>DNS/DNF</v>
      </c>
      <c r="AY8" s="62" t="str">
        <f t="shared" si="21"/>
        <v>DNS/DNF</v>
      </c>
      <c r="AZ8" s="62" t="str">
        <f t="shared" si="22"/>
        <v>DNS/DNF</v>
      </c>
      <c r="BA8" s="62" t="str">
        <f t="shared" si="23"/>
        <v>DNS/DNF</v>
      </c>
      <c r="BB8" s="62" t="str">
        <f t="shared" si="24"/>
        <v>DNS/DNF</v>
      </c>
      <c r="BC8" s="75" t="str">
        <f t="shared" si="25"/>
        <v/>
      </c>
      <c r="BD8" s="53" t="str">
        <f t="shared" si="26"/>
        <v/>
      </c>
      <c r="BE8" s="53" t="str">
        <f t="shared" si="27"/>
        <v/>
      </c>
      <c r="BF8" s="53" t="str">
        <f t="shared" si="28"/>
        <v/>
      </c>
      <c r="BG8" s="53" t="str">
        <f t="shared" si="29"/>
        <v/>
      </c>
      <c r="BH8" s="53" t="str">
        <f t="shared" si="30"/>
        <v/>
      </c>
      <c r="BI8" s="53" t="str">
        <f t="shared" si="31"/>
        <v/>
      </c>
      <c r="BJ8" s="53" t="str">
        <f t="shared" si="32"/>
        <v/>
      </c>
      <c r="BK8" s="53" t="str">
        <f t="shared" si="33"/>
        <v/>
      </c>
    </row>
    <row r="9" spans="1:64">
      <c r="A9" s="53"/>
      <c r="B9" s="89" t="str">
        <f>IFERROR(VLOOKUP($A9,EntryList!$A$3:$N$645,2,FALSE),"")</f>
        <v/>
      </c>
      <c r="C9" s="74"/>
      <c r="D9" s="53">
        <f t="shared" si="0"/>
        <v>0</v>
      </c>
      <c r="E9" s="62"/>
      <c r="F9" s="62"/>
      <c r="G9" s="62"/>
      <c r="H9" s="62"/>
      <c r="I9" s="62"/>
      <c r="J9" s="62"/>
      <c r="K9" s="62"/>
      <c r="L9" s="62"/>
      <c r="M9" s="62"/>
      <c r="N9" s="62">
        <f t="shared" si="1"/>
        <v>0</v>
      </c>
      <c r="O9" s="53" t="str">
        <f t="shared" si="2"/>
        <v/>
      </c>
      <c r="P9" s="53" t="str">
        <f t="shared" si="3"/>
        <v/>
      </c>
      <c r="Q9" s="53" t="str">
        <f t="shared" si="4"/>
        <v/>
      </c>
      <c r="R9" s="53" t="str">
        <f t="shared" si="5"/>
        <v/>
      </c>
      <c r="S9" s="53" t="str">
        <f t="shared" si="6"/>
        <v/>
      </c>
      <c r="T9" s="53" t="str">
        <f t="shared" si="7"/>
        <v/>
      </c>
      <c r="U9" s="53" t="str">
        <f t="shared" si="8"/>
        <v/>
      </c>
      <c r="V9" s="53" t="str">
        <f t="shared" si="9"/>
        <v/>
      </c>
      <c r="W9" s="53" t="str">
        <f t="shared" si="34"/>
        <v>DNS/DNF ()</v>
      </c>
      <c r="X9" s="53" t="str">
        <f t="shared" si="10"/>
        <v>DNS/DNF ()</v>
      </c>
      <c r="Y9" s="53" t="str">
        <f t="shared" si="11"/>
        <v>DNS/DNF ()</v>
      </c>
      <c r="Z9" s="53" t="str">
        <f t="shared" si="12"/>
        <v>DNS/DNF ()</v>
      </c>
      <c r="AA9" s="53" t="str">
        <f t="shared" si="13"/>
        <v>DNS/DNF ()</v>
      </c>
      <c r="AB9" s="53" t="str">
        <f t="shared" si="14"/>
        <v>DNS/DNF ()</v>
      </c>
      <c r="AC9" s="53" t="str">
        <f t="shared" si="15"/>
        <v>DNS/DNF ()</v>
      </c>
      <c r="AD9" s="53" t="str">
        <f t="shared" si="16"/>
        <v>DNS/DNF ()</v>
      </c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62" t="str">
        <f t="shared" si="17"/>
        <v>DNS/DNF</v>
      </c>
      <c r="AV9" s="62" t="str">
        <f t="shared" si="18"/>
        <v>DNS/DNF</v>
      </c>
      <c r="AW9" s="62" t="str">
        <f t="shared" si="19"/>
        <v>DNS/DNF</v>
      </c>
      <c r="AX9" s="62" t="str">
        <f t="shared" si="20"/>
        <v>DNS/DNF</v>
      </c>
      <c r="AY9" s="62" t="str">
        <f t="shared" si="21"/>
        <v>DNS/DNF</v>
      </c>
      <c r="AZ9" s="62" t="str">
        <f t="shared" si="22"/>
        <v>DNS/DNF</v>
      </c>
      <c r="BA9" s="62" t="str">
        <f t="shared" si="23"/>
        <v>DNS/DNF</v>
      </c>
      <c r="BB9" s="62" t="str">
        <f t="shared" si="24"/>
        <v>DNS/DNF</v>
      </c>
      <c r="BC9" s="75" t="str">
        <f t="shared" si="25"/>
        <v/>
      </c>
      <c r="BD9" s="53" t="str">
        <f t="shared" si="26"/>
        <v/>
      </c>
      <c r="BE9" s="53" t="str">
        <f t="shared" si="27"/>
        <v/>
      </c>
      <c r="BF9" s="53" t="str">
        <f t="shared" si="28"/>
        <v/>
      </c>
      <c r="BG9" s="53" t="str">
        <f t="shared" si="29"/>
        <v/>
      </c>
      <c r="BH9" s="53" t="str">
        <f t="shared" si="30"/>
        <v/>
      </c>
      <c r="BI9" s="53" t="str">
        <f t="shared" si="31"/>
        <v/>
      </c>
      <c r="BJ9" s="53" t="str">
        <f t="shared" si="32"/>
        <v/>
      </c>
      <c r="BK9" s="53" t="str">
        <f t="shared" si="33"/>
        <v/>
      </c>
    </row>
    <row r="10" spans="1:64">
      <c r="A10" s="53"/>
      <c r="B10" s="89" t="str">
        <f>IFERROR(VLOOKUP($A10,EntryList!$A$3:$N$645,2,FALSE),"")</f>
        <v/>
      </c>
      <c r="C10" s="74"/>
      <c r="D10" s="53">
        <f t="shared" si="0"/>
        <v>0</v>
      </c>
      <c r="E10" s="62"/>
      <c r="F10" s="62"/>
      <c r="G10" s="62"/>
      <c r="H10" s="62"/>
      <c r="I10" s="62"/>
      <c r="J10" s="62"/>
      <c r="K10" s="62"/>
      <c r="L10" s="62"/>
      <c r="M10" s="62"/>
      <c r="N10" s="62">
        <f t="shared" si="1"/>
        <v>0</v>
      </c>
      <c r="O10" s="53" t="str">
        <f t="shared" si="2"/>
        <v/>
      </c>
      <c r="P10" s="53" t="str">
        <f t="shared" si="3"/>
        <v/>
      </c>
      <c r="Q10" s="53" t="str">
        <f t="shared" si="4"/>
        <v/>
      </c>
      <c r="R10" s="53" t="str">
        <f t="shared" si="5"/>
        <v/>
      </c>
      <c r="S10" s="53" t="str">
        <f t="shared" si="6"/>
        <v/>
      </c>
      <c r="T10" s="53" t="str">
        <f t="shared" si="7"/>
        <v/>
      </c>
      <c r="U10" s="53" t="str">
        <f t="shared" si="8"/>
        <v/>
      </c>
      <c r="V10" s="53" t="str">
        <f t="shared" si="9"/>
        <v/>
      </c>
      <c r="W10" s="53" t="str">
        <f t="shared" si="34"/>
        <v>DNS/DNF ()</v>
      </c>
      <c r="X10" s="53" t="str">
        <f t="shared" si="10"/>
        <v>DNS/DNF ()</v>
      </c>
      <c r="Y10" s="53" t="str">
        <f t="shared" si="11"/>
        <v>DNS/DNF ()</v>
      </c>
      <c r="Z10" s="53" t="str">
        <f t="shared" si="12"/>
        <v>DNS/DNF ()</v>
      </c>
      <c r="AA10" s="53" t="str">
        <f t="shared" si="13"/>
        <v>DNS/DNF ()</v>
      </c>
      <c r="AB10" s="53" t="str">
        <f t="shared" si="14"/>
        <v>DNS/DNF ()</v>
      </c>
      <c r="AC10" s="53" t="str">
        <f t="shared" si="15"/>
        <v>DNS/DNF ()</v>
      </c>
      <c r="AD10" s="53" t="str">
        <f t="shared" si="16"/>
        <v>DNS/DNF ()</v>
      </c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62" t="str">
        <f t="shared" si="17"/>
        <v>DNS/DNF</v>
      </c>
      <c r="AV10" s="62" t="str">
        <f t="shared" si="18"/>
        <v>DNS/DNF</v>
      </c>
      <c r="AW10" s="62" t="str">
        <f t="shared" si="19"/>
        <v>DNS/DNF</v>
      </c>
      <c r="AX10" s="62" t="str">
        <f t="shared" si="20"/>
        <v>DNS/DNF</v>
      </c>
      <c r="AY10" s="62" t="str">
        <f t="shared" si="21"/>
        <v>DNS/DNF</v>
      </c>
      <c r="AZ10" s="62" t="str">
        <f t="shared" si="22"/>
        <v>DNS/DNF</v>
      </c>
      <c r="BA10" s="62" t="str">
        <f t="shared" si="23"/>
        <v>DNS/DNF</v>
      </c>
      <c r="BB10" s="62" t="str">
        <f t="shared" si="24"/>
        <v>DNS/DNF</v>
      </c>
      <c r="BC10" s="75" t="str">
        <f t="shared" si="25"/>
        <v/>
      </c>
      <c r="BD10" s="53" t="str">
        <f t="shared" si="26"/>
        <v/>
      </c>
      <c r="BE10" s="53" t="str">
        <f t="shared" si="27"/>
        <v/>
      </c>
      <c r="BF10" s="53" t="str">
        <f t="shared" si="28"/>
        <v/>
      </c>
      <c r="BG10" s="53" t="str">
        <f t="shared" si="29"/>
        <v/>
      </c>
      <c r="BH10" s="53" t="str">
        <f t="shared" si="30"/>
        <v/>
      </c>
      <c r="BI10" s="53" t="str">
        <f t="shared" si="31"/>
        <v/>
      </c>
      <c r="BJ10" s="53" t="str">
        <f t="shared" si="32"/>
        <v/>
      </c>
      <c r="BK10" s="53" t="str">
        <f t="shared" si="33"/>
        <v/>
      </c>
    </row>
    <row r="11" spans="1:64">
      <c r="A11" s="53"/>
      <c r="B11" s="89" t="str">
        <f>IFERROR(VLOOKUP($A11,EntryList!$A$3:$N$645,2,FALSE),"")</f>
        <v/>
      </c>
      <c r="C11" s="74"/>
      <c r="D11" s="53">
        <f t="shared" si="0"/>
        <v>0</v>
      </c>
      <c r="E11" s="62"/>
      <c r="F11" s="62"/>
      <c r="G11" s="62"/>
      <c r="H11" s="62"/>
      <c r="I11" s="62"/>
      <c r="J11" s="62"/>
      <c r="K11" s="62"/>
      <c r="L11" s="62"/>
      <c r="M11" s="62"/>
      <c r="N11" s="62">
        <f t="shared" si="1"/>
        <v>0</v>
      </c>
      <c r="O11" s="53" t="str">
        <f t="shared" si="2"/>
        <v/>
      </c>
      <c r="P11" s="53" t="str">
        <f t="shared" si="3"/>
        <v/>
      </c>
      <c r="Q11" s="53" t="str">
        <f t="shared" si="4"/>
        <v/>
      </c>
      <c r="R11" s="53" t="str">
        <f t="shared" si="5"/>
        <v/>
      </c>
      <c r="S11" s="53" t="str">
        <f t="shared" si="6"/>
        <v/>
      </c>
      <c r="T11" s="53" t="str">
        <f t="shared" si="7"/>
        <v/>
      </c>
      <c r="U11" s="53" t="str">
        <f t="shared" si="8"/>
        <v/>
      </c>
      <c r="V11" s="53" t="str">
        <f t="shared" si="9"/>
        <v/>
      </c>
      <c r="W11" s="53" t="str">
        <f t="shared" si="34"/>
        <v>DNS/DNF ()</v>
      </c>
      <c r="X11" s="53" t="str">
        <f t="shared" si="10"/>
        <v>DNS/DNF ()</v>
      </c>
      <c r="Y11" s="53" t="str">
        <f t="shared" si="11"/>
        <v>DNS/DNF ()</v>
      </c>
      <c r="Z11" s="53" t="str">
        <f t="shared" si="12"/>
        <v>DNS/DNF ()</v>
      </c>
      <c r="AA11" s="53" t="str">
        <f t="shared" si="13"/>
        <v>DNS/DNF ()</v>
      </c>
      <c r="AB11" s="53" t="str">
        <f t="shared" si="14"/>
        <v>DNS/DNF ()</v>
      </c>
      <c r="AC11" s="53" t="str">
        <f t="shared" si="15"/>
        <v>DNS/DNF ()</v>
      </c>
      <c r="AD11" s="53" t="str">
        <f t="shared" si="16"/>
        <v>DNS/DNF ()</v>
      </c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62" t="str">
        <f t="shared" si="17"/>
        <v>DNS/DNF</v>
      </c>
      <c r="AV11" s="62" t="str">
        <f t="shared" si="18"/>
        <v>DNS/DNF</v>
      </c>
      <c r="AW11" s="62" t="str">
        <f t="shared" si="19"/>
        <v>DNS/DNF</v>
      </c>
      <c r="AX11" s="62" t="str">
        <f t="shared" si="20"/>
        <v>DNS/DNF</v>
      </c>
      <c r="AY11" s="62" t="str">
        <f t="shared" si="21"/>
        <v>DNS/DNF</v>
      </c>
      <c r="AZ11" s="62" t="str">
        <f t="shared" si="22"/>
        <v>DNS/DNF</v>
      </c>
      <c r="BA11" s="62" t="str">
        <f t="shared" si="23"/>
        <v>DNS/DNF</v>
      </c>
      <c r="BB11" s="62" t="str">
        <f t="shared" si="24"/>
        <v>DNS/DNF</v>
      </c>
      <c r="BC11" s="75" t="str">
        <f t="shared" si="25"/>
        <v/>
      </c>
      <c r="BD11" s="53" t="str">
        <f t="shared" si="26"/>
        <v/>
      </c>
      <c r="BE11" s="53" t="str">
        <f t="shared" si="27"/>
        <v/>
      </c>
      <c r="BF11" s="53" t="str">
        <f t="shared" si="28"/>
        <v/>
      </c>
      <c r="BG11" s="53" t="str">
        <f t="shared" si="29"/>
        <v/>
      </c>
      <c r="BH11" s="53" t="str">
        <f t="shared" si="30"/>
        <v/>
      </c>
      <c r="BI11" s="53" t="str">
        <f t="shared" si="31"/>
        <v/>
      </c>
      <c r="BJ11" s="53" t="str">
        <f t="shared" si="32"/>
        <v/>
      </c>
      <c r="BK11" s="53" t="str">
        <f t="shared" si="33"/>
        <v/>
      </c>
    </row>
    <row r="12" spans="1:64" ht="13.5" customHeight="1">
      <c r="A12" s="53"/>
      <c r="B12" s="89" t="str">
        <f>IFERROR(VLOOKUP($A12,EntryList!$A$3:$N$645,2,FALSE),"")</f>
        <v/>
      </c>
      <c r="C12" s="74"/>
      <c r="D12" s="53">
        <f t="shared" si="0"/>
        <v>0</v>
      </c>
      <c r="E12" s="62"/>
      <c r="F12" s="62"/>
      <c r="G12" s="62"/>
      <c r="H12" s="62"/>
      <c r="I12" s="62"/>
      <c r="J12" s="62"/>
      <c r="K12" s="62"/>
      <c r="L12" s="62"/>
      <c r="M12" s="62"/>
      <c r="N12" s="62">
        <f t="shared" si="1"/>
        <v>0</v>
      </c>
      <c r="O12" s="53" t="str">
        <f t="shared" si="2"/>
        <v/>
      </c>
      <c r="P12" s="53" t="str">
        <f t="shared" si="3"/>
        <v/>
      </c>
      <c r="Q12" s="53" t="str">
        <f t="shared" si="4"/>
        <v/>
      </c>
      <c r="R12" s="53" t="str">
        <f t="shared" si="5"/>
        <v/>
      </c>
      <c r="S12" s="53" t="str">
        <f t="shared" si="6"/>
        <v/>
      </c>
      <c r="T12" s="53" t="str">
        <f t="shared" si="7"/>
        <v/>
      </c>
      <c r="U12" s="53" t="str">
        <f t="shared" si="8"/>
        <v/>
      </c>
      <c r="V12" s="53" t="str">
        <f t="shared" si="9"/>
        <v/>
      </c>
      <c r="W12" s="53" t="str">
        <f t="shared" si="34"/>
        <v>DNS/DNF ()</v>
      </c>
      <c r="X12" s="53" t="str">
        <f t="shared" si="10"/>
        <v>DNS/DNF ()</v>
      </c>
      <c r="Y12" s="53" t="str">
        <f t="shared" si="11"/>
        <v>DNS/DNF ()</v>
      </c>
      <c r="Z12" s="53" t="str">
        <f t="shared" si="12"/>
        <v>DNS/DNF ()</v>
      </c>
      <c r="AA12" s="53" t="str">
        <f t="shared" si="13"/>
        <v>DNS/DNF ()</v>
      </c>
      <c r="AB12" s="53" t="str">
        <f t="shared" si="14"/>
        <v>DNS/DNF ()</v>
      </c>
      <c r="AC12" s="53" t="str">
        <f t="shared" si="15"/>
        <v>DNS/DNF ()</v>
      </c>
      <c r="AD12" s="53" t="str">
        <f t="shared" si="16"/>
        <v>DNS/DNF ()</v>
      </c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62" t="str">
        <f t="shared" si="17"/>
        <v>DNS/DNF</v>
      </c>
      <c r="AV12" s="62" t="str">
        <f t="shared" si="18"/>
        <v>DNS/DNF</v>
      </c>
      <c r="AW12" s="62" t="str">
        <f t="shared" si="19"/>
        <v>DNS/DNF</v>
      </c>
      <c r="AX12" s="62" t="str">
        <f t="shared" si="20"/>
        <v>DNS/DNF</v>
      </c>
      <c r="AY12" s="62" t="str">
        <f t="shared" si="21"/>
        <v>DNS/DNF</v>
      </c>
      <c r="AZ12" s="62" t="str">
        <f t="shared" si="22"/>
        <v>DNS/DNF</v>
      </c>
      <c r="BA12" s="62" t="str">
        <f t="shared" si="23"/>
        <v>DNS/DNF</v>
      </c>
      <c r="BB12" s="62" t="str">
        <f t="shared" si="24"/>
        <v>DNS/DNF</v>
      </c>
      <c r="BC12" s="75" t="str">
        <f t="shared" si="25"/>
        <v/>
      </c>
      <c r="BD12" s="53" t="str">
        <f t="shared" si="26"/>
        <v/>
      </c>
      <c r="BE12" s="53" t="str">
        <f t="shared" si="27"/>
        <v/>
      </c>
      <c r="BF12" s="53" t="str">
        <f t="shared" si="28"/>
        <v/>
      </c>
      <c r="BG12" s="53" t="str">
        <f t="shared" si="29"/>
        <v/>
      </c>
      <c r="BH12" s="53" t="str">
        <f t="shared" si="30"/>
        <v/>
      </c>
      <c r="BI12" s="53" t="str">
        <f t="shared" si="31"/>
        <v/>
      </c>
      <c r="BJ12" s="53" t="str">
        <f t="shared" si="32"/>
        <v/>
      </c>
      <c r="BK12" s="53" t="str">
        <f t="shared" si="33"/>
        <v/>
      </c>
    </row>
    <row r="13" spans="1:64">
      <c r="A13" s="53"/>
      <c r="B13" s="89" t="str">
        <f>IFERROR(VLOOKUP($A13,EntryList!$A$3:$N$645,2,FALSE),"")</f>
        <v/>
      </c>
      <c r="C13" s="74"/>
      <c r="D13" s="53">
        <f t="shared" si="0"/>
        <v>0</v>
      </c>
      <c r="E13" s="62"/>
      <c r="F13" s="62"/>
      <c r="G13" s="62"/>
      <c r="H13" s="62"/>
      <c r="I13" s="62"/>
      <c r="J13" s="62"/>
      <c r="K13" s="62"/>
      <c r="L13" s="62"/>
      <c r="M13" s="62"/>
      <c r="N13" s="62">
        <f t="shared" si="1"/>
        <v>0</v>
      </c>
      <c r="O13" s="53" t="str">
        <f t="shared" si="2"/>
        <v/>
      </c>
      <c r="P13" s="53" t="str">
        <f t="shared" si="3"/>
        <v/>
      </c>
      <c r="Q13" s="53" t="str">
        <f t="shared" si="4"/>
        <v/>
      </c>
      <c r="R13" s="53" t="str">
        <f t="shared" si="5"/>
        <v/>
      </c>
      <c r="S13" s="53" t="str">
        <f t="shared" si="6"/>
        <v/>
      </c>
      <c r="T13" s="53" t="str">
        <f t="shared" si="7"/>
        <v/>
      </c>
      <c r="U13" s="53" t="str">
        <f t="shared" si="8"/>
        <v/>
      </c>
      <c r="V13" s="53" t="str">
        <f t="shared" si="9"/>
        <v/>
      </c>
      <c r="W13" s="53" t="str">
        <f t="shared" si="34"/>
        <v>DNS/DNF ()</v>
      </c>
      <c r="X13" s="53" t="str">
        <f t="shared" si="10"/>
        <v>DNS/DNF ()</v>
      </c>
      <c r="Y13" s="53" t="str">
        <f t="shared" si="11"/>
        <v>DNS/DNF ()</v>
      </c>
      <c r="Z13" s="53" t="str">
        <f t="shared" si="12"/>
        <v>DNS/DNF ()</v>
      </c>
      <c r="AA13" s="53" t="str">
        <f t="shared" si="13"/>
        <v>DNS/DNF ()</v>
      </c>
      <c r="AB13" s="53" t="str">
        <f t="shared" si="14"/>
        <v>DNS/DNF ()</v>
      </c>
      <c r="AC13" s="53" t="str">
        <f t="shared" si="15"/>
        <v>DNS/DNF ()</v>
      </c>
      <c r="AD13" s="53" t="str">
        <f t="shared" si="16"/>
        <v>DNS/DNF ()</v>
      </c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62" t="str">
        <f t="shared" si="17"/>
        <v>DNS/DNF</v>
      </c>
      <c r="AV13" s="62" t="str">
        <f t="shared" si="18"/>
        <v>DNS/DNF</v>
      </c>
      <c r="AW13" s="62" t="str">
        <f t="shared" si="19"/>
        <v>DNS/DNF</v>
      </c>
      <c r="AX13" s="62" t="str">
        <f t="shared" si="20"/>
        <v>DNS/DNF</v>
      </c>
      <c r="AY13" s="62" t="str">
        <f t="shared" si="21"/>
        <v>DNS/DNF</v>
      </c>
      <c r="AZ13" s="62" t="str">
        <f t="shared" si="22"/>
        <v>DNS/DNF</v>
      </c>
      <c r="BA13" s="62" t="str">
        <f t="shared" si="23"/>
        <v>DNS/DNF</v>
      </c>
      <c r="BB13" s="62" t="str">
        <f t="shared" si="24"/>
        <v>DNS/DNF</v>
      </c>
      <c r="BC13" s="75" t="str">
        <f t="shared" si="25"/>
        <v/>
      </c>
      <c r="BD13" s="53" t="str">
        <f t="shared" si="26"/>
        <v/>
      </c>
      <c r="BE13" s="53" t="str">
        <f t="shared" si="27"/>
        <v/>
      </c>
      <c r="BF13" s="53" t="str">
        <f t="shared" si="28"/>
        <v/>
      </c>
      <c r="BG13" s="53" t="str">
        <f t="shared" si="29"/>
        <v/>
      </c>
      <c r="BH13" s="53" t="str">
        <f t="shared" si="30"/>
        <v/>
      </c>
      <c r="BI13" s="53" t="str">
        <f t="shared" si="31"/>
        <v/>
      </c>
      <c r="BJ13" s="53" t="str">
        <f t="shared" si="32"/>
        <v/>
      </c>
      <c r="BK13" s="53" t="str">
        <f t="shared" si="33"/>
        <v/>
      </c>
    </row>
    <row r="14" spans="1:64">
      <c r="A14" s="53"/>
      <c r="B14" s="89" t="str">
        <f>IFERROR(VLOOKUP($A14,EntryList!$A$3:$N$645,2,FALSE),"")</f>
        <v/>
      </c>
      <c r="C14" s="74"/>
      <c r="D14" s="53">
        <f t="shared" si="0"/>
        <v>0</v>
      </c>
      <c r="E14" s="62"/>
      <c r="F14" s="62"/>
      <c r="G14" s="62"/>
      <c r="H14" s="62"/>
      <c r="I14" s="62"/>
      <c r="J14" s="62"/>
      <c r="K14" s="62"/>
      <c r="L14" s="62"/>
      <c r="M14" s="62"/>
      <c r="N14" s="62">
        <f t="shared" si="1"/>
        <v>0</v>
      </c>
      <c r="O14" s="53" t="str">
        <f t="shared" si="2"/>
        <v/>
      </c>
      <c r="P14" s="53" t="str">
        <f t="shared" si="3"/>
        <v/>
      </c>
      <c r="Q14" s="53" t="str">
        <f t="shared" si="4"/>
        <v/>
      </c>
      <c r="R14" s="53" t="str">
        <f t="shared" si="5"/>
        <v/>
      </c>
      <c r="S14" s="53" t="str">
        <f t="shared" si="6"/>
        <v/>
      </c>
      <c r="T14" s="53" t="str">
        <f t="shared" si="7"/>
        <v/>
      </c>
      <c r="U14" s="53" t="str">
        <f t="shared" si="8"/>
        <v/>
      </c>
      <c r="V14" s="53" t="str">
        <f t="shared" si="9"/>
        <v/>
      </c>
      <c r="W14" s="53" t="str">
        <f t="shared" si="34"/>
        <v>DNS/DNF ()</v>
      </c>
      <c r="X14" s="53" t="str">
        <f t="shared" si="10"/>
        <v>DNS/DNF ()</v>
      </c>
      <c r="Y14" s="53" t="str">
        <f t="shared" si="11"/>
        <v>DNS/DNF ()</v>
      </c>
      <c r="Z14" s="53" t="str">
        <f t="shared" si="12"/>
        <v>DNS/DNF ()</v>
      </c>
      <c r="AA14" s="53" t="str">
        <f t="shared" si="13"/>
        <v>DNS/DNF ()</v>
      </c>
      <c r="AB14" s="53" t="str">
        <f t="shared" si="14"/>
        <v>DNS/DNF ()</v>
      </c>
      <c r="AC14" s="53" t="str">
        <f t="shared" si="15"/>
        <v>DNS/DNF ()</v>
      </c>
      <c r="AD14" s="53" t="str">
        <f t="shared" si="16"/>
        <v>DNS/DNF ()</v>
      </c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62" t="str">
        <f t="shared" si="17"/>
        <v>DNS/DNF</v>
      </c>
      <c r="AV14" s="62" t="str">
        <f t="shared" si="18"/>
        <v>DNS/DNF</v>
      </c>
      <c r="AW14" s="62" t="str">
        <f t="shared" si="19"/>
        <v>DNS/DNF</v>
      </c>
      <c r="AX14" s="62" t="str">
        <f t="shared" si="20"/>
        <v>DNS/DNF</v>
      </c>
      <c r="AY14" s="62" t="str">
        <f t="shared" si="21"/>
        <v>DNS/DNF</v>
      </c>
      <c r="AZ14" s="62" t="str">
        <f t="shared" si="22"/>
        <v>DNS/DNF</v>
      </c>
      <c r="BA14" s="62" t="str">
        <f t="shared" si="23"/>
        <v>DNS/DNF</v>
      </c>
      <c r="BB14" s="62" t="str">
        <f t="shared" si="24"/>
        <v>DNS/DNF</v>
      </c>
      <c r="BC14" s="75" t="str">
        <f t="shared" si="25"/>
        <v/>
      </c>
      <c r="BD14" s="53" t="str">
        <f t="shared" si="26"/>
        <v/>
      </c>
      <c r="BE14" s="53" t="str">
        <f t="shared" si="27"/>
        <v/>
      </c>
      <c r="BF14" s="53" t="str">
        <f t="shared" si="28"/>
        <v/>
      </c>
      <c r="BG14" s="53" t="str">
        <f t="shared" si="29"/>
        <v/>
      </c>
      <c r="BH14" s="53" t="str">
        <f t="shared" si="30"/>
        <v/>
      </c>
      <c r="BI14" s="53" t="str">
        <f t="shared" si="31"/>
        <v/>
      </c>
      <c r="BJ14" s="53" t="str">
        <f t="shared" si="32"/>
        <v/>
      </c>
      <c r="BK14" s="53" t="str">
        <f t="shared" si="33"/>
        <v/>
      </c>
    </row>
    <row r="15" spans="1:64">
      <c r="A15" s="53"/>
      <c r="B15" s="89" t="str">
        <f>IFERROR(VLOOKUP($A15,EntryList!$A$3:$N$645,2,FALSE),"")</f>
        <v/>
      </c>
      <c r="C15" s="74"/>
      <c r="D15" s="53">
        <f t="shared" si="0"/>
        <v>0</v>
      </c>
      <c r="E15" s="62"/>
      <c r="F15" s="62"/>
      <c r="G15" s="62"/>
      <c r="H15" s="62"/>
      <c r="I15" s="62"/>
      <c r="J15" s="62"/>
      <c r="K15" s="62"/>
      <c r="L15" s="62"/>
      <c r="M15" s="62"/>
      <c r="N15" s="62">
        <f t="shared" si="1"/>
        <v>0</v>
      </c>
      <c r="O15" s="53" t="str">
        <f t="shared" si="2"/>
        <v/>
      </c>
      <c r="P15" s="53" t="str">
        <f t="shared" si="3"/>
        <v/>
      </c>
      <c r="Q15" s="53" t="str">
        <f t="shared" si="4"/>
        <v/>
      </c>
      <c r="R15" s="53" t="str">
        <f t="shared" si="5"/>
        <v/>
      </c>
      <c r="S15" s="53" t="str">
        <f t="shared" si="6"/>
        <v/>
      </c>
      <c r="T15" s="53" t="str">
        <f t="shared" si="7"/>
        <v/>
      </c>
      <c r="U15" s="53" t="str">
        <f t="shared" si="8"/>
        <v/>
      </c>
      <c r="V15" s="53" t="str">
        <f t="shared" si="9"/>
        <v/>
      </c>
      <c r="W15" s="53" t="str">
        <f t="shared" si="34"/>
        <v>DNS/DNF ()</v>
      </c>
      <c r="X15" s="53" t="str">
        <f t="shared" si="10"/>
        <v>DNS/DNF ()</v>
      </c>
      <c r="Y15" s="53" t="str">
        <f t="shared" si="11"/>
        <v>DNS/DNF ()</v>
      </c>
      <c r="Z15" s="53" t="str">
        <f t="shared" si="12"/>
        <v>DNS/DNF ()</v>
      </c>
      <c r="AA15" s="53" t="str">
        <f t="shared" si="13"/>
        <v>DNS/DNF ()</v>
      </c>
      <c r="AB15" s="53" t="str">
        <f t="shared" si="14"/>
        <v>DNS/DNF ()</v>
      </c>
      <c r="AC15" s="53" t="str">
        <f t="shared" si="15"/>
        <v>DNS/DNF ()</v>
      </c>
      <c r="AD15" s="53" t="str">
        <f t="shared" si="16"/>
        <v>DNS/DNF ()</v>
      </c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62" t="str">
        <f t="shared" si="17"/>
        <v>DNS/DNF</v>
      </c>
      <c r="AV15" s="62" t="str">
        <f t="shared" si="18"/>
        <v>DNS/DNF</v>
      </c>
      <c r="AW15" s="62" t="str">
        <f t="shared" si="19"/>
        <v>DNS/DNF</v>
      </c>
      <c r="AX15" s="62" t="str">
        <f t="shared" si="20"/>
        <v>DNS/DNF</v>
      </c>
      <c r="AY15" s="62" t="str">
        <f t="shared" si="21"/>
        <v>DNS/DNF</v>
      </c>
      <c r="AZ15" s="62" t="str">
        <f t="shared" si="22"/>
        <v>DNS/DNF</v>
      </c>
      <c r="BA15" s="62" t="str">
        <f t="shared" si="23"/>
        <v>DNS/DNF</v>
      </c>
      <c r="BB15" s="62" t="str">
        <f t="shared" si="24"/>
        <v>DNS/DNF</v>
      </c>
      <c r="BC15" s="75" t="str">
        <f t="shared" si="25"/>
        <v/>
      </c>
      <c r="BD15" s="53" t="str">
        <f t="shared" si="26"/>
        <v/>
      </c>
      <c r="BE15" s="53" t="str">
        <f t="shared" si="27"/>
        <v/>
      </c>
      <c r="BF15" s="53" t="str">
        <f t="shared" si="28"/>
        <v/>
      </c>
      <c r="BG15" s="53" t="str">
        <f t="shared" si="29"/>
        <v/>
      </c>
      <c r="BH15" s="53" t="str">
        <f t="shared" si="30"/>
        <v/>
      </c>
      <c r="BI15" s="53" t="str">
        <f t="shared" si="31"/>
        <v/>
      </c>
      <c r="BJ15" s="53" t="str">
        <f t="shared" si="32"/>
        <v/>
      </c>
      <c r="BK15" s="53" t="str">
        <f t="shared" si="33"/>
        <v/>
      </c>
    </row>
    <row r="16" spans="1:64">
      <c r="A16" s="53"/>
      <c r="B16" s="89" t="str">
        <f>IFERROR(VLOOKUP($A16,EntryList!$A$3:$N$645,2,FALSE),"")</f>
        <v/>
      </c>
      <c r="C16" s="74"/>
      <c r="D16" s="53">
        <f t="shared" si="0"/>
        <v>0</v>
      </c>
      <c r="E16" s="62"/>
      <c r="F16" s="62"/>
      <c r="G16" s="62"/>
      <c r="H16" s="62"/>
      <c r="I16" s="62"/>
      <c r="J16" s="62"/>
      <c r="K16" s="62"/>
      <c r="L16" s="62"/>
      <c r="M16" s="62"/>
      <c r="N16" s="62">
        <f t="shared" si="1"/>
        <v>0</v>
      </c>
      <c r="O16" s="53" t="str">
        <f t="shared" si="2"/>
        <v/>
      </c>
      <c r="P16" s="53" t="str">
        <f t="shared" si="3"/>
        <v/>
      </c>
      <c r="Q16" s="53" t="str">
        <f t="shared" si="4"/>
        <v/>
      </c>
      <c r="R16" s="53" t="str">
        <f t="shared" si="5"/>
        <v/>
      </c>
      <c r="S16" s="53" t="str">
        <f t="shared" si="6"/>
        <v/>
      </c>
      <c r="T16" s="53" t="str">
        <f t="shared" si="7"/>
        <v/>
      </c>
      <c r="U16" s="53" t="str">
        <f t="shared" si="8"/>
        <v/>
      </c>
      <c r="V16" s="53" t="str">
        <f t="shared" si="9"/>
        <v/>
      </c>
      <c r="W16" s="53" t="str">
        <f t="shared" si="34"/>
        <v>DNS/DNF ()</v>
      </c>
      <c r="X16" s="53" t="str">
        <f t="shared" si="10"/>
        <v>DNS/DNF ()</v>
      </c>
      <c r="Y16" s="53" t="str">
        <f t="shared" si="11"/>
        <v>DNS/DNF ()</v>
      </c>
      <c r="Z16" s="53" t="str">
        <f t="shared" si="12"/>
        <v>DNS/DNF ()</v>
      </c>
      <c r="AA16" s="53" t="str">
        <f t="shared" si="13"/>
        <v>DNS/DNF ()</v>
      </c>
      <c r="AB16" s="53" t="str">
        <f t="shared" si="14"/>
        <v>DNS/DNF ()</v>
      </c>
      <c r="AC16" s="53" t="str">
        <f t="shared" si="15"/>
        <v>DNS/DNF ()</v>
      </c>
      <c r="AD16" s="53" t="str">
        <f t="shared" si="16"/>
        <v>DNS/DNF ()</v>
      </c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62" t="str">
        <f t="shared" si="17"/>
        <v>DNS/DNF</v>
      </c>
      <c r="AV16" s="62" t="str">
        <f t="shared" si="18"/>
        <v>DNS/DNF</v>
      </c>
      <c r="AW16" s="62" t="str">
        <f t="shared" si="19"/>
        <v>DNS/DNF</v>
      </c>
      <c r="AX16" s="62" t="str">
        <f t="shared" si="20"/>
        <v>DNS/DNF</v>
      </c>
      <c r="AY16" s="62" t="str">
        <f t="shared" si="21"/>
        <v>DNS/DNF</v>
      </c>
      <c r="AZ16" s="62" t="str">
        <f t="shared" si="22"/>
        <v>DNS/DNF</v>
      </c>
      <c r="BA16" s="62" t="str">
        <f t="shared" si="23"/>
        <v>DNS/DNF</v>
      </c>
      <c r="BB16" s="62" t="str">
        <f t="shared" si="24"/>
        <v>DNS/DNF</v>
      </c>
      <c r="BC16" s="75" t="str">
        <f t="shared" si="25"/>
        <v/>
      </c>
      <c r="BD16" s="53" t="str">
        <f t="shared" si="26"/>
        <v/>
      </c>
      <c r="BE16" s="53" t="str">
        <f t="shared" si="27"/>
        <v/>
      </c>
      <c r="BF16" s="53" t="str">
        <f t="shared" si="28"/>
        <v/>
      </c>
      <c r="BG16" s="53" t="str">
        <f t="shared" si="29"/>
        <v/>
      </c>
      <c r="BH16" s="53" t="str">
        <f t="shared" si="30"/>
        <v/>
      </c>
      <c r="BI16" s="53" t="str">
        <f t="shared" si="31"/>
        <v/>
      </c>
      <c r="BJ16" s="53" t="str">
        <f t="shared" si="32"/>
        <v/>
      </c>
      <c r="BK16" s="53" t="str">
        <f t="shared" si="33"/>
        <v/>
      </c>
    </row>
    <row r="17" spans="1:63">
      <c r="A17" s="53"/>
      <c r="B17" s="89" t="str">
        <f>IFERROR(VLOOKUP($A17,EntryList!$A$3:$N$645,2,FALSE),"")</f>
        <v/>
      </c>
      <c r="C17" s="74"/>
      <c r="D17" s="53">
        <f t="shared" si="0"/>
        <v>0</v>
      </c>
      <c r="E17" s="62"/>
      <c r="F17" s="62"/>
      <c r="G17" s="62"/>
      <c r="H17" s="62"/>
      <c r="I17" s="62"/>
      <c r="J17" s="62"/>
      <c r="K17" s="62"/>
      <c r="L17" s="62"/>
      <c r="M17" s="62"/>
      <c r="N17" s="62">
        <f t="shared" si="1"/>
        <v>0</v>
      </c>
      <c r="O17" s="53" t="str">
        <f t="shared" si="2"/>
        <v/>
      </c>
      <c r="P17" s="53" t="str">
        <f t="shared" si="3"/>
        <v/>
      </c>
      <c r="Q17" s="53" t="str">
        <f t="shared" si="4"/>
        <v/>
      </c>
      <c r="R17" s="53" t="str">
        <f t="shared" si="5"/>
        <v/>
      </c>
      <c r="S17" s="53" t="str">
        <f t="shared" si="6"/>
        <v/>
      </c>
      <c r="T17" s="53" t="str">
        <f t="shared" si="7"/>
        <v/>
      </c>
      <c r="U17" s="53" t="str">
        <f t="shared" si="8"/>
        <v/>
      </c>
      <c r="V17" s="53" t="str">
        <f t="shared" si="9"/>
        <v/>
      </c>
      <c r="W17" s="53" t="str">
        <f t="shared" si="34"/>
        <v>DNS/DNF ()</v>
      </c>
      <c r="X17" s="53" t="str">
        <f t="shared" si="10"/>
        <v>DNS/DNF ()</v>
      </c>
      <c r="Y17" s="53" t="str">
        <f t="shared" si="11"/>
        <v>DNS/DNF ()</v>
      </c>
      <c r="Z17" s="53" t="str">
        <f t="shared" si="12"/>
        <v>DNS/DNF ()</v>
      </c>
      <c r="AA17" s="53" t="str">
        <f t="shared" si="13"/>
        <v>DNS/DNF ()</v>
      </c>
      <c r="AB17" s="53" t="str">
        <f t="shared" si="14"/>
        <v>DNS/DNF ()</v>
      </c>
      <c r="AC17" s="53" t="str">
        <f t="shared" si="15"/>
        <v>DNS/DNF ()</v>
      </c>
      <c r="AD17" s="53" t="str">
        <f t="shared" si="16"/>
        <v>DNS/DNF ()</v>
      </c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62" t="str">
        <f t="shared" si="17"/>
        <v>DNS/DNF</v>
      </c>
      <c r="AV17" s="62" t="str">
        <f t="shared" si="18"/>
        <v>DNS/DNF</v>
      </c>
      <c r="AW17" s="62" t="str">
        <f t="shared" si="19"/>
        <v>DNS/DNF</v>
      </c>
      <c r="AX17" s="62" t="str">
        <f t="shared" si="20"/>
        <v>DNS/DNF</v>
      </c>
      <c r="AY17" s="62" t="str">
        <f t="shared" si="21"/>
        <v>DNS/DNF</v>
      </c>
      <c r="AZ17" s="62" t="str">
        <f t="shared" si="22"/>
        <v>DNS/DNF</v>
      </c>
      <c r="BA17" s="62" t="str">
        <f t="shared" si="23"/>
        <v>DNS/DNF</v>
      </c>
      <c r="BB17" s="62" t="str">
        <f t="shared" si="24"/>
        <v>DNS/DNF</v>
      </c>
      <c r="BC17" s="75" t="str">
        <f t="shared" si="25"/>
        <v/>
      </c>
      <c r="BD17" s="53" t="str">
        <f t="shared" si="26"/>
        <v/>
      </c>
      <c r="BE17" s="53" t="str">
        <f t="shared" si="27"/>
        <v/>
      </c>
      <c r="BF17" s="53" t="str">
        <f t="shared" si="28"/>
        <v/>
      </c>
      <c r="BG17" s="53" t="str">
        <f t="shared" si="29"/>
        <v/>
      </c>
      <c r="BH17" s="53" t="str">
        <f t="shared" si="30"/>
        <v/>
      </c>
      <c r="BI17" s="53" t="str">
        <f t="shared" si="31"/>
        <v/>
      </c>
      <c r="BJ17" s="53" t="str">
        <f t="shared" si="32"/>
        <v/>
      </c>
      <c r="BK17" s="53" t="str">
        <f t="shared" si="33"/>
        <v/>
      </c>
    </row>
    <row r="18" spans="1:63">
      <c r="A18" s="53"/>
      <c r="B18" s="89" t="str">
        <f>IFERROR(VLOOKUP($A18,EntryList!$A$3:$N$645,2,FALSE),"")</f>
        <v/>
      </c>
      <c r="C18" s="74"/>
      <c r="D18" s="53">
        <f t="shared" si="0"/>
        <v>0</v>
      </c>
      <c r="E18" s="62"/>
      <c r="F18" s="62"/>
      <c r="G18" s="62"/>
      <c r="H18" s="62"/>
      <c r="I18" s="62"/>
      <c r="J18" s="62"/>
      <c r="K18" s="62"/>
      <c r="L18" s="62"/>
      <c r="M18" s="62"/>
      <c r="N18" s="62">
        <f t="shared" si="1"/>
        <v>0</v>
      </c>
      <c r="O18" s="53" t="str">
        <f t="shared" ref="O18:O81" si="35">IFERROR(RANK($AU18,AU$3:AU$500,1),"")</f>
        <v/>
      </c>
      <c r="P18" s="53" t="str">
        <f t="shared" ref="P18:P81" si="36">IFERROR(RANK($AV18,AV$3:AV$500,1),"")</f>
        <v/>
      </c>
      <c r="Q18" s="53" t="str">
        <f t="shared" ref="Q18:Q81" si="37">IFERROR(RANK($AW18,AW$3:AW$500,1),"")</f>
        <v/>
      </c>
      <c r="R18" s="53" t="str">
        <f t="shared" ref="R18:R81" si="38">IFERROR(RANK($AX18,AX$3:AX$500,1),"")</f>
        <v/>
      </c>
      <c r="S18" s="53" t="str">
        <f t="shared" ref="S18:S81" si="39">IFERROR(RANK($AY18,AY$3:AY$500,1),"")</f>
        <v/>
      </c>
      <c r="T18" s="53" t="str">
        <f t="shared" ref="T18:T81" si="40">IFERROR(RANK($AZ18,AZ$3:AZ$500,1),"")</f>
        <v/>
      </c>
      <c r="U18" s="53" t="str">
        <f t="shared" ref="U18:U81" si="41">IFERROR(RANK($BA18,BA$3:BA$500,1),"")</f>
        <v/>
      </c>
      <c r="V18" s="53" t="str">
        <f t="shared" ref="V18:V81" si="42">IFERROR(RANK($BB18,BB$3:BB$500,1),"")</f>
        <v/>
      </c>
      <c r="W18" s="53" t="str">
        <f t="shared" si="34"/>
        <v>DNS/DNF ()</v>
      </c>
      <c r="X18" s="53" t="str">
        <f t="shared" si="10"/>
        <v>DNS/DNF ()</v>
      </c>
      <c r="Y18" s="53" t="str">
        <f t="shared" si="11"/>
        <v>DNS/DNF ()</v>
      </c>
      <c r="Z18" s="53" t="str">
        <f t="shared" si="12"/>
        <v>DNS/DNF ()</v>
      </c>
      <c r="AA18" s="53" t="str">
        <f t="shared" si="13"/>
        <v>DNS/DNF ()</v>
      </c>
      <c r="AB18" s="53" t="str">
        <f t="shared" si="14"/>
        <v>DNS/DNF ()</v>
      </c>
      <c r="AC18" s="53" t="str">
        <f t="shared" si="15"/>
        <v>DNS/DNF ()</v>
      </c>
      <c r="AD18" s="53" t="str">
        <f t="shared" si="16"/>
        <v>DNS/DNF ()</v>
      </c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62" t="str">
        <f t="shared" si="17"/>
        <v>DNS/DNF</v>
      </c>
      <c r="AV18" s="62" t="str">
        <f t="shared" si="18"/>
        <v>DNS/DNF</v>
      </c>
      <c r="AW18" s="62" t="str">
        <f t="shared" si="19"/>
        <v>DNS/DNF</v>
      </c>
      <c r="AX18" s="62" t="str">
        <f t="shared" si="20"/>
        <v>DNS/DNF</v>
      </c>
      <c r="AY18" s="62" t="str">
        <f t="shared" si="21"/>
        <v>DNS/DNF</v>
      </c>
      <c r="AZ18" s="62" t="str">
        <f t="shared" si="22"/>
        <v>DNS/DNF</v>
      </c>
      <c r="BA18" s="62" t="str">
        <f t="shared" si="23"/>
        <v>DNS/DNF</v>
      </c>
      <c r="BB18" s="62" t="str">
        <f t="shared" si="24"/>
        <v>DNS/DNF</v>
      </c>
      <c r="BC18" s="75" t="str">
        <f t="shared" si="25"/>
        <v/>
      </c>
      <c r="BD18" s="53" t="str">
        <f t="shared" si="26"/>
        <v/>
      </c>
      <c r="BE18" s="53" t="str">
        <f t="shared" si="27"/>
        <v/>
      </c>
      <c r="BF18" s="53" t="str">
        <f t="shared" si="28"/>
        <v/>
      </c>
      <c r="BG18" s="53" t="str">
        <f t="shared" si="29"/>
        <v/>
      </c>
      <c r="BH18" s="53" t="str">
        <f t="shared" si="30"/>
        <v/>
      </c>
      <c r="BI18" s="53" t="str">
        <f t="shared" si="31"/>
        <v/>
      </c>
      <c r="BJ18" s="53" t="str">
        <f t="shared" si="32"/>
        <v/>
      </c>
      <c r="BK18" s="53" t="str">
        <f t="shared" si="33"/>
        <v/>
      </c>
    </row>
    <row r="19" spans="1:63">
      <c r="A19" s="53"/>
      <c r="B19" s="89" t="str">
        <f>IFERROR(VLOOKUP($A19,EntryList!$A$3:$N$645,2,FALSE),"")</f>
        <v/>
      </c>
      <c r="C19" s="74"/>
      <c r="D19" s="53">
        <f t="shared" si="0"/>
        <v>0</v>
      </c>
      <c r="E19" s="62"/>
      <c r="F19" s="62"/>
      <c r="G19" s="62"/>
      <c r="H19" s="62"/>
      <c r="I19" s="62"/>
      <c r="J19" s="62"/>
      <c r="K19" s="62"/>
      <c r="L19" s="62"/>
      <c r="M19" s="62"/>
      <c r="N19" s="62">
        <f t="shared" si="1"/>
        <v>0</v>
      </c>
      <c r="O19" s="53" t="str">
        <f t="shared" si="35"/>
        <v/>
      </c>
      <c r="P19" s="53" t="str">
        <f t="shared" si="36"/>
        <v/>
      </c>
      <c r="Q19" s="53" t="str">
        <f t="shared" si="37"/>
        <v/>
      </c>
      <c r="R19" s="53" t="str">
        <f t="shared" si="38"/>
        <v/>
      </c>
      <c r="S19" s="53" t="str">
        <f t="shared" si="39"/>
        <v/>
      </c>
      <c r="T19" s="53" t="str">
        <f t="shared" si="40"/>
        <v/>
      </c>
      <c r="U19" s="53" t="str">
        <f t="shared" si="41"/>
        <v/>
      </c>
      <c r="V19" s="53" t="str">
        <f t="shared" si="42"/>
        <v/>
      </c>
      <c r="W19" s="53" t="str">
        <f t="shared" si="34"/>
        <v>DNS/DNF ()</v>
      </c>
      <c r="X19" s="53" t="str">
        <f t="shared" si="10"/>
        <v>DNS/DNF ()</v>
      </c>
      <c r="Y19" s="53" t="str">
        <f t="shared" si="11"/>
        <v>DNS/DNF ()</v>
      </c>
      <c r="Z19" s="53" t="str">
        <f t="shared" si="12"/>
        <v>DNS/DNF ()</v>
      </c>
      <c r="AA19" s="53" t="str">
        <f t="shared" si="13"/>
        <v>DNS/DNF ()</v>
      </c>
      <c r="AB19" s="53" t="str">
        <f t="shared" si="14"/>
        <v>DNS/DNF ()</v>
      </c>
      <c r="AC19" s="53" t="str">
        <f t="shared" si="15"/>
        <v>DNS/DNF ()</v>
      </c>
      <c r="AD19" s="53" t="str">
        <f t="shared" si="16"/>
        <v>DNS/DNF ()</v>
      </c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62" t="str">
        <f t="shared" si="17"/>
        <v>DNS/DNF</v>
      </c>
      <c r="AV19" s="62" t="str">
        <f t="shared" si="18"/>
        <v>DNS/DNF</v>
      </c>
      <c r="AW19" s="62" t="str">
        <f t="shared" si="19"/>
        <v>DNS/DNF</v>
      </c>
      <c r="AX19" s="62" t="str">
        <f t="shared" si="20"/>
        <v>DNS/DNF</v>
      </c>
      <c r="AY19" s="62" t="str">
        <f t="shared" si="21"/>
        <v>DNS/DNF</v>
      </c>
      <c r="AZ19" s="62" t="str">
        <f t="shared" si="22"/>
        <v>DNS/DNF</v>
      </c>
      <c r="BA19" s="62" t="str">
        <f t="shared" si="23"/>
        <v>DNS/DNF</v>
      </c>
      <c r="BB19" s="62" t="str">
        <f t="shared" si="24"/>
        <v>DNS/DNF</v>
      </c>
      <c r="BC19" s="75" t="str">
        <f t="shared" si="25"/>
        <v/>
      </c>
      <c r="BD19" s="53" t="str">
        <f t="shared" si="26"/>
        <v/>
      </c>
      <c r="BE19" s="53" t="str">
        <f t="shared" si="27"/>
        <v/>
      </c>
      <c r="BF19" s="53" t="str">
        <f t="shared" si="28"/>
        <v/>
      </c>
      <c r="BG19" s="53" t="str">
        <f t="shared" si="29"/>
        <v/>
      </c>
      <c r="BH19" s="53" t="str">
        <f t="shared" si="30"/>
        <v/>
      </c>
      <c r="BI19" s="53" t="str">
        <f t="shared" si="31"/>
        <v/>
      </c>
      <c r="BJ19" s="53" t="str">
        <f t="shared" si="32"/>
        <v/>
      </c>
      <c r="BK19" s="53" t="str">
        <f t="shared" si="33"/>
        <v/>
      </c>
    </row>
    <row r="20" spans="1:63">
      <c r="A20" s="53"/>
      <c r="B20" s="89" t="str">
        <f>IFERROR(VLOOKUP($A20,EntryList!$A$3:$N$645,2,FALSE),"")</f>
        <v/>
      </c>
      <c r="C20" s="74"/>
      <c r="D20" s="53">
        <f t="shared" si="0"/>
        <v>0</v>
      </c>
      <c r="E20" s="62"/>
      <c r="F20" s="62"/>
      <c r="G20" s="62"/>
      <c r="H20" s="62"/>
      <c r="I20" s="62"/>
      <c r="J20" s="62"/>
      <c r="K20" s="62"/>
      <c r="L20" s="62"/>
      <c r="M20" s="62"/>
      <c r="N20" s="62">
        <f t="shared" si="1"/>
        <v>0</v>
      </c>
      <c r="O20" s="53" t="str">
        <f t="shared" si="35"/>
        <v/>
      </c>
      <c r="P20" s="53" t="str">
        <f t="shared" si="36"/>
        <v/>
      </c>
      <c r="Q20" s="53" t="str">
        <f t="shared" si="37"/>
        <v/>
      </c>
      <c r="R20" s="53" t="str">
        <f t="shared" si="38"/>
        <v/>
      </c>
      <c r="S20" s="53" t="str">
        <f t="shared" si="39"/>
        <v/>
      </c>
      <c r="T20" s="53" t="str">
        <f t="shared" si="40"/>
        <v/>
      </c>
      <c r="U20" s="53" t="str">
        <f t="shared" si="41"/>
        <v/>
      </c>
      <c r="V20" s="53" t="str">
        <f t="shared" si="42"/>
        <v/>
      </c>
      <c r="W20" s="53" t="str">
        <f t="shared" si="34"/>
        <v>DNS/DNF ()</v>
      </c>
      <c r="X20" s="53" t="str">
        <f t="shared" si="10"/>
        <v>DNS/DNF ()</v>
      </c>
      <c r="Y20" s="53" t="str">
        <f t="shared" si="11"/>
        <v>DNS/DNF ()</v>
      </c>
      <c r="Z20" s="53" t="str">
        <f t="shared" si="12"/>
        <v>DNS/DNF ()</v>
      </c>
      <c r="AA20" s="53" t="str">
        <f t="shared" si="13"/>
        <v>DNS/DNF ()</v>
      </c>
      <c r="AB20" s="53" t="str">
        <f t="shared" si="14"/>
        <v>DNS/DNF ()</v>
      </c>
      <c r="AC20" s="53" t="str">
        <f t="shared" si="15"/>
        <v>DNS/DNF ()</v>
      </c>
      <c r="AD20" s="53" t="str">
        <f t="shared" si="16"/>
        <v>DNS/DNF ()</v>
      </c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62" t="str">
        <f t="shared" si="17"/>
        <v>DNS/DNF</v>
      </c>
      <c r="AV20" s="62" t="str">
        <f t="shared" si="18"/>
        <v>DNS/DNF</v>
      </c>
      <c r="AW20" s="62" t="str">
        <f t="shared" si="19"/>
        <v>DNS/DNF</v>
      </c>
      <c r="AX20" s="62" t="str">
        <f t="shared" si="20"/>
        <v>DNS/DNF</v>
      </c>
      <c r="AY20" s="62" t="str">
        <f t="shared" si="21"/>
        <v>DNS/DNF</v>
      </c>
      <c r="AZ20" s="62" t="str">
        <f t="shared" si="22"/>
        <v>DNS/DNF</v>
      </c>
      <c r="BA20" s="62" t="str">
        <f t="shared" si="23"/>
        <v>DNS/DNF</v>
      </c>
      <c r="BB20" s="62" t="str">
        <f t="shared" si="24"/>
        <v>DNS/DNF</v>
      </c>
      <c r="BC20" s="75" t="str">
        <f t="shared" si="25"/>
        <v/>
      </c>
      <c r="BD20" s="53" t="str">
        <f t="shared" si="26"/>
        <v/>
      </c>
      <c r="BE20" s="53" t="str">
        <f t="shared" si="27"/>
        <v/>
      </c>
      <c r="BF20" s="53" t="str">
        <f t="shared" si="28"/>
        <v/>
      </c>
      <c r="BG20" s="53" t="str">
        <f t="shared" si="29"/>
        <v/>
      </c>
      <c r="BH20" s="53" t="str">
        <f t="shared" si="30"/>
        <v/>
      </c>
      <c r="BI20" s="53" t="str">
        <f t="shared" si="31"/>
        <v/>
      </c>
      <c r="BJ20" s="53" t="str">
        <f t="shared" si="32"/>
        <v/>
      </c>
      <c r="BK20" s="53" t="str">
        <f t="shared" si="33"/>
        <v/>
      </c>
    </row>
    <row r="21" spans="1:63">
      <c r="A21" s="53"/>
      <c r="B21" s="89" t="str">
        <f>IFERROR(VLOOKUP($A21,EntryList!$A$3:$N$645,2,FALSE),"")</f>
        <v/>
      </c>
      <c r="C21" s="74"/>
      <c r="D21" s="53">
        <f t="shared" si="0"/>
        <v>0</v>
      </c>
      <c r="E21" s="62"/>
      <c r="F21" s="62"/>
      <c r="G21" s="62"/>
      <c r="H21" s="62"/>
      <c r="I21" s="62"/>
      <c r="J21" s="62"/>
      <c r="K21" s="62"/>
      <c r="L21" s="62"/>
      <c r="M21" s="62"/>
      <c r="N21" s="62">
        <f t="shared" si="1"/>
        <v>0</v>
      </c>
      <c r="O21" s="53" t="str">
        <f t="shared" si="35"/>
        <v/>
      </c>
      <c r="P21" s="53" t="str">
        <f t="shared" si="36"/>
        <v/>
      </c>
      <c r="Q21" s="53" t="str">
        <f t="shared" si="37"/>
        <v/>
      </c>
      <c r="R21" s="53" t="str">
        <f t="shared" si="38"/>
        <v/>
      </c>
      <c r="S21" s="53" t="str">
        <f t="shared" si="39"/>
        <v/>
      </c>
      <c r="T21" s="53" t="str">
        <f t="shared" si="40"/>
        <v/>
      </c>
      <c r="U21" s="53" t="str">
        <f t="shared" si="41"/>
        <v/>
      </c>
      <c r="V21" s="53" t="str">
        <f t="shared" si="42"/>
        <v/>
      </c>
      <c r="W21" s="53" t="str">
        <f t="shared" si="34"/>
        <v>DNS/DNF ()</v>
      </c>
      <c r="X21" s="53" t="str">
        <f t="shared" si="10"/>
        <v>DNS/DNF ()</v>
      </c>
      <c r="Y21" s="53" t="str">
        <f t="shared" si="11"/>
        <v>DNS/DNF ()</v>
      </c>
      <c r="Z21" s="53" t="str">
        <f t="shared" si="12"/>
        <v>DNS/DNF ()</v>
      </c>
      <c r="AA21" s="53" t="str">
        <f t="shared" si="13"/>
        <v>DNS/DNF ()</v>
      </c>
      <c r="AB21" s="53" t="str">
        <f t="shared" si="14"/>
        <v>DNS/DNF ()</v>
      </c>
      <c r="AC21" s="53" t="str">
        <f t="shared" si="15"/>
        <v>DNS/DNF ()</v>
      </c>
      <c r="AD21" s="53" t="str">
        <f t="shared" si="16"/>
        <v>DNS/DNF ()</v>
      </c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62" t="str">
        <f t="shared" si="17"/>
        <v>DNS/DNF</v>
      </c>
      <c r="AV21" s="62" t="str">
        <f t="shared" si="18"/>
        <v>DNS/DNF</v>
      </c>
      <c r="AW21" s="62" t="str">
        <f t="shared" si="19"/>
        <v>DNS/DNF</v>
      </c>
      <c r="AX21" s="62" t="str">
        <f t="shared" si="20"/>
        <v>DNS/DNF</v>
      </c>
      <c r="AY21" s="62" t="str">
        <f t="shared" si="21"/>
        <v>DNS/DNF</v>
      </c>
      <c r="AZ21" s="62" t="str">
        <f t="shared" si="22"/>
        <v>DNS/DNF</v>
      </c>
      <c r="BA21" s="62" t="str">
        <f t="shared" si="23"/>
        <v>DNS/DNF</v>
      </c>
      <c r="BB21" s="62" t="str">
        <f t="shared" si="24"/>
        <v>DNS/DNF</v>
      </c>
      <c r="BC21" s="75" t="str">
        <f t="shared" si="25"/>
        <v/>
      </c>
      <c r="BD21" s="53" t="str">
        <f t="shared" si="26"/>
        <v/>
      </c>
      <c r="BE21" s="53" t="str">
        <f t="shared" si="27"/>
        <v/>
      </c>
      <c r="BF21" s="53" t="str">
        <f t="shared" si="28"/>
        <v/>
      </c>
      <c r="BG21" s="53" t="str">
        <f t="shared" si="29"/>
        <v/>
      </c>
      <c r="BH21" s="53" t="str">
        <f t="shared" si="30"/>
        <v/>
      </c>
      <c r="BI21" s="53" t="str">
        <f t="shared" si="31"/>
        <v/>
      </c>
      <c r="BJ21" s="53" t="str">
        <f t="shared" si="32"/>
        <v/>
      </c>
      <c r="BK21" s="53" t="str">
        <f t="shared" si="33"/>
        <v/>
      </c>
    </row>
    <row r="22" spans="1:63">
      <c r="A22" s="53"/>
      <c r="B22" s="89" t="str">
        <f>IFERROR(VLOOKUP($A22,EntryList!$A$3:$N$645,2,FALSE),"")</f>
        <v/>
      </c>
      <c r="C22" s="74"/>
      <c r="D22" s="53">
        <f t="shared" si="0"/>
        <v>0</v>
      </c>
      <c r="E22" s="62"/>
      <c r="F22" s="62"/>
      <c r="G22" s="62"/>
      <c r="H22" s="62"/>
      <c r="I22" s="62"/>
      <c r="J22" s="62"/>
      <c r="K22" s="62"/>
      <c r="L22" s="62"/>
      <c r="M22" s="62"/>
      <c r="N22" s="62">
        <f t="shared" si="1"/>
        <v>0</v>
      </c>
      <c r="O22" s="53" t="str">
        <f t="shared" si="35"/>
        <v/>
      </c>
      <c r="P22" s="53" t="str">
        <f t="shared" si="36"/>
        <v/>
      </c>
      <c r="Q22" s="53" t="str">
        <f t="shared" si="37"/>
        <v/>
      </c>
      <c r="R22" s="53" t="str">
        <f t="shared" si="38"/>
        <v/>
      </c>
      <c r="S22" s="53" t="str">
        <f t="shared" si="39"/>
        <v/>
      </c>
      <c r="T22" s="53" t="str">
        <f t="shared" si="40"/>
        <v/>
      </c>
      <c r="U22" s="53" t="str">
        <f t="shared" si="41"/>
        <v/>
      </c>
      <c r="V22" s="53" t="str">
        <f t="shared" si="42"/>
        <v/>
      </c>
      <c r="W22" s="53" t="str">
        <f t="shared" si="34"/>
        <v>DNS/DNF ()</v>
      </c>
      <c r="X22" s="53" t="str">
        <f t="shared" si="10"/>
        <v>DNS/DNF ()</v>
      </c>
      <c r="Y22" s="53" t="str">
        <f t="shared" si="11"/>
        <v>DNS/DNF ()</v>
      </c>
      <c r="Z22" s="53" t="str">
        <f t="shared" si="12"/>
        <v>DNS/DNF ()</v>
      </c>
      <c r="AA22" s="53" t="str">
        <f t="shared" si="13"/>
        <v>DNS/DNF ()</v>
      </c>
      <c r="AB22" s="53" t="str">
        <f t="shared" si="14"/>
        <v>DNS/DNF ()</v>
      </c>
      <c r="AC22" s="53" t="str">
        <f t="shared" si="15"/>
        <v>DNS/DNF ()</v>
      </c>
      <c r="AD22" s="53" t="str">
        <f t="shared" si="16"/>
        <v>DNS/DNF ()</v>
      </c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62" t="str">
        <f t="shared" si="17"/>
        <v>DNS/DNF</v>
      </c>
      <c r="AV22" s="62" t="str">
        <f t="shared" si="18"/>
        <v>DNS/DNF</v>
      </c>
      <c r="AW22" s="62" t="str">
        <f t="shared" si="19"/>
        <v>DNS/DNF</v>
      </c>
      <c r="AX22" s="62" t="str">
        <f t="shared" si="20"/>
        <v>DNS/DNF</v>
      </c>
      <c r="AY22" s="62" t="str">
        <f t="shared" si="21"/>
        <v>DNS/DNF</v>
      </c>
      <c r="AZ22" s="62" t="str">
        <f t="shared" si="22"/>
        <v>DNS/DNF</v>
      </c>
      <c r="BA22" s="62" t="str">
        <f t="shared" si="23"/>
        <v>DNS/DNF</v>
      </c>
      <c r="BB22" s="62" t="str">
        <f t="shared" si="24"/>
        <v>DNS/DNF</v>
      </c>
      <c r="BC22" s="75" t="str">
        <f t="shared" si="25"/>
        <v/>
      </c>
      <c r="BD22" s="53" t="str">
        <f t="shared" si="26"/>
        <v/>
      </c>
      <c r="BE22" s="53" t="str">
        <f t="shared" si="27"/>
        <v/>
      </c>
      <c r="BF22" s="53" t="str">
        <f t="shared" si="28"/>
        <v/>
      </c>
      <c r="BG22" s="53" t="str">
        <f t="shared" si="29"/>
        <v/>
      </c>
      <c r="BH22" s="53" t="str">
        <f t="shared" si="30"/>
        <v/>
      </c>
      <c r="BI22" s="53" t="str">
        <f t="shared" si="31"/>
        <v/>
      </c>
      <c r="BJ22" s="53" t="str">
        <f t="shared" si="32"/>
        <v/>
      </c>
      <c r="BK22" s="53" t="str">
        <f t="shared" si="33"/>
        <v/>
      </c>
    </row>
    <row r="23" spans="1:63">
      <c r="A23" s="53"/>
      <c r="B23" s="89" t="str">
        <f>IFERROR(VLOOKUP($A23,EntryList!$A$3:$N$645,2,FALSE),"")</f>
        <v/>
      </c>
      <c r="C23" s="74"/>
      <c r="D23" s="53">
        <f t="shared" si="0"/>
        <v>0</v>
      </c>
      <c r="E23" s="62"/>
      <c r="F23" s="62"/>
      <c r="G23" s="62"/>
      <c r="H23" s="62"/>
      <c r="I23" s="62"/>
      <c r="J23" s="62"/>
      <c r="K23" s="62"/>
      <c r="L23" s="62"/>
      <c r="M23" s="62"/>
      <c r="N23" s="62">
        <f t="shared" si="1"/>
        <v>0</v>
      </c>
      <c r="O23" s="53" t="str">
        <f t="shared" si="35"/>
        <v/>
      </c>
      <c r="P23" s="53" t="str">
        <f t="shared" si="36"/>
        <v/>
      </c>
      <c r="Q23" s="53" t="str">
        <f t="shared" si="37"/>
        <v/>
      </c>
      <c r="R23" s="53" t="str">
        <f t="shared" si="38"/>
        <v/>
      </c>
      <c r="S23" s="53" t="str">
        <f t="shared" si="39"/>
        <v/>
      </c>
      <c r="T23" s="53" t="str">
        <f t="shared" si="40"/>
        <v/>
      </c>
      <c r="U23" s="53" t="str">
        <f t="shared" si="41"/>
        <v/>
      </c>
      <c r="V23" s="53" t="str">
        <f t="shared" si="42"/>
        <v/>
      </c>
      <c r="W23" s="53" t="str">
        <f t="shared" si="34"/>
        <v>DNS/DNF ()</v>
      </c>
      <c r="X23" s="53" t="str">
        <f t="shared" si="10"/>
        <v>DNS/DNF ()</v>
      </c>
      <c r="Y23" s="53" t="str">
        <f t="shared" si="11"/>
        <v>DNS/DNF ()</v>
      </c>
      <c r="Z23" s="53" t="str">
        <f t="shared" si="12"/>
        <v>DNS/DNF ()</v>
      </c>
      <c r="AA23" s="53" t="str">
        <f t="shared" si="13"/>
        <v>DNS/DNF ()</v>
      </c>
      <c r="AB23" s="53" t="str">
        <f t="shared" si="14"/>
        <v>DNS/DNF ()</v>
      </c>
      <c r="AC23" s="53" t="str">
        <f t="shared" si="15"/>
        <v>DNS/DNF ()</v>
      </c>
      <c r="AD23" s="53" t="str">
        <f t="shared" si="16"/>
        <v>DNS/DNF ()</v>
      </c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62" t="str">
        <f t="shared" si="17"/>
        <v>DNS/DNF</v>
      </c>
      <c r="AV23" s="62" t="str">
        <f t="shared" si="18"/>
        <v>DNS/DNF</v>
      </c>
      <c r="AW23" s="62" t="str">
        <f t="shared" si="19"/>
        <v>DNS/DNF</v>
      </c>
      <c r="AX23" s="62" t="str">
        <f t="shared" si="20"/>
        <v>DNS/DNF</v>
      </c>
      <c r="AY23" s="62" t="str">
        <f t="shared" si="21"/>
        <v>DNS/DNF</v>
      </c>
      <c r="AZ23" s="62" t="str">
        <f t="shared" si="22"/>
        <v>DNS/DNF</v>
      </c>
      <c r="BA23" s="62" t="str">
        <f t="shared" si="23"/>
        <v>DNS/DNF</v>
      </c>
      <c r="BB23" s="62" t="str">
        <f t="shared" si="24"/>
        <v>DNS/DNF</v>
      </c>
      <c r="BC23" s="75" t="str">
        <f t="shared" si="25"/>
        <v/>
      </c>
      <c r="BD23" s="53" t="str">
        <f t="shared" si="26"/>
        <v/>
      </c>
      <c r="BE23" s="53" t="str">
        <f t="shared" si="27"/>
        <v/>
      </c>
      <c r="BF23" s="53" t="str">
        <f t="shared" si="28"/>
        <v/>
      </c>
      <c r="BG23" s="53" t="str">
        <f t="shared" si="29"/>
        <v/>
      </c>
      <c r="BH23" s="53" t="str">
        <f t="shared" si="30"/>
        <v/>
      </c>
      <c r="BI23" s="53" t="str">
        <f t="shared" si="31"/>
        <v/>
      </c>
      <c r="BJ23" s="53" t="str">
        <f t="shared" si="32"/>
        <v/>
      </c>
      <c r="BK23" s="53" t="str">
        <f t="shared" si="33"/>
        <v/>
      </c>
    </row>
    <row r="24" spans="1:63">
      <c r="A24" s="53"/>
      <c r="B24" s="89" t="str">
        <f>IFERROR(VLOOKUP($A24,EntryList!$A$3:$N$645,2,FALSE),"")</f>
        <v/>
      </c>
      <c r="C24" s="74"/>
      <c r="D24" s="53">
        <f t="shared" si="0"/>
        <v>0</v>
      </c>
      <c r="E24" s="62"/>
      <c r="F24" s="62"/>
      <c r="G24" s="62"/>
      <c r="H24" s="62"/>
      <c r="I24" s="62"/>
      <c r="J24" s="62"/>
      <c r="K24" s="62"/>
      <c r="L24" s="62"/>
      <c r="M24" s="62"/>
      <c r="N24" s="62">
        <f t="shared" si="1"/>
        <v>0</v>
      </c>
      <c r="O24" s="53" t="str">
        <f t="shared" si="35"/>
        <v/>
      </c>
      <c r="P24" s="53" t="str">
        <f t="shared" si="36"/>
        <v/>
      </c>
      <c r="Q24" s="53" t="str">
        <f t="shared" si="37"/>
        <v/>
      </c>
      <c r="R24" s="53" t="str">
        <f t="shared" si="38"/>
        <v/>
      </c>
      <c r="S24" s="53" t="str">
        <f t="shared" si="39"/>
        <v/>
      </c>
      <c r="T24" s="53" t="str">
        <f t="shared" si="40"/>
        <v/>
      </c>
      <c r="U24" s="53" t="str">
        <f t="shared" si="41"/>
        <v/>
      </c>
      <c r="V24" s="53" t="str">
        <f t="shared" si="42"/>
        <v/>
      </c>
      <c r="W24" s="53" t="str">
        <f t="shared" si="34"/>
        <v>DNS/DNF ()</v>
      </c>
      <c r="X24" s="53" t="str">
        <f t="shared" si="10"/>
        <v>DNS/DNF ()</v>
      </c>
      <c r="Y24" s="53" t="str">
        <f t="shared" si="11"/>
        <v>DNS/DNF ()</v>
      </c>
      <c r="Z24" s="53" t="str">
        <f t="shared" si="12"/>
        <v>DNS/DNF ()</v>
      </c>
      <c r="AA24" s="53" t="str">
        <f t="shared" si="13"/>
        <v>DNS/DNF ()</v>
      </c>
      <c r="AB24" s="53" t="str">
        <f t="shared" si="14"/>
        <v>DNS/DNF ()</v>
      </c>
      <c r="AC24" s="53" t="str">
        <f t="shared" si="15"/>
        <v>DNS/DNF ()</v>
      </c>
      <c r="AD24" s="53" t="str">
        <f t="shared" si="16"/>
        <v>DNS/DNF ()</v>
      </c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62" t="str">
        <f t="shared" si="17"/>
        <v>DNS/DNF</v>
      </c>
      <c r="AV24" s="62" t="str">
        <f t="shared" si="18"/>
        <v>DNS/DNF</v>
      </c>
      <c r="AW24" s="62" t="str">
        <f t="shared" si="19"/>
        <v>DNS/DNF</v>
      </c>
      <c r="AX24" s="62" t="str">
        <f t="shared" si="20"/>
        <v>DNS/DNF</v>
      </c>
      <c r="AY24" s="62" t="str">
        <f t="shared" si="21"/>
        <v>DNS/DNF</v>
      </c>
      <c r="AZ24" s="62" t="str">
        <f t="shared" si="22"/>
        <v>DNS/DNF</v>
      </c>
      <c r="BA24" s="62" t="str">
        <f t="shared" si="23"/>
        <v>DNS/DNF</v>
      </c>
      <c r="BB24" s="62" t="str">
        <f t="shared" si="24"/>
        <v>DNS/DNF</v>
      </c>
      <c r="BC24" s="75" t="str">
        <f t="shared" si="25"/>
        <v/>
      </c>
      <c r="BD24" s="53" t="str">
        <f t="shared" si="26"/>
        <v/>
      </c>
      <c r="BE24" s="53" t="str">
        <f t="shared" si="27"/>
        <v/>
      </c>
      <c r="BF24" s="53" t="str">
        <f t="shared" si="28"/>
        <v/>
      </c>
      <c r="BG24" s="53" t="str">
        <f t="shared" si="29"/>
        <v/>
      </c>
      <c r="BH24" s="53" t="str">
        <f t="shared" si="30"/>
        <v/>
      </c>
      <c r="BI24" s="53" t="str">
        <f t="shared" si="31"/>
        <v/>
      </c>
      <c r="BJ24" s="53" t="str">
        <f t="shared" si="32"/>
        <v/>
      </c>
      <c r="BK24" s="53" t="str">
        <f t="shared" si="33"/>
        <v/>
      </c>
    </row>
    <row r="25" spans="1:63">
      <c r="A25" s="53"/>
      <c r="B25" s="89" t="str">
        <f>IFERROR(VLOOKUP($A25,EntryList!$A$3:$N$645,2,FALSE),"")</f>
        <v/>
      </c>
      <c r="C25" s="74"/>
      <c r="D25" s="53">
        <f t="shared" si="0"/>
        <v>0</v>
      </c>
      <c r="E25" s="62"/>
      <c r="F25" s="62"/>
      <c r="G25" s="62"/>
      <c r="H25" s="62"/>
      <c r="I25" s="62"/>
      <c r="J25" s="62"/>
      <c r="K25" s="62"/>
      <c r="L25" s="62"/>
      <c r="M25" s="62"/>
      <c r="N25" s="62">
        <f t="shared" si="1"/>
        <v>0</v>
      </c>
      <c r="O25" s="53" t="str">
        <f t="shared" si="35"/>
        <v/>
      </c>
      <c r="P25" s="53" t="str">
        <f t="shared" si="36"/>
        <v/>
      </c>
      <c r="Q25" s="53" t="str">
        <f t="shared" si="37"/>
        <v/>
      </c>
      <c r="R25" s="53" t="str">
        <f t="shared" si="38"/>
        <v/>
      </c>
      <c r="S25" s="53" t="str">
        <f t="shared" si="39"/>
        <v/>
      </c>
      <c r="T25" s="53" t="str">
        <f t="shared" si="40"/>
        <v/>
      </c>
      <c r="U25" s="53" t="str">
        <f t="shared" si="41"/>
        <v/>
      </c>
      <c r="V25" s="53" t="str">
        <f t="shared" si="42"/>
        <v/>
      </c>
      <c r="W25" s="53" t="str">
        <f t="shared" si="34"/>
        <v>DNS/DNF ()</v>
      </c>
      <c r="X25" s="53" t="str">
        <f t="shared" si="10"/>
        <v>DNS/DNF ()</v>
      </c>
      <c r="Y25" s="53" t="str">
        <f t="shared" si="11"/>
        <v>DNS/DNF ()</v>
      </c>
      <c r="Z25" s="53" t="str">
        <f t="shared" si="12"/>
        <v>DNS/DNF ()</v>
      </c>
      <c r="AA25" s="53" t="str">
        <f t="shared" si="13"/>
        <v>DNS/DNF ()</v>
      </c>
      <c r="AB25" s="53" t="str">
        <f t="shared" si="14"/>
        <v>DNS/DNF ()</v>
      </c>
      <c r="AC25" s="53" t="str">
        <f t="shared" si="15"/>
        <v>DNS/DNF ()</v>
      </c>
      <c r="AD25" s="53" t="str">
        <f t="shared" si="16"/>
        <v>DNS/DNF ()</v>
      </c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62" t="str">
        <f t="shared" si="17"/>
        <v>DNS/DNF</v>
      </c>
      <c r="AV25" s="62" t="str">
        <f t="shared" si="18"/>
        <v>DNS/DNF</v>
      </c>
      <c r="AW25" s="62" t="str">
        <f t="shared" si="19"/>
        <v>DNS/DNF</v>
      </c>
      <c r="AX25" s="62" t="str">
        <f t="shared" si="20"/>
        <v>DNS/DNF</v>
      </c>
      <c r="AY25" s="62" t="str">
        <f t="shared" si="21"/>
        <v>DNS/DNF</v>
      </c>
      <c r="AZ25" s="62" t="str">
        <f t="shared" si="22"/>
        <v>DNS/DNF</v>
      </c>
      <c r="BA25" s="62" t="str">
        <f t="shared" si="23"/>
        <v>DNS/DNF</v>
      </c>
      <c r="BB25" s="62" t="str">
        <f t="shared" si="24"/>
        <v>DNS/DNF</v>
      </c>
      <c r="BC25" s="75" t="str">
        <f t="shared" si="25"/>
        <v/>
      </c>
      <c r="BD25" s="53" t="str">
        <f t="shared" si="26"/>
        <v/>
      </c>
      <c r="BE25" s="53" t="str">
        <f t="shared" si="27"/>
        <v/>
      </c>
      <c r="BF25" s="53" t="str">
        <f t="shared" si="28"/>
        <v/>
      </c>
      <c r="BG25" s="53" t="str">
        <f t="shared" si="29"/>
        <v/>
      </c>
      <c r="BH25" s="53" t="str">
        <f t="shared" si="30"/>
        <v/>
      </c>
      <c r="BI25" s="53" t="str">
        <f t="shared" si="31"/>
        <v/>
      </c>
      <c r="BJ25" s="53" t="str">
        <f t="shared" si="32"/>
        <v/>
      </c>
      <c r="BK25" s="53" t="str">
        <f t="shared" si="33"/>
        <v/>
      </c>
    </row>
    <row r="26" spans="1:63">
      <c r="A26" s="53"/>
      <c r="B26" s="89" t="str">
        <f>IFERROR(VLOOKUP($A26,EntryList!$A$3:$N$645,2,FALSE),"")</f>
        <v/>
      </c>
      <c r="C26" s="74"/>
      <c r="D26" s="53">
        <f t="shared" si="0"/>
        <v>0</v>
      </c>
      <c r="E26" s="62"/>
      <c r="F26" s="62"/>
      <c r="G26" s="62"/>
      <c r="H26" s="62"/>
      <c r="I26" s="62"/>
      <c r="J26" s="62"/>
      <c r="K26" s="62"/>
      <c r="L26" s="62"/>
      <c r="M26" s="62"/>
      <c r="N26" s="62">
        <f t="shared" si="1"/>
        <v>0</v>
      </c>
      <c r="O26" s="53" t="str">
        <f t="shared" si="35"/>
        <v/>
      </c>
      <c r="P26" s="53" t="str">
        <f t="shared" si="36"/>
        <v/>
      </c>
      <c r="Q26" s="53" t="str">
        <f t="shared" si="37"/>
        <v/>
      </c>
      <c r="R26" s="53" t="str">
        <f t="shared" si="38"/>
        <v/>
      </c>
      <c r="S26" s="53" t="str">
        <f t="shared" si="39"/>
        <v/>
      </c>
      <c r="T26" s="53" t="str">
        <f t="shared" si="40"/>
        <v/>
      </c>
      <c r="U26" s="53" t="str">
        <f t="shared" si="41"/>
        <v/>
      </c>
      <c r="V26" s="53" t="str">
        <f t="shared" si="42"/>
        <v/>
      </c>
      <c r="W26" s="53" t="str">
        <f t="shared" si="34"/>
        <v>DNS/DNF ()</v>
      </c>
      <c r="X26" s="53" t="str">
        <f t="shared" si="10"/>
        <v>DNS/DNF ()</v>
      </c>
      <c r="Y26" s="53" t="str">
        <f t="shared" si="11"/>
        <v>DNS/DNF ()</v>
      </c>
      <c r="Z26" s="53" t="str">
        <f t="shared" si="12"/>
        <v>DNS/DNF ()</v>
      </c>
      <c r="AA26" s="53" t="str">
        <f t="shared" si="13"/>
        <v>DNS/DNF ()</v>
      </c>
      <c r="AB26" s="53" t="str">
        <f t="shared" si="14"/>
        <v>DNS/DNF ()</v>
      </c>
      <c r="AC26" s="53" t="str">
        <f t="shared" si="15"/>
        <v>DNS/DNF ()</v>
      </c>
      <c r="AD26" s="53" t="str">
        <f t="shared" si="16"/>
        <v>DNS/DNF ()</v>
      </c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62" t="str">
        <f t="shared" si="17"/>
        <v>DNS/DNF</v>
      </c>
      <c r="AV26" s="62" t="str">
        <f t="shared" si="18"/>
        <v>DNS/DNF</v>
      </c>
      <c r="AW26" s="62" t="str">
        <f t="shared" si="19"/>
        <v>DNS/DNF</v>
      </c>
      <c r="AX26" s="62" t="str">
        <f t="shared" si="20"/>
        <v>DNS/DNF</v>
      </c>
      <c r="AY26" s="62" t="str">
        <f t="shared" si="21"/>
        <v>DNS/DNF</v>
      </c>
      <c r="AZ26" s="62" t="str">
        <f t="shared" si="22"/>
        <v>DNS/DNF</v>
      </c>
      <c r="BA26" s="62" t="str">
        <f t="shared" si="23"/>
        <v>DNS/DNF</v>
      </c>
      <c r="BB26" s="62" t="str">
        <f t="shared" si="24"/>
        <v>DNS/DNF</v>
      </c>
      <c r="BC26" s="75" t="str">
        <f t="shared" si="25"/>
        <v/>
      </c>
      <c r="BD26" s="53" t="str">
        <f t="shared" si="26"/>
        <v/>
      </c>
      <c r="BE26" s="53" t="str">
        <f t="shared" si="27"/>
        <v/>
      </c>
      <c r="BF26" s="53" t="str">
        <f t="shared" si="28"/>
        <v/>
      </c>
      <c r="BG26" s="53" t="str">
        <f t="shared" si="29"/>
        <v/>
      </c>
      <c r="BH26" s="53" t="str">
        <f t="shared" si="30"/>
        <v/>
      </c>
      <c r="BI26" s="53" t="str">
        <f t="shared" si="31"/>
        <v/>
      </c>
      <c r="BJ26" s="53" t="str">
        <f t="shared" si="32"/>
        <v/>
      </c>
      <c r="BK26" s="53" t="str">
        <f t="shared" si="33"/>
        <v/>
      </c>
    </row>
    <row r="27" spans="1:63">
      <c r="A27" s="53"/>
      <c r="B27" s="89" t="str">
        <f>IFERROR(VLOOKUP($A27,EntryList!$A$3:$N$645,2,FALSE),"")</f>
        <v/>
      </c>
      <c r="C27" s="74"/>
      <c r="D27" s="53">
        <f t="shared" si="0"/>
        <v>0</v>
      </c>
      <c r="E27" s="62"/>
      <c r="F27" s="62"/>
      <c r="G27" s="62"/>
      <c r="H27" s="62"/>
      <c r="I27" s="62"/>
      <c r="J27" s="62"/>
      <c r="K27" s="62"/>
      <c r="L27" s="62"/>
      <c r="M27" s="62"/>
      <c r="N27" s="62">
        <f t="shared" si="1"/>
        <v>0</v>
      </c>
      <c r="O27" s="53" t="str">
        <f t="shared" si="35"/>
        <v/>
      </c>
      <c r="P27" s="53" t="str">
        <f t="shared" si="36"/>
        <v/>
      </c>
      <c r="Q27" s="53" t="str">
        <f t="shared" si="37"/>
        <v/>
      </c>
      <c r="R27" s="53" t="str">
        <f t="shared" si="38"/>
        <v/>
      </c>
      <c r="S27" s="53" t="str">
        <f t="shared" si="39"/>
        <v/>
      </c>
      <c r="T27" s="53" t="str">
        <f t="shared" si="40"/>
        <v/>
      </c>
      <c r="U27" s="53" t="str">
        <f t="shared" si="41"/>
        <v/>
      </c>
      <c r="V27" s="53" t="str">
        <f t="shared" si="42"/>
        <v/>
      </c>
      <c r="W27" s="53" t="str">
        <f t="shared" si="34"/>
        <v>DNS/DNF ()</v>
      </c>
      <c r="X27" s="53" t="str">
        <f t="shared" si="10"/>
        <v>DNS/DNF ()</v>
      </c>
      <c r="Y27" s="53" t="str">
        <f t="shared" si="11"/>
        <v>DNS/DNF ()</v>
      </c>
      <c r="Z27" s="53" t="str">
        <f t="shared" si="12"/>
        <v>DNS/DNF ()</v>
      </c>
      <c r="AA27" s="53" t="str">
        <f t="shared" si="13"/>
        <v>DNS/DNF ()</v>
      </c>
      <c r="AB27" s="53" t="str">
        <f t="shared" si="14"/>
        <v>DNS/DNF ()</v>
      </c>
      <c r="AC27" s="53" t="str">
        <f t="shared" si="15"/>
        <v>DNS/DNF ()</v>
      </c>
      <c r="AD27" s="53" t="str">
        <f t="shared" si="16"/>
        <v>DNS/DNF ()</v>
      </c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62" t="str">
        <f t="shared" si="17"/>
        <v>DNS/DNF</v>
      </c>
      <c r="AV27" s="62" t="str">
        <f t="shared" si="18"/>
        <v>DNS/DNF</v>
      </c>
      <c r="AW27" s="62" t="str">
        <f t="shared" si="19"/>
        <v>DNS/DNF</v>
      </c>
      <c r="AX27" s="62" t="str">
        <f t="shared" si="20"/>
        <v>DNS/DNF</v>
      </c>
      <c r="AY27" s="62" t="str">
        <f t="shared" si="21"/>
        <v>DNS/DNF</v>
      </c>
      <c r="AZ27" s="62" t="str">
        <f t="shared" si="22"/>
        <v>DNS/DNF</v>
      </c>
      <c r="BA27" s="62" t="str">
        <f t="shared" si="23"/>
        <v>DNS/DNF</v>
      </c>
      <c r="BB27" s="62" t="str">
        <f t="shared" si="24"/>
        <v>DNS/DNF</v>
      </c>
      <c r="BC27" s="75" t="str">
        <f t="shared" si="25"/>
        <v/>
      </c>
      <c r="BD27" s="53" t="str">
        <f t="shared" si="26"/>
        <v/>
      </c>
      <c r="BE27" s="53" t="str">
        <f t="shared" si="27"/>
        <v/>
      </c>
      <c r="BF27" s="53" t="str">
        <f t="shared" si="28"/>
        <v/>
      </c>
      <c r="BG27" s="53" t="str">
        <f t="shared" si="29"/>
        <v/>
      </c>
      <c r="BH27" s="53" t="str">
        <f t="shared" si="30"/>
        <v/>
      </c>
      <c r="BI27" s="53" t="str">
        <f t="shared" si="31"/>
        <v/>
      </c>
      <c r="BJ27" s="53" t="str">
        <f t="shared" si="32"/>
        <v/>
      </c>
      <c r="BK27" s="53" t="str">
        <f t="shared" si="33"/>
        <v/>
      </c>
    </row>
    <row r="28" spans="1:63">
      <c r="A28" s="53"/>
      <c r="B28" s="89" t="str">
        <f>IFERROR(VLOOKUP($A28,EntryList!$A$3:$N$645,2,FALSE),"")</f>
        <v/>
      </c>
      <c r="C28" s="74"/>
      <c r="D28" s="53">
        <f t="shared" si="0"/>
        <v>0</v>
      </c>
      <c r="E28" s="62"/>
      <c r="F28" s="62"/>
      <c r="G28" s="62"/>
      <c r="H28" s="62"/>
      <c r="I28" s="62"/>
      <c r="J28" s="62"/>
      <c r="K28" s="62"/>
      <c r="L28" s="62"/>
      <c r="M28" s="62"/>
      <c r="N28" s="62">
        <f t="shared" si="1"/>
        <v>0</v>
      </c>
      <c r="O28" s="53" t="str">
        <f t="shared" si="35"/>
        <v/>
      </c>
      <c r="P28" s="53" t="str">
        <f t="shared" si="36"/>
        <v/>
      </c>
      <c r="Q28" s="53" t="str">
        <f t="shared" si="37"/>
        <v/>
      </c>
      <c r="R28" s="53" t="str">
        <f t="shared" si="38"/>
        <v/>
      </c>
      <c r="S28" s="53" t="str">
        <f t="shared" si="39"/>
        <v/>
      </c>
      <c r="T28" s="53" t="str">
        <f t="shared" si="40"/>
        <v/>
      </c>
      <c r="U28" s="53" t="str">
        <f t="shared" si="41"/>
        <v/>
      </c>
      <c r="V28" s="53" t="str">
        <f t="shared" si="42"/>
        <v/>
      </c>
      <c r="W28" s="53" t="str">
        <f t="shared" si="34"/>
        <v>DNS/DNF ()</v>
      </c>
      <c r="X28" s="53" t="str">
        <f t="shared" si="10"/>
        <v>DNS/DNF ()</v>
      </c>
      <c r="Y28" s="53" t="str">
        <f t="shared" si="11"/>
        <v>DNS/DNF ()</v>
      </c>
      <c r="Z28" s="53" t="str">
        <f t="shared" si="12"/>
        <v>DNS/DNF ()</v>
      </c>
      <c r="AA28" s="53" t="str">
        <f t="shared" si="13"/>
        <v>DNS/DNF ()</v>
      </c>
      <c r="AB28" s="53" t="str">
        <f t="shared" si="14"/>
        <v>DNS/DNF ()</v>
      </c>
      <c r="AC28" s="53" t="str">
        <f t="shared" si="15"/>
        <v>DNS/DNF ()</v>
      </c>
      <c r="AD28" s="53" t="str">
        <f t="shared" si="16"/>
        <v>DNS/DNF ()</v>
      </c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62" t="str">
        <f t="shared" si="17"/>
        <v>DNS/DNF</v>
      </c>
      <c r="AV28" s="62" t="str">
        <f t="shared" si="18"/>
        <v>DNS/DNF</v>
      </c>
      <c r="AW28" s="62" t="str">
        <f t="shared" si="19"/>
        <v>DNS/DNF</v>
      </c>
      <c r="AX28" s="62" t="str">
        <f t="shared" si="20"/>
        <v>DNS/DNF</v>
      </c>
      <c r="AY28" s="62" t="str">
        <f t="shared" si="21"/>
        <v>DNS/DNF</v>
      </c>
      <c r="AZ28" s="62" t="str">
        <f t="shared" si="22"/>
        <v>DNS/DNF</v>
      </c>
      <c r="BA28" s="62" t="str">
        <f t="shared" si="23"/>
        <v>DNS/DNF</v>
      </c>
      <c r="BB28" s="62" t="str">
        <f t="shared" si="24"/>
        <v>DNS/DNF</v>
      </c>
      <c r="BC28" s="75" t="str">
        <f t="shared" si="25"/>
        <v/>
      </c>
      <c r="BD28" s="53" t="str">
        <f t="shared" si="26"/>
        <v/>
      </c>
      <c r="BE28" s="53" t="str">
        <f t="shared" si="27"/>
        <v/>
      </c>
      <c r="BF28" s="53" t="str">
        <f t="shared" si="28"/>
        <v/>
      </c>
      <c r="BG28" s="53" t="str">
        <f t="shared" si="29"/>
        <v/>
      </c>
      <c r="BH28" s="53" t="str">
        <f t="shared" si="30"/>
        <v/>
      </c>
      <c r="BI28" s="53" t="str">
        <f t="shared" si="31"/>
        <v/>
      </c>
      <c r="BJ28" s="53" t="str">
        <f t="shared" si="32"/>
        <v/>
      </c>
      <c r="BK28" s="53" t="str">
        <f t="shared" si="33"/>
        <v/>
      </c>
    </row>
    <row r="29" spans="1:63">
      <c r="A29" s="53"/>
      <c r="B29" s="89" t="str">
        <f>IFERROR(VLOOKUP($A29,EntryList!$A$3:$N$645,2,FALSE),"")</f>
        <v/>
      </c>
      <c r="C29" s="74"/>
      <c r="D29" s="53">
        <f t="shared" si="0"/>
        <v>0</v>
      </c>
      <c r="E29" s="62"/>
      <c r="F29" s="62"/>
      <c r="G29" s="62"/>
      <c r="H29" s="62"/>
      <c r="I29" s="62"/>
      <c r="J29" s="62"/>
      <c r="K29" s="62"/>
      <c r="L29" s="62"/>
      <c r="M29" s="62"/>
      <c r="N29" s="62">
        <f t="shared" si="1"/>
        <v>0</v>
      </c>
      <c r="O29" s="53" t="str">
        <f t="shared" si="35"/>
        <v/>
      </c>
      <c r="P29" s="53" t="str">
        <f t="shared" si="36"/>
        <v/>
      </c>
      <c r="Q29" s="53" t="str">
        <f t="shared" si="37"/>
        <v/>
      </c>
      <c r="R29" s="53" t="str">
        <f t="shared" si="38"/>
        <v/>
      </c>
      <c r="S29" s="53" t="str">
        <f t="shared" si="39"/>
        <v/>
      </c>
      <c r="T29" s="53" t="str">
        <f t="shared" si="40"/>
        <v/>
      </c>
      <c r="U29" s="53" t="str">
        <f t="shared" si="41"/>
        <v/>
      </c>
      <c r="V29" s="53" t="str">
        <f t="shared" si="42"/>
        <v/>
      </c>
      <c r="W29" s="53" t="str">
        <f t="shared" si="34"/>
        <v>DNS/DNF ()</v>
      </c>
      <c r="X29" s="53" t="str">
        <f t="shared" si="10"/>
        <v>DNS/DNF ()</v>
      </c>
      <c r="Y29" s="53" t="str">
        <f t="shared" si="11"/>
        <v>DNS/DNF ()</v>
      </c>
      <c r="Z29" s="53" t="str">
        <f t="shared" si="12"/>
        <v>DNS/DNF ()</v>
      </c>
      <c r="AA29" s="53" t="str">
        <f t="shared" si="13"/>
        <v>DNS/DNF ()</v>
      </c>
      <c r="AB29" s="53" t="str">
        <f t="shared" si="14"/>
        <v>DNS/DNF ()</v>
      </c>
      <c r="AC29" s="53" t="str">
        <f t="shared" si="15"/>
        <v>DNS/DNF ()</v>
      </c>
      <c r="AD29" s="53" t="str">
        <f t="shared" si="16"/>
        <v>DNS/DNF ()</v>
      </c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62" t="str">
        <f t="shared" si="17"/>
        <v>DNS/DNF</v>
      </c>
      <c r="AV29" s="62" t="str">
        <f t="shared" si="18"/>
        <v>DNS/DNF</v>
      </c>
      <c r="AW29" s="62" t="str">
        <f t="shared" si="19"/>
        <v>DNS/DNF</v>
      </c>
      <c r="AX29" s="62" t="str">
        <f t="shared" si="20"/>
        <v>DNS/DNF</v>
      </c>
      <c r="AY29" s="62" t="str">
        <f t="shared" si="21"/>
        <v>DNS/DNF</v>
      </c>
      <c r="AZ29" s="62" t="str">
        <f t="shared" si="22"/>
        <v>DNS/DNF</v>
      </c>
      <c r="BA29" s="62" t="str">
        <f t="shared" si="23"/>
        <v>DNS/DNF</v>
      </c>
      <c r="BB29" s="62" t="str">
        <f t="shared" si="24"/>
        <v>DNS/DNF</v>
      </c>
      <c r="BC29" s="75" t="str">
        <f t="shared" si="25"/>
        <v/>
      </c>
      <c r="BD29" s="53" t="str">
        <f t="shared" si="26"/>
        <v/>
      </c>
      <c r="BE29" s="53" t="str">
        <f t="shared" si="27"/>
        <v/>
      </c>
      <c r="BF29" s="53" t="str">
        <f t="shared" si="28"/>
        <v/>
      </c>
      <c r="BG29" s="53" t="str">
        <f t="shared" si="29"/>
        <v/>
      </c>
      <c r="BH29" s="53" t="str">
        <f t="shared" si="30"/>
        <v/>
      </c>
      <c r="BI29" s="53" t="str">
        <f t="shared" si="31"/>
        <v/>
      </c>
      <c r="BJ29" s="53" t="str">
        <f t="shared" si="32"/>
        <v/>
      </c>
      <c r="BK29" s="53" t="str">
        <f t="shared" si="33"/>
        <v/>
      </c>
    </row>
    <row r="30" spans="1:63">
      <c r="A30" s="53"/>
      <c r="B30" s="89" t="str">
        <f>IFERROR(VLOOKUP($A30,EntryList!$A$3:$N$645,2,FALSE),"")</f>
        <v/>
      </c>
      <c r="C30" s="74"/>
      <c r="D30" s="53">
        <f t="shared" si="0"/>
        <v>0</v>
      </c>
      <c r="E30" s="62"/>
      <c r="F30" s="62"/>
      <c r="G30" s="62"/>
      <c r="H30" s="62"/>
      <c r="I30" s="62"/>
      <c r="J30" s="62"/>
      <c r="K30" s="62"/>
      <c r="L30" s="62"/>
      <c r="M30" s="62"/>
      <c r="N30" s="62">
        <f t="shared" si="1"/>
        <v>0</v>
      </c>
      <c r="O30" s="53" t="str">
        <f t="shared" si="35"/>
        <v/>
      </c>
      <c r="P30" s="53" t="str">
        <f t="shared" si="36"/>
        <v/>
      </c>
      <c r="Q30" s="53" t="str">
        <f t="shared" si="37"/>
        <v/>
      </c>
      <c r="R30" s="53" t="str">
        <f t="shared" si="38"/>
        <v/>
      </c>
      <c r="S30" s="53" t="str">
        <f t="shared" si="39"/>
        <v/>
      </c>
      <c r="T30" s="53" t="str">
        <f t="shared" si="40"/>
        <v/>
      </c>
      <c r="U30" s="53" t="str">
        <f t="shared" si="41"/>
        <v/>
      </c>
      <c r="V30" s="53" t="str">
        <f t="shared" si="42"/>
        <v/>
      </c>
      <c r="W30" s="53" t="str">
        <f t="shared" si="34"/>
        <v>DNS/DNF ()</v>
      </c>
      <c r="X30" s="53" t="str">
        <f t="shared" si="10"/>
        <v>DNS/DNF ()</v>
      </c>
      <c r="Y30" s="53" t="str">
        <f t="shared" si="11"/>
        <v>DNS/DNF ()</v>
      </c>
      <c r="Z30" s="53" t="str">
        <f t="shared" si="12"/>
        <v>DNS/DNF ()</v>
      </c>
      <c r="AA30" s="53" t="str">
        <f t="shared" si="13"/>
        <v>DNS/DNF ()</v>
      </c>
      <c r="AB30" s="53" t="str">
        <f t="shared" si="14"/>
        <v>DNS/DNF ()</v>
      </c>
      <c r="AC30" s="53" t="str">
        <f t="shared" si="15"/>
        <v>DNS/DNF ()</v>
      </c>
      <c r="AD30" s="53" t="str">
        <f t="shared" si="16"/>
        <v>DNS/DNF ()</v>
      </c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62" t="str">
        <f t="shared" si="17"/>
        <v>DNS/DNF</v>
      </c>
      <c r="AV30" s="62" t="str">
        <f t="shared" si="18"/>
        <v>DNS/DNF</v>
      </c>
      <c r="AW30" s="62" t="str">
        <f t="shared" si="19"/>
        <v>DNS/DNF</v>
      </c>
      <c r="AX30" s="62" t="str">
        <f t="shared" si="20"/>
        <v>DNS/DNF</v>
      </c>
      <c r="AY30" s="62" t="str">
        <f t="shared" si="21"/>
        <v>DNS/DNF</v>
      </c>
      <c r="AZ30" s="62" t="str">
        <f t="shared" si="22"/>
        <v>DNS/DNF</v>
      </c>
      <c r="BA30" s="62" t="str">
        <f t="shared" si="23"/>
        <v>DNS/DNF</v>
      </c>
      <c r="BB30" s="62" t="str">
        <f t="shared" si="24"/>
        <v>DNS/DNF</v>
      </c>
      <c r="BC30" s="75" t="str">
        <f t="shared" si="25"/>
        <v/>
      </c>
      <c r="BD30" s="53" t="str">
        <f t="shared" si="26"/>
        <v/>
      </c>
      <c r="BE30" s="53" t="str">
        <f t="shared" si="27"/>
        <v/>
      </c>
      <c r="BF30" s="53" t="str">
        <f t="shared" si="28"/>
        <v/>
      </c>
      <c r="BG30" s="53" t="str">
        <f t="shared" si="29"/>
        <v/>
      </c>
      <c r="BH30" s="53" t="str">
        <f t="shared" si="30"/>
        <v/>
      </c>
      <c r="BI30" s="53" t="str">
        <f t="shared" si="31"/>
        <v/>
      </c>
      <c r="BJ30" s="53" t="str">
        <f t="shared" si="32"/>
        <v/>
      </c>
      <c r="BK30" s="53" t="str">
        <f t="shared" si="33"/>
        <v/>
      </c>
    </row>
    <row r="31" spans="1:63">
      <c r="A31" s="53"/>
      <c r="B31" s="89" t="str">
        <f>IFERROR(VLOOKUP($A31,EntryList!$A$3:$N$645,2,FALSE),"")</f>
        <v/>
      </c>
      <c r="C31" s="74"/>
      <c r="D31" s="53">
        <f t="shared" si="0"/>
        <v>0</v>
      </c>
      <c r="E31" s="62"/>
      <c r="F31" s="62"/>
      <c r="G31" s="62"/>
      <c r="H31" s="62"/>
      <c r="I31" s="62"/>
      <c r="J31" s="62"/>
      <c r="K31" s="62"/>
      <c r="L31" s="62"/>
      <c r="M31" s="62"/>
      <c r="N31" s="62">
        <f t="shared" si="1"/>
        <v>0</v>
      </c>
      <c r="O31" s="53" t="str">
        <f t="shared" si="35"/>
        <v/>
      </c>
      <c r="P31" s="53" t="str">
        <f t="shared" si="36"/>
        <v/>
      </c>
      <c r="Q31" s="53" t="str">
        <f t="shared" si="37"/>
        <v/>
      </c>
      <c r="R31" s="53" t="str">
        <f t="shared" si="38"/>
        <v/>
      </c>
      <c r="S31" s="53" t="str">
        <f t="shared" si="39"/>
        <v/>
      </c>
      <c r="T31" s="53" t="str">
        <f t="shared" si="40"/>
        <v/>
      </c>
      <c r="U31" s="53" t="str">
        <f t="shared" si="41"/>
        <v/>
      </c>
      <c r="V31" s="53" t="str">
        <f t="shared" si="42"/>
        <v/>
      </c>
      <c r="W31" s="53" t="str">
        <f t="shared" si="34"/>
        <v>DNS/DNF ()</v>
      </c>
      <c r="X31" s="53" t="str">
        <f t="shared" si="10"/>
        <v>DNS/DNF ()</v>
      </c>
      <c r="Y31" s="53" t="str">
        <f t="shared" si="11"/>
        <v>DNS/DNF ()</v>
      </c>
      <c r="Z31" s="53" t="str">
        <f t="shared" si="12"/>
        <v>DNS/DNF ()</v>
      </c>
      <c r="AA31" s="53" t="str">
        <f t="shared" si="13"/>
        <v>DNS/DNF ()</v>
      </c>
      <c r="AB31" s="53" t="str">
        <f t="shared" si="14"/>
        <v>DNS/DNF ()</v>
      </c>
      <c r="AC31" s="53" t="str">
        <f t="shared" si="15"/>
        <v>DNS/DNF ()</v>
      </c>
      <c r="AD31" s="53" t="str">
        <f t="shared" si="16"/>
        <v>DNS/DNF ()</v>
      </c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62" t="str">
        <f t="shared" si="17"/>
        <v>DNS/DNF</v>
      </c>
      <c r="AV31" s="62" t="str">
        <f t="shared" si="18"/>
        <v>DNS/DNF</v>
      </c>
      <c r="AW31" s="62" t="str">
        <f t="shared" si="19"/>
        <v>DNS/DNF</v>
      </c>
      <c r="AX31" s="62" t="str">
        <f t="shared" si="20"/>
        <v>DNS/DNF</v>
      </c>
      <c r="AY31" s="62" t="str">
        <f t="shared" si="21"/>
        <v>DNS/DNF</v>
      </c>
      <c r="AZ31" s="62" t="str">
        <f t="shared" si="22"/>
        <v>DNS/DNF</v>
      </c>
      <c r="BA31" s="62" t="str">
        <f t="shared" si="23"/>
        <v>DNS/DNF</v>
      </c>
      <c r="BB31" s="62" t="str">
        <f t="shared" si="24"/>
        <v>DNS/DNF</v>
      </c>
      <c r="BC31" s="75" t="str">
        <f t="shared" si="25"/>
        <v/>
      </c>
      <c r="BD31" s="53" t="str">
        <f t="shared" si="26"/>
        <v/>
      </c>
      <c r="BE31" s="53" t="str">
        <f t="shared" si="27"/>
        <v/>
      </c>
      <c r="BF31" s="53" t="str">
        <f t="shared" si="28"/>
        <v/>
      </c>
      <c r="BG31" s="53" t="str">
        <f t="shared" si="29"/>
        <v/>
      </c>
      <c r="BH31" s="53" t="str">
        <f t="shared" si="30"/>
        <v/>
      </c>
      <c r="BI31" s="53" t="str">
        <f t="shared" si="31"/>
        <v/>
      </c>
      <c r="BJ31" s="53" t="str">
        <f t="shared" si="32"/>
        <v/>
      </c>
      <c r="BK31" s="53" t="str">
        <f t="shared" si="33"/>
        <v/>
      </c>
    </row>
    <row r="32" spans="1:63">
      <c r="A32" s="53"/>
      <c r="B32" s="89" t="str">
        <f>IFERROR(VLOOKUP($A32,EntryList!$A$3:$N$645,2,FALSE),"")</f>
        <v/>
      </c>
      <c r="C32" s="74"/>
      <c r="D32" s="53">
        <f t="shared" si="0"/>
        <v>0</v>
      </c>
      <c r="E32" s="62"/>
      <c r="F32" s="62"/>
      <c r="G32" s="62"/>
      <c r="H32" s="62"/>
      <c r="I32" s="62"/>
      <c r="J32" s="62"/>
      <c r="K32" s="62"/>
      <c r="L32" s="62"/>
      <c r="M32" s="62"/>
      <c r="N32" s="62">
        <f t="shared" si="1"/>
        <v>0</v>
      </c>
      <c r="O32" s="53" t="str">
        <f t="shared" si="35"/>
        <v/>
      </c>
      <c r="P32" s="53" t="str">
        <f t="shared" si="36"/>
        <v/>
      </c>
      <c r="Q32" s="53" t="str">
        <f t="shared" si="37"/>
        <v/>
      </c>
      <c r="R32" s="53" t="str">
        <f t="shared" si="38"/>
        <v/>
      </c>
      <c r="S32" s="53" t="str">
        <f t="shared" si="39"/>
        <v/>
      </c>
      <c r="T32" s="53" t="str">
        <f t="shared" si="40"/>
        <v/>
      </c>
      <c r="U32" s="53" t="str">
        <f t="shared" si="41"/>
        <v/>
      </c>
      <c r="V32" s="53" t="str">
        <f t="shared" si="42"/>
        <v/>
      </c>
      <c r="W32" s="53" t="str">
        <f t="shared" si="34"/>
        <v>DNS/DNF ()</v>
      </c>
      <c r="X32" s="53" t="str">
        <f t="shared" si="10"/>
        <v>DNS/DNF ()</v>
      </c>
      <c r="Y32" s="53" t="str">
        <f t="shared" si="11"/>
        <v>DNS/DNF ()</v>
      </c>
      <c r="Z32" s="53" t="str">
        <f t="shared" si="12"/>
        <v>DNS/DNF ()</v>
      </c>
      <c r="AA32" s="53" t="str">
        <f t="shared" si="13"/>
        <v>DNS/DNF ()</v>
      </c>
      <c r="AB32" s="53" t="str">
        <f t="shared" si="14"/>
        <v>DNS/DNF ()</v>
      </c>
      <c r="AC32" s="53" t="str">
        <f t="shared" si="15"/>
        <v>DNS/DNF ()</v>
      </c>
      <c r="AD32" s="53" t="str">
        <f t="shared" si="16"/>
        <v>DNS/DNF ()</v>
      </c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62" t="str">
        <f t="shared" si="17"/>
        <v>DNS/DNF</v>
      </c>
      <c r="AV32" s="62" t="str">
        <f t="shared" si="18"/>
        <v>DNS/DNF</v>
      </c>
      <c r="AW32" s="62" t="str">
        <f t="shared" si="19"/>
        <v>DNS/DNF</v>
      </c>
      <c r="AX32" s="62" t="str">
        <f t="shared" si="20"/>
        <v>DNS/DNF</v>
      </c>
      <c r="AY32" s="62" t="str">
        <f t="shared" si="21"/>
        <v>DNS/DNF</v>
      </c>
      <c r="AZ32" s="62" t="str">
        <f t="shared" si="22"/>
        <v>DNS/DNF</v>
      </c>
      <c r="BA32" s="62" t="str">
        <f t="shared" si="23"/>
        <v>DNS/DNF</v>
      </c>
      <c r="BB32" s="62" t="str">
        <f t="shared" si="24"/>
        <v>DNS/DNF</v>
      </c>
      <c r="BC32" s="75" t="str">
        <f t="shared" si="25"/>
        <v/>
      </c>
      <c r="BD32" s="53" t="str">
        <f t="shared" si="26"/>
        <v/>
      </c>
      <c r="BE32" s="53" t="str">
        <f t="shared" si="27"/>
        <v/>
      </c>
      <c r="BF32" s="53" t="str">
        <f t="shared" si="28"/>
        <v/>
      </c>
      <c r="BG32" s="53" t="str">
        <f t="shared" si="29"/>
        <v/>
      </c>
      <c r="BH32" s="53" t="str">
        <f t="shared" si="30"/>
        <v/>
      </c>
      <c r="BI32" s="53" t="str">
        <f t="shared" si="31"/>
        <v/>
      </c>
      <c r="BJ32" s="53" t="str">
        <f t="shared" si="32"/>
        <v/>
      </c>
      <c r="BK32" s="53" t="str">
        <f t="shared" si="33"/>
        <v/>
      </c>
    </row>
    <row r="33" spans="1:63">
      <c r="A33" s="53"/>
      <c r="B33" s="89" t="str">
        <f>IFERROR(VLOOKUP($A33,EntryList!$A$3:$N$645,2,FALSE),"")</f>
        <v/>
      </c>
      <c r="C33" s="74"/>
      <c r="D33" s="53">
        <f t="shared" si="0"/>
        <v>0</v>
      </c>
      <c r="E33" s="62"/>
      <c r="F33" s="62"/>
      <c r="G33" s="62"/>
      <c r="H33" s="62"/>
      <c r="I33" s="62"/>
      <c r="J33" s="62"/>
      <c r="K33" s="62"/>
      <c r="L33" s="62"/>
      <c r="M33" s="62"/>
      <c r="N33" s="62">
        <f t="shared" si="1"/>
        <v>0</v>
      </c>
      <c r="O33" s="53" t="str">
        <f t="shared" si="35"/>
        <v/>
      </c>
      <c r="P33" s="53" t="str">
        <f t="shared" si="36"/>
        <v/>
      </c>
      <c r="Q33" s="53" t="str">
        <f t="shared" si="37"/>
        <v/>
      </c>
      <c r="R33" s="53" t="str">
        <f t="shared" si="38"/>
        <v/>
      </c>
      <c r="S33" s="53" t="str">
        <f t="shared" si="39"/>
        <v/>
      </c>
      <c r="T33" s="53" t="str">
        <f t="shared" si="40"/>
        <v/>
      </c>
      <c r="U33" s="53" t="str">
        <f t="shared" si="41"/>
        <v/>
      </c>
      <c r="V33" s="53" t="str">
        <f t="shared" si="42"/>
        <v/>
      </c>
      <c r="W33" s="53" t="str">
        <f t="shared" si="34"/>
        <v>DNS/DNF ()</v>
      </c>
      <c r="X33" s="53" t="str">
        <f t="shared" si="10"/>
        <v>DNS/DNF ()</v>
      </c>
      <c r="Y33" s="53" t="str">
        <f t="shared" si="11"/>
        <v>DNS/DNF ()</v>
      </c>
      <c r="Z33" s="53" t="str">
        <f t="shared" si="12"/>
        <v>DNS/DNF ()</v>
      </c>
      <c r="AA33" s="53" t="str">
        <f t="shared" si="13"/>
        <v>DNS/DNF ()</v>
      </c>
      <c r="AB33" s="53" t="str">
        <f t="shared" si="14"/>
        <v>DNS/DNF ()</v>
      </c>
      <c r="AC33" s="53" t="str">
        <f t="shared" si="15"/>
        <v>DNS/DNF ()</v>
      </c>
      <c r="AD33" s="53" t="str">
        <f t="shared" si="16"/>
        <v>DNS/DNF ()</v>
      </c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62" t="str">
        <f t="shared" si="17"/>
        <v>DNS/DNF</v>
      </c>
      <c r="AV33" s="62" t="str">
        <f t="shared" si="18"/>
        <v>DNS/DNF</v>
      </c>
      <c r="AW33" s="62" t="str">
        <f t="shared" si="19"/>
        <v>DNS/DNF</v>
      </c>
      <c r="AX33" s="62" t="str">
        <f t="shared" si="20"/>
        <v>DNS/DNF</v>
      </c>
      <c r="AY33" s="62" t="str">
        <f t="shared" si="21"/>
        <v>DNS/DNF</v>
      </c>
      <c r="AZ33" s="62" t="str">
        <f t="shared" si="22"/>
        <v>DNS/DNF</v>
      </c>
      <c r="BA33" s="62" t="str">
        <f t="shared" si="23"/>
        <v>DNS/DNF</v>
      </c>
      <c r="BB33" s="62" t="str">
        <f t="shared" si="24"/>
        <v>DNS/DNF</v>
      </c>
      <c r="BC33" s="75" t="str">
        <f t="shared" si="25"/>
        <v/>
      </c>
      <c r="BD33" s="53" t="str">
        <f t="shared" si="26"/>
        <v/>
      </c>
      <c r="BE33" s="53" t="str">
        <f t="shared" si="27"/>
        <v/>
      </c>
      <c r="BF33" s="53" t="str">
        <f t="shared" si="28"/>
        <v/>
      </c>
      <c r="BG33" s="53" t="str">
        <f t="shared" si="29"/>
        <v/>
      </c>
      <c r="BH33" s="53" t="str">
        <f t="shared" si="30"/>
        <v/>
      </c>
      <c r="BI33" s="53" t="str">
        <f t="shared" si="31"/>
        <v/>
      </c>
      <c r="BJ33" s="53" t="str">
        <f t="shared" si="32"/>
        <v/>
      </c>
      <c r="BK33" s="53" t="str">
        <f t="shared" si="33"/>
        <v/>
      </c>
    </row>
    <row r="34" spans="1:63">
      <c r="A34" s="53"/>
      <c r="B34" s="89" t="str">
        <f>IFERROR(VLOOKUP($A34,EntryList!$A$3:$N$645,2,FALSE),"")</f>
        <v/>
      </c>
      <c r="C34" s="74"/>
      <c r="D34" s="53">
        <f t="shared" si="0"/>
        <v>0</v>
      </c>
      <c r="E34" s="62"/>
      <c r="F34" s="62"/>
      <c r="G34" s="62"/>
      <c r="H34" s="62"/>
      <c r="I34" s="62"/>
      <c r="J34" s="62"/>
      <c r="K34" s="62"/>
      <c r="L34" s="62"/>
      <c r="M34" s="62"/>
      <c r="N34" s="62">
        <f t="shared" si="1"/>
        <v>0</v>
      </c>
      <c r="O34" s="53" t="str">
        <f t="shared" si="35"/>
        <v/>
      </c>
      <c r="P34" s="53" t="str">
        <f t="shared" si="36"/>
        <v/>
      </c>
      <c r="Q34" s="53" t="str">
        <f t="shared" si="37"/>
        <v/>
      </c>
      <c r="R34" s="53" t="str">
        <f t="shared" si="38"/>
        <v/>
      </c>
      <c r="S34" s="53" t="str">
        <f t="shared" si="39"/>
        <v/>
      </c>
      <c r="T34" s="53" t="str">
        <f t="shared" si="40"/>
        <v/>
      </c>
      <c r="U34" s="53" t="str">
        <f t="shared" si="41"/>
        <v/>
      </c>
      <c r="V34" s="53" t="str">
        <f t="shared" si="42"/>
        <v/>
      </c>
      <c r="W34" s="53" t="str">
        <f t="shared" si="34"/>
        <v>DNS/DNF ()</v>
      </c>
      <c r="X34" s="53" t="str">
        <f t="shared" si="10"/>
        <v>DNS/DNF ()</v>
      </c>
      <c r="Y34" s="53" t="str">
        <f t="shared" si="11"/>
        <v>DNS/DNF ()</v>
      </c>
      <c r="Z34" s="53" t="str">
        <f t="shared" si="12"/>
        <v>DNS/DNF ()</v>
      </c>
      <c r="AA34" s="53" t="str">
        <f t="shared" si="13"/>
        <v>DNS/DNF ()</v>
      </c>
      <c r="AB34" s="53" t="str">
        <f t="shared" si="14"/>
        <v>DNS/DNF ()</v>
      </c>
      <c r="AC34" s="53" t="str">
        <f t="shared" si="15"/>
        <v>DNS/DNF ()</v>
      </c>
      <c r="AD34" s="53" t="str">
        <f t="shared" si="16"/>
        <v>DNS/DNF ()</v>
      </c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62" t="str">
        <f t="shared" si="17"/>
        <v>DNS/DNF</v>
      </c>
      <c r="AV34" s="62" t="str">
        <f t="shared" si="18"/>
        <v>DNS/DNF</v>
      </c>
      <c r="AW34" s="62" t="str">
        <f t="shared" si="19"/>
        <v>DNS/DNF</v>
      </c>
      <c r="AX34" s="62" t="str">
        <f t="shared" si="20"/>
        <v>DNS/DNF</v>
      </c>
      <c r="AY34" s="62" t="str">
        <f t="shared" si="21"/>
        <v>DNS/DNF</v>
      </c>
      <c r="AZ34" s="62" t="str">
        <f t="shared" si="22"/>
        <v>DNS/DNF</v>
      </c>
      <c r="BA34" s="62" t="str">
        <f t="shared" si="23"/>
        <v>DNS/DNF</v>
      </c>
      <c r="BB34" s="62" t="str">
        <f t="shared" si="24"/>
        <v>DNS/DNF</v>
      </c>
      <c r="BC34" s="75" t="str">
        <f t="shared" si="25"/>
        <v/>
      </c>
      <c r="BD34" s="53" t="str">
        <f t="shared" si="26"/>
        <v/>
      </c>
      <c r="BE34" s="53" t="str">
        <f t="shared" si="27"/>
        <v/>
      </c>
      <c r="BF34" s="53" t="str">
        <f t="shared" si="28"/>
        <v/>
      </c>
      <c r="BG34" s="53" t="str">
        <f t="shared" si="29"/>
        <v/>
      </c>
      <c r="BH34" s="53" t="str">
        <f t="shared" si="30"/>
        <v/>
      </c>
      <c r="BI34" s="53" t="str">
        <f t="shared" si="31"/>
        <v/>
      </c>
      <c r="BJ34" s="53" t="str">
        <f t="shared" si="32"/>
        <v/>
      </c>
      <c r="BK34" s="53" t="str">
        <f t="shared" si="33"/>
        <v/>
      </c>
    </row>
    <row r="35" spans="1:63">
      <c r="A35" s="53"/>
      <c r="B35" s="89" t="str">
        <f>IFERROR(VLOOKUP($A35,EntryList!$A$3:$N$645,2,FALSE),"")</f>
        <v/>
      </c>
      <c r="C35" s="74"/>
      <c r="D35" s="53">
        <f t="shared" si="0"/>
        <v>0</v>
      </c>
      <c r="E35" s="62"/>
      <c r="F35" s="62"/>
      <c r="G35" s="62"/>
      <c r="H35" s="62"/>
      <c r="I35" s="62"/>
      <c r="J35" s="62"/>
      <c r="K35" s="62"/>
      <c r="L35" s="62"/>
      <c r="M35" s="62"/>
      <c r="N35" s="62">
        <f t="shared" si="1"/>
        <v>0</v>
      </c>
      <c r="O35" s="53" t="str">
        <f t="shared" si="35"/>
        <v/>
      </c>
      <c r="P35" s="53" t="str">
        <f t="shared" si="36"/>
        <v/>
      </c>
      <c r="Q35" s="53" t="str">
        <f t="shared" si="37"/>
        <v/>
      </c>
      <c r="R35" s="53" t="str">
        <f t="shared" si="38"/>
        <v/>
      </c>
      <c r="S35" s="53" t="str">
        <f t="shared" si="39"/>
        <v/>
      </c>
      <c r="T35" s="53" t="str">
        <f t="shared" si="40"/>
        <v/>
      </c>
      <c r="U35" s="53" t="str">
        <f t="shared" si="41"/>
        <v/>
      </c>
      <c r="V35" s="53" t="str">
        <f t="shared" si="42"/>
        <v/>
      </c>
      <c r="W35" s="53" t="str">
        <f t="shared" si="34"/>
        <v>DNS/DNF ()</v>
      </c>
      <c r="X35" s="53" t="str">
        <f t="shared" si="10"/>
        <v>DNS/DNF ()</v>
      </c>
      <c r="Y35" s="53" t="str">
        <f t="shared" si="11"/>
        <v>DNS/DNF ()</v>
      </c>
      <c r="Z35" s="53" t="str">
        <f t="shared" si="12"/>
        <v>DNS/DNF ()</v>
      </c>
      <c r="AA35" s="53" t="str">
        <f t="shared" si="13"/>
        <v>DNS/DNF ()</v>
      </c>
      <c r="AB35" s="53" t="str">
        <f t="shared" si="14"/>
        <v>DNS/DNF ()</v>
      </c>
      <c r="AC35" s="53" t="str">
        <f t="shared" si="15"/>
        <v>DNS/DNF ()</v>
      </c>
      <c r="AD35" s="53" t="str">
        <f t="shared" si="16"/>
        <v>DNS/DNF ()</v>
      </c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62" t="str">
        <f t="shared" si="17"/>
        <v>DNS/DNF</v>
      </c>
      <c r="AV35" s="62" t="str">
        <f t="shared" si="18"/>
        <v>DNS/DNF</v>
      </c>
      <c r="AW35" s="62" t="str">
        <f t="shared" si="19"/>
        <v>DNS/DNF</v>
      </c>
      <c r="AX35" s="62" t="str">
        <f t="shared" si="20"/>
        <v>DNS/DNF</v>
      </c>
      <c r="AY35" s="62" t="str">
        <f t="shared" si="21"/>
        <v>DNS/DNF</v>
      </c>
      <c r="AZ35" s="62" t="str">
        <f t="shared" si="22"/>
        <v>DNS/DNF</v>
      </c>
      <c r="BA35" s="62" t="str">
        <f t="shared" si="23"/>
        <v>DNS/DNF</v>
      </c>
      <c r="BB35" s="62" t="str">
        <f t="shared" si="24"/>
        <v>DNS/DNF</v>
      </c>
      <c r="BC35" s="75" t="str">
        <f t="shared" si="25"/>
        <v/>
      </c>
      <c r="BD35" s="53" t="str">
        <f t="shared" si="26"/>
        <v/>
      </c>
      <c r="BE35" s="53" t="str">
        <f t="shared" si="27"/>
        <v/>
      </c>
      <c r="BF35" s="53" t="str">
        <f t="shared" si="28"/>
        <v/>
      </c>
      <c r="BG35" s="53" t="str">
        <f t="shared" si="29"/>
        <v/>
      </c>
      <c r="BH35" s="53" t="str">
        <f t="shared" si="30"/>
        <v/>
      </c>
      <c r="BI35" s="53" t="str">
        <f t="shared" si="31"/>
        <v/>
      </c>
      <c r="BJ35" s="53" t="str">
        <f t="shared" si="32"/>
        <v/>
      </c>
      <c r="BK35" s="53" t="str">
        <f t="shared" si="33"/>
        <v/>
      </c>
    </row>
    <row r="36" spans="1:63">
      <c r="A36" s="53"/>
      <c r="B36" s="89" t="str">
        <f>IFERROR(VLOOKUP($A36,EntryList!$A$3:$N$645,2,FALSE),"")</f>
        <v/>
      </c>
      <c r="C36" s="74"/>
      <c r="D36" s="53">
        <f t="shared" si="0"/>
        <v>0</v>
      </c>
      <c r="E36" s="62"/>
      <c r="F36" s="62"/>
      <c r="G36" s="62"/>
      <c r="H36" s="62"/>
      <c r="I36" s="62"/>
      <c r="J36" s="62"/>
      <c r="K36" s="62"/>
      <c r="L36" s="62"/>
      <c r="M36" s="62"/>
      <c r="N36" s="62">
        <f t="shared" si="1"/>
        <v>0</v>
      </c>
      <c r="O36" s="53" t="str">
        <f t="shared" si="35"/>
        <v/>
      </c>
      <c r="P36" s="53" t="str">
        <f t="shared" si="36"/>
        <v/>
      </c>
      <c r="Q36" s="53" t="str">
        <f t="shared" si="37"/>
        <v/>
      </c>
      <c r="R36" s="53" t="str">
        <f t="shared" si="38"/>
        <v/>
      </c>
      <c r="S36" s="53" t="str">
        <f t="shared" si="39"/>
        <v/>
      </c>
      <c r="T36" s="53" t="str">
        <f t="shared" si="40"/>
        <v/>
      </c>
      <c r="U36" s="53" t="str">
        <f t="shared" si="41"/>
        <v/>
      </c>
      <c r="V36" s="53" t="str">
        <f t="shared" si="42"/>
        <v/>
      </c>
      <c r="W36" s="53" t="str">
        <f t="shared" si="34"/>
        <v>DNS/DNF ()</v>
      </c>
      <c r="X36" s="53" t="str">
        <f t="shared" si="10"/>
        <v>DNS/DNF ()</v>
      </c>
      <c r="Y36" s="53" t="str">
        <f t="shared" si="11"/>
        <v>DNS/DNF ()</v>
      </c>
      <c r="Z36" s="53" t="str">
        <f t="shared" si="12"/>
        <v>DNS/DNF ()</v>
      </c>
      <c r="AA36" s="53" t="str">
        <f t="shared" si="13"/>
        <v>DNS/DNF ()</v>
      </c>
      <c r="AB36" s="53" t="str">
        <f t="shared" si="14"/>
        <v>DNS/DNF ()</v>
      </c>
      <c r="AC36" s="53" t="str">
        <f t="shared" si="15"/>
        <v>DNS/DNF ()</v>
      </c>
      <c r="AD36" s="53" t="str">
        <f t="shared" si="16"/>
        <v>DNS/DNF ()</v>
      </c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62" t="str">
        <f t="shared" si="17"/>
        <v>DNS/DNF</v>
      </c>
      <c r="AV36" s="62" t="str">
        <f t="shared" si="18"/>
        <v>DNS/DNF</v>
      </c>
      <c r="AW36" s="62" t="str">
        <f t="shared" si="19"/>
        <v>DNS/DNF</v>
      </c>
      <c r="AX36" s="62" t="str">
        <f t="shared" si="20"/>
        <v>DNS/DNF</v>
      </c>
      <c r="AY36" s="62" t="str">
        <f t="shared" si="21"/>
        <v>DNS/DNF</v>
      </c>
      <c r="AZ36" s="62" t="str">
        <f t="shared" si="22"/>
        <v>DNS/DNF</v>
      </c>
      <c r="BA36" s="62" t="str">
        <f t="shared" si="23"/>
        <v>DNS/DNF</v>
      </c>
      <c r="BB36" s="62" t="str">
        <f t="shared" si="24"/>
        <v>DNS/DNF</v>
      </c>
      <c r="BC36" s="75" t="str">
        <f t="shared" si="25"/>
        <v/>
      </c>
      <c r="BD36" s="53" t="str">
        <f t="shared" si="26"/>
        <v/>
      </c>
      <c r="BE36" s="53" t="str">
        <f t="shared" si="27"/>
        <v/>
      </c>
      <c r="BF36" s="53" t="str">
        <f t="shared" si="28"/>
        <v/>
      </c>
      <c r="BG36" s="53" t="str">
        <f t="shared" si="29"/>
        <v/>
      </c>
      <c r="BH36" s="53" t="str">
        <f t="shared" si="30"/>
        <v/>
      </c>
      <c r="BI36" s="53" t="str">
        <f t="shared" si="31"/>
        <v/>
      </c>
      <c r="BJ36" s="53" t="str">
        <f t="shared" si="32"/>
        <v/>
      </c>
      <c r="BK36" s="53" t="str">
        <f t="shared" si="33"/>
        <v/>
      </c>
    </row>
    <row r="37" spans="1:63">
      <c r="A37" s="53"/>
      <c r="B37" s="89" t="str">
        <f>IFERROR(VLOOKUP($A37,EntryList!$A$3:$N$645,2,FALSE),"")</f>
        <v/>
      </c>
      <c r="C37" s="74"/>
      <c r="D37" s="53">
        <f t="shared" si="0"/>
        <v>0</v>
      </c>
      <c r="E37" s="62"/>
      <c r="F37" s="62"/>
      <c r="G37" s="62"/>
      <c r="H37" s="62"/>
      <c r="I37" s="62"/>
      <c r="J37" s="62"/>
      <c r="K37" s="62"/>
      <c r="L37" s="62"/>
      <c r="M37" s="62"/>
      <c r="N37" s="62">
        <f t="shared" si="1"/>
        <v>0</v>
      </c>
      <c r="O37" s="53" t="str">
        <f t="shared" si="35"/>
        <v/>
      </c>
      <c r="P37" s="53" t="str">
        <f t="shared" si="36"/>
        <v/>
      </c>
      <c r="Q37" s="53" t="str">
        <f t="shared" si="37"/>
        <v/>
      </c>
      <c r="R37" s="53" t="str">
        <f t="shared" si="38"/>
        <v/>
      </c>
      <c r="S37" s="53" t="str">
        <f t="shared" si="39"/>
        <v/>
      </c>
      <c r="T37" s="53" t="str">
        <f t="shared" si="40"/>
        <v/>
      </c>
      <c r="U37" s="53" t="str">
        <f t="shared" si="41"/>
        <v/>
      </c>
      <c r="V37" s="53" t="str">
        <f t="shared" si="42"/>
        <v/>
      </c>
      <c r="W37" s="53" t="str">
        <f t="shared" si="34"/>
        <v>DNS/DNF ()</v>
      </c>
      <c r="X37" s="53" t="str">
        <f t="shared" si="10"/>
        <v>DNS/DNF ()</v>
      </c>
      <c r="Y37" s="53" t="str">
        <f t="shared" si="11"/>
        <v>DNS/DNF ()</v>
      </c>
      <c r="Z37" s="53" t="str">
        <f t="shared" si="12"/>
        <v>DNS/DNF ()</v>
      </c>
      <c r="AA37" s="53" t="str">
        <f t="shared" si="13"/>
        <v>DNS/DNF ()</v>
      </c>
      <c r="AB37" s="53" t="str">
        <f t="shared" si="14"/>
        <v>DNS/DNF ()</v>
      </c>
      <c r="AC37" s="53" t="str">
        <f t="shared" si="15"/>
        <v>DNS/DNF ()</v>
      </c>
      <c r="AD37" s="53" t="str">
        <f t="shared" si="16"/>
        <v>DNS/DNF ()</v>
      </c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62" t="str">
        <f t="shared" si="17"/>
        <v>DNS/DNF</v>
      </c>
      <c r="AV37" s="62" t="str">
        <f t="shared" si="18"/>
        <v>DNS/DNF</v>
      </c>
      <c r="AW37" s="62" t="str">
        <f t="shared" si="19"/>
        <v>DNS/DNF</v>
      </c>
      <c r="AX37" s="62" t="str">
        <f t="shared" si="20"/>
        <v>DNS/DNF</v>
      </c>
      <c r="AY37" s="62" t="str">
        <f t="shared" si="21"/>
        <v>DNS/DNF</v>
      </c>
      <c r="AZ37" s="62" t="str">
        <f t="shared" si="22"/>
        <v>DNS/DNF</v>
      </c>
      <c r="BA37" s="62" t="str">
        <f t="shared" si="23"/>
        <v>DNS/DNF</v>
      </c>
      <c r="BB37" s="62" t="str">
        <f t="shared" si="24"/>
        <v>DNS/DNF</v>
      </c>
      <c r="BC37" s="75" t="str">
        <f t="shared" si="25"/>
        <v/>
      </c>
      <c r="BD37" s="53" t="str">
        <f t="shared" si="26"/>
        <v/>
      </c>
      <c r="BE37" s="53" t="str">
        <f t="shared" si="27"/>
        <v/>
      </c>
      <c r="BF37" s="53" t="str">
        <f t="shared" si="28"/>
        <v/>
      </c>
      <c r="BG37" s="53" t="str">
        <f t="shared" si="29"/>
        <v/>
      </c>
      <c r="BH37" s="53" t="str">
        <f t="shared" si="30"/>
        <v/>
      </c>
      <c r="BI37" s="53" t="str">
        <f t="shared" si="31"/>
        <v/>
      </c>
      <c r="BJ37" s="53" t="str">
        <f t="shared" si="32"/>
        <v/>
      </c>
      <c r="BK37" s="53" t="str">
        <f t="shared" si="33"/>
        <v/>
      </c>
    </row>
    <row r="38" spans="1:63">
      <c r="A38" s="53"/>
      <c r="B38" s="89" t="str">
        <f>IFERROR(VLOOKUP($A38,EntryList!$A$3:$N$645,2,FALSE),"")</f>
        <v/>
      </c>
      <c r="C38" s="74"/>
      <c r="D38" s="53">
        <f t="shared" si="0"/>
        <v>0</v>
      </c>
      <c r="E38" s="62"/>
      <c r="F38" s="62"/>
      <c r="G38" s="62"/>
      <c r="H38" s="62"/>
      <c r="I38" s="62"/>
      <c r="J38" s="62"/>
      <c r="K38" s="62"/>
      <c r="L38" s="62"/>
      <c r="M38" s="62"/>
      <c r="N38" s="62">
        <f t="shared" si="1"/>
        <v>0</v>
      </c>
      <c r="O38" s="53" t="str">
        <f t="shared" si="35"/>
        <v/>
      </c>
      <c r="P38" s="53" t="str">
        <f t="shared" si="36"/>
        <v/>
      </c>
      <c r="Q38" s="53" t="str">
        <f t="shared" si="37"/>
        <v/>
      </c>
      <c r="R38" s="53" t="str">
        <f t="shared" si="38"/>
        <v/>
      </c>
      <c r="S38" s="53" t="str">
        <f t="shared" si="39"/>
        <v/>
      </c>
      <c r="T38" s="53" t="str">
        <f t="shared" si="40"/>
        <v/>
      </c>
      <c r="U38" s="53" t="str">
        <f t="shared" si="41"/>
        <v/>
      </c>
      <c r="V38" s="53" t="str">
        <f t="shared" si="42"/>
        <v/>
      </c>
      <c r="W38" s="53" t="str">
        <f t="shared" si="34"/>
        <v>DNS/DNF ()</v>
      </c>
      <c r="X38" s="53" t="str">
        <f t="shared" si="10"/>
        <v>DNS/DNF ()</v>
      </c>
      <c r="Y38" s="53" t="str">
        <f t="shared" si="11"/>
        <v>DNS/DNF ()</v>
      </c>
      <c r="Z38" s="53" t="str">
        <f t="shared" si="12"/>
        <v>DNS/DNF ()</v>
      </c>
      <c r="AA38" s="53" t="str">
        <f t="shared" si="13"/>
        <v>DNS/DNF ()</v>
      </c>
      <c r="AB38" s="53" t="str">
        <f t="shared" si="14"/>
        <v>DNS/DNF ()</v>
      </c>
      <c r="AC38" s="53" t="str">
        <f t="shared" si="15"/>
        <v>DNS/DNF ()</v>
      </c>
      <c r="AD38" s="53" t="str">
        <f t="shared" si="16"/>
        <v>DNS/DNF ()</v>
      </c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62" t="str">
        <f t="shared" si="17"/>
        <v>DNS/DNF</v>
      </c>
      <c r="AV38" s="62" t="str">
        <f t="shared" si="18"/>
        <v>DNS/DNF</v>
      </c>
      <c r="AW38" s="62" t="str">
        <f t="shared" si="19"/>
        <v>DNS/DNF</v>
      </c>
      <c r="AX38" s="62" t="str">
        <f t="shared" si="20"/>
        <v>DNS/DNF</v>
      </c>
      <c r="AY38" s="62" t="str">
        <f t="shared" si="21"/>
        <v>DNS/DNF</v>
      </c>
      <c r="AZ38" s="62" t="str">
        <f t="shared" si="22"/>
        <v>DNS/DNF</v>
      </c>
      <c r="BA38" s="62" t="str">
        <f t="shared" si="23"/>
        <v>DNS/DNF</v>
      </c>
      <c r="BB38" s="62" t="str">
        <f t="shared" si="24"/>
        <v>DNS/DNF</v>
      </c>
      <c r="BC38" s="75" t="str">
        <f t="shared" si="25"/>
        <v/>
      </c>
      <c r="BD38" s="53" t="str">
        <f t="shared" si="26"/>
        <v/>
      </c>
      <c r="BE38" s="53" t="str">
        <f t="shared" si="27"/>
        <v/>
      </c>
      <c r="BF38" s="53" t="str">
        <f t="shared" si="28"/>
        <v/>
      </c>
      <c r="BG38" s="53" t="str">
        <f t="shared" si="29"/>
        <v/>
      </c>
      <c r="BH38" s="53" t="str">
        <f t="shared" si="30"/>
        <v/>
      </c>
      <c r="BI38" s="53" t="str">
        <f t="shared" si="31"/>
        <v/>
      </c>
      <c r="BJ38" s="53" t="str">
        <f t="shared" si="32"/>
        <v/>
      </c>
      <c r="BK38" s="53" t="str">
        <f t="shared" si="33"/>
        <v/>
      </c>
    </row>
    <row r="39" spans="1:63">
      <c r="A39" s="53"/>
      <c r="B39" s="89" t="str">
        <f>IFERROR(VLOOKUP($A39,EntryList!$A$3:$N$645,2,FALSE),"")</f>
        <v/>
      </c>
      <c r="C39" s="74"/>
      <c r="D39" s="53">
        <f t="shared" si="0"/>
        <v>0</v>
      </c>
      <c r="E39" s="62"/>
      <c r="F39" s="62"/>
      <c r="G39" s="62"/>
      <c r="H39" s="62"/>
      <c r="I39" s="62"/>
      <c r="J39" s="62"/>
      <c r="K39" s="62"/>
      <c r="L39" s="62"/>
      <c r="M39" s="62"/>
      <c r="N39" s="62">
        <f t="shared" si="1"/>
        <v>0</v>
      </c>
      <c r="O39" s="53" t="str">
        <f t="shared" si="35"/>
        <v/>
      </c>
      <c r="P39" s="53" t="str">
        <f t="shared" si="36"/>
        <v/>
      </c>
      <c r="Q39" s="53" t="str">
        <f t="shared" si="37"/>
        <v/>
      </c>
      <c r="R39" s="53" t="str">
        <f t="shared" si="38"/>
        <v/>
      </c>
      <c r="S39" s="53" t="str">
        <f t="shared" si="39"/>
        <v/>
      </c>
      <c r="T39" s="53" t="str">
        <f t="shared" si="40"/>
        <v/>
      </c>
      <c r="U39" s="53" t="str">
        <f t="shared" si="41"/>
        <v/>
      </c>
      <c r="V39" s="53" t="str">
        <f t="shared" si="42"/>
        <v/>
      </c>
      <c r="W39" s="53" t="str">
        <f t="shared" si="34"/>
        <v>DNS/DNF ()</v>
      </c>
      <c r="X39" s="53" t="str">
        <f t="shared" si="10"/>
        <v>DNS/DNF ()</v>
      </c>
      <c r="Y39" s="53" t="str">
        <f t="shared" si="11"/>
        <v>DNS/DNF ()</v>
      </c>
      <c r="Z39" s="53" t="str">
        <f t="shared" si="12"/>
        <v>DNS/DNF ()</v>
      </c>
      <c r="AA39" s="53" t="str">
        <f t="shared" si="13"/>
        <v>DNS/DNF ()</v>
      </c>
      <c r="AB39" s="53" t="str">
        <f t="shared" si="14"/>
        <v>DNS/DNF ()</v>
      </c>
      <c r="AC39" s="53" t="str">
        <f t="shared" si="15"/>
        <v>DNS/DNF ()</v>
      </c>
      <c r="AD39" s="53" t="str">
        <f t="shared" si="16"/>
        <v>DNS/DNF ()</v>
      </c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62" t="str">
        <f t="shared" si="17"/>
        <v>DNS/DNF</v>
      </c>
      <c r="AV39" s="62" t="str">
        <f t="shared" si="18"/>
        <v>DNS/DNF</v>
      </c>
      <c r="AW39" s="62" t="str">
        <f t="shared" si="19"/>
        <v>DNS/DNF</v>
      </c>
      <c r="AX39" s="62" t="str">
        <f t="shared" si="20"/>
        <v>DNS/DNF</v>
      </c>
      <c r="AY39" s="62" t="str">
        <f t="shared" si="21"/>
        <v>DNS/DNF</v>
      </c>
      <c r="AZ39" s="62" t="str">
        <f t="shared" si="22"/>
        <v>DNS/DNF</v>
      </c>
      <c r="BA39" s="62" t="str">
        <f t="shared" si="23"/>
        <v>DNS/DNF</v>
      </c>
      <c r="BB39" s="62" t="str">
        <f t="shared" si="24"/>
        <v>DNS/DNF</v>
      </c>
      <c r="BC39" s="75" t="str">
        <f t="shared" si="25"/>
        <v/>
      </c>
      <c r="BD39" s="53" t="str">
        <f t="shared" si="26"/>
        <v/>
      </c>
      <c r="BE39" s="53" t="str">
        <f t="shared" si="27"/>
        <v/>
      </c>
      <c r="BF39" s="53" t="str">
        <f t="shared" si="28"/>
        <v/>
      </c>
      <c r="BG39" s="53" t="str">
        <f t="shared" si="29"/>
        <v/>
      </c>
      <c r="BH39" s="53" t="str">
        <f t="shared" si="30"/>
        <v/>
      </c>
      <c r="BI39" s="53" t="str">
        <f t="shared" si="31"/>
        <v/>
      </c>
      <c r="BJ39" s="53" t="str">
        <f t="shared" si="32"/>
        <v/>
      </c>
      <c r="BK39" s="53" t="str">
        <f t="shared" si="33"/>
        <v/>
      </c>
    </row>
    <row r="40" spans="1:63">
      <c r="A40" s="53"/>
      <c r="B40" s="89" t="str">
        <f>IFERROR(VLOOKUP($A40,EntryList!$A$3:$N$645,2,FALSE),"")</f>
        <v/>
      </c>
      <c r="C40" s="74"/>
      <c r="D40" s="53">
        <f t="shared" si="0"/>
        <v>0</v>
      </c>
      <c r="E40" s="62"/>
      <c r="F40" s="62"/>
      <c r="G40" s="62"/>
      <c r="H40" s="62"/>
      <c r="I40" s="62"/>
      <c r="J40" s="62"/>
      <c r="K40" s="62"/>
      <c r="L40" s="62"/>
      <c r="M40" s="62"/>
      <c r="N40" s="62">
        <f t="shared" si="1"/>
        <v>0</v>
      </c>
      <c r="O40" s="53" t="str">
        <f t="shared" si="35"/>
        <v/>
      </c>
      <c r="P40" s="53" t="str">
        <f t="shared" si="36"/>
        <v/>
      </c>
      <c r="Q40" s="53" t="str">
        <f t="shared" si="37"/>
        <v/>
      </c>
      <c r="R40" s="53" t="str">
        <f t="shared" si="38"/>
        <v/>
      </c>
      <c r="S40" s="53" t="str">
        <f t="shared" si="39"/>
        <v/>
      </c>
      <c r="T40" s="53" t="str">
        <f t="shared" si="40"/>
        <v/>
      </c>
      <c r="U40" s="53" t="str">
        <f t="shared" si="41"/>
        <v/>
      </c>
      <c r="V40" s="53" t="str">
        <f t="shared" si="42"/>
        <v/>
      </c>
      <c r="W40" s="53" t="str">
        <f t="shared" si="34"/>
        <v>DNS/DNF ()</v>
      </c>
      <c r="X40" s="53" t="str">
        <f t="shared" si="10"/>
        <v>DNS/DNF ()</v>
      </c>
      <c r="Y40" s="53" t="str">
        <f t="shared" si="11"/>
        <v>DNS/DNF ()</v>
      </c>
      <c r="Z40" s="53" t="str">
        <f t="shared" si="12"/>
        <v>DNS/DNF ()</v>
      </c>
      <c r="AA40" s="53" t="str">
        <f t="shared" si="13"/>
        <v>DNS/DNF ()</v>
      </c>
      <c r="AB40" s="53" t="str">
        <f t="shared" si="14"/>
        <v>DNS/DNF ()</v>
      </c>
      <c r="AC40" s="53" t="str">
        <f t="shared" si="15"/>
        <v>DNS/DNF ()</v>
      </c>
      <c r="AD40" s="53" t="str">
        <f t="shared" si="16"/>
        <v>DNS/DNF ()</v>
      </c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62" t="str">
        <f t="shared" si="17"/>
        <v>DNS/DNF</v>
      </c>
      <c r="AV40" s="62" t="str">
        <f t="shared" si="18"/>
        <v>DNS/DNF</v>
      </c>
      <c r="AW40" s="62" t="str">
        <f t="shared" si="19"/>
        <v>DNS/DNF</v>
      </c>
      <c r="AX40" s="62" t="str">
        <f t="shared" si="20"/>
        <v>DNS/DNF</v>
      </c>
      <c r="AY40" s="62" t="str">
        <f t="shared" si="21"/>
        <v>DNS/DNF</v>
      </c>
      <c r="AZ40" s="62" t="str">
        <f t="shared" si="22"/>
        <v>DNS/DNF</v>
      </c>
      <c r="BA40" s="62" t="str">
        <f t="shared" si="23"/>
        <v>DNS/DNF</v>
      </c>
      <c r="BB40" s="62" t="str">
        <f t="shared" si="24"/>
        <v>DNS/DNF</v>
      </c>
      <c r="BC40" s="75" t="str">
        <f t="shared" si="25"/>
        <v/>
      </c>
      <c r="BD40" s="53" t="str">
        <f t="shared" si="26"/>
        <v/>
      </c>
      <c r="BE40" s="53" t="str">
        <f t="shared" si="27"/>
        <v/>
      </c>
      <c r="BF40" s="53" t="str">
        <f t="shared" si="28"/>
        <v/>
      </c>
      <c r="BG40" s="53" t="str">
        <f t="shared" si="29"/>
        <v/>
      </c>
      <c r="BH40" s="53" t="str">
        <f t="shared" si="30"/>
        <v/>
      </c>
      <c r="BI40" s="53" t="str">
        <f t="shared" si="31"/>
        <v/>
      </c>
      <c r="BJ40" s="53" t="str">
        <f t="shared" si="32"/>
        <v/>
      </c>
      <c r="BK40" s="53" t="str">
        <f t="shared" si="33"/>
        <v/>
      </c>
    </row>
    <row r="41" spans="1:63">
      <c r="A41" s="53"/>
      <c r="B41" s="89" t="str">
        <f>IFERROR(VLOOKUP($A41,EntryList!$A$3:$N$645,2,FALSE),"")</f>
        <v/>
      </c>
      <c r="C41" s="74"/>
      <c r="D41" s="53">
        <f t="shared" si="0"/>
        <v>0</v>
      </c>
      <c r="E41" s="62"/>
      <c r="F41" s="62"/>
      <c r="G41" s="62"/>
      <c r="H41" s="62"/>
      <c r="I41" s="62"/>
      <c r="J41" s="62"/>
      <c r="K41" s="62"/>
      <c r="L41" s="62"/>
      <c r="M41" s="62"/>
      <c r="N41" s="62">
        <f t="shared" si="1"/>
        <v>0</v>
      </c>
      <c r="O41" s="53" t="str">
        <f t="shared" si="35"/>
        <v/>
      </c>
      <c r="P41" s="53" t="str">
        <f t="shared" si="36"/>
        <v/>
      </c>
      <c r="Q41" s="53" t="str">
        <f t="shared" si="37"/>
        <v/>
      </c>
      <c r="R41" s="53" t="str">
        <f t="shared" si="38"/>
        <v/>
      </c>
      <c r="S41" s="53" t="str">
        <f t="shared" si="39"/>
        <v/>
      </c>
      <c r="T41" s="53" t="str">
        <f t="shared" si="40"/>
        <v/>
      </c>
      <c r="U41" s="53" t="str">
        <f t="shared" si="41"/>
        <v/>
      </c>
      <c r="V41" s="53" t="str">
        <f t="shared" si="42"/>
        <v/>
      </c>
      <c r="W41" s="53" t="str">
        <f t="shared" si="34"/>
        <v>DNS/DNF ()</v>
      </c>
      <c r="X41" s="53" t="str">
        <f t="shared" si="10"/>
        <v>DNS/DNF ()</v>
      </c>
      <c r="Y41" s="53" t="str">
        <f t="shared" si="11"/>
        <v>DNS/DNF ()</v>
      </c>
      <c r="Z41" s="53" t="str">
        <f t="shared" si="12"/>
        <v>DNS/DNF ()</v>
      </c>
      <c r="AA41" s="53" t="str">
        <f t="shared" si="13"/>
        <v>DNS/DNF ()</v>
      </c>
      <c r="AB41" s="53" t="str">
        <f t="shared" si="14"/>
        <v>DNS/DNF ()</v>
      </c>
      <c r="AC41" s="53" t="str">
        <f t="shared" si="15"/>
        <v>DNS/DNF ()</v>
      </c>
      <c r="AD41" s="53" t="str">
        <f t="shared" si="16"/>
        <v>DNS/DNF ()</v>
      </c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62" t="str">
        <f t="shared" si="17"/>
        <v>DNS/DNF</v>
      </c>
      <c r="AV41" s="62" t="str">
        <f t="shared" si="18"/>
        <v>DNS/DNF</v>
      </c>
      <c r="AW41" s="62" t="str">
        <f t="shared" si="19"/>
        <v>DNS/DNF</v>
      </c>
      <c r="AX41" s="62" t="str">
        <f t="shared" si="20"/>
        <v>DNS/DNF</v>
      </c>
      <c r="AY41" s="62" t="str">
        <f t="shared" si="21"/>
        <v>DNS/DNF</v>
      </c>
      <c r="AZ41" s="62" t="str">
        <f t="shared" si="22"/>
        <v>DNS/DNF</v>
      </c>
      <c r="BA41" s="62" t="str">
        <f t="shared" si="23"/>
        <v>DNS/DNF</v>
      </c>
      <c r="BB41" s="62" t="str">
        <f t="shared" si="24"/>
        <v>DNS/DNF</v>
      </c>
      <c r="BC41" s="75" t="str">
        <f t="shared" si="25"/>
        <v/>
      </c>
      <c r="BD41" s="53" t="str">
        <f t="shared" si="26"/>
        <v/>
      </c>
      <c r="BE41" s="53" t="str">
        <f t="shared" si="27"/>
        <v/>
      </c>
      <c r="BF41" s="53" t="str">
        <f t="shared" si="28"/>
        <v/>
      </c>
      <c r="BG41" s="53" t="str">
        <f t="shared" si="29"/>
        <v/>
      </c>
      <c r="BH41" s="53" t="str">
        <f t="shared" si="30"/>
        <v/>
      </c>
      <c r="BI41" s="53" t="str">
        <f t="shared" si="31"/>
        <v/>
      </c>
      <c r="BJ41" s="53" t="str">
        <f t="shared" si="32"/>
        <v/>
      </c>
      <c r="BK41" s="53" t="str">
        <f t="shared" si="33"/>
        <v/>
      </c>
    </row>
    <row r="42" spans="1:63">
      <c r="A42" s="53"/>
      <c r="B42" s="89" t="str">
        <f>IFERROR(VLOOKUP($A42,EntryList!$A$3:$N$645,2,FALSE),"")</f>
        <v/>
      </c>
      <c r="C42" s="74"/>
      <c r="D42" s="53">
        <f t="shared" si="0"/>
        <v>0</v>
      </c>
      <c r="E42" s="62"/>
      <c r="F42" s="62"/>
      <c r="G42" s="62"/>
      <c r="H42" s="62"/>
      <c r="I42" s="62"/>
      <c r="J42" s="62"/>
      <c r="K42" s="62"/>
      <c r="L42" s="62"/>
      <c r="M42" s="62"/>
      <c r="N42" s="62">
        <f t="shared" si="1"/>
        <v>0</v>
      </c>
      <c r="O42" s="53" t="str">
        <f t="shared" si="35"/>
        <v/>
      </c>
      <c r="P42" s="53" t="str">
        <f t="shared" si="36"/>
        <v/>
      </c>
      <c r="Q42" s="53" t="str">
        <f t="shared" si="37"/>
        <v/>
      </c>
      <c r="R42" s="53" t="str">
        <f t="shared" si="38"/>
        <v/>
      </c>
      <c r="S42" s="53" t="str">
        <f t="shared" si="39"/>
        <v/>
      </c>
      <c r="T42" s="53" t="str">
        <f t="shared" si="40"/>
        <v/>
      </c>
      <c r="U42" s="53" t="str">
        <f t="shared" si="41"/>
        <v/>
      </c>
      <c r="V42" s="53" t="str">
        <f t="shared" si="42"/>
        <v/>
      </c>
      <c r="W42" s="53" t="str">
        <f t="shared" si="34"/>
        <v>DNS/DNF ()</v>
      </c>
      <c r="X42" s="53" t="str">
        <f t="shared" si="10"/>
        <v>DNS/DNF ()</v>
      </c>
      <c r="Y42" s="53" t="str">
        <f t="shared" si="11"/>
        <v>DNS/DNF ()</v>
      </c>
      <c r="Z42" s="53" t="str">
        <f t="shared" si="12"/>
        <v>DNS/DNF ()</v>
      </c>
      <c r="AA42" s="53" t="str">
        <f t="shared" si="13"/>
        <v>DNS/DNF ()</v>
      </c>
      <c r="AB42" s="53" t="str">
        <f t="shared" si="14"/>
        <v>DNS/DNF ()</v>
      </c>
      <c r="AC42" s="53" t="str">
        <f t="shared" si="15"/>
        <v>DNS/DNF ()</v>
      </c>
      <c r="AD42" s="53" t="str">
        <f t="shared" si="16"/>
        <v>DNS/DNF ()</v>
      </c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62" t="str">
        <f t="shared" si="17"/>
        <v>DNS/DNF</v>
      </c>
      <c r="AV42" s="62" t="str">
        <f t="shared" si="18"/>
        <v>DNS/DNF</v>
      </c>
      <c r="AW42" s="62" t="str">
        <f t="shared" si="19"/>
        <v>DNS/DNF</v>
      </c>
      <c r="AX42" s="62" t="str">
        <f t="shared" si="20"/>
        <v>DNS/DNF</v>
      </c>
      <c r="AY42" s="62" t="str">
        <f t="shared" si="21"/>
        <v>DNS/DNF</v>
      </c>
      <c r="AZ42" s="62" t="str">
        <f t="shared" si="22"/>
        <v>DNS/DNF</v>
      </c>
      <c r="BA42" s="62" t="str">
        <f t="shared" si="23"/>
        <v>DNS/DNF</v>
      </c>
      <c r="BB42" s="62" t="str">
        <f t="shared" si="24"/>
        <v>DNS/DNF</v>
      </c>
      <c r="BC42" s="75" t="str">
        <f t="shared" si="25"/>
        <v/>
      </c>
      <c r="BD42" s="53" t="str">
        <f t="shared" si="26"/>
        <v/>
      </c>
      <c r="BE42" s="53" t="str">
        <f t="shared" si="27"/>
        <v/>
      </c>
      <c r="BF42" s="53" t="str">
        <f t="shared" si="28"/>
        <v/>
      </c>
      <c r="BG42" s="53" t="str">
        <f t="shared" si="29"/>
        <v/>
      </c>
      <c r="BH42" s="53" t="str">
        <f t="shared" si="30"/>
        <v/>
      </c>
      <c r="BI42" s="53" t="str">
        <f t="shared" si="31"/>
        <v/>
      </c>
      <c r="BJ42" s="53" t="str">
        <f t="shared" si="32"/>
        <v/>
      </c>
      <c r="BK42" s="53" t="str">
        <f t="shared" si="33"/>
        <v/>
      </c>
    </row>
    <row r="43" spans="1:63">
      <c r="A43" s="53"/>
      <c r="B43" s="89" t="str">
        <f>IFERROR(VLOOKUP($A43,EntryList!$A$3:$N$645,2,FALSE),"")</f>
        <v/>
      </c>
      <c r="C43" s="74"/>
      <c r="D43" s="53">
        <f t="shared" si="0"/>
        <v>0</v>
      </c>
      <c r="E43" s="62"/>
      <c r="F43" s="62"/>
      <c r="G43" s="62"/>
      <c r="H43" s="62"/>
      <c r="I43" s="62"/>
      <c r="J43" s="62"/>
      <c r="K43" s="62"/>
      <c r="L43" s="62"/>
      <c r="M43" s="62"/>
      <c r="N43" s="62">
        <f t="shared" si="1"/>
        <v>0</v>
      </c>
      <c r="O43" s="53" t="str">
        <f t="shared" si="35"/>
        <v/>
      </c>
      <c r="P43" s="53" t="str">
        <f t="shared" si="36"/>
        <v/>
      </c>
      <c r="Q43" s="53" t="str">
        <f t="shared" si="37"/>
        <v/>
      </c>
      <c r="R43" s="53" t="str">
        <f t="shared" si="38"/>
        <v/>
      </c>
      <c r="S43" s="53" t="str">
        <f t="shared" si="39"/>
        <v/>
      </c>
      <c r="T43" s="53" t="str">
        <f t="shared" si="40"/>
        <v/>
      </c>
      <c r="U43" s="53" t="str">
        <f t="shared" si="41"/>
        <v/>
      </c>
      <c r="V43" s="53" t="str">
        <f t="shared" si="42"/>
        <v/>
      </c>
      <c r="W43" s="53" t="str">
        <f t="shared" si="34"/>
        <v>DNS/DNF ()</v>
      </c>
      <c r="X43" s="53" t="str">
        <f t="shared" si="10"/>
        <v>DNS/DNF ()</v>
      </c>
      <c r="Y43" s="53" t="str">
        <f t="shared" si="11"/>
        <v>DNS/DNF ()</v>
      </c>
      <c r="Z43" s="53" t="str">
        <f t="shared" si="12"/>
        <v>DNS/DNF ()</v>
      </c>
      <c r="AA43" s="53" t="str">
        <f t="shared" si="13"/>
        <v>DNS/DNF ()</v>
      </c>
      <c r="AB43" s="53" t="str">
        <f t="shared" si="14"/>
        <v>DNS/DNF ()</v>
      </c>
      <c r="AC43" s="53" t="str">
        <f t="shared" si="15"/>
        <v>DNS/DNF ()</v>
      </c>
      <c r="AD43" s="53" t="str">
        <f t="shared" si="16"/>
        <v>DNS/DNF ()</v>
      </c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62" t="str">
        <f t="shared" si="17"/>
        <v>DNS/DNF</v>
      </c>
      <c r="AV43" s="62" t="str">
        <f t="shared" si="18"/>
        <v>DNS/DNF</v>
      </c>
      <c r="AW43" s="62" t="str">
        <f t="shared" si="19"/>
        <v>DNS/DNF</v>
      </c>
      <c r="AX43" s="62" t="str">
        <f t="shared" si="20"/>
        <v>DNS/DNF</v>
      </c>
      <c r="AY43" s="62" t="str">
        <f t="shared" si="21"/>
        <v>DNS/DNF</v>
      </c>
      <c r="AZ43" s="62" t="str">
        <f t="shared" si="22"/>
        <v>DNS/DNF</v>
      </c>
      <c r="BA43" s="62" t="str">
        <f t="shared" si="23"/>
        <v>DNS/DNF</v>
      </c>
      <c r="BB43" s="62" t="str">
        <f t="shared" si="24"/>
        <v>DNS/DNF</v>
      </c>
      <c r="BC43" s="75" t="str">
        <f t="shared" si="25"/>
        <v/>
      </c>
      <c r="BD43" s="53" t="str">
        <f t="shared" si="26"/>
        <v/>
      </c>
      <c r="BE43" s="53" t="str">
        <f t="shared" si="27"/>
        <v/>
      </c>
      <c r="BF43" s="53" t="str">
        <f t="shared" si="28"/>
        <v/>
      </c>
      <c r="BG43" s="53" t="str">
        <f t="shared" si="29"/>
        <v/>
      </c>
      <c r="BH43" s="53" t="str">
        <f t="shared" si="30"/>
        <v/>
      </c>
      <c r="BI43" s="53" t="str">
        <f t="shared" si="31"/>
        <v/>
      </c>
      <c r="BJ43" s="53" t="str">
        <f t="shared" si="32"/>
        <v/>
      </c>
      <c r="BK43" s="53" t="str">
        <f t="shared" si="33"/>
        <v/>
      </c>
    </row>
    <row r="44" spans="1:63">
      <c r="A44" s="53"/>
      <c r="B44" s="89" t="str">
        <f>IFERROR(VLOOKUP($A44,EntryList!$A$3:$N$645,2,FALSE),"")</f>
        <v/>
      </c>
      <c r="C44" s="74"/>
      <c r="D44" s="53">
        <f t="shared" si="0"/>
        <v>0</v>
      </c>
      <c r="E44" s="62"/>
      <c r="F44" s="62"/>
      <c r="G44" s="62"/>
      <c r="H44" s="62"/>
      <c r="I44" s="62"/>
      <c r="J44" s="62"/>
      <c r="K44" s="62"/>
      <c r="L44" s="62"/>
      <c r="M44" s="62"/>
      <c r="N44" s="62">
        <f t="shared" si="1"/>
        <v>0</v>
      </c>
      <c r="O44" s="53" t="str">
        <f t="shared" si="35"/>
        <v/>
      </c>
      <c r="P44" s="53" t="str">
        <f t="shared" si="36"/>
        <v/>
      </c>
      <c r="Q44" s="53" t="str">
        <f t="shared" si="37"/>
        <v/>
      </c>
      <c r="R44" s="53" t="str">
        <f t="shared" si="38"/>
        <v/>
      </c>
      <c r="S44" s="53" t="str">
        <f t="shared" si="39"/>
        <v/>
      </c>
      <c r="T44" s="53" t="str">
        <f t="shared" si="40"/>
        <v/>
      </c>
      <c r="U44" s="53" t="str">
        <f t="shared" si="41"/>
        <v/>
      </c>
      <c r="V44" s="53" t="str">
        <f t="shared" si="42"/>
        <v/>
      </c>
      <c r="W44" s="53" t="str">
        <f t="shared" si="34"/>
        <v>DNS/DNF ()</v>
      </c>
      <c r="X44" s="53" t="str">
        <f t="shared" si="10"/>
        <v>DNS/DNF ()</v>
      </c>
      <c r="Y44" s="53" t="str">
        <f t="shared" si="11"/>
        <v>DNS/DNF ()</v>
      </c>
      <c r="Z44" s="53" t="str">
        <f t="shared" si="12"/>
        <v>DNS/DNF ()</v>
      </c>
      <c r="AA44" s="53" t="str">
        <f t="shared" si="13"/>
        <v>DNS/DNF ()</v>
      </c>
      <c r="AB44" s="53" t="str">
        <f t="shared" si="14"/>
        <v>DNS/DNF ()</v>
      </c>
      <c r="AC44" s="53" t="str">
        <f t="shared" si="15"/>
        <v>DNS/DNF ()</v>
      </c>
      <c r="AD44" s="53" t="str">
        <f t="shared" si="16"/>
        <v>DNS/DNF ()</v>
      </c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62" t="str">
        <f t="shared" si="17"/>
        <v>DNS/DNF</v>
      </c>
      <c r="AV44" s="62" t="str">
        <f t="shared" si="18"/>
        <v>DNS/DNF</v>
      </c>
      <c r="AW44" s="62" t="str">
        <f t="shared" si="19"/>
        <v>DNS/DNF</v>
      </c>
      <c r="AX44" s="62" t="str">
        <f t="shared" si="20"/>
        <v>DNS/DNF</v>
      </c>
      <c r="AY44" s="62" t="str">
        <f t="shared" si="21"/>
        <v>DNS/DNF</v>
      </c>
      <c r="AZ44" s="62" t="str">
        <f t="shared" si="22"/>
        <v>DNS/DNF</v>
      </c>
      <c r="BA44" s="62" t="str">
        <f t="shared" si="23"/>
        <v>DNS/DNF</v>
      </c>
      <c r="BB44" s="62" t="str">
        <f t="shared" si="24"/>
        <v>DNS/DNF</v>
      </c>
      <c r="BC44" s="75" t="str">
        <f t="shared" si="25"/>
        <v/>
      </c>
      <c r="BD44" s="53" t="str">
        <f t="shared" si="26"/>
        <v/>
      </c>
      <c r="BE44" s="53" t="str">
        <f t="shared" si="27"/>
        <v/>
      </c>
      <c r="BF44" s="53" t="str">
        <f t="shared" si="28"/>
        <v/>
      </c>
      <c r="BG44" s="53" t="str">
        <f t="shared" si="29"/>
        <v/>
      </c>
      <c r="BH44" s="53" t="str">
        <f t="shared" si="30"/>
        <v/>
      </c>
      <c r="BI44" s="53" t="str">
        <f t="shared" si="31"/>
        <v/>
      </c>
      <c r="BJ44" s="53" t="str">
        <f t="shared" si="32"/>
        <v/>
      </c>
      <c r="BK44" s="53" t="str">
        <f t="shared" si="33"/>
        <v/>
      </c>
    </row>
    <row r="45" spans="1:63">
      <c r="A45" s="53"/>
      <c r="B45" s="89" t="str">
        <f>IFERROR(VLOOKUP($A45,EntryList!$A$3:$N$645,2,FALSE),"")</f>
        <v/>
      </c>
      <c r="C45" s="74"/>
      <c r="D45" s="53">
        <f t="shared" si="0"/>
        <v>0</v>
      </c>
      <c r="E45" s="62"/>
      <c r="F45" s="62"/>
      <c r="G45" s="62"/>
      <c r="H45" s="62"/>
      <c r="I45" s="62"/>
      <c r="J45" s="62"/>
      <c r="K45" s="62"/>
      <c r="L45" s="62"/>
      <c r="M45" s="62"/>
      <c r="N45" s="62">
        <f t="shared" si="1"/>
        <v>0</v>
      </c>
      <c r="O45" s="53" t="str">
        <f t="shared" si="35"/>
        <v/>
      </c>
      <c r="P45" s="53" t="str">
        <f t="shared" si="36"/>
        <v/>
      </c>
      <c r="Q45" s="53" t="str">
        <f t="shared" si="37"/>
        <v/>
      </c>
      <c r="R45" s="53" t="str">
        <f t="shared" si="38"/>
        <v/>
      </c>
      <c r="S45" s="53" t="str">
        <f t="shared" si="39"/>
        <v/>
      </c>
      <c r="T45" s="53" t="str">
        <f t="shared" si="40"/>
        <v/>
      </c>
      <c r="U45" s="53" t="str">
        <f t="shared" si="41"/>
        <v/>
      </c>
      <c r="V45" s="53" t="str">
        <f t="shared" si="42"/>
        <v/>
      </c>
      <c r="W45" s="53" t="str">
        <f t="shared" si="34"/>
        <v>DNS/DNF ()</v>
      </c>
      <c r="X45" s="53" t="str">
        <f t="shared" si="10"/>
        <v>DNS/DNF ()</v>
      </c>
      <c r="Y45" s="53" t="str">
        <f t="shared" si="11"/>
        <v>DNS/DNF ()</v>
      </c>
      <c r="Z45" s="53" t="str">
        <f t="shared" si="12"/>
        <v>DNS/DNF ()</v>
      </c>
      <c r="AA45" s="53" t="str">
        <f t="shared" si="13"/>
        <v>DNS/DNF ()</v>
      </c>
      <c r="AB45" s="53" t="str">
        <f t="shared" si="14"/>
        <v>DNS/DNF ()</v>
      </c>
      <c r="AC45" s="53" t="str">
        <f t="shared" si="15"/>
        <v>DNS/DNF ()</v>
      </c>
      <c r="AD45" s="53" t="str">
        <f t="shared" si="16"/>
        <v>DNS/DNF ()</v>
      </c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62" t="str">
        <f t="shared" si="17"/>
        <v>DNS/DNF</v>
      </c>
      <c r="AV45" s="62" t="str">
        <f t="shared" si="18"/>
        <v>DNS/DNF</v>
      </c>
      <c r="AW45" s="62" t="str">
        <f t="shared" si="19"/>
        <v>DNS/DNF</v>
      </c>
      <c r="AX45" s="62" t="str">
        <f t="shared" si="20"/>
        <v>DNS/DNF</v>
      </c>
      <c r="AY45" s="62" t="str">
        <f t="shared" si="21"/>
        <v>DNS/DNF</v>
      </c>
      <c r="AZ45" s="62" t="str">
        <f t="shared" si="22"/>
        <v>DNS/DNF</v>
      </c>
      <c r="BA45" s="62" t="str">
        <f t="shared" si="23"/>
        <v>DNS/DNF</v>
      </c>
      <c r="BB45" s="62" t="str">
        <f t="shared" si="24"/>
        <v>DNS/DNF</v>
      </c>
      <c r="BC45" s="75" t="str">
        <f t="shared" si="25"/>
        <v/>
      </c>
      <c r="BD45" s="53" t="str">
        <f t="shared" si="26"/>
        <v/>
      </c>
      <c r="BE45" s="53" t="str">
        <f t="shared" si="27"/>
        <v/>
      </c>
      <c r="BF45" s="53" t="str">
        <f t="shared" si="28"/>
        <v/>
      </c>
      <c r="BG45" s="53" t="str">
        <f t="shared" si="29"/>
        <v/>
      </c>
      <c r="BH45" s="53" t="str">
        <f t="shared" si="30"/>
        <v/>
      </c>
      <c r="BI45" s="53" t="str">
        <f t="shared" si="31"/>
        <v/>
      </c>
      <c r="BJ45" s="53" t="str">
        <f t="shared" si="32"/>
        <v/>
      </c>
      <c r="BK45" s="53" t="str">
        <f t="shared" si="33"/>
        <v/>
      </c>
    </row>
    <row r="46" spans="1:63">
      <c r="A46" s="53"/>
      <c r="B46" s="89" t="str">
        <f>IFERROR(VLOOKUP($A46,EntryList!$A$3:$N$645,2,FALSE),"")</f>
        <v/>
      </c>
      <c r="C46" s="74"/>
      <c r="D46" s="53">
        <f t="shared" si="0"/>
        <v>0</v>
      </c>
      <c r="E46" s="62"/>
      <c r="F46" s="62"/>
      <c r="G46" s="62"/>
      <c r="H46" s="62"/>
      <c r="I46" s="62"/>
      <c r="J46" s="62"/>
      <c r="K46" s="62"/>
      <c r="L46" s="62"/>
      <c r="M46" s="62"/>
      <c r="N46" s="62">
        <f t="shared" si="1"/>
        <v>0</v>
      </c>
      <c r="O46" s="53" t="str">
        <f t="shared" si="35"/>
        <v/>
      </c>
      <c r="P46" s="53" t="str">
        <f t="shared" si="36"/>
        <v/>
      </c>
      <c r="Q46" s="53" t="str">
        <f t="shared" si="37"/>
        <v/>
      </c>
      <c r="R46" s="53" t="str">
        <f t="shared" si="38"/>
        <v/>
      </c>
      <c r="S46" s="53" t="str">
        <f t="shared" si="39"/>
        <v/>
      </c>
      <c r="T46" s="53" t="str">
        <f t="shared" si="40"/>
        <v/>
      </c>
      <c r="U46" s="53" t="str">
        <f t="shared" si="41"/>
        <v/>
      </c>
      <c r="V46" s="53" t="str">
        <f t="shared" si="42"/>
        <v/>
      </c>
      <c r="W46" s="53" t="str">
        <f t="shared" si="34"/>
        <v>DNS/DNF ()</v>
      </c>
      <c r="X46" s="53" t="str">
        <f t="shared" si="10"/>
        <v>DNS/DNF ()</v>
      </c>
      <c r="Y46" s="53" t="str">
        <f t="shared" si="11"/>
        <v>DNS/DNF ()</v>
      </c>
      <c r="Z46" s="53" t="str">
        <f t="shared" si="12"/>
        <v>DNS/DNF ()</v>
      </c>
      <c r="AA46" s="53" t="str">
        <f t="shared" si="13"/>
        <v>DNS/DNF ()</v>
      </c>
      <c r="AB46" s="53" t="str">
        <f t="shared" si="14"/>
        <v>DNS/DNF ()</v>
      </c>
      <c r="AC46" s="53" t="str">
        <f t="shared" si="15"/>
        <v>DNS/DNF ()</v>
      </c>
      <c r="AD46" s="53" t="str">
        <f t="shared" si="16"/>
        <v>DNS/DNF ()</v>
      </c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62" t="str">
        <f t="shared" si="17"/>
        <v>DNS/DNF</v>
      </c>
      <c r="AV46" s="62" t="str">
        <f t="shared" si="18"/>
        <v>DNS/DNF</v>
      </c>
      <c r="AW46" s="62" t="str">
        <f t="shared" si="19"/>
        <v>DNS/DNF</v>
      </c>
      <c r="AX46" s="62" t="str">
        <f t="shared" si="20"/>
        <v>DNS/DNF</v>
      </c>
      <c r="AY46" s="62" t="str">
        <f t="shared" si="21"/>
        <v>DNS/DNF</v>
      </c>
      <c r="AZ46" s="62" t="str">
        <f t="shared" si="22"/>
        <v>DNS/DNF</v>
      </c>
      <c r="BA46" s="62" t="str">
        <f t="shared" si="23"/>
        <v>DNS/DNF</v>
      </c>
      <c r="BB46" s="62" t="str">
        <f t="shared" si="24"/>
        <v>DNS/DNF</v>
      </c>
      <c r="BC46" s="75" t="str">
        <f t="shared" si="25"/>
        <v/>
      </c>
      <c r="BD46" s="53" t="str">
        <f t="shared" si="26"/>
        <v/>
      </c>
      <c r="BE46" s="53" t="str">
        <f t="shared" si="27"/>
        <v/>
      </c>
      <c r="BF46" s="53" t="str">
        <f t="shared" si="28"/>
        <v/>
      </c>
      <c r="BG46" s="53" t="str">
        <f t="shared" si="29"/>
        <v/>
      </c>
      <c r="BH46" s="53" t="str">
        <f t="shared" si="30"/>
        <v/>
      </c>
      <c r="BI46" s="53" t="str">
        <f t="shared" si="31"/>
        <v/>
      </c>
      <c r="BJ46" s="53" t="str">
        <f t="shared" si="32"/>
        <v/>
      </c>
      <c r="BK46" s="53" t="str">
        <f t="shared" si="33"/>
        <v/>
      </c>
    </row>
    <row r="47" spans="1:63">
      <c r="A47" s="53"/>
      <c r="B47" s="89" t="str">
        <f>IFERROR(VLOOKUP($A47,EntryList!$A$3:$N$645,2,FALSE),"")</f>
        <v/>
      </c>
      <c r="C47" s="74"/>
      <c r="D47" s="53">
        <f t="shared" si="0"/>
        <v>0</v>
      </c>
      <c r="E47" s="62"/>
      <c r="F47" s="62"/>
      <c r="G47" s="62"/>
      <c r="H47" s="62"/>
      <c r="I47" s="62"/>
      <c r="J47" s="62"/>
      <c r="K47" s="62"/>
      <c r="L47" s="62"/>
      <c r="M47" s="62"/>
      <c r="N47" s="62">
        <f t="shared" si="1"/>
        <v>0</v>
      </c>
      <c r="O47" s="53" t="str">
        <f t="shared" si="35"/>
        <v/>
      </c>
      <c r="P47" s="53" t="str">
        <f t="shared" si="36"/>
        <v/>
      </c>
      <c r="Q47" s="53" t="str">
        <f t="shared" si="37"/>
        <v/>
      </c>
      <c r="R47" s="53" t="str">
        <f t="shared" si="38"/>
        <v/>
      </c>
      <c r="S47" s="53" t="str">
        <f t="shared" si="39"/>
        <v/>
      </c>
      <c r="T47" s="53" t="str">
        <f t="shared" si="40"/>
        <v/>
      </c>
      <c r="U47" s="53" t="str">
        <f t="shared" si="41"/>
        <v/>
      </c>
      <c r="V47" s="53" t="str">
        <f t="shared" si="42"/>
        <v/>
      </c>
      <c r="W47" s="53" t="str">
        <f t="shared" si="34"/>
        <v>DNS/DNF ()</v>
      </c>
      <c r="X47" s="53" t="str">
        <f t="shared" si="10"/>
        <v>DNS/DNF ()</v>
      </c>
      <c r="Y47" s="53" t="str">
        <f t="shared" si="11"/>
        <v>DNS/DNF ()</v>
      </c>
      <c r="Z47" s="53" t="str">
        <f t="shared" si="12"/>
        <v>DNS/DNF ()</v>
      </c>
      <c r="AA47" s="53" t="str">
        <f t="shared" si="13"/>
        <v>DNS/DNF ()</v>
      </c>
      <c r="AB47" s="53" t="str">
        <f t="shared" si="14"/>
        <v>DNS/DNF ()</v>
      </c>
      <c r="AC47" s="53" t="str">
        <f t="shared" si="15"/>
        <v>DNS/DNF ()</v>
      </c>
      <c r="AD47" s="53" t="str">
        <f t="shared" si="16"/>
        <v>DNS/DNF ()</v>
      </c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62" t="str">
        <f t="shared" si="17"/>
        <v>DNS/DNF</v>
      </c>
      <c r="AV47" s="62" t="str">
        <f t="shared" si="18"/>
        <v>DNS/DNF</v>
      </c>
      <c r="AW47" s="62" t="str">
        <f t="shared" si="19"/>
        <v>DNS/DNF</v>
      </c>
      <c r="AX47" s="62" t="str">
        <f t="shared" si="20"/>
        <v>DNS/DNF</v>
      </c>
      <c r="AY47" s="62" t="str">
        <f t="shared" si="21"/>
        <v>DNS/DNF</v>
      </c>
      <c r="AZ47" s="62" t="str">
        <f t="shared" si="22"/>
        <v>DNS/DNF</v>
      </c>
      <c r="BA47" s="62" t="str">
        <f t="shared" si="23"/>
        <v>DNS/DNF</v>
      </c>
      <c r="BB47" s="62" t="str">
        <f t="shared" si="24"/>
        <v>DNS/DNF</v>
      </c>
      <c r="BC47" s="75" t="str">
        <f t="shared" si="25"/>
        <v/>
      </c>
      <c r="BD47" s="53" t="str">
        <f t="shared" si="26"/>
        <v/>
      </c>
      <c r="BE47" s="53" t="str">
        <f t="shared" si="27"/>
        <v/>
      </c>
      <c r="BF47" s="53" t="str">
        <f t="shared" si="28"/>
        <v/>
      </c>
      <c r="BG47" s="53" t="str">
        <f t="shared" si="29"/>
        <v/>
      </c>
      <c r="BH47" s="53" t="str">
        <f t="shared" si="30"/>
        <v/>
      </c>
      <c r="BI47" s="53" t="str">
        <f t="shared" si="31"/>
        <v/>
      </c>
      <c r="BJ47" s="53" t="str">
        <f t="shared" si="32"/>
        <v/>
      </c>
      <c r="BK47" s="53" t="str">
        <f t="shared" si="33"/>
        <v/>
      </c>
    </row>
    <row r="48" spans="1:63">
      <c r="A48" s="53"/>
      <c r="B48" s="89" t="str">
        <f>IFERROR(VLOOKUP($A48,EntryList!$A$3:$N$645,2,FALSE),"")</f>
        <v/>
      </c>
      <c r="C48" s="74"/>
      <c r="D48" s="53">
        <f t="shared" si="0"/>
        <v>0</v>
      </c>
      <c r="E48" s="62"/>
      <c r="F48" s="62"/>
      <c r="G48" s="62"/>
      <c r="H48" s="62"/>
      <c r="I48" s="62"/>
      <c r="J48" s="62"/>
      <c r="K48" s="62"/>
      <c r="L48" s="62"/>
      <c r="M48" s="62"/>
      <c r="N48" s="62">
        <f t="shared" si="1"/>
        <v>0</v>
      </c>
      <c r="O48" s="53" t="str">
        <f t="shared" si="35"/>
        <v/>
      </c>
      <c r="P48" s="53" t="str">
        <f t="shared" si="36"/>
        <v/>
      </c>
      <c r="Q48" s="53" t="str">
        <f t="shared" si="37"/>
        <v/>
      </c>
      <c r="R48" s="53" t="str">
        <f t="shared" si="38"/>
        <v/>
      </c>
      <c r="S48" s="53" t="str">
        <f t="shared" si="39"/>
        <v/>
      </c>
      <c r="T48" s="53" t="str">
        <f t="shared" si="40"/>
        <v/>
      </c>
      <c r="U48" s="53" t="str">
        <f t="shared" si="41"/>
        <v/>
      </c>
      <c r="V48" s="53" t="str">
        <f t="shared" si="42"/>
        <v/>
      </c>
      <c r="W48" s="53" t="str">
        <f t="shared" si="34"/>
        <v>DNS/DNF ()</v>
      </c>
      <c r="X48" s="53" t="str">
        <f t="shared" si="10"/>
        <v>DNS/DNF ()</v>
      </c>
      <c r="Y48" s="53" t="str">
        <f t="shared" si="11"/>
        <v>DNS/DNF ()</v>
      </c>
      <c r="Z48" s="53" t="str">
        <f t="shared" si="12"/>
        <v>DNS/DNF ()</v>
      </c>
      <c r="AA48" s="53" t="str">
        <f t="shared" si="13"/>
        <v>DNS/DNF ()</v>
      </c>
      <c r="AB48" s="53" t="str">
        <f t="shared" si="14"/>
        <v>DNS/DNF ()</v>
      </c>
      <c r="AC48" s="53" t="str">
        <f t="shared" si="15"/>
        <v>DNS/DNF ()</v>
      </c>
      <c r="AD48" s="53" t="str">
        <f t="shared" si="16"/>
        <v>DNS/DNF ()</v>
      </c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62" t="str">
        <f t="shared" si="17"/>
        <v>DNS/DNF</v>
      </c>
      <c r="AV48" s="62" t="str">
        <f t="shared" si="18"/>
        <v>DNS/DNF</v>
      </c>
      <c r="AW48" s="62" t="str">
        <f t="shared" si="19"/>
        <v>DNS/DNF</v>
      </c>
      <c r="AX48" s="62" t="str">
        <f t="shared" si="20"/>
        <v>DNS/DNF</v>
      </c>
      <c r="AY48" s="62" t="str">
        <f t="shared" si="21"/>
        <v>DNS/DNF</v>
      </c>
      <c r="AZ48" s="62" t="str">
        <f t="shared" si="22"/>
        <v>DNS/DNF</v>
      </c>
      <c r="BA48" s="62" t="str">
        <f t="shared" si="23"/>
        <v>DNS/DNF</v>
      </c>
      <c r="BB48" s="62" t="str">
        <f t="shared" si="24"/>
        <v>DNS/DNF</v>
      </c>
      <c r="BC48" s="75" t="str">
        <f t="shared" si="25"/>
        <v/>
      </c>
      <c r="BD48" s="53" t="str">
        <f t="shared" si="26"/>
        <v/>
      </c>
      <c r="BE48" s="53" t="str">
        <f t="shared" si="27"/>
        <v/>
      </c>
      <c r="BF48" s="53" t="str">
        <f t="shared" si="28"/>
        <v/>
      </c>
      <c r="BG48" s="53" t="str">
        <f t="shared" si="29"/>
        <v/>
      </c>
      <c r="BH48" s="53" t="str">
        <f t="shared" si="30"/>
        <v/>
      </c>
      <c r="BI48" s="53" t="str">
        <f t="shared" si="31"/>
        <v/>
      </c>
      <c r="BJ48" s="53" t="str">
        <f t="shared" si="32"/>
        <v/>
      </c>
      <c r="BK48" s="53" t="str">
        <f t="shared" si="33"/>
        <v/>
      </c>
    </row>
    <row r="49" spans="1:63">
      <c r="A49" s="53"/>
      <c r="B49" s="89" t="str">
        <f>IFERROR(VLOOKUP($A49,EntryList!$A$3:$N$645,2,FALSE),"")</f>
        <v/>
      </c>
      <c r="C49" s="74"/>
      <c r="D49" s="53">
        <f t="shared" si="0"/>
        <v>0</v>
      </c>
      <c r="E49" s="62"/>
      <c r="F49" s="62"/>
      <c r="G49" s="62"/>
      <c r="H49" s="62"/>
      <c r="I49" s="62"/>
      <c r="J49" s="62"/>
      <c r="K49" s="62"/>
      <c r="L49" s="62"/>
      <c r="M49" s="62"/>
      <c r="N49" s="62">
        <f t="shared" si="1"/>
        <v>0</v>
      </c>
      <c r="O49" s="53" t="str">
        <f t="shared" si="35"/>
        <v/>
      </c>
      <c r="P49" s="53" t="str">
        <f t="shared" si="36"/>
        <v/>
      </c>
      <c r="Q49" s="53" t="str">
        <f t="shared" si="37"/>
        <v/>
      </c>
      <c r="R49" s="53" t="str">
        <f t="shared" si="38"/>
        <v/>
      </c>
      <c r="S49" s="53" t="str">
        <f t="shared" si="39"/>
        <v/>
      </c>
      <c r="T49" s="53" t="str">
        <f t="shared" si="40"/>
        <v/>
      </c>
      <c r="U49" s="53" t="str">
        <f t="shared" si="41"/>
        <v/>
      </c>
      <c r="V49" s="53" t="str">
        <f t="shared" si="42"/>
        <v/>
      </c>
      <c r="W49" s="53" t="str">
        <f t="shared" si="34"/>
        <v>DNS/DNF ()</v>
      </c>
      <c r="X49" s="53" t="str">
        <f t="shared" si="10"/>
        <v>DNS/DNF ()</v>
      </c>
      <c r="Y49" s="53" t="str">
        <f t="shared" si="11"/>
        <v>DNS/DNF ()</v>
      </c>
      <c r="Z49" s="53" t="str">
        <f t="shared" si="12"/>
        <v>DNS/DNF ()</v>
      </c>
      <c r="AA49" s="53" t="str">
        <f t="shared" si="13"/>
        <v>DNS/DNF ()</v>
      </c>
      <c r="AB49" s="53" t="str">
        <f t="shared" si="14"/>
        <v>DNS/DNF ()</v>
      </c>
      <c r="AC49" s="53" t="str">
        <f t="shared" si="15"/>
        <v>DNS/DNF ()</v>
      </c>
      <c r="AD49" s="53" t="str">
        <f t="shared" si="16"/>
        <v>DNS/DNF ()</v>
      </c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62" t="str">
        <f t="shared" si="17"/>
        <v>DNS/DNF</v>
      </c>
      <c r="AV49" s="62" t="str">
        <f t="shared" si="18"/>
        <v>DNS/DNF</v>
      </c>
      <c r="AW49" s="62" t="str">
        <f t="shared" si="19"/>
        <v>DNS/DNF</v>
      </c>
      <c r="AX49" s="62" t="str">
        <f t="shared" si="20"/>
        <v>DNS/DNF</v>
      </c>
      <c r="AY49" s="62" t="str">
        <f t="shared" si="21"/>
        <v>DNS/DNF</v>
      </c>
      <c r="AZ49" s="62" t="str">
        <f t="shared" si="22"/>
        <v>DNS/DNF</v>
      </c>
      <c r="BA49" s="62" t="str">
        <f t="shared" si="23"/>
        <v>DNS/DNF</v>
      </c>
      <c r="BB49" s="62" t="str">
        <f t="shared" si="24"/>
        <v>DNS/DNF</v>
      </c>
      <c r="BC49" s="75" t="str">
        <f t="shared" si="25"/>
        <v/>
      </c>
      <c r="BD49" s="53" t="str">
        <f t="shared" si="26"/>
        <v/>
      </c>
      <c r="BE49" s="53" t="str">
        <f t="shared" si="27"/>
        <v/>
      </c>
      <c r="BF49" s="53" t="str">
        <f t="shared" si="28"/>
        <v/>
      </c>
      <c r="BG49" s="53" t="str">
        <f t="shared" si="29"/>
        <v/>
      </c>
      <c r="BH49" s="53" t="str">
        <f t="shared" si="30"/>
        <v/>
      </c>
      <c r="BI49" s="53" t="str">
        <f t="shared" si="31"/>
        <v/>
      </c>
      <c r="BJ49" s="53" t="str">
        <f t="shared" si="32"/>
        <v/>
      </c>
      <c r="BK49" s="53" t="str">
        <f t="shared" si="33"/>
        <v/>
      </c>
    </row>
    <row r="50" spans="1:63">
      <c r="A50" s="53"/>
      <c r="B50" s="89" t="str">
        <f>IFERROR(VLOOKUP($A50,EntryList!$A$3:$N$645,2,FALSE),"")</f>
        <v/>
      </c>
      <c r="C50" s="74"/>
      <c r="D50" s="53">
        <f t="shared" si="0"/>
        <v>0</v>
      </c>
      <c r="E50" s="62"/>
      <c r="F50" s="62"/>
      <c r="G50" s="62"/>
      <c r="H50" s="62"/>
      <c r="I50" s="62"/>
      <c r="J50" s="62"/>
      <c r="K50" s="62"/>
      <c r="L50" s="62"/>
      <c r="M50" s="62"/>
      <c r="N50" s="62">
        <f t="shared" si="1"/>
        <v>0</v>
      </c>
      <c r="O50" s="53" t="str">
        <f t="shared" si="35"/>
        <v/>
      </c>
      <c r="P50" s="53" t="str">
        <f t="shared" si="36"/>
        <v/>
      </c>
      <c r="Q50" s="53" t="str">
        <f t="shared" si="37"/>
        <v/>
      </c>
      <c r="R50" s="53" t="str">
        <f t="shared" si="38"/>
        <v/>
      </c>
      <c r="S50" s="53" t="str">
        <f t="shared" si="39"/>
        <v/>
      </c>
      <c r="T50" s="53" t="str">
        <f t="shared" si="40"/>
        <v/>
      </c>
      <c r="U50" s="53" t="str">
        <f t="shared" si="41"/>
        <v/>
      </c>
      <c r="V50" s="53" t="str">
        <f t="shared" si="42"/>
        <v/>
      </c>
      <c r="W50" s="53" t="str">
        <f t="shared" si="34"/>
        <v>DNS/DNF ()</v>
      </c>
      <c r="X50" s="53" t="str">
        <f t="shared" si="10"/>
        <v>DNS/DNF ()</v>
      </c>
      <c r="Y50" s="53" t="str">
        <f t="shared" si="11"/>
        <v>DNS/DNF ()</v>
      </c>
      <c r="Z50" s="53" t="str">
        <f t="shared" si="12"/>
        <v>DNS/DNF ()</v>
      </c>
      <c r="AA50" s="53" t="str">
        <f t="shared" si="13"/>
        <v>DNS/DNF ()</v>
      </c>
      <c r="AB50" s="53" t="str">
        <f t="shared" si="14"/>
        <v>DNS/DNF ()</v>
      </c>
      <c r="AC50" s="53" t="str">
        <f t="shared" si="15"/>
        <v>DNS/DNF ()</v>
      </c>
      <c r="AD50" s="53" t="str">
        <f t="shared" si="16"/>
        <v>DNS/DNF ()</v>
      </c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62" t="str">
        <f t="shared" si="17"/>
        <v>DNS/DNF</v>
      </c>
      <c r="AV50" s="62" t="str">
        <f t="shared" si="18"/>
        <v>DNS/DNF</v>
      </c>
      <c r="AW50" s="62" t="str">
        <f t="shared" si="19"/>
        <v>DNS/DNF</v>
      </c>
      <c r="AX50" s="62" t="str">
        <f t="shared" si="20"/>
        <v>DNS/DNF</v>
      </c>
      <c r="AY50" s="62" t="str">
        <f t="shared" si="21"/>
        <v>DNS/DNF</v>
      </c>
      <c r="AZ50" s="62" t="str">
        <f t="shared" si="22"/>
        <v>DNS/DNF</v>
      </c>
      <c r="BA50" s="62" t="str">
        <f t="shared" si="23"/>
        <v>DNS/DNF</v>
      </c>
      <c r="BB50" s="62" t="str">
        <f t="shared" si="24"/>
        <v>DNS/DNF</v>
      </c>
      <c r="BC50" s="75" t="str">
        <f t="shared" si="25"/>
        <v/>
      </c>
      <c r="BD50" s="53" t="str">
        <f t="shared" si="26"/>
        <v/>
      </c>
      <c r="BE50" s="53" t="str">
        <f t="shared" si="27"/>
        <v/>
      </c>
      <c r="BF50" s="53" t="str">
        <f t="shared" si="28"/>
        <v/>
      </c>
      <c r="BG50" s="53" t="str">
        <f t="shared" si="29"/>
        <v/>
      </c>
      <c r="BH50" s="53" t="str">
        <f t="shared" si="30"/>
        <v/>
      </c>
      <c r="BI50" s="53" t="str">
        <f t="shared" si="31"/>
        <v/>
      </c>
      <c r="BJ50" s="53" t="str">
        <f t="shared" si="32"/>
        <v/>
      </c>
      <c r="BK50" s="53" t="str">
        <f t="shared" si="33"/>
        <v/>
      </c>
    </row>
    <row r="51" spans="1:63">
      <c r="A51" s="53"/>
      <c r="B51" s="89" t="str">
        <f>IFERROR(VLOOKUP($A51,EntryList!$A$3:$N$645,2,FALSE),"")</f>
        <v/>
      </c>
      <c r="C51" s="74"/>
      <c r="D51" s="53">
        <f t="shared" si="0"/>
        <v>0</v>
      </c>
      <c r="E51" s="62"/>
      <c r="F51" s="62"/>
      <c r="G51" s="62"/>
      <c r="H51" s="62"/>
      <c r="I51" s="62"/>
      <c r="J51" s="62"/>
      <c r="K51" s="62"/>
      <c r="L51" s="62"/>
      <c r="M51" s="62"/>
      <c r="N51" s="62">
        <f t="shared" si="1"/>
        <v>0</v>
      </c>
      <c r="O51" s="53" t="str">
        <f t="shared" si="35"/>
        <v/>
      </c>
      <c r="P51" s="53" t="str">
        <f t="shared" si="36"/>
        <v/>
      </c>
      <c r="Q51" s="53" t="str">
        <f t="shared" si="37"/>
        <v/>
      </c>
      <c r="R51" s="53" t="str">
        <f t="shared" si="38"/>
        <v/>
      </c>
      <c r="S51" s="53" t="str">
        <f t="shared" si="39"/>
        <v/>
      </c>
      <c r="T51" s="53" t="str">
        <f t="shared" si="40"/>
        <v/>
      </c>
      <c r="U51" s="53" t="str">
        <f t="shared" si="41"/>
        <v/>
      </c>
      <c r="V51" s="53" t="str">
        <f t="shared" si="42"/>
        <v/>
      </c>
      <c r="W51" s="53" t="str">
        <f t="shared" si="34"/>
        <v>DNS/DNF ()</v>
      </c>
      <c r="X51" s="53" t="str">
        <f t="shared" si="10"/>
        <v>DNS/DNF ()</v>
      </c>
      <c r="Y51" s="53" t="str">
        <f t="shared" si="11"/>
        <v>DNS/DNF ()</v>
      </c>
      <c r="Z51" s="53" t="str">
        <f t="shared" si="12"/>
        <v>DNS/DNF ()</v>
      </c>
      <c r="AA51" s="53" t="str">
        <f t="shared" si="13"/>
        <v>DNS/DNF ()</v>
      </c>
      <c r="AB51" s="53" t="str">
        <f t="shared" si="14"/>
        <v>DNS/DNF ()</v>
      </c>
      <c r="AC51" s="53" t="str">
        <f t="shared" si="15"/>
        <v>DNS/DNF ()</v>
      </c>
      <c r="AD51" s="53" t="str">
        <f t="shared" si="16"/>
        <v>DNS/DNF ()</v>
      </c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62" t="str">
        <f t="shared" si="17"/>
        <v>DNS/DNF</v>
      </c>
      <c r="AV51" s="62" t="str">
        <f t="shared" si="18"/>
        <v>DNS/DNF</v>
      </c>
      <c r="AW51" s="62" t="str">
        <f t="shared" si="19"/>
        <v>DNS/DNF</v>
      </c>
      <c r="AX51" s="62" t="str">
        <f t="shared" si="20"/>
        <v>DNS/DNF</v>
      </c>
      <c r="AY51" s="62" t="str">
        <f t="shared" si="21"/>
        <v>DNS/DNF</v>
      </c>
      <c r="AZ51" s="62" t="str">
        <f t="shared" si="22"/>
        <v>DNS/DNF</v>
      </c>
      <c r="BA51" s="62" t="str">
        <f t="shared" si="23"/>
        <v>DNS/DNF</v>
      </c>
      <c r="BB51" s="62" t="str">
        <f t="shared" si="24"/>
        <v>DNS/DNF</v>
      </c>
      <c r="BC51" s="75" t="str">
        <f t="shared" si="25"/>
        <v/>
      </c>
      <c r="BD51" s="53" t="str">
        <f t="shared" si="26"/>
        <v/>
      </c>
      <c r="BE51" s="53" t="str">
        <f t="shared" si="27"/>
        <v/>
      </c>
      <c r="BF51" s="53" t="str">
        <f t="shared" si="28"/>
        <v/>
      </c>
      <c r="BG51" s="53" t="str">
        <f t="shared" si="29"/>
        <v/>
      </c>
      <c r="BH51" s="53" t="str">
        <f t="shared" si="30"/>
        <v/>
      </c>
      <c r="BI51" s="53" t="str">
        <f t="shared" si="31"/>
        <v/>
      </c>
      <c r="BJ51" s="53" t="str">
        <f t="shared" si="32"/>
        <v/>
      </c>
      <c r="BK51" s="53" t="str">
        <f t="shared" si="33"/>
        <v/>
      </c>
    </row>
    <row r="52" spans="1:63">
      <c r="A52" s="53"/>
      <c r="B52" s="89" t="str">
        <f>IFERROR(VLOOKUP($A52,EntryList!$A$3:$N$645,2,FALSE),"")</f>
        <v/>
      </c>
      <c r="C52" s="74"/>
      <c r="D52" s="53">
        <f t="shared" si="0"/>
        <v>0</v>
      </c>
      <c r="E52" s="62"/>
      <c r="F52" s="62"/>
      <c r="G52" s="62"/>
      <c r="H52" s="62"/>
      <c r="I52" s="62"/>
      <c r="J52" s="62"/>
      <c r="K52" s="62"/>
      <c r="L52" s="62"/>
      <c r="M52" s="62"/>
      <c r="N52" s="62">
        <f t="shared" si="1"/>
        <v>0</v>
      </c>
      <c r="O52" s="53" t="str">
        <f t="shared" si="35"/>
        <v/>
      </c>
      <c r="P52" s="53" t="str">
        <f t="shared" si="36"/>
        <v/>
      </c>
      <c r="Q52" s="53" t="str">
        <f t="shared" si="37"/>
        <v/>
      </c>
      <c r="R52" s="53" t="str">
        <f t="shared" si="38"/>
        <v/>
      </c>
      <c r="S52" s="53" t="str">
        <f t="shared" si="39"/>
        <v/>
      </c>
      <c r="T52" s="53" t="str">
        <f t="shared" si="40"/>
        <v/>
      </c>
      <c r="U52" s="53" t="str">
        <f t="shared" si="41"/>
        <v/>
      </c>
      <c r="V52" s="53" t="str">
        <f t="shared" si="42"/>
        <v/>
      </c>
      <c r="W52" s="53" t="str">
        <f t="shared" si="34"/>
        <v>DNS/DNF ()</v>
      </c>
      <c r="X52" s="53" t="str">
        <f t="shared" si="10"/>
        <v>DNS/DNF ()</v>
      </c>
      <c r="Y52" s="53" t="str">
        <f t="shared" si="11"/>
        <v>DNS/DNF ()</v>
      </c>
      <c r="Z52" s="53" t="str">
        <f t="shared" si="12"/>
        <v>DNS/DNF ()</v>
      </c>
      <c r="AA52" s="53" t="str">
        <f t="shared" si="13"/>
        <v>DNS/DNF ()</v>
      </c>
      <c r="AB52" s="53" t="str">
        <f t="shared" si="14"/>
        <v>DNS/DNF ()</v>
      </c>
      <c r="AC52" s="53" t="str">
        <f t="shared" si="15"/>
        <v>DNS/DNF ()</v>
      </c>
      <c r="AD52" s="53" t="str">
        <f t="shared" si="16"/>
        <v>DNS/DNF ()</v>
      </c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62" t="str">
        <f t="shared" si="17"/>
        <v>DNS/DNF</v>
      </c>
      <c r="AV52" s="62" t="str">
        <f t="shared" si="18"/>
        <v>DNS/DNF</v>
      </c>
      <c r="AW52" s="62" t="str">
        <f t="shared" si="19"/>
        <v>DNS/DNF</v>
      </c>
      <c r="AX52" s="62" t="str">
        <f t="shared" si="20"/>
        <v>DNS/DNF</v>
      </c>
      <c r="AY52" s="62" t="str">
        <f t="shared" si="21"/>
        <v>DNS/DNF</v>
      </c>
      <c r="AZ52" s="62" t="str">
        <f t="shared" si="22"/>
        <v>DNS/DNF</v>
      </c>
      <c r="BA52" s="62" t="str">
        <f t="shared" si="23"/>
        <v>DNS/DNF</v>
      </c>
      <c r="BB52" s="62" t="str">
        <f t="shared" si="24"/>
        <v>DNS/DNF</v>
      </c>
      <c r="BC52" s="75" t="str">
        <f t="shared" si="25"/>
        <v/>
      </c>
      <c r="BD52" s="53" t="str">
        <f t="shared" si="26"/>
        <v/>
      </c>
      <c r="BE52" s="53" t="str">
        <f t="shared" si="27"/>
        <v/>
      </c>
      <c r="BF52" s="53" t="str">
        <f t="shared" si="28"/>
        <v/>
      </c>
      <c r="BG52" s="53" t="str">
        <f t="shared" si="29"/>
        <v/>
      </c>
      <c r="BH52" s="53" t="str">
        <f t="shared" si="30"/>
        <v/>
      </c>
      <c r="BI52" s="53" t="str">
        <f t="shared" si="31"/>
        <v/>
      </c>
      <c r="BJ52" s="53" t="str">
        <f t="shared" si="32"/>
        <v/>
      </c>
      <c r="BK52" s="53" t="str">
        <f t="shared" si="33"/>
        <v/>
      </c>
    </row>
    <row r="53" spans="1:63">
      <c r="A53" s="53"/>
      <c r="B53" s="89" t="str">
        <f>IFERROR(VLOOKUP($A53,EntryList!$A$3:$N$645,2,FALSE),"")</f>
        <v/>
      </c>
      <c r="C53" s="74"/>
      <c r="D53" s="53">
        <f t="shared" si="0"/>
        <v>0</v>
      </c>
      <c r="E53" s="62"/>
      <c r="F53" s="62"/>
      <c r="G53" s="62"/>
      <c r="H53" s="62"/>
      <c r="I53" s="62"/>
      <c r="J53" s="62"/>
      <c r="K53" s="62"/>
      <c r="L53" s="62"/>
      <c r="M53" s="62"/>
      <c r="N53" s="62">
        <f t="shared" si="1"/>
        <v>0</v>
      </c>
      <c r="O53" s="53" t="str">
        <f t="shared" si="35"/>
        <v/>
      </c>
      <c r="P53" s="53" t="str">
        <f t="shared" si="36"/>
        <v/>
      </c>
      <c r="Q53" s="53" t="str">
        <f t="shared" si="37"/>
        <v/>
      </c>
      <c r="R53" s="53" t="str">
        <f t="shared" si="38"/>
        <v/>
      </c>
      <c r="S53" s="53" t="str">
        <f t="shared" si="39"/>
        <v/>
      </c>
      <c r="T53" s="53" t="str">
        <f t="shared" si="40"/>
        <v/>
      </c>
      <c r="U53" s="53" t="str">
        <f t="shared" si="41"/>
        <v/>
      </c>
      <c r="V53" s="53" t="str">
        <f t="shared" si="42"/>
        <v/>
      </c>
      <c r="W53" s="53" t="str">
        <f t="shared" si="34"/>
        <v>DNS/DNF ()</v>
      </c>
      <c r="X53" s="53" t="str">
        <f t="shared" si="10"/>
        <v>DNS/DNF ()</v>
      </c>
      <c r="Y53" s="53" t="str">
        <f t="shared" si="11"/>
        <v>DNS/DNF ()</v>
      </c>
      <c r="Z53" s="53" t="str">
        <f t="shared" si="12"/>
        <v>DNS/DNF ()</v>
      </c>
      <c r="AA53" s="53" t="str">
        <f t="shared" si="13"/>
        <v>DNS/DNF ()</v>
      </c>
      <c r="AB53" s="53" t="str">
        <f t="shared" si="14"/>
        <v>DNS/DNF ()</v>
      </c>
      <c r="AC53" s="53" t="str">
        <f t="shared" si="15"/>
        <v>DNS/DNF ()</v>
      </c>
      <c r="AD53" s="53" t="str">
        <f t="shared" si="16"/>
        <v>DNS/DNF ()</v>
      </c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62" t="str">
        <f t="shared" si="17"/>
        <v>DNS/DNF</v>
      </c>
      <c r="AV53" s="62" t="str">
        <f t="shared" si="18"/>
        <v>DNS/DNF</v>
      </c>
      <c r="AW53" s="62" t="str">
        <f t="shared" si="19"/>
        <v>DNS/DNF</v>
      </c>
      <c r="AX53" s="62" t="str">
        <f t="shared" si="20"/>
        <v>DNS/DNF</v>
      </c>
      <c r="AY53" s="62" t="str">
        <f t="shared" si="21"/>
        <v>DNS/DNF</v>
      </c>
      <c r="AZ53" s="62" t="str">
        <f t="shared" si="22"/>
        <v>DNS/DNF</v>
      </c>
      <c r="BA53" s="62" t="str">
        <f t="shared" si="23"/>
        <v>DNS/DNF</v>
      </c>
      <c r="BB53" s="62" t="str">
        <f t="shared" si="24"/>
        <v>DNS/DNF</v>
      </c>
      <c r="BC53" s="75" t="str">
        <f t="shared" si="25"/>
        <v/>
      </c>
      <c r="BD53" s="53" t="str">
        <f t="shared" si="26"/>
        <v/>
      </c>
      <c r="BE53" s="53" t="str">
        <f t="shared" si="27"/>
        <v/>
      </c>
      <c r="BF53" s="53" t="str">
        <f t="shared" si="28"/>
        <v/>
      </c>
      <c r="BG53" s="53" t="str">
        <f t="shared" si="29"/>
        <v/>
      </c>
      <c r="BH53" s="53" t="str">
        <f t="shared" si="30"/>
        <v/>
      </c>
      <c r="BI53" s="53" t="str">
        <f t="shared" si="31"/>
        <v/>
      </c>
      <c r="BJ53" s="53" t="str">
        <f t="shared" si="32"/>
        <v/>
      </c>
      <c r="BK53" s="53" t="str">
        <f t="shared" si="33"/>
        <v/>
      </c>
    </row>
    <row r="54" spans="1:63">
      <c r="A54" s="53"/>
      <c r="B54" s="89" t="str">
        <f>IFERROR(VLOOKUP($A54,EntryList!$A$3:$N$645,2,FALSE),"")</f>
        <v/>
      </c>
      <c r="C54" s="74"/>
      <c r="D54" s="53">
        <f t="shared" si="0"/>
        <v>0</v>
      </c>
      <c r="E54" s="62"/>
      <c r="F54" s="62"/>
      <c r="G54" s="62"/>
      <c r="H54" s="62"/>
      <c r="I54" s="62"/>
      <c r="J54" s="62"/>
      <c r="K54" s="62"/>
      <c r="L54" s="62"/>
      <c r="M54" s="62"/>
      <c r="N54" s="62">
        <f t="shared" si="1"/>
        <v>0</v>
      </c>
      <c r="O54" s="53" t="str">
        <f t="shared" si="35"/>
        <v/>
      </c>
      <c r="P54" s="53" t="str">
        <f t="shared" si="36"/>
        <v/>
      </c>
      <c r="Q54" s="53" t="str">
        <f t="shared" si="37"/>
        <v/>
      </c>
      <c r="R54" s="53" t="str">
        <f t="shared" si="38"/>
        <v/>
      </c>
      <c r="S54" s="53" t="str">
        <f t="shared" si="39"/>
        <v/>
      </c>
      <c r="T54" s="53" t="str">
        <f t="shared" si="40"/>
        <v/>
      </c>
      <c r="U54" s="53" t="str">
        <f t="shared" si="41"/>
        <v/>
      </c>
      <c r="V54" s="53" t="str">
        <f t="shared" si="42"/>
        <v/>
      </c>
      <c r="W54" s="53" t="str">
        <f t="shared" si="34"/>
        <v>DNS/DNF ()</v>
      </c>
      <c r="X54" s="53" t="str">
        <f t="shared" si="10"/>
        <v>DNS/DNF ()</v>
      </c>
      <c r="Y54" s="53" t="str">
        <f t="shared" si="11"/>
        <v>DNS/DNF ()</v>
      </c>
      <c r="Z54" s="53" t="str">
        <f t="shared" si="12"/>
        <v>DNS/DNF ()</v>
      </c>
      <c r="AA54" s="53" t="str">
        <f t="shared" si="13"/>
        <v>DNS/DNF ()</v>
      </c>
      <c r="AB54" s="53" t="str">
        <f t="shared" si="14"/>
        <v>DNS/DNF ()</v>
      </c>
      <c r="AC54" s="53" t="str">
        <f t="shared" si="15"/>
        <v>DNS/DNF ()</v>
      </c>
      <c r="AD54" s="53" t="str">
        <f t="shared" si="16"/>
        <v>DNS/DNF ()</v>
      </c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62" t="str">
        <f t="shared" si="17"/>
        <v>DNS/DNF</v>
      </c>
      <c r="AV54" s="62" t="str">
        <f t="shared" si="18"/>
        <v>DNS/DNF</v>
      </c>
      <c r="AW54" s="62" t="str">
        <f t="shared" si="19"/>
        <v>DNS/DNF</v>
      </c>
      <c r="AX54" s="62" t="str">
        <f t="shared" si="20"/>
        <v>DNS/DNF</v>
      </c>
      <c r="AY54" s="62" t="str">
        <f t="shared" si="21"/>
        <v>DNS/DNF</v>
      </c>
      <c r="AZ54" s="62" t="str">
        <f t="shared" si="22"/>
        <v>DNS/DNF</v>
      </c>
      <c r="BA54" s="62" t="str">
        <f t="shared" si="23"/>
        <v>DNS/DNF</v>
      </c>
      <c r="BB54" s="62" t="str">
        <f t="shared" si="24"/>
        <v>DNS/DNF</v>
      </c>
      <c r="BC54" s="75" t="str">
        <f t="shared" si="25"/>
        <v/>
      </c>
      <c r="BD54" s="53" t="str">
        <f t="shared" si="26"/>
        <v/>
      </c>
      <c r="BE54" s="53" t="str">
        <f t="shared" si="27"/>
        <v/>
      </c>
      <c r="BF54" s="53" t="str">
        <f t="shared" si="28"/>
        <v/>
      </c>
      <c r="BG54" s="53" t="str">
        <f t="shared" si="29"/>
        <v/>
      </c>
      <c r="BH54" s="53" t="str">
        <f t="shared" si="30"/>
        <v/>
      </c>
      <c r="BI54" s="53" t="str">
        <f t="shared" si="31"/>
        <v/>
      </c>
      <c r="BJ54" s="53" t="str">
        <f t="shared" si="32"/>
        <v/>
      </c>
      <c r="BK54" s="53" t="str">
        <f t="shared" si="33"/>
        <v/>
      </c>
    </row>
    <row r="55" spans="1:63">
      <c r="A55" s="53"/>
      <c r="B55" s="89" t="str">
        <f>IFERROR(VLOOKUP($A55,EntryList!$A$3:$N$645,2,FALSE),"")</f>
        <v/>
      </c>
      <c r="C55" s="74"/>
      <c r="D55" s="53">
        <f t="shared" si="0"/>
        <v>0</v>
      </c>
      <c r="E55" s="62"/>
      <c r="F55" s="62"/>
      <c r="G55" s="62"/>
      <c r="H55" s="62"/>
      <c r="I55" s="62"/>
      <c r="J55" s="62"/>
      <c r="K55" s="62"/>
      <c r="L55" s="62"/>
      <c r="M55" s="62"/>
      <c r="N55" s="62">
        <f t="shared" si="1"/>
        <v>0</v>
      </c>
      <c r="O55" s="53" t="str">
        <f t="shared" si="35"/>
        <v/>
      </c>
      <c r="P55" s="53" t="str">
        <f t="shared" si="36"/>
        <v/>
      </c>
      <c r="Q55" s="53" t="str">
        <f t="shared" si="37"/>
        <v/>
      </c>
      <c r="R55" s="53" t="str">
        <f t="shared" si="38"/>
        <v/>
      </c>
      <c r="S55" s="53" t="str">
        <f t="shared" si="39"/>
        <v/>
      </c>
      <c r="T55" s="53" t="str">
        <f t="shared" si="40"/>
        <v/>
      </c>
      <c r="U55" s="53" t="str">
        <f t="shared" si="41"/>
        <v/>
      </c>
      <c r="V55" s="53" t="str">
        <f t="shared" si="42"/>
        <v/>
      </c>
      <c r="W55" s="53" t="str">
        <f t="shared" si="34"/>
        <v>DNS/DNF ()</v>
      </c>
      <c r="X55" s="53" t="str">
        <f t="shared" si="10"/>
        <v>DNS/DNF ()</v>
      </c>
      <c r="Y55" s="53" t="str">
        <f t="shared" si="11"/>
        <v>DNS/DNF ()</v>
      </c>
      <c r="Z55" s="53" t="str">
        <f t="shared" si="12"/>
        <v>DNS/DNF ()</v>
      </c>
      <c r="AA55" s="53" t="str">
        <f t="shared" si="13"/>
        <v>DNS/DNF ()</v>
      </c>
      <c r="AB55" s="53" t="str">
        <f t="shared" si="14"/>
        <v>DNS/DNF ()</v>
      </c>
      <c r="AC55" s="53" t="str">
        <f t="shared" si="15"/>
        <v>DNS/DNF ()</v>
      </c>
      <c r="AD55" s="53" t="str">
        <f t="shared" si="16"/>
        <v>DNS/DNF ()</v>
      </c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62" t="str">
        <f t="shared" si="17"/>
        <v>DNS/DNF</v>
      </c>
      <c r="AV55" s="62" t="str">
        <f t="shared" si="18"/>
        <v>DNS/DNF</v>
      </c>
      <c r="AW55" s="62" t="str">
        <f t="shared" si="19"/>
        <v>DNS/DNF</v>
      </c>
      <c r="AX55" s="62" t="str">
        <f t="shared" si="20"/>
        <v>DNS/DNF</v>
      </c>
      <c r="AY55" s="62" t="str">
        <f t="shared" si="21"/>
        <v>DNS/DNF</v>
      </c>
      <c r="AZ55" s="62" t="str">
        <f t="shared" si="22"/>
        <v>DNS/DNF</v>
      </c>
      <c r="BA55" s="62" t="str">
        <f t="shared" si="23"/>
        <v>DNS/DNF</v>
      </c>
      <c r="BB55" s="62" t="str">
        <f t="shared" si="24"/>
        <v>DNS/DNF</v>
      </c>
      <c r="BC55" s="75" t="str">
        <f t="shared" si="25"/>
        <v/>
      </c>
      <c r="BD55" s="53" t="str">
        <f t="shared" si="26"/>
        <v/>
      </c>
      <c r="BE55" s="53" t="str">
        <f t="shared" si="27"/>
        <v/>
      </c>
      <c r="BF55" s="53" t="str">
        <f t="shared" si="28"/>
        <v/>
      </c>
      <c r="BG55" s="53" t="str">
        <f t="shared" si="29"/>
        <v/>
      </c>
      <c r="BH55" s="53" t="str">
        <f t="shared" si="30"/>
        <v/>
      </c>
      <c r="BI55" s="53" t="str">
        <f t="shared" si="31"/>
        <v/>
      </c>
      <c r="BJ55" s="53" t="str">
        <f t="shared" si="32"/>
        <v/>
      </c>
      <c r="BK55" s="53" t="str">
        <f t="shared" si="33"/>
        <v/>
      </c>
    </row>
    <row r="56" spans="1:63">
      <c r="A56" s="53"/>
      <c r="B56" s="89" t="str">
        <f>IFERROR(VLOOKUP($A56,EntryList!$A$3:$N$645,2,FALSE),"")</f>
        <v/>
      </c>
      <c r="C56" s="74"/>
      <c r="D56" s="53">
        <f t="shared" si="0"/>
        <v>0</v>
      </c>
      <c r="E56" s="62"/>
      <c r="F56" s="62"/>
      <c r="G56" s="62"/>
      <c r="H56" s="62"/>
      <c r="I56" s="62"/>
      <c r="J56" s="62"/>
      <c r="K56" s="62"/>
      <c r="L56" s="62"/>
      <c r="M56" s="62"/>
      <c r="N56" s="62">
        <f t="shared" si="1"/>
        <v>0</v>
      </c>
      <c r="O56" s="53" t="str">
        <f t="shared" si="35"/>
        <v/>
      </c>
      <c r="P56" s="53" t="str">
        <f t="shared" si="36"/>
        <v/>
      </c>
      <c r="Q56" s="53" t="str">
        <f t="shared" si="37"/>
        <v/>
      </c>
      <c r="R56" s="53" t="str">
        <f t="shared" si="38"/>
        <v/>
      </c>
      <c r="S56" s="53" t="str">
        <f t="shared" si="39"/>
        <v/>
      </c>
      <c r="T56" s="53" t="str">
        <f t="shared" si="40"/>
        <v/>
      </c>
      <c r="U56" s="53" t="str">
        <f t="shared" si="41"/>
        <v/>
      </c>
      <c r="V56" s="53" t="str">
        <f t="shared" si="42"/>
        <v/>
      </c>
      <c r="W56" s="53" t="str">
        <f t="shared" si="34"/>
        <v>DNS/DNF ()</v>
      </c>
      <c r="X56" s="53" t="str">
        <f t="shared" si="10"/>
        <v>DNS/DNF ()</v>
      </c>
      <c r="Y56" s="53" t="str">
        <f t="shared" si="11"/>
        <v>DNS/DNF ()</v>
      </c>
      <c r="Z56" s="53" t="str">
        <f t="shared" si="12"/>
        <v>DNS/DNF ()</v>
      </c>
      <c r="AA56" s="53" t="str">
        <f t="shared" si="13"/>
        <v>DNS/DNF ()</v>
      </c>
      <c r="AB56" s="53" t="str">
        <f t="shared" si="14"/>
        <v>DNS/DNF ()</v>
      </c>
      <c r="AC56" s="53" t="str">
        <f t="shared" si="15"/>
        <v>DNS/DNF ()</v>
      </c>
      <c r="AD56" s="53" t="str">
        <f t="shared" si="16"/>
        <v>DNS/DNF ()</v>
      </c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62" t="str">
        <f t="shared" si="17"/>
        <v>DNS/DNF</v>
      </c>
      <c r="AV56" s="62" t="str">
        <f t="shared" si="18"/>
        <v>DNS/DNF</v>
      </c>
      <c r="AW56" s="62" t="str">
        <f t="shared" si="19"/>
        <v>DNS/DNF</v>
      </c>
      <c r="AX56" s="62" t="str">
        <f t="shared" si="20"/>
        <v>DNS/DNF</v>
      </c>
      <c r="AY56" s="62" t="str">
        <f t="shared" si="21"/>
        <v>DNS/DNF</v>
      </c>
      <c r="AZ56" s="62" t="str">
        <f t="shared" si="22"/>
        <v>DNS/DNF</v>
      </c>
      <c r="BA56" s="62" t="str">
        <f t="shared" si="23"/>
        <v>DNS/DNF</v>
      </c>
      <c r="BB56" s="62" t="str">
        <f t="shared" si="24"/>
        <v>DNS/DNF</v>
      </c>
      <c r="BC56" s="75" t="str">
        <f t="shared" si="25"/>
        <v/>
      </c>
      <c r="BD56" s="53" t="str">
        <f t="shared" si="26"/>
        <v/>
      </c>
      <c r="BE56" s="53" t="str">
        <f t="shared" si="27"/>
        <v/>
      </c>
      <c r="BF56" s="53" t="str">
        <f t="shared" si="28"/>
        <v/>
      </c>
      <c r="BG56" s="53" t="str">
        <f t="shared" si="29"/>
        <v/>
      </c>
      <c r="BH56" s="53" t="str">
        <f t="shared" si="30"/>
        <v/>
      </c>
      <c r="BI56" s="53" t="str">
        <f t="shared" si="31"/>
        <v/>
      </c>
      <c r="BJ56" s="53" t="str">
        <f t="shared" si="32"/>
        <v/>
      </c>
      <c r="BK56" s="53" t="str">
        <f t="shared" si="33"/>
        <v/>
      </c>
    </row>
    <row r="57" spans="1:63">
      <c r="A57" s="53"/>
      <c r="B57" s="89" t="str">
        <f>IFERROR(VLOOKUP($A57,EntryList!$A$3:$N$645,2,FALSE),"")</f>
        <v/>
      </c>
      <c r="C57" s="74"/>
      <c r="D57" s="53">
        <f t="shared" si="0"/>
        <v>0</v>
      </c>
      <c r="E57" s="62"/>
      <c r="F57" s="62"/>
      <c r="G57" s="62"/>
      <c r="H57" s="62"/>
      <c r="I57" s="62"/>
      <c r="J57" s="62"/>
      <c r="K57" s="62"/>
      <c r="L57" s="62"/>
      <c r="M57" s="62"/>
      <c r="N57" s="62">
        <f t="shared" si="1"/>
        <v>0</v>
      </c>
      <c r="O57" s="53" t="str">
        <f t="shared" si="35"/>
        <v/>
      </c>
      <c r="P57" s="53" t="str">
        <f t="shared" si="36"/>
        <v/>
      </c>
      <c r="Q57" s="53" t="str">
        <f t="shared" si="37"/>
        <v/>
      </c>
      <c r="R57" s="53" t="str">
        <f t="shared" si="38"/>
        <v/>
      </c>
      <c r="S57" s="53" t="str">
        <f t="shared" si="39"/>
        <v/>
      </c>
      <c r="T57" s="53" t="str">
        <f t="shared" si="40"/>
        <v/>
      </c>
      <c r="U57" s="53" t="str">
        <f t="shared" si="41"/>
        <v/>
      </c>
      <c r="V57" s="53" t="str">
        <f t="shared" si="42"/>
        <v/>
      </c>
      <c r="W57" s="53" t="str">
        <f t="shared" si="34"/>
        <v>DNS/DNF ()</v>
      </c>
      <c r="X57" s="53" t="str">
        <f t="shared" si="10"/>
        <v>DNS/DNF ()</v>
      </c>
      <c r="Y57" s="53" t="str">
        <f t="shared" si="11"/>
        <v>DNS/DNF ()</v>
      </c>
      <c r="Z57" s="53" t="str">
        <f t="shared" si="12"/>
        <v>DNS/DNF ()</v>
      </c>
      <c r="AA57" s="53" t="str">
        <f t="shared" si="13"/>
        <v>DNS/DNF ()</v>
      </c>
      <c r="AB57" s="53" t="str">
        <f t="shared" si="14"/>
        <v>DNS/DNF ()</v>
      </c>
      <c r="AC57" s="53" t="str">
        <f t="shared" si="15"/>
        <v>DNS/DNF ()</v>
      </c>
      <c r="AD57" s="53" t="str">
        <f t="shared" si="16"/>
        <v>DNS/DNF ()</v>
      </c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62" t="str">
        <f t="shared" si="17"/>
        <v>DNS/DNF</v>
      </c>
      <c r="AV57" s="62" t="str">
        <f t="shared" si="18"/>
        <v>DNS/DNF</v>
      </c>
      <c r="AW57" s="62" t="str">
        <f t="shared" si="19"/>
        <v>DNS/DNF</v>
      </c>
      <c r="AX57" s="62" t="str">
        <f t="shared" si="20"/>
        <v>DNS/DNF</v>
      </c>
      <c r="AY57" s="62" t="str">
        <f t="shared" si="21"/>
        <v>DNS/DNF</v>
      </c>
      <c r="AZ57" s="62" t="str">
        <f t="shared" si="22"/>
        <v>DNS/DNF</v>
      </c>
      <c r="BA57" s="62" t="str">
        <f t="shared" si="23"/>
        <v>DNS/DNF</v>
      </c>
      <c r="BB57" s="62" t="str">
        <f t="shared" si="24"/>
        <v>DNS/DNF</v>
      </c>
      <c r="BC57" s="75" t="str">
        <f t="shared" si="25"/>
        <v/>
      </c>
      <c r="BD57" s="53" t="str">
        <f t="shared" si="26"/>
        <v/>
      </c>
      <c r="BE57" s="53" t="str">
        <f t="shared" si="27"/>
        <v/>
      </c>
      <c r="BF57" s="53" t="str">
        <f t="shared" si="28"/>
        <v/>
      </c>
      <c r="BG57" s="53" t="str">
        <f t="shared" si="29"/>
        <v/>
      </c>
      <c r="BH57" s="53" t="str">
        <f t="shared" si="30"/>
        <v/>
      </c>
      <c r="BI57" s="53" t="str">
        <f t="shared" si="31"/>
        <v/>
      </c>
      <c r="BJ57" s="53" t="str">
        <f t="shared" si="32"/>
        <v/>
      </c>
      <c r="BK57" s="53" t="str">
        <f t="shared" si="33"/>
        <v/>
      </c>
    </row>
    <row r="58" spans="1:63">
      <c r="A58" s="53"/>
      <c r="B58" s="89" t="str">
        <f>IFERROR(VLOOKUP($A58,EntryList!$A$3:$N$645,2,FALSE),"")</f>
        <v/>
      </c>
      <c r="C58" s="74"/>
      <c r="D58" s="53">
        <f t="shared" si="0"/>
        <v>0</v>
      </c>
      <c r="E58" s="62"/>
      <c r="F58" s="62"/>
      <c r="G58" s="62"/>
      <c r="H58" s="62"/>
      <c r="I58" s="62"/>
      <c r="J58" s="62"/>
      <c r="K58" s="62"/>
      <c r="L58" s="62"/>
      <c r="M58" s="62"/>
      <c r="N58" s="62">
        <f t="shared" si="1"/>
        <v>0</v>
      </c>
      <c r="O58" s="53" t="str">
        <f t="shared" si="35"/>
        <v/>
      </c>
      <c r="P58" s="53" t="str">
        <f t="shared" si="36"/>
        <v/>
      </c>
      <c r="Q58" s="53" t="str">
        <f t="shared" si="37"/>
        <v/>
      </c>
      <c r="R58" s="53" t="str">
        <f t="shared" si="38"/>
        <v/>
      </c>
      <c r="S58" s="53" t="str">
        <f t="shared" si="39"/>
        <v/>
      </c>
      <c r="T58" s="53" t="str">
        <f t="shared" si="40"/>
        <v/>
      </c>
      <c r="U58" s="53" t="str">
        <f t="shared" si="41"/>
        <v/>
      </c>
      <c r="V58" s="53" t="str">
        <f t="shared" si="42"/>
        <v/>
      </c>
      <c r="W58" s="53" t="str">
        <f t="shared" si="34"/>
        <v>DNS/DNF ()</v>
      </c>
      <c r="X58" s="53" t="str">
        <f t="shared" si="10"/>
        <v>DNS/DNF ()</v>
      </c>
      <c r="Y58" s="53" t="str">
        <f t="shared" si="11"/>
        <v>DNS/DNF ()</v>
      </c>
      <c r="Z58" s="53" t="str">
        <f t="shared" si="12"/>
        <v>DNS/DNF ()</v>
      </c>
      <c r="AA58" s="53" t="str">
        <f t="shared" si="13"/>
        <v>DNS/DNF ()</v>
      </c>
      <c r="AB58" s="53" t="str">
        <f t="shared" si="14"/>
        <v>DNS/DNF ()</v>
      </c>
      <c r="AC58" s="53" t="str">
        <f t="shared" si="15"/>
        <v>DNS/DNF ()</v>
      </c>
      <c r="AD58" s="53" t="str">
        <f t="shared" si="16"/>
        <v>DNS/DNF ()</v>
      </c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62" t="str">
        <f t="shared" si="17"/>
        <v>DNS/DNF</v>
      </c>
      <c r="AV58" s="62" t="str">
        <f t="shared" si="18"/>
        <v>DNS/DNF</v>
      </c>
      <c r="AW58" s="62" t="str">
        <f t="shared" si="19"/>
        <v>DNS/DNF</v>
      </c>
      <c r="AX58" s="62" t="str">
        <f t="shared" si="20"/>
        <v>DNS/DNF</v>
      </c>
      <c r="AY58" s="62" t="str">
        <f t="shared" si="21"/>
        <v>DNS/DNF</v>
      </c>
      <c r="AZ58" s="62" t="str">
        <f t="shared" si="22"/>
        <v>DNS/DNF</v>
      </c>
      <c r="BA58" s="62" t="str">
        <f t="shared" si="23"/>
        <v>DNS/DNF</v>
      </c>
      <c r="BB58" s="62" t="str">
        <f t="shared" si="24"/>
        <v>DNS/DNF</v>
      </c>
      <c r="BC58" s="75" t="str">
        <f t="shared" si="25"/>
        <v/>
      </c>
      <c r="BD58" s="53" t="str">
        <f t="shared" si="26"/>
        <v/>
      </c>
      <c r="BE58" s="53" t="str">
        <f t="shared" si="27"/>
        <v/>
      </c>
      <c r="BF58" s="53" t="str">
        <f t="shared" si="28"/>
        <v/>
      </c>
      <c r="BG58" s="53" t="str">
        <f t="shared" si="29"/>
        <v/>
      </c>
      <c r="BH58" s="53" t="str">
        <f t="shared" si="30"/>
        <v/>
      </c>
      <c r="BI58" s="53" t="str">
        <f t="shared" si="31"/>
        <v/>
      </c>
      <c r="BJ58" s="53" t="str">
        <f t="shared" si="32"/>
        <v/>
      </c>
      <c r="BK58" s="53" t="str">
        <f t="shared" si="33"/>
        <v/>
      </c>
    </row>
    <row r="59" spans="1:63">
      <c r="A59" s="53"/>
      <c r="B59" s="89" t="str">
        <f>IFERROR(VLOOKUP($A59,EntryList!$A$3:$N$645,2,FALSE),"")</f>
        <v/>
      </c>
      <c r="C59" s="74"/>
      <c r="D59" s="53">
        <f t="shared" si="0"/>
        <v>0</v>
      </c>
      <c r="E59" s="62"/>
      <c r="F59" s="62"/>
      <c r="G59" s="62"/>
      <c r="H59" s="62"/>
      <c r="I59" s="62"/>
      <c r="J59" s="62"/>
      <c r="K59" s="62"/>
      <c r="L59" s="62"/>
      <c r="M59" s="62"/>
      <c r="N59" s="62">
        <f t="shared" si="1"/>
        <v>0</v>
      </c>
      <c r="O59" s="53" t="str">
        <f t="shared" si="35"/>
        <v/>
      </c>
      <c r="P59" s="53" t="str">
        <f t="shared" si="36"/>
        <v/>
      </c>
      <c r="Q59" s="53" t="str">
        <f t="shared" si="37"/>
        <v/>
      </c>
      <c r="R59" s="53" t="str">
        <f t="shared" si="38"/>
        <v/>
      </c>
      <c r="S59" s="53" t="str">
        <f t="shared" si="39"/>
        <v/>
      </c>
      <c r="T59" s="53" t="str">
        <f t="shared" si="40"/>
        <v/>
      </c>
      <c r="U59" s="53" t="str">
        <f t="shared" si="41"/>
        <v/>
      </c>
      <c r="V59" s="53" t="str">
        <f t="shared" si="42"/>
        <v/>
      </c>
      <c r="W59" s="53" t="str">
        <f t="shared" si="34"/>
        <v>DNS/DNF ()</v>
      </c>
      <c r="X59" s="53" t="str">
        <f t="shared" si="10"/>
        <v>DNS/DNF ()</v>
      </c>
      <c r="Y59" s="53" t="str">
        <f t="shared" si="11"/>
        <v>DNS/DNF ()</v>
      </c>
      <c r="Z59" s="53" t="str">
        <f t="shared" si="12"/>
        <v>DNS/DNF ()</v>
      </c>
      <c r="AA59" s="53" t="str">
        <f t="shared" si="13"/>
        <v>DNS/DNF ()</v>
      </c>
      <c r="AB59" s="53" t="str">
        <f t="shared" si="14"/>
        <v>DNS/DNF ()</v>
      </c>
      <c r="AC59" s="53" t="str">
        <f t="shared" si="15"/>
        <v>DNS/DNF ()</v>
      </c>
      <c r="AD59" s="53" t="str">
        <f t="shared" si="16"/>
        <v>DNS/DNF ()</v>
      </c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62" t="str">
        <f t="shared" si="17"/>
        <v>DNS/DNF</v>
      </c>
      <c r="AV59" s="62" t="str">
        <f t="shared" si="18"/>
        <v>DNS/DNF</v>
      </c>
      <c r="AW59" s="62" t="str">
        <f t="shared" si="19"/>
        <v>DNS/DNF</v>
      </c>
      <c r="AX59" s="62" t="str">
        <f t="shared" si="20"/>
        <v>DNS/DNF</v>
      </c>
      <c r="AY59" s="62" t="str">
        <f t="shared" si="21"/>
        <v>DNS/DNF</v>
      </c>
      <c r="AZ59" s="62" t="str">
        <f t="shared" si="22"/>
        <v>DNS/DNF</v>
      </c>
      <c r="BA59" s="62" t="str">
        <f t="shared" si="23"/>
        <v>DNS/DNF</v>
      </c>
      <c r="BB59" s="62" t="str">
        <f t="shared" si="24"/>
        <v>DNS/DNF</v>
      </c>
      <c r="BC59" s="75" t="str">
        <f t="shared" si="25"/>
        <v/>
      </c>
      <c r="BD59" s="53" t="str">
        <f t="shared" si="26"/>
        <v/>
      </c>
      <c r="BE59" s="53" t="str">
        <f t="shared" si="27"/>
        <v/>
      </c>
      <c r="BF59" s="53" t="str">
        <f t="shared" si="28"/>
        <v/>
      </c>
      <c r="BG59" s="53" t="str">
        <f t="shared" si="29"/>
        <v/>
      </c>
      <c r="BH59" s="53" t="str">
        <f t="shared" si="30"/>
        <v/>
      </c>
      <c r="BI59" s="53" t="str">
        <f t="shared" si="31"/>
        <v/>
      </c>
      <c r="BJ59" s="53" t="str">
        <f t="shared" si="32"/>
        <v/>
      </c>
      <c r="BK59" s="53" t="str">
        <f t="shared" si="33"/>
        <v/>
      </c>
    </row>
    <row r="60" spans="1:63">
      <c r="A60" s="53"/>
      <c r="B60" s="89" t="str">
        <f>IFERROR(VLOOKUP($A60,EntryList!$A$3:$N$645,2,FALSE),"")</f>
        <v/>
      </c>
      <c r="C60" s="74"/>
      <c r="D60" s="53">
        <f t="shared" si="0"/>
        <v>0</v>
      </c>
      <c r="E60" s="62"/>
      <c r="F60" s="62"/>
      <c r="G60" s="62"/>
      <c r="H60" s="62"/>
      <c r="I60" s="62"/>
      <c r="J60" s="62"/>
      <c r="K60" s="62"/>
      <c r="L60" s="62"/>
      <c r="M60" s="62"/>
      <c r="N60" s="62">
        <f t="shared" si="1"/>
        <v>0</v>
      </c>
      <c r="O60" s="53" t="str">
        <f t="shared" si="35"/>
        <v/>
      </c>
      <c r="P60" s="53" t="str">
        <f t="shared" si="36"/>
        <v/>
      </c>
      <c r="Q60" s="53" t="str">
        <f t="shared" si="37"/>
        <v/>
      </c>
      <c r="R60" s="53" t="str">
        <f t="shared" si="38"/>
        <v/>
      </c>
      <c r="S60" s="53" t="str">
        <f t="shared" si="39"/>
        <v/>
      </c>
      <c r="T60" s="53" t="str">
        <f t="shared" si="40"/>
        <v/>
      </c>
      <c r="U60" s="53" t="str">
        <f t="shared" si="41"/>
        <v/>
      </c>
      <c r="V60" s="53" t="str">
        <f t="shared" si="42"/>
        <v/>
      </c>
      <c r="W60" s="53" t="str">
        <f t="shared" si="34"/>
        <v>DNS/DNF ()</v>
      </c>
      <c r="X60" s="53" t="str">
        <f t="shared" si="10"/>
        <v>DNS/DNF ()</v>
      </c>
      <c r="Y60" s="53" t="str">
        <f t="shared" si="11"/>
        <v>DNS/DNF ()</v>
      </c>
      <c r="Z60" s="53" t="str">
        <f t="shared" si="12"/>
        <v>DNS/DNF ()</v>
      </c>
      <c r="AA60" s="53" t="str">
        <f t="shared" si="13"/>
        <v>DNS/DNF ()</v>
      </c>
      <c r="AB60" s="53" t="str">
        <f t="shared" si="14"/>
        <v>DNS/DNF ()</v>
      </c>
      <c r="AC60" s="53" t="str">
        <f t="shared" si="15"/>
        <v>DNS/DNF ()</v>
      </c>
      <c r="AD60" s="53" t="str">
        <f t="shared" si="16"/>
        <v>DNS/DNF ()</v>
      </c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62" t="str">
        <f t="shared" si="17"/>
        <v>DNS/DNF</v>
      </c>
      <c r="AV60" s="62" t="str">
        <f t="shared" si="18"/>
        <v>DNS/DNF</v>
      </c>
      <c r="AW60" s="62" t="str">
        <f t="shared" si="19"/>
        <v>DNS/DNF</v>
      </c>
      <c r="AX60" s="62" t="str">
        <f t="shared" si="20"/>
        <v>DNS/DNF</v>
      </c>
      <c r="AY60" s="62" t="str">
        <f t="shared" si="21"/>
        <v>DNS/DNF</v>
      </c>
      <c r="AZ60" s="62" t="str">
        <f t="shared" si="22"/>
        <v>DNS/DNF</v>
      </c>
      <c r="BA60" s="62" t="str">
        <f t="shared" si="23"/>
        <v>DNS/DNF</v>
      </c>
      <c r="BB60" s="62" t="str">
        <f t="shared" si="24"/>
        <v>DNS/DNF</v>
      </c>
      <c r="BC60" s="75" t="str">
        <f t="shared" si="25"/>
        <v/>
      </c>
      <c r="BD60" s="53" t="str">
        <f t="shared" si="26"/>
        <v/>
      </c>
      <c r="BE60" s="53" t="str">
        <f t="shared" si="27"/>
        <v/>
      </c>
      <c r="BF60" s="53" t="str">
        <f t="shared" si="28"/>
        <v/>
      </c>
      <c r="BG60" s="53" t="str">
        <f t="shared" si="29"/>
        <v/>
      </c>
      <c r="BH60" s="53" t="str">
        <f t="shared" si="30"/>
        <v/>
      </c>
      <c r="BI60" s="53" t="str">
        <f t="shared" si="31"/>
        <v/>
      </c>
      <c r="BJ60" s="53" t="str">
        <f t="shared" si="32"/>
        <v/>
      </c>
      <c r="BK60" s="53" t="str">
        <f t="shared" si="33"/>
        <v/>
      </c>
    </row>
    <row r="61" spans="1:63">
      <c r="A61" s="53"/>
      <c r="B61" s="89" t="str">
        <f>IFERROR(VLOOKUP($A61,EntryList!$A$3:$N$645,2,FALSE),"")</f>
        <v/>
      </c>
      <c r="C61" s="74"/>
      <c r="D61" s="53">
        <f t="shared" si="0"/>
        <v>0</v>
      </c>
      <c r="E61" s="62"/>
      <c r="F61" s="62"/>
      <c r="G61" s="62"/>
      <c r="H61" s="62"/>
      <c r="I61" s="62"/>
      <c r="J61" s="62"/>
      <c r="K61" s="62"/>
      <c r="L61" s="62"/>
      <c r="M61" s="62"/>
      <c r="N61" s="62">
        <f t="shared" si="1"/>
        <v>0</v>
      </c>
      <c r="O61" s="53" t="str">
        <f t="shared" si="35"/>
        <v/>
      </c>
      <c r="P61" s="53" t="str">
        <f t="shared" si="36"/>
        <v/>
      </c>
      <c r="Q61" s="53" t="str">
        <f t="shared" si="37"/>
        <v/>
      </c>
      <c r="R61" s="53" t="str">
        <f t="shared" si="38"/>
        <v/>
      </c>
      <c r="S61" s="53" t="str">
        <f t="shared" si="39"/>
        <v/>
      </c>
      <c r="T61" s="53" t="str">
        <f t="shared" si="40"/>
        <v/>
      </c>
      <c r="U61" s="53" t="str">
        <f t="shared" si="41"/>
        <v/>
      </c>
      <c r="V61" s="53" t="str">
        <f t="shared" si="42"/>
        <v/>
      </c>
      <c r="W61" s="53" t="str">
        <f t="shared" si="34"/>
        <v>DNS/DNF ()</v>
      </c>
      <c r="X61" s="53" t="str">
        <f t="shared" si="10"/>
        <v>DNS/DNF ()</v>
      </c>
      <c r="Y61" s="53" t="str">
        <f t="shared" si="11"/>
        <v>DNS/DNF ()</v>
      </c>
      <c r="Z61" s="53" t="str">
        <f t="shared" si="12"/>
        <v>DNS/DNF ()</v>
      </c>
      <c r="AA61" s="53" t="str">
        <f t="shared" si="13"/>
        <v>DNS/DNF ()</v>
      </c>
      <c r="AB61" s="53" t="str">
        <f t="shared" si="14"/>
        <v>DNS/DNF ()</v>
      </c>
      <c r="AC61" s="53" t="str">
        <f t="shared" si="15"/>
        <v>DNS/DNF ()</v>
      </c>
      <c r="AD61" s="53" t="str">
        <f t="shared" si="16"/>
        <v>DNS/DNF ()</v>
      </c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62" t="str">
        <f t="shared" si="17"/>
        <v>DNS/DNF</v>
      </c>
      <c r="AV61" s="62" t="str">
        <f t="shared" si="18"/>
        <v>DNS/DNF</v>
      </c>
      <c r="AW61" s="62" t="str">
        <f t="shared" si="19"/>
        <v>DNS/DNF</v>
      </c>
      <c r="AX61" s="62" t="str">
        <f t="shared" si="20"/>
        <v>DNS/DNF</v>
      </c>
      <c r="AY61" s="62" t="str">
        <f t="shared" si="21"/>
        <v>DNS/DNF</v>
      </c>
      <c r="AZ61" s="62" t="str">
        <f t="shared" si="22"/>
        <v>DNS/DNF</v>
      </c>
      <c r="BA61" s="62" t="str">
        <f t="shared" si="23"/>
        <v>DNS/DNF</v>
      </c>
      <c r="BB61" s="62" t="str">
        <f t="shared" si="24"/>
        <v>DNS/DNF</v>
      </c>
      <c r="BC61" s="75" t="str">
        <f t="shared" si="25"/>
        <v/>
      </c>
      <c r="BD61" s="53" t="str">
        <f t="shared" si="26"/>
        <v/>
      </c>
      <c r="BE61" s="53" t="str">
        <f t="shared" si="27"/>
        <v/>
      </c>
      <c r="BF61" s="53" t="str">
        <f t="shared" si="28"/>
        <v/>
      </c>
      <c r="BG61" s="53" t="str">
        <f t="shared" si="29"/>
        <v/>
      </c>
      <c r="BH61" s="53" t="str">
        <f t="shared" si="30"/>
        <v/>
      </c>
      <c r="BI61" s="53" t="str">
        <f t="shared" si="31"/>
        <v/>
      </c>
      <c r="BJ61" s="53" t="str">
        <f t="shared" si="32"/>
        <v/>
      </c>
      <c r="BK61" s="53" t="str">
        <f t="shared" si="33"/>
        <v/>
      </c>
    </row>
    <row r="62" spans="1:63">
      <c r="A62" s="53"/>
      <c r="B62" s="89" t="str">
        <f>IFERROR(VLOOKUP($A62,EntryList!$A$3:$N$645,2,FALSE),"")</f>
        <v/>
      </c>
      <c r="C62" s="74"/>
      <c r="D62" s="53">
        <f t="shared" si="0"/>
        <v>0</v>
      </c>
      <c r="E62" s="62"/>
      <c r="F62" s="62"/>
      <c r="G62" s="62"/>
      <c r="H62" s="62"/>
      <c r="I62" s="62"/>
      <c r="J62" s="62"/>
      <c r="K62" s="62"/>
      <c r="L62" s="62"/>
      <c r="M62" s="62"/>
      <c r="N62" s="62">
        <f t="shared" si="1"/>
        <v>0</v>
      </c>
      <c r="O62" s="53" t="str">
        <f t="shared" si="35"/>
        <v/>
      </c>
      <c r="P62" s="53" t="str">
        <f t="shared" si="36"/>
        <v/>
      </c>
      <c r="Q62" s="53" t="str">
        <f t="shared" si="37"/>
        <v/>
      </c>
      <c r="R62" s="53" t="str">
        <f t="shared" si="38"/>
        <v/>
      </c>
      <c r="S62" s="53" t="str">
        <f t="shared" si="39"/>
        <v/>
      </c>
      <c r="T62" s="53" t="str">
        <f t="shared" si="40"/>
        <v/>
      </c>
      <c r="U62" s="53" t="str">
        <f t="shared" si="41"/>
        <v/>
      </c>
      <c r="V62" s="53" t="str">
        <f t="shared" si="42"/>
        <v/>
      </c>
      <c r="W62" s="53" t="str">
        <f t="shared" si="34"/>
        <v>DNS/DNF ()</v>
      </c>
      <c r="X62" s="53" t="str">
        <f t="shared" si="10"/>
        <v>DNS/DNF ()</v>
      </c>
      <c r="Y62" s="53" t="str">
        <f t="shared" si="11"/>
        <v>DNS/DNF ()</v>
      </c>
      <c r="Z62" s="53" t="str">
        <f t="shared" si="12"/>
        <v>DNS/DNF ()</v>
      </c>
      <c r="AA62" s="53" t="str">
        <f t="shared" si="13"/>
        <v>DNS/DNF ()</v>
      </c>
      <c r="AB62" s="53" t="str">
        <f t="shared" si="14"/>
        <v>DNS/DNF ()</v>
      </c>
      <c r="AC62" s="53" t="str">
        <f t="shared" si="15"/>
        <v>DNS/DNF ()</v>
      </c>
      <c r="AD62" s="53" t="str">
        <f t="shared" si="16"/>
        <v>DNS/DNF ()</v>
      </c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62" t="str">
        <f t="shared" si="17"/>
        <v>DNS/DNF</v>
      </c>
      <c r="AV62" s="62" t="str">
        <f t="shared" si="18"/>
        <v>DNS/DNF</v>
      </c>
      <c r="AW62" s="62" t="str">
        <f t="shared" si="19"/>
        <v>DNS/DNF</v>
      </c>
      <c r="AX62" s="62" t="str">
        <f t="shared" si="20"/>
        <v>DNS/DNF</v>
      </c>
      <c r="AY62" s="62" t="str">
        <f t="shared" si="21"/>
        <v>DNS/DNF</v>
      </c>
      <c r="AZ62" s="62" t="str">
        <f t="shared" si="22"/>
        <v>DNS/DNF</v>
      </c>
      <c r="BA62" s="62" t="str">
        <f t="shared" si="23"/>
        <v>DNS/DNF</v>
      </c>
      <c r="BB62" s="62" t="str">
        <f t="shared" si="24"/>
        <v>DNS/DNF</v>
      </c>
      <c r="BC62" s="75" t="str">
        <f t="shared" si="25"/>
        <v/>
      </c>
      <c r="BD62" s="53" t="str">
        <f t="shared" si="26"/>
        <v/>
      </c>
      <c r="BE62" s="53" t="str">
        <f t="shared" si="27"/>
        <v/>
      </c>
      <c r="BF62" s="53" t="str">
        <f t="shared" si="28"/>
        <v/>
      </c>
      <c r="BG62" s="53" t="str">
        <f t="shared" si="29"/>
        <v/>
      </c>
      <c r="BH62" s="53" t="str">
        <f t="shared" si="30"/>
        <v/>
      </c>
      <c r="BI62" s="53" t="str">
        <f t="shared" si="31"/>
        <v/>
      </c>
      <c r="BJ62" s="53" t="str">
        <f t="shared" si="32"/>
        <v/>
      </c>
      <c r="BK62" s="53" t="str">
        <f t="shared" si="33"/>
        <v/>
      </c>
    </row>
    <row r="63" spans="1:63">
      <c r="A63" s="53"/>
      <c r="B63" s="89" t="str">
        <f>IFERROR(VLOOKUP($A63,EntryList!$A$3:$N$645,2,FALSE),"")</f>
        <v/>
      </c>
      <c r="C63" s="74"/>
      <c r="D63" s="53">
        <f t="shared" si="0"/>
        <v>0</v>
      </c>
      <c r="E63" s="62"/>
      <c r="F63" s="62"/>
      <c r="G63" s="62"/>
      <c r="H63" s="62"/>
      <c r="I63" s="62"/>
      <c r="J63" s="62"/>
      <c r="K63" s="62"/>
      <c r="L63" s="62"/>
      <c r="M63" s="62"/>
      <c r="N63" s="62">
        <f t="shared" si="1"/>
        <v>0</v>
      </c>
      <c r="O63" s="53" t="str">
        <f t="shared" si="35"/>
        <v/>
      </c>
      <c r="P63" s="53" t="str">
        <f t="shared" si="36"/>
        <v/>
      </c>
      <c r="Q63" s="53" t="str">
        <f t="shared" si="37"/>
        <v/>
      </c>
      <c r="R63" s="53" t="str">
        <f t="shared" si="38"/>
        <v/>
      </c>
      <c r="S63" s="53" t="str">
        <f t="shared" si="39"/>
        <v/>
      </c>
      <c r="T63" s="53" t="str">
        <f t="shared" si="40"/>
        <v/>
      </c>
      <c r="U63" s="53" t="str">
        <f t="shared" si="41"/>
        <v/>
      </c>
      <c r="V63" s="53" t="str">
        <f t="shared" si="42"/>
        <v/>
      </c>
      <c r="W63" s="53" t="str">
        <f t="shared" si="34"/>
        <v>DNS/DNF ()</v>
      </c>
      <c r="X63" s="53" t="str">
        <f t="shared" si="10"/>
        <v>DNS/DNF ()</v>
      </c>
      <c r="Y63" s="53" t="str">
        <f t="shared" si="11"/>
        <v>DNS/DNF ()</v>
      </c>
      <c r="Z63" s="53" t="str">
        <f t="shared" si="12"/>
        <v>DNS/DNF ()</v>
      </c>
      <c r="AA63" s="53" t="str">
        <f t="shared" si="13"/>
        <v>DNS/DNF ()</v>
      </c>
      <c r="AB63" s="53" t="str">
        <f t="shared" si="14"/>
        <v>DNS/DNF ()</v>
      </c>
      <c r="AC63" s="53" t="str">
        <f t="shared" si="15"/>
        <v>DNS/DNF ()</v>
      </c>
      <c r="AD63" s="53" t="str">
        <f t="shared" si="16"/>
        <v>DNS/DNF ()</v>
      </c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62" t="str">
        <f t="shared" si="17"/>
        <v>DNS/DNF</v>
      </c>
      <c r="AV63" s="62" t="str">
        <f t="shared" si="18"/>
        <v>DNS/DNF</v>
      </c>
      <c r="AW63" s="62" t="str">
        <f t="shared" si="19"/>
        <v>DNS/DNF</v>
      </c>
      <c r="AX63" s="62" t="str">
        <f t="shared" si="20"/>
        <v>DNS/DNF</v>
      </c>
      <c r="AY63" s="62" t="str">
        <f t="shared" si="21"/>
        <v>DNS/DNF</v>
      </c>
      <c r="AZ63" s="62" t="str">
        <f t="shared" si="22"/>
        <v>DNS/DNF</v>
      </c>
      <c r="BA63" s="62" t="str">
        <f t="shared" si="23"/>
        <v>DNS/DNF</v>
      </c>
      <c r="BB63" s="62" t="str">
        <f t="shared" si="24"/>
        <v>DNS/DNF</v>
      </c>
      <c r="BC63" s="75" t="str">
        <f t="shared" si="25"/>
        <v/>
      </c>
      <c r="BD63" s="53" t="str">
        <f t="shared" si="26"/>
        <v/>
      </c>
      <c r="BE63" s="53" t="str">
        <f t="shared" si="27"/>
        <v/>
      </c>
      <c r="BF63" s="53" t="str">
        <f t="shared" si="28"/>
        <v/>
      </c>
      <c r="BG63" s="53" t="str">
        <f t="shared" si="29"/>
        <v/>
      </c>
      <c r="BH63" s="53" t="str">
        <f t="shared" si="30"/>
        <v/>
      </c>
      <c r="BI63" s="53" t="str">
        <f t="shared" si="31"/>
        <v/>
      </c>
      <c r="BJ63" s="53" t="str">
        <f t="shared" si="32"/>
        <v/>
      </c>
      <c r="BK63" s="53" t="str">
        <f t="shared" si="33"/>
        <v/>
      </c>
    </row>
    <row r="64" spans="1:63">
      <c r="A64" s="53"/>
      <c r="B64" s="89" t="str">
        <f>IFERROR(VLOOKUP($A64,EntryList!$A$3:$N$645,2,FALSE),"")</f>
        <v/>
      </c>
      <c r="C64" s="74"/>
      <c r="D64" s="53">
        <f t="shared" si="0"/>
        <v>0</v>
      </c>
      <c r="E64" s="62"/>
      <c r="F64" s="62"/>
      <c r="G64" s="62"/>
      <c r="H64" s="62"/>
      <c r="I64" s="62"/>
      <c r="J64" s="62"/>
      <c r="K64" s="62"/>
      <c r="L64" s="62"/>
      <c r="M64" s="62"/>
      <c r="N64" s="62">
        <f t="shared" si="1"/>
        <v>0</v>
      </c>
      <c r="O64" s="53" t="str">
        <f t="shared" si="35"/>
        <v/>
      </c>
      <c r="P64" s="53" t="str">
        <f t="shared" si="36"/>
        <v/>
      </c>
      <c r="Q64" s="53" t="str">
        <f t="shared" si="37"/>
        <v/>
      </c>
      <c r="R64" s="53" t="str">
        <f t="shared" si="38"/>
        <v/>
      </c>
      <c r="S64" s="53" t="str">
        <f t="shared" si="39"/>
        <v/>
      </c>
      <c r="T64" s="53" t="str">
        <f t="shared" si="40"/>
        <v/>
      </c>
      <c r="U64" s="53" t="str">
        <f t="shared" si="41"/>
        <v/>
      </c>
      <c r="V64" s="53" t="str">
        <f t="shared" si="42"/>
        <v/>
      </c>
      <c r="W64" s="53" t="str">
        <f t="shared" si="34"/>
        <v>DNS/DNF ()</v>
      </c>
      <c r="X64" s="53" t="str">
        <f t="shared" si="10"/>
        <v>DNS/DNF ()</v>
      </c>
      <c r="Y64" s="53" t="str">
        <f t="shared" si="11"/>
        <v>DNS/DNF ()</v>
      </c>
      <c r="Z64" s="53" t="str">
        <f t="shared" si="12"/>
        <v>DNS/DNF ()</v>
      </c>
      <c r="AA64" s="53" t="str">
        <f t="shared" si="13"/>
        <v>DNS/DNF ()</v>
      </c>
      <c r="AB64" s="53" t="str">
        <f t="shared" si="14"/>
        <v>DNS/DNF ()</v>
      </c>
      <c r="AC64" s="53" t="str">
        <f t="shared" si="15"/>
        <v>DNS/DNF ()</v>
      </c>
      <c r="AD64" s="53" t="str">
        <f t="shared" si="16"/>
        <v>DNS/DNF ()</v>
      </c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62" t="str">
        <f t="shared" si="17"/>
        <v>DNS/DNF</v>
      </c>
      <c r="AV64" s="62" t="str">
        <f t="shared" si="18"/>
        <v>DNS/DNF</v>
      </c>
      <c r="AW64" s="62" t="str">
        <f t="shared" si="19"/>
        <v>DNS/DNF</v>
      </c>
      <c r="AX64" s="62" t="str">
        <f t="shared" si="20"/>
        <v>DNS/DNF</v>
      </c>
      <c r="AY64" s="62" t="str">
        <f t="shared" si="21"/>
        <v>DNS/DNF</v>
      </c>
      <c r="AZ64" s="62" t="str">
        <f t="shared" si="22"/>
        <v>DNS/DNF</v>
      </c>
      <c r="BA64" s="62" t="str">
        <f t="shared" si="23"/>
        <v>DNS/DNF</v>
      </c>
      <c r="BB64" s="62" t="str">
        <f t="shared" si="24"/>
        <v>DNS/DNF</v>
      </c>
      <c r="BC64" s="75" t="str">
        <f t="shared" si="25"/>
        <v/>
      </c>
      <c r="BD64" s="53" t="str">
        <f t="shared" si="26"/>
        <v/>
      </c>
      <c r="BE64" s="53" t="str">
        <f t="shared" si="27"/>
        <v/>
      </c>
      <c r="BF64" s="53" t="str">
        <f t="shared" si="28"/>
        <v/>
      </c>
      <c r="BG64" s="53" t="str">
        <f t="shared" si="29"/>
        <v/>
      </c>
      <c r="BH64" s="53" t="str">
        <f t="shared" si="30"/>
        <v/>
      </c>
      <c r="BI64" s="53" t="str">
        <f t="shared" si="31"/>
        <v/>
      </c>
      <c r="BJ64" s="53" t="str">
        <f t="shared" si="32"/>
        <v/>
      </c>
      <c r="BK64" s="53" t="str">
        <f t="shared" si="33"/>
        <v/>
      </c>
    </row>
    <row r="65" spans="1:63">
      <c r="A65" s="53"/>
      <c r="B65" s="89" t="str">
        <f>IFERROR(VLOOKUP($A65,EntryList!$A$3:$N$645,2,FALSE),"")</f>
        <v/>
      </c>
      <c r="C65" s="74"/>
      <c r="D65" s="53">
        <f t="shared" si="0"/>
        <v>0</v>
      </c>
      <c r="E65" s="62"/>
      <c r="F65" s="62"/>
      <c r="G65" s="62"/>
      <c r="H65" s="62"/>
      <c r="I65" s="62"/>
      <c r="J65" s="62"/>
      <c r="K65" s="62"/>
      <c r="L65" s="62"/>
      <c r="M65" s="62"/>
      <c r="N65" s="62">
        <f t="shared" si="1"/>
        <v>0</v>
      </c>
      <c r="O65" s="53" t="str">
        <f t="shared" si="35"/>
        <v/>
      </c>
      <c r="P65" s="53" t="str">
        <f t="shared" si="36"/>
        <v/>
      </c>
      <c r="Q65" s="53" t="str">
        <f t="shared" si="37"/>
        <v/>
      </c>
      <c r="R65" s="53" t="str">
        <f t="shared" si="38"/>
        <v/>
      </c>
      <c r="S65" s="53" t="str">
        <f t="shared" si="39"/>
        <v/>
      </c>
      <c r="T65" s="53" t="str">
        <f t="shared" si="40"/>
        <v/>
      </c>
      <c r="U65" s="53" t="str">
        <f t="shared" si="41"/>
        <v/>
      </c>
      <c r="V65" s="53" t="str">
        <f t="shared" si="42"/>
        <v/>
      </c>
      <c r="W65" s="53" t="str">
        <f t="shared" si="34"/>
        <v>DNS/DNF ()</v>
      </c>
      <c r="X65" s="53" t="str">
        <f t="shared" si="10"/>
        <v>DNS/DNF ()</v>
      </c>
      <c r="Y65" s="53" t="str">
        <f t="shared" si="11"/>
        <v>DNS/DNF ()</v>
      </c>
      <c r="Z65" s="53" t="str">
        <f t="shared" si="12"/>
        <v>DNS/DNF ()</v>
      </c>
      <c r="AA65" s="53" t="str">
        <f t="shared" si="13"/>
        <v>DNS/DNF ()</v>
      </c>
      <c r="AB65" s="53" t="str">
        <f t="shared" si="14"/>
        <v>DNS/DNF ()</v>
      </c>
      <c r="AC65" s="53" t="str">
        <f t="shared" si="15"/>
        <v>DNS/DNF ()</v>
      </c>
      <c r="AD65" s="53" t="str">
        <f t="shared" si="16"/>
        <v>DNS/DNF ()</v>
      </c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62" t="str">
        <f t="shared" si="17"/>
        <v>DNS/DNF</v>
      </c>
      <c r="AV65" s="62" t="str">
        <f t="shared" si="18"/>
        <v>DNS/DNF</v>
      </c>
      <c r="AW65" s="62" t="str">
        <f t="shared" si="19"/>
        <v>DNS/DNF</v>
      </c>
      <c r="AX65" s="62" t="str">
        <f t="shared" si="20"/>
        <v>DNS/DNF</v>
      </c>
      <c r="AY65" s="62" t="str">
        <f t="shared" si="21"/>
        <v>DNS/DNF</v>
      </c>
      <c r="AZ65" s="62" t="str">
        <f t="shared" si="22"/>
        <v>DNS/DNF</v>
      </c>
      <c r="BA65" s="62" t="str">
        <f t="shared" si="23"/>
        <v>DNS/DNF</v>
      </c>
      <c r="BB65" s="62" t="str">
        <f t="shared" si="24"/>
        <v>DNS/DNF</v>
      </c>
      <c r="BC65" s="75" t="str">
        <f t="shared" si="25"/>
        <v/>
      </c>
      <c r="BD65" s="53" t="str">
        <f t="shared" si="26"/>
        <v/>
      </c>
      <c r="BE65" s="53" t="str">
        <f t="shared" si="27"/>
        <v/>
      </c>
      <c r="BF65" s="53" t="str">
        <f t="shared" si="28"/>
        <v/>
      </c>
      <c r="BG65" s="53" t="str">
        <f t="shared" si="29"/>
        <v/>
      </c>
      <c r="BH65" s="53" t="str">
        <f t="shared" si="30"/>
        <v/>
      </c>
      <c r="BI65" s="53" t="str">
        <f t="shared" si="31"/>
        <v/>
      </c>
      <c r="BJ65" s="53" t="str">
        <f t="shared" si="32"/>
        <v/>
      </c>
      <c r="BK65" s="53" t="str">
        <f t="shared" si="33"/>
        <v/>
      </c>
    </row>
    <row r="66" spans="1:63">
      <c r="A66" s="53"/>
      <c r="B66" s="89" t="str">
        <f>IFERROR(VLOOKUP($A66,EntryList!$A$3:$N$645,2,FALSE),"")</f>
        <v/>
      </c>
      <c r="C66" s="74"/>
      <c r="D66" s="53">
        <f t="shared" si="0"/>
        <v>0</v>
      </c>
      <c r="E66" s="62"/>
      <c r="F66" s="62"/>
      <c r="G66" s="62"/>
      <c r="H66" s="62"/>
      <c r="I66" s="62"/>
      <c r="J66" s="62"/>
      <c r="K66" s="62"/>
      <c r="L66" s="62"/>
      <c r="M66" s="62"/>
      <c r="N66" s="62">
        <f t="shared" si="1"/>
        <v>0</v>
      </c>
      <c r="O66" s="53" t="str">
        <f t="shared" si="35"/>
        <v/>
      </c>
      <c r="P66" s="53" t="str">
        <f t="shared" si="36"/>
        <v/>
      </c>
      <c r="Q66" s="53" t="str">
        <f t="shared" si="37"/>
        <v/>
      </c>
      <c r="R66" s="53" t="str">
        <f t="shared" si="38"/>
        <v/>
      </c>
      <c r="S66" s="53" t="str">
        <f t="shared" si="39"/>
        <v/>
      </c>
      <c r="T66" s="53" t="str">
        <f t="shared" si="40"/>
        <v/>
      </c>
      <c r="U66" s="53" t="str">
        <f t="shared" si="41"/>
        <v/>
      </c>
      <c r="V66" s="53" t="str">
        <f t="shared" si="42"/>
        <v/>
      </c>
      <c r="W66" s="53" t="str">
        <f t="shared" si="34"/>
        <v>DNS/DNF ()</v>
      </c>
      <c r="X66" s="53" t="str">
        <f t="shared" si="10"/>
        <v>DNS/DNF ()</v>
      </c>
      <c r="Y66" s="53" t="str">
        <f t="shared" si="11"/>
        <v>DNS/DNF ()</v>
      </c>
      <c r="Z66" s="53" t="str">
        <f t="shared" si="12"/>
        <v>DNS/DNF ()</v>
      </c>
      <c r="AA66" s="53" t="str">
        <f t="shared" si="13"/>
        <v>DNS/DNF ()</v>
      </c>
      <c r="AB66" s="53" t="str">
        <f t="shared" si="14"/>
        <v>DNS/DNF ()</v>
      </c>
      <c r="AC66" s="53" t="str">
        <f t="shared" si="15"/>
        <v>DNS/DNF ()</v>
      </c>
      <c r="AD66" s="53" t="str">
        <f t="shared" si="16"/>
        <v>DNS/DNF ()</v>
      </c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62" t="str">
        <f t="shared" si="17"/>
        <v>DNS/DNF</v>
      </c>
      <c r="AV66" s="62" t="str">
        <f t="shared" si="18"/>
        <v>DNS/DNF</v>
      </c>
      <c r="AW66" s="62" t="str">
        <f t="shared" si="19"/>
        <v>DNS/DNF</v>
      </c>
      <c r="AX66" s="62" t="str">
        <f t="shared" si="20"/>
        <v>DNS/DNF</v>
      </c>
      <c r="AY66" s="62" t="str">
        <f t="shared" si="21"/>
        <v>DNS/DNF</v>
      </c>
      <c r="AZ66" s="62" t="str">
        <f t="shared" si="22"/>
        <v>DNS/DNF</v>
      </c>
      <c r="BA66" s="62" t="str">
        <f t="shared" si="23"/>
        <v>DNS/DNF</v>
      </c>
      <c r="BB66" s="62" t="str">
        <f t="shared" si="24"/>
        <v>DNS/DNF</v>
      </c>
      <c r="BC66" s="75" t="str">
        <f t="shared" si="25"/>
        <v/>
      </c>
      <c r="BD66" s="53" t="str">
        <f t="shared" si="26"/>
        <v/>
      </c>
      <c r="BE66" s="53" t="str">
        <f t="shared" si="27"/>
        <v/>
      </c>
      <c r="BF66" s="53" t="str">
        <f t="shared" si="28"/>
        <v/>
      </c>
      <c r="BG66" s="53" t="str">
        <f t="shared" si="29"/>
        <v/>
      </c>
      <c r="BH66" s="53" t="str">
        <f t="shared" si="30"/>
        <v/>
      </c>
      <c r="BI66" s="53" t="str">
        <f t="shared" si="31"/>
        <v/>
      </c>
      <c r="BJ66" s="53" t="str">
        <f t="shared" si="32"/>
        <v/>
      </c>
      <c r="BK66" s="53" t="str">
        <f t="shared" si="33"/>
        <v/>
      </c>
    </row>
    <row r="67" spans="1:63">
      <c r="A67" s="53"/>
      <c r="B67" s="89" t="str">
        <f>IFERROR(VLOOKUP($A67,EntryList!$A$3:$N$645,2,FALSE),"")</f>
        <v/>
      </c>
      <c r="C67" s="74"/>
      <c r="D67" s="53">
        <f t="shared" si="0"/>
        <v>0</v>
      </c>
      <c r="E67" s="62"/>
      <c r="F67" s="62"/>
      <c r="G67" s="62"/>
      <c r="H67" s="62"/>
      <c r="I67" s="62"/>
      <c r="J67" s="62"/>
      <c r="K67" s="62"/>
      <c r="L67" s="62"/>
      <c r="M67" s="62"/>
      <c r="N67" s="62">
        <f t="shared" si="1"/>
        <v>0</v>
      </c>
      <c r="O67" s="53" t="str">
        <f t="shared" si="35"/>
        <v/>
      </c>
      <c r="P67" s="53" t="str">
        <f t="shared" si="36"/>
        <v/>
      </c>
      <c r="Q67" s="53" t="str">
        <f t="shared" si="37"/>
        <v/>
      </c>
      <c r="R67" s="53" t="str">
        <f t="shared" si="38"/>
        <v/>
      </c>
      <c r="S67" s="53" t="str">
        <f t="shared" si="39"/>
        <v/>
      </c>
      <c r="T67" s="53" t="str">
        <f t="shared" si="40"/>
        <v/>
      </c>
      <c r="U67" s="53" t="str">
        <f t="shared" si="41"/>
        <v/>
      </c>
      <c r="V67" s="53" t="str">
        <f t="shared" si="42"/>
        <v/>
      </c>
      <c r="W67" s="53" t="str">
        <f t="shared" si="34"/>
        <v>DNS/DNF ()</v>
      </c>
      <c r="X67" s="53" t="str">
        <f t="shared" si="10"/>
        <v>DNS/DNF ()</v>
      </c>
      <c r="Y67" s="53" t="str">
        <f t="shared" si="11"/>
        <v>DNS/DNF ()</v>
      </c>
      <c r="Z67" s="53" t="str">
        <f t="shared" si="12"/>
        <v>DNS/DNF ()</v>
      </c>
      <c r="AA67" s="53" t="str">
        <f t="shared" si="13"/>
        <v>DNS/DNF ()</v>
      </c>
      <c r="AB67" s="53" t="str">
        <f t="shared" si="14"/>
        <v>DNS/DNF ()</v>
      </c>
      <c r="AC67" s="53" t="str">
        <f t="shared" si="15"/>
        <v>DNS/DNF ()</v>
      </c>
      <c r="AD67" s="53" t="str">
        <f t="shared" si="16"/>
        <v>DNS/DNF ()</v>
      </c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62" t="str">
        <f t="shared" si="17"/>
        <v>DNS/DNF</v>
      </c>
      <c r="AV67" s="62" t="str">
        <f t="shared" si="18"/>
        <v>DNS/DNF</v>
      </c>
      <c r="AW67" s="62" t="str">
        <f t="shared" si="19"/>
        <v>DNS/DNF</v>
      </c>
      <c r="AX67" s="62" t="str">
        <f t="shared" si="20"/>
        <v>DNS/DNF</v>
      </c>
      <c r="AY67" s="62" t="str">
        <f t="shared" si="21"/>
        <v>DNS/DNF</v>
      </c>
      <c r="AZ67" s="62" t="str">
        <f t="shared" si="22"/>
        <v>DNS/DNF</v>
      </c>
      <c r="BA67" s="62" t="str">
        <f t="shared" si="23"/>
        <v>DNS/DNF</v>
      </c>
      <c r="BB67" s="62" t="str">
        <f t="shared" si="24"/>
        <v>DNS/DNF</v>
      </c>
      <c r="BC67" s="75" t="str">
        <f t="shared" si="25"/>
        <v/>
      </c>
      <c r="BD67" s="53" t="str">
        <f t="shared" si="26"/>
        <v/>
      </c>
      <c r="BE67" s="53" t="str">
        <f t="shared" si="27"/>
        <v/>
      </c>
      <c r="BF67" s="53" t="str">
        <f t="shared" si="28"/>
        <v/>
      </c>
      <c r="BG67" s="53" t="str">
        <f t="shared" si="29"/>
        <v/>
      </c>
      <c r="BH67" s="53" t="str">
        <f t="shared" si="30"/>
        <v/>
      </c>
      <c r="BI67" s="53" t="str">
        <f t="shared" si="31"/>
        <v/>
      </c>
      <c r="BJ67" s="53" t="str">
        <f t="shared" si="32"/>
        <v/>
      </c>
      <c r="BK67" s="53" t="str">
        <f t="shared" si="33"/>
        <v/>
      </c>
    </row>
    <row r="68" spans="1:63">
      <c r="A68" s="53"/>
      <c r="B68" s="89" t="str">
        <f>IFERROR(VLOOKUP($A68,EntryList!$A$3:$N$645,2,FALSE),"")</f>
        <v/>
      </c>
      <c r="C68" s="74"/>
      <c r="D68" s="53">
        <f t="shared" ref="D68:D131" si="43">COUNT($AU68:$BB68)</f>
        <v>0</v>
      </c>
      <c r="E68" s="62"/>
      <c r="F68" s="62"/>
      <c r="G68" s="62"/>
      <c r="H68" s="62"/>
      <c r="I68" s="62"/>
      <c r="J68" s="62"/>
      <c r="K68" s="62"/>
      <c r="L68" s="62"/>
      <c r="M68" s="62"/>
      <c r="N68" s="62">
        <f t="shared" ref="N68:N131" si="44">SUM($AU68:$BB68)</f>
        <v>0</v>
      </c>
      <c r="O68" s="53" t="str">
        <f t="shared" si="35"/>
        <v/>
      </c>
      <c r="P68" s="53" t="str">
        <f t="shared" si="36"/>
        <v/>
      </c>
      <c r="Q68" s="53" t="str">
        <f t="shared" si="37"/>
        <v/>
      </c>
      <c r="R68" s="53" t="str">
        <f t="shared" si="38"/>
        <v/>
      </c>
      <c r="S68" s="53" t="str">
        <f t="shared" si="39"/>
        <v/>
      </c>
      <c r="T68" s="53" t="str">
        <f t="shared" si="40"/>
        <v/>
      </c>
      <c r="U68" s="53" t="str">
        <f t="shared" si="41"/>
        <v/>
      </c>
      <c r="V68" s="53" t="str">
        <f t="shared" si="42"/>
        <v/>
      </c>
      <c r="W68" s="53" t="str">
        <f t="shared" ref="W68:W131" si="45">CONCATENATE(TEXT($AU68,"[hh]:mm:ss.0")," ","(",$O68,")")</f>
        <v>DNS/DNF ()</v>
      </c>
      <c r="X68" s="53" t="str">
        <f t="shared" ref="X68:X131" si="46">CONCATENATE(TEXT($AV68,"[hh]:mm:ss.0")," ","(",$P68,")")</f>
        <v>DNS/DNF ()</v>
      </c>
      <c r="Y68" s="53" t="str">
        <f t="shared" ref="Y68:Y131" si="47">CONCATENATE(TEXT($AW68,"[hh]:mm:ss.0")," ","(",$Q68,")")</f>
        <v>DNS/DNF ()</v>
      </c>
      <c r="Z68" s="53" t="str">
        <f t="shared" ref="Z68:Z131" si="48">CONCATENATE(TEXT($AX68,"[hh]:mm:ss.0")," ","(",$R68,")")</f>
        <v>DNS/DNF ()</v>
      </c>
      <c r="AA68" s="53" t="str">
        <f t="shared" ref="AA68:AA131" si="49">CONCATENATE(TEXT($AY68,"[hh]:mm:ss.0")," ","(",$S68,")")</f>
        <v>DNS/DNF ()</v>
      </c>
      <c r="AB68" s="53" t="str">
        <f t="shared" ref="AB68:AB131" si="50">CONCATENATE(TEXT($AZ68,"[hh]:mm:ss.0")," ","(",$T68,")")</f>
        <v>DNS/DNF ()</v>
      </c>
      <c r="AC68" s="53" t="str">
        <f t="shared" ref="AC68:AC131" si="51">CONCATENATE(TEXT($BA68,"[hh]:mm:ss.0")," ","(",$U68,")")</f>
        <v>DNS/DNF ()</v>
      </c>
      <c r="AD68" s="53" t="str">
        <f t="shared" ref="AD68:AD131" si="52">CONCATENATE(TEXT($BB68,"[hh]:mm:ss.0")," ","(",$V68,")")</f>
        <v>DNS/DNF ()</v>
      </c>
      <c r="AE68" s="53"/>
      <c r="AF68" s="53"/>
      <c r="AG68" s="53"/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62" t="str">
        <f t="shared" ref="AU68:AU131" si="53">IF((OR($AE68=0,$AF68=0,$AF68-$AE68&lt;0)),"DNS/DNF",($AF68-$AE68)/86400000)</f>
        <v>DNS/DNF</v>
      </c>
      <c r="AV68" s="62" t="str">
        <f t="shared" ref="AV68:AV131" si="54">IF((OR($AG68=0,$AH68=0,$AH68-$AG68&lt;0)),"DNS/DNF",($AH68-$AG68)/86400000)</f>
        <v>DNS/DNF</v>
      </c>
      <c r="AW68" s="62" t="str">
        <f t="shared" ref="AW68:AW131" si="55">IF((OR($AI68=0,$AJ68=0,$AJ68-$AI68&lt;0)),"DNS/DNF",($AJ68-$AI68)/86400000)</f>
        <v>DNS/DNF</v>
      </c>
      <c r="AX68" s="62" t="str">
        <f t="shared" ref="AX68:AX131" si="56">IF((OR($AK68=0,$AL68=0,$AL68-$AK68&lt;0)),"DNS/DNF",($AL68-$AK68)/86400000)</f>
        <v>DNS/DNF</v>
      </c>
      <c r="AY68" s="62" t="str">
        <f t="shared" ref="AY68:AY131" si="57">IF((OR($AM68=0,$AM68=0,$AN68-$AM68&lt;0)),"DNS/DNF",($AN68-$AM68)/86400000)</f>
        <v>DNS/DNF</v>
      </c>
      <c r="AZ68" s="62" t="str">
        <f t="shared" ref="AZ68:AZ131" si="58">IF((OR($AO68=0,$AP68=0,$AP68-$AO68&lt;0)),"DNS/DNF",($AP68-$AO68)/86400000)</f>
        <v>DNS/DNF</v>
      </c>
      <c r="BA68" s="62" t="str">
        <f t="shared" ref="BA68:BA131" si="59">IF((OR($AQ68=0,$AR68=0,$AR68-$AQ68&lt;0)),"DNS/DNF",($AR68-$AQ68)/86400000)</f>
        <v>DNS/DNF</v>
      </c>
      <c r="BB68" s="62" t="str">
        <f t="shared" ref="BB68:BB131" si="60">IF((OR($AS68=0,$AT68=0,$AT68-$AS68&lt;0)),"DNS/DNF",($AT68-$AS68)/86400000)</f>
        <v>DNS/DNF</v>
      </c>
      <c r="BC68" s="75" t="str">
        <f t="shared" ref="BC68:BC131" si="61">IFERROR(ROUND(AVERAGE(O68:V68),0),"")</f>
        <v/>
      </c>
      <c r="BD68" s="53" t="str">
        <f t="shared" ref="BD68:BD131" si="62">IFERROR((INDEX(($AU$3:$AU$500)*86400000,MATCH(BC68,$O$3:$O$500,0))),"")</f>
        <v/>
      </c>
      <c r="BE68" s="53" t="str">
        <f t="shared" ref="BE68:BE131" si="63">IFERROR((INDEX(($AV$3:$AV$500)*86400000,MATCH(BC68,$P$3:$P$500,0))),"")</f>
        <v/>
      </c>
      <c r="BF68" s="53" t="str">
        <f t="shared" ref="BF68:BF131" si="64">IFERROR((INDEX(($AW$3:$AW$500)*86400000,MATCH(BC68,$Q$3:$Q$500,0))),"")</f>
        <v/>
      </c>
      <c r="BG68" s="53" t="str">
        <f t="shared" ref="BG68:BG131" si="65">IFERROR((INDEX(($AX$3:$AX$500)*86400000,MATCH(BC68,$R$3:$R$500,0))),"")</f>
        <v/>
      </c>
      <c r="BH68" s="53" t="str">
        <f t="shared" ref="BH68:BH131" si="66">IFERROR((INDEX(($AY$3:$AY$500)*86400000,MATCH(BC68,$S$3:$S$500,0))),"")</f>
        <v/>
      </c>
      <c r="BI68" s="53" t="str">
        <f t="shared" ref="BI68:BI131" si="67">IFERROR((INDEX(($AZ$3:$AZ$500)*86400000,MATCH(BC68,$T$3:$T$500,0))),"")</f>
        <v/>
      </c>
      <c r="BJ68" s="53" t="str">
        <f t="shared" ref="BJ68:BJ131" si="68">IFERROR((INDEX(($BA$3:$BA$500)*86400000,MATCH(BC68,$U$3:$U$500,0))),"")</f>
        <v/>
      </c>
      <c r="BK68" s="53" t="str">
        <f t="shared" ref="BK68:BK131" si="69">IFERROR((INDEX(($BB$3:$BB$500)*86400000,MATCH(BC68,$V$3:$V$500,0))),"")</f>
        <v/>
      </c>
    </row>
    <row r="69" spans="1:63">
      <c r="A69" s="53"/>
      <c r="B69" s="89" t="str">
        <f>IFERROR(VLOOKUP($A69,EntryList!$A$3:$N$645,2,FALSE),"")</f>
        <v/>
      </c>
      <c r="C69" s="74"/>
      <c r="D69" s="53">
        <f t="shared" si="43"/>
        <v>0</v>
      </c>
      <c r="E69" s="62"/>
      <c r="F69" s="62"/>
      <c r="G69" s="62"/>
      <c r="H69" s="62"/>
      <c r="I69" s="62"/>
      <c r="J69" s="62"/>
      <c r="K69" s="62"/>
      <c r="L69" s="62"/>
      <c r="M69" s="62"/>
      <c r="N69" s="62">
        <f t="shared" si="44"/>
        <v>0</v>
      </c>
      <c r="O69" s="53" t="str">
        <f t="shared" si="35"/>
        <v/>
      </c>
      <c r="P69" s="53" t="str">
        <f t="shared" si="36"/>
        <v/>
      </c>
      <c r="Q69" s="53" t="str">
        <f t="shared" si="37"/>
        <v/>
      </c>
      <c r="R69" s="53" t="str">
        <f t="shared" si="38"/>
        <v/>
      </c>
      <c r="S69" s="53" t="str">
        <f t="shared" si="39"/>
        <v/>
      </c>
      <c r="T69" s="53" t="str">
        <f t="shared" si="40"/>
        <v/>
      </c>
      <c r="U69" s="53" t="str">
        <f t="shared" si="41"/>
        <v/>
      </c>
      <c r="V69" s="53" t="str">
        <f t="shared" si="42"/>
        <v/>
      </c>
      <c r="W69" s="53" t="str">
        <f t="shared" si="45"/>
        <v>DNS/DNF ()</v>
      </c>
      <c r="X69" s="53" t="str">
        <f t="shared" si="46"/>
        <v>DNS/DNF ()</v>
      </c>
      <c r="Y69" s="53" t="str">
        <f t="shared" si="47"/>
        <v>DNS/DNF ()</v>
      </c>
      <c r="Z69" s="53" t="str">
        <f t="shared" si="48"/>
        <v>DNS/DNF ()</v>
      </c>
      <c r="AA69" s="53" t="str">
        <f t="shared" si="49"/>
        <v>DNS/DNF ()</v>
      </c>
      <c r="AB69" s="53" t="str">
        <f t="shared" si="50"/>
        <v>DNS/DNF ()</v>
      </c>
      <c r="AC69" s="53" t="str">
        <f t="shared" si="51"/>
        <v>DNS/DNF ()</v>
      </c>
      <c r="AD69" s="53" t="str">
        <f t="shared" si="52"/>
        <v>DNS/DNF ()</v>
      </c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62" t="str">
        <f t="shared" si="53"/>
        <v>DNS/DNF</v>
      </c>
      <c r="AV69" s="62" t="str">
        <f t="shared" si="54"/>
        <v>DNS/DNF</v>
      </c>
      <c r="AW69" s="62" t="str">
        <f t="shared" si="55"/>
        <v>DNS/DNF</v>
      </c>
      <c r="AX69" s="62" t="str">
        <f t="shared" si="56"/>
        <v>DNS/DNF</v>
      </c>
      <c r="AY69" s="62" t="str">
        <f t="shared" si="57"/>
        <v>DNS/DNF</v>
      </c>
      <c r="AZ69" s="62" t="str">
        <f t="shared" si="58"/>
        <v>DNS/DNF</v>
      </c>
      <c r="BA69" s="62" t="str">
        <f t="shared" si="59"/>
        <v>DNS/DNF</v>
      </c>
      <c r="BB69" s="62" t="str">
        <f t="shared" si="60"/>
        <v>DNS/DNF</v>
      </c>
      <c r="BC69" s="75" t="str">
        <f t="shared" si="61"/>
        <v/>
      </c>
      <c r="BD69" s="53" t="str">
        <f t="shared" si="62"/>
        <v/>
      </c>
      <c r="BE69" s="53" t="str">
        <f t="shared" si="63"/>
        <v/>
      </c>
      <c r="BF69" s="53" t="str">
        <f t="shared" si="64"/>
        <v/>
      </c>
      <c r="BG69" s="53" t="str">
        <f t="shared" si="65"/>
        <v/>
      </c>
      <c r="BH69" s="53" t="str">
        <f t="shared" si="66"/>
        <v/>
      </c>
      <c r="BI69" s="53" t="str">
        <f t="shared" si="67"/>
        <v/>
      </c>
      <c r="BJ69" s="53" t="str">
        <f t="shared" si="68"/>
        <v/>
      </c>
      <c r="BK69" s="53" t="str">
        <f t="shared" si="69"/>
        <v/>
      </c>
    </row>
    <row r="70" spans="1:63">
      <c r="A70" s="53"/>
      <c r="B70" s="89" t="str">
        <f>IFERROR(VLOOKUP($A70,EntryList!$A$3:$N$645,2,FALSE),"")</f>
        <v/>
      </c>
      <c r="C70" s="74"/>
      <c r="D70" s="53">
        <f t="shared" si="43"/>
        <v>0</v>
      </c>
      <c r="E70" s="62"/>
      <c r="F70" s="62"/>
      <c r="G70" s="62"/>
      <c r="H70" s="62"/>
      <c r="I70" s="62"/>
      <c r="J70" s="62"/>
      <c r="K70" s="62"/>
      <c r="L70" s="62"/>
      <c r="M70" s="62"/>
      <c r="N70" s="62">
        <f t="shared" si="44"/>
        <v>0</v>
      </c>
      <c r="O70" s="53" t="str">
        <f t="shared" si="35"/>
        <v/>
      </c>
      <c r="P70" s="53" t="str">
        <f t="shared" si="36"/>
        <v/>
      </c>
      <c r="Q70" s="53" t="str">
        <f t="shared" si="37"/>
        <v/>
      </c>
      <c r="R70" s="53" t="str">
        <f t="shared" si="38"/>
        <v/>
      </c>
      <c r="S70" s="53" t="str">
        <f t="shared" si="39"/>
        <v/>
      </c>
      <c r="T70" s="53" t="str">
        <f t="shared" si="40"/>
        <v/>
      </c>
      <c r="U70" s="53" t="str">
        <f t="shared" si="41"/>
        <v/>
      </c>
      <c r="V70" s="53" t="str">
        <f t="shared" si="42"/>
        <v/>
      </c>
      <c r="W70" s="53" t="str">
        <f t="shared" si="45"/>
        <v>DNS/DNF ()</v>
      </c>
      <c r="X70" s="53" t="str">
        <f t="shared" si="46"/>
        <v>DNS/DNF ()</v>
      </c>
      <c r="Y70" s="53" t="str">
        <f t="shared" si="47"/>
        <v>DNS/DNF ()</v>
      </c>
      <c r="Z70" s="53" t="str">
        <f t="shared" si="48"/>
        <v>DNS/DNF ()</v>
      </c>
      <c r="AA70" s="53" t="str">
        <f t="shared" si="49"/>
        <v>DNS/DNF ()</v>
      </c>
      <c r="AB70" s="53" t="str">
        <f t="shared" si="50"/>
        <v>DNS/DNF ()</v>
      </c>
      <c r="AC70" s="53" t="str">
        <f t="shared" si="51"/>
        <v>DNS/DNF ()</v>
      </c>
      <c r="AD70" s="53" t="str">
        <f t="shared" si="52"/>
        <v>DNS/DNF ()</v>
      </c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62" t="str">
        <f t="shared" si="53"/>
        <v>DNS/DNF</v>
      </c>
      <c r="AV70" s="62" t="str">
        <f t="shared" si="54"/>
        <v>DNS/DNF</v>
      </c>
      <c r="AW70" s="62" t="str">
        <f t="shared" si="55"/>
        <v>DNS/DNF</v>
      </c>
      <c r="AX70" s="62" t="str">
        <f t="shared" si="56"/>
        <v>DNS/DNF</v>
      </c>
      <c r="AY70" s="62" t="str">
        <f t="shared" si="57"/>
        <v>DNS/DNF</v>
      </c>
      <c r="AZ70" s="62" t="str">
        <f t="shared" si="58"/>
        <v>DNS/DNF</v>
      </c>
      <c r="BA70" s="62" t="str">
        <f t="shared" si="59"/>
        <v>DNS/DNF</v>
      </c>
      <c r="BB70" s="62" t="str">
        <f t="shared" si="60"/>
        <v>DNS/DNF</v>
      </c>
      <c r="BC70" s="75" t="str">
        <f t="shared" si="61"/>
        <v/>
      </c>
      <c r="BD70" s="53" t="str">
        <f t="shared" si="62"/>
        <v/>
      </c>
      <c r="BE70" s="53" t="str">
        <f t="shared" si="63"/>
        <v/>
      </c>
      <c r="BF70" s="53" t="str">
        <f t="shared" si="64"/>
        <v/>
      </c>
      <c r="BG70" s="53" t="str">
        <f t="shared" si="65"/>
        <v/>
      </c>
      <c r="BH70" s="53" t="str">
        <f t="shared" si="66"/>
        <v/>
      </c>
      <c r="BI70" s="53" t="str">
        <f t="shared" si="67"/>
        <v/>
      </c>
      <c r="BJ70" s="53" t="str">
        <f t="shared" si="68"/>
        <v/>
      </c>
      <c r="BK70" s="53" t="str">
        <f t="shared" si="69"/>
        <v/>
      </c>
    </row>
    <row r="71" spans="1:63">
      <c r="A71" s="53"/>
      <c r="B71" s="89" t="str">
        <f>IFERROR(VLOOKUP($A71,EntryList!$A$3:$N$645,2,FALSE),"")</f>
        <v/>
      </c>
      <c r="C71" s="74"/>
      <c r="D71" s="53">
        <f t="shared" si="43"/>
        <v>0</v>
      </c>
      <c r="E71" s="62"/>
      <c r="F71" s="62"/>
      <c r="G71" s="62"/>
      <c r="H71" s="62"/>
      <c r="I71" s="62"/>
      <c r="J71" s="62"/>
      <c r="K71" s="62"/>
      <c r="L71" s="62"/>
      <c r="M71" s="62"/>
      <c r="N71" s="62">
        <f t="shared" si="44"/>
        <v>0</v>
      </c>
      <c r="O71" s="53" t="str">
        <f t="shared" si="35"/>
        <v/>
      </c>
      <c r="P71" s="53" t="str">
        <f t="shared" si="36"/>
        <v/>
      </c>
      <c r="Q71" s="53" t="str">
        <f t="shared" si="37"/>
        <v/>
      </c>
      <c r="R71" s="53" t="str">
        <f t="shared" si="38"/>
        <v/>
      </c>
      <c r="S71" s="53" t="str">
        <f t="shared" si="39"/>
        <v/>
      </c>
      <c r="T71" s="53" t="str">
        <f t="shared" si="40"/>
        <v/>
      </c>
      <c r="U71" s="53" t="str">
        <f t="shared" si="41"/>
        <v/>
      </c>
      <c r="V71" s="53" t="str">
        <f t="shared" si="42"/>
        <v/>
      </c>
      <c r="W71" s="53" t="str">
        <f t="shared" si="45"/>
        <v>DNS/DNF ()</v>
      </c>
      <c r="X71" s="53" t="str">
        <f t="shared" si="46"/>
        <v>DNS/DNF ()</v>
      </c>
      <c r="Y71" s="53" t="str">
        <f t="shared" si="47"/>
        <v>DNS/DNF ()</v>
      </c>
      <c r="Z71" s="53" t="str">
        <f t="shared" si="48"/>
        <v>DNS/DNF ()</v>
      </c>
      <c r="AA71" s="53" t="str">
        <f t="shared" si="49"/>
        <v>DNS/DNF ()</v>
      </c>
      <c r="AB71" s="53" t="str">
        <f t="shared" si="50"/>
        <v>DNS/DNF ()</v>
      </c>
      <c r="AC71" s="53" t="str">
        <f t="shared" si="51"/>
        <v>DNS/DNF ()</v>
      </c>
      <c r="AD71" s="53" t="str">
        <f t="shared" si="52"/>
        <v>DNS/DNF ()</v>
      </c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62" t="str">
        <f t="shared" si="53"/>
        <v>DNS/DNF</v>
      </c>
      <c r="AV71" s="62" t="str">
        <f t="shared" si="54"/>
        <v>DNS/DNF</v>
      </c>
      <c r="AW71" s="62" t="str">
        <f t="shared" si="55"/>
        <v>DNS/DNF</v>
      </c>
      <c r="AX71" s="62" t="str">
        <f t="shared" si="56"/>
        <v>DNS/DNF</v>
      </c>
      <c r="AY71" s="62" t="str">
        <f t="shared" si="57"/>
        <v>DNS/DNF</v>
      </c>
      <c r="AZ71" s="62" t="str">
        <f t="shared" si="58"/>
        <v>DNS/DNF</v>
      </c>
      <c r="BA71" s="62" t="str">
        <f t="shared" si="59"/>
        <v>DNS/DNF</v>
      </c>
      <c r="BB71" s="62" t="str">
        <f t="shared" si="60"/>
        <v>DNS/DNF</v>
      </c>
      <c r="BC71" s="75" t="str">
        <f t="shared" si="61"/>
        <v/>
      </c>
      <c r="BD71" s="53" t="str">
        <f t="shared" si="62"/>
        <v/>
      </c>
      <c r="BE71" s="53" t="str">
        <f t="shared" si="63"/>
        <v/>
      </c>
      <c r="BF71" s="53" t="str">
        <f t="shared" si="64"/>
        <v/>
      </c>
      <c r="BG71" s="53" t="str">
        <f t="shared" si="65"/>
        <v/>
      </c>
      <c r="BH71" s="53" t="str">
        <f t="shared" si="66"/>
        <v/>
      </c>
      <c r="BI71" s="53" t="str">
        <f t="shared" si="67"/>
        <v/>
      </c>
      <c r="BJ71" s="53" t="str">
        <f t="shared" si="68"/>
        <v/>
      </c>
      <c r="BK71" s="53" t="str">
        <f t="shared" si="69"/>
        <v/>
      </c>
    </row>
    <row r="72" spans="1:63">
      <c r="A72" s="53"/>
      <c r="B72" s="89" t="str">
        <f>IFERROR(VLOOKUP($A72,EntryList!$A$3:$N$645,2,FALSE),"")</f>
        <v/>
      </c>
      <c r="C72" s="74"/>
      <c r="D72" s="53">
        <f t="shared" si="43"/>
        <v>0</v>
      </c>
      <c r="E72" s="62"/>
      <c r="F72" s="62"/>
      <c r="G72" s="62"/>
      <c r="H72" s="62"/>
      <c r="I72" s="62"/>
      <c r="J72" s="62"/>
      <c r="K72" s="62"/>
      <c r="L72" s="62"/>
      <c r="M72" s="62"/>
      <c r="N72" s="62">
        <f t="shared" si="44"/>
        <v>0</v>
      </c>
      <c r="O72" s="53" t="str">
        <f t="shared" si="35"/>
        <v/>
      </c>
      <c r="P72" s="53" t="str">
        <f t="shared" si="36"/>
        <v/>
      </c>
      <c r="Q72" s="53" t="str">
        <f t="shared" si="37"/>
        <v/>
      </c>
      <c r="R72" s="53" t="str">
        <f t="shared" si="38"/>
        <v/>
      </c>
      <c r="S72" s="53" t="str">
        <f t="shared" si="39"/>
        <v/>
      </c>
      <c r="T72" s="53" t="str">
        <f t="shared" si="40"/>
        <v/>
      </c>
      <c r="U72" s="53" t="str">
        <f t="shared" si="41"/>
        <v/>
      </c>
      <c r="V72" s="53" t="str">
        <f t="shared" si="42"/>
        <v/>
      </c>
      <c r="W72" s="53" t="str">
        <f t="shared" si="45"/>
        <v>DNS/DNF ()</v>
      </c>
      <c r="X72" s="53" t="str">
        <f t="shared" si="46"/>
        <v>DNS/DNF ()</v>
      </c>
      <c r="Y72" s="53" t="str">
        <f t="shared" si="47"/>
        <v>DNS/DNF ()</v>
      </c>
      <c r="Z72" s="53" t="str">
        <f t="shared" si="48"/>
        <v>DNS/DNF ()</v>
      </c>
      <c r="AA72" s="53" t="str">
        <f t="shared" si="49"/>
        <v>DNS/DNF ()</v>
      </c>
      <c r="AB72" s="53" t="str">
        <f t="shared" si="50"/>
        <v>DNS/DNF ()</v>
      </c>
      <c r="AC72" s="53" t="str">
        <f t="shared" si="51"/>
        <v>DNS/DNF ()</v>
      </c>
      <c r="AD72" s="53" t="str">
        <f t="shared" si="52"/>
        <v>DNS/DNF ()</v>
      </c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62" t="str">
        <f t="shared" si="53"/>
        <v>DNS/DNF</v>
      </c>
      <c r="AV72" s="62" t="str">
        <f t="shared" si="54"/>
        <v>DNS/DNF</v>
      </c>
      <c r="AW72" s="62" t="str">
        <f t="shared" si="55"/>
        <v>DNS/DNF</v>
      </c>
      <c r="AX72" s="62" t="str">
        <f t="shared" si="56"/>
        <v>DNS/DNF</v>
      </c>
      <c r="AY72" s="62" t="str">
        <f t="shared" si="57"/>
        <v>DNS/DNF</v>
      </c>
      <c r="AZ72" s="62" t="str">
        <f t="shared" si="58"/>
        <v>DNS/DNF</v>
      </c>
      <c r="BA72" s="62" t="str">
        <f t="shared" si="59"/>
        <v>DNS/DNF</v>
      </c>
      <c r="BB72" s="62" t="str">
        <f t="shared" si="60"/>
        <v>DNS/DNF</v>
      </c>
      <c r="BC72" s="75" t="str">
        <f t="shared" si="61"/>
        <v/>
      </c>
      <c r="BD72" s="53" t="str">
        <f t="shared" si="62"/>
        <v/>
      </c>
      <c r="BE72" s="53" t="str">
        <f t="shared" si="63"/>
        <v/>
      </c>
      <c r="BF72" s="53" t="str">
        <f t="shared" si="64"/>
        <v/>
      </c>
      <c r="BG72" s="53" t="str">
        <f t="shared" si="65"/>
        <v/>
      </c>
      <c r="BH72" s="53" t="str">
        <f t="shared" si="66"/>
        <v/>
      </c>
      <c r="BI72" s="53" t="str">
        <f t="shared" si="67"/>
        <v/>
      </c>
      <c r="BJ72" s="53" t="str">
        <f t="shared" si="68"/>
        <v/>
      </c>
      <c r="BK72" s="53" t="str">
        <f t="shared" si="69"/>
        <v/>
      </c>
    </row>
    <row r="73" spans="1:63">
      <c r="A73" s="53"/>
      <c r="B73" s="89" t="str">
        <f>IFERROR(VLOOKUP($A73,EntryList!$A$3:$N$645,2,FALSE),"")</f>
        <v/>
      </c>
      <c r="C73" s="74"/>
      <c r="D73" s="53">
        <f t="shared" si="43"/>
        <v>0</v>
      </c>
      <c r="E73" s="62"/>
      <c r="F73" s="62"/>
      <c r="G73" s="62"/>
      <c r="H73" s="62"/>
      <c r="I73" s="62"/>
      <c r="J73" s="62"/>
      <c r="K73" s="62"/>
      <c r="L73" s="62"/>
      <c r="M73" s="62"/>
      <c r="N73" s="62">
        <f t="shared" si="44"/>
        <v>0</v>
      </c>
      <c r="O73" s="53" t="str">
        <f t="shared" si="35"/>
        <v/>
      </c>
      <c r="P73" s="53" t="str">
        <f t="shared" si="36"/>
        <v/>
      </c>
      <c r="Q73" s="53" t="str">
        <f t="shared" si="37"/>
        <v/>
      </c>
      <c r="R73" s="53" t="str">
        <f t="shared" si="38"/>
        <v/>
      </c>
      <c r="S73" s="53" t="str">
        <f t="shared" si="39"/>
        <v/>
      </c>
      <c r="T73" s="53" t="str">
        <f t="shared" si="40"/>
        <v/>
      </c>
      <c r="U73" s="53" t="str">
        <f t="shared" si="41"/>
        <v/>
      </c>
      <c r="V73" s="53" t="str">
        <f t="shared" si="42"/>
        <v/>
      </c>
      <c r="W73" s="53" t="str">
        <f t="shared" si="45"/>
        <v>DNS/DNF ()</v>
      </c>
      <c r="X73" s="53" t="str">
        <f t="shared" si="46"/>
        <v>DNS/DNF ()</v>
      </c>
      <c r="Y73" s="53" t="str">
        <f t="shared" si="47"/>
        <v>DNS/DNF ()</v>
      </c>
      <c r="Z73" s="53" t="str">
        <f t="shared" si="48"/>
        <v>DNS/DNF ()</v>
      </c>
      <c r="AA73" s="53" t="str">
        <f t="shared" si="49"/>
        <v>DNS/DNF ()</v>
      </c>
      <c r="AB73" s="53" t="str">
        <f t="shared" si="50"/>
        <v>DNS/DNF ()</v>
      </c>
      <c r="AC73" s="53" t="str">
        <f t="shared" si="51"/>
        <v>DNS/DNF ()</v>
      </c>
      <c r="AD73" s="53" t="str">
        <f t="shared" si="52"/>
        <v>DNS/DNF ()</v>
      </c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62" t="str">
        <f t="shared" si="53"/>
        <v>DNS/DNF</v>
      </c>
      <c r="AV73" s="62" t="str">
        <f t="shared" si="54"/>
        <v>DNS/DNF</v>
      </c>
      <c r="AW73" s="62" t="str">
        <f t="shared" si="55"/>
        <v>DNS/DNF</v>
      </c>
      <c r="AX73" s="62" t="str">
        <f t="shared" si="56"/>
        <v>DNS/DNF</v>
      </c>
      <c r="AY73" s="62" t="str">
        <f t="shared" si="57"/>
        <v>DNS/DNF</v>
      </c>
      <c r="AZ73" s="62" t="str">
        <f t="shared" si="58"/>
        <v>DNS/DNF</v>
      </c>
      <c r="BA73" s="62" t="str">
        <f t="shared" si="59"/>
        <v>DNS/DNF</v>
      </c>
      <c r="BB73" s="62" t="str">
        <f t="shared" si="60"/>
        <v>DNS/DNF</v>
      </c>
      <c r="BC73" s="75" t="str">
        <f t="shared" si="61"/>
        <v/>
      </c>
      <c r="BD73" s="53" t="str">
        <f t="shared" si="62"/>
        <v/>
      </c>
      <c r="BE73" s="53" t="str">
        <f t="shared" si="63"/>
        <v/>
      </c>
      <c r="BF73" s="53" t="str">
        <f t="shared" si="64"/>
        <v/>
      </c>
      <c r="BG73" s="53" t="str">
        <f t="shared" si="65"/>
        <v/>
      </c>
      <c r="BH73" s="53" t="str">
        <f t="shared" si="66"/>
        <v/>
      </c>
      <c r="BI73" s="53" t="str">
        <f t="shared" si="67"/>
        <v/>
      </c>
      <c r="BJ73" s="53" t="str">
        <f t="shared" si="68"/>
        <v/>
      </c>
      <c r="BK73" s="53" t="str">
        <f t="shared" si="69"/>
        <v/>
      </c>
    </row>
    <row r="74" spans="1:63">
      <c r="A74" s="53"/>
      <c r="B74" s="89" t="str">
        <f>IFERROR(VLOOKUP($A74,EntryList!$A$3:$N$645,2,FALSE),"")</f>
        <v/>
      </c>
      <c r="C74" s="74"/>
      <c r="D74" s="53">
        <f t="shared" si="43"/>
        <v>0</v>
      </c>
      <c r="E74" s="62"/>
      <c r="F74" s="62"/>
      <c r="G74" s="62"/>
      <c r="H74" s="62"/>
      <c r="I74" s="62"/>
      <c r="J74" s="62"/>
      <c r="K74" s="62"/>
      <c r="L74" s="62"/>
      <c r="M74" s="62"/>
      <c r="N74" s="62">
        <f t="shared" si="44"/>
        <v>0</v>
      </c>
      <c r="O74" s="53" t="str">
        <f t="shared" si="35"/>
        <v/>
      </c>
      <c r="P74" s="53" t="str">
        <f t="shared" si="36"/>
        <v/>
      </c>
      <c r="Q74" s="53" t="str">
        <f t="shared" si="37"/>
        <v/>
      </c>
      <c r="R74" s="53" t="str">
        <f t="shared" si="38"/>
        <v/>
      </c>
      <c r="S74" s="53" t="str">
        <f t="shared" si="39"/>
        <v/>
      </c>
      <c r="T74" s="53" t="str">
        <f t="shared" si="40"/>
        <v/>
      </c>
      <c r="U74" s="53" t="str">
        <f t="shared" si="41"/>
        <v/>
      </c>
      <c r="V74" s="53" t="str">
        <f t="shared" si="42"/>
        <v/>
      </c>
      <c r="W74" s="53" t="str">
        <f t="shared" si="45"/>
        <v>DNS/DNF ()</v>
      </c>
      <c r="X74" s="53" t="str">
        <f t="shared" si="46"/>
        <v>DNS/DNF ()</v>
      </c>
      <c r="Y74" s="53" t="str">
        <f t="shared" si="47"/>
        <v>DNS/DNF ()</v>
      </c>
      <c r="Z74" s="53" t="str">
        <f t="shared" si="48"/>
        <v>DNS/DNF ()</v>
      </c>
      <c r="AA74" s="53" t="str">
        <f t="shared" si="49"/>
        <v>DNS/DNF ()</v>
      </c>
      <c r="AB74" s="53" t="str">
        <f t="shared" si="50"/>
        <v>DNS/DNF ()</v>
      </c>
      <c r="AC74" s="53" t="str">
        <f t="shared" si="51"/>
        <v>DNS/DNF ()</v>
      </c>
      <c r="AD74" s="53" t="str">
        <f t="shared" si="52"/>
        <v>DNS/DNF ()</v>
      </c>
      <c r="AE74" s="53"/>
      <c r="AF74" s="53"/>
      <c r="AG74" s="53"/>
      <c r="AH74" s="53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62" t="str">
        <f t="shared" si="53"/>
        <v>DNS/DNF</v>
      </c>
      <c r="AV74" s="62" t="str">
        <f t="shared" si="54"/>
        <v>DNS/DNF</v>
      </c>
      <c r="AW74" s="62" t="str">
        <f t="shared" si="55"/>
        <v>DNS/DNF</v>
      </c>
      <c r="AX74" s="62" t="str">
        <f t="shared" si="56"/>
        <v>DNS/DNF</v>
      </c>
      <c r="AY74" s="62" t="str">
        <f t="shared" si="57"/>
        <v>DNS/DNF</v>
      </c>
      <c r="AZ74" s="62" t="str">
        <f t="shared" si="58"/>
        <v>DNS/DNF</v>
      </c>
      <c r="BA74" s="62" t="str">
        <f t="shared" si="59"/>
        <v>DNS/DNF</v>
      </c>
      <c r="BB74" s="62" t="str">
        <f t="shared" si="60"/>
        <v>DNS/DNF</v>
      </c>
      <c r="BC74" s="75" t="str">
        <f t="shared" si="61"/>
        <v/>
      </c>
      <c r="BD74" s="53" t="str">
        <f t="shared" si="62"/>
        <v/>
      </c>
      <c r="BE74" s="53" t="str">
        <f t="shared" si="63"/>
        <v/>
      </c>
      <c r="BF74" s="53" t="str">
        <f t="shared" si="64"/>
        <v/>
      </c>
      <c r="BG74" s="53" t="str">
        <f t="shared" si="65"/>
        <v/>
      </c>
      <c r="BH74" s="53" t="str">
        <f t="shared" si="66"/>
        <v/>
      </c>
      <c r="BI74" s="53" t="str">
        <f t="shared" si="67"/>
        <v/>
      </c>
      <c r="BJ74" s="53" t="str">
        <f t="shared" si="68"/>
        <v/>
      </c>
      <c r="BK74" s="53" t="str">
        <f t="shared" si="69"/>
        <v/>
      </c>
    </row>
    <row r="75" spans="1:63">
      <c r="A75" s="53"/>
      <c r="B75" s="89" t="str">
        <f>IFERROR(VLOOKUP($A75,EntryList!$A$3:$N$645,2,FALSE),"")</f>
        <v/>
      </c>
      <c r="C75" s="74"/>
      <c r="D75" s="53">
        <f t="shared" si="43"/>
        <v>0</v>
      </c>
      <c r="E75" s="62"/>
      <c r="F75" s="62"/>
      <c r="G75" s="62"/>
      <c r="H75" s="62"/>
      <c r="I75" s="62"/>
      <c r="J75" s="62"/>
      <c r="K75" s="62"/>
      <c r="L75" s="62"/>
      <c r="M75" s="62"/>
      <c r="N75" s="62">
        <f t="shared" si="44"/>
        <v>0</v>
      </c>
      <c r="O75" s="53" t="str">
        <f t="shared" si="35"/>
        <v/>
      </c>
      <c r="P75" s="53" t="str">
        <f t="shared" si="36"/>
        <v/>
      </c>
      <c r="Q75" s="53" t="str">
        <f t="shared" si="37"/>
        <v/>
      </c>
      <c r="R75" s="53" t="str">
        <f t="shared" si="38"/>
        <v/>
      </c>
      <c r="S75" s="53" t="str">
        <f t="shared" si="39"/>
        <v/>
      </c>
      <c r="T75" s="53" t="str">
        <f t="shared" si="40"/>
        <v/>
      </c>
      <c r="U75" s="53" t="str">
        <f t="shared" si="41"/>
        <v/>
      </c>
      <c r="V75" s="53" t="str">
        <f t="shared" si="42"/>
        <v/>
      </c>
      <c r="W75" s="53" t="str">
        <f t="shared" si="45"/>
        <v>DNS/DNF ()</v>
      </c>
      <c r="X75" s="53" t="str">
        <f t="shared" si="46"/>
        <v>DNS/DNF ()</v>
      </c>
      <c r="Y75" s="53" t="str">
        <f t="shared" si="47"/>
        <v>DNS/DNF ()</v>
      </c>
      <c r="Z75" s="53" t="str">
        <f t="shared" si="48"/>
        <v>DNS/DNF ()</v>
      </c>
      <c r="AA75" s="53" t="str">
        <f t="shared" si="49"/>
        <v>DNS/DNF ()</v>
      </c>
      <c r="AB75" s="53" t="str">
        <f t="shared" si="50"/>
        <v>DNS/DNF ()</v>
      </c>
      <c r="AC75" s="53" t="str">
        <f t="shared" si="51"/>
        <v>DNS/DNF ()</v>
      </c>
      <c r="AD75" s="53" t="str">
        <f t="shared" si="52"/>
        <v>DNS/DNF ()</v>
      </c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62" t="str">
        <f t="shared" si="53"/>
        <v>DNS/DNF</v>
      </c>
      <c r="AV75" s="62" t="str">
        <f t="shared" si="54"/>
        <v>DNS/DNF</v>
      </c>
      <c r="AW75" s="62" t="str">
        <f t="shared" si="55"/>
        <v>DNS/DNF</v>
      </c>
      <c r="AX75" s="62" t="str">
        <f t="shared" si="56"/>
        <v>DNS/DNF</v>
      </c>
      <c r="AY75" s="62" t="str">
        <f t="shared" si="57"/>
        <v>DNS/DNF</v>
      </c>
      <c r="AZ75" s="62" t="str">
        <f t="shared" si="58"/>
        <v>DNS/DNF</v>
      </c>
      <c r="BA75" s="62" t="str">
        <f t="shared" si="59"/>
        <v>DNS/DNF</v>
      </c>
      <c r="BB75" s="62" t="str">
        <f t="shared" si="60"/>
        <v>DNS/DNF</v>
      </c>
      <c r="BC75" s="75" t="str">
        <f t="shared" si="61"/>
        <v/>
      </c>
      <c r="BD75" s="53" t="str">
        <f t="shared" si="62"/>
        <v/>
      </c>
      <c r="BE75" s="53" t="str">
        <f t="shared" si="63"/>
        <v/>
      </c>
      <c r="BF75" s="53" t="str">
        <f t="shared" si="64"/>
        <v/>
      </c>
      <c r="BG75" s="53" t="str">
        <f t="shared" si="65"/>
        <v/>
      </c>
      <c r="BH75" s="53" t="str">
        <f t="shared" si="66"/>
        <v/>
      </c>
      <c r="BI75" s="53" t="str">
        <f t="shared" si="67"/>
        <v/>
      </c>
      <c r="BJ75" s="53" t="str">
        <f t="shared" si="68"/>
        <v/>
      </c>
      <c r="BK75" s="53" t="str">
        <f t="shared" si="69"/>
        <v/>
      </c>
    </row>
    <row r="76" spans="1:63">
      <c r="A76" s="53"/>
      <c r="B76" s="89" t="str">
        <f>IFERROR(VLOOKUP($A76,EntryList!$A$3:$N$645,2,FALSE),"")</f>
        <v/>
      </c>
      <c r="C76" s="74"/>
      <c r="D76" s="53">
        <f t="shared" si="43"/>
        <v>0</v>
      </c>
      <c r="E76" s="62"/>
      <c r="F76" s="62"/>
      <c r="G76" s="62"/>
      <c r="H76" s="62"/>
      <c r="I76" s="62"/>
      <c r="J76" s="62"/>
      <c r="K76" s="62"/>
      <c r="L76" s="62"/>
      <c r="M76" s="62"/>
      <c r="N76" s="62">
        <f t="shared" si="44"/>
        <v>0</v>
      </c>
      <c r="O76" s="53" t="str">
        <f t="shared" si="35"/>
        <v/>
      </c>
      <c r="P76" s="53" t="str">
        <f t="shared" si="36"/>
        <v/>
      </c>
      <c r="Q76" s="53" t="str">
        <f t="shared" si="37"/>
        <v/>
      </c>
      <c r="R76" s="53" t="str">
        <f t="shared" si="38"/>
        <v/>
      </c>
      <c r="S76" s="53" t="str">
        <f t="shared" si="39"/>
        <v/>
      </c>
      <c r="T76" s="53" t="str">
        <f t="shared" si="40"/>
        <v/>
      </c>
      <c r="U76" s="53" t="str">
        <f t="shared" si="41"/>
        <v/>
      </c>
      <c r="V76" s="53" t="str">
        <f t="shared" si="42"/>
        <v/>
      </c>
      <c r="W76" s="53" t="str">
        <f t="shared" si="45"/>
        <v>DNS/DNF ()</v>
      </c>
      <c r="X76" s="53" t="str">
        <f t="shared" si="46"/>
        <v>DNS/DNF ()</v>
      </c>
      <c r="Y76" s="53" t="str">
        <f t="shared" si="47"/>
        <v>DNS/DNF ()</v>
      </c>
      <c r="Z76" s="53" t="str">
        <f t="shared" si="48"/>
        <v>DNS/DNF ()</v>
      </c>
      <c r="AA76" s="53" t="str">
        <f t="shared" si="49"/>
        <v>DNS/DNF ()</v>
      </c>
      <c r="AB76" s="53" t="str">
        <f t="shared" si="50"/>
        <v>DNS/DNF ()</v>
      </c>
      <c r="AC76" s="53" t="str">
        <f t="shared" si="51"/>
        <v>DNS/DNF ()</v>
      </c>
      <c r="AD76" s="53" t="str">
        <f t="shared" si="52"/>
        <v>DNS/DNF ()</v>
      </c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62" t="str">
        <f t="shared" si="53"/>
        <v>DNS/DNF</v>
      </c>
      <c r="AV76" s="62" t="str">
        <f t="shared" si="54"/>
        <v>DNS/DNF</v>
      </c>
      <c r="AW76" s="62" t="str">
        <f t="shared" si="55"/>
        <v>DNS/DNF</v>
      </c>
      <c r="AX76" s="62" t="str">
        <f t="shared" si="56"/>
        <v>DNS/DNF</v>
      </c>
      <c r="AY76" s="62" t="str">
        <f t="shared" si="57"/>
        <v>DNS/DNF</v>
      </c>
      <c r="AZ76" s="62" t="str">
        <f t="shared" si="58"/>
        <v>DNS/DNF</v>
      </c>
      <c r="BA76" s="62" t="str">
        <f t="shared" si="59"/>
        <v>DNS/DNF</v>
      </c>
      <c r="BB76" s="62" t="str">
        <f t="shared" si="60"/>
        <v>DNS/DNF</v>
      </c>
      <c r="BC76" s="75" t="str">
        <f t="shared" si="61"/>
        <v/>
      </c>
      <c r="BD76" s="53" t="str">
        <f t="shared" si="62"/>
        <v/>
      </c>
      <c r="BE76" s="53" t="str">
        <f t="shared" si="63"/>
        <v/>
      </c>
      <c r="BF76" s="53" t="str">
        <f t="shared" si="64"/>
        <v/>
      </c>
      <c r="BG76" s="53" t="str">
        <f t="shared" si="65"/>
        <v/>
      </c>
      <c r="BH76" s="53" t="str">
        <f t="shared" si="66"/>
        <v/>
      </c>
      <c r="BI76" s="53" t="str">
        <f t="shared" si="67"/>
        <v/>
      </c>
      <c r="BJ76" s="53" t="str">
        <f t="shared" si="68"/>
        <v/>
      </c>
      <c r="BK76" s="53" t="str">
        <f t="shared" si="69"/>
        <v/>
      </c>
    </row>
    <row r="77" spans="1:63">
      <c r="A77" s="53"/>
      <c r="B77" s="89" t="str">
        <f>IFERROR(VLOOKUP($A77,EntryList!$A$3:$N$645,2,FALSE),"")</f>
        <v/>
      </c>
      <c r="C77" s="74"/>
      <c r="D77" s="53">
        <f t="shared" si="43"/>
        <v>0</v>
      </c>
      <c r="E77" s="62"/>
      <c r="F77" s="62"/>
      <c r="G77" s="62"/>
      <c r="H77" s="62"/>
      <c r="I77" s="62"/>
      <c r="J77" s="62"/>
      <c r="K77" s="62"/>
      <c r="L77" s="62"/>
      <c r="M77" s="62"/>
      <c r="N77" s="62">
        <f t="shared" si="44"/>
        <v>0</v>
      </c>
      <c r="O77" s="53" t="str">
        <f t="shared" si="35"/>
        <v/>
      </c>
      <c r="P77" s="53" t="str">
        <f t="shared" si="36"/>
        <v/>
      </c>
      <c r="Q77" s="53" t="str">
        <f t="shared" si="37"/>
        <v/>
      </c>
      <c r="R77" s="53" t="str">
        <f t="shared" si="38"/>
        <v/>
      </c>
      <c r="S77" s="53" t="str">
        <f t="shared" si="39"/>
        <v/>
      </c>
      <c r="T77" s="53" t="str">
        <f t="shared" si="40"/>
        <v/>
      </c>
      <c r="U77" s="53" t="str">
        <f t="shared" si="41"/>
        <v/>
      </c>
      <c r="V77" s="53" t="str">
        <f t="shared" si="42"/>
        <v/>
      </c>
      <c r="W77" s="53" t="str">
        <f t="shared" si="45"/>
        <v>DNS/DNF ()</v>
      </c>
      <c r="X77" s="53" t="str">
        <f t="shared" si="46"/>
        <v>DNS/DNF ()</v>
      </c>
      <c r="Y77" s="53" t="str">
        <f t="shared" si="47"/>
        <v>DNS/DNF ()</v>
      </c>
      <c r="Z77" s="53" t="str">
        <f t="shared" si="48"/>
        <v>DNS/DNF ()</v>
      </c>
      <c r="AA77" s="53" t="str">
        <f t="shared" si="49"/>
        <v>DNS/DNF ()</v>
      </c>
      <c r="AB77" s="53" t="str">
        <f t="shared" si="50"/>
        <v>DNS/DNF ()</v>
      </c>
      <c r="AC77" s="53" t="str">
        <f t="shared" si="51"/>
        <v>DNS/DNF ()</v>
      </c>
      <c r="AD77" s="53" t="str">
        <f t="shared" si="52"/>
        <v>DNS/DNF ()</v>
      </c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62" t="str">
        <f t="shared" si="53"/>
        <v>DNS/DNF</v>
      </c>
      <c r="AV77" s="62" t="str">
        <f t="shared" si="54"/>
        <v>DNS/DNF</v>
      </c>
      <c r="AW77" s="62" t="str">
        <f t="shared" si="55"/>
        <v>DNS/DNF</v>
      </c>
      <c r="AX77" s="62" t="str">
        <f t="shared" si="56"/>
        <v>DNS/DNF</v>
      </c>
      <c r="AY77" s="62" t="str">
        <f t="shared" si="57"/>
        <v>DNS/DNF</v>
      </c>
      <c r="AZ77" s="62" t="str">
        <f t="shared" si="58"/>
        <v>DNS/DNF</v>
      </c>
      <c r="BA77" s="62" t="str">
        <f t="shared" si="59"/>
        <v>DNS/DNF</v>
      </c>
      <c r="BB77" s="62" t="str">
        <f t="shared" si="60"/>
        <v>DNS/DNF</v>
      </c>
      <c r="BC77" s="75" t="str">
        <f t="shared" si="61"/>
        <v/>
      </c>
      <c r="BD77" s="53" t="str">
        <f t="shared" si="62"/>
        <v/>
      </c>
      <c r="BE77" s="53" t="str">
        <f t="shared" si="63"/>
        <v/>
      </c>
      <c r="BF77" s="53" t="str">
        <f t="shared" si="64"/>
        <v/>
      </c>
      <c r="BG77" s="53" t="str">
        <f t="shared" si="65"/>
        <v/>
      </c>
      <c r="BH77" s="53" t="str">
        <f t="shared" si="66"/>
        <v/>
      </c>
      <c r="BI77" s="53" t="str">
        <f t="shared" si="67"/>
        <v/>
      </c>
      <c r="BJ77" s="53" t="str">
        <f t="shared" si="68"/>
        <v/>
      </c>
      <c r="BK77" s="53" t="str">
        <f t="shared" si="69"/>
        <v/>
      </c>
    </row>
    <row r="78" spans="1:63">
      <c r="A78" s="53"/>
      <c r="B78" s="89" t="str">
        <f>IFERROR(VLOOKUP($A78,EntryList!$A$3:$N$645,2,FALSE),"")</f>
        <v/>
      </c>
      <c r="C78" s="74"/>
      <c r="D78" s="53">
        <f t="shared" si="43"/>
        <v>0</v>
      </c>
      <c r="E78" s="62"/>
      <c r="F78" s="62"/>
      <c r="G78" s="62"/>
      <c r="H78" s="62"/>
      <c r="I78" s="62"/>
      <c r="J78" s="62"/>
      <c r="K78" s="62"/>
      <c r="L78" s="62"/>
      <c r="M78" s="62"/>
      <c r="N78" s="62">
        <f t="shared" si="44"/>
        <v>0</v>
      </c>
      <c r="O78" s="53" t="str">
        <f t="shared" si="35"/>
        <v/>
      </c>
      <c r="P78" s="53" t="str">
        <f t="shared" si="36"/>
        <v/>
      </c>
      <c r="Q78" s="53" t="str">
        <f t="shared" si="37"/>
        <v/>
      </c>
      <c r="R78" s="53" t="str">
        <f t="shared" si="38"/>
        <v/>
      </c>
      <c r="S78" s="53" t="str">
        <f t="shared" si="39"/>
        <v/>
      </c>
      <c r="T78" s="53" t="str">
        <f t="shared" si="40"/>
        <v/>
      </c>
      <c r="U78" s="53" t="str">
        <f t="shared" si="41"/>
        <v/>
      </c>
      <c r="V78" s="53" t="str">
        <f t="shared" si="42"/>
        <v/>
      </c>
      <c r="W78" s="53" t="str">
        <f t="shared" si="45"/>
        <v>DNS/DNF ()</v>
      </c>
      <c r="X78" s="53" t="str">
        <f t="shared" si="46"/>
        <v>DNS/DNF ()</v>
      </c>
      <c r="Y78" s="53" t="str">
        <f t="shared" si="47"/>
        <v>DNS/DNF ()</v>
      </c>
      <c r="Z78" s="53" t="str">
        <f t="shared" si="48"/>
        <v>DNS/DNF ()</v>
      </c>
      <c r="AA78" s="53" t="str">
        <f t="shared" si="49"/>
        <v>DNS/DNF ()</v>
      </c>
      <c r="AB78" s="53" t="str">
        <f t="shared" si="50"/>
        <v>DNS/DNF ()</v>
      </c>
      <c r="AC78" s="53" t="str">
        <f t="shared" si="51"/>
        <v>DNS/DNF ()</v>
      </c>
      <c r="AD78" s="53" t="str">
        <f t="shared" si="52"/>
        <v>DNS/DNF ()</v>
      </c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62" t="str">
        <f t="shared" si="53"/>
        <v>DNS/DNF</v>
      </c>
      <c r="AV78" s="62" t="str">
        <f t="shared" si="54"/>
        <v>DNS/DNF</v>
      </c>
      <c r="AW78" s="62" t="str">
        <f t="shared" si="55"/>
        <v>DNS/DNF</v>
      </c>
      <c r="AX78" s="62" t="str">
        <f t="shared" si="56"/>
        <v>DNS/DNF</v>
      </c>
      <c r="AY78" s="62" t="str">
        <f t="shared" si="57"/>
        <v>DNS/DNF</v>
      </c>
      <c r="AZ78" s="62" t="str">
        <f t="shared" si="58"/>
        <v>DNS/DNF</v>
      </c>
      <c r="BA78" s="62" t="str">
        <f t="shared" si="59"/>
        <v>DNS/DNF</v>
      </c>
      <c r="BB78" s="62" t="str">
        <f t="shared" si="60"/>
        <v>DNS/DNF</v>
      </c>
      <c r="BC78" s="75" t="str">
        <f t="shared" si="61"/>
        <v/>
      </c>
      <c r="BD78" s="53" t="str">
        <f t="shared" si="62"/>
        <v/>
      </c>
      <c r="BE78" s="53" t="str">
        <f t="shared" si="63"/>
        <v/>
      </c>
      <c r="BF78" s="53" t="str">
        <f t="shared" si="64"/>
        <v/>
      </c>
      <c r="BG78" s="53" t="str">
        <f t="shared" si="65"/>
        <v/>
      </c>
      <c r="BH78" s="53" t="str">
        <f t="shared" si="66"/>
        <v/>
      </c>
      <c r="BI78" s="53" t="str">
        <f t="shared" si="67"/>
        <v/>
      </c>
      <c r="BJ78" s="53" t="str">
        <f t="shared" si="68"/>
        <v/>
      </c>
      <c r="BK78" s="53" t="str">
        <f t="shared" si="69"/>
        <v/>
      </c>
    </row>
    <row r="79" spans="1:63">
      <c r="A79" s="53"/>
      <c r="B79" s="89" t="str">
        <f>IFERROR(VLOOKUP($A79,EntryList!$A$3:$N$645,2,FALSE),"")</f>
        <v/>
      </c>
      <c r="C79" s="74"/>
      <c r="D79" s="53">
        <f t="shared" si="43"/>
        <v>0</v>
      </c>
      <c r="E79" s="62"/>
      <c r="F79" s="62"/>
      <c r="G79" s="62"/>
      <c r="H79" s="62"/>
      <c r="I79" s="62"/>
      <c r="J79" s="62"/>
      <c r="K79" s="62"/>
      <c r="L79" s="62"/>
      <c r="M79" s="62"/>
      <c r="N79" s="62">
        <f t="shared" si="44"/>
        <v>0</v>
      </c>
      <c r="O79" s="53" t="str">
        <f t="shared" si="35"/>
        <v/>
      </c>
      <c r="P79" s="53" t="str">
        <f t="shared" si="36"/>
        <v/>
      </c>
      <c r="Q79" s="53" t="str">
        <f t="shared" si="37"/>
        <v/>
      </c>
      <c r="R79" s="53" t="str">
        <f t="shared" si="38"/>
        <v/>
      </c>
      <c r="S79" s="53" t="str">
        <f t="shared" si="39"/>
        <v/>
      </c>
      <c r="T79" s="53" t="str">
        <f t="shared" si="40"/>
        <v/>
      </c>
      <c r="U79" s="53" t="str">
        <f t="shared" si="41"/>
        <v/>
      </c>
      <c r="V79" s="53" t="str">
        <f t="shared" si="42"/>
        <v/>
      </c>
      <c r="W79" s="53" t="str">
        <f t="shared" si="45"/>
        <v>DNS/DNF ()</v>
      </c>
      <c r="X79" s="53" t="str">
        <f t="shared" si="46"/>
        <v>DNS/DNF ()</v>
      </c>
      <c r="Y79" s="53" t="str">
        <f t="shared" si="47"/>
        <v>DNS/DNF ()</v>
      </c>
      <c r="Z79" s="53" t="str">
        <f t="shared" si="48"/>
        <v>DNS/DNF ()</v>
      </c>
      <c r="AA79" s="53" t="str">
        <f t="shared" si="49"/>
        <v>DNS/DNF ()</v>
      </c>
      <c r="AB79" s="53" t="str">
        <f t="shared" si="50"/>
        <v>DNS/DNF ()</v>
      </c>
      <c r="AC79" s="53" t="str">
        <f t="shared" si="51"/>
        <v>DNS/DNF ()</v>
      </c>
      <c r="AD79" s="53" t="str">
        <f t="shared" si="52"/>
        <v>DNS/DNF ()</v>
      </c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62" t="str">
        <f t="shared" si="53"/>
        <v>DNS/DNF</v>
      </c>
      <c r="AV79" s="62" t="str">
        <f t="shared" si="54"/>
        <v>DNS/DNF</v>
      </c>
      <c r="AW79" s="62" t="str">
        <f t="shared" si="55"/>
        <v>DNS/DNF</v>
      </c>
      <c r="AX79" s="62" t="str">
        <f t="shared" si="56"/>
        <v>DNS/DNF</v>
      </c>
      <c r="AY79" s="62" t="str">
        <f t="shared" si="57"/>
        <v>DNS/DNF</v>
      </c>
      <c r="AZ79" s="62" t="str">
        <f t="shared" si="58"/>
        <v>DNS/DNF</v>
      </c>
      <c r="BA79" s="62" t="str">
        <f t="shared" si="59"/>
        <v>DNS/DNF</v>
      </c>
      <c r="BB79" s="62" t="str">
        <f t="shared" si="60"/>
        <v>DNS/DNF</v>
      </c>
      <c r="BC79" s="75" t="str">
        <f t="shared" si="61"/>
        <v/>
      </c>
      <c r="BD79" s="53" t="str">
        <f t="shared" si="62"/>
        <v/>
      </c>
      <c r="BE79" s="53" t="str">
        <f t="shared" si="63"/>
        <v/>
      </c>
      <c r="BF79" s="53" t="str">
        <f t="shared" si="64"/>
        <v/>
      </c>
      <c r="BG79" s="53" t="str">
        <f t="shared" si="65"/>
        <v/>
      </c>
      <c r="BH79" s="53" t="str">
        <f t="shared" si="66"/>
        <v/>
      </c>
      <c r="BI79" s="53" t="str">
        <f t="shared" si="67"/>
        <v/>
      </c>
      <c r="BJ79" s="53" t="str">
        <f t="shared" si="68"/>
        <v/>
      </c>
      <c r="BK79" s="53" t="str">
        <f t="shared" si="69"/>
        <v/>
      </c>
    </row>
    <row r="80" spans="1:63">
      <c r="A80" s="53"/>
      <c r="B80" s="89" t="str">
        <f>IFERROR(VLOOKUP($A80,EntryList!$A$3:$N$645,2,FALSE),"")</f>
        <v/>
      </c>
      <c r="C80" s="74"/>
      <c r="D80" s="53">
        <f t="shared" si="43"/>
        <v>0</v>
      </c>
      <c r="E80" s="62"/>
      <c r="F80" s="62"/>
      <c r="G80" s="62"/>
      <c r="H80" s="62"/>
      <c r="I80" s="62"/>
      <c r="J80" s="62"/>
      <c r="K80" s="62"/>
      <c r="L80" s="62"/>
      <c r="M80" s="62"/>
      <c r="N80" s="62">
        <f t="shared" si="44"/>
        <v>0</v>
      </c>
      <c r="O80" s="53" t="str">
        <f t="shared" si="35"/>
        <v/>
      </c>
      <c r="P80" s="53" t="str">
        <f t="shared" si="36"/>
        <v/>
      </c>
      <c r="Q80" s="53" t="str">
        <f t="shared" si="37"/>
        <v/>
      </c>
      <c r="R80" s="53" t="str">
        <f t="shared" si="38"/>
        <v/>
      </c>
      <c r="S80" s="53" t="str">
        <f t="shared" si="39"/>
        <v/>
      </c>
      <c r="T80" s="53" t="str">
        <f t="shared" si="40"/>
        <v/>
      </c>
      <c r="U80" s="53" t="str">
        <f t="shared" si="41"/>
        <v/>
      </c>
      <c r="V80" s="53" t="str">
        <f t="shared" si="42"/>
        <v/>
      </c>
      <c r="W80" s="53" t="str">
        <f t="shared" si="45"/>
        <v>DNS/DNF ()</v>
      </c>
      <c r="X80" s="53" t="str">
        <f t="shared" si="46"/>
        <v>DNS/DNF ()</v>
      </c>
      <c r="Y80" s="53" t="str">
        <f t="shared" si="47"/>
        <v>DNS/DNF ()</v>
      </c>
      <c r="Z80" s="53" t="str">
        <f t="shared" si="48"/>
        <v>DNS/DNF ()</v>
      </c>
      <c r="AA80" s="53" t="str">
        <f t="shared" si="49"/>
        <v>DNS/DNF ()</v>
      </c>
      <c r="AB80" s="53" t="str">
        <f t="shared" si="50"/>
        <v>DNS/DNF ()</v>
      </c>
      <c r="AC80" s="53" t="str">
        <f t="shared" si="51"/>
        <v>DNS/DNF ()</v>
      </c>
      <c r="AD80" s="53" t="str">
        <f t="shared" si="52"/>
        <v>DNS/DNF ()</v>
      </c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62" t="str">
        <f t="shared" si="53"/>
        <v>DNS/DNF</v>
      </c>
      <c r="AV80" s="62" t="str">
        <f t="shared" si="54"/>
        <v>DNS/DNF</v>
      </c>
      <c r="AW80" s="62" t="str">
        <f t="shared" si="55"/>
        <v>DNS/DNF</v>
      </c>
      <c r="AX80" s="62" t="str">
        <f t="shared" si="56"/>
        <v>DNS/DNF</v>
      </c>
      <c r="AY80" s="62" t="str">
        <f t="shared" si="57"/>
        <v>DNS/DNF</v>
      </c>
      <c r="AZ80" s="62" t="str">
        <f t="shared" si="58"/>
        <v>DNS/DNF</v>
      </c>
      <c r="BA80" s="62" t="str">
        <f t="shared" si="59"/>
        <v>DNS/DNF</v>
      </c>
      <c r="BB80" s="62" t="str">
        <f t="shared" si="60"/>
        <v>DNS/DNF</v>
      </c>
      <c r="BC80" s="75" t="str">
        <f t="shared" si="61"/>
        <v/>
      </c>
      <c r="BD80" s="53" t="str">
        <f t="shared" si="62"/>
        <v/>
      </c>
      <c r="BE80" s="53" t="str">
        <f t="shared" si="63"/>
        <v/>
      </c>
      <c r="BF80" s="53" t="str">
        <f t="shared" si="64"/>
        <v/>
      </c>
      <c r="BG80" s="53" t="str">
        <f t="shared" si="65"/>
        <v/>
      </c>
      <c r="BH80" s="53" t="str">
        <f t="shared" si="66"/>
        <v/>
      </c>
      <c r="BI80" s="53" t="str">
        <f t="shared" si="67"/>
        <v/>
      </c>
      <c r="BJ80" s="53" t="str">
        <f t="shared" si="68"/>
        <v/>
      </c>
      <c r="BK80" s="53" t="str">
        <f t="shared" si="69"/>
        <v/>
      </c>
    </row>
    <row r="81" spans="1:63">
      <c r="A81" s="53"/>
      <c r="B81" s="89" t="str">
        <f>IFERROR(VLOOKUP($A81,EntryList!$A$3:$N$645,2,FALSE),"")</f>
        <v/>
      </c>
      <c r="C81" s="74"/>
      <c r="D81" s="53">
        <f t="shared" si="43"/>
        <v>0</v>
      </c>
      <c r="E81" s="62"/>
      <c r="F81" s="62"/>
      <c r="G81" s="62"/>
      <c r="H81" s="62"/>
      <c r="I81" s="62"/>
      <c r="J81" s="62"/>
      <c r="K81" s="62"/>
      <c r="L81" s="62"/>
      <c r="M81" s="62"/>
      <c r="N81" s="62">
        <f t="shared" si="44"/>
        <v>0</v>
      </c>
      <c r="O81" s="53" t="str">
        <f t="shared" si="35"/>
        <v/>
      </c>
      <c r="P81" s="53" t="str">
        <f t="shared" si="36"/>
        <v/>
      </c>
      <c r="Q81" s="53" t="str">
        <f t="shared" si="37"/>
        <v/>
      </c>
      <c r="R81" s="53" t="str">
        <f t="shared" si="38"/>
        <v/>
      </c>
      <c r="S81" s="53" t="str">
        <f t="shared" si="39"/>
        <v/>
      </c>
      <c r="T81" s="53" t="str">
        <f t="shared" si="40"/>
        <v/>
      </c>
      <c r="U81" s="53" t="str">
        <f t="shared" si="41"/>
        <v/>
      </c>
      <c r="V81" s="53" t="str">
        <f t="shared" si="42"/>
        <v/>
      </c>
      <c r="W81" s="53" t="str">
        <f t="shared" si="45"/>
        <v>DNS/DNF ()</v>
      </c>
      <c r="X81" s="53" t="str">
        <f t="shared" si="46"/>
        <v>DNS/DNF ()</v>
      </c>
      <c r="Y81" s="53" t="str">
        <f t="shared" si="47"/>
        <v>DNS/DNF ()</v>
      </c>
      <c r="Z81" s="53" t="str">
        <f t="shared" si="48"/>
        <v>DNS/DNF ()</v>
      </c>
      <c r="AA81" s="53" t="str">
        <f t="shared" si="49"/>
        <v>DNS/DNF ()</v>
      </c>
      <c r="AB81" s="53" t="str">
        <f t="shared" si="50"/>
        <v>DNS/DNF ()</v>
      </c>
      <c r="AC81" s="53" t="str">
        <f t="shared" si="51"/>
        <v>DNS/DNF ()</v>
      </c>
      <c r="AD81" s="53" t="str">
        <f t="shared" si="52"/>
        <v>DNS/DNF ()</v>
      </c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62" t="str">
        <f t="shared" si="53"/>
        <v>DNS/DNF</v>
      </c>
      <c r="AV81" s="62" t="str">
        <f t="shared" si="54"/>
        <v>DNS/DNF</v>
      </c>
      <c r="AW81" s="62" t="str">
        <f t="shared" si="55"/>
        <v>DNS/DNF</v>
      </c>
      <c r="AX81" s="62" t="str">
        <f t="shared" si="56"/>
        <v>DNS/DNF</v>
      </c>
      <c r="AY81" s="62" t="str">
        <f t="shared" si="57"/>
        <v>DNS/DNF</v>
      </c>
      <c r="AZ81" s="62" t="str">
        <f t="shared" si="58"/>
        <v>DNS/DNF</v>
      </c>
      <c r="BA81" s="62" t="str">
        <f t="shared" si="59"/>
        <v>DNS/DNF</v>
      </c>
      <c r="BB81" s="62" t="str">
        <f t="shared" si="60"/>
        <v>DNS/DNF</v>
      </c>
      <c r="BC81" s="75" t="str">
        <f t="shared" si="61"/>
        <v/>
      </c>
      <c r="BD81" s="53" t="str">
        <f t="shared" si="62"/>
        <v/>
      </c>
      <c r="BE81" s="53" t="str">
        <f t="shared" si="63"/>
        <v/>
      </c>
      <c r="BF81" s="53" t="str">
        <f t="shared" si="64"/>
        <v/>
      </c>
      <c r="BG81" s="53" t="str">
        <f t="shared" si="65"/>
        <v/>
      </c>
      <c r="BH81" s="53" t="str">
        <f t="shared" si="66"/>
        <v/>
      </c>
      <c r="BI81" s="53" t="str">
        <f t="shared" si="67"/>
        <v/>
      </c>
      <c r="BJ81" s="53" t="str">
        <f t="shared" si="68"/>
        <v/>
      </c>
      <c r="BK81" s="53" t="str">
        <f t="shared" si="69"/>
        <v/>
      </c>
    </row>
    <row r="82" spans="1:63">
      <c r="A82" s="53"/>
      <c r="B82" s="89" t="str">
        <f>IFERROR(VLOOKUP($A82,EntryList!$A$3:$N$645,2,FALSE),"")</f>
        <v/>
      </c>
      <c r="C82" s="74"/>
      <c r="D82" s="53">
        <f t="shared" si="43"/>
        <v>0</v>
      </c>
      <c r="E82" s="62"/>
      <c r="F82" s="62"/>
      <c r="G82" s="62"/>
      <c r="H82" s="62"/>
      <c r="I82" s="62"/>
      <c r="J82" s="62"/>
      <c r="K82" s="62"/>
      <c r="L82" s="62"/>
      <c r="M82" s="62"/>
      <c r="N82" s="62">
        <f t="shared" si="44"/>
        <v>0</v>
      </c>
      <c r="O82" s="53" t="str">
        <f t="shared" ref="O82:O145" si="70">IFERROR(RANK($AU82,AU$3:AU$500,1),"")</f>
        <v/>
      </c>
      <c r="P82" s="53" t="str">
        <f t="shared" ref="P82:P145" si="71">IFERROR(RANK($AV82,AV$3:AV$500,1),"")</f>
        <v/>
      </c>
      <c r="Q82" s="53" t="str">
        <f t="shared" ref="Q82:Q145" si="72">IFERROR(RANK($AW82,AW$3:AW$500,1),"")</f>
        <v/>
      </c>
      <c r="R82" s="53" t="str">
        <f t="shared" ref="R82:R145" si="73">IFERROR(RANK($AX82,AX$3:AX$500,1),"")</f>
        <v/>
      </c>
      <c r="S82" s="53" t="str">
        <f t="shared" ref="S82:S145" si="74">IFERROR(RANK($AY82,AY$3:AY$500,1),"")</f>
        <v/>
      </c>
      <c r="T82" s="53" t="str">
        <f t="shared" ref="T82:T145" si="75">IFERROR(RANK($AZ82,AZ$3:AZ$500,1),"")</f>
        <v/>
      </c>
      <c r="U82" s="53" t="str">
        <f t="shared" ref="U82:U145" si="76">IFERROR(RANK($BA82,BA$3:BA$500,1),"")</f>
        <v/>
      </c>
      <c r="V82" s="53" t="str">
        <f t="shared" ref="V82:V145" si="77">IFERROR(RANK($BB82,BB$3:BB$500,1),"")</f>
        <v/>
      </c>
      <c r="W82" s="53" t="str">
        <f t="shared" si="45"/>
        <v>DNS/DNF ()</v>
      </c>
      <c r="X82" s="53" t="str">
        <f t="shared" si="46"/>
        <v>DNS/DNF ()</v>
      </c>
      <c r="Y82" s="53" t="str">
        <f t="shared" si="47"/>
        <v>DNS/DNF ()</v>
      </c>
      <c r="Z82" s="53" t="str">
        <f t="shared" si="48"/>
        <v>DNS/DNF ()</v>
      </c>
      <c r="AA82" s="53" t="str">
        <f t="shared" si="49"/>
        <v>DNS/DNF ()</v>
      </c>
      <c r="AB82" s="53" t="str">
        <f t="shared" si="50"/>
        <v>DNS/DNF ()</v>
      </c>
      <c r="AC82" s="53" t="str">
        <f t="shared" si="51"/>
        <v>DNS/DNF ()</v>
      </c>
      <c r="AD82" s="53" t="str">
        <f t="shared" si="52"/>
        <v>DNS/DNF ()</v>
      </c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62" t="str">
        <f t="shared" si="53"/>
        <v>DNS/DNF</v>
      </c>
      <c r="AV82" s="62" t="str">
        <f t="shared" si="54"/>
        <v>DNS/DNF</v>
      </c>
      <c r="AW82" s="62" t="str">
        <f t="shared" si="55"/>
        <v>DNS/DNF</v>
      </c>
      <c r="AX82" s="62" t="str">
        <f t="shared" si="56"/>
        <v>DNS/DNF</v>
      </c>
      <c r="AY82" s="62" t="str">
        <f t="shared" si="57"/>
        <v>DNS/DNF</v>
      </c>
      <c r="AZ82" s="62" t="str">
        <f t="shared" si="58"/>
        <v>DNS/DNF</v>
      </c>
      <c r="BA82" s="62" t="str">
        <f t="shared" si="59"/>
        <v>DNS/DNF</v>
      </c>
      <c r="BB82" s="62" t="str">
        <f t="shared" si="60"/>
        <v>DNS/DNF</v>
      </c>
      <c r="BC82" s="75" t="str">
        <f t="shared" si="61"/>
        <v/>
      </c>
      <c r="BD82" s="53" t="str">
        <f t="shared" si="62"/>
        <v/>
      </c>
      <c r="BE82" s="53" t="str">
        <f t="shared" si="63"/>
        <v/>
      </c>
      <c r="BF82" s="53" t="str">
        <f t="shared" si="64"/>
        <v/>
      </c>
      <c r="BG82" s="53" t="str">
        <f t="shared" si="65"/>
        <v/>
      </c>
      <c r="BH82" s="53" t="str">
        <f t="shared" si="66"/>
        <v/>
      </c>
      <c r="BI82" s="53" t="str">
        <f t="shared" si="67"/>
        <v/>
      </c>
      <c r="BJ82" s="53" t="str">
        <f t="shared" si="68"/>
        <v/>
      </c>
      <c r="BK82" s="53" t="str">
        <f t="shared" si="69"/>
        <v/>
      </c>
    </row>
    <row r="83" spans="1:63">
      <c r="A83" s="53"/>
      <c r="B83" s="89" t="str">
        <f>IFERROR(VLOOKUP($A83,EntryList!$A$3:$N$645,2,FALSE),"")</f>
        <v/>
      </c>
      <c r="C83" s="74"/>
      <c r="D83" s="53">
        <f t="shared" si="43"/>
        <v>0</v>
      </c>
      <c r="E83" s="62"/>
      <c r="F83" s="62"/>
      <c r="G83" s="62"/>
      <c r="H83" s="62"/>
      <c r="I83" s="62"/>
      <c r="J83" s="62"/>
      <c r="K83" s="62"/>
      <c r="L83" s="62"/>
      <c r="M83" s="62"/>
      <c r="N83" s="62">
        <f t="shared" si="44"/>
        <v>0</v>
      </c>
      <c r="O83" s="53" t="str">
        <f t="shared" si="70"/>
        <v/>
      </c>
      <c r="P83" s="53" t="str">
        <f t="shared" si="71"/>
        <v/>
      </c>
      <c r="Q83" s="53" t="str">
        <f t="shared" si="72"/>
        <v/>
      </c>
      <c r="R83" s="53" t="str">
        <f t="shared" si="73"/>
        <v/>
      </c>
      <c r="S83" s="53" t="str">
        <f t="shared" si="74"/>
        <v/>
      </c>
      <c r="T83" s="53" t="str">
        <f t="shared" si="75"/>
        <v/>
      </c>
      <c r="U83" s="53" t="str">
        <f t="shared" si="76"/>
        <v/>
      </c>
      <c r="V83" s="53" t="str">
        <f t="shared" si="77"/>
        <v/>
      </c>
      <c r="W83" s="53" t="str">
        <f t="shared" si="45"/>
        <v>DNS/DNF ()</v>
      </c>
      <c r="X83" s="53" t="str">
        <f t="shared" si="46"/>
        <v>DNS/DNF ()</v>
      </c>
      <c r="Y83" s="53" t="str">
        <f t="shared" si="47"/>
        <v>DNS/DNF ()</v>
      </c>
      <c r="Z83" s="53" t="str">
        <f t="shared" si="48"/>
        <v>DNS/DNF ()</v>
      </c>
      <c r="AA83" s="53" t="str">
        <f t="shared" si="49"/>
        <v>DNS/DNF ()</v>
      </c>
      <c r="AB83" s="53" t="str">
        <f t="shared" si="50"/>
        <v>DNS/DNF ()</v>
      </c>
      <c r="AC83" s="53" t="str">
        <f t="shared" si="51"/>
        <v>DNS/DNF ()</v>
      </c>
      <c r="AD83" s="53" t="str">
        <f t="shared" si="52"/>
        <v>DNS/DNF ()</v>
      </c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62" t="str">
        <f t="shared" si="53"/>
        <v>DNS/DNF</v>
      </c>
      <c r="AV83" s="62" t="str">
        <f t="shared" si="54"/>
        <v>DNS/DNF</v>
      </c>
      <c r="AW83" s="62" t="str">
        <f t="shared" si="55"/>
        <v>DNS/DNF</v>
      </c>
      <c r="AX83" s="62" t="str">
        <f t="shared" si="56"/>
        <v>DNS/DNF</v>
      </c>
      <c r="AY83" s="62" t="str">
        <f t="shared" si="57"/>
        <v>DNS/DNF</v>
      </c>
      <c r="AZ83" s="62" t="str">
        <f t="shared" si="58"/>
        <v>DNS/DNF</v>
      </c>
      <c r="BA83" s="62" t="str">
        <f t="shared" si="59"/>
        <v>DNS/DNF</v>
      </c>
      <c r="BB83" s="62" t="str">
        <f t="shared" si="60"/>
        <v>DNS/DNF</v>
      </c>
      <c r="BC83" s="75" t="str">
        <f t="shared" si="61"/>
        <v/>
      </c>
      <c r="BD83" s="53" t="str">
        <f t="shared" si="62"/>
        <v/>
      </c>
      <c r="BE83" s="53" t="str">
        <f t="shared" si="63"/>
        <v/>
      </c>
      <c r="BF83" s="53" t="str">
        <f t="shared" si="64"/>
        <v/>
      </c>
      <c r="BG83" s="53" t="str">
        <f t="shared" si="65"/>
        <v/>
      </c>
      <c r="BH83" s="53" t="str">
        <f t="shared" si="66"/>
        <v/>
      </c>
      <c r="BI83" s="53" t="str">
        <f t="shared" si="67"/>
        <v/>
      </c>
      <c r="BJ83" s="53" t="str">
        <f t="shared" si="68"/>
        <v/>
      </c>
      <c r="BK83" s="53" t="str">
        <f t="shared" si="69"/>
        <v/>
      </c>
    </row>
    <row r="84" spans="1:63">
      <c r="A84" s="53"/>
      <c r="B84" s="89" t="str">
        <f>IFERROR(VLOOKUP($A84,EntryList!$A$3:$N$645,2,FALSE),"")</f>
        <v/>
      </c>
      <c r="C84" s="74"/>
      <c r="D84" s="53">
        <f t="shared" si="43"/>
        <v>0</v>
      </c>
      <c r="E84" s="62"/>
      <c r="F84" s="62"/>
      <c r="G84" s="62"/>
      <c r="H84" s="62"/>
      <c r="I84" s="62"/>
      <c r="J84" s="62"/>
      <c r="K84" s="62"/>
      <c r="L84" s="62"/>
      <c r="M84" s="62"/>
      <c r="N84" s="62">
        <f t="shared" si="44"/>
        <v>0</v>
      </c>
      <c r="O84" s="53" t="str">
        <f t="shared" si="70"/>
        <v/>
      </c>
      <c r="P84" s="53" t="str">
        <f t="shared" si="71"/>
        <v/>
      </c>
      <c r="Q84" s="53" t="str">
        <f t="shared" si="72"/>
        <v/>
      </c>
      <c r="R84" s="53" t="str">
        <f t="shared" si="73"/>
        <v/>
      </c>
      <c r="S84" s="53" t="str">
        <f t="shared" si="74"/>
        <v/>
      </c>
      <c r="T84" s="53" t="str">
        <f t="shared" si="75"/>
        <v/>
      </c>
      <c r="U84" s="53" t="str">
        <f t="shared" si="76"/>
        <v/>
      </c>
      <c r="V84" s="53" t="str">
        <f t="shared" si="77"/>
        <v/>
      </c>
      <c r="W84" s="53" t="str">
        <f t="shared" si="45"/>
        <v>DNS/DNF ()</v>
      </c>
      <c r="X84" s="53" t="str">
        <f t="shared" si="46"/>
        <v>DNS/DNF ()</v>
      </c>
      <c r="Y84" s="53" t="str">
        <f t="shared" si="47"/>
        <v>DNS/DNF ()</v>
      </c>
      <c r="Z84" s="53" t="str">
        <f t="shared" si="48"/>
        <v>DNS/DNF ()</v>
      </c>
      <c r="AA84" s="53" t="str">
        <f t="shared" si="49"/>
        <v>DNS/DNF ()</v>
      </c>
      <c r="AB84" s="53" t="str">
        <f t="shared" si="50"/>
        <v>DNS/DNF ()</v>
      </c>
      <c r="AC84" s="53" t="str">
        <f t="shared" si="51"/>
        <v>DNS/DNF ()</v>
      </c>
      <c r="AD84" s="53" t="str">
        <f t="shared" si="52"/>
        <v>DNS/DNF ()</v>
      </c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62" t="str">
        <f t="shared" si="53"/>
        <v>DNS/DNF</v>
      </c>
      <c r="AV84" s="62" t="str">
        <f t="shared" si="54"/>
        <v>DNS/DNF</v>
      </c>
      <c r="AW84" s="62" t="str">
        <f t="shared" si="55"/>
        <v>DNS/DNF</v>
      </c>
      <c r="AX84" s="62" t="str">
        <f t="shared" si="56"/>
        <v>DNS/DNF</v>
      </c>
      <c r="AY84" s="62" t="str">
        <f t="shared" si="57"/>
        <v>DNS/DNF</v>
      </c>
      <c r="AZ84" s="62" t="str">
        <f t="shared" si="58"/>
        <v>DNS/DNF</v>
      </c>
      <c r="BA84" s="62" t="str">
        <f t="shared" si="59"/>
        <v>DNS/DNF</v>
      </c>
      <c r="BB84" s="62" t="str">
        <f t="shared" si="60"/>
        <v>DNS/DNF</v>
      </c>
      <c r="BC84" s="75" t="str">
        <f t="shared" si="61"/>
        <v/>
      </c>
      <c r="BD84" s="53" t="str">
        <f t="shared" si="62"/>
        <v/>
      </c>
      <c r="BE84" s="53" t="str">
        <f t="shared" si="63"/>
        <v/>
      </c>
      <c r="BF84" s="53" t="str">
        <f t="shared" si="64"/>
        <v/>
      </c>
      <c r="BG84" s="53" t="str">
        <f t="shared" si="65"/>
        <v/>
      </c>
      <c r="BH84" s="53" t="str">
        <f t="shared" si="66"/>
        <v/>
      </c>
      <c r="BI84" s="53" t="str">
        <f t="shared" si="67"/>
        <v/>
      </c>
      <c r="BJ84" s="53" t="str">
        <f t="shared" si="68"/>
        <v/>
      </c>
      <c r="BK84" s="53" t="str">
        <f t="shared" si="69"/>
        <v/>
      </c>
    </row>
    <row r="85" spans="1:63">
      <c r="A85" s="53"/>
      <c r="B85" s="89" t="str">
        <f>IFERROR(VLOOKUP($A85,EntryList!$A$3:$N$645,2,FALSE),"")</f>
        <v/>
      </c>
      <c r="C85" s="74"/>
      <c r="D85" s="53">
        <f t="shared" si="43"/>
        <v>0</v>
      </c>
      <c r="E85" s="62"/>
      <c r="F85" s="62"/>
      <c r="G85" s="62"/>
      <c r="H85" s="62"/>
      <c r="I85" s="62"/>
      <c r="J85" s="62"/>
      <c r="K85" s="62"/>
      <c r="L85" s="62"/>
      <c r="M85" s="62"/>
      <c r="N85" s="62">
        <f t="shared" si="44"/>
        <v>0</v>
      </c>
      <c r="O85" s="53" t="str">
        <f t="shared" si="70"/>
        <v/>
      </c>
      <c r="P85" s="53" t="str">
        <f t="shared" si="71"/>
        <v/>
      </c>
      <c r="Q85" s="53" t="str">
        <f t="shared" si="72"/>
        <v/>
      </c>
      <c r="R85" s="53" t="str">
        <f t="shared" si="73"/>
        <v/>
      </c>
      <c r="S85" s="53" t="str">
        <f t="shared" si="74"/>
        <v/>
      </c>
      <c r="T85" s="53" t="str">
        <f t="shared" si="75"/>
        <v/>
      </c>
      <c r="U85" s="53" t="str">
        <f t="shared" si="76"/>
        <v/>
      </c>
      <c r="V85" s="53" t="str">
        <f t="shared" si="77"/>
        <v/>
      </c>
      <c r="W85" s="53" t="str">
        <f t="shared" si="45"/>
        <v>DNS/DNF ()</v>
      </c>
      <c r="X85" s="53" t="str">
        <f t="shared" si="46"/>
        <v>DNS/DNF ()</v>
      </c>
      <c r="Y85" s="53" t="str">
        <f t="shared" si="47"/>
        <v>DNS/DNF ()</v>
      </c>
      <c r="Z85" s="53" t="str">
        <f t="shared" si="48"/>
        <v>DNS/DNF ()</v>
      </c>
      <c r="AA85" s="53" t="str">
        <f t="shared" si="49"/>
        <v>DNS/DNF ()</v>
      </c>
      <c r="AB85" s="53" t="str">
        <f t="shared" si="50"/>
        <v>DNS/DNF ()</v>
      </c>
      <c r="AC85" s="53" t="str">
        <f t="shared" si="51"/>
        <v>DNS/DNF ()</v>
      </c>
      <c r="AD85" s="53" t="str">
        <f t="shared" si="52"/>
        <v>DNS/DNF ()</v>
      </c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62" t="str">
        <f t="shared" si="53"/>
        <v>DNS/DNF</v>
      </c>
      <c r="AV85" s="62" t="str">
        <f t="shared" si="54"/>
        <v>DNS/DNF</v>
      </c>
      <c r="AW85" s="62" t="str">
        <f t="shared" si="55"/>
        <v>DNS/DNF</v>
      </c>
      <c r="AX85" s="62" t="str">
        <f t="shared" si="56"/>
        <v>DNS/DNF</v>
      </c>
      <c r="AY85" s="62" t="str">
        <f t="shared" si="57"/>
        <v>DNS/DNF</v>
      </c>
      <c r="AZ85" s="62" t="str">
        <f t="shared" si="58"/>
        <v>DNS/DNF</v>
      </c>
      <c r="BA85" s="62" t="str">
        <f t="shared" si="59"/>
        <v>DNS/DNF</v>
      </c>
      <c r="BB85" s="62" t="str">
        <f t="shared" si="60"/>
        <v>DNS/DNF</v>
      </c>
      <c r="BC85" s="75" t="str">
        <f t="shared" si="61"/>
        <v/>
      </c>
      <c r="BD85" s="53" t="str">
        <f t="shared" si="62"/>
        <v/>
      </c>
      <c r="BE85" s="53" t="str">
        <f t="shared" si="63"/>
        <v/>
      </c>
      <c r="BF85" s="53" t="str">
        <f t="shared" si="64"/>
        <v/>
      </c>
      <c r="BG85" s="53" t="str">
        <f t="shared" si="65"/>
        <v/>
      </c>
      <c r="BH85" s="53" t="str">
        <f t="shared" si="66"/>
        <v/>
      </c>
      <c r="BI85" s="53" t="str">
        <f t="shared" si="67"/>
        <v/>
      </c>
      <c r="BJ85" s="53" t="str">
        <f t="shared" si="68"/>
        <v/>
      </c>
      <c r="BK85" s="53" t="str">
        <f t="shared" si="69"/>
        <v/>
      </c>
    </row>
    <row r="86" spans="1:63">
      <c r="A86" s="53"/>
      <c r="B86" s="89" t="str">
        <f>IFERROR(VLOOKUP($A86,EntryList!$A$3:$N$645,2,FALSE),"")</f>
        <v/>
      </c>
      <c r="C86" s="74"/>
      <c r="D86" s="53">
        <f t="shared" si="43"/>
        <v>0</v>
      </c>
      <c r="E86" s="62"/>
      <c r="F86" s="62"/>
      <c r="G86" s="62"/>
      <c r="H86" s="62"/>
      <c r="I86" s="62"/>
      <c r="J86" s="62"/>
      <c r="K86" s="62"/>
      <c r="L86" s="62"/>
      <c r="M86" s="62"/>
      <c r="N86" s="62">
        <f t="shared" si="44"/>
        <v>0</v>
      </c>
      <c r="O86" s="53" t="str">
        <f t="shared" si="70"/>
        <v/>
      </c>
      <c r="P86" s="53" t="str">
        <f t="shared" si="71"/>
        <v/>
      </c>
      <c r="Q86" s="53" t="str">
        <f t="shared" si="72"/>
        <v/>
      </c>
      <c r="R86" s="53" t="str">
        <f t="shared" si="73"/>
        <v/>
      </c>
      <c r="S86" s="53" t="str">
        <f t="shared" si="74"/>
        <v/>
      </c>
      <c r="T86" s="53" t="str">
        <f t="shared" si="75"/>
        <v/>
      </c>
      <c r="U86" s="53" t="str">
        <f t="shared" si="76"/>
        <v/>
      </c>
      <c r="V86" s="53" t="str">
        <f t="shared" si="77"/>
        <v/>
      </c>
      <c r="W86" s="53" t="str">
        <f t="shared" si="45"/>
        <v>DNS/DNF ()</v>
      </c>
      <c r="X86" s="53" t="str">
        <f t="shared" si="46"/>
        <v>DNS/DNF ()</v>
      </c>
      <c r="Y86" s="53" t="str">
        <f t="shared" si="47"/>
        <v>DNS/DNF ()</v>
      </c>
      <c r="Z86" s="53" t="str">
        <f t="shared" si="48"/>
        <v>DNS/DNF ()</v>
      </c>
      <c r="AA86" s="53" t="str">
        <f t="shared" si="49"/>
        <v>DNS/DNF ()</v>
      </c>
      <c r="AB86" s="53" t="str">
        <f t="shared" si="50"/>
        <v>DNS/DNF ()</v>
      </c>
      <c r="AC86" s="53" t="str">
        <f t="shared" si="51"/>
        <v>DNS/DNF ()</v>
      </c>
      <c r="AD86" s="53" t="str">
        <f t="shared" si="52"/>
        <v>DNS/DNF ()</v>
      </c>
      <c r="AE86" s="53"/>
      <c r="AF86" s="53"/>
      <c r="AG86" s="53"/>
      <c r="AH86" s="53"/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62" t="str">
        <f t="shared" si="53"/>
        <v>DNS/DNF</v>
      </c>
      <c r="AV86" s="62" t="str">
        <f t="shared" si="54"/>
        <v>DNS/DNF</v>
      </c>
      <c r="AW86" s="62" t="str">
        <f t="shared" si="55"/>
        <v>DNS/DNF</v>
      </c>
      <c r="AX86" s="62" t="str">
        <f t="shared" si="56"/>
        <v>DNS/DNF</v>
      </c>
      <c r="AY86" s="62" t="str">
        <f t="shared" si="57"/>
        <v>DNS/DNF</v>
      </c>
      <c r="AZ86" s="62" t="str">
        <f t="shared" si="58"/>
        <v>DNS/DNF</v>
      </c>
      <c r="BA86" s="62" t="str">
        <f t="shared" si="59"/>
        <v>DNS/DNF</v>
      </c>
      <c r="BB86" s="62" t="str">
        <f t="shared" si="60"/>
        <v>DNS/DNF</v>
      </c>
      <c r="BC86" s="75" t="str">
        <f t="shared" si="61"/>
        <v/>
      </c>
      <c r="BD86" s="53" t="str">
        <f t="shared" si="62"/>
        <v/>
      </c>
      <c r="BE86" s="53" t="str">
        <f t="shared" si="63"/>
        <v/>
      </c>
      <c r="BF86" s="53" t="str">
        <f t="shared" si="64"/>
        <v/>
      </c>
      <c r="BG86" s="53" t="str">
        <f t="shared" si="65"/>
        <v/>
      </c>
      <c r="BH86" s="53" t="str">
        <f t="shared" si="66"/>
        <v/>
      </c>
      <c r="BI86" s="53" t="str">
        <f t="shared" si="67"/>
        <v/>
      </c>
      <c r="BJ86" s="53" t="str">
        <f t="shared" si="68"/>
        <v/>
      </c>
      <c r="BK86" s="53" t="str">
        <f t="shared" si="69"/>
        <v/>
      </c>
    </row>
    <row r="87" spans="1:63">
      <c r="A87" s="53"/>
      <c r="B87" s="89" t="str">
        <f>IFERROR(VLOOKUP($A87,EntryList!$A$3:$N$645,2,FALSE),"")</f>
        <v/>
      </c>
      <c r="C87" s="74"/>
      <c r="D87" s="53">
        <f t="shared" si="43"/>
        <v>0</v>
      </c>
      <c r="E87" s="62"/>
      <c r="F87" s="62"/>
      <c r="G87" s="62"/>
      <c r="H87" s="62"/>
      <c r="I87" s="62"/>
      <c r="J87" s="62"/>
      <c r="K87" s="62"/>
      <c r="L87" s="62"/>
      <c r="M87" s="62"/>
      <c r="N87" s="62">
        <f t="shared" si="44"/>
        <v>0</v>
      </c>
      <c r="O87" s="53" t="str">
        <f t="shared" si="70"/>
        <v/>
      </c>
      <c r="P87" s="53" t="str">
        <f t="shared" si="71"/>
        <v/>
      </c>
      <c r="Q87" s="53" t="str">
        <f t="shared" si="72"/>
        <v/>
      </c>
      <c r="R87" s="53" t="str">
        <f t="shared" si="73"/>
        <v/>
      </c>
      <c r="S87" s="53" t="str">
        <f t="shared" si="74"/>
        <v/>
      </c>
      <c r="T87" s="53" t="str">
        <f t="shared" si="75"/>
        <v/>
      </c>
      <c r="U87" s="53" t="str">
        <f t="shared" si="76"/>
        <v/>
      </c>
      <c r="V87" s="53" t="str">
        <f t="shared" si="77"/>
        <v/>
      </c>
      <c r="W87" s="53" t="str">
        <f t="shared" si="45"/>
        <v>DNS/DNF ()</v>
      </c>
      <c r="X87" s="53" t="str">
        <f t="shared" si="46"/>
        <v>DNS/DNF ()</v>
      </c>
      <c r="Y87" s="53" t="str">
        <f t="shared" si="47"/>
        <v>DNS/DNF ()</v>
      </c>
      <c r="Z87" s="53" t="str">
        <f t="shared" si="48"/>
        <v>DNS/DNF ()</v>
      </c>
      <c r="AA87" s="53" t="str">
        <f t="shared" si="49"/>
        <v>DNS/DNF ()</v>
      </c>
      <c r="AB87" s="53" t="str">
        <f t="shared" si="50"/>
        <v>DNS/DNF ()</v>
      </c>
      <c r="AC87" s="53" t="str">
        <f t="shared" si="51"/>
        <v>DNS/DNF ()</v>
      </c>
      <c r="AD87" s="53" t="str">
        <f t="shared" si="52"/>
        <v>DNS/DNF ()</v>
      </c>
      <c r="AE87" s="53"/>
      <c r="AF87" s="53"/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62" t="str">
        <f t="shared" si="53"/>
        <v>DNS/DNF</v>
      </c>
      <c r="AV87" s="62" t="str">
        <f t="shared" si="54"/>
        <v>DNS/DNF</v>
      </c>
      <c r="AW87" s="62" t="str">
        <f t="shared" si="55"/>
        <v>DNS/DNF</v>
      </c>
      <c r="AX87" s="62" t="str">
        <f t="shared" si="56"/>
        <v>DNS/DNF</v>
      </c>
      <c r="AY87" s="62" t="str">
        <f t="shared" si="57"/>
        <v>DNS/DNF</v>
      </c>
      <c r="AZ87" s="62" t="str">
        <f t="shared" si="58"/>
        <v>DNS/DNF</v>
      </c>
      <c r="BA87" s="62" t="str">
        <f t="shared" si="59"/>
        <v>DNS/DNF</v>
      </c>
      <c r="BB87" s="62" t="str">
        <f t="shared" si="60"/>
        <v>DNS/DNF</v>
      </c>
      <c r="BC87" s="75" t="str">
        <f t="shared" si="61"/>
        <v/>
      </c>
      <c r="BD87" s="53" t="str">
        <f t="shared" si="62"/>
        <v/>
      </c>
      <c r="BE87" s="53" t="str">
        <f t="shared" si="63"/>
        <v/>
      </c>
      <c r="BF87" s="53" t="str">
        <f t="shared" si="64"/>
        <v/>
      </c>
      <c r="BG87" s="53" t="str">
        <f t="shared" si="65"/>
        <v/>
      </c>
      <c r="BH87" s="53" t="str">
        <f t="shared" si="66"/>
        <v/>
      </c>
      <c r="BI87" s="53" t="str">
        <f t="shared" si="67"/>
        <v/>
      </c>
      <c r="BJ87" s="53" t="str">
        <f t="shared" si="68"/>
        <v/>
      </c>
      <c r="BK87" s="53" t="str">
        <f t="shared" si="69"/>
        <v/>
      </c>
    </row>
    <row r="88" spans="1:63">
      <c r="A88" s="53"/>
      <c r="B88" s="89" t="str">
        <f>IFERROR(VLOOKUP($A88,EntryList!$A$3:$N$645,2,FALSE),"")</f>
        <v/>
      </c>
      <c r="C88" s="74"/>
      <c r="D88" s="53">
        <f t="shared" si="43"/>
        <v>0</v>
      </c>
      <c r="E88" s="62"/>
      <c r="F88" s="62"/>
      <c r="G88" s="62"/>
      <c r="H88" s="62"/>
      <c r="I88" s="62"/>
      <c r="J88" s="62"/>
      <c r="K88" s="62"/>
      <c r="L88" s="62"/>
      <c r="M88" s="62"/>
      <c r="N88" s="62">
        <f t="shared" si="44"/>
        <v>0</v>
      </c>
      <c r="O88" s="53" t="str">
        <f t="shared" si="70"/>
        <v/>
      </c>
      <c r="P88" s="53" t="str">
        <f t="shared" si="71"/>
        <v/>
      </c>
      <c r="Q88" s="53" t="str">
        <f t="shared" si="72"/>
        <v/>
      </c>
      <c r="R88" s="53" t="str">
        <f t="shared" si="73"/>
        <v/>
      </c>
      <c r="S88" s="53" t="str">
        <f t="shared" si="74"/>
        <v/>
      </c>
      <c r="T88" s="53" t="str">
        <f t="shared" si="75"/>
        <v/>
      </c>
      <c r="U88" s="53" t="str">
        <f t="shared" si="76"/>
        <v/>
      </c>
      <c r="V88" s="53" t="str">
        <f t="shared" si="77"/>
        <v/>
      </c>
      <c r="W88" s="53" t="str">
        <f t="shared" si="45"/>
        <v>DNS/DNF ()</v>
      </c>
      <c r="X88" s="53" t="str">
        <f t="shared" si="46"/>
        <v>DNS/DNF ()</v>
      </c>
      <c r="Y88" s="53" t="str">
        <f t="shared" si="47"/>
        <v>DNS/DNF ()</v>
      </c>
      <c r="Z88" s="53" t="str">
        <f t="shared" si="48"/>
        <v>DNS/DNF ()</v>
      </c>
      <c r="AA88" s="53" t="str">
        <f t="shared" si="49"/>
        <v>DNS/DNF ()</v>
      </c>
      <c r="AB88" s="53" t="str">
        <f t="shared" si="50"/>
        <v>DNS/DNF ()</v>
      </c>
      <c r="AC88" s="53" t="str">
        <f t="shared" si="51"/>
        <v>DNS/DNF ()</v>
      </c>
      <c r="AD88" s="53" t="str">
        <f t="shared" si="52"/>
        <v>DNS/DNF ()</v>
      </c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62" t="str">
        <f t="shared" si="53"/>
        <v>DNS/DNF</v>
      </c>
      <c r="AV88" s="62" t="str">
        <f t="shared" si="54"/>
        <v>DNS/DNF</v>
      </c>
      <c r="AW88" s="62" t="str">
        <f t="shared" si="55"/>
        <v>DNS/DNF</v>
      </c>
      <c r="AX88" s="62" t="str">
        <f t="shared" si="56"/>
        <v>DNS/DNF</v>
      </c>
      <c r="AY88" s="62" t="str">
        <f t="shared" si="57"/>
        <v>DNS/DNF</v>
      </c>
      <c r="AZ88" s="62" t="str">
        <f t="shared" si="58"/>
        <v>DNS/DNF</v>
      </c>
      <c r="BA88" s="62" t="str">
        <f t="shared" si="59"/>
        <v>DNS/DNF</v>
      </c>
      <c r="BB88" s="62" t="str">
        <f t="shared" si="60"/>
        <v>DNS/DNF</v>
      </c>
      <c r="BC88" s="75" t="str">
        <f t="shared" si="61"/>
        <v/>
      </c>
      <c r="BD88" s="53" t="str">
        <f t="shared" si="62"/>
        <v/>
      </c>
      <c r="BE88" s="53" t="str">
        <f t="shared" si="63"/>
        <v/>
      </c>
      <c r="BF88" s="53" t="str">
        <f t="shared" si="64"/>
        <v/>
      </c>
      <c r="BG88" s="53" t="str">
        <f t="shared" si="65"/>
        <v/>
      </c>
      <c r="BH88" s="53" t="str">
        <f t="shared" si="66"/>
        <v/>
      </c>
      <c r="BI88" s="53" t="str">
        <f t="shared" si="67"/>
        <v/>
      </c>
      <c r="BJ88" s="53" t="str">
        <f t="shared" si="68"/>
        <v/>
      </c>
      <c r="BK88" s="53" t="str">
        <f t="shared" si="69"/>
        <v/>
      </c>
    </row>
    <row r="89" spans="1:63">
      <c r="A89" s="53"/>
      <c r="B89" s="89" t="str">
        <f>IFERROR(VLOOKUP($A89,EntryList!$A$3:$N$645,2,FALSE),"")</f>
        <v/>
      </c>
      <c r="C89" s="74"/>
      <c r="D89" s="53">
        <f t="shared" si="43"/>
        <v>0</v>
      </c>
      <c r="E89" s="62"/>
      <c r="F89" s="62"/>
      <c r="G89" s="62"/>
      <c r="H89" s="62"/>
      <c r="I89" s="62"/>
      <c r="J89" s="62"/>
      <c r="K89" s="62"/>
      <c r="L89" s="62"/>
      <c r="M89" s="62"/>
      <c r="N89" s="62">
        <f t="shared" si="44"/>
        <v>0</v>
      </c>
      <c r="O89" s="53" t="str">
        <f t="shared" si="70"/>
        <v/>
      </c>
      <c r="P89" s="53" t="str">
        <f t="shared" si="71"/>
        <v/>
      </c>
      <c r="Q89" s="53" t="str">
        <f t="shared" si="72"/>
        <v/>
      </c>
      <c r="R89" s="53" t="str">
        <f t="shared" si="73"/>
        <v/>
      </c>
      <c r="S89" s="53" t="str">
        <f t="shared" si="74"/>
        <v/>
      </c>
      <c r="T89" s="53" t="str">
        <f t="shared" si="75"/>
        <v/>
      </c>
      <c r="U89" s="53" t="str">
        <f t="shared" si="76"/>
        <v/>
      </c>
      <c r="V89" s="53" t="str">
        <f t="shared" si="77"/>
        <v/>
      </c>
      <c r="W89" s="53" t="str">
        <f t="shared" si="45"/>
        <v>DNS/DNF ()</v>
      </c>
      <c r="X89" s="53" t="str">
        <f t="shared" si="46"/>
        <v>DNS/DNF ()</v>
      </c>
      <c r="Y89" s="53" t="str">
        <f t="shared" si="47"/>
        <v>DNS/DNF ()</v>
      </c>
      <c r="Z89" s="53" t="str">
        <f t="shared" si="48"/>
        <v>DNS/DNF ()</v>
      </c>
      <c r="AA89" s="53" t="str">
        <f t="shared" si="49"/>
        <v>DNS/DNF ()</v>
      </c>
      <c r="AB89" s="53" t="str">
        <f t="shared" si="50"/>
        <v>DNS/DNF ()</v>
      </c>
      <c r="AC89" s="53" t="str">
        <f t="shared" si="51"/>
        <v>DNS/DNF ()</v>
      </c>
      <c r="AD89" s="53" t="str">
        <f t="shared" si="52"/>
        <v>DNS/DNF ()</v>
      </c>
      <c r="AE89" s="53"/>
      <c r="AF89" s="53"/>
      <c r="AG89" s="53"/>
      <c r="AH89" s="53"/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62" t="str">
        <f t="shared" si="53"/>
        <v>DNS/DNF</v>
      </c>
      <c r="AV89" s="62" t="str">
        <f t="shared" si="54"/>
        <v>DNS/DNF</v>
      </c>
      <c r="AW89" s="62" t="str">
        <f t="shared" si="55"/>
        <v>DNS/DNF</v>
      </c>
      <c r="AX89" s="62" t="str">
        <f t="shared" si="56"/>
        <v>DNS/DNF</v>
      </c>
      <c r="AY89" s="62" t="str">
        <f t="shared" si="57"/>
        <v>DNS/DNF</v>
      </c>
      <c r="AZ89" s="62" t="str">
        <f t="shared" si="58"/>
        <v>DNS/DNF</v>
      </c>
      <c r="BA89" s="62" t="str">
        <f t="shared" si="59"/>
        <v>DNS/DNF</v>
      </c>
      <c r="BB89" s="62" t="str">
        <f t="shared" si="60"/>
        <v>DNS/DNF</v>
      </c>
      <c r="BC89" s="75" t="str">
        <f t="shared" si="61"/>
        <v/>
      </c>
      <c r="BD89" s="53" t="str">
        <f t="shared" si="62"/>
        <v/>
      </c>
      <c r="BE89" s="53" t="str">
        <f t="shared" si="63"/>
        <v/>
      </c>
      <c r="BF89" s="53" t="str">
        <f t="shared" si="64"/>
        <v/>
      </c>
      <c r="BG89" s="53" t="str">
        <f t="shared" si="65"/>
        <v/>
      </c>
      <c r="BH89" s="53" t="str">
        <f t="shared" si="66"/>
        <v/>
      </c>
      <c r="BI89" s="53" t="str">
        <f t="shared" si="67"/>
        <v/>
      </c>
      <c r="BJ89" s="53" t="str">
        <f t="shared" si="68"/>
        <v/>
      </c>
      <c r="BK89" s="53" t="str">
        <f t="shared" si="69"/>
        <v/>
      </c>
    </row>
    <row r="90" spans="1:63">
      <c r="A90" s="53"/>
      <c r="B90" s="89" t="str">
        <f>IFERROR(VLOOKUP($A90,EntryList!$A$3:$N$645,2,FALSE),"")</f>
        <v/>
      </c>
      <c r="C90" s="74"/>
      <c r="D90" s="53">
        <f t="shared" si="43"/>
        <v>0</v>
      </c>
      <c r="E90" s="62"/>
      <c r="F90" s="62"/>
      <c r="G90" s="62"/>
      <c r="H90" s="62"/>
      <c r="I90" s="62"/>
      <c r="J90" s="62"/>
      <c r="K90" s="62"/>
      <c r="L90" s="62"/>
      <c r="M90" s="62"/>
      <c r="N90" s="62">
        <f t="shared" si="44"/>
        <v>0</v>
      </c>
      <c r="O90" s="53" t="str">
        <f t="shared" si="70"/>
        <v/>
      </c>
      <c r="P90" s="53" t="str">
        <f t="shared" si="71"/>
        <v/>
      </c>
      <c r="Q90" s="53" t="str">
        <f t="shared" si="72"/>
        <v/>
      </c>
      <c r="R90" s="53" t="str">
        <f t="shared" si="73"/>
        <v/>
      </c>
      <c r="S90" s="53" t="str">
        <f t="shared" si="74"/>
        <v/>
      </c>
      <c r="T90" s="53" t="str">
        <f t="shared" si="75"/>
        <v/>
      </c>
      <c r="U90" s="53" t="str">
        <f t="shared" si="76"/>
        <v/>
      </c>
      <c r="V90" s="53" t="str">
        <f t="shared" si="77"/>
        <v/>
      </c>
      <c r="W90" s="53" t="str">
        <f t="shared" si="45"/>
        <v>DNS/DNF ()</v>
      </c>
      <c r="X90" s="53" t="str">
        <f t="shared" si="46"/>
        <v>DNS/DNF ()</v>
      </c>
      <c r="Y90" s="53" t="str">
        <f t="shared" si="47"/>
        <v>DNS/DNF ()</v>
      </c>
      <c r="Z90" s="53" t="str">
        <f t="shared" si="48"/>
        <v>DNS/DNF ()</v>
      </c>
      <c r="AA90" s="53" t="str">
        <f t="shared" si="49"/>
        <v>DNS/DNF ()</v>
      </c>
      <c r="AB90" s="53" t="str">
        <f t="shared" si="50"/>
        <v>DNS/DNF ()</v>
      </c>
      <c r="AC90" s="53" t="str">
        <f t="shared" si="51"/>
        <v>DNS/DNF ()</v>
      </c>
      <c r="AD90" s="53" t="str">
        <f t="shared" si="52"/>
        <v>DNS/DNF ()</v>
      </c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62" t="str">
        <f t="shared" si="53"/>
        <v>DNS/DNF</v>
      </c>
      <c r="AV90" s="62" t="str">
        <f t="shared" si="54"/>
        <v>DNS/DNF</v>
      </c>
      <c r="AW90" s="62" t="str">
        <f t="shared" si="55"/>
        <v>DNS/DNF</v>
      </c>
      <c r="AX90" s="62" t="str">
        <f t="shared" si="56"/>
        <v>DNS/DNF</v>
      </c>
      <c r="AY90" s="62" t="str">
        <f t="shared" si="57"/>
        <v>DNS/DNF</v>
      </c>
      <c r="AZ90" s="62" t="str">
        <f t="shared" si="58"/>
        <v>DNS/DNF</v>
      </c>
      <c r="BA90" s="62" t="str">
        <f t="shared" si="59"/>
        <v>DNS/DNF</v>
      </c>
      <c r="BB90" s="62" t="str">
        <f t="shared" si="60"/>
        <v>DNS/DNF</v>
      </c>
      <c r="BC90" s="75" t="str">
        <f t="shared" si="61"/>
        <v/>
      </c>
      <c r="BD90" s="53" t="str">
        <f t="shared" si="62"/>
        <v/>
      </c>
      <c r="BE90" s="53" t="str">
        <f t="shared" si="63"/>
        <v/>
      </c>
      <c r="BF90" s="53" t="str">
        <f t="shared" si="64"/>
        <v/>
      </c>
      <c r="BG90" s="53" t="str">
        <f t="shared" si="65"/>
        <v/>
      </c>
      <c r="BH90" s="53" t="str">
        <f t="shared" si="66"/>
        <v/>
      </c>
      <c r="BI90" s="53" t="str">
        <f t="shared" si="67"/>
        <v/>
      </c>
      <c r="BJ90" s="53" t="str">
        <f t="shared" si="68"/>
        <v/>
      </c>
      <c r="BK90" s="53" t="str">
        <f t="shared" si="69"/>
        <v/>
      </c>
    </row>
    <row r="91" spans="1:63">
      <c r="A91" s="53"/>
      <c r="B91" s="89" t="str">
        <f>IFERROR(VLOOKUP($A91,EntryList!$A$3:$N$645,2,FALSE),"")</f>
        <v/>
      </c>
      <c r="C91" s="74"/>
      <c r="D91" s="53">
        <f t="shared" si="43"/>
        <v>0</v>
      </c>
      <c r="E91" s="62"/>
      <c r="F91" s="62"/>
      <c r="G91" s="62"/>
      <c r="H91" s="62"/>
      <c r="I91" s="62"/>
      <c r="J91" s="62"/>
      <c r="K91" s="62"/>
      <c r="L91" s="62"/>
      <c r="M91" s="62"/>
      <c r="N91" s="62">
        <f t="shared" si="44"/>
        <v>0</v>
      </c>
      <c r="O91" s="53" t="str">
        <f t="shared" si="70"/>
        <v/>
      </c>
      <c r="P91" s="53" t="str">
        <f t="shared" si="71"/>
        <v/>
      </c>
      <c r="Q91" s="53" t="str">
        <f t="shared" si="72"/>
        <v/>
      </c>
      <c r="R91" s="53" t="str">
        <f t="shared" si="73"/>
        <v/>
      </c>
      <c r="S91" s="53" t="str">
        <f t="shared" si="74"/>
        <v/>
      </c>
      <c r="T91" s="53" t="str">
        <f t="shared" si="75"/>
        <v/>
      </c>
      <c r="U91" s="53" t="str">
        <f t="shared" si="76"/>
        <v/>
      </c>
      <c r="V91" s="53" t="str">
        <f t="shared" si="77"/>
        <v/>
      </c>
      <c r="W91" s="53" t="str">
        <f t="shared" si="45"/>
        <v>DNS/DNF ()</v>
      </c>
      <c r="X91" s="53" t="str">
        <f t="shared" si="46"/>
        <v>DNS/DNF ()</v>
      </c>
      <c r="Y91" s="53" t="str">
        <f t="shared" si="47"/>
        <v>DNS/DNF ()</v>
      </c>
      <c r="Z91" s="53" t="str">
        <f t="shared" si="48"/>
        <v>DNS/DNF ()</v>
      </c>
      <c r="AA91" s="53" t="str">
        <f t="shared" si="49"/>
        <v>DNS/DNF ()</v>
      </c>
      <c r="AB91" s="53" t="str">
        <f t="shared" si="50"/>
        <v>DNS/DNF ()</v>
      </c>
      <c r="AC91" s="53" t="str">
        <f t="shared" si="51"/>
        <v>DNS/DNF ()</v>
      </c>
      <c r="AD91" s="53" t="str">
        <f t="shared" si="52"/>
        <v>DNS/DNF ()</v>
      </c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62" t="str">
        <f t="shared" si="53"/>
        <v>DNS/DNF</v>
      </c>
      <c r="AV91" s="62" t="str">
        <f t="shared" si="54"/>
        <v>DNS/DNF</v>
      </c>
      <c r="AW91" s="62" t="str">
        <f t="shared" si="55"/>
        <v>DNS/DNF</v>
      </c>
      <c r="AX91" s="62" t="str">
        <f t="shared" si="56"/>
        <v>DNS/DNF</v>
      </c>
      <c r="AY91" s="62" t="str">
        <f t="shared" si="57"/>
        <v>DNS/DNF</v>
      </c>
      <c r="AZ91" s="62" t="str">
        <f t="shared" si="58"/>
        <v>DNS/DNF</v>
      </c>
      <c r="BA91" s="62" t="str">
        <f t="shared" si="59"/>
        <v>DNS/DNF</v>
      </c>
      <c r="BB91" s="62" t="str">
        <f t="shared" si="60"/>
        <v>DNS/DNF</v>
      </c>
      <c r="BC91" s="75" t="str">
        <f t="shared" si="61"/>
        <v/>
      </c>
      <c r="BD91" s="53" t="str">
        <f t="shared" si="62"/>
        <v/>
      </c>
      <c r="BE91" s="53" t="str">
        <f t="shared" si="63"/>
        <v/>
      </c>
      <c r="BF91" s="53" t="str">
        <f t="shared" si="64"/>
        <v/>
      </c>
      <c r="BG91" s="53" t="str">
        <f t="shared" si="65"/>
        <v/>
      </c>
      <c r="BH91" s="53" t="str">
        <f t="shared" si="66"/>
        <v/>
      </c>
      <c r="BI91" s="53" t="str">
        <f t="shared" si="67"/>
        <v/>
      </c>
      <c r="BJ91" s="53" t="str">
        <f t="shared" si="68"/>
        <v/>
      </c>
      <c r="BK91" s="53" t="str">
        <f t="shared" si="69"/>
        <v/>
      </c>
    </row>
    <row r="92" spans="1:63">
      <c r="A92" s="53"/>
      <c r="B92" s="89" t="str">
        <f>IFERROR(VLOOKUP($A92,EntryList!$A$3:$N$645,2,FALSE),"")</f>
        <v/>
      </c>
      <c r="C92" s="74"/>
      <c r="D92" s="53">
        <f t="shared" si="43"/>
        <v>0</v>
      </c>
      <c r="E92" s="62"/>
      <c r="F92" s="62"/>
      <c r="G92" s="62"/>
      <c r="H92" s="62"/>
      <c r="I92" s="62"/>
      <c r="J92" s="62"/>
      <c r="K92" s="62"/>
      <c r="L92" s="62"/>
      <c r="M92" s="62"/>
      <c r="N92" s="62">
        <f t="shared" si="44"/>
        <v>0</v>
      </c>
      <c r="O92" s="53" t="str">
        <f t="shared" si="70"/>
        <v/>
      </c>
      <c r="P92" s="53" t="str">
        <f t="shared" si="71"/>
        <v/>
      </c>
      <c r="Q92" s="53" t="str">
        <f t="shared" si="72"/>
        <v/>
      </c>
      <c r="R92" s="53" t="str">
        <f t="shared" si="73"/>
        <v/>
      </c>
      <c r="S92" s="53" t="str">
        <f t="shared" si="74"/>
        <v/>
      </c>
      <c r="T92" s="53" t="str">
        <f t="shared" si="75"/>
        <v/>
      </c>
      <c r="U92" s="53" t="str">
        <f t="shared" si="76"/>
        <v/>
      </c>
      <c r="V92" s="53" t="str">
        <f t="shared" si="77"/>
        <v/>
      </c>
      <c r="W92" s="53" t="str">
        <f t="shared" si="45"/>
        <v>DNS/DNF ()</v>
      </c>
      <c r="X92" s="53" t="str">
        <f t="shared" si="46"/>
        <v>DNS/DNF ()</v>
      </c>
      <c r="Y92" s="53" t="str">
        <f t="shared" si="47"/>
        <v>DNS/DNF ()</v>
      </c>
      <c r="Z92" s="53" t="str">
        <f t="shared" si="48"/>
        <v>DNS/DNF ()</v>
      </c>
      <c r="AA92" s="53" t="str">
        <f t="shared" si="49"/>
        <v>DNS/DNF ()</v>
      </c>
      <c r="AB92" s="53" t="str">
        <f t="shared" si="50"/>
        <v>DNS/DNF ()</v>
      </c>
      <c r="AC92" s="53" t="str">
        <f t="shared" si="51"/>
        <v>DNS/DNF ()</v>
      </c>
      <c r="AD92" s="53" t="str">
        <f t="shared" si="52"/>
        <v>DNS/DNF ()</v>
      </c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62" t="str">
        <f t="shared" si="53"/>
        <v>DNS/DNF</v>
      </c>
      <c r="AV92" s="62" t="str">
        <f t="shared" si="54"/>
        <v>DNS/DNF</v>
      </c>
      <c r="AW92" s="62" t="str">
        <f t="shared" si="55"/>
        <v>DNS/DNF</v>
      </c>
      <c r="AX92" s="62" t="str">
        <f t="shared" si="56"/>
        <v>DNS/DNF</v>
      </c>
      <c r="AY92" s="62" t="str">
        <f t="shared" si="57"/>
        <v>DNS/DNF</v>
      </c>
      <c r="AZ92" s="62" t="str">
        <f t="shared" si="58"/>
        <v>DNS/DNF</v>
      </c>
      <c r="BA92" s="62" t="str">
        <f t="shared" si="59"/>
        <v>DNS/DNF</v>
      </c>
      <c r="BB92" s="62" t="str">
        <f t="shared" si="60"/>
        <v>DNS/DNF</v>
      </c>
      <c r="BC92" s="75" t="str">
        <f t="shared" si="61"/>
        <v/>
      </c>
      <c r="BD92" s="53" t="str">
        <f t="shared" si="62"/>
        <v/>
      </c>
      <c r="BE92" s="53" t="str">
        <f t="shared" si="63"/>
        <v/>
      </c>
      <c r="BF92" s="53" t="str">
        <f t="shared" si="64"/>
        <v/>
      </c>
      <c r="BG92" s="53" t="str">
        <f t="shared" si="65"/>
        <v/>
      </c>
      <c r="BH92" s="53" t="str">
        <f t="shared" si="66"/>
        <v/>
      </c>
      <c r="BI92" s="53" t="str">
        <f t="shared" si="67"/>
        <v/>
      </c>
      <c r="BJ92" s="53" t="str">
        <f t="shared" si="68"/>
        <v/>
      </c>
      <c r="BK92" s="53" t="str">
        <f t="shared" si="69"/>
        <v/>
      </c>
    </row>
    <row r="93" spans="1:63">
      <c r="A93" s="53"/>
      <c r="B93" s="89" t="str">
        <f>IFERROR(VLOOKUP($A93,EntryList!$A$3:$N$645,2,FALSE),"")</f>
        <v/>
      </c>
      <c r="C93" s="74"/>
      <c r="D93" s="53">
        <f t="shared" si="43"/>
        <v>0</v>
      </c>
      <c r="E93" s="62"/>
      <c r="F93" s="62"/>
      <c r="G93" s="62"/>
      <c r="H93" s="62"/>
      <c r="I93" s="62"/>
      <c r="J93" s="62"/>
      <c r="K93" s="62"/>
      <c r="L93" s="62"/>
      <c r="M93" s="62"/>
      <c r="N93" s="62">
        <f t="shared" si="44"/>
        <v>0</v>
      </c>
      <c r="O93" s="53" t="str">
        <f t="shared" si="70"/>
        <v/>
      </c>
      <c r="P93" s="53" t="str">
        <f t="shared" si="71"/>
        <v/>
      </c>
      <c r="Q93" s="53" t="str">
        <f t="shared" si="72"/>
        <v/>
      </c>
      <c r="R93" s="53" t="str">
        <f t="shared" si="73"/>
        <v/>
      </c>
      <c r="S93" s="53" t="str">
        <f t="shared" si="74"/>
        <v/>
      </c>
      <c r="T93" s="53" t="str">
        <f t="shared" si="75"/>
        <v/>
      </c>
      <c r="U93" s="53" t="str">
        <f t="shared" si="76"/>
        <v/>
      </c>
      <c r="V93" s="53" t="str">
        <f t="shared" si="77"/>
        <v/>
      </c>
      <c r="W93" s="53" t="str">
        <f t="shared" si="45"/>
        <v>DNS/DNF ()</v>
      </c>
      <c r="X93" s="53" t="str">
        <f t="shared" si="46"/>
        <v>DNS/DNF ()</v>
      </c>
      <c r="Y93" s="53" t="str">
        <f t="shared" si="47"/>
        <v>DNS/DNF ()</v>
      </c>
      <c r="Z93" s="53" t="str">
        <f t="shared" si="48"/>
        <v>DNS/DNF ()</v>
      </c>
      <c r="AA93" s="53" t="str">
        <f t="shared" si="49"/>
        <v>DNS/DNF ()</v>
      </c>
      <c r="AB93" s="53" t="str">
        <f t="shared" si="50"/>
        <v>DNS/DNF ()</v>
      </c>
      <c r="AC93" s="53" t="str">
        <f t="shared" si="51"/>
        <v>DNS/DNF ()</v>
      </c>
      <c r="AD93" s="53" t="str">
        <f t="shared" si="52"/>
        <v>DNS/DNF ()</v>
      </c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62" t="str">
        <f t="shared" si="53"/>
        <v>DNS/DNF</v>
      </c>
      <c r="AV93" s="62" t="str">
        <f t="shared" si="54"/>
        <v>DNS/DNF</v>
      </c>
      <c r="AW93" s="62" t="str">
        <f t="shared" si="55"/>
        <v>DNS/DNF</v>
      </c>
      <c r="AX93" s="62" t="str">
        <f t="shared" si="56"/>
        <v>DNS/DNF</v>
      </c>
      <c r="AY93" s="62" t="str">
        <f t="shared" si="57"/>
        <v>DNS/DNF</v>
      </c>
      <c r="AZ93" s="62" t="str">
        <f t="shared" si="58"/>
        <v>DNS/DNF</v>
      </c>
      <c r="BA93" s="62" t="str">
        <f t="shared" si="59"/>
        <v>DNS/DNF</v>
      </c>
      <c r="BB93" s="62" t="str">
        <f t="shared" si="60"/>
        <v>DNS/DNF</v>
      </c>
      <c r="BC93" s="75" t="str">
        <f t="shared" si="61"/>
        <v/>
      </c>
      <c r="BD93" s="53" t="str">
        <f t="shared" si="62"/>
        <v/>
      </c>
      <c r="BE93" s="53" t="str">
        <f t="shared" si="63"/>
        <v/>
      </c>
      <c r="BF93" s="53" t="str">
        <f t="shared" si="64"/>
        <v/>
      </c>
      <c r="BG93" s="53" t="str">
        <f t="shared" si="65"/>
        <v/>
      </c>
      <c r="BH93" s="53" t="str">
        <f t="shared" si="66"/>
        <v/>
      </c>
      <c r="BI93" s="53" t="str">
        <f t="shared" si="67"/>
        <v/>
      </c>
      <c r="BJ93" s="53" t="str">
        <f t="shared" si="68"/>
        <v/>
      </c>
      <c r="BK93" s="53" t="str">
        <f t="shared" si="69"/>
        <v/>
      </c>
    </row>
    <row r="94" spans="1:63">
      <c r="A94" s="53"/>
      <c r="B94" s="89" t="str">
        <f>IFERROR(VLOOKUP($A94,EntryList!$A$3:$N$645,2,FALSE),"")</f>
        <v/>
      </c>
      <c r="C94" s="74"/>
      <c r="D94" s="53">
        <f t="shared" si="43"/>
        <v>0</v>
      </c>
      <c r="E94" s="62"/>
      <c r="F94" s="62"/>
      <c r="G94" s="62"/>
      <c r="H94" s="62"/>
      <c r="I94" s="62"/>
      <c r="J94" s="62"/>
      <c r="K94" s="62"/>
      <c r="L94" s="62"/>
      <c r="M94" s="62"/>
      <c r="N94" s="62">
        <f t="shared" si="44"/>
        <v>0</v>
      </c>
      <c r="O94" s="53" t="str">
        <f t="shared" si="70"/>
        <v/>
      </c>
      <c r="P94" s="53" t="str">
        <f t="shared" si="71"/>
        <v/>
      </c>
      <c r="Q94" s="53" t="str">
        <f t="shared" si="72"/>
        <v/>
      </c>
      <c r="R94" s="53" t="str">
        <f t="shared" si="73"/>
        <v/>
      </c>
      <c r="S94" s="53" t="str">
        <f t="shared" si="74"/>
        <v/>
      </c>
      <c r="T94" s="53" t="str">
        <f t="shared" si="75"/>
        <v/>
      </c>
      <c r="U94" s="53" t="str">
        <f t="shared" si="76"/>
        <v/>
      </c>
      <c r="V94" s="53" t="str">
        <f t="shared" si="77"/>
        <v/>
      </c>
      <c r="W94" s="53" t="str">
        <f t="shared" si="45"/>
        <v>DNS/DNF ()</v>
      </c>
      <c r="X94" s="53" t="str">
        <f t="shared" si="46"/>
        <v>DNS/DNF ()</v>
      </c>
      <c r="Y94" s="53" t="str">
        <f t="shared" si="47"/>
        <v>DNS/DNF ()</v>
      </c>
      <c r="Z94" s="53" t="str">
        <f t="shared" si="48"/>
        <v>DNS/DNF ()</v>
      </c>
      <c r="AA94" s="53" t="str">
        <f t="shared" si="49"/>
        <v>DNS/DNF ()</v>
      </c>
      <c r="AB94" s="53" t="str">
        <f t="shared" si="50"/>
        <v>DNS/DNF ()</v>
      </c>
      <c r="AC94" s="53" t="str">
        <f t="shared" si="51"/>
        <v>DNS/DNF ()</v>
      </c>
      <c r="AD94" s="53" t="str">
        <f t="shared" si="52"/>
        <v>DNS/DNF ()</v>
      </c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62" t="str">
        <f t="shared" si="53"/>
        <v>DNS/DNF</v>
      </c>
      <c r="AV94" s="62" t="str">
        <f t="shared" si="54"/>
        <v>DNS/DNF</v>
      </c>
      <c r="AW94" s="62" t="str">
        <f t="shared" si="55"/>
        <v>DNS/DNF</v>
      </c>
      <c r="AX94" s="62" t="str">
        <f t="shared" si="56"/>
        <v>DNS/DNF</v>
      </c>
      <c r="AY94" s="62" t="str">
        <f t="shared" si="57"/>
        <v>DNS/DNF</v>
      </c>
      <c r="AZ94" s="62" t="str">
        <f t="shared" si="58"/>
        <v>DNS/DNF</v>
      </c>
      <c r="BA94" s="62" t="str">
        <f t="shared" si="59"/>
        <v>DNS/DNF</v>
      </c>
      <c r="BB94" s="62" t="str">
        <f t="shared" si="60"/>
        <v>DNS/DNF</v>
      </c>
      <c r="BC94" s="75" t="str">
        <f t="shared" si="61"/>
        <v/>
      </c>
      <c r="BD94" s="53" t="str">
        <f t="shared" si="62"/>
        <v/>
      </c>
      <c r="BE94" s="53" t="str">
        <f t="shared" si="63"/>
        <v/>
      </c>
      <c r="BF94" s="53" t="str">
        <f t="shared" si="64"/>
        <v/>
      </c>
      <c r="BG94" s="53" t="str">
        <f t="shared" si="65"/>
        <v/>
      </c>
      <c r="BH94" s="53" t="str">
        <f t="shared" si="66"/>
        <v/>
      </c>
      <c r="BI94" s="53" t="str">
        <f t="shared" si="67"/>
        <v/>
      </c>
      <c r="BJ94" s="53" t="str">
        <f t="shared" si="68"/>
        <v/>
      </c>
      <c r="BK94" s="53" t="str">
        <f t="shared" si="69"/>
        <v/>
      </c>
    </row>
    <row r="95" spans="1:63">
      <c r="A95" s="53"/>
      <c r="B95" s="89" t="str">
        <f>IFERROR(VLOOKUP($A95,EntryList!$A$3:$N$645,2,FALSE),"")</f>
        <v/>
      </c>
      <c r="C95" s="74"/>
      <c r="D95" s="53">
        <f t="shared" si="43"/>
        <v>0</v>
      </c>
      <c r="E95" s="62"/>
      <c r="F95" s="62"/>
      <c r="G95" s="62"/>
      <c r="H95" s="62"/>
      <c r="I95" s="62"/>
      <c r="J95" s="62"/>
      <c r="K95" s="62"/>
      <c r="L95" s="62"/>
      <c r="M95" s="62"/>
      <c r="N95" s="62">
        <f t="shared" si="44"/>
        <v>0</v>
      </c>
      <c r="O95" s="53" t="str">
        <f t="shared" si="70"/>
        <v/>
      </c>
      <c r="P95" s="53" t="str">
        <f t="shared" si="71"/>
        <v/>
      </c>
      <c r="Q95" s="53" t="str">
        <f t="shared" si="72"/>
        <v/>
      </c>
      <c r="R95" s="53" t="str">
        <f t="shared" si="73"/>
        <v/>
      </c>
      <c r="S95" s="53" t="str">
        <f t="shared" si="74"/>
        <v/>
      </c>
      <c r="T95" s="53" t="str">
        <f t="shared" si="75"/>
        <v/>
      </c>
      <c r="U95" s="53" t="str">
        <f t="shared" si="76"/>
        <v/>
      </c>
      <c r="V95" s="53" t="str">
        <f t="shared" si="77"/>
        <v/>
      </c>
      <c r="W95" s="53" t="str">
        <f t="shared" si="45"/>
        <v>DNS/DNF ()</v>
      </c>
      <c r="X95" s="53" t="str">
        <f t="shared" si="46"/>
        <v>DNS/DNF ()</v>
      </c>
      <c r="Y95" s="53" t="str">
        <f t="shared" si="47"/>
        <v>DNS/DNF ()</v>
      </c>
      <c r="Z95" s="53" t="str">
        <f t="shared" si="48"/>
        <v>DNS/DNF ()</v>
      </c>
      <c r="AA95" s="53" t="str">
        <f t="shared" si="49"/>
        <v>DNS/DNF ()</v>
      </c>
      <c r="AB95" s="53" t="str">
        <f t="shared" si="50"/>
        <v>DNS/DNF ()</v>
      </c>
      <c r="AC95" s="53" t="str">
        <f t="shared" si="51"/>
        <v>DNS/DNF ()</v>
      </c>
      <c r="AD95" s="53" t="str">
        <f t="shared" si="52"/>
        <v>DNS/DNF ()</v>
      </c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62" t="str">
        <f t="shared" si="53"/>
        <v>DNS/DNF</v>
      </c>
      <c r="AV95" s="62" t="str">
        <f t="shared" si="54"/>
        <v>DNS/DNF</v>
      </c>
      <c r="AW95" s="62" t="str">
        <f t="shared" si="55"/>
        <v>DNS/DNF</v>
      </c>
      <c r="AX95" s="62" t="str">
        <f t="shared" si="56"/>
        <v>DNS/DNF</v>
      </c>
      <c r="AY95" s="62" t="str">
        <f t="shared" si="57"/>
        <v>DNS/DNF</v>
      </c>
      <c r="AZ95" s="62" t="str">
        <f t="shared" si="58"/>
        <v>DNS/DNF</v>
      </c>
      <c r="BA95" s="62" t="str">
        <f t="shared" si="59"/>
        <v>DNS/DNF</v>
      </c>
      <c r="BB95" s="62" t="str">
        <f t="shared" si="60"/>
        <v>DNS/DNF</v>
      </c>
      <c r="BC95" s="75" t="str">
        <f t="shared" si="61"/>
        <v/>
      </c>
      <c r="BD95" s="53" t="str">
        <f t="shared" si="62"/>
        <v/>
      </c>
      <c r="BE95" s="53" t="str">
        <f t="shared" si="63"/>
        <v/>
      </c>
      <c r="BF95" s="53" t="str">
        <f t="shared" si="64"/>
        <v/>
      </c>
      <c r="BG95" s="53" t="str">
        <f t="shared" si="65"/>
        <v/>
      </c>
      <c r="BH95" s="53" t="str">
        <f t="shared" si="66"/>
        <v/>
      </c>
      <c r="BI95" s="53" t="str">
        <f t="shared" si="67"/>
        <v/>
      </c>
      <c r="BJ95" s="53" t="str">
        <f t="shared" si="68"/>
        <v/>
      </c>
      <c r="BK95" s="53" t="str">
        <f t="shared" si="69"/>
        <v/>
      </c>
    </row>
    <row r="96" spans="1:63">
      <c r="A96" s="53"/>
      <c r="B96" s="89" t="str">
        <f>IFERROR(VLOOKUP($A96,EntryList!$A$3:$N$645,2,FALSE),"")</f>
        <v/>
      </c>
      <c r="C96" s="74"/>
      <c r="D96" s="53">
        <f t="shared" si="43"/>
        <v>0</v>
      </c>
      <c r="E96" s="62"/>
      <c r="F96" s="62"/>
      <c r="G96" s="62"/>
      <c r="H96" s="62"/>
      <c r="I96" s="62"/>
      <c r="J96" s="62"/>
      <c r="K96" s="62"/>
      <c r="L96" s="62"/>
      <c r="M96" s="62"/>
      <c r="N96" s="62">
        <f t="shared" si="44"/>
        <v>0</v>
      </c>
      <c r="O96" s="53" t="str">
        <f t="shared" si="70"/>
        <v/>
      </c>
      <c r="P96" s="53" t="str">
        <f t="shared" si="71"/>
        <v/>
      </c>
      <c r="Q96" s="53" t="str">
        <f t="shared" si="72"/>
        <v/>
      </c>
      <c r="R96" s="53" t="str">
        <f t="shared" si="73"/>
        <v/>
      </c>
      <c r="S96" s="53" t="str">
        <f t="shared" si="74"/>
        <v/>
      </c>
      <c r="T96" s="53" t="str">
        <f t="shared" si="75"/>
        <v/>
      </c>
      <c r="U96" s="53" t="str">
        <f t="shared" si="76"/>
        <v/>
      </c>
      <c r="V96" s="53" t="str">
        <f t="shared" si="77"/>
        <v/>
      </c>
      <c r="W96" s="53" t="str">
        <f t="shared" si="45"/>
        <v>DNS/DNF ()</v>
      </c>
      <c r="X96" s="53" t="str">
        <f t="shared" si="46"/>
        <v>DNS/DNF ()</v>
      </c>
      <c r="Y96" s="53" t="str">
        <f t="shared" si="47"/>
        <v>DNS/DNF ()</v>
      </c>
      <c r="Z96" s="53" t="str">
        <f t="shared" si="48"/>
        <v>DNS/DNF ()</v>
      </c>
      <c r="AA96" s="53" t="str">
        <f t="shared" si="49"/>
        <v>DNS/DNF ()</v>
      </c>
      <c r="AB96" s="53" t="str">
        <f t="shared" si="50"/>
        <v>DNS/DNF ()</v>
      </c>
      <c r="AC96" s="53" t="str">
        <f t="shared" si="51"/>
        <v>DNS/DNF ()</v>
      </c>
      <c r="AD96" s="53" t="str">
        <f t="shared" si="52"/>
        <v>DNS/DNF ()</v>
      </c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62" t="str">
        <f t="shared" si="53"/>
        <v>DNS/DNF</v>
      </c>
      <c r="AV96" s="62" t="str">
        <f t="shared" si="54"/>
        <v>DNS/DNF</v>
      </c>
      <c r="AW96" s="62" t="str">
        <f t="shared" si="55"/>
        <v>DNS/DNF</v>
      </c>
      <c r="AX96" s="62" t="str">
        <f t="shared" si="56"/>
        <v>DNS/DNF</v>
      </c>
      <c r="AY96" s="62" t="str">
        <f t="shared" si="57"/>
        <v>DNS/DNF</v>
      </c>
      <c r="AZ96" s="62" t="str">
        <f t="shared" si="58"/>
        <v>DNS/DNF</v>
      </c>
      <c r="BA96" s="62" t="str">
        <f t="shared" si="59"/>
        <v>DNS/DNF</v>
      </c>
      <c r="BB96" s="62" t="str">
        <f t="shared" si="60"/>
        <v>DNS/DNF</v>
      </c>
      <c r="BC96" s="75" t="str">
        <f t="shared" si="61"/>
        <v/>
      </c>
      <c r="BD96" s="53" t="str">
        <f t="shared" si="62"/>
        <v/>
      </c>
      <c r="BE96" s="53" t="str">
        <f t="shared" si="63"/>
        <v/>
      </c>
      <c r="BF96" s="53" t="str">
        <f t="shared" si="64"/>
        <v/>
      </c>
      <c r="BG96" s="53" t="str">
        <f t="shared" si="65"/>
        <v/>
      </c>
      <c r="BH96" s="53" t="str">
        <f t="shared" si="66"/>
        <v/>
      </c>
      <c r="BI96" s="53" t="str">
        <f t="shared" si="67"/>
        <v/>
      </c>
      <c r="BJ96" s="53" t="str">
        <f t="shared" si="68"/>
        <v/>
      </c>
      <c r="BK96" s="53" t="str">
        <f t="shared" si="69"/>
        <v/>
      </c>
    </row>
    <row r="97" spans="1:63">
      <c r="A97" s="53"/>
      <c r="B97" s="89" t="str">
        <f>IFERROR(VLOOKUP($A97,EntryList!$A$3:$N$645,2,FALSE),"")</f>
        <v/>
      </c>
      <c r="C97" s="74"/>
      <c r="D97" s="53">
        <f t="shared" si="43"/>
        <v>0</v>
      </c>
      <c r="E97" s="62"/>
      <c r="F97" s="62"/>
      <c r="G97" s="62"/>
      <c r="H97" s="62"/>
      <c r="I97" s="62"/>
      <c r="J97" s="62"/>
      <c r="K97" s="62"/>
      <c r="L97" s="62"/>
      <c r="M97" s="62"/>
      <c r="N97" s="62">
        <f t="shared" si="44"/>
        <v>0</v>
      </c>
      <c r="O97" s="53" t="str">
        <f t="shared" si="70"/>
        <v/>
      </c>
      <c r="P97" s="53" t="str">
        <f t="shared" si="71"/>
        <v/>
      </c>
      <c r="Q97" s="53" t="str">
        <f t="shared" si="72"/>
        <v/>
      </c>
      <c r="R97" s="53" t="str">
        <f t="shared" si="73"/>
        <v/>
      </c>
      <c r="S97" s="53" t="str">
        <f t="shared" si="74"/>
        <v/>
      </c>
      <c r="T97" s="53" t="str">
        <f t="shared" si="75"/>
        <v/>
      </c>
      <c r="U97" s="53" t="str">
        <f t="shared" si="76"/>
        <v/>
      </c>
      <c r="V97" s="53" t="str">
        <f t="shared" si="77"/>
        <v/>
      </c>
      <c r="W97" s="53" t="str">
        <f t="shared" si="45"/>
        <v>DNS/DNF ()</v>
      </c>
      <c r="X97" s="53" t="str">
        <f t="shared" si="46"/>
        <v>DNS/DNF ()</v>
      </c>
      <c r="Y97" s="53" t="str">
        <f t="shared" si="47"/>
        <v>DNS/DNF ()</v>
      </c>
      <c r="Z97" s="53" t="str">
        <f t="shared" si="48"/>
        <v>DNS/DNF ()</v>
      </c>
      <c r="AA97" s="53" t="str">
        <f t="shared" si="49"/>
        <v>DNS/DNF ()</v>
      </c>
      <c r="AB97" s="53" t="str">
        <f t="shared" si="50"/>
        <v>DNS/DNF ()</v>
      </c>
      <c r="AC97" s="53" t="str">
        <f t="shared" si="51"/>
        <v>DNS/DNF ()</v>
      </c>
      <c r="AD97" s="53" t="str">
        <f t="shared" si="52"/>
        <v>DNS/DNF ()</v>
      </c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62" t="str">
        <f t="shared" si="53"/>
        <v>DNS/DNF</v>
      </c>
      <c r="AV97" s="62" t="str">
        <f t="shared" si="54"/>
        <v>DNS/DNF</v>
      </c>
      <c r="AW97" s="62" t="str">
        <f t="shared" si="55"/>
        <v>DNS/DNF</v>
      </c>
      <c r="AX97" s="62" t="str">
        <f t="shared" si="56"/>
        <v>DNS/DNF</v>
      </c>
      <c r="AY97" s="62" t="str">
        <f t="shared" si="57"/>
        <v>DNS/DNF</v>
      </c>
      <c r="AZ97" s="62" t="str">
        <f t="shared" si="58"/>
        <v>DNS/DNF</v>
      </c>
      <c r="BA97" s="62" t="str">
        <f t="shared" si="59"/>
        <v>DNS/DNF</v>
      </c>
      <c r="BB97" s="62" t="str">
        <f t="shared" si="60"/>
        <v>DNS/DNF</v>
      </c>
      <c r="BC97" s="75" t="str">
        <f t="shared" si="61"/>
        <v/>
      </c>
      <c r="BD97" s="53" t="str">
        <f t="shared" si="62"/>
        <v/>
      </c>
      <c r="BE97" s="53" t="str">
        <f t="shared" si="63"/>
        <v/>
      </c>
      <c r="BF97" s="53" t="str">
        <f t="shared" si="64"/>
        <v/>
      </c>
      <c r="BG97" s="53" t="str">
        <f t="shared" si="65"/>
        <v/>
      </c>
      <c r="BH97" s="53" t="str">
        <f t="shared" si="66"/>
        <v/>
      </c>
      <c r="BI97" s="53" t="str">
        <f t="shared" si="67"/>
        <v/>
      </c>
      <c r="BJ97" s="53" t="str">
        <f t="shared" si="68"/>
        <v/>
      </c>
      <c r="BK97" s="53" t="str">
        <f t="shared" si="69"/>
        <v/>
      </c>
    </row>
    <row r="98" spans="1:63">
      <c r="A98" s="53"/>
      <c r="B98" s="89" t="str">
        <f>IFERROR(VLOOKUP($A98,EntryList!$A$3:$N$645,2,FALSE),"")</f>
        <v/>
      </c>
      <c r="C98" s="74"/>
      <c r="D98" s="53">
        <f t="shared" si="43"/>
        <v>0</v>
      </c>
      <c r="E98" s="62"/>
      <c r="F98" s="62"/>
      <c r="G98" s="62"/>
      <c r="H98" s="62"/>
      <c r="I98" s="62"/>
      <c r="J98" s="62"/>
      <c r="K98" s="62"/>
      <c r="L98" s="62"/>
      <c r="M98" s="62"/>
      <c r="N98" s="62">
        <f t="shared" si="44"/>
        <v>0</v>
      </c>
      <c r="O98" s="53" t="str">
        <f t="shared" si="70"/>
        <v/>
      </c>
      <c r="P98" s="53" t="str">
        <f t="shared" si="71"/>
        <v/>
      </c>
      <c r="Q98" s="53" t="str">
        <f t="shared" si="72"/>
        <v/>
      </c>
      <c r="R98" s="53" t="str">
        <f t="shared" si="73"/>
        <v/>
      </c>
      <c r="S98" s="53" t="str">
        <f t="shared" si="74"/>
        <v/>
      </c>
      <c r="T98" s="53" t="str">
        <f t="shared" si="75"/>
        <v/>
      </c>
      <c r="U98" s="53" t="str">
        <f t="shared" si="76"/>
        <v/>
      </c>
      <c r="V98" s="53" t="str">
        <f t="shared" si="77"/>
        <v/>
      </c>
      <c r="W98" s="53" t="str">
        <f t="shared" si="45"/>
        <v>DNS/DNF ()</v>
      </c>
      <c r="X98" s="53" t="str">
        <f t="shared" si="46"/>
        <v>DNS/DNF ()</v>
      </c>
      <c r="Y98" s="53" t="str">
        <f t="shared" si="47"/>
        <v>DNS/DNF ()</v>
      </c>
      <c r="Z98" s="53" t="str">
        <f t="shared" si="48"/>
        <v>DNS/DNF ()</v>
      </c>
      <c r="AA98" s="53" t="str">
        <f t="shared" si="49"/>
        <v>DNS/DNF ()</v>
      </c>
      <c r="AB98" s="53" t="str">
        <f t="shared" si="50"/>
        <v>DNS/DNF ()</v>
      </c>
      <c r="AC98" s="53" t="str">
        <f t="shared" si="51"/>
        <v>DNS/DNF ()</v>
      </c>
      <c r="AD98" s="53" t="str">
        <f t="shared" si="52"/>
        <v>DNS/DNF ()</v>
      </c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62" t="str">
        <f t="shared" si="53"/>
        <v>DNS/DNF</v>
      </c>
      <c r="AV98" s="62" t="str">
        <f t="shared" si="54"/>
        <v>DNS/DNF</v>
      </c>
      <c r="AW98" s="62" t="str">
        <f t="shared" si="55"/>
        <v>DNS/DNF</v>
      </c>
      <c r="AX98" s="62" t="str">
        <f t="shared" si="56"/>
        <v>DNS/DNF</v>
      </c>
      <c r="AY98" s="62" t="str">
        <f t="shared" si="57"/>
        <v>DNS/DNF</v>
      </c>
      <c r="AZ98" s="62" t="str">
        <f t="shared" si="58"/>
        <v>DNS/DNF</v>
      </c>
      <c r="BA98" s="62" t="str">
        <f t="shared" si="59"/>
        <v>DNS/DNF</v>
      </c>
      <c r="BB98" s="62" t="str">
        <f t="shared" si="60"/>
        <v>DNS/DNF</v>
      </c>
      <c r="BC98" s="75" t="str">
        <f t="shared" si="61"/>
        <v/>
      </c>
      <c r="BD98" s="53" t="str">
        <f t="shared" si="62"/>
        <v/>
      </c>
      <c r="BE98" s="53" t="str">
        <f t="shared" si="63"/>
        <v/>
      </c>
      <c r="BF98" s="53" t="str">
        <f t="shared" si="64"/>
        <v/>
      </c>
      <c r="BG98" s="53" t="str">
        <f t="shared" si="65"/>
        <v/>
      </c>
      <c r="BH98" s="53" t="str">
        <f t="shared" si="66"/>
        <v/>
      </c>
      <c r="BI98" s="53" t="str">
        <f t="shared" si="67"/>
        <v/>
      </c>
      <c r="BJ98" s="53" t="str">
        <f t="shared" si="68"/>
        <v/>
      </c>
      <c r="BK98" s="53" t="str">
        <f t="shared" si="69"/>
        <v/>
      </c>
    </row>
    <row r="99" spans="1:63">
      <c r="A99" s="53"/>
      <c r="B99" s="89" t="str">
        <f>IFERROR(VLOOKUP($A99,EntryList!$A$3:$N$645,2,FALSE),"")</f>
        <v/>
      </c>
      <c r="C99" s="74"/>
      <c r="D99" s="53">
        <f t="shared" si="43"/>
        <v>0</v>
      </c>
      <c r="E99" s="62"/>
      <c r="F99" s="62"/>
      <c r="G99" s="62"/>
      <c r="H99" s="62"/>
      <c r="I99" s="62"/>
      <c r="J99" s="62"/>
      <c r="K99" s="62"/>
      <c r="L99" s="62"/>
      <c r="M99" s="62"/>
      <c r="N99" s="62">
        <f t="shared" si="44"/>
        <v>0</v>
      </c>
      <c r="O99" s="53" t="str">
        <f t="shared" si="70"/>
        <v/>
      </c>
      <c r="P99" s="53" t="str">
        <f t="shared" si="71"/>
        <v/>
      </c>
      <c r="Q99" s="53" t="str">
        <f t="shared" si="72"/>
        <v/>
      </c>
      <c r="R99" s="53" t="str">
        <f t="shared" si="73"/>
        <v/>
      </c>
      <c r="S99" s="53" t="str">
        <f t="shared" si="74"/>
        <v/>
      </c>
      <c r="T99" s="53" t="str">
        <f t="shared" si="75"/>
        <v/>
      </c>
      <c r="U99" s="53" t="str">
        <f t="shared" si="76"/>
        <v/>
      </c>
      <c r="V99" s="53" t="str">
        <f t="shared" si="77"/>
        <v/>
      </c>
      <c r="W99" s="53" t="str">
        <f t="shared" si="45"/>
        <v>DNS/DNF ()</v>
      </c>
      <c r="X99" s="53" t="str">
        <f t="shared" si="46"/>
        <v>DNS/DNF ()</v>
      </c>
      <c r="Y99" s="53" t="str">
        <f t="shared" si="47"/>
        <v>DNS/DNF ()</v>
      </c>
      <c r="Z99" s="53" t="str">
        <f t="shared" si="48"/>
        <v>DNS/DNF ()</v>
      </c>
      <c r="AA99" s="53" t="str">
        <f t="shared" si="49"/>
        <v>DNS/DNF ()</v>
      </c>
      <c r="AB99" s="53" t="str">
        <f t="shared" si="50"/>
        <v>DNS/DNF ()</v>
      </c>
      <c r="AC99" s="53" t="str">
        <f t="shared" si="51"/>
        <v>DNS/DNF ()</v>
      </c>
      <c r="AD99" s="53" t="str">
        <f t="shared" si="52"/>
        <v>DNS/DNF ()</v>
      </c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62" t="str">
        <f t="shared" si="53"/>
        <v>DNS/DNF</v>
      </c>
      <c r="AV99" s="62" t="str">
        <f t="shared" si="54"/>
        <v>DNS/DNF</v>
      </c>
      <c r="AW99" s="62" t="str">
        <f t="shared" si="55"/>
        <v>DNS/DNF</v>
      </c>
      <c r="AX99" s="62" t="str">
        <f t="shared" si="56"/>
        <v>DNS/DNF</v>
      </c>
      <c r="AY99" s="62" t="str">
        <f t="shared" si="57"/>
        <v>DNS/DNF</v>
      </c>
      <c r="AZ99" s="62" t="str">
        <f t="shared" si="58"/>
        <v>DNS/DNF</v>
      </c>
      <c r="BA99" s="62" t="str">
        <f t="shared" si="59"/>
        <v>DNS/DNF</v>
      </c>
      <c r="BB99" s="62" t="str">
        <f t="shared" si="60"/>
        <v>DNS/DNF</v>
      </c>
      <c r="BC99" s="75" t="str">
        <f t="shared" si="61"/>
        <v/>
      </c>
      <c r="BD99" s="53" t="str">
        <f t="shared" si="62"/>
        <v/>
      </c>
      <c r="BE99" s="53" t="str">
        <f t="shared" si="63"/>
        <v/>
      </c>
      <c r="BF99" s="53" t="str">
        <f t="shared" si="64"/>
        <v/>
      </c>
      <c r="BG99" s="53" t="str">
        <f t="shared" si="65"/>
        <v/>
      </c>
      <c r="BH99" s="53" t="str">
        <f t="shared" si="66"/>
        <v/>
      </c>
      <c r="BI99" s="53" t="str">
        <f t="shared" si="67"/>
        <v/>
      </c>
      <c r="BJ99" s="53" t="str">
        <f t="shared" si="68"/>
        <v/>
      </c>
      <c r="BK99" s="53" t="str">
        <f t="shared" si="69"/>
        <v/>
      </c>
    </row>
    <row r="100" spans="1:63">
      <c r="A100" s="53"/>
      <c r="B100" s="89" t="str">
        <f>IFERROR(VLOOKUP($A100,EntryList!$A$3:$N$645,2,FALSE),"")</f>
        <v/>
      </c>
      <c r="C100" s="74"/>
      <c r="D100" s="53">
        <f t="shared" si="43"/>
        <v>0</v>
      </c>
      <c r="E100" s="62"/>
      <c r="F100" s="62"/>
      <c r="G100" s="62"/>
      <c r="H100" s="62"/>
      <c r="I100" s="62"/>
      <c r="J100" s="62"/>
      <c r="K100" s="62"/>
      <c r="L100" s="62"/>
      <c r="M100" s="62"/>
      <c r="N100" s="62">
        <f t="shared" si="44"/>
        <v>0</v>
      </c>
      <c r="O100" s="53" t="str">
        <f t="shared" si="70"/>
        <v/>
      </c>
      <c r="P100" s="53" t="str">
        <f t="shared" si="71"/>
        <v/>
      </c>
      <c r="Q100" s="53" t="str">
        <f t="shared" si="72"/>
        <v/>
      </c>
      <c r="R100" s="53" t="str">
        <f t="shared" si="73"/>
        <v/>
      </c>
      <c r="S100" s="53" t="str">
        <f t="shared" si="74"/>
        <v/>
      </c>
      <c r="T100" s="53" t="str">
        <f t="shared" si="75"/>
        <v/>
      </c>
      <c r="U100" s="53" t="str">
        <f t="shared" si="76"/>
        <v/>
      </c>
      <c r="V100" s="53" t="str">
        <f t="shared" si="77"/>
        <v/>
      </c>
      <c r="W100" s="53" t="str">
        <f t="shared" si="45"/>
        <v>DNS/DNF ()</v>
      </c>
      <c r="X100" s="53" t="str">
        <f t="shared" si="46"/>
        <v>DNS/DNF ()</v>
      </c>
      <c r="Y100" s="53" t="str">
        <f t="shared" si="47"/>
        <v>DNS/DNF ()</v>
      </c>
      <c r="Z100" s="53" t="str">
        <f t="shared" si="48"/>
        <v>DNS/DNF ()</v>
      </c>
      <c r="AA100" s="53" t="str">
        <f t="shared" si="49"/>
        <v>DNS/DNF ()</v>
      </c>
      <c r="AB100" s="53" t="str">
        <f t="shared" si="50"/>
        <v>DNS/DNF ()</v>
      </c>
      <c r="AC100" s="53" t="str">
        <f t="shared" si="51"/>
        <v>DNS/DNF ()</v>
      </c>
      <c r="AD100" s="53" t="str">
        <f t="shared" si="52"/>
        <v>DNS/DNF ()</v>
      </c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62" t="str">
        <f t="shared" si="53"/>
        <v>DNS/DNF</v>
      </c>
      <c r="AV100" s="62" t="str">
        <f t="shared" si="54"/>
        <v>DNS/DNF</v>
      </c>
      <c r="AW100" s="62" t="str">
        <f t="shared" si="55"/>
        <v>DNS/DNF</v>
      </c>
      <c r="AX100" s="62" t="str">
        <f t="shared" si="56"/>
        <v>DNS/DNF</v>
      </c>
      <c r="AY100" s="62" t="str">
        <f t="shared" si="57"/>
        <v>DNS/DNF</v>
      </c>
      <c r="AZ100" s="62" t="str">
        <f t="shared" si="58"/>
        <v>DNS/DNF</v>
      </c>
      <c r="BA100" s="62" t="str">
        <f t="shared" si="59"/>
        <v>DNS/DNF</v>
      </c>
      <c r="BB100" s="62" t="str">
        <f t="shared" si="60"/>
        <v>DNS/DNF</v>
      </c>
      <c r="BC100" s="75" t="str">
        <f t="shared" si="61"/>
        <v/>
      </c>
      <c r="BD100" s="53" t="str">
        <f t="shared" si="62"/>
        <v/>
      </c>
      <c r="BE100" s="53" t="str">
        <f t="shared" si="63"/>
        <v/>
      </c>
      <c r="BF100" s="53" t="str">
        <f t="shared" si="64"/>
        <v/>
      </c>
      <c r="BG100" s="53" t="str">
        <f t="shared" si="65"/>
        <v/>
      </c>
      <c r="BH100" s="53" t="str">
        <f t="shared" si="66"/>
        <v/>
      </c>
      <c r="BI100" s="53" t="str">
        <f t="shared" si="67"/>
        <v/>
      </c>
      <c r="BJ100" s="53" t="str">
        <f t="shared" si="68"/>
        <v/>
      </c>
      <c r="BK100" s="53" t="str">
        <f t="shared" si="69"/>
        <v/>
      </c>
    </row>
    <row r="101" spans="1:63">
      <c r="A101" s="53"/>
      <c r="B101" s="89" t="str">
        <f>IFERROR(VLOOKUP($A101,EntryList!$A$3:$N$645,2,FALSE),"")</f>
        <v/>
      </c>
      <c r="C101" s="74"/>
      <c r="D101" s="53">
        <f t="shared" si="43"/>
        <v>0</v>
      </c>
      <c r="E101" s="62"/>
      <c r="F101" s="62"/>
      <c r="G101" s="62"/>
      <c r="H101" s="62"/>
      <c r="I101" s="62"/>
      <c r="J101" s="62"/>
      <c r="K101" s="62"/>
      <c r="L101" s="62"/>
      <c r="M101" s="62"/>
      <c r="N101" s="62">
        <f t="shared" si="44"/>
        <v>0</v>
      </c>
      <c r="O101" s="53" t="str">
        <f t="shared" si="70"/>
        <v/>
      </c>
      <c r="P101" s="53" t="str">
        <f t="shared" si="71"/>
        <v/>
      </c>
      <c r="Q101" s="53" t="str">
        <f t="shared" si="72"/>
        <v/>
      </c>
      <c r="R101" s="53" t="str">
        <f t="shared" si="73"/>
        <v/>
      </c>
      <c r="S101" s="53" t="str">
        <f t="shared" si="74"/>
        <v/>
      </c>
      <c r="T101" s="53" t="str">
        <f t="shared" si="75"/>
        <v/>
      </c>
      <c r="U101" s="53" t="str">
        <f t="shared" si="76"/>
        <v/>
      </c>
      <c r="V101" s="53" t="str">
        <f t="shared" si="77"/>
        <v/>
      </c>
      <c r="W101" s="53" t="str">
        <f t="shared" si="45"/>
        <v>DNS/DNF ()</v>
      </c>
      <c r="X101" s="53" t="str">
        <f t="shared" si="46"/>
        <v>DNS/DNF ()</v>
      </c>
      <c r="Y101" s="53" t="str">
        <f t="shared" si="47"/>
        <v>DNS/DNF ()</v>
      </c>
      <c r="Z101" s="53" t="str">
        <f t="shared" si="48"/>
        <v>DNS/DNF ()</v>
      </c>
      <c r="AA101" s="53" t="str">
        <f t="shared" si="49"/>
        <v>DNS/DNF ()</v>
      </c>
      <c r="AB101" s="53" t="str">
        <f t="shared" si="50"/>
        <v>DNS/DNF ()</v>
      </c>
      <c r="AC101" s="53" t="str">
        <f t="shared" si="51"/>
        <v>DNS/DNF ()</v>
      </c>
      <c r="AD101" s="53" t="str">
        <f t="shared" si="52"/>
        <v>DNS/DNF ()</v>
      </c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62" t="str">
        <f t="shared" si="53"/>
        <v>DNS/DNF</v>
      </c>
      <c r="AV101" s="62" t="str">
        <f t="shared" si="54"/>
        <v>DNS/DNF</v>
      </c>
      <c r="AW101" s="62" t="str">
        <f t="shared" si="55"/>
        <v>DNS/DNF</v>
      </c>
      <c r="AX101" s="62" t="str">
        <f t="shared" si="56"/>
        <v>DNS/DNF</v>
      </c>
      <c r="AY101" s="62" t="str">
        <f t="shared" si="57"/>
        <v>DNS/DNF</v>
      </c>
      <c r="AZ101" s="62" t="str">
        <f t="shared" si="58"/>
        <v>DNS/DNF</v>
      </c>
      <c r="BA101" s="62" t="str">
        <f t="shared" si="59"/>
        <v>DNS/DNF</v>
      </c>
      <c r="BB101" s="62" t="str">
        <f t="shared" si="60"/>
        <v>DNS/DNF</v>
      </c>
      <c r="BC101" s="75" t="str">
        <f t="shared" si="61"/>
        <v/>
      </c>
      <c r="BD101" s="53" t="str">
        <f t="shared" si="62"/>
        <v/>
      </c>
      <c r="BE101" s="53" t="str">
        <f t="shared" si="63"/>
        <v/>
      </c>
      <c r="BF101" s="53" t="str">
        <f t="shared" si="64"/>
        <v/>
      </c>
      <c r="BG101" s="53" t="str">
        <f t="shared" si="65"/>
        <v/>
      </c>
      <c r="BH101" s="53" t="str">
        <f t="shared" si="66"/>
        <v/>
      </c>
      <c r="BI101" s="53" t="str">
        <f t="shared" si="67"/>
        <v/>
      </c>
      <c r="BJ101" s="53" t="str">
        <f t="shared" si="68"/>
        <v/>
      </c>
      <c r="BK101" s="53" t="str">
        <f t="shared" si="69"/>
        <v/>
      </c>
    </row>
    <row r="102" spans="1:63">
      <c r="A102" s="53"/>
      <c r="B102" s="89" t="str">
        <f>IFERROR(VLOOKUP($A102,EntryList!$A$3:$N$645,2,FALSE),"")</f>
        <v/>
      </c>
      <c r="C102" s="74"/>
      <c r="D102" s="53">
        <f t="shared" si="43"/>
        <v>0</v>
      </c>
      <c r="E102" s="62"/>
      <c r="F102" s="62"/>
      <c r="G102" s="62"/>
      <c r="H102" s="62"/>
      <c r="I102" s="62"/>
      <c r="J102" s="62"/>
      <c r="K102" s="62"/>
      <c r="L102" s="62"/>
      <c r="M102" s="62"/>
      <c r="N102" s="62">
        <f t="shared" si="44"/>
        <v>0</v>
      </c>
      <c r="O102" s="53" t="str">
        <f t="shared" si="70"/>
        <v/>
      </c>
      <c r="P102" s="53" t="str">
        <f t="shared" si="71"/>
        <v/>
      </c>
      <c r="Q102" s="53" t="str">
        <f t="shared" si="72"/>
        <v/>
      </c>
      <c r="R102" s="53" t="str">
        <f t="shared" si="73"/>
        <v/>
      </c>
      <c r="S102" s="53" t="str">
        <f t="shared" si="74"/>
        <v/>
      </c>
      <c r="T102" s="53" t="str">
        <f t="shared" si="75"/>
        <v/>
      </c>
      <c r="U102" s="53" t="str">
        <f t="shared" si="76"/>
        <v/>
      </c>
      <c r="V102" s="53" t="str">
        <f t="shared" si="77"/>
        <v/>
      </c>
      <c r="W102" s="53" t="str">
        <f t="shared" si="45"/>
        <v>DNS/DNF ()</v>
      </c>
      <c r="X102" s="53" t="str">
        <f t="shared" si="46"/>
        <v>DNS/DNF ()</v>
      </c>
      <c r="Y102" s="53" t="str">
        <f t="shared" si="47"/>
        <v>DNS/DNF ()</v>
      </c>
      <c r="Z102" s="53" t="str">
        <f t="shared" si="48"/>
        <v>DNS/DNF ()</v>
      </c>
      <c r="AA102" s="53" t="str">
        <f t="shared" si="49"/>
        <v>DNS/DNF ()</v>
      </c>
      <c r="AB102" s="53" t="str">
        <f t="shared" si="50"/>
        <v>DNS/DNF ()</v>
      </c>
      <c r="AC102" s="53" t="str">
        <f t="shared" si="51"/>
        <v>DNS/DNF ()</v>
      </c>
      <c r="AD102" s="53" t="str">
        <f t="shared" si="52"/>
        <v>DNS/DNF ()</v>
      </c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62" t="str">
        <f t="shared" si="53"/>
        <v>DNS/DNF</v>
      </c>
      <c r="AV102" s="62" t="str">
        <f t="shared" si="54"/>
        <v>DNS/DNF</v>
      </c>
      <c r="AW102" s="62" t="str">
        <f t="shared" si="55"/>
        <v>DNS/DNF</v>
      </c>
      <c r="AX102" s="62" t="str">
        <f t="shared" si="56"/>
        <v>DNS/DNF</v>
      </c>
      <c r="AY102" s="62" t="str">
        <f t="shared" si="57"/>
        <v>DNS/DNF</v>
      </c>
      <c r="AZ102" s="62" t="str">
        <f t="shared" si="58"/>
        <v>DNS/DNF</v>
      </c>
      <c r="BA102" s="62" t="str">
        <f t="shared" si="59"/>
        <v>DNS/DNF</v>
      </c>
      <c r="BB102" s="62" t="str">
        <f t="shared" si="60"/>
        <v>DNS/DNF</v>
      </c>
      <c r="BC102" s="75" t="str">
        <f t="shared" si="61"/>
        <v/>
      </c>
      <c r="BD102" s="53" t="str">
        <f t="shared" si="62"/>
        <v/>
      </c>
      <c r="BE102" s="53" t="str">
        <f t="shared" si="63"/>
        <v/>
      </c>
      <c r="BF102" s="53" t="str">
        <f t="shared" si="64"/>
        <v/>
      </c>
      <c r="BG102" s="53" t="str">
        <f t="shared" si="65"/>
        <v/>
      </c>
      <c r="BH102" s="53" t="str">
        <f t="shared" si="66"/>
        <v/>
      </c>
      <c r="BI102" s="53" t="str">
        <f t="shared" si="67"/>
        <v/>
      </c>
      <c r="BJ102" s="53" t="str">
        <f t="shared" si="68"/>
        <v/>
      </c>
      <c r="BK102" s="53" t="str">
        <f t="shared" si="69"/>
        <v/>
      </c>
    </row>
    <row r="103" spans="1:63">
      <c r="A103" s="53"/>
      <c r="B103" s="89" t="str">
        <f>IFERROR(VLOOKUP($A103,EntryList!$A$3:$N$645,2,FALSE),"")</f>
        <v/>
      </c>
      <c r="C103" s="74"/>
      <c r="D103" s="53">
        <f t="shared" si="43"/>
        <v>0</v>
      </c>
      <c r="E103" s="62"/>
      <c r="F103" s="62"/>
      <c r="G103" s="62"/>
      <c r="H103" s="62"/>
      <c r="I103" s="62"/>
      <c r="J103" s="62"/>
      <c r="K103" s="62"/>
      <c r="L103" s="62"/>
      <c r="M103" s="62"/>
      <c r="N103" s="62">
        <f t="shared" si="44"/>
        <v>0</v>
      </c>
      <c r="O103" s="53" t="str">
        <f t="shared" si="70"/>
        <v/>
      </c>
      <c r="P103" s="53" t="str">
        <f t="shared" si="71"/>
        <v/>
      </c>
      <c r="Q103" s="53" t="str">
        <f t="shared" si="72"/>
        <v/>
      </c>
      <c r="R103" s="53" t="str">
        <f t="shared" si="73"/>
        <v/>
      </c>
      <c r="S103" s="53" t="str">
        <f t="shared" si="74"/>
        <v/>
      </c>
      <c r="T103" s="53" t="str">
        <f t="shared" si="75"/>
        <v/>
      </c>
      <c r="U103" s="53" t="str">
        <f t="shared" si="76"/>
        <v/>
      </c>
      <c r="V103" s="53" t="str">
        <f t="shared" si="77"/>
        <v/>
      </c>
      <c r="W103" s="53" t="str">
        <f t="shared" si="45"/>
        <v>DNS/DNF ()</v>
      </c>
      <c r="X103" s="53" t="str">
        <f t="shared" si="46"/>
        <v>DNS/DNF ()</v>
      </c>
      <c r="Y103" s="53" t="str">
        <f t="shared" si="47"/>
        <v>DNS/DNF ()</v>
      </c>
      <c r="Z103" s="53" t="str">
        <f t="shared" si="48"/>
        <v>DNS/DNF ()</v>
      </c>
      <c r="AA103" s="53" t="str">
        <f t="shared" si="49"/>
        <v>DNS/DNF ()</v>
      </c>
      <c r="AB103" s="53" t="str">
        <f t="shared" si="50"/>
        <v>DNS/DNF ()</v>
      </c>
      <c r="AC103" s="53" t="str">
        <f t="shared" si="51"/>
        <v>DNS/DNF ()</v>
      </c>
      <c r="AD103" s="53" t="str">
        <f t="shared" si="52"/>
        <v>DNS/DNF ()</v>
      </c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62" t="str">
        <f t="shared" si="53"/>
        <v>DNS/DNF</v>
      </c>
      <c r="AV103" s="62" t="str">
        <f t="shared" si="54"/>
        <v>DNS/DNF</v>
      </c>
      <c r="AW103" s="62" t="str">
        <f t="shared" si="55"/>
        <v>DNS/DNF</v>
      </c>
      <c r="AX103" s="62" t="str">
        <f t="shared" si="56"/>
        <v>DNS/DNF</v>
      </c>
      <c r="AY103" s="62" t="str">
        <f t="shared" si="57"/>
        <v>DNS/DNF</v>
      </c>
      <c r="AZ103" s="62" t="str">
        <f t="shared" si="58"/>
        <v>DNS/DNF</v>
      </c>
      <c r="BA103" s="62" t="str">
        <f t="shared" si="59"/>
        <v>DNS/DNF</v>
      </c>
      <c r="BB103" s="62" t="str">
        <f t="shared" si="60"/>
        <v>DNS/DNF</v>
      </c>
      <c r="BC103" s="75" t="str">
        <f t="shared" si="61"/>
        <v/>
      </c>
      <c r="BD103" s="53" t="str">
        <f t="shared" si="62"/>
        <v/>
      </c>
      <c r="BE103" s="53" t="str">
        <f t="shared" si="63"/>
        <v/>
      </c>
      <c r="BF103" s="53" t="str">
        <f t="shared" si="64"/>
        <v/>
      </c>
      <c r="BG103" s="53" t="str">
        <f t="shared" si="65"/>
        <v/>
      </c>
      <c r="BH103" s="53" t="str">
        <f t="shared" si="66"/>
        <v/>
      </c>
      <c r="BI103" s="53" t="str">
        <f t="shared" si="67"/>
        <v/>
      </c>
      <c r="BJ103" s="53" t="str">
        <f t="shared" si="68"/>
        <v/>
      </c>
      <c r="BK103" s="53" t="str">
        <f t="shared" si="69"/>
        <v/>
      </c>
    </row>
    <row r="104" spans="1:63">
      <c r="A104" s="53"/>
      <c r="B104" s="89" t="str">
        <f>IFERROR(VLOOKUP($A104,EntryList!$A$3:$N$645,2,FALSE),"")</f>
        <v/>
      </c>
      <c r="C104" s="74"/>
      <c r="D104" s="53">
        <f t="shared" si="43"/>
        <v>0</v>
      </c>
      <c r="E104" s="62"/>
      <c r="F104" s="62"/>
      <c r="G104" s="62"/>
      <c r="H104" s="62"/>
      <c r="I104" s="62"/>
      <c r="J104" s="62"/>
      <c r="K104" s="62"/>
      <c r="L104" s="62"/>
      <c r="M104" s="62"/>
      <c r="N104" s="62">
        <f t="shared" si="44"/>
        <v>0</v>
      </c>
      <c r="O104" s="53" t="str">
        <f t="shared" si="70"/>
        <v/>
      </c>
      <c r="P104" s="53" t="str">
        <f t="shared" si="71"/>
        <v/>
      </c>
      <c r="Q104" s="53" t="str">
        <f t="shared" si="72"/>
        <v/>
      </c>
      <c r="R104" s="53" t="str">
        <f t="shared" si="73"/>
        <v/>
      </c>
      <c r="S104" s="53" t="str">
        <f t="shared" si="74"/>
        <v/>
      </c>
      <c r="T104" s="53" t="str">
        <f t="shared" si="75"/>
        <v/>
      </c>
      <c r="U104" s="53" t="str">
        <f t="shared" si="76"/>
        <v/>
      </c>
      <c r="V104" s="53" t="str">
        <f t="shared" si="77"/>
        <v/>
      </c>
      <c r="W104" s="53" t="str">
        <f t="shared" si="45"/>
        <v>DNS/DNF ()</v>
      </c>
      <c r="X104" s="53" t="str">
        <f t="shared" si="46"/>
        <v>DNS/DNF ()</v>
      </c>
      <c r="Y104" s="53" t="str">
        <f t="shared" si="47"/>
        <v>DNS/DNF ()</v>
      </c>
      <c r="Z104" s="53" t="str">
        <f t="shared" si="48"/>
        <v>DNS/DNF ()</v>
      </c>
      <c r="AA104" s="53" t="str">
        <f t="shared" si="49"/>
        <v>DNS/DNF ()</v>
      </c>
      <c r="AB104" s="53" t="str">
        <f t="shared" si="50"/>
        <v>DNS/DNF ()</v>
      </c>
      <c r="AC104" s="53" t="str">
        <f t="shared" si="51"/>
        <v>DNS/DNF ()</v>
      </c>
      <c r="AD104" s="53" t="str">
        <f t="shared" si="52"/>
        <v>DNS/DNF ()</v>
      </c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62" t="str">
        <f t="shared" si="53"/>
        <v>DNS/DNF</v>
      </c>
      <c r="AV104" s="62" t="str">
        <f t="shared" si="54"/>
        <v>DNS/DNF</v>
      </c>
      <c r="AW104" s="62" t="str">
        <f t="shared" si="55"/>
        <v>DNS/DNF</v>
      </c>
      <c r="AX104" s="62" t="str">
        <f t="shared" si="56"/>
        <v>DNS/DNF</v>
      </c>
      <c r="AY104" s="62" t="str">
        <f t="shared" si="57"/>
        <v>DNS/DNF</v>
      </c>
      <c r="AZ104" s="62" t="str">
        <f t="shared" si="58"/>
        <v>DNS/DNF</v>
      </c>
      <c r="BA104" s="62" t="str">
        <f t="shared" si="59"/>
        <v>DNS/DNF</v>
      </c>
      <c r="BB104" s="62" t="str">
        <f t="shared" si="60"/>
        <v>DNS/DNF</v>
      </c>
      <c r="BC104" s="75" t="str">
        <f t="shared" si="61"/>
        <v/>
      </c>
      <c r="BD104" s="53" t="str">
        <f t="shared" si="62"/>
        <v/>
      </c>
      <c r="BE104" s="53" t="str">
        <f t="shared" si="63"/>
        <v/>
      </c>
      <c r="BF104" s="53" t="str">
        <f t="shared" si="64"/>
        <v/>
      </c>
      <c r="BG104" s="53" t="str">
        <f t="shared" si="65"/>
        <v/>
      </c>
      <c r="BH104" s="53" t="str">
        <f t="shared" si="66"/>
        <v/>
      </c>
      <c r="BI104" s="53" t="str">
        <f t="shared" si="67"/>
        <v/>
      </c>
      <c r="BJ104" s="53" t="str">
        <f t="shared" si="68"/>
        <v/>
      </c>
      <c r="BK104" s="53" t="str">
        <f t="shared" si="69"/>
        <v/>
      </c>
    </row>
    <row r="105" spans="1:63">
      <c r="A105" s="53"/>
      <c r="B105" s="89" t="str">
        <f>IFERROR(VLOOKUP($A105,EntryList!$A$3:$N$645,2,FALSE),"")</f>
        <v/>
      </c>
      <c r="C105" s="74"/>
      <c r="D105" s="53">
        <f t="shared" si="43"/>
        <v>0</v>
      </c>
      <c r="E105" s="62"/>
      <c r="F105" s="62"/>
      <c r="G105" s="62"/>
      <c r="H105" s="62"/>
      <c r="I105" s="62"/>
      <c r="J105" s="62"/>
      <c r="K105" s="62"/>
      <c r="L105" s="62"/>
      <c r="M105" s="62"/>
      <c r="N105" s="62">
        <f t="shared" si="44"/>
        <v>0</v>
      </c>
      <c r="O105" s="53" t="str">
        <f t="shared" si="70"/>
        <v/>
      </c>
      <c r="P105" s="53" t="str">
        <f t="shared" si="71"/>
        <v/>
      </c>
      <c r="Q105" s="53" t="str">
        <f t="shared" si="72"/>
        <v/>
      </c>
      <c r="R105" s="53" t="str">
        <f t="shared" si="73"/>
        <v/>
      </c>
      <c r="S105" s="53" t="str">
        <f t="shared" si="74"/>
        <v/>
      </c>
      <c r="T105" s="53" t="str">
        <f t="shared" si="75"/>
        <v/>
      </c>
      <c r="U105" s="53" t="str">
        <f t="shared" si="76"/>
        <v/>
      </c>
      <c r="V105" s="53" t="str">
        <f t="shared" si="77"/>
        <v/>
      </c>
      <c r="W105" s="53" t="str">
        <f t="shared" si="45"/>
        <v>DNS/DNF ()</v>
      </c>
      <c r="X105" s="53" t="str">
        <f t="shared" si="46"/>
        <v>DNS/DNF ()</v>
      </c>
      <c r="Y105" s="53" t="str">
        <f t="shared" si="47"/>
        <v>DNS/DNF ()</v>
      </c>
      <c r="Z105" s="53" t="str">
        <f t="shared" si="48"/>
        <v>DNS/DNF ()</v>
      </c>
      <c r="AA105" s="53" t="str">
        <f t="shared" si="49"/>
        <v>DNS/DNF ()</v>
      </c>
      <c r="AB105" s="53" t="str">
        <f t="shared" si="50"/>
        <v>DNS/DNF ()</v>
      </c>
      <c r="AC105" s="53" t="str">
        <f t="shared" si="51"/>
        <v>DNS/DNF ()</v>
      </c>
      <c r="AD105" s="53" t="str">
        <f t="shared" si="52"/>
        <v>DNS/DNF ()</v>
      </c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62" t="str">
        <f t="shared" si="53"/>
        <v>DNS/DNF</v>
      </c>
      <c r="AV105" s="62" t="str">
        <f t="shared" si="54"/>
        <v>DNS/DNF</v>
      </c>
      <c r="AW105" s="62" t="str">
        <f t="shared" si="55"/>
        <v>DNS/DNF</v>
      </c>
      <c r="AX105" s="62" t="str">
        <f t="shared" si="56"/>
        <v>DNS/DNF</v>
      </c>
      <c r="AY105" s="62" t="str">
        <f t="shared" si="57"/>
        <v>DNS/DNF</v>
      </c>
      <c r="AZ105" s="62" t="str">
        <f t="shared" si="58"/>
        <v>DNS/DNF</v>
      </c>
      <c r="BA105" s="62" t="str">
        <f t="shared" si="59"/>
        <v>DNS/DNF</v>
      </c>
      <c r="BB105" s="62" t="str">
        <f t="shared" si="60"/>
        <v>DNS/DNF</v>
      </c>
      <c r="BC105" s="75" t="str">
        <f t="shared" si="61"/>
        <v/>
      </c>
      <c r="BD105" s="53" t="str">
        <f t="shared" si="62"/>
        <v/>
      </c>
      <c r="BE105" s="53" t="str">
        <f t="shared" si="63"/>
        <v/>
      </c>
      <c r="BF105" s="53" t="str">
        <f t="shared" si="64"/>
        <v/>
      </c>
      <c r="BG105" s="53" t="str">
        <f t="shared" si="65"/>
        <v/>
      </c>
      <c r="BH105" s="53" t="str">
        <f t="shared" si="66"/>
        <v/>
      </c>
      <c r="BI105" s="53" t="str">
        <f t="shared" si="67"/>
        <v/>
      </c>
      <c r="BJ105" s="53" t="str">
        <f t="shared" si="68"/>
        <v/>
      </c>
      <c r="BK105" s="53" t="str">
        <f t="shared" si="69"/>
        <v/>
      </c>
    </row>
    <row r="106" spans="1:63">
      <c r="A106" s="53"/>
      <c r="B106" s="89" t="str">
        <f>IFERROR(VLOOKUP($A106,EntryList!$A$3:$N$645,2,FALSE),"")</f>
        <v/>
      </c>
      <c r="C106" s="74"/>
      <c r="D106" s="53">
        <f t="shared" si="43"/>
        <v>0</v>
      </c>
      <c r="E106" s="62"/>
      <c r="F106" s="62"/>
      <c r="G106" s="62"/>
      <c r="H106" s="62"/>
      <c r="I106" s="62"/>
      <c r="J106" s="62"/>
      <c r="K106" s="62"/>
      <c r="L106" s="62"/>
      <c r="M106" s="62"/>
      <c r="N106" s="62">
        <f t="shared" si="44"/>
        <v>0</v>
      </c>
      <c r="O106" s="53" t="str">
        <f t="shared" si="70"/>
        <v/>
      </c>
      <c r="P106" s="53" t="str">
        <f t="shared" si="71"/>
        <v/>
      </c>
      <c r="Q106" s="53" t="str">
        <f t="shared" si="72"/>
        <v/>
      </c>
      <c r="R106" s="53" t="str">
        <f t="shared" si="73"/>
        <v/>
      </c>
      <c r="S106" s="53" t="str">
        <f t="shared" si="74"/>
        <v/>
      </c>
      <c r="T106" s="53" t="str">
        <f t="shared" si="75"/>
        <v/>
      </c>
      <c r="U106" s="53" t="str">
        <f t="shared" si="76"/>
        <v/>
      </c>
      <c r="V106" s="53" t="str">
        <f t="shared" si="77"/>
        <v/>
      </c>
      <c r="W106" s="53" t="str">
        <f t="shared" si="45"/>
        <v>DNS/DNF ()</v>
      </c>
      <c r="X106" s="53" t="str">
        <f t="shared" si="46"/>
        <v>DNS/DNF ()</v>
      </c>
      <c r="Y106" s="53" t="str">
        <f t="shared" si="47"/>
        <v>DNS/DNF ()</v>
      </c>
      <c r="Z106" s="53" t="str">
        <f t="shared" si="48"/>
        <v>DNS/DNF ()</v>
      </c>
      <c r="AA106" s="53" t="str">
        <f t="shared" si="49"/>
        <v>DNS/DNF ()</v>
      </c>
      <c r="AB106" s="53" t="str">
        <f t="shared" si="50"/>
        <v>DNS/DNF ()</v>
      </c>
      <c r="AC106" s="53" t="str">
        <f t="shared" si="51"/>
        <v>DNS/DNF ()</v>
      </c>
      <c r="AD106" s="53" t="str">
        <f t="shared" si="52"/>
        <v>DNS/DNF ()</v>
      </c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62" t="str">
        <f t="shared" si="53"/>
        <v>DNS/DNF</v>
      </c>
      <c r="AV106" s="62" t="str">
        <f t="shared" si="54"/>
        <v>DNS/DNF</v>
      </c>
      <c r="AW106" s="62" t="str">
        <f t="shared" si="55"/>
        <v>DNS/DNF</v>
      </c>
      <c r="AX106" s="62" t="str">
        <f t="shared" si="56"/>
        <v>DNS/DNF</v>
      </c>
      <c r="AY106" s="62" t="str">
        <f t="shared" si="57"/>
        <v>DNS/DNF</v>
      </c>
      <c r="AZ106" s="62" t="str">
        <f t="shared" si="58"/>
        <v>DNS/DNF</v>
      </c>
      <c r="BA106" s="62" t="str">
        <f t="shared" si="59"/>
        <v>DNS/DNF</v>
      </c>
      <c r="BB106" s="62" t="str">
        <f t="shared" si="60"/>
        <v>DNS/DNF</v>
      </c>
      <c r="BC106" s="75" t="str">
        <f t="shared" si="61"/>
        <v/>
      </c>
      <c r="BD106" s="53" t="str">
        <f t="shared" si="62"/>
        <v/>
      </c>
      <c r="BE106" s="53" t="str">
        <f t="shared" si="63"/>
        <v/>
      </c>
      <c r="BF106" s="53" t="str">
        <f t="shared" si="64"/>
        <v/>
      </c>
      <c r="BG106" s="53" t="str">
        <f t="shared" si="65"/>
        <v/>
      </c>
      <c r="BH106" s="53" t="str">
        <f t="shared" si="66"/>
        <v/>
      </c>
      <c r="BI106" s="53" t="str">
        <f t="shared" si="67"/>
        <v/>
      </c>
      <c r="BJ106" s="53" t="str">
        <f t="shared" si="68"/>
        <v/>
      </c>
      <c r="BK106" s="53" t="str">
        <f t="shared" si="69"/>
        <v/>
      </c>
    </row>
    <row r="107" spans="1:63">
      <c r="A107" s="53"/>
      <c r="B107" s="89" t="str">
        <f>IFERROR(VLOOKUP($A107,EntryList!$A$3:$N$645,2,FALSE),"")</f>
        <v/>
      </c>
      <c r="C107" s="74"/>
      <c r="D107" s="53">
        <f t="shared" si="43"/>
        <v>0</v>
      </c>
      <c r="E107" s="62"/>
      <c r="F107" s="62"/>
      <c r="G107" s="62"/>
      <c r="H107" s="62"/>
      <c r="I107" s="62"/>
      <c r="J107" s="62"/>
      <c r="K107" s="62"/>
      <c r="L107" s="62"/>
      <c r="M107" s="62"/>
      <c r="N107" s="62">
        <f t="shared" si="44"/>
        <v>0</v>
      </c>
      <c r="O107" s="53" t="str">
        <f t="shared" si="70"/>
        <v/>
      </c>
      <c r="P107" s="53" t="str">
        <f t="shared" si="71"/>
        <v/>
      </c>
      <c r="Q107" s="53" t="str">
        <f t="shared" si="72"/>
        <v/>
      </c>
      <c r="R107" s="53" t="str">
        <f t="shared" si="73"/>
        <v/>
      </c>
      <c r="S107" s="53" t="str">
        <f t="shared" si="74"/>
        <v/>
      </c>
      <c r="T107" s="53" t="str">
        <f t="shared" si="75"/>
        <v/>
      </c>
      <c r="U107" s="53" t="str">
        <f t="shared" si="76"/>
        <v/>
      </c>
      <c r="V107" s="53" t="str">
        <f t="shared" si="77"/>
        <v/>
      </c>
      <c r="W107" s="53" t="str">
        <f t="shared" si="45"/>
        <v>DNS/DNF ()</v>
      </c>
      <c r="X107" s="53" t="str">
        <f t="shared" si="46"/>
        <v>DNS/DNF ()</v>
      </c>
      <c r="Y107" s="53" t="str">
        <f t="shared" si="47"/>
        <v>DNS/DNF ()</v>
      </c>
      <c r="Z107" s="53" t="str">
        <f t="shared" si="48"/>
        <v>DNS/DNF ()</v>
      </c>
      <c r="AA107" s="53" t="str">
        <f t="shared" si="49"/>
        <v>DNS/DNF ()</v>
      </c>
      <c r="AB107" s="53" t="str">
        <f t="shared" si="50"/>
        <v>DNS/DNF ()</v>
      </c>
      <c r="AC107" s="53" t="str">
        <f t="shared" si="51"/>
        <v>DNS/DNF ()</v>
      </c>
      <c r="AD107" s="53" t="str">
        <f t="shared" si="52"/>
        <v>DNS/DNF ()</v>
      </c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62" t="str">
        <f t="shared" si="53"/>
        <v>DNS/DNF</v>
      </c>
      <c r="AV107" s="62" t="str">
        <f t="shared" si="54"/>
        <v>DNS/DNF</v>
      </c>
      <c r="AW107" s="62" t="str">
        <f t="shared" si="55"/>
        <v>DNS/DNF</v>
      </c>
      <c r="AX107" s="62" t="str">
        <f t="shared" si="56"/>
        <v>DNS/DNF</v>
      </c>
      <c r="AY107" s="62" t="str">
        <f t="shared" si="57"/>
        <v>DNS/DNF</v>
      </c>
      <c r="AZ107" s="62" t="str">
        <f t="shared" si="58"/>
        <v>DNS/DNF</v>
      </c>
      <c r="BA107" s="62" t="str">
        <f t="shared" si="59"/>
        <v>DNS/DNF</v>
      </c>
      <c r="BB107" s="62" t="str">
        <f t="shared" si="60"/>
        <v>DNS/DNF</v>
      </c>
      <c r="BC107" s="75" t="str">
        <f t="shared" si="61"/>
        <v/>
      </c>
      <c r="BD107" s="53" t="str">
        <f t="shared" si="62"/>
        <v/>
      </c>
      <c r="BE107" s="53" t="str">
        <f t="shared" si="63"/>
        <v/>
      </c>
      <c r="BF107" s="53" t="str">
        <f t="shared" si="64"/>
        <v/>
      </c>
      <c r="BG107" s="53" t="str">
        <f t="shared" si="65"/>
        <v/>
      </c>
      <c r="BH107" s="53" t="str">
        <f t="shared" si="66"/>
        <v/>
      </c>
      <c r="BI107" s="53" t="str">
        <f t="shared" si="67"/>
        <v/>
      </c>
      <c r="BJ107" s="53" t="str">
        <f t="shared" si="68"/>
        <v/>
      </c>
      <c r="BK107" s="53" t="str">
        <f t="shared" si="69"/>
        <v/>
      </c>
    </row>
    <row r="108" spans="1:63">
      <c r="A108" s="53"/>
      <c r="B108" s="89" t="str">
        <f>IFERROR(VLOOKUP($A108,EntryList!$A$3:$N$645,2,FALSE),"")</f>
        <v/>
      </c>
      <c r="C108" s="74"/>
      <c r="D108" s="53">
        <f t="shared" si="43"/>
        <v>0</v>
      </c>
      <c r="E108" s="62"/>
      <c r="F108" s="62"/>
      <c r="G108" s="62"/>
      <c r="H108" s="62"/>
      <c r="I108" s="62"/>
      <c r="J108" s="62"/>
      <c r="K108" s="62"/>
      <c r="L108" s="62"/>
      <c r="M108" s="62"/>
      <c r="N108" s="62">
        <f t="shared" si="44"/>
        <v>0</v>
      </c>
      <c r="O108" s="53" t="str">
        <f t="shared" si="70"/>
        <v/>
      </c>
      <c r="P108" s="53" t="str">
        <f t="shared" si="71"/>
        <v/>
      </c>
      <c r="Q108" s="53" t="str">
        <f t="shared" si="72"/>
        <v/>
      </c>
      <c r="R108" s="53" t="str">
        <f t="shared" si="73"/>
        <v/>
      </c>
      <c r="S108" s="53" t="str">
        <f t="shared" si="74"/>
        <v/>
      </c>
      <c r="T108" s="53" t="str">
        <f t="shared" si="75"/>
        <v/>
      </c>
      <c r="U108" s="53" t="str">
        <f t="shared" si="76"/>
        <v/>
      </c>
      <c r="V108" s="53" t="str">
        <f t="shared" si="77"/>
        <v/>
      </c>
      <c r="W108" s="53" t="str">
        <f t="shared" si="45"/>
        <v>DNS/DNF ()</v>
      </c>
      <c r="X108" s="53" t="str">
        <f t="shared" si="46"/>
        <v>DNS/DNF ()</v>
      </c>
      <c r="Y108" s="53" t="str">
        <f t="shared" si="47"/>
        <v>DNS/DNF ()</v>
      </c>
      <c r="Z108" s="53" t="str">
        <f t="shared" si="48"/>
        <v>DNS/DNF ()</v>
      </c>
      <c r="AA108" s="53" t="str">
        <f t="shared" si="49"/>
        <v>DNS/DNF ()</v>
      </c>
      <c r="AB108" s="53" t="str">
        <f t="shared" si="50"/>
        <v>DNS/DNF ()</v>
      </c>
      <c r="AC108" s="53" t="str">
        <f t="shared" si="51"/>
        <v>DNS/DNF ()</v>
      </c>
      <c r="AD108" s="53" t="str">
        <f t="shared" si="52"/>
        <v>DNS/DNF ()</v>
      </c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62" t="str">
        <f t="shared" si="53"/>
        <v>DNS/DNF</v>
      </c>
      <c r="AV108" s="62" t="str">
        <f t="shared" si="54"/>
        <v>DNS/DNF</v>
      </c>
      <c r="AW108" s="62" t="str">
        <f t="shared" si="55"/>
        <v>DNS/DNF</v>
      </c>
      <c r="AX108" s="62" t="str">
        <f t="shared" si="56"/>
        <v>DNS/DNF</v>
      </c>
      <c r="AY108" s="62" t="str">
        <f t="shared" si="57"/>
        <v>DNS/DNF</v>
      </c>
      <c r="AZ108" s="62" t="str">
        <f t="shared" si="58"/>
        <v>DNS/DNF</v>
      </c>
      <c r="BA108" s="62" t="str">
        <f t="shared" si="59"/>
        <v>DNS/DNF</v>
      </c>
      <c r="BB108" s="62" t="str">
        <f t="shared" si="60"/>
        <v>DNS/DNF</v>
      </c>
      <c r="BC108" s="75" t="str">
        <f t="shared" si="61"/>
        <v/>
      </c>
      <c r="BD108" s="53" t="str">
        <f t="shared" si="62"/>
        <v/>
      </c>
      <c r="BE108" s="53" t="str">
        <f t="shared" si="63"/>
        <v/>
      </c>
      <c r="BF108" s="53" t="str">
        <f t="shared" si="64"/>
        <v/>
      </c>
      <c r="BG108" s="53" t="str">
        <f t="shared" si="65"/>
        <v/>
      </c>
      <c r="BH108" s="53" t="str">
        <f t="shared" si="66"/>
        <v/>
      </c>
      <c r="BI108" s="53" t="str">
        <f t="shared" si="67"/>
        <v/>
      </c>
      <c r="BJ108" s="53" t="str">
        <f t="shared" si="68"/>
        <v/>
      </c>
      <c r="BK108" s="53" t="str">
        <f t="shared" si="69"/>
        <v/>
      </c>
    </row>
    <row r="109" spans="1:63">
      <c r="A109" s="53"/>
      <c r="B109" s="89" t="str">
        <f>IFERROR(VLOOKUP($A109,EntryList!$A$3:$N$645,2,FALSE),"")</f>
        <v/>
      </c>
      <c r="C109" s="74"/>
      <c r="D109" s="53">
        <f t="shared" si="43"/>
        <v>0</v>
      </c>
      <c r="E109" s="62"/>
      <c r="F109" s="62"/>
      <c r="G109" s="62"/>
      <c r="H109" s="62"/>
      <c r="I109" s="62"/>
      <c r="J109" s="62"/>
      <c r="K109" s="62"/>
      <c r="L109" s="62"/>
      <c r="M109" s="62"/>
      <c r="N109" s="62">
        <f t="shared" si="44"/>
        <v>0</v>
      </c>
      <c r="O109" s="53" t="str">
        <f t="shared" si="70"/>
        <v/>
      </c>
      <c r="P109" s="53" t="str">
        <f t="shared" si="71"/>
        <v/>
      </c>
      <c r="Q109" s="53" t="str">
        <f t="shared" si="72"/>
        <v/>
      </c>
      <c r="R109" s="53" t="str">
        <f t="shared" si="73"/>
        <v/>
      </c>
      <c r="S109" s="53" t="str">
        <f t="shared" si="74"/>
        <v/>
      </c>
      <c r="T109" s="53" t="str">
        <f t="shared" si="75"/>
        <v/>
      </c>
      <c r="U109" s="53" t="str">
        <f t="shared" si="76"/>
        <v/>
      </c>
      <c r="V109" s="53" t="str">
        <f t="shared" si="77"/>
        <v/>
      </c>
      <c r="W109" s="53" t="str">
        <f t="shared" si="45"/>
        <v>DNS/DNF ()</v>
      </c>
      <c r="X109" s="53" t="str">
        <f t="shared" si="46"/>
        <v>DNS/DNF ()</v>
      </c>
      <c r="Y109" s="53" t="str">
        <f t="shared" si="47"/>
        <v>DNS/DNF ()</v>
      </c>
      <c r="Z109" s="53" t="str">
        <f t="shared" si="48"/>
        <v>DNS/DNF ()</v>
      </c>
      <c r="AA109" s="53" t="str">
        <f t="shared" si="49"/>
        <v>DNS/DNF ()</v>
      </c>
      <c r="AB109" s="53" t="str">
        <f t="shared" si="50"/>
        <v>DNS/DNF ()</v>
      </c>
      <c r="AC109" s="53" t="str">
        <f t="shared" si="51"/>
        <v>DNS/DNF ()</v>
      </c>
      <c r="AD109" s="53" t="str">
        <f t="shared" si="52"/>
        <v>DNS/DNF ()</v>
      </c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62" t="str">
        <f t="shared" si="53"/>
        <v>DNS/DNF</v>
      </c>
      <c r="AV109" s="62" t="str">
        <f t="shared" si="54"/>
        <v>DNS/DNF</v>
      </c>
      <c r="AW109" s="62" t="str">
        <f t="shared" si="55"/>
        <v>DNS/DNF</v>
      </c>
      <c r="AX109" s="62" t="str">
        <f t="shared" si="56"/>
        <v>DNS/DNF</v>
      </c>
      <c r="AY109" s="62" t="str">
        <f t="shared" si="57"/>
        <v>DNS/DNF</v>
      </c>
      <c r="AZ109" s="62" t="str">
        <f t="shared" si="58"/>
        <v>DNS/DNF</v>
      </c>
      <c r="BA109" s="62" t="str">
        <f t="shared" si="59"/>
        <v>DNS/DNF</v>
      </c>
      <c r="BB109" s="62" t="str">
        <f t="shared" si="60"/>
        <v>DNS/DNF</v>
      </c>
      <c r="BC109" s="75" t="str">
        <f t="shared" si="61"/>
        <v/>
      </c>
      <c r="BD109" s="53" t="str">
        <f t="shared" si="62"/>
        <v/>
      </c>
      <c r="BE109" s="53" t="str">
        <f t="shared" si="63"/>
        <v/>
      </c>
      <c r="BF109" s="53" t="str">
        <f t="shared" si="64"/>
        <v/>
      </c>
      <c r="BG109" s="53" t="str">
        <f t="shared" si="65"/>
        <v/>
      </c>
      <c r="BH109" s="53" t="str">
        <f t="shared" si="66"/>
        <v/>
      </c>
      <c r="BI109" s="53" t="str">
        <f t="shared" si="67"/>
        <v/>
      </c>
      <c r="BJ109" s="53" t="str">
        <f t="shared" si="68"/>
        <v/>
      </c>
      <c r="BK109" s="53" t="str">
        <f t="shared" si="69"/>
        <v/>
      </c>
    </row>
    <row r="110" spans="1:63">
      <c r="A110" s="53"/>
      <c r="B110" s="89" t="str">
        <f>IFERROR(VLOOKUP($A110,EntryList!$A$3:$N$645,2,FALSE),"")</f>
        <v/>
      </c>
      <c r="C110" s="74"/>
      <c r="D110" s="53">
        <f t="shared" si="43"/>
        <v>0</v>
      </c>
      <c r="E110" s="62"/>
      <c r="F110" s="62"/>
      <c r="G110" s="62"/>
      <c r="H110" s="62"/>
      <c r="I110" s="62"/>
      <c r="J110" s="62"/>
      <c r="K110" s="62"/>
      <c r="L110" s="62"/>
      <c r="M110" s="62"/>
      <c r="N110" s="62">
        <f t="shared" si="44"/>
        <v>0</v>
      </c>
      <c r="O110" s="53" t="str">
        <f t="shared" si="70"/>
        <v/>
      </c>
      <c r="P110" s="53" t="str">
        <f t="shared" si="71"/>
        <v/>
      </c>
      <c r="Q110" s="53" t="str">
        <f t="shared" si="72"/>
        <v/>
      </c>
      <c r="R110" s="53" t="str">
        <f t="shared" si="73"/>
        <v/>
      </c>
      <c r="S110" s="53" t="str">
        <f t="shared" si="74"/>
        <v/>
      </c>
      <c r="T110" s="53" t="str">
        <f t="shared" si="75"/>
        <v/>
      </c>
      <c r="U110" s="53" t="str">
        <f t="shared" si="76"/>
        <v/>
      </c>
      <c r="V110" s="53" t="str">
        <f t="shared" si="77"/>
        <v/>
      </c>
      <c r="W110" s="53" t="str">
        <f t="shared" si="45"/>
        <v>DNS/DNF ()</v>
      </c>
      <c r="X110" s="53" t="str">
        <f t="shared" si="46"/>
        <v>DNS/DNF ()</v>
      </c>
      <c r="Y110" s="53" t="str">
        <f t="shared" si="47"/>
        <v>DNS/DNF ()</v>
      </c>
      <c r="Z110" s="53" t="str">
        <f t="shared" si="48"/>
        <v>DNS/DNF ()</v>
      </c>
      <c r="AA110" s="53" t="str">
        <f t="shared" si="49"/>
        <v>DNS/DNF ()</v>
      </c>
      <c r="AB110" s="53" t="str">
        <f t="shared" si="50"/>
        <v>DNS/DNF ()</v>
      </c>
      <c r="AC110" s="53" t="str">
        <f t="shared" si="51"/>
        <v>DNS/DNF ()</v>
      </c>
      <c r="AD110" s="53" t="str">
        <f t="shared" si="52"/>
        <v>DNS/DNF ()</v>
      </c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62" t="str">
        <f t="shared" si="53"/>
        <v>DNS/DNF</v>
      </c>
      <c r="AV110" s="62" t="str">
        <f t="shared" si="54"/>
        <v>DNS/DNF</v>
      </c>
      <c r="AW110" s="62" t="str">
        <f t="shared" si="55"/>
        <v>DNS/DNF</v>
      </c>
      <c r="AX110" s="62" t="str">
        <f t="shared" si="56"/>
        <v>DNS/DNF</v>
      </c>
      <c r="AY110" s="62" t="str">
        <f t="shared" si="57"/>
        <v>DNS/DNF</v>
      </c>
      <c r="AZ110" s="62" t="str">
        <f t="shared" si="58"/>
        <v>DNS/DNF</v>
      </c>
      <c r="BA110" s="62" t="str">
        <f t="shared" si="59"/>
        <v>DNS/DNF</v>
      </c>
      <c r="BB110" s="62" t="str">
        <f t="shared" si="60"/>
        <v>DNS/DNF</v>
      </c>
      <c r="BC110" s="75" t="str">
        <f t="shared" si="61"/>
        <v/>
      </c>
      <c r="BD110" s="53" t="str">
        <f t="shared" si="62"/>
        <v/>
      </c>
      <c r="BE110" s="53" t="str">
        <f t="shared" si="63"/>
        <v/>
      </c>
      <c r="BF110" s="53" t="str">
        <f t="shared" si="64"/>
        <v/>
      </c>
      <c r="BG110" s="53" t="str">
        <f t="shared" si="65"/>
        <v/>
      </c>
      <c r="BH110" s="53" t="str">
        <f t="shared" si="66"/>
        <v/>
      </c>
      <c r="BI110" s="53" t="str">
        <f t="shared" si="67"/>
        <v/>
      </c>
      <c r="BJ110" s="53" t="str">
        <f t="shared" si="68"/>
        <v/>
      </c>
      <c r="BK110" s="53" t="str">
        <f t="shared" si="69"/>
        <v/>
      </c>
    </row>
    <row r="111" spans="1:63">
      <c r="A111" s="53"/>
      <c r="B111" s="89" t="str">
        <f>IFERROR(VLOOKUP($A111,EntryList!$A$3:$N$645,2,FALSE),"")</f>
        <v/>
      </c>
      <c r="C111" s="74"/>
      <c r="D111" s="53">
        <f t="shared" si="43"/>
        <v>0</v>
      </c>
      <c r="E111" s="62"/>
      <c r="F111" s="62"/>
      <c r="G111" s="62"/>
      <c r="H111" s="62"/>
      <c r="I111" s="62"/>
      <c r="J111" s="62"/>
      <c r="K111" s="62"/>
      <c r="L111" s="62"/>
      <c r="M111" s="62"/>
      <c r="N111" s="62">
        <f t="shared" si="44"/>
        <v>0</v>
      </c>
      <c r="O111" s="53" t="str">
        <f t="shared" si="70"/>
        <v/>
      </c>
      <c r="P111" s="53" t="str">
        <f t="shared" si="71"/>
        <v/>
      </c>
      <c r="Q111" s="53" t="str">
        <f t="shared" si="72"/>
        <v/>
      </c>
      <c r="R111" s="53" t="str">
        <f t="shared" si="73"/>
        <v/>
      </c>
      <c r="S111" s="53" t="str">
        <f t="shared" si="74"/>
        <v/>
      </c>
      <c r="T111" s="53" t="str">
        <f t="shared" si="75"/>
        <v/>
      </c>
      <c r="U111" s="53" t="str">
        <f t="shared" si="76"/>
        <v/>
      </c>
      <c r="V111" s="53" t="str">
        <f t="shared" si="77"/>
        <v/>
      </c>
      <c r="W111" s="53" t="str">
        <f t="shared" si="45"/>
        <v>DNS/DNF ()</v>
      </c>
      <c r="X111" s="53" t="str">
        <f t="shared" si="46"/>
        <v>DNS/DNF ()</v>
      </c>
      <c r="Y111" s="53" t="str">
        <f t="shared" si="47"/>
        <v>DNS/DNF ()</v>
      </c>
      <c r="Z111" s="53" t="str">
        <f t="shared" si="48"/>
        <v>DNS/DNF ()</v>
      </c>
      <c r="AA111" s="53" t="str">
        <f t="shared" si="49"/>
        <v>DNS/DNF ()</v>
      </c>
      <c r="AB111" s="53" t="str">
        <f t="shared" si="50"/>
        <v>DNS/DNF ()</v>
      </c>
      <c r="AC111" s="53" t="str">
        <f t="shared" si="51"/>
        <v>DNS/DNF ()</v>
      </c>
      <c r="AD111" s="53" t="str">
        <f t="shared" si="52"/>
        <v>DNS/DNF ()</v>
      </c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62" t="str">
        <f t="shared" si="53"/>
        <v>DNS/DNF</v>
      </c>
      <c r="AV111" s="62" t="str">
        <f t="shared" si="54"/>
        <v>DNS/DNF</v>
      </c>
      <c r="AW111" s="62" t="str">
        <f t="shared" si="55"/>
        <v>DNS/DNF</v>
      </c>
      <c r="AX111" s="62" t="str">
        <f t="shared" si="56"/>
        <v>DNS/DNF</v>
      </c>
      <c r="AY111" s="62" t="str">
        <f t="shared" si="57"/>
        <v>DNS/DNF</v>
      </c>
      <c r="AZ111" s="62" t="str">
        <f t="shared" si="58"/>
        <v>DNS/DNF</v>
      </c>
      <c r="BA111" s="62" t="str">
        <f t="shared" si="59"/>
        <v>DNS/DNF</v>
      </c>
      <c r="BB111" s="62" t="str">
        <f t="shared" si="60"/>
        <v>DNS/DNF</v>
      </c>
      <c r="BC111" s="75" t="str">
        <f t="shared" si="61"/>
        <v/>
      </c>
      <c r="BD111" s="53" t="str">
        <f t="shared" si="62"/>
        <v/>
      </c>
      <c r="BE111" s="53" t="str">
        <f t="shared" si="63"/>
        <v/>
      </c>
      <c r="BF111" s="53" t="str">
        <f t="shared" si="64"/>
        <v/>
      </c>
      <c r="BG111" s="53" t="str">
        <f t="shared" si="65"/>
        <v/>
      </c>
      <c r="BH111" s="53" t="str">
        <f t="shared" si="66"/>
        <v/>
      </c>
      <c r="BI111" s="53" t="str">
        <f t="shared" si="67"/>
        <v/>
      </c>
      <c r="BJ111" s="53" t="str">
        <f t="shared" si="68"/>
        <v/>
      </c>
      <c r="BK111" s="53" t="str">
        <f t="shared" si="69"/>
        <v/>
      </c>
    </row>
    <row r="112" spans="1:63">
      <c r="A112" s="53"/>
      <c r="B112" s="89" t="str">
        <f>IFERROR(VLOOKUP($A112,EntryList!$A$3:$N$645,2,FALSE),"")</f>
        <v/>
      </c>
      <c r="C112" s="74"/>
      <c r="D112" s="53">
        <f t="shared" si="43"/>
        <v>0</v>
      </c>
      <c r="E112" s="62"/>
      <c r="F112" s="62"/>
      <c r="G112" s="62"/>
      <c r="H112" s="62"/>
      <c r="I112" s="62"/>
      <c r="J112" s="62"/>
      <c r="K112" s="62"/>
      <c r="L112" s="62"/>
      <c r="M112" s="62"/>
      <c r="N112" s="62">
        <f t="shared" si="44"/>
        <v>0</v>
      </c>
      <c r="O112" s="53" t="str">
        <f t="shared" si="70"/>
        <v/>
      </c>
      <c r="P112" s="53" t="str">
        <f t="shared" si="71"/>
        <v/>
      </c>
      <c r="Q112" s="53" t="str">
        <f t="shared" si="72"/>
        <v/>
      </c>
      <c r="R112" s="53" t="str">
        <f t="shared" si="73"/>
        <v/>
      </c>
      <c r="S112" s="53" t="str">
        <f t="shared" si="74"/>
        <v/>
      </c>
      <c r="T112" s="53" t="str">
        <f t="shared" si="75"/>
        <v/>
      </c>
      <c r="U112" s="53" t="str">
        <f t="shared" si="76"/>
        <v/>
      </c>
      <c r="V112" s="53" t="str">
        <f t="shared" si="77"/>
        <v/>
      </c>
      <c r="W112" s="53" t="str">
        <f t="shared" si="45"/>
        <v>DNS/DNF ()</v>
      </c>
      <c r="X112" s="53" t="str">
        <f t="shared" si="46"/>
        <v>DNS/DNF ()</v>
      </c>
      <c r="Y112" s="53" t="str">
        <f t="shared" si="47"/>
        <v>DNS/DNF ()</v>
      </c>
      <c r="Z112" s="53" t="str">
        <f t="shared" si="48"/>
        <v>DNS/DNF ()</v>
      </c>
      <c r="AA112" s="53" t="str">
        <f t="shared" si="49"/>
        <v>DNS/DNF ()</v>
      </c>
      <c r="AB112" s="53" t="str">
        <f t="shared" si="50"/>
        <v>DNS/DNF ()</v>
      </c>
      <c r="AC112" s="53" t="str">
        <f t="shared" si="51"/>
        <v>DNS/DNF ()</v>
      </c>
      <c r="AD112" s="53" t="str">
        <f t="shared" si="52"/>
        <v>DNS/DNF ()</v>
      </c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62" t="str">
        <f t="shared" si="53"/>
        <v>DNS/DNF</v>
      </c>
      <c r="AV112" s="62" t="str">
        <f t="shared" si="54"/>
        <v>DNS/DNF</v>
      </c>
      <c r="AW112" s="62" t="str">
        <f t="shared" si="55"/>
        <v>DNS/DNF</v>
      </c>
      <c r="AX112" s="62" t="str">
        <f t="shared" si="56"/>
        <v>DNS/DNF</v>
      </c>
      <c r="AY112" s="62" t="str">
        <f t="shared" si="57"/>
        <v>DNS/DNF</v>
      </c>
      <c r="AZ112" s="62" t="str">
        <f t="shared" si="58"/>
        <v>DNS/DNF</v>
      </c>
      <c r="BA112" s="62" t="str">
        <f t="shared" si="59"/>
        <v>DNS/DNF</v>
      </c>
      <c r="BB112" s="62" t="str">
        <f t="shared" si="60"/>
        <v>DNS/DNF</v>
      </c>
      <c r="BC112" s="75" t="str">
        <f t="shared" si="61"/>
        <v/>
      </c>
      <c r="BD112" s="53" t="str">
        <f t="shared" si="62"/>
        <v/>
      </c>
      <c r="BE112" s="53" t="str">
        <f t="shared" si="63"/>
        <v/>
      </c>
      <c r="BF112" s="53" t="str">
        <f t="shared" si="64"/>
        <v/>
      </c>
      <c r="BG112" s="53" t="str">
        <f t="shared" si="65"/>
        <v/>
      </c>
      <c r="BH112" s="53" t="str">
        <f t="shared" si="66"/>
        <v/>
      </c>
      <c r="BI112" s="53" t="str">
        <f t="shared" si="67"/>
        <v/>
      </c>
      <c r="BJ112" s="53" t="str">
        <f t="shared" si="68"/>
        <v/>
      </c>
      <c r="BK112" s="53" t="str">
        <f t="shared" si="69"/>
        <v/>
      </c>
    </row>
    <row r="113" spans="1:63">
      <c r="A113" s="53"/>
      <c r="B113" s="89" t="str">
        <f>IFERROR(VLOOKUP($A113,EntryList!$A$3:$N$645,2,FALSE),"")</f>
        <v/>
      </c>
      <c r="C113" s="74"/>
      <c r="D113" s="53">
        <f t="shared" si="43"/>
        <v>0</v>
      </c>
      <c r="E113" s="62"/>
      <c r="F113" s="62"/>
      <c r="G113" s="62"/>
      <c r="H113" s="62"/>
      <c r="I113" s="62"/>
      <c r="J113" s="62"/>
      <c r="K113" s="62"/>
      <c r="L113" s="62"/>
      <c r="M113" s="62"/>
      <c r="N113" s="62">
        <f t="shared" si="44"/>
        <v>0</v>
      </c>
      <c r="O113" s="53" t="str">
        <f t="shared" si="70"/>
        <v/>
      </c>
      <c r="P113" s="53" t="str">
        <f t="shared" si="71"/>
        <v/>
      </c>
      <c r="Q113" s="53" t="str">
        <f t="shared" si="72"/>
        <v/>
      </c>
      <c r="R113" s="53" t="str">
        <f t="shared" si="73"/>
        <v/>
      </c>
      <c r="S113" s="53" t="str">
        <f t="shared" si="74"/>
        <v/>
      </c>
      <c r="T113" s="53" t="str">
        <f t="shared" si="75"/>
        <v/>
      </c>
      <c r="U113" s="53" t="str">
        <f t="shared" si="76"/>
        <v/>
      </c>
      <c r="V113" s="53" t="str">
        <f t="shared" si="77"/>
        <v/>
      </c>
      <c r="W113" s="53" t="str">
        <f t="shared" si="45"/>
        <v>DNS/DNF ()</v>
      </c>
      <c r="X113" s="53" t="str">
        <f t="shared" si="46"/>
        <v>DNS/DNF ()</v>
      </c>
      <c r="Y113" s="53" t="str">
        <f t="shared" si="47"/>
        <v>DNS/DNF ()</v>
      </c>
      <c r="Z113" s="53" t="str">
        <f t="shared" si="48"/>
        <v>DNS/DNF ()</v>
      </c>
      <c r="AA113" s="53" t="str">
        <f t="shared" si="49"/>
        <v>DNS/DNF ()</v>
      </c>
      <c r="AB113" s="53" t="str">
        <f t="shared" si="50"/>
        <v>DNS/DNF ()</v>
      </c>
      <c r="AC113" s="53" t="str">
        <f t="shared" si="51"/>
        <v>DNS/DNF ()</v>
      </c>
      <c r="AD113" s="53" t="str">
        <f t="shared" si="52"/>
        <v>DNS/DNF ()</v>
      </c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62" t="str">
        <f t="shared" si="53"/>
        <v>DNS/DNF</v>
      </c>
      <c r="AV113" s="62" t="str">
        <f t="shared" si="54"/>
        <v>DNS/DNF</v>
      </c>
      <c r="AW113" s="62" t="str">
        <f t="shared" si="55"/>
        <v>DNS/DNF</v>
      </c>
      <c r="AX113" s="62" t="str">
        <f t="shared" si="56"/>
        <v>DNS/DNF</v>
      </c>
      <c r="AY113" s="62" t="str">
        <f t="shared" si="57"/>
        <v>DNS/DNF</v>
      </c>
      <c r="AZ113" s="62" t="str">
        <f t="shared" si="58"/>
        <v>DNS/DNF</v>
      </c>
      <c r="BA113" s="62" t="str">
        <f t="shared" si="59"/>
        <v>DNS/DNF</v>
      </c>
      <c r="BB113" s="62" t="str">
        <f t="shared" si="60"/>
        <v>DNS/DNF</v>
      </c>
      <c r="BC113" s="75" t="str">
        <f t="shared" si="61"/>
        <v/>
      </c>
      <c r="BD113" s="53" t="str">
        <f t="shared" si="62"/>
        <v/>
      </c>
      <c r="BE113" s="53" t="str">
        <f t="shared" si="63"/>
        <v/>
      </c>
      <c r="BF113" s="53" t="str">
        <f t="shared" si="64"/>
        <v/>
      </c>
      <c r="BG113" s="53" t="str">
        <f t="shared" si="65"/>
        <v/>
      </c>
      <c r="BH113" s="53" t="str">
        <f t="shared" si="66"/>
        <v/>
      </c>
      <c r="BI113" s="53" t="str">
        <f t="shared" si="67"/>
        <v/>
      </c>
      <c r="BJ113" s="53" t="str">
        <f t="shared" si="68"/>
        <v/>
      </c>
      <c r="BK113" s="53" t="str">
        <f t="shared" si="69"/>
        <v/>
      </c>
    </row>
    <row r="114" spans="1:63">
      <c r="A114" s="53"/>
      <c r="B114" s="89" t="str">
        <f>IFERROR(VLOOKUP($A114,EntryList!$A$3:$N$645,2,FALSE),"")</f>
        <v/>
      </c>
      <c r="C114" s="74"/>
      <c r="D114" s="53">
        <f t="shared" si="43"/>
        <v>0</v>
      </c>
      <c r="E114" s="62"/>
      <c r="F114" s="62"/>
      <c r="G114" s="62"/>
      <c r="H114" s="62"/>
      <c r="I114" s="62"/>
      <c r="J114" s="62"/>
      <c r="K114" s="62"/>
      <c r="L114" s="62"/>
      <c r="M114" s="62"/>
      <c r="N114" s="62">
        <f t="shared" si="44"/>
        <v>0</v>
      </c>
      <c r="O114" s="53" t="str">
        <f t="shared" si="70"/>
        <v/>
      </c>
      <c r="P114" s="53" t="str">
        <f t="shared" si="71"/>
        <v/>
      </c>
      <c r="Q114" s="53" t="str">
        <f t="shared" si="72"/>
        <v/>
      </c>
      <c r="R114" s="53" t="str">
        <f t="shared" si="73"/>
        <v/>
      </c>
      <c r="S114" s="53" t="str">
        <f t="shared" si="74"/>
        <v/>
      </c>
      <c r="T114" s="53" t="str">
        <f t="shared" si="75"/>
        <v/>
      </c>
      <c r="U114" s="53" t="str">
        <f t="shared" si="76"/>
        <v/>
      </c>
      <c r="V114" s="53" t="str">
        <f t="shared" si="77"/>
        <v/>
      </c>
      <c r="W114" s="53" t="str">
        <f t="shared" si="45"/>
        <v>DNS/DNF ()</v>
      </c>
      <c r="X114" s="53" t="str">
        <f t="shared" si="46"/>
        <v>DNS/DNF ()</v>
      </c>
      <c r="Y114" s="53" t="str">
        <f t="shared" si="47"/>
        <v>DNS/DNF ()</v>
      </c>
      <c r="Z114" s="53" t="str">
        <f t="shared" si="48"/>
        <v>DNS/DNF ()</v>
      </c>
      <c r="AA114" s="53" t="str">
        <f t="shared" si="49"/>
        <v>DNS/DNF ()</v>
      </c>
      <c r="AB114" s="53" t="str">
        <f t="shared" si="50"/>
        <v>DNS/DNF ()</v>
      </c>
      <c r="AC114" s="53" t="str">
        <f t="shared" si="51"/>
        <v>DNS/DNF ()</v>
      </c>
      <c r="AD114" s="53" t="str">
        <f t="shared" si="52"/>
        <v>DNS/DNF ()</v>
      </c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62" t="str">
        <f t="shared" si="53"/>
        <v>DNS/DNF</v>
      </c>
      <c r="AV114" s="62" t="str">
        <f t="shared" si="54"/>
        <v>DNS/DNF</v>
      </c>
      <c r="AW114" s="62" t="str">
        <f t="shared" si="55"/>
        <v>DNS/DNF</v>
      </c>
      <c r="AX114" s="62" t="str">
        <f t="shared" si="56"/>
        <v>DNS/DNF</v>
      </c>
      <c r="AY114" s="62" t="str">
        <f t="shared" si="57"/>
        <v>DNS/DNF</v>
      </c>
      <c r="AZ114" s="62" t="str">
        <f t="shared" si="58"/>
        <v>DNS/DNF</v>
      </c>
      <c r="BA114" s="62" t="str">
        <f t="shared" si="59"/>
        <v>DNS/DNF</v>
      </c>
      <c r="BB114" s="62" t="str">
        <f t="shared" si="60"/>
        <v>DNS/DNF</v>
      </c>
      <c r="BC114" s="75" t="str">
        <f t="shared" si="61"/>
        <v/>
      </c>
      <c r="BD114" s="53" t="str">
        <f t="shared" si="62"/>
        <v/>
      </c>
      <c r="BE114" s="53" t="str">
        <f t="shared" si="63"/>
        <v/>
      </c>
      <c r="BF114" s="53" t="str">
        <f t="shared" si="64"/>
        <v/>
      </c>
      <c r="BG114" s="53" t="str">
        <f t="shared" si="65"/>
        <v/>
      </c>
      <c r="BH114" s="53" t="str">
        <f t="shared" si="66"/>
        <v/>
      </c>
      <c r="BI114" s="53" t="str">
        <f t="shared" si="67"/>
        <v/>
      </c>
      <c r="BJ114" s="53" t="str">
        <f t="shared" si="68"/>
        <v/>
      </c>
      <c r="BK114" s="53" t="str">
        <f t="shared" si="69"/>
        <v/>
      </c>
    </row>
    <row r="115" spans="1:63">
      <c r="A115" s="53"/>
      <c r="B115" s="89" t="str">
        <f>IFERROR(VLOOKUP($A115,EntryList!$A$3:$N$645,2,FALSE),"")</f>
        <v/>
      </c>
      <c r="C115" s="74"/>
      <c r="D115" s="53">
        <f t="shared" si="43"/>
        <v>0</v>
      </c>
      <c r="E115" s="62"/>
      <c r="F115" s="62"/>
      <c r="G115" s="62"/>
      <c r="H115" s="62"/>
      <c r="I115" s="62"/>
      <c r="J115" s="62"/>
      <c r="K115" s="62"/>
      <c r="L115" s="62"/>
      <c r="M115" s="62"/>
      <c r="N115" s="62">
        <f t="shared" si="44"/>
        <v>0</v>
      </c>
      <c r="O115" s="53" t="str">
        <f t="shared" si="70"/>
        <v/>
      </c>
      <c r="P115" s="53" t="str">
        <f t="shared" si="71"/>
        <v/>
      </c>
      <c r="Q115" s="53" t="str">
        <f t="shared" si="72"/>
        <v/>
      </c>
      <c r="R115" s="53" t="str">
        <f t="shared" si="73"/>
        <v/>
      </c>
      <c r="S115" s="53" t="str">
        <f t="shared" si="74"/>
        <v/>
      </c>
      <c r="T115" s="53" t="str">
        <f t="shared" si="75"/>
        <v/>
      </c>
      <c r="U115" s="53" t="str">
        <f t="shared" si="76"/>
        <v/>
      </c>
      <c r="V115" s="53" t="str">
        <f t="shared" si="77"/>
        <v/>
      </c>
      <c r="W115" s="53" t="str">
        <f t="shared" si="45"/>
        <v>DNS/DNF ()</v>
      </c>
      <c r="X115" s="53" t="str">
        <f t="shared" si="46"/>
        <v>DNS/DNF ()</v>
      </c>
      <c r="Y115" s="53" t="str">
        <f t="shared" si="47"/>
        <v>DNS/DNF ()</v>
      </c>
      <c r="Z115" s="53" t="str">
        <f t="shared" si="48"/>
        <v>DNS/DNF ()</v>
      </c>
      <c r="AA115" s="53" t="str">
        <f t="shared" si="49"/>
        <v>DNS/DNF ()</v>
      </c>
      <c r="AB115" s="53" t="str">
        <f t="shared" si="50"/>
        <v>DNS/DNF ()</v>
      </c>
      <c r="AC115" s="53" t="str">
        <f t="shared" si="51"/>
        <v>DNS/DNF ()</v>
      </c>
      <c r="AD115" s="53" t="str">
        <f t="shared" si="52"/>
        <v>DNS/DNF ()</v>
      </c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62" t="str">
        <f t="shared" si="53"/>
        <v>DNS/DNF</v>
      </c>
      <c r="AV115" s="62" t="str">
        <f t="shared" si="54"/>
        <v>DNS/DNF</v>
      </c>
      <c r="AW115" s="62" t="str">
        <f t="shared" si="55"/>
        <v>DNS/DNF</v>
      </c>
      <c r="AX115" s="62" t="str">
        <f t="shared" si="56"/>
        <v>DNS/DNF</v>
      </c>
      <c r="AY115" s="62" t="str">
        <f t="shared" si="57"/>
        <v>DNS/DNF</v>
      </c>
      <c r="AZ115" s="62" t="str">
        <f t="shared" si="58"/>
        <v>DNS/DNF</v>
      </c>
      <c r="BA115" s="62" t="str">
        <f t="shared" si="59"/>
        <v>DNS/DNF</v>
      </c>
      <c r="BB115" s="62" t="str">
        <f t="shared" si="60"/>
        <v>DNS/DNF</v>
      </c>
      <c r="BC115" s="75" t="str">
        <f t="shared" si="61"/>
        <v/>
      </c>
      <c r="BD115" s="53" t="str">
        <f t="shared" si="62"/>
        <v/>
      </c>
      <c r="BE115" s="53" t="str">
        <f t="shared" si="63"/>
        <v/>
      </c>
      <c r="BF115" s="53" t="str">
        <f t="shared" si="64"/>
        <v/>
      </c>
      <c r="BG115" s="53" t="str">
        <f t="shared" si="65"/>
        <v/>
      </c>
      <c r="BH115" s="53" t="str">
        <f t="shared" si="66"/>
        <v/>
      </c>
      <c r="BI115" s="53" t="str">
        <f t="shared" si="67"/>
        <v/>
      </c>
      <c r="BJ115" s="53" t="str">
        <f t="shared" si="68"/>
        <v/>
      </c>
      <c r="BK115" s="53" t="str">
        <f t="shared" si="69"/>
        <v/>
      </c>
    </row>
    <row r="116" spans="1:63">
      <c r="A116" s="53"/>
      <c r="B116" s="89" t="str">
        <f>IFERROR(VLOOKUP($A116,EntryList!$A$3:$N$645,2,FALSE),"")</f>
        <v/>
      </c>
      <c r="C116" s="74"/>
      <c r="D116" s="53">
        <f t="shared" si="43"/>
        <v>0</v>
      </c>
      <c r="E116" s="62"/>
      <c r="F116" s="62"/>
      <c r="G116" s="62"/>
      <c r="H116" s="62"/>
      <c r="I116" s="62"/>
      <c r="J116" s="62"/>
      <c r="K116" s="62"/>
      <c r="L116" s="62"/>
      <c r="M116" s="62"/>
      <c r="N116" s="62">
        <f t="shared" si="44"/>
        <v>0</v>
      </c>
      <c r="O116" s="53" t="str">
        <f t="shared" si="70"/>
        <v/>
      </c>
      <c r="P116" s="53" t="str">
        <f t="shared" si="71"/>
        <v/>
      </c>
      <c r="Q116" s="53" t="str">
        <f t="shared" si="72"/>
        <v/>
      </c>
      <c r="R116" s="53" t="str">
        <f t="shared" si="73"/>
        <v/>
      </c>
      <c r="S116" s="53" t="str">
        <f t="shared" si="74"/>
        <v/>
      </c>
      <c r="T116" s="53" t="str">
        <f t="shared" si="75"/>
        <v/>
      </c>
      <c r="U116" s="53" t="str">
        <f t="shared" si="76"/>
        <v/>
      </c>
      <c r="V116" s="53" t="str">
        <f t="shared" si="77"/>
        <v/>
      </c>
      <c r="W116" s="53" t="str">
        <f t="shared" si="45"/>
        <v>DNS/DNF ()</v>
      </c>
      <c r="X116" s="53" t="str">
        <f t="shared" si="46"/>
        <v>DNS/DNF ()</v>
      </c>
      <c r="Y116" s="53" t="str">
        <f t="shared" si="47"/>
        <v>DNS/DNF ()</v>
      </c>
      <c r="Z116" s="53" t="str">
        <f t="shared" si="48"/>
        <v>DNS/DNF ()</v>
      </c>
      <c r="AA116" s="53" t="str">
        <f t="shared" si="49"/>
        <v>DNS/DNF ()</v>
      </c>
      <c r="AB116" s="53" t="str">
        <f t="shared" si="50"/>
        <v>DNS/DNF ()</v>
      </c>
      <c r="AC116" s="53" t="str">
        <f t="shared" si="51"/>
        <v>DNS/DNF ()</v>
      </c>
      <c r="AD116" s="53" t="str">
        <f t="shared" si="52"/>
        <v>DNS/DNF ()</v>
      </c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62" t="str">
        <f t="shared" si="53"/>
        <v>DNS/DNF</v>
      </c>
      <c r="AV116" s="62" t="str">
        <f t="shared" si="54"/>
        <v>DNS/DNF</v>
      </c>
      <c r="AW116" s="62" t="str">
        <f t="shared" si="55"/>
        <v>DNS/DNF</v>
      </c>
      <c r="AX116" s="62" t="str">
        <f t="shared" si="56"/>
        <v>DNS/DNF</v>
      </c>
      <c r="AY116" s="62" t="str">
        <f t="shared" si="57"/>
        <v>DNS/DNF</v>
      </c>
      <c r="AZ116" s="62" t="str">
        <f t="shared" si="58"/>
        <v>DNS/DNF</v>
      </c>
      <c r="BA116" s="62" t="str">
        <f t="shared" si="59"/>
        <v>DNS/DNF</v>
      </c>
      <c r="BB116" s="62" t="str">
        <f t="shared" si="60"/>
        <v>DNS/DNF</v>
      </c>
      <c r="BC116" s="75" t="str">
        <f t="shared" si="61"/>
        <v/>
      </c>
      <c r="BD116" s="53" t="str">
        <f t="shared" si="62"/>
        <v/>
      </c>
      <c r="BE116" s="53" t="str">
        <f t="shared" si="63"/>
        <v/>
      </c>
      <c r="BF116" s="53" t="str">
        <f t="shared" si="64"/>
        <v/>
      </c>
      <c r="BG116" s="53" t="str">
        <f t="shared" si="65"/>
        <v/>
      </c>
      <c r="BH116" s="53" t="str">
        <f t="shared" si="66"/>
        <v/>
      </c>
      <c r="BI116" s="53" t="str">
        <f t="shared" si="67"/>
        <v/>
      </c>
      <c r="BJ116" s="53" t="str">
        <f t="shared" si="68"/>
        <v/>
      </c>
      <c r="BK116" s="53" t="str">
        <f t="shared" si="69"/>
        <v/>
      </c>
    </row>
    <row r="117" spans="1:63">
      <c r="A117" s="53"/>
      <c r="B117" s="89" t="str">
        <f>IFERROR(VLOOKUP($A117,EntryList!$A$3:$N$645,2,FALSE),"")</f>
        <v/>
      </c>
      <c r="C117" s="74"/>
      <c r="D117" s="53">
        <f t="shared" si="43"/>
        <v>0</v>
      </c>
      <c r="E117" s="62"/>
      <c r="F117" s="62"/>
      <c r="G117" s="62"/>
      <c r="H117" s="62"/>
      <c r="I117" s="62"/>
      <c r="J117" s="62"/>
      <c r="K117" s="62"/>
      <c r="L117" s="62"/>
      <c r="M117" s="62"/>
      <c r="N117" s="62">
        <f t="shared" si="44"/>
        <v>0</v>
      </c>
      <c r="O117" s="53" t="str">
        <f t="shared" si="70"/>
        <v/>
      </c>
      <c r="P117" s="53" t="str">
        <f t="shared" si="71"/>
        <v/>
      </c>
      <c r="Q117" s="53" t="str">
        <f t="shared" si="72"/>
        <v/>
      </c>
      <c r="R117" s="53" t="str">
        <f t="shared" si="73"/>
        <v/>
      </c>
      <c r="S117" s="53" t="str">
        <f t="shared" si="74"/>
        <v/>
      </c>
      <c r="T117" s="53" t="str">
        <f t="shared" si="75"/>
        <v/>
      </c>
      <c r="U117" s="53" t="str">
        <f t="shared" si="76"/>
        <v/>
      </c>
      <c r="V117" s="53" t="str">
        <f t="shared" si="77"/>
        <v/>
      </c>
      <c r="W117" s="53" t="str">
        <f t="shared" si="45"/>
        <v>DNS/DNF ()</v>
      </c>
      <c r="X117" s="53" t="str">
        <f t="shared" si="46"/>
        <v>DNS/DNF ()</v>
      </c>
      <c r="Y117" s="53" t="str">
        <f t="shared" si="47"/>
        <v>DNS/DNF ()</v>
      </c>
      <c r="Z117" s="53" t="str">
        <f t="shared" si="48"/>
        <v>DNS/DNF ()</v>
      </c>
      <c r="AA117" s="53" t="str">
        <f t="shared" si="49"/>
        <v>DNS/DNF ()</v>
      </c>
      <c r="AB117" s="53" t="str">
        <f t="shared" si="50"/>
        <v>DNS/DNF ()</v>
      </c>
      <c r="AC117" s="53" t="str">
        <f t="shared" si="51"/>
        <v>DNS/DNF ()</v>
      </c>
      <c r="AD117" s="53" t="str">
        <f t="shared" si="52"/>
        <v>DNS/DNF ()</v>
      </c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62" t="str">
        <f t="shared" si="53"/>
        <v>DNS/DNF</v>
      </c>
      <c r="AV117" s="62" t="str">
        <f t="shared" si="54"/>
        <v>DNS/DNF</v>
      </c>
      <c r="AW117" s="62" t="str">
        <f t="shared" si="55"/>
        <v>DNS/DNF</v>
      </c>
      <c r="AX117" s="62" t="str">
        <f t="shared" si="56"/>
        <v>DNS/DNF</v>
      </c>
      <c r="AY117" s="62" t="str">
        <f t="shared" si="57"/>
        <v>DNS/DNF</v>
      </c>
      <c r="AZ117" s="62" t="str">
        <f t="shared" si="58"/>
        <v>DNS/DNF</v>
      </c>
      <c r="BA117" s="62" t="str">
        <f t="shared" si="59"/>
        <v>DNS/DNF</v>
      </c>
      <c r="BB117" s="62" t="str">
        <f t="shared" si="60"/>
        <v>DNS/DNF</v>
      </c>
      <c r="BC117" s="75" t="str">
        <f t="shared" si="61"/>
        <v/>
      </c>
      <c r="BD117" s="53" t="str">
        <f t="shared" si="62"/>
        <v/>
      </c>
      <c r="BE117" s="53" t="str">
        <f t="shared" si="63"/>
        <v/>
      </c>
      <c r="BF117" s="53" t="str">
        <f t="shared" si="64"/>
        <v/>
      </c>
      <c r="BG117" s="53" t="str">
        <f t="shared" si="65"/>
        <v/>
      </c>
      <c r="BH117" s="53" t="str">
        <f t="shared" si="66"/>
        <v/>
      </c>
      <c r="BI117" s="53" t="str">
        <f t="shared" si="67"/>
        <v/>
      </c>
      <c r="BJ117" s="53" t="str">
        <f t="shared" si="68"/>
        <v/>
      </c>
      <c r="BK117" s="53" t="str">
        <f t="shared" si="69"/>
        <v/>
      </c>
    </row>
    <row r="118" spans="1:63">
      <c r="A118" s="53"/>
      <c r="B118" s="89" t="str">
        <f>IFERROR(VLOOKUP($A118,EntryList!$A$3:$N$645,2,FALSE),"")</f>
        <v/>
      </c>
      <c r="C118" s="74"/>
      <c r="D118" s="53">
        <f t="shared" si="43"/>
        <v>0</v>
      </c>
      <c r="E118" s="62"/>
      <c r="F118" s="62"/>
      <c r="G118" s="62"/>
      <c r="H118" s="62"/>
      <c r="I118" s="62"/>
      <c r="J118" s="62"/>
      <c r="K118" s="62"/>
      <c r="L118" s="62"/>
      <c r="M118" s="62"/>
      <c r="N118" s="62">
        <f t="shared" si="44"/>
        <v>0</v>
      </c>
      <c r="O118" s="53" t="str">
        <f t="shared" si="70"/>
        <v/>
      </c>
      <c r="P118" s="53" t="str">
        <f t="shared" si="71"/>
        <v/>
      </c>
      <c r="Q118" s="53" t="str">
        <f t="shared" si="72"/>
        <v/>
      </c>
      <c r="R118" s="53" t="str">
        <f t="shared" si="73"/>
        <v/>
      </c>
      <c r="S118" s="53" t="str">
        <f t="shared" si="74"/>
        <v/>
      </c>
      <c r="T118" s="53" t="str">
        <f t="shared" si="75"/>
        <v/>
      </c>
      <c r="U118" s="53" t="str">
        <f t="shared" si="76"/>
        <v/>
      </c>
      <c r="V118" s="53" t="str">
        <f t="shared" si="77"/>
        <v/>
      </c>
      <c r="W118" s="53" t="str">
        <f t="shared" si="45"/>
        <v>DNS/DNF ()</v>
      </c>
      <c r="X118" s="53" t="str">
        <f t="shared" si="46"/>
        <v>DNS/DNF ()</v>
      </c>
      <c r="Y118" s="53" t="str">
        <f t="shared" si="47"/>
        <v>DNS/DNF ()</v>
      </c>
      <c r="Z118" s="53" t="str">
        <f t="shared" si="48"/>
        <v>DNS/DNF ()</v>
      </c>
      <c r="AA118" s="53" t="str">
        <f t="shared" si="49"/>
        <v>DNS/DNF ()</v>
      </c>
      <c r="AB118" s="53" t="str">
        <f t="shared" si="50"/>
        <v>DNS/DNF ()</v>
      </c>
      <c r="AC118" s="53" t="str">
        <f t="shared" si="51"/>
        <v>DNS/DNF ()</v>
      </c>
      <c r="AD118" s="53" t="str">
        <f t="shared" si="52"/>
        <v>DNS/DNF ()</v>
      </c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62" t="str">
        <f t="shared" si="53"/>
        <v>DNS/DNF</v>
      </c>
      <c r="AV118" s="62" t="str">
        <f t="shared" si="54"/>
        <v>DNS/DNF</v>
      </c>
      <c r="AW118" s="62" t="str">
        <f t="shared" si="55"/>
        <v>DNS/DNF</v>
      </c>
      <c r="AX118" s="62" t="str">
        <f t="shared" si="56"/>
        <v>DNS/DNF</v>
      </c>
      <c r="AY118" s="62" t="str">
        <f t="shared" si="57"/>
        <v>DNS/DNF</v>
      </c>
      <c r="AZ118" s="62" t="str">
        <f t="shared" si="58"/>
        <v>DNS/DNF</v>
      </c>
      <c r="BA118" s="62" t="str">
        <f t="shared" si="59"/>
        <v>DNS/DNF</v>
      </c>
      <c r="BB118" s="62" t="str">
        <f t="shared" si="60"/>
        <v>DNS/DNF</v>
      </c>
      <c r="BC118" s="75" t="str">
        <f t="shared" si="61"/>
        <v/>
      </c>
      <c r="BD118" s="53" t="str">
        <f t="shared" si="62"/>
        <v/>
      </c>
      <c r="BE118" s="53" t="str">
        <f t="shared" si="63"/>
        <v/>
      </c>
      <c r="BF118" s="53" t="str">
        <f t="shared" si="64"/>
        <v/>
      </c>
      <c r="BG118" s="53" t="str">
        <f t="shared" si="65"/>
        <v/>
      </c>
      <c r="BH118" s="53" t="str">
        <f t="shared" si="66"/>
        <v/>
      </c>
      <c r="BI118" s="53" t="str">
        <f t="shared" si="67"/>
        <v/>
      </c>
      <c r="BJ118" s="53" t="str">
        <f t="shared" si="68"/>
        <v/>
      </c>
      <c r="BK118" s="53" t="str">
        <f t="shared" si="69"/>
        <v/>
      </c>
    </row>
    <row r="119" spans="1:63">
      <c r="A119" s="53"/>
      <c r="B119" s="89" t="str">
        <f>IFERROR(VLOOKUP($A119,EntryList!$A$3:$N$645,2,FALSE),"")</f>
        <v/>
      </c>
      <c r="C119" s="74"/>
      <c r="D119" s="53">
        <f t="shared" si="43"/>
        <v>0</v>
      </c>
      <c r="E119" s="62"/>
      <c r="F119" s="62"/>
      <c r="G119" s="62"/>
      <c r="H119" s="62"/>
      <c r="I119" s="62"/>
      <c r="J119" s="62"/>
      <c r="K119" s="62"/>
      <c r="L119" s="62"/>
      <c r="M119" s="62"/>
      <c r="N119" s="62">
        <f t="shared" si="44"/>
        <v>0</v>
      </c>
      <c r="O119" s="53" t="str">
        <f t="shared" si="70"/>
        <v/>
      </c>
      <c r="P119" s="53" t="str">
        <f t="shared" si="71"/>
        <v/>
      </c>
      <c r="Q119" s="53" t="str">
        <f t="shared" si="72"/>
        <v/>
      </c>
      <c r="R119" s="53" t="str">
        <f t="shared" si="73"/>
        <v/>
      </c>
      <c r="S119" s="53" t="str">
        <f t="shared" si="74"/>
        <v/>
      </c>
      <c r="T119" s="53" t="str">
        <f t="shared" si="75"/>
        <v/>
      </c>
      <c r="U119" s="53" t="str">
        <f t="shared" si="76"/>
        <v/>
      </c>
      <c r="V119" s="53" t="str">
        <f t="shared" si="77"/>
        <v/>
      </c>
      <c r="W119" s="53" t="str">
        <f t="shared" si="45"/>
        <v>DNS/DNF ()</v>
      </c>
      <c r="X119" s="53" t="str">
        <f t="shared" si="46"/>
        <v>DNS/DNF ()</v>
      </c>
      <c r="Y119" s="53" t="str">
        <f t="shared" si="47"/>
        <v>DNS/DNF ()</v>
      </c>
      <c r="Z119" s="53" t="str">
        <f t="shared" si="48"/>
        <v>DNS/DNF ()</v>
      </c>
      <c r="AA119" s="53" t="str">
        <f t="shared" si="49"/>
        <v>DNS/DNF ()</v>
      </c>
      <c r="AB119" s="53" t="str">
        <f t="shared" si="50"/>
        <v>DNS/DNF ()</v>
      </c>
      <c r="AC119" s="53" t="str">
        <f t="shared" si="51"/>
        <v>DNS/DNF ()</v>
      </c>
      <c r="AD119" s="53" t="str">
        <f t="shared" si="52"/>
        <v>DNS/DNF ()</v>
      </c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62" t="str">
        <f t="shared" si="53"/>
        <v>DNS/DNF</v>
      </c>
      <c r="AV119" s="62" t="str">
        <f t="shared" si="54"/>
        <v>DNS/DNF</v>
      </c>
      <c r="AW119" s="62" t="str">
        <f t="shared" si="55"/>
        <v>DNS/DNF</v>
      </c>
      <c r="AX119" s="62" t="str">
        <f t="shared" si="56"/>
        <v>DNS/DNF</v>
      </c>
      <c r="AY119" s="62" t="str">
        <f t="shared" si="57"/>
        <v>DNS/DNF</v>
      </c>
      <c r="AZ119" s="62" t="str">
        <f t="shared" si="58"/>
        <v>DNS/DNF</v>
      </c>
      <c r="BA119" s="62" t="str">
        <f t="shared" si="59"/>
        <v>DNS/DNF</v>
      </c>
      <c r="BB119" s="62" t="str">
        <f t="shared" si="60"/>
        <v>DNS/DNF</v>
      </c>
      <c r="BC119" s="75" t="str">
        <f t="shared" si="61"/>
        <v/>
      </c>
      <c r="BD119" s="53" t="str">
        <f t="shared" si="62"/>
        <v/>
      </c>
      <c r="BE119" s="53" t="str">
        <f t="shared" si="63"/>
        <v/>
      </c>
      <c r="BF119" s="53" t="str">
        <f t="shared" si="64"/>
        <v/>
      </c>
      <c r="BG119" s="53" t="str">
        <f t="shared" si="65"/>
        <v/>
      </c>
      <c r="BH119" s="53" t="str">
        <f t="shared" si="66"/>
        <v/>
      </c>
      <c r="BI119" s="53" t="str">
        <f t="shared" si="67"/>
        <v/>
      </c>
      <c r="BJ119" s="53" t="str">
        <f t="shared" si="68"/>
        <v/>
      </c>
      <c r="BK119" s="53" t="str">
        <f t="shared" si="69"/>
        <v/>
      </c>
    </row>
    <row r="120" spans="1:63">
      <c r="A120" s="53"/>
      <c r="B120" s="89" t="str">
        <f>IFERROR(VLOOKUP($A120,EntryList!$A$3:$N$645,2,FALSE),"")</f>
        <v/>
      </c>
      <c r="C120" s="74"/>
      <c r="D120" s="53">
        <f t="shared" si="43"/>
        <v>0</v>
      </c>
      <c r="E120" s="62"/>
      <c r="F120" s="62"/>
      <c r="G120" s="62"/>
      <c r="H120" s="62"/>
      <c r="I120" s="62"/>
      <c r="J120" s="62"/>
      <c r="K120" s="62"/>
      <c r="L120" s="62"/>
      <c r="M120" s="62"/>
      <c r="N120" s="62">
        <f t="shared" si="44"/>
        <v>0</v>
      </c>
      <c r="O120" s="53" t="str">
        <f t="shared" si="70"/>
        <v/>
      </c>
      <c r="P120" s="53" t="str">
        <f t="shared" si="71"/>
        <v/>
      </c>
      <c r="Q120" s="53" t="str">
        <f t="shared" si="72"/>
        <v/>
      </c>
      <c r="R120" s="53" t="str">
        <f t="shared" si="73"/>
        <v/>
      </c>
      <c r="S120" s="53" t="str">
        <f t="shared" si="74"/>
        <v/>
      </c>
      <c r="T120" s="53" t="str">
        <f t="shared" si="75"/>
        <v/>
      </c>
      <c r="U120" s="53" t="str">
        <f t="shared" si="76"/>
        <v/>
      </c>
      <c r="V120" s="53" t="str">
        <f t="shared" si="77"/>
        <v/>
      </c>
      <c r="W120" s="53" t="str">
        <f t="shared" si="45"/>
        <v>DNS/DNF ()</v>
      </c>
      <c r="X120" s="53" t="str">
        <f t="shared" si="46"/>
        <v>DNS/DNF ()</v>
      </c>
      <c r="Y120" s="53" t="str">
        <f t="shared" si="47"/>
        <v>DNS/DNF ()</v>
      </c>
      <c r="Z120" s="53" t="str">
        <f t="shared" si="48"/>
        <v>DNS/DNF ()</v>
      </c>
      <c r="AA120" s="53" t="str">
        <f t="shared" si="49"/>
        <v>DNS/DNF ()</v>
      </c>
      <c r="AB120" s="53" t="str">
        <f t="shared" si="50"/>
        <v>DNS/DNF ()</v>
      </c>
      <c r="AC120" s="53" t="str">
        <f t="shared" si="51"/>
        <v>DNS/DNF ()</v>
      </c>
      <c r="AD120" s="53" t="str">
        <f t="shared" si="52"/>
        <v>DNS/DNF ()</v>
      </c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62" t="str">
        <f t="shared" si="53"/>
        <v>DNS/DNF</v>
      </c>
      <c r="AV120" s="62" t="str">
        <f t="shared" si="54"/>
        <v>DNS/DNF</v>
      </c>
      <c r="AW120" s="62" t="str">
        <f t="shared" si="55"/>
        <v>DNS/DNF</v>
      </c>
      <c r="AX120" s="62" t="str">
        <f t="shared" si="56"/>
        <v>DNS/DNF</v>
      </c>
      <c r="AY120" s="62" t="str">
        <f t="shared" si="57"/>
        <v>DNS/DNF</v>
      </c>
      <c r="AZ120" s="62" t="str">
        <f t="shared" si="58"/>
        <v>DNS/DNF</v>
      </c>
      <c r="BA120" s="62" t="str">
        <f t="shared" si="59"/>
        <v>DNS/DNF</v>
      </c>
      <c r="BB120" s="62" t="str">
        <f t="shared" si="60"/>
        <v>DNS/DNF</v>
      </c>
      <c r="BC120" s="75" t="str">
        <f t="shared" si="61"/>
        <v/>
      </c>
      <c r="BD120" s="53" t="str">
        <f t="shared" si="62"/>
        <v/>
      </c>
      <c r="BE120" s="53" t="str">
        <f t="shared" si="63"/>
        <v/>
      </c>
      <c r="BF120" s="53" t="str">
        <f t="shared" si="64"/>
        <v/>
      </c>
      <c r="BG120" s="53" t="str">
        <f t="shared" si="65"/>
        <v/>
      </c>
      <c r="BH120" s="53" t="str">
        <f t="shared" si="66"/>
        <v/>
      </c>
      <c r="BI120" s="53" t="str">
        <f t="shared" si="67"/>
        <v/>
      </c>
      <c r="BJ120" s="53" t="str">
        <f t="shared" si="68"/>
        <v/>
      </c>
      <c r="BK120" s="53" t="str">
        <f t="shared" si="69"/>
        <v/>
      </c>
    </row>
    <row r="121" spans="1:63">
      <c r="A121" s="53"/>
      <c r="B121" s="89" t="str">
        <f>IFERROR(VLOOKUP($A121,EntryList!$A$3:$N$645,2,FALSE),"")</f>
        <v/>
      </c>
      <c r="C121" s="74"/>
      <c r="D121" s="53">
        <f t="shared" si="43"/>
        <v>0</v>
      </c>
      <c r="E121" s="62"/>
      <c r="F121" s="62"/>
      <c r="G121" s="62"/>
      <c r="H121" s="62"/>
      <c r="I121" s="62"/>
      <c r="J121" s="62"/>
      <c r="K121" s="62"/>
      <c r="L121" s="62"/>
      <c r="M121" s="62"/>
      <c r="N121" s="62">
        <f t="shared" si="44"/>
        <v>0</v>
      </c>
      <c r="O121" s="53" t="str">
        <f t="shared" si="70"/>
        <v/>
      </c>
      <c r="P121" s="53" t="str">
        <f t="shared" si="71"/>
        <v/>
      </c>
      <c r="Q121" s="53" t="str">
        <f t="shared" si="72"/>
        <v/>
      </c>
      <c r="R121" s="53" t="str">
        <f t="shared" si="73"/>
        <v/>
      </c>
      <c r="S121" s="53" t="str">
        <f t="shared" si="74"/>
        <v/>
      </c>
      <c r="T121" s="53" t="str">
        <f t="shared" si="75"/>
        <v/>
      </c>
      <c r="U121" s="53" t="str">
        <f t="shared" si="76"/>
        <v/>
      </c>
      <c r="V121" s="53" t="str">
        <f t="shared" si="77"/>
        <v/>
      </c>
      <c r="W121" s="53" t="str">
        <f t="shared" si="45"/>
        <v>DNS/DNF ()</v>
      </c>
      <c r="X121" s="53" t="str">
        <f t="shared" si="46"/>
        <v>DNS/DNF ()</v>
      </c>
      <c r="Y121" s="53" t="str">
        <f t="shared" si="47"/>
        <v>DNS/DNF ()</v>
      </c>
      <c r="Z121" s="53" t="str">
        <f t="shared" si="48"/>
        <v>DNS/DNF ()</v>
      </c>
      <c r="AA121" s="53" t="str">
        <f t="shared" si="49"/>
        <v>DNS/DNF ()</v>
      </c>
      <c r="AB121" s="53" t="str">
        <f t="shared" si="50"/>
        <v>DNS/DNF ()</v>
      </c>
      <c r="AC121" s="53" t="str">
        <f t="shared" si="51"/>
        <v>DNS/DNF ()</v>
      </c>
      <c r="AD121" s="53" t="str">
        <f t="shared" si="52"/>
        <v>DNS/DNF ()</v>
      </c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62" t="str">
        <f t="shared" si="53"/>
        <v>DNS/DNF</v>
      </c>
      <c r="AV121" s="62" t="str">
        <f t="shared" si="54"/>
        <v>DNS/DNF</v>
      </c>
      <c r="AW121" s="62" t="str">
        <f t="shared" si="55"/>
        <v>DNS/DNF</v>
      </c>
      <c r="AX121" s="62" t="str">
        <f t="shared" si="56"/>
        <v>DNS/DNF</v>
      </c>
      <c r="AY121" s="62" t="str">
        <f t="shared" si="57"/>
        <v>DNS/DNF</v>
      </c>
      <c r="AZ121" s="62" t="str">
        <f t="shared" si="58"/>
        <v>DNS/DNF</v>
      </c>
      <c r="BA121" s="62" t="str">
        <f t="shared" si="59"/>
        <v>DNS/DNF</v>
      </c>
      <c r="BB121" s="62" t="str">
        <f t="shared" si="60"/>
        <v>DNS/DNF</v>
      </c>
      <c r="BC121" s="75" t="str">
        <f t="shared" si="61"/>
        <v/>
      </c>
      <c r="BD121" s="53" t="str">
        <f t="shared" si="62"/>
        <v/>
      </c>
      <c r="BE121" s="53" t="str">
        <f t="shared" si="63"/>
        <v/>
      </c>
      <c r="BF121" s="53" t="str">
        <f t="shared" si="64"/>
        <v/>
      </c>
      <c r="BG121" s="53" t="str">
        <f t="shared" si="65"/>
        <v/>
      </c>
      <c r="BH121" s="53" t="str">
        <f t="shared" si="66"/>
        <v/>
      </c>
      <c r="BI121" s="53" t="str">
        <f t="shared" si="67"/>
        <v/>
      </c>
      <c r="BJ121" s="53" t="str">
        <f t="shared" si="68"/>
        <v/>
      </c>
      <c r="BK121" s="53" t="str">
        <f t="shared" si="69"/>
        <v/>
      </c>
    </row>
    <row r="122" spans="1:63">
      <c r="A122" s="53"/>
      <c r="B122" s="89" t="str">
        <f>IFERROR(VLOOKUP($A122,EntryList!$A$3:$N$645,2,FALSE),"")</f>
        <v/>
      </c>
      <c r="C122" s="74"/>
      <c r="D122" s="53">
        <f t="shared" si="43"/>
        <v>0</v>
      </c>
      <c r="E122" s="62"/>
      <c r="F122" s="62"/>
      <c r="G122" s="62"/>
      <c r="H122" s="62"/>
      <c r="I122" s="62"/>
      <c r="J122" s="62"/>
      <c r="K122" s="62"/>
      <c r="L122" s="62"/>
      <c r="M122" s="62"/>
      <c r="N122" s="62">
        <f t="shared" si="44"/>
        <v>0</v>
      </c>
      <c r="O122" s="53" t="str">
        <f t="shared" si="70"/>
        <v/>
      </c>
      <c r="P122" s="53" t="str">
        <f t="shared" si="71"/>
        <v/>
      </c>
      <c r="Q122" s="53" t="str">
        <f t="shared" si="72"/>
        <v/>
      </c>
      <c r="R122" s="53" t="str">
        <f t="shared" si="73"/>
        <v/>
      </c>
      <c r="S122" s="53" t="str">
        <f t="shared" si="74"/>
        <v/>
      </c>
      <c r="T122" s="53" t="str">
        <f t="shared" si="75"/>
        <v/>
      </c>
      <c r="U122" s="53" t="str">
        <f t="shared" si="76"/>
        <v/>
      </c>
      <c r="V122" s="53" t="str">
        <f t="shared" si="77"/>
        <v/>
      </c>
      <c r="W122" s="53" t="str">
        <f t="shared" si="45"/>
        <v>DNS/DNF ()</v>
      </c>
      <c r="X122" s="53" t="str">
        <f t="shared" si="46"/>
        <v>DNS/DNF ()</v>
      </c>
      <c r="Y122" s="53" t="str">
        <f t="shared" si="47"/>
        <v>DNS/DNF ()</v>
      </c>
      <c r="Z122" s="53" t="str">
        <f t="shared" si="48"/>
        <v>DNS/DNF ()</v>
      </c>
      <c r="AA122" s="53" t="str">
        <f t="shared" si="49"/>
        <v>DNS/DNF ()</v>
      </c>
      <c r="AB122" s="53" t="str">
        <f t="shared" si="50"/>
        <v>DNS/DNF ()</v>
      </c>
      <c r="AC122" s="53" t="str">
        <f t="shared" si="51"/>
        <v>DNS/DNF ()</v>
      </c>
      <c r="AD122" s="53" t="str">
        <f t="shared" si="52"/>
        <v>DNS/DNF ()</v>
      </c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62" t="str">
        <f t="shared" si="53"/>
        <v>DNS/DNF</v>
      </c>
      <c r="AV122" s="62" t="str">
        <f t="shared" si="54"/>
        <v>DNS/DNF</v>
      </c>
      <c r="AW122" s="62" t="str">
        <f t="shared" si="55"/>
        <v>DNS/DNF</v>
      </c>
      <c r="AX122" s="62" t="str">
        <f t="shared" si="56"/>
        <v>DNS/DNF</v>
      </c>
      <c r="AY122" s="62" t="str">
        <f t="shared" si="57"/>
        <v>DNS/DNF</v>
      </c>
      <c r="AZ122" s="62" t="str">
        <f t="shared" si="58"/>
        <v>DNS/DNF</v>
      </c>
      <c r="BA122" s="62" t="str">
        <f t="shared" si="59"/>
        <v>DNS/DNF</v>
      </c>
      <c r="BB122" s="62" t="str">
        <f t="shared" si="60"/>
        <v>DNS/DNF</v>
      </c>
      <c r="BC122" s="75" t="str">
        <f t="shared" si="61"/>
        <v/>
      </c>
      <c r="BD122" s="53" t="str">
        <f t="shared" si="62"/>
        <v/>
      </c>
      <c r="BE122" s="53" t="str">
        <f t="shared" si="63"/>
        <v/>
      </c>
      <c r="BF122" s="53" t="str">
        <f t="shared" si="64"/>
        <v/>
      </c>
      <c r="BG122" s="53" t="str">
        <f t="shared" si="65"/>
        <v/>
      </c>
      <c r="BH122" s="53" t="str">
        <f t="shared" si="66"/>
        <v/>
      </c>
      <c r="BI122" s="53" t="str">
        <f t="shared" si="67"/>
        <v/>
      </c>
      <c r="BJ122" s="53" t="str">
        <f t="shared" si="68"/>
        <v/>
      </c>
      <c r="BK122" s="53" t="str">
        <f t="shared" si="69"/>
        <v/>
      </c>
    </row>
    <row r="123" spans="1:63">
      <c r="A123" s="53"/>
      <c r="B123" s="89" t="str">
        <f>IFERROR(VLOOKUP($A123,EntryList!$A$3:$N$645,2,FALSE),"")</f>
        <v/>
      </c>
      <c r="C123" s="74"/>
      <c r="D123" s="53">
        <f t="shared" si="43"/>
        <v>0</v>
      </c>
      <c r="E123" s="62"/>
      <c r="F123" s="62"/>
      <c r="G123" s="62"/>
      <c r="H123" s="62"/>
      <c r="I123" s="62"/>
      <c r="J123" s="62"/>
      <c r="K123" s="62"/>
      <c r="L123" s="62"/>
      <c r="M123" s="62"/>
      <c r="N123" s="62">
        <f t="shared" si="44"/>
        <v>0</v>
      </c>
      <c r="O123" s="53" t="str">
        <f t="shared" si="70"/>
        <v/>
      </c>
      <c r="P123" s="53" t="str">
        <f t="shared" si="71"/>
        <v/>
      </c>
      <c r="Q123" s="53" t="str">
        <f t="shared" si="72"/>
        <v/>
      </c>
      <c r="R123" s="53" t="str">
        <f t="shared" si="73"/>
        <v/>
      </c>
      <c r="S123" s="53" t="str">
        <f t="shared" si="74"/>
        <v/>
      </c>
      <c r="T123" s="53" t="str">
        <f t="shared" si="75"/>
        <v/>
      </c>
      <c r="U123" s="53" t="str">
        <f t="shared" si="76"/>
        <v/>
      </c>
      <c r="V123" s="53" t="str">
        <f t="shared" si="77"/>
        <v/>
      </c>
      <c r="W123" s="53" t="str">
        <f t="shared" si="45"/>
        <v>DNS/DNF ()</v>
      </c>
      <c r="X123" s="53" t="str">
        <f t="shared" si="46"/>
        <v>DNS/DNF ()</v>
      </c>
      <c r="Y123" s="53" t="str">
        <f t="shared" si="47"/>
        <v>DNS/DNF ()</v>
      </c>
      <c r="Z123" s="53" t="str">
        <f t="shared" si="48"/>
        <v>DNS/DNF ()</v>
      </c>
      <c r="AA123" s="53" t="str">
        <f t="shared" si="49"/>
        <v>DNS/DNF ()</v>
      </c>
      <c r="AB123" s="53" t="str">
        <f t="shared" si="50"/>
        <v>DNS/DNF ()</v>
      </c>
      <c r="AC123" s="53" t="str">
        <f t="shared" si="51"/>
        <v>DNS/DNF ()</v>
      </c>
      <c r="AD123" s="53" t="str">
        <f t="shared" si="52"/>
        <v>DNS/DNF ()</v>
      </c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62" t="str">
        <f t="shared" si="53"/>
        <v>DNS/DNF</v>
      </c>
      <c r="AV123" s="62" t="str">
        <f t="shared" si="54"/>
        <v>DNS/DNF</v>
      </c>
      <c r="AW123" s="62" t="str">
        <f t="shared" si="55"/>
        <v>DNS/DNF</v>
      </c>
      <c r="AX123" s="62" t="str">
        <f t="shared" si="56"/>
        <v>DNS/DNF</v>
      </c>
      <c r="AY123" s="62" t="str">
        <f t="shared" si="57"/>
        <v>DNS/DNF</v>
      </c>
      <c r="AZ123" s="62" t="str">
        <f t="shared" si="58"/>
        <v>DNS/DNF</v>
      </c>
      <c r="BA123" s="62" t="str">
        <f t="shared" si="59"/>
        <v>DNS/DNF</v>
      </c>
      <c r="BB123" s="62" t="str">
        <f t="shared" si="60"/>
        <v>DNS/DNF</v>
      </c>
      <c r="BC123" s="75" t="str">
        <f t="shared" si="61"/>
        <v/>
      </c>
      <c r="BD123" s="53" t="str">
        <f t="shared" si="62"/>
        <v/>
      </c>
      <c r="BE123" s="53" t="str">
        <f t="shared" si="63"/>
        <v/>
      </c>
      <c r="BF123" s="53" t="str">
        <f t="shared" si="64"/>
        <v/>
      </c>
      <c r="BG123" s="53" t="str">
        <f t="shared" si="65"/>
        <v/>
      </c>
      <c r="BH123" s="53" t="str">
        <f t="shared" si="66"/>
        <v/>
      </c>
      <c r="BI123" s="53" t="str">
        <f t="shared" si="67"/>
        <v/>
      </c>
      <c r="BJ123" s="53" t="str">
        <f t="shared" si="68"/>
        <v/>
      </c>
      <c r="BK123" s="53" t="str">
        <f t="shared" si="69"/>
        <v/>
      </c>
    </row>
    <row r="124" spans="1:63">
      <c r="A124" s="53"/>
      <c r="B124" s="89" t="str">
        <f>IFERROR(VLOOKUP($A124,EntryList!$A$3:$N$645,2,FALSE),"")</f>
        <v/>
      </c>
      <c r="C124" s="74"/>
      <c r="D124" s="53">
        <f t="shared" si="43"/>
        <v>0</v>
      </c>
      <c r="E124" s="62"/>
      <c r="F124" s="62"/>
      <c r="G124" s="62"/>
      <c r="H124" s="62"/>
      <c r="I124" s="62"/>
      <c r="J124" s="62"/>
      <c r="K124" s="62"/>
      <c r="L124" s="62"/>
      <c r="M124" s="62"/>
      <c r="N124" s="62">
        <f t="shared" si="44"/>
        <v>0</v>
      </c>
      <c r="O124" s="53" t="str">
        <f t="shared" si="70"/>
        <v/>
      </c>
      <c r="P124" s="53" t="str">
        <f t="shared" si="71"/>
        <v/>
      </c>
      <c r="Q124" s="53" t="str">
        <f t="shared" si="72"/>
        <v/>
      </c>
      <c r="R124" s="53" t="str">
        <f t="shared" si="73"/>
        <v/>
      </c>
      <c r="S124" s="53" t="str">
        <f t="shared" si="74"/>
        <v/>
      </c>
      <c r="T124" s="53" t="str">
        <f t="shared" si="75"/>
        <v/>
      </c>
      <c r="U124" s="53" t="str">
        <f t="shared" si="76"/>
        <v/>
      </c>
      <c r="V124" s="53" t="str">
        <f t="shared" si="77"/>
        <v/>
      </c>
      <c r="W124" s="53" t="str">
        <f t="shared" si="45"/>
        <v>DNS/DNF ()</v>
      </c>
      <c r="X124" s="53" t="str">
        <f t="shared" si="46"/>
        <v>DNS/DNF ()</v>
      </c>
      <c r="Y124" s="53" t="str">
        <f t="shared" si="47"/>
        <v>DNS/DNF ()</v>
      </c>
      <c r="Z124" s="53" t="str">
        <f t="shared" si="48"/>
        <v>DNS/DNF ()</v>
      </c>
      <c r="AA124" s="53" t="str">
        <f t="shared" si="49"/>
        <v>DNS/DNF ()</v>
      </c>
      <c r="AB124" s="53" t="str">
        <f t="shared" si="50"/>
        <v>DNS/DNF ()</v>
      </c>
      <c r="AC124" s="53" t="str">
        <f t="shared" si="51"/>
        <v>DNS/DNF ()</v>
      </c>
      <c r="AD124" s="53" t="str">
        <f t="shared" si="52"/>
        <v>DNS/DNF ()</v>
      </c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62" t="str">
        <f t="shared" si="53"/>
        <v>DNS/DNF</v>
      </c>
      <c r="AV124" s="62" t="str">
        <f t="shared" si="54"/>
        <v>DNS/DNF</v>
      </c>
      <c r="AW124" s="62" t="str">
        <f t="shared" si="55"/>
        <v>DNS/DNF</v>
      </c>
      <c r="AX124" s="62" t="str">
        <f t="shared" si="56"/>
        <v>DNS/DNF</v>
      </c>
      <c r="AY124" s="62" t="str">
        <f t="shared" si="57"/>
        <v>DNS/DNF</v>
      </c>
      <c r="AZ124" s="62" t="str">
        <f t="shared" si="58"/>
        <v>DNS/DNF</v>
      </c>
      <c r="BA124" s="62" t="str">
        <f t="shared" si="59"/>
        <v>DNS/DNF</v>
      </c>
      <c r="BB124" s="62" t="str">
        <f t="shared" si="60"/>
        <v>DNS/DNF</v>
      </c>
      <c r="BC124" s="75" t="str">
        <f t="shared" si="61"/>
        <v/>
      </c>
      <c r="BD124" s="53" t="str">
        <f t="shared" si="62"/>
        <v/>
      </c>
      <c r="BE124" s="53" t="str">
        <f t="shared" si="63"/>
        <v/>
      </c>
      <c r="BF124" s="53" t="str">
        <f t="shared" si="64"/>
        <v/>
      </c>
      <c r="BG124" s="53" t="str">
        <f t="shared" si="65"/>
        <v/>
      </c>
      <c r="BH124" s="53" t="str">
        <f t="shared" si="66"/>
        <v/>
      </c>
      <c r="BI124" s="53" t="str">
        <f t="shared" si="67"/>
        <v/>
      </c>
      <c r="BJ124" s="53" t="str">
        <f t="shared" si="68"/>
        <v/>
      </c>
      <c r="BK124" s="53" t="str">
        <f t="shared" si="69"/>
        <v/>
      </c>
    </row>
    <row r="125" spans="1:63">
      <c r="A125" s="53"/>
      <c r="B125" s="89" t="str">
        <f>IFERROR(VLOOKUP($A125,EntryList!$A$3:$N$645,2,FALSE),"")</f>
        <v/>
      </c>
      <c r="C125" s="74"/>
      <c r="D125" s="53">
        <f t="shared" si="43"/>
        <v>0</v>
      </c>
      <c r="E125" s="62"/>
      <c r="F125" s="62"/>
      <c r="G125" s="62"/>
      <c r="H125" s="62"/>
      <c r="I125" s="62"/>
      <c r="J125" s="62"/>
      <c r="K125" s="62"/>
      <c r="L125" s="62"/>
      <c r="M125" s="62"/>
      <c r="N125" s="62">
        <f t="shared" si="44"/>
        <v>0</v>
      </c>
      <c r="O125" s="53" t="str">
        <f t="shared" si="70"/>
        <v/>
      </c>
      <c r="P125" s="53" t="str">
        <f t="shared" si="71"/>
        <v/>
      </c>
      <c r="Q125" s="53" t="str">
        <f t="shared" si="72"/>
        <v/>
      </c>
      <c r="R125" s="53" t="str">
        <f t="shared" si="73"/>
        <v/>
      </c>
      <c r="S125" s="53" t="str">
        <f t="shared" si="74"/>
        <v/>
      </c>
      <c r="T125" s="53" t="str">
        <f t="shared" si="75"/>
        <v/>
      </c>
      <c r="U125" s="53" t="str">
        <f t="shared" si="76"/>
        <v/>
      </c>
      <c r="V125" s="53" t="str">
        <f t="shared" si="77"/>
        <v/>
      </c>
      <c r="W125" s="53" t="str">
        <f t="shared" si="45"/>
        <v>DNS/DNF ()</v>
      </c>
      <c r="X125" s="53" t="str">
        <f t="shared" si="46"/>
        <v>DNS/DNF ()</v>
      </c>
      <c r="Y125" s="53" t="str">
        <f t="shared" si="47"/>
        <v>DNS/DNF ()</v>
      </c>
      <c r="Z125" s="53" t="str">
        <f t="shared" si="48"/>
        <v>DNS/DNF ()</v>
      </c>
      <c r="AA125" s="53" t="str">
        <f t="shared" si="49"/>
        <v>DNS/DNF ()</v>
      </c>
      <c r="AB125" s="53" t="str">
        <f t="shared" si="50"/>
        <v>DNS/DNF ()</v>
      </c>
      <c r="AC125" s="53" t="str">
        <f t="shared" si="51"/>
        <v>DNS/DNF ()</v>
      </c>
      <c r="AD125" s="53" t="str">
        <f t="shared" si="52"/>
        <v>DNS/DNF ()</v>
      </c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62" t="str">
        <f t="shared" si="53"/>
        <v>DNS/DNF</v>
      </c>
      <c r="AV125" s="62" t="str">
        <f t="shared" si="54"/>
        <v>DNS/DNF</v>
      </c>
      <c r="AW125" s="62" t="str">
        <f t="shared" si="55"/>
        <v>DNS/DNF</v>
      </c>
      <c r="AX125" s="62" t="str">
        <f t="shared" si="56"/>
        <v>DNS/DNF</v>
      </c>
      <c r="AY125" s="62" t="str">
        <f t="shared" si="57"/>
        <v>DNS/DNF</v>
      </c>
      <c r="AZ125" s="62" t="str">
        <f t="shared" si="58"/>
        <v>DNS/DNF</v>
      </c>
      <c r="BA125" s="62" t="str">
        <f t="shared" si="59"/>
        <v>DNS/DNF</v>
      </c>
      <c r="BB125" s="62" t="str">
        <f t="shared" si="60"/>
        <v>DNS/DNF</v>
      </c>
      <c r="BC125" s="75" t="str">
        <f t="shared" si="61"/>
        <v/>
      </c>
      <c r="BD125" s="53" t="str">
        <f t="shared" si="62"/>
        <v/>
      </c>
      <c r="BE125" s="53" t="str">
        <f t="shared" si="63"/>
        <v/>
      </c>
      <c r="BF125" s="53" t="str">
        <f t="shared" si="64"/>
        <v/>
      </c>
      <c r="BG125" s="53" t="str">
        <f t="shared" si="65"/>
        <v/>
      </c>
      <c r="BH125" s="53" t="str">
        <f t="shared" si="66"/>
        <v/>
      </c>
      <c r="BI125" s="53" t="str">
        <f t="shared" si="67"/>
        <v/>
      </c>
      <c r="BJ125" s="53" t="str">
        <f t="shared" si="68"/>
        <v/>
      </c>
      <c r="BK125" s="53" t="str">
        <f t="shared" si="69"/>
        <v/>
      </c>
    </row>
    <row r="126" spans="1:63">
      <c r="A126" s="53"/>
      <c r="B126" s="89" t="str">
        <f>IFERROR(VLOOKUP($A126,EntryList!$A$3:$N$645,2,FALSE),"")</f>
        <v/>
      </c>
      <c r="C126" s="74"/>
      <c r="D126" s="53">
        <f t="shared" si="43"/>
        <v>0</v>
      </c>
      <c r="E126" s="62"/>
      <c r="F126" s="62"/>
      <c r="G126" s="62"/>
      <c r="H126" s="62"/>
      <c r="I126" s="62"/>
      <c r="J126" s="62"/>
      <c r="K126" s="62"/>
      <c r="L126" s="62"/>
      <c r="M126" s="62"/>
      <c r="N126" s="62">
        <f t="shared" si="44"/>
        <v>0</v>
      </c>
      <c r="O126" s="53" t="str">
        <f t="shared" si="70"/>
        <v/>
      </c>
      <c r="P126" s="53" t="str">
        <f t="shared" si="71"/>
        <v/>
      </c>
      <c r="Q126" s="53" t="str">
        <f t="shared" si="72"/>
        <v/>
      </c>
      <c r="R126" s="53" t="str">
        <f t="shared" si="73"/>
        <v/>
      </c>
      <c r="S126" s="53" t="str">
        <f t="shared" si="74"/>
        <v/>
      </c>
      <c r="T126" s="53" t="str">
        <f t="shared" si="75"/>
        <v/>
      </c>
      <c r="U126" s="53" t="str">
        <f t="shared" si="76"/>
        <v/>
      </c>
      <c r="V126" s="53" t="str">
        <f t="shared" si="77"/>
        <v/>
      </c>
      <c r="W126" s="53" t="str">
        <f t="shared" si="45"/>
        <v>DNS/DNF ()</v>
      </c>
      <c r="X126" s="53" t="str">
        <f t="shared" si="46"/>
        <v>DNS/DNF ()</v>
      </c>
      <c r="Y126" s="53" t="str">
        <f t="shared" si="47"/>
        <v>DNS/DNF ()</v>
      </c>
      <c r="Z126" s="53" t="str">
        <f t="shared" si="48"/>
        <v>DNS/DNF ()</v>
      </c>
      <c r="AA126" s="53" t="str">
        <f t="shared" si="49"/>
        <v>DNS/DNF ()</v>
      </c>
      <c r="AB126" s="53" t="str">
        <f t="shared" si="50"/>
        <v>DNS/DNF ()</v>
      </c>
      <c r="AC126" s="53" t="str">
        <f t="shared" si="51"/>
        <v>DNS/DNF ()</v>
      </c>
      <c r="AD126" s="53" t="str">
        <f t="shared" si="52"/>
        <v>DNS/DNF ()</v>
      </c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62" t="str">
        <f t="shared" si="53"/>
        <v>DNS/DNF</v>
      </c>
      <c r="AV126" s="62" t="str">
        <f t="shared" si="54"/>
        <v>DNS/DNF</v>
      </c>
      <c r="AW126" s="62" t="str">
        <f t="shared" si="55"/>
        <v>DNS/DNF</v>
      </c>
      <c r="AX126" s="62" t="str">
        <f t="shared" si="56"/>
        <v>DNS/DNF</v>
      </c>
      <c r="AY126" s="62" t="str">
        <f t="shared" si="57"/>
        <v>DNS/DNF</v>
      </c>
      <c r="AZ126" s="62" t="str">
        <f t="shared" si="58"/>
        <v>DNS/DNF</v>
      </c>
      <c r="BA126" s="62" t="str">
        <f t="shared" si="59"/>
        <v>DNS/DNF</v>
      </c>
      <c r="BB126" s="62" t="str">
        <f t="shared" si="60"/>
        <v>DNS/DNF</v>
      </c>
      <c r="BC126" s="75" t="str">
        <f t="shared" si="61"/>
        <v/>
      </c>
      <c r="BD126" s="53" t="str">
        <f t="shared" si="62"/>
        <v/>
      </c>
      <c r="BE126" s="53" t="str">
        <f t="shared" si="63"/>
        <v/>
      </c>
      <c r="BF126" s="53" t="str">
        <f t="shared" si="64"/>
        <v/>
      </c>
      <c r="BG126" s="53" t="str">
        <f t="shared" si="65"/>
        <v/>
      </c>
      <c r="BH126" s="53" t="str">
        <f t="shared" si="66"/>
        <v/>
      </c>
      <c r="BI126" s="53" t="str">
        <f t="shared" si="67"/>
        <v/>
      </c>
      <c r="BJ126" s="53" t="str">
        <f t="shared" si="68"/>
        <v/>
      </c>
      <c r="BK126" s="53" t="str">
        <f t="shared" si="69"/>
        <v/>
      </c>
    </row>
    <row r="127" spans="1:63">
      <c r="A127" s="53"/>
      <c r="B127" s="89" t="str">
        <f>IFERROR(VLOOKUP($A127,EntryList!$A$3:$N$645,2,FALSE),"")</f>
        <v/>
      </c>
      <c r="C127" s="74"/>
      <c r="D127" s="53">
        <f t="shared" si="43"/>
        <v>0</v>
      </c>
      <c r="E127" s="62"/>
      <c r="F127" s="62"/>
      <c r="G127" s="62"/>
      <c r="H127" s="62"/>
      <c r="I127" s="62"/>
      <c r="J127" s="62"/>
      <c r="K127" s="62"/>
      <c r="L127" s="62"/>
      <c r="M127" s="62"/>
      <c r="N127" s="62">
        <f t="shared" si="44"/>
        <v>0</v>
      </c>
      <c r="O127" s="53" t="str">
        <f t="shared" si="70"/>
        <v/>
      </c>
      <c r="P127" s="53" t="str">
        <f t="shared" si="71"/>
        <v/>
      </c>
      <c r="Q127" s="53" t="str">
        <f t="shared" si="72"/>
        <v/>
      </c>
      <c r="R127" s="53" t="str">
        <f t="shared" si="73"/>
        <v/>
      </c>
      <c r="S127" s="53" t="str">
        <f t="shared" si="74"/>
        <v/>
      </c>
      <c r="T127" s="53" t="str">
        <f t="shared" si="75"/>
        <v/>
      </c>
      <c r="U127" s="53" t="str">
        <f t="shared" si="76"/>
        <v/>
      </c>
      <c r="V127" s="53" t="str">
        <f t="shared" si="77"/>
        <v/>
      </c>
      <c r="W127" s="53" t="str">
        <f t="shared" si="45"/>
        <v>DNS/DNF ()</v>
      </c>
      <c r="X127" s="53" t="str">
        <f t="shared" si="46"/>
        <v>DNS/DNF ()</v>
      </c>
      <c r="Y127" s="53" t="str">
        <f t="shared" si="47"/>
        <v>DNS/DNF ()</v>
      </c>
      <c r="Z127" s="53" t="str">
        <f t="shared" si="48"/>
        <v>DNS/DNF ()</v>
      </c>
      <c r="AA127" s="53" t="str">
        <f t="shared" si="49"/>
        <v>DNS/DNF ()</v>
      </c>
      <c r="AB127" s="53" t="str">
        <f t="shared" si="50"/>
        <v>DNS/DNF ()</v>
      </c>
      <c r="AC127" s="53" t="str">
        <f t="shared" si="51"/>
        <v>DNS/DNF ()</v>
      </c>
      <c r="AD127" s="53" t="str">
        <f t="shared" si="52"/>
        <v>DNS/DNF ()</v>
      </c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62" t="str">
        <f t="shared" si="53"/>
        <v>DNS/DNF</v>
      </c>
      <c r="AV127" s="62" t="str">
        <f t="shared" si="54"/>
        <v>DNS/DNF</v>
      </c>
      <c r="AW127" s="62" t="str">
        <f t="shared" si="55"/>
        <v>DNS/DNF</v>
      </c>
      <c r="AX127" s="62" t="str">
        <f t="shared" si="56"/>
        <v>DNS/DNF</v>
      </c>
      <c r="AY127" s="62" t="str">
        <f t="shared" si="57"/>
        <v>DNS/DNF</v>
      </c>
      <c r="AZ127" s="62" t="str">
        <f t="shared" si="58"/>
        <v>DNS/DNF</v>
      </c>
      <c r="BA127" s="62" t="str">
        <f t="shared" si="59"/>
        <v>DNS/DNF</v>
      </c>
      <c r="BB127" s="62" t="str">
        <f t="shared" si="60"/>
        <v>DNS/DNF</v>
      </c>
      <c r="BC127" s="75" t="str">
        <f t="shared" si="61"/>
        <v/>
      </c>
      <c r="BD127" s="53" t="str">
        <f t="shared" si="62"/>
        <v/>
      </c>
      <c r="BE127" s="53" t="str">
        <f t="shared" si="63"/>
        <v/>
      </c>
      <c r="BF127" s="53" t="str">
        <f t="shared" si="64"/>
        <v/>
      </c>
      <c r="BG127" s="53" t="str">
        <f t="shared" si="65"/>
        <v/>
      </c>
      <c r="BH127" s="53" t="str">
        <f t="shared" si="66"/>
        <v/>
      </c>
      <c r="BI127" s="53" t="str">
        <f t="shared" si="67"/>
        <v/>
      </c>
      <c r="BJ127" s="53" t="str">
        <f t="shared" si="68"/>
        <v/>
      </c>
      <c r="BK127" s="53" t="str">
        <f t="shared" si="69"/>
        <v/>
      </c>
    </row>
    <row r="128" spans="1:63">
      <c r="A128" s="53"/>
      <c r="B128" s="89" t="str">
        <f>IFERROR(VLOOKUP($A128,EntryList!$A$3:$N$645,2,FALSE),"")</f>
        <v/>
      </c>
      <c r="C128" s="74"/>
      <c r="D128" s="53">
        <f t="shared" si="43"/>
        <v>0</v>
      </c>
      <c r="E128" s="62"/>
      <c r="F128" s="62"/>
      <c r="G128" s="62"/>
      <c r="H128" s="62"/>
      <c r="I128" s="62"/>
      <c r="J128" s="62"/>
      <c r="K128" s="62"/>
      <c r="L128" s="62"/>
      <c r="M128" s="62"/>
      <c r="N128" s="62">
        <f t="shared" si="44"/>
        <v>0</v>
      </c>
      <c r="O128" s="53" t="str">
        <f t="shared" si="70"/>
        <v/>
      </c>
      <c r="P128" s="53" t="str">
        <f t="shared" si="71"/>
        <v/>
      </c>
      <c r="Q128" s="53" t="str">
        <f t="shared" si="72"/>
        <v/>
      </c>
      <c r="R128" s="53" t="str">
        <f t="shared" si="73"/>
        <v/>
      </c>
      <c r="S128" s="53" t="str">
        <f t="shared" si="74"/>
        <v/>
      </c>
      <c r="T128" s="53" t="str">
        <f t="shared" si="75"/>
        <v/>
      </c>
      <c r="U128" s="53" t="str">
        <f t="shared" si="76"/>
        <v/>
      </c>
      <c r="V128" s="53" t="str">
        <f t="shared" si="77"/>
        <v/>
      </c>
      <c r="W128" s="53" t="str">
        <f t="shared" si="45"/>
        <v>DNS/DNF ()</v>
      </c>
      <c r="X128" s="53" t="str">
        <f t="shared" si="46"/>
        <v>DNS/DNF ()</v>
      </c>
      <c r="Y128" s="53" t="str">
        <f t="shared" si="47"/>
        <v>DNS/DNF ()</v>
      </c>
      <c r="Z128" s="53" t="str">
        <f t="shared" si="48"/>
        <v>DNS/DNF ()</v>
      </c>
      <c r="AA128" s="53" t="str">
        <f t="shared" si="49"/>
        <v>DNS/DNF ()</v>
      </c>
      <c r="AB128" s="53" t="str">
        <f t="shared" si="50"/>
        <v>DNS/DNF ()</v>
      </c>
      <c r="AC128" s="53" t="str">
        <f t="shared" si="51"/>
        <v>DNS/DNF ()</v>
      </c>
      <c r="AD128" s="53" t="str">
        <f t="shared" si="52"/>
        <v>DNS/DNF ()</v>
      </c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62" t="str">
        <f t="shared" si="53"/>
        <v>DNS/DNF</v>
      </c>
      <c r="AV128" s="62" t="str">
        <f t="shared" si="54"/>
        <v>DNS/DNF</v>
      </c>
      <c r="AW128" s="62" t="str">
        <f t="shared" si="55"/>
        <v>DNS/DNF</v>
      </c>
      <c r="AX128" s="62" t="str">
        <f t="shared" si="56"/>
        <v>DNS/DNF</v>
      </c>
      <c r="AY128" s="62" t="str">
        <f t="shared" si="57"/>
        <v>DNS/DNF</v>
      </c>
      <c r="AZ128" s="62" t="str">
        <f t="shared" si="58"/>
        <v>DNS/DNF</v>
      </c>
      <c r="BA128" s="62" t="str">
        <f t="shared" si="59"/>
        <v>DNS/DNF</v>
      </c>
      <c r="BB128" s="62" t="str">
        <f t="shared" si="60"/>
        <v>DNS/DNF</v>
      </c>
      <c r="BC128" s="75" t="str">
        <f t="shared" si="61"/>
        <v/>
      </c>
      <c r="BD128" s="53" t="str">
        <f t="shared" si="62"/>
        <v/>
      </c>
      <c r="BE128" s="53" t="str">
        <f t="shared" si="63"/>
        <v/>
      </c>
      <c r="BF128" s="53" t="str">
        <f t="shared" si="64"/>
        <v/>
      </c>
      <c r="BG128" s="53" t="str">
        <f t="shared" si="65"/>
        <v/>
      </c>
      <c r="BH128" s="53" t="str">
        <f t="shared" si="66"/>
        <v/>
      </c>
      <c r="BI128" s="53" t="str">
        <f t="shared" si="67"/>
        <v/>
      </c>
      <c r="BJ128" s="53" t="str">
        <f t="shared" si="68"/>
        <v/>
      </c>
      <c r="BK128" s="53" t="str">
        <f t="shared" si="69"/>
        <v/>
      </c>
    </row>
    <row r="129" spans="1:63">
      <c r="A129" s="53"/>
      <c r="B129" s="89" t="str">
        <f>IFERROR(VLOOKUP($A129,EntryList!$A$3:$N$645,2,FALSE),"")</f>
        <v/>
      </c>
      <c r="C129" s="74"/>
      <c r="D129" s="53">
        <f t="shared" si="43"/>
        <v>0</v>
      </c>
      <c r="E129" s="62"/>
      <c r="F129" s="62"/>
      <c r="G129" s="62"/>
      <c r="H129" s="62"/>
      <c r="I129" s="62"/>
      <c r="J129" s="62"/>
      <c r="K129" s="62"/>
      <c r="L129" s="62"/>
      <c r="M129" s="62"/>
      <c r="N129" s="62">
        <f t="shared" si="44"/>
        <v>0</v>
      </c>
      <c r="O129" s="53" t="str">
        <f t="shared" si="70"/>
        <v/>
      </c>
      <c r="P129" s="53" t="str">
        <f t="shared" si="71"/>
        <v/>
      </c>
      <c r="Q129" s="53" t="str">
        <f t="shared" si="72"/>
        <v/>
      </c>
      <c r="R129" s="53" t="str">
        <f t="shared" si="73"/>
        <v/>
      </c>
      <c r="S129" s="53" t="str">
        <f t="shared" si="74"/>
        <v/>
      </c>
      <c r="T129" s="53" t="str">
        <f t="shared" si="75"/>
        <v/>
      </c>
      <c r="U129" s="53" t="str">
        <f t="shared" si="76"/>
        <v/>
      </c>
      <c r="V129" s="53" t="str">
        <f t="shared" si="77"/>
        <v/>
      </c>
      <c r="W129" s="53" t="str">
        <f t="shared" si="45"/>
        <v>DNS/DNF ()</v>
      </c>
      <c r="X129" s="53" t="str">
        <f t="shared" si="46"/>
        <v>DNS/DNF ()</v>
      </c>
      <c r="Y129" s="53" t="str">
        <f t="shared" si="47"/>
        <v>DNS/DNF ()</v>
      </c>
      <c r="Z129" s="53" t="str">
        <f t="shared" si="48"/>
        <v>DNS/DNF ()</v>
      </c>
      <c r="AA129" s="53" t="str">
        <f t="shared" si="49"/>
        <v>DNS/DNF ()</v>
      </c>
      <c r="AB129" s="53" t="str">
        <f t="shared" si="50"/>
        <v>DNS/DNF ()</v>
      </c>
      <c r="AC129" s="53" t="str">
        <f t="shared" si="51"/>
        <v>DNS/DNF ()</v>
      </c>
      <c r="AD129" s="53" t="str">
        <f t="shared" si="52"/>
        <v>DNS/DNF ()</v>
      </c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62" t="str">
        <f t="shared" si="53"/>
        <v>DNS/DNF</v>
      </c>
      <c r="AV129" s="62" t="str">
        <f t="shared" si="54"/>
        <v>DNS/DNF</v>
      </c>
      <c r="AW129" s="62" t="str">
        <f t="shared" si="55"/>
        <v>DNS/DNF</v>
      </c>
      <c r="AX129" s="62" t="str">
        <f t="shared" si="56"/>
        <v>DNS/DNF</v>
      </c>
      <c r="AY129" s="62" t="str">
        <f t="shared" si="57"/>
        <v>DNS/DNF</v>
      </c>
      <c r="AZ129" s="62" t="str">
        <f t="shared" si="58"/>
        <v>DNS/DNF</v>
      </c>
      <c r="BA129" s="62" t="str">
        <f t="shared" si="59"/>
        <v>DNS/DNF</v>
      </c>
      <c r="BB129" s="62" t="str">
        <f t="shared" si="60"/>
        <v>DNS/DNF</v>
      </c>
      <c r="BC129" s="75" t="str">
        <f t="shared" si="61"/>
        <v/>
      </c>
      <c r="BD129" s="53" t="str">
        <f t="shared" si="62"/>
        <v/>
      </c>
      <c r="BE129" s="53" t="str">
        <f t="shared" si="63"/>
        <v/>
      </c>
      <c r="BF129" s="53" t="str">
        <f t="shared" si="64"/>
        <v/>
      </c>
      <c r="BG129" s="53" t="str">
        <f t="shared" si="65"/>
        <v/>
      </c>
      <c r="BH129" s="53" t="str">
        <f t="shared" si="66"/>
        <v/>
      </c>
      <c r="BI129" s="53" t="str">
        <f t="shared" si="67"/>
        <v/>
      </c>
      <c r="BJ129" s="53" t="str">
        <f t="shared" si="68"/>
        <v/>
      </c>
      <c r="BK129" s="53" t="str">
        <f t="shared" si="69"/>
        <v/>
      </c>
    </row>
    <row r="130" spans="1:63">
      <c r="A130" s="53"/>
      <c r="B130" s="89" t="str">
        <f>IFERROR(VLOOKUP($A130,EntryList!$A$3:$N$645,2,FALSE),"")</f>
        <v/>
      </c>
      <c r="C130" s="74"/>
      <c r="D130" s="53">
        <f t="shared" si="43"/>
        <v>0</v>
      </c>
      <c r="E130" s="62"/>
      <c r="F130" s="62"/>
      <c r="G130" s="62"/>
      <c r="H130" s="62"/>
      <c r="I130" s="62"/>
      <c r="J130" s="62"/>
      <c r="K130" s="62"/>
      <c r="L130" s="62"/>
      <c r="M130" s="62"/>
      <c r="N130" s="62">
        <f t="shared" si="44"/>
        <v>0</v>
      </c>
      <c r="O130" s="53" t="str">
        <f t="shared" si="70"/>
        <v/>
      </c>
      <c r="P130" s="53" t="str">
        <f t="shared" si="71"/>
        <v/>
      </c>
      <c r="Q130" s="53" t="str">
        <f t="shared" si="72"/>
        <v/>
      </c>
      <c r="R130" s="53" t="str">
        <f t="shared" si="73"/>
        <v/>
      </c>
      <c r="S130" s="53" t="str">
        <f t="shared" si="74"/>
        <v/>
      </c>
      <c r="T130" s="53" t="str">
        <f t="shared" si="75"/>
        <v/>
      </c>
      <c r="U130" s="53" t="str">
        <f t="shared" si="76"/>
        <v/>
      </c>
      <c r="V130" s="53" t="str">
        <f t="shared" si="77"/>
        <v/>
      </c>
      <c r="W130" s="53" t="str">
        <f t="shared" si="45"/>
        <v>DNS/DNF ()</v>
      </c>
      <c r="X130" s="53" t="str">
        <f t="shared" si="46"/>
        <v>DNS/DNF ()</v>
      </c>
      <c r="Y130" s="53" t="str">
        <f t="shared" si="47"/>
        <v>DNS/DNF ()</v>
      </c>
      <c r="Z130" s="53" t="str">
        <f t="shared" si="48"/>
        <v>DNS/DNF ()</v>
      </c>
      <c r="AA130" s="53" t="str">
        <f t="shared" si="49"/>
        <v>DNS/DNF ()</v>
      </c>
      <c r="AB130" s="53" t="str">
        <f t="shared" si="50"/>
        <v>DNS/DNF ()</v>
      </c>
      <c r="AC130" s="53" t="str">
        <f t="shared" si="51"/>
        <v>DNS/DNF ()</v>
      </c>
      <c r="AD130" s="53" t="str">
        <f t="shared" si="52"/>
        <v>DNS/DNF ()</v>
      </c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62" t="str">
        <f t="shared" si="53"/>
        <v>DNS/DNF</v>
      </c>
      <c r="AV130" s="62" t="str">
        <f t="shared" si="54"/>
        <v>DNS/DNF</v>
      </c>
      <c r="AW130" s="62" t="str">
        <f t="shared" si="55"/>
        <v>DNS/DNF</v>
      </c>
      <c r="AX130" s="62" t="str">
        <f t="shared" si="56"/>
        <v>DNS/DNF</v>
      </c>
      <c r="AY130" s="62" t="str">
        <f t="shared" si="57"/>
        <v>DNS/DNF</v>
      </c>
      <c r="AZ130" s="62" t="str">
        <f t="shared" si="58"/>
        <v>DNS/DNF</v>
      </c>
      <c r="BA130" s="62" t="str">
        <f t="shared" si="59"/>
        <v>DNS/DNF</v>
      </c>
      <c r="BB130" s="62" t="str">
        <f t="shared" si="60"/>
        <v>DNS/DNF</v>
      </c>
      <c r="BC130" s="75" t="str">
        <f t="shared" si="61"/>
        <v/>
      </c>
      <c r="BD130" s="53" t="str">
        <f t="shared" si="62"/>
        <v/>
      </c>
      <c r="BE130" s="53" t="str">
        <f t="shared" si="63"/>
        <v/>
      </c>
      <c r="BF130" s="53" t="str">
        <f t="shared" si="64"/>
        <v/>
      </c>
      <c r="BG130" s="53" t="str">
        <f t="shared" si="65"/>
        <v/>
      </c>
      <c r="BH130" s="53" t="str">
        <f t="shared" si="66"/>
        <v/>
      </c>
      <c r="BI130" s="53" t="str">
        <f t="shared" si="67"/>
        <v/>
      </c>
      <c r="BJ130" s="53" t="str">
        <f t="shared" si="68"/>
        <v/>
      </c>
      <c r="BK130" s="53" t="str">
        <f t="shared" si="69"/>
        <v/>
      </c>
    </row>
    <row r="131" spans="1:63">
      <c r="A131" s="53"/>
      <c r="B131" s="89" t="str">
        <f>IFERROR(VLOOKUP($A131,EntryList!$A$3:$N$645,2,FALSE),"")</f>
        <v/>
      </c>
      <c r="C131" s="74"/>
      <c r="D131" s="53">
        <f t="shared" si="43"/>
        <v>0</v>
      </c>
      <c r="E131" s="62"/>
      <c r="F131" s="62"/>
      <c r="G131" s="62"/>
      <c r="H131" s="62"/>
      <c r="I131" s="62"/>
      <c r="J131" s="62"/>
      <c r="K131" s="62"/>
      <c r="L131" s="62"/>
      <c r="M131" s="62"/>
      <c r="N131" s="62">
        <f t="shared" si="44"/>
        <v>0</v>
      </c>
      <c r="O131" s="53" t="str">
        <f t="shared" si="70"/>
        <v/>
      </c>
      <c r="P131" s="53" t="str">
        <f t="shared" si="71"/>
        <v/>
      </c>
      <c r="Q131" s="53" t="str">
        <f t="shared" si="72"/>
        <v/>
      </c>
      <c r="R131" s="53" t="str">
        <f t="shared" si="73"/>
        <v/>
      </c>
      <c r="S131" s="53" t="str">
        <f t="shared" si="74"/>
        <v/>
      </c>
      <c r="T131" s="53" t="str">
        <f t="shared" si="75"/>
        <v/>
      </c>
      <c r="U131" s="53" t="str">
        <f t="shared" si="76"/>
        <v/>
      </c>
      <c r="V131" s="53" t="str">
        <f t="shared" si="77"/>
        <v/>
      </c>
      <c r="W131" s="53" t="str">
        <f t="shared" si="45"/>
        <v>DNS/DNF ()</v>
      </c>
      <c r="X131" s="53" t="str">
        <f t="shared" si="46"/>
        <v>DNS/DNF ()</v>
      </c>
      <c r="Y131" s="53" t="str">
        <f t="shared" si="47"/>
        <v>DNS/DNF ()</v>
      </c>
      <c r="Z131" s="53" t="str">
        <f t="shared" si="48"/>
        <v>DNS/DNF ()</v>
      </c>
      <c r="AA131" s="53" t="str">
        <f t="shared" si="49"/>
        <v>DNS/DNF ()</v>
      </c>
      <c r="AB131" s="53" t="str">
        <f t="shared" si="50"/>
        <v>DNS/DNF ()</v>
      </c>
      <c r="AC131" s="53" t="str">
        <f t="shared" si="51"/>
        <v>DNS/DNF ()</v>
      </c>
      <c r="AD131" s="53" t="str">
        <f t="shared" si="52"/>
        <v>DNS/DNF ()</v>
      </c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62" t="str">
        <f t="shared" si="53"/>
        <v>DNS/DNF</v>
      </c>
      <c r="AV131" s="62" t="str">
        <f t="shared" si="54"/>
        <v>DNS/DNF</v>
      </c>
      <c r="AW131" s="62" t="str">
        <f t="shared" si="55"/>
        <v>DNS/DNF</v>
      </c>
      <c r="AX131" s="62" t="str">
        <f t="shared" si="56"/>
        <v>DNS/DNF</v>
      </c>
      <c r="AY131" s="62" t="str">
        <f t="shared" si="57"/>
        <v>DNS/DNF</v>
      </c>
      <c r="AZ131" s="62" t="str">
        <f t="shared" si="58"/>
        <v>DNS/DNF</v>
      </c>
      <c r="BA131" s="62" t="str">
        <f t="shared" si="59"/>
        <v>DNS/DNF</v>
      </c>
      <c r="BB131" s="62" t="str">
        <f t="shared" si="60"/>
        <v>DNS/DNF</v>
      </c>
      <c r="BC131" s="75" t="str">
        <f t="shared" si="61"/>
        <v/>
      </c>
      <c r="BD131" s="53" t="str">
        <f t="shared" si="62"/>
        <v/>
      </c>
      <c r="BE131" s="53" t="str">
        <f t="shared" si="63"/>
        <v/>
      </c>
      <c r="BF131" s="53" t="str">
        <f t="shared" si="64"/>
        <v/>
      </c>
      <c r="BG131" s="53" t="str">
        <f t="shared" si="65"/>
        <v/>
      </c>
      <c r="BH131" s="53" t="str">
        <f t="shared" si="66"/>
        <v/>
      </c>
      <c r="BI131" s="53" t="str">
        <f t="shared" si="67"/>
        <v/>
      </c>
      <c r="BJ131" s="53" t="str">
        <f t="shared" si="68"/>
        <v/>
      </c>
      <c r="BK131" s="53" t="str">
        <f t="shared" si="69"/>
        <v/>
      </c>
    </row>
    <row r="132" spans="1:63">
      <c r="A132" s="53"/>
      <c r="B132" s="89" t="str">
        <f>IFERROR(VLOOKUP($A132,EntryList!$A$3:$N$645,2,FALSE),"")</f>
        <v/>
      </c>
      <c r="C132" s="74"/>
      <c r="D132" s="53">
        <f t="shared" ref="D132:D195" si="78">COUNT($AU132:$BB132)</f>
        <v>0</v>
      </c>
      <c r="E132" s="62"/>
      <c r="F132" s="62"/>
      <c r="G132" s="62"/>
      <c r="H132" s="62"/>
      <c r="I132" s="62"/>
      <c r="J132" s="62"/>
      <c r="K132" s="62"/>
      <c r="L132" s="62"/>
      <c r="M132" s="62"/>
      <c r="N132" s="62">
        <f t="shared" ref="N132:N195" si="79">SUM($AU132:$BB132)</f>
        <v>0</v>
      </c>
      <c r="O132" s="53" t="str">
        <f t="shared" si="70"/>
        <v/>
      </c>
      <c r="P132" s="53" t="str">
        <f t="shared" si="71"/>
        <v/>
      </c>
      <c r="Q132" s="53" t="str">
        <f t="shared" si="72"/>
        <v/>
      </c>
      <c r="R132" s="53" t="str">
        <f t="shared" si="73"/>
        <v/>
      </c>
      <c r="S132" s="53" t="str">
        <f t="shared" si="74"/>
        <v/>
      </c>
      <c r="T132" s="53" t="str">
        <f t="shared" si="75"/>
        <v/>
      </c>
      <c r="U132" s="53" t="str">
        <f t="shared" si="76"/>
        <v/>
      </c>
      <c r="V132" s="53" t="str">
        <f t="shared" si="77"/>
        <v/>
      </c>
      <c r="W132" s="53" t="str">
        <f t="shared" ref="W132:W195" si="80">CONCATENATE(TEXT($AU132,"[hh]:mm:ss.0")," ","(",$O132,")")</f>
        <v>DNS/DNF ()</v>
      </c>
      <c r="X132" s="53" t="str">
        <f t="shared" ref="X132:X195" si="81">CONCATENATE(TEXT($AV132,"[hh]:mm:ss.0")," ","(",$P132,")")</f>
        <v>DNS/DNF ()</v>
      </c>
      <c r="Y132" s="53" t="str">
        <f t="shared" ref="Y132:Y195" si="82">CONCATENATE(TEXT($AW132,"[hh]:mm:ss.0")," ","(",$Q132,")")</f>
        <v>DNS/DNF ()</v>
      </c>
      <c r="Z132" s="53" t="str">
        <f t="shared" ref="Z132:Z195" si="83">CONCATENATE(TEXT($AX132,"[hh]:mm:ss.0")," ","(",$R132,")")</f>
        <v>DNS/DNF ()</v>
      </c>
      <c r="AA132" s="53" t="str">
        <f t="shared" ref="AA132:AA195" si="84">CONCATENATE(TEXT($AY132,"[hh]:mm:ss.0")," ","(",$S132,")")</f>
        <v>DNS/DNF ()</v>
      </c>
      <c r="AB132" s="53" t="str">
        <f t="shared" ref="AB132:AB195" si="85">CONCATENATE(TEXT($AZ132,"[hh]:mm:ss.0")," ","(",$T132,")")</f>
        <v>DNS/DNF ()</v>
      </c>
      <c r="AC132" s="53" t="str">
        <f t="shared" ref="AC132:AC195" si="86">CONCATENATE(TEXT($BA132,"[hh]:mm:ss.0")," ","(",$U132,")")</f>
        <v>DNS/DNF ()</v>
      </c>
      <c r="AD132" s="53" t="str">
        <f t="shared" ref="AD132:AD195" si="87">CONCATENATE(TEXT($BB132,"[hh]:mm:ss.0")," ","(",$V132,")")</f>
        <v>DNS/DNF ()</v>
      </c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62" t="str">
        <f t="shared" ref="AU132:AU195" si="88">IF((OR($AE132=0,$AF132=0,$AF132-$AE132&lt;0)),"DNS/DNF",($AF132-$AE132)/86400000)</f>
        <v>DNS/DNF</v>
      </c>
      <c r="AV132" s="62" t="str">
        <f t="shared" ref="AV132:AV195" si="89">IF((OR($AG132=0,$AH132=0,$AH132-$AG132&lt;0)),"DNS/DNF",($AH132-$AG132)/86400000)</f>
        <v>DNS/DNF</v>
      </c>
      <c r="AW132" s="62" t="str">
        <f t="shared" ref="AW132:AW195" si="90">IF((OR($AI132=0,$AJ132=0,$AJ132-$AI132&lt;0)),"DNS/DNF",($AJ132-$AI132)/86400000)</f>
        <v>DNS/DNF</v>
      </c>
      <c r="AX132" s="62" t="str">
        <f t="shared" ref="AX132:AX195" si="91">IF((OR($AK132=0,$AL132=0,$AL132-$AK132&lt;0)),"DNS/DNF",($AL132-$AK132)/86400000)</f>
        <v>DNS/DNF</v>
      </c>
      <c r="AY132" s="62" t="str">
        <f t="shared" ref="AY132:AY195" si="92">IF((OR($AM132=0,$AM132=0,$AN132-$AM132&lt;0)),"DNS/DNF",($AN132-$AM132)/86400000)</f>
        <v>DNS/DNF</v>
      </c>
      <c r="AZ132" s="62" t="str">
        <f t="shared" ref="AZ132:AZ195" si="93">IF((OR($AO132=0,$AP132=0,$AP132-$AO132&lt;0)),"DNS/DNF",($AP132-$AO132)/86400000)</f>
        <v>DNS/DNF</v>
      </c>
      <c r="BA132" s="62" t="str">
        <f t="shared" ref="BA132:BA195" si="94">IF((OR($AQ132=0,$AR132=0,$AR132-$AQ132&lt;0)),"DNS/DNF",($AR132-$AQ132)/86400000)</f>
        <v>DNS/DNF</v>
      </c>
      <c r="BB132" s="62" t="str">
        <f t="shared" ref="BB132:BB195" si="95">IF((OR($AS132=0,$AT132=0,$AT132-$AS132&lt;0)),"DNS/DNF",($AT132-$AS132)/86400000)</f>
        <v>DNS/DNF</v>
      </c>
      <c r="BC132" s="75" t="str">
        <f t="shared" ref="BC132:BC195" si="96">IFERROR(ROUND(AVERAGE(O132:V132),0),"")</f>
        <v/>
      </c>
      <c r="BD132" s="53" t="str">
        <f t="shared" ref="BD132:BD195" si="97">IFERROR((INDEX(($AU$3:$AU$500)*86400000,MATCH(BC132,$O$3:$O$500,0))),"")</f>
        <v/>
      </c>
      <c r="BE132" s="53" t="str">
        <f t="shared" ref="BE132:BE195" si="98">IFERROR((INDEX(($AV$3:$AV$500)*86400000,MATCH(BC132,$P$3:$P$500,0))),"")</f>
        <v/>
      </c>
      <c r="BF132" s="53" t="str">
        <f t="shared" ref="BF132:BF195" si="99">IFERROR((INDEX(($AW$3:$AW$500)*86400000,MATCH(BC132,$Q$3:$Q$500,0))),"")</f>
        <v/>
      </c>
      <c r="BG132" s="53" t="str">
        <f t="shared" ref="BG132:BG195" si="100">IFERROR((INDEX(($AX$3:$AX$500)*86400000,MATCH(BC132,$R$3:$R$500,0))),"")</f>
        <v/>
      </c>
      <c r="BH132" s="53" t="str">
        <f t="shared" ref="BH132:BH195" si="101">IFERROR((INDEX(($AY$3:$AY$500)*86400000,MATCH(BC132,$S$3:$S$500,0))),"")</f>
        <v/>
      </c>
      <c r="BI132" s="53" t="str">
        <f t="shared" ref="BI132:BI195" si="102">IFERROR((INDEX(($AZ$3:$AZ$500)*86400000,MATCH(BC132,$T$3:$T$500,0))),"")</f>
        <v/>
      </c>
      <c r="BJ132" s="53" t="str">
        <f t="shared" ref="BJ132:BJ195" si="103">IFERROR((INDEX(($BA$3:$BA$500)*86400000,MATCH(BC132,$U$3:$U$500,0))),"")</f>
        <v/>
      </c>
      <c r="BK132" s="53" t="str">
        <f t="shared" ref="BK132:BK195" si="104">IFERROR((INDEX(($BB$3:$BB$500)*86400000,MATCH(BC132,$V$3:$V$500,0))),"")</f>
        <v/>
      </c>
    </row>
    <row r="133" spans="1:63">
      <c r="A133" s="53"/>
      <c r="B133" s="89" t="str">
        <f>IFERROR(VLOOKUP($A133,EntryList!$A$3:$N$645,2,FALSE),"")</f>
        <v/>
      </c>
      <c r="C133" s="74"/>
      <c r="D133" s="53">
        <f t="shared" si="78"/>
        <v>0</v>
      </c>
      <c r="E133" s="62"/>
      <c r="F133" s="62"/>
      <c r="G133" s="62"/>
      <c r="H133" s="62"/>
      <c r="I133" s="62"/>
      <c r="J133" s="62"/>
      <c r="K133" s="62"/>
      <c r="L133" s="62"/>
      <c r="M133" s="62"/>
      <c r="N133" s="62">
        <f t="shared" si="79"/>
        <v>0</v>
      </c>
      <c r="O133" s="53" t="str">
        <f t="shared" si="70"/>
        <v/>
      </c>
      <c r="P133" s="53" t="str">
        <f t="shared" si="71"/>
        <v/>
      </c>
      <c r="Q133" s="53" t="str">
        <f t="shared" si="72"/>
        <v/>
      </c>
      <c r="R133" s="53" t="str">
        <f t="shared" si="73"/>
        <v/>
      </c>
      <c r="S133" s="53" t="str">
        <f t="shared" si="74"/>
        <v/>
      </c>
      <c r="T133" s="53" t="str">
        <f t="shared" si="75"/>
        <v/>
      </c>
      <c r="U133" s="53" t="str">
        <f t="shared" si="76"/>
        <v/>
      </c>
      <c r="V133" s="53" t="str">
        <f t="shared" si="77"/>
        <v/>
      </c>
      <c r="W133" s="53" t="str">
        <f t="shared" si="80"/>
        <v>DNS/DNF ()</v>
      </c>
      <c r="X133" s="53" t="str">
        <f t="shared" si="81"/>
        <v>DNS/DNF ()</v>
      </c>
      <c r="Y133" s="53" t="str">
        <f t="shared" si="82"/>
        <v>DNS/DNF ()</v>
      </c>
      <c r="Z133" s="53" t="str">
        <f t="shared" si="83"/>
        <v>DNS/DNF ()</v>
      </c>
      <c r="AA133" s="53" t="str">
        <f t="shared" si="84"/>
        <v>DNS/DNF ()</v>
      </c>
      <c r="AB133" s="53" t="str">
        <f t="shared" si="85"/>
        <v>DNS/DNF ()</v>
      </c>
      <c r="AC133" s="53" t="str">
        <f t="shared" si="86"/>
        <v>DNS/DNF ()</v>
      </c>
      <c r="AD133" s="53" t="str">
        <f t="shared" si="87"/>
        <v>DNS/DNF ()</v>
      </c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62" t="str">
        <f t="shared" si="88"/>
        <v>DNS/DNF</v>
      </c>
      <c r="AV133" s="62" t="str">
        <f t="shared" si="89"/>
        <v>DNS/DNF</v>
      </c>
      <c r="AW133" s="62" t="str">
        <f t="shared" si="90"/>
        <v>DNS/DNF</v>
      </c>
      <c r="AX133" s="62" t="str">
        <f t="shared" si="91"/>
        <v>DNS/DNF</v>
      </c>
      <c r="AY133" s="62" t="str">
        <f t="shared" si="92"/>
        <v>DNS/DNF</v>
      </c>
      <c r="AZ133" s="62" t="str">
        <f t="shared" si="93"/>
        <v>DNS/DNF</v>
      </c>
      <c r="BA133" s="62" t="str">
        <f t="shared" si="94"/>
        <v>DNS/DNF</v>
      </c>
      <c r="BB133" s="62" t="str">
        <f t="shared" si="95"/>
        <v>DNS/DNF</v>
      </c>
      <c r="BC133" s="75" t="str">
        <f t="shared" si="96"/>
        <v/>
      </c>
      <c r="BD133" s="53" t="str">
        <f t="shared" si="97"/>
        <v/>
      </c>
      <c r="BE133" s="53" t="str">
        <f t="shared" si="98"/>
        <v/>
      </c>
      <c r="BF133" s="53" t="str">
        <f t="shared" si="99"/>
        <v/>
      </c>
      <c r="BG133" s="53" t="str">
        <f t="shared" si="100"/>
        <v/>
      </c>
      <c r="BH133" s="53" t="str">
        <f t="shared" si="101"/>
        <v/>
      </c>
      <c r="BI133" s="53" t="str">
        <f t="shared" si="102"/>
        <v/>
      </c>
      <c r="BJ133" s="53" t="str">
        <f t="shared" si="103"/>
        <v/>
      </c>
      <c r="BK133" s="53" t="str">
        <f t="shared" si="104"/>
        <v/>
      </c>
    </row>
    <row r="134" spans="1:63">
      <c r="A134" s="53"/>
      <c r="B134" s="89" t="str">
        <f>IFERROR(VLOOKUP($A134,EntryList!$A$3:$N$645,2,FALSE),"")</f>
        <v/>
      </c>
      <c r="C134" s="74"/>
      <c r="D134" s="53">
        <f t="shared" si="78"/>
        <v>0</v>
      </c>
      <c r="E134" s="62"/>
      <c r="F134" s="62"/>
      <c r="G134" s="62"/>
      <c r="H134" s="62"/>
      <c r="I134" s="62"/>
      <c r="J134" s="62"/>
      <c r="K134" s="62"/>
      <c r="L134" s="62"/>
      <c r="M134" s="62"/>
      <c r="N134" s="62">
        <f t="shared" si="79"/>
        <v>0</v>
      </c>
      <c r="O134" s="53" t="str">
        <f t="shared" si="70"/>
        <v/>
      </c>
      <c r="P134" s="53" t="str">
        <f t="shared" si="71"/>
        <v/>
      </c>
      <c r="Q134" s="53" t="str">
        <f t="shared" si="72"/>
        <v/>
      </c>
      <c r="R134" s="53" t="str">
        <f t="shared" si="73"/>
        <v/>
      </c>
      <c r="S134" s="53" t="str">
        <f t="shared" si="74"/>
        <v/>
      </c>
      <c r="T134" s="53" t="str">
        <f t="shared" si="75"/>
        <v/>
      </c>
      <c r="U134" s="53" t="str">
        <f t="shared" si="76"/>
        <v/>
      </c>
      <c r="V134" s="53" t="str">
        <f t="shared" si="77"/>
        <v/>
      </c>
      <c r="W134" s="53" t="str">
        <f t="shared" si="80"/>
        <v>DNS/DNF ()</v>
      </c>
      <c r="X134" s="53" t="str">
        <f t="shared" si="81"/>
        <v>DNS/DNF ()</v>
      </c>
      <c r="Y134" s="53" t="str">
        <f t="shared" si="82"/>
        <v>DNS/DNF ()</v>
      </c>
      <c r="Z134" s="53" t="str">
        <f t="shared" si="83"/>
        <v>DNS/DNF ()</v>
      </c>
      <c r="AA134" s="53" t="str">
        <f t="shared" si="84"/>
        <v>DNS/DNF ()</v>
      </c>
      <c r="AB134" s="53" t="str">
        <f t="shared" si="85"/>
        <v>DNS/DNF ()</v>
      </c>
      <c r="AC134" s="53" t="str">
        <f t="shared" si="86"/>
        <v>DNS/DNF ()</v>
      </c>
      <c r="AD134" s="53" t="str">
        <f t="shared" si="87"/>
        <v>DNS/DNF ()</v>
      </c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62" t="str">
        <f t="shared" si="88"/>
        <v>DNS/DNF</v>
      </c>
      <c r="AV134" s="62" t="str">
        <f t="shared" si="89"/>
        <v>DNS/DNF</v>
      </c>
      <c r="AW134" s="62" t="str">
        <f t="shared" si="90"/>
        <v>DNS/DNF</v>
      </c>
      <c r="AX134" s="62" t="str">
        <f t="shared" si="91"/>
        <v>DNS/DNF</v>
      </c>
      <c r="AY134" s="62" t="str">
        <f t="shared" si="92"/>
        <v>DNS/DNF</v>
      </c>
      <c r="AZ134" s="62" t="str">
        <f t="shared" si="93"/>
        <v>DNS/DNF</v>
      </c>
      <c r="BA134" s="62" t="str">
        <f t="shared" si="94"/>
        <v>DNS/DNF</v>
      </c>
      <c r="BB134" s="62" t="str">
        <f t="shared" si="95"/>
        <v>DNS/DNF</v>
      </c>
      <c r="BC134" s="75" t="str">
        <f t="shared" si="96"/>
        <v/>
      </c>
      <c r="BD134" s="53" t="str">
        <f t="shared" si="97"/>
        <v/>
      </c>
      <c r="BE134" s="53" t="str">
        <f t="shared" si="98"/>
        <v/>
      </c>
      <c r="BF134" s="53" t="str">
        <f t="shared" si="99"/>
        <v/>
      </c>
      <c r="BG134" s="53" t="str">
        <f t="shared" si="100"/>
        <v/>
      </c>
      <c r="BH134" s="53" t="str">
        <f t="shared" si="101"/>
        <v/>
      </c>
      <c r="BI134" s="53" t="str">
        <f t="shared" si="102"/>
        <v/>
      </c>
      <c r="BJ134" s="53" t="str">
        <f t="shared" si="103"/>
        <v/>
      </c>
      <c r="BK134" s="53" t="str">
        <f t="shared" si="104"/>
        <v/>
      </c>
    </row>
    <row r="135" spans="1:63">
      <c r="A135" s="53"/>
      <c r="B135" s="89" t="str">
        <f>IFERROR(VLOOKUP($A135,EntryList!$A$3:$N$645,2,FALSE),"")</f>
        <v/>
      </c>
      <c r="C135" s="74"/>
      <c r="D135" s="53">
        <f t="shared" si="78"/>
        <v>0</v>
      </c>
      <c r="E135" s="62"/>
      <c r="F135" s="62"/>
      <c r="G135" s="62"/>
      <c r="H135" s="62"/>
      <c r="I135" s="62"/>
      <c r="J135" s="62"/>
      <c r="K135" s="62"/>
      <c r="L135" s="62"/>
      <c r="M135" s="62"/>
      <c r="N135" s="62">
        <f t="shared" si="79"/>
        <v>0</v>
      </c>
      <c r="O135" s="53" t="str">
        <f t="shared" si="70"/>
        <v/>
      </c>
      <c r="P135" s="53" t="str">
        <f t="shared" si="71"/>
        <v/>
      </c>
      <c r="Q135" s="53" t="str">
        <f t="shared" si="72"/>
        <v/>
      </c>
      <c r="R135" s="53" t="str">
        <f t="shared" si="73"/>
        <v/>
      </c>
      <c r="S135" s="53" t="str">
        <f t="shared" si="74"/>
        <v/>
      </c>
      <c r="T135" s="53" t="str">
        <f t="shared" si="75"/>
        <v/>
      </c>
      <c r="U135" s="53" t="str">
        <f t="shared" si="76"/>
        <v/>
      </c>
      <c r="V135" s="53" t="str">
        <f t="shared" si="77"/>
        <v/>
      </c>
      <c r="W135" s="53" t="str">
        <f t="shared" si="80"/>
        <v>DNS/DNF ()</v>
      </c>
      <c r="X135" s="53" t="str">
        <f t="shared" si="81"/>
        <v>DNS/DNF ()</v>
      </c>
      <c r="Y135" s="53" t="str">
        <f t="shared" si="82"/>
        <v>DNS/DNF ()</v>
      </c>
      <c r="Z135" s="53" t="str">
        <f t="shared" si="83"/>
        <v>DNS/DNF ()</v>
      </c>
      <c r="AA135" s="53" t="str">
        <f t="shared" si="84"/>
        <v>DNS/DNF ()</v>
      </c>
      <c r="AB135" s="53" t="str">
        <f t="shared" si="85"/>
        <v>DNS/DNF ()</v>
      </c>
      <c r="AC135" s="53" t="str">
        <f t="shared" si="86"/>
        <v>DNS/DNF ()</v>
      </c>
      <c r="AD135" s="53" t="str">
        <f t="shared" si="87"/>
        <v>DNS/DNF ()</v>
      </c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62" t="str">
        <f t="shared" si="88"/>
        <v>DNS/DNF</v>
      </c>
      <c r="AV135" s="62" t="str">
        <f t="shared" si="89"/>
        <v>DNS/DNF</v>
      </c>
      <c r="AW135" s="62" t="str">
        <f t="shared" si="90"/>
        <v>DNS/DNF</v>
      </c>
      <c r="AX135" s="62" t="str">
        <f t="shared" si="91"/>
        <v>DNS/DNF</v>
      </c>
      <c r="AY135" s="62" t="str">
        <f t="shared" si="92"/>
        <v>DNS/DNF</v>
      </c>
      <c r="AZ135" s="62" t="str">
        <f t="shared" si="93"/>
        <v>DNS/DNF</v>
      </c>
      <c r="BA135" s="62" t="str">
        <f t="shared" si="94"/>
        <v>DNS/DNF</v>
      </c>
      <c r="BB135" s="62" t="str">
        <f t="shared" si="95"/>
        <v>DNS/DNF</v>
      </c>
      <c r="BC135" s="75" t="str">
        <f t="shared" si="96"/>
        <v/>
      </c>
      <c r="BD135" s="53" t="str">
        <f t="shared" si="97"/>
        <v/>
      </c>
      <c r="BE135" s="53" t="str">
        <f t="shared" si="98"/>
        <v/>
      </c>
      <c r="BF135" s="53" t="str">
        <f t="shared" si="99"/>
        <v/>
      </c>
      <c r="BG135" s="53" t="str">
        <f t="shared" si="100"/>
        <v/>
      </c>
      <c r="BH135" s="53" t="str">
        <f t="shared" si="101"/>
        <v/>
      </c>
      <c r="BI135" s="53" t="str">
        <f t="shared" si="102"/>
        <v/>
      </c>
      <c r="BJ135" s="53" t="str">
        <f t="shared" si="103"/>
        <v/>
      </c>
      <c r="BK135" s="53" t="str">
        <f t="shared" si="104"/>
        <v/>
      </c>
    </row>
    <row r="136" spans="1:63">
      <c r="A136" s="53"/>
      <c r="B136" s="89" t="str">
        <f>IFERROR(VLOOKUP($A136,EntryList!$A$3:$N$645,2,FALSE),"")</f>
        <v/>
      </c>
      <c r="C136" s="74"/>
      <c r="D136" s="53">
        <f t="shared" si="78"/>
        <v>0</v>
      </c>
      <c r="E136" s="62"/>
      <c r="F136" s="62"/>
      <c r="G136" s="62"/>
      <c r="H136" s="62"/>
      <c r="I136" s="62"/>
      <c r="J136" s="62"/>
      <c r="K136" s="62"/>
      <c r="L136" s="62"/>
      <c r="M136" s="62"/>
      <c r="N136" s="62">
        <f t="shared" si="79"/>
        <v>0</v>
      </c>
      <c r="O136" s="53" t="str">
        <f t="shared" si="70"/>
        <v/>
      </c>
      <c r="P136" s="53" t="str">
        <f t="shared" si="71"/>
        <v/>
      </c>
      <c r="Q136" s="53" t="str">
        <f t="shared" si="72"/>
        <v/>
      </c>
      <c r="R136" s="53" t="str">
        <f t="shared" si="73"/>
        <v/>
      </c>
      <c r="S136" s="53" t="str">
        <f t="shared" si="74"/>
        <v/>
      </c>
      <c r="T136" s="53" t="str">
        <f t="shared" si="75"/>
        <v/>
      </c>
      <c r="U136" s="53" t="str">
        <f t="shared" si="76"/>
        <v/>
      </c>
      <c r="V136" s="53" t="str">
        <f t="shared" si="77"/>
        <v/>
      </c>
      <c r="W136" s="53" t="str">
        <f t="shared" si="80"/>
        <v>DNS/DNF ()</v>
      </c>
      <c r="X136" s="53" t="str">
        <f t="shared" si="81"/>
        <v>DNS/DNF ()</v>
      </c>
      <c r="Y136" s="53" t="str">
        <f t="shared" si="82"/>
        <v>DNS/DNF ()</v>
      </c>
      <c r="Z136" s="53" t="str">
        <f t="shared" si="83"/>
        <v>DNS/DNF ()</v>
      </c>
      <c r="AA136" s="53" t="str">
        <f t="shared" si="84"/>
        <v>DNS/DNF ()</v>
      </c>
      <c r="AB136" s="53" t="str">
        <f t="shared" si="85"/>
        <v>DNS/DNF ()</v>
      </c>
      <c r="AC136" s="53" t="str">
        <f t="shared" si="86"/>
        <v>DNS/DNF ()</v>
      </c>
      <c r="AD136" s="53" t="str">
        <f t="shared" si="87"/>
        <v>DNS/DNF ()</v>
      </c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62" t="str">
        <f t="shared" si="88"/>
        <v>DNS/DNF</v>
      </c>
      <c r="AV136" s="62" t="str">
        <f t="shared" si="89"/>
        <v>DNS/DNF</v>
      </c>
      <c r="AW136" s="62" t="str">
        <f t="shared" si="90"/>
        <v>DNS/DNF</v>
      </c>
      <c r="AX136" s="62" t="str">
        <f t="shared" si="91"/>
        <v>DNS/DNF</v>
      </c>
      <c r="AY136" s="62" t="str">
        <f t="shared" si="92"/>
        <v>DNS/DNF</v>
      </c>
      <c r="AZ136" s="62" t="str">
        <f t="shared" si="93"/>
        <v>DNS/DNF</v>
      </c>
      <c r="BA136" s="62" t="str">
        <f t="shared" si="94"/>
        <v>DNS/DNF</v>
      </c>
      <c r="BB136" s="62" t="str">
        <f t="shared" si="95"/>
        <v>DNS/DNF</v>
      </c>
      <c r="BC136" s="75" t="str">
        <f t="shared" si="96"/>
        <v/>
      </c>
      <c r="BD136" s="53" t="str">
        <f t="shared" si="97"/>
        <v/>
      </c>
      <c r="BE136" s="53" t="str">
        <f t="shared" si="98"/>
        <v/>
      </c>
      <c r="BF136" s="53" t="str">
        <f t="shared" si="99"/>
        <v/>
      </c>
      <c r="BG136" s="53" t="str">
        <f t="shared" si="100"/>
        <v/>
      </c>
      <c r="BH136" s="53" t="str">
        <f t="shared" si="101"/>
        <v/>
      </c>
      <c r="BI136" s="53" t="str">
        <f t="shared" si="102"/>
        <v/>
      </c>
      <c r="BJ136" s="53" t="str">
        <f t="shared" si="103"/>
        <v/>
      </c>
      <c r="BK136" s="53" t="str">
        <f t="shared" si="104"/>
        <v/>
      </c>
    </row>
    <row r="137" spans="1:63">
      <c r="A137" s="53"/>
      <c r="B137" s="89" t="str">
        <f>IFERROR(VLOOKUP($A137,EntryList!$A$3:$N$645,2,FALSE),"")</f>
        <v/>
      </c>
      <c r="C137" s="74"/>
      <c r="D137" s="53">
        <f t="shared" si="78"/>
        <v>0</v>
      </c>
      <c r="E137" s="62"/>
      <c r="F137" s="62"/>
      <c r="G137" s="62"/>
      <c r="H137" s="62"/>
      <c r="I137" s="62"/>
      <c r="J137" s="62"/>
      <c r="K137" s="62"/>
      <c r="L137" s="62"/>
      <c r="M137" s="62"/>
      <c r="N137" s="62">
        <f t="shared" si="79"/>
        <v>0</v>
      </c>
      <c r="O137" s="53" t="str">
        <f t="shared" si="70"/>
        <v/>
      </c>
      <c r="P137" s="53" t="str">
        <f t="shared" si="71"/>
        <v/>
      </c>
      <c r="Q137" s="53" t="str">
        <f t="shared" si="72"/>
        <v/>
      </c>
      <c r="R137" s="53" t="str">
        <f t="shared" si="73"/>
        <v/>
      </c>
      <c r="S137" s="53" t="str">
        <f t="shared" si="74"/>
        <v/>
      </c>
      <c r="T137" s="53" t="str">
        <f t="shared" si="75"/>
        <v/>
      </c>
      <c r="U137" s="53" t="str">
        <f t="shared" si="76"/>
        <v/>
      </c>
      <c r="V137" s="53" t="str">
        <f t="shared" si="77"/>
        <v/>
      </c>
      <c r="W137" s="53" t="str">
        <f t="shared" si="80"/>
        <v>DNS/DNF ()</v>
      </c>
      <c r="X137" s="53" t="str">
        <f t="shared" si="81"/>
        <v>DNS/DNF ()</v>
      </c>
      <c r="Y137" s="53" t="str">
        <f t="shared" si="82"/>
        <v>DNS/DNF ()</v>
      </c>
      <c r="Z137" s="53" t="str">
        <f t="shared" si="83"/>
        <v>DNS/DNF ()</v>
      </c>
      <c r="AA137" s="53" t="str">
        <f t="shared" si="84"/>
        <v>DNS/DNF ()</v>
      </c>
      <c r="AB137" s="53" t="str">
        <f t="shared" si="85"/>
        <v>DNS/DNF ()</v>
      </c>
      <c r="AC137" s="53" t="str">
        <f t="shared" si="86"/>
        <v>DNS/DNF ()</v>
      </c>
      <c r="AD137" s="53" t="str">
        <f t="shared" si="87"/>
        <v>DNS/DNF ()</v>
      </c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62" t="str">
        <f t="shared" si="88"/>
        <v>DNS/DNF</v>
      </c>
      <c r="AV137" s="62" t="str">
        <f t="shared" si="89"/>
        <v>DNS/DNF</v>
      </c>
      <c r="AW137" s="62" t="str">
        <f t="shared" si="90"/>
        <v>DNS/DNF</v>
      </c>
      <c r="AX137" s="62" t="str">
        <f t="shared" si="91"/>
        <v>DNS/DNF</v>
      </c>
      <c r="AY137" s="62" t="str">
        <f t="shared" si="92"/>
        <v>DNS/DNF</v>
      </c>
      <c r="AZ137" s="62" t="str">
        <f t="shared" si="93"/>
        <v>DNS/DNF</v>
      </c>
      <c r="BA137" s="62" t="str">
        <f t="shared" si="94"/>
        <v>DNS/DNF</v>
      </c>
      <c r="BB137" s="62" t="str">
        <f t="shared" si="95"/>
        <v>DNS/DNF</v>
      </c>
      <c r="BC137" s="75" t="str">
        <f t="shared" si="96"/>
        <v/>
      </c>
      <c r="BD137" s="53" t="str">
        <f t="shared" si="97"/>
        <v/>
      </c>
      <c r="BE137" s="53" t="str">
        <f t="shared" si="98"/>
        <v/>
      </c>
      <c r="BF137" s="53" t="str">
        <f t="shared" si="99"/>
        <v/>
      </c>
      <c r="BG137" s="53" t="str">
        <f t="shared" si="100"/>
        <v/>
      </c>
      <c r="BH137" s="53" t="str">
        <f t="shared" si="101"/>
        <v/>
      </c>
      <c r="BI137" s="53" t="str">
        <f t="shared" si="102"/>
        <v/>
      </c>
      <c r="BJ137" s="53" t="str">
        <f t="shared" si="103"/>
        <v/>
      </c>
      <c r="BK137" s="53" t="str">
        <f t="shared" si="104"/>
        <v/>
      </c>
    </row>
    <row r="138" spans="1:63">
      <c r="A138" s="53"/>
      <c r="B138" s="89" t="str">
        <f>IFERROR(VLOOKUP($A138,EntryList!$A$3:$N$645,2,FALSE),"")</f>
        <v/>
      </c>
      <c r="C138" s="74"/>
      <c r="D138" s="53">
        <f t="shared" si="78"/>
        <v>0</v>
      </c>
      <c r="E138" s="62"/>
      <c r="F138" s="62"/>
      <c r="G138" s="62"/>
      <c r="H138" s="62"/>
      <c r="I138" s="62"/>
      <c r="J138" s="62"/>
      <c r="K138" s="62"/>
      <c r="L138" s="62"/>
      <c r="M138" s="62"/>
      <c r="N138" s="62">
        <f t="shared" si="79"/>
        <v>0</v>
      </c>
      <c r="O138" s="53" t="str">
        <f t="shared" si="70"/>
        <v/>
      </c>
      <c r="P138" s="53" t="str">
        <f t="shared" si="71"/>
        <v/>
      </c>
      <c r="Q138" s="53" t="str">
        <f t="shared" si="72"/>
        <v/>
      </c>
      <c r="R138" s="53" t="str">
        <f t="shared" si="73"/>
        <v/>
      </c>
      <c r="S138" s="53" t="str">
        <f t="shared" si="74"/>
        <v/>
      </c>
      <c r="T138" s="53" t="str">
        <f t="shared" si="75"/>
        <v/>
      </c>
      <c r="U138" s="53" t="str">
        <f t="shared" si="76"/>
        <v/>
      </c>
      <c r="V138" s="53" t="str">
        <f t="shared" si="77"/>
        <v/>
      </c>
      <c r="W138" s="53" t="str">
        <f t="shared" si="80"/>
        <v>DNS/DNF ()</v>
      </c>
      <c r="X138" s="53" t="str">
        <f t="shared" si="81"/>
        <v>DNS/DNF ()</v>
      </c>
      <c r="Y138" s="53" t="str">
        <f t="shared" si="82"/>
        <v>DNS/DNF ()</v>
      </c>
      <c r="Z138" s="53" t="str">
        <f t="shared" si="83"/>
        <v>DNS/DNF ()</v>
      </c>
      <c r="AA138" s="53" t="str">
        <f t="shared" si="84"/>
        <v>DNS/DNF ()</v>
      </c>
      <c r="AB138" s="53" t="str">
        <f t="shared" si="85"/>
        <v>DNS/DNF ()</v>
      </c>
      <c r="AC138" s="53" t="str">
        <f t="shared" si="86"/>
        <v>DNS/DNF ()</v>
      </c>
      <c r="AD138" s="53" t="str">
        <f t="shared" si="87"/>
        <v>DNS/DNF ()</v>
      </c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62" t="str">
        <f t="shared" si="88"/>
        <v>DNS/DNF</v>
      </c>
      <c r="AV138" s="62" t="str">
        <f t="shared" si="89"/>
        <v>DNS/DNF</v>
      </c>
      <c r="AW138" s="62" t="str">
        <f t="shared" si="90"/>
        <v>DNS/DNF</v>
      </c>
      <c r="AX138" s="62" t="str">
        <f t="shared" si="91"/>
        <v>DNS/DNF</v>
      </c>
      <c r="AY138" s="62" t="str">
        <f t="shared" si="92"/>
        <v>DNS/DNF</v>
      </c>
      <c r="AZ138" s="62" t="str">
        <f t="shared" si="93"/>
        <v>DNS/DNF</v>
      </c>
      <c r="BA138" s="62" t="str">
        <f t="shared" si="94"/>
        <v>DNS/DNF</v>
      </c>
      <c r="BB138" s="62" t="str">
        <f t="shared" si="95"/>
        <v>DNS/DNF</v>
      </c>
      <c r="BC138" s="75" t="str">
        <f t="shared" si="96"/>
        <v/>
      </c>
      <c r="BD138" s="53" t="str">
        <f t="shared" si="97"/>
        <v/>
      </c>
      <c r="BE138" s="53" t="str">
        <f t="shared" si="98"/>
        <v/>
      </c>
      <c r="BF138" s="53" t="str">
        <f t="shared" si="99"/>
        <v/>
      </c>
      <c r="BG138" s="53" t="str">
        <f t="shared" si="100"/>
        <v/>
      </c>
      <c r="BH138" s="53" t="str">
        <f t="shared" si="101"/>
        <v/>
      </c>
      <c r="BI138" s="53" t="str">
        <f t="shared" si="102"/>
        <v/>
      </c>
      <c r="BJ138" s="53" t="str">
        <f t="shared" si="103"/>
        <v/>
      </c>
      <c r="BK138" s="53" t="str">
        <f t="shared" si="104"/>
        <v/>
      </c>
    </row>
    <row r="139" spans="1:63">
      <c r="A139" s="53"/>
      <c r="B139" s="89" t="str">
        <f>IFERROR(VLOOKUP($A139,EntryList!$A$3:$N$645,2,FALSE),"")</f>
        <v/>
      </c>
      <c r="C139" s="74"/>
      <c r="D139" s="53">
        <f t="shared" si="78"/>
        <v>0</v>
      </c>
      <c r="E139" s="62"/>
      <c r="F139" s="62"/>
      <c r="G139" s="62"/>
      <c r="H139" s="62"/>
      <c r="I139" s="62"/>
      <c r="J139" s="62"/>
      <c r="K139" s="62"/>
      <c r="L139" s="62"/>
      <c r="M139" s="62"/>
      <c r="N139" s="62">
        <f t="shared" si="79"/>
        <v>0</v>
      </c>
      <c r="O139" s="53" t="str">
        <f t="shared" si="70"/>
        <v/>
      </c>
      <c r="P139" s="53" t="str">
        <f t="shared" si="71"/>
        <v/>
      </c>
      <c r="Q139" s="53" t="str">
        <f t="shared" si="72"/>
        <v/>
      </c>
      <c r="R139" s="53" t="str">
        <f t="shared" si="73"/>
        <v/>
      </c>
      <c r="S139" s="53" t="str">
        <f t="shared" si="74"/>
        <v/>
      </c>
      <c r="T139" s="53" t="str">
        <f t="shared" si="75"/>
        <v/>
      </c>
      <c r="U139" s="53" t="str">
        <f t="shared" si="76"/>
        <v/>
      </c>
      <c r="V139" s="53" t="str">
        <f t="shared" si="77"/>
        <v/>
      </c>
      <c r="W139" s="53" t="str">
        <f t="shared" si="80"/>
        <v>DNS/DNF ()</v>
      </c>
      <c r="X139" s="53" t="str">
        <f t="shared" si="81"/>
        <v>DNS/DNF ()</v>
      </c>
      <c r="Y139" s="53" t="str">
        <f t="shared" si="82"/>
        <v>DNS/DNF ()</v>
      </c>
      <c r="Z139" s="53" t="str">
        <f t="shared" si="83"/>
        <v>DNS/DNF ()</v>
      </c>
      <c r="AA139" s="53" t="str">
        <f t="shared" si="84"/>
        <v>DNS/DNF ()</v>
      </c>
      <c r="AB139" s="53" t="str">
        <f t="shared" si="85"/>
        <v>DNS/DNF ()</v>
      </c>
      <c r="AC139" s="53" t="str">
        <f t="shared" si="86"/>
        <v>DNS/DNF ()</v>
      </c>
      <c r="AD139" s="53" t="str">
        <f t="shared" si="87"/>
        <v>DNS/DNF ()</v>
      </c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62" t="str">
        <f t="shared" si="88"/>
        <v>DNS/DNF</v>
      </c>
      <c r="AV139" s="62" t="str">
        <f t="shared" si="89"/>
        <v>DNS/DNF</v>
      </c>
      <c r="AW139" s="62" t="str">
        <f t="shared" si="90"/>
        <v>DNS/DNF</v>
      </c>
      <c r="AX139" s="62" t="str">
        <f t="shared" si="91"/>
        <v>DNS/DNF</v>
      </c>
      <c r="AY139" s="62" t="str">
        <f t="shared" si="92"/>
        <v>DNS/DNF</v>
      </c>
      <c r="AZ139" s="62" t="str">
        <f t="shared" si="93"/>
        <v>DNS/DNF</v>
      </c>
      <c r="BA139" s="62" t="str">
        <f t="shared" si="94"/>
        <v>DNS/DNF</v>
      </c>
      <c r="BB139" s="62" t="str">
        <f t="shared" si="95"/>
        <v>DNS/DNF</v>
      </c>
      <c r="BC139" s="75" t="str">
        <f t="shared" si="96"/>
        <v/>
      </c>
      <c r="BD139" s="53" t="str">
        <f t="shared" si="97"/>
        <v/>
      </c>
      <c r="BE139" s="53" t="str">
        <f t="shared" si="98"/>
        <v/>
      </c>
      <c r="BF139" s="53" t="str">
        <f t="shared" si="99"/>
        <v/>
      </c>
      <c r="BG139" s="53" t="str">
        <f t="shared" si="100"/>
        <v/>
      </c>
      <c r="BH139" s="53" t="str">
        <f t="shared" si="101"/>
        <v/>
      </c>
      <c r="BI139" s="53" t="str">
        <f t="shared" si="102"/>
        <v/>
      </c>
      <c r="BJ139" s="53" t="str">
        <f t="shared" si="103"/>
        <v/>
      </c>
      <c r="BK139" s="53" t="str">
        <f t="shared" si="104"/>
        <v/>
      </c>
    </row>
    <row r="140" spans="1:63">
      <c r="A140" s="53"/>
      <c r="B140" s="89" t="str">
        <f>IFERROR(VLOOKUP($A140,EntryList!$A$3:$N$645,2,FALSE),"")</f>
        <v/>
      </c>
      <c r="C140" s="74"/>
      <c r="D140" s="53">
        <f t="shared" si="78"/>
        <v>0</v>
      </c>
      <c r="E140" s="62"/>
      <c r="F140" s="62"/>
      <c r="G140" s="62"/>
      <c r="H140" s="62"/>
      <c r="I140" s="62"/>
      <c r="J140" s="62"/>
      <c r="K140" s="62"/>
      <c r="L140" s="62"/>
      <c r="M140" s="62"/>
      <c r="N140" s="62">
        <f t="shared" si="79"/>
        <v>0</v>
      </c>
      <c r="O140" s="53" t="str">
        <f t="shared" si="70"/>
        <v/>
      </c>
      <c r="P140" s="53" t="str">
        <f t="shared" si="71"/>
        <v/>
      </c>
      <c r="Q140" s="53" t="str">
        <f t="shared" si="72"/>
        <v/>
      </c>
      <c r="R140" s="53" t="str">
        <f t="shared" si="73"/>
        <v/>
      </c>
      <c r="S140" s="53" t="str">
        <f t="shared" si="74"/>
        <v/>
      </c>
      <c r="T140" s="53" t="str">
        <f t="shared" si="75"/>
        <v/>
      </c>
      <c r="U140" s="53" t="str">
        <f t="shared" si="76"/>
        <v/>
      </c>
      <c r="V140" s="53" t="str">
        <f t="shared" si="77"/>
        <v/>
      </c>
      <c r="W140" s="53" t="str">
        <f t="shared" si="80"/>
        <v>DNS/DNF ()</v>
      </c>
      <c r="X140" s="53" t="str">
        <f t="shared" si="81"/>
        <v>DNS/DNF ()</v>
      </c>
      <c r="Y140" s="53" t="str">
        <f t="shared" si="82"/>
        <v>DNS/DNF ()</v>
      </c>
      <c r="Z140" s="53" t="str">
        <f t="shared" si="83"/>
        <v>DNS/DNF ()</v>
      </c>
      <c r="AA140" s="53" t="str">
        <f t="shared" si="84"/>
        <v>DNS/DNF ()</v>
      </c>
      <c r="AB140" s="53" t="str">
        <f t="shared" si="85"/>
        <v>DNS/DNF ()</v>
      </c>
      <c r="AC140" s="53" t="str">
        <f t="shared" si="86"/>
        <v>DNS/DNF ()</v>
      </c>
      <c r="AD140" s="53" t="str">
        <f t="shared" si="87"/>
        <v>DNS/DNF ()</v>
      </c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62" t="str">
        <f t="shared" si="88"/>
        <v>DNS/DNF</v>
      </c>
      <c r="AV140" s="62" t="str">
        <f t="shared" si="89"/>
        <v>DNS/DNF</v>
      </c>
      <c r="AW140" s="62" t="str">
        <f t="shared" si="90"/>
        <v>DNS/DNF</v>
      </c>
      <c r="AX140" s="62" t="str">
        <f t="shared" si="91"/>
        <v>DNS/DNF</v>
      </c>
      <c r="AY140" s="62" t="str">
        <f t="shared" si="92"/>
        <v>DNS/DNF</v>
      </c>
      <c r="AZ140" s="62" t="str">
        <f t="shared" si="93"/>
        <v>DNS/DNF</v>
      </c>
      <c r="BA140" s="62" t="str">
        <f t="shared" si="94"/>
        <v>DNS/DNF</v>
      </c>
      <c r="BB140" s="62" t="str">
        <f t="shared" si="95"/>
        <v>DNS/DNF</v>
      </c>
      <c r="BC140" s="75" t="str">
        <f t="shared" si="96"/>
        <v/>
      </c>
      <c r="BD140" s="53" t="str">
        <f t="shared" si="97"/>
        <v/>
      </c>
      <c r="BE140" s="53" t="str">
        <f t="shared" si="98"/>
        <v/>
      </c>
      <c r="BF140" s="53" t="str">
        <f t="shared" si="99"/>
        <v/>
      </c>
      <c r="BG140" s="53" t="str">
        <f t="shared" si="100"/>
        <v/>
      </c>
      <c r="BH140" s="53" t="str">
        <f t="shared" si="101"/>
        <v/>
      </c>
      <c r="BI140" s="53" t="str">
        <f t="shared" si="102"/>
        <v/>
      </c>
      <c r="BJ140" s="53" t="str">
        <f t="shared" si="103"/>
        <v/>
      </c>
      <c r="BK140" s="53" t="str">
        <f t="shared" si="104"/>
        <v/>
      </c>
    </row>
    <row r="141" spans="1:63">
      <c r="A141" s="53"/>
      <c r="B141" s="89" t="str">
        <f>IFERROR(VLOOKUP($A141,EntryList!$A$3:$N$645,2,FALSE),"")</f>
        <v/>
      </c>
      <c r="C141" s="74"/>
      <c r="D141" s="53">
        <f t="shared" si="78"/>
        <v>0</v>
      </c>
      <c r="E141" s="62"/>
      <c r="F141" s="62"/>
      <c r="G141" s="62"/>
      <c r="H141" s="62"/>
      <c r="I141" s="62"/>
      <c r="J141" s="62"/>
      <c r="K141" s="62"/>
      <c r="L141" s="62"/>
      <c r="M141" s="62"/>
      <c r="N141" s="62">
        <f t="shared" si="79"/>
        <v>0</v>
      </c>
      <c r="O141" s="53" t="str">
        <f t="shared" si="70"/>
        <v/>
      </c>
      <c r="P141" s="53" t="str">
        <f t="shared" si="71"/>
        <v/>
      </c>
      <c r="Q141" s="53" t="str">
        <f t="shared" si="72"/>
        <v/>
      </c>
      <c r="R141" s="53" t="str">
        <f t="shared" si="73"/>
        <v/>
      </c>
      <c r="S141" s="53" t="str">
        <f t="shared" si="74"/>
        <v/>
      </c>
      <c r="T141" s="53" t="str">
        <f t="shared" si="75"/>
        <v/>
      </c>
      <c r="U141" s="53" t="str">
        <f t="shared" si="76"/>
        <v/>
      </c>
      <c r="V141" s="53" t="str">
        <f t="shared" si="77"/>
        <v/>
      </c>
      <c r="W141" s="53" t="str">
        <f t="shared" si="80"/>
        <v>DNS/DNF ()</v>
      </c>
      <c r="X141" s="53" t="str">
        <f t="shared" si="81"/>
        <v>DNS/DNF ()</v>
      </c>
      <c r="Y141" s="53" t="str">
        <f t="shared" si="82"/>
        <v>DNS/DNF ()</v>
      </c>
      <c r="Z141" s="53" t="str">
        <f t="shared" si="83"/>
        <v>DNS/DNF ()</v>
      </c>
      <c r="AA141" s="53" t="str">
        <f t="shared" si="84"/>
        <v>DNS/DNF ()</v>
      </c>
      <c r="AB141" s="53" t="str">
        <f t="shared" si="85"/>
        <v>DNS/DNF ()</v>
      </c>
      <c r="AC141" s="53" t="str">
        <f t="shared" si="86"/>
        <v>DNS/DNF ()</v>
      </c>
      <c r="AD141" s="53" t="str">
        <f t="shared" si="87"/>
        <v>DNS/DNF ()</v>
      </c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62" t="str">
        <f t="shared" si="88"/>
        <v>DNS/DNF</v>
      </c>
      <c r="AV141" s="62" t="str">
        <f t="shared" si="89"/>
        <v>DNS/DNF</v>
      </c>
      <c r="AW141" s="62" t="str">
        <f t="shared" si="90"/>
        <v>DNS/DNF</v>
      </c>
      <c r="AX141" s="62" t="str">
        <f t="shared" si="91"/>
        <v>DNS/DNF</v>
      </c>
      <c r="AY141" s="62" t="str">
        <f t="shared" si="92"/>
        <v>DNS/DNF</v>
      </c>
      <c r="AZ141" s="62" t="str">
        <f t="shared" si="93"/>
        <v>DNS/DNF</v>
      </c>
      <c r="BA141" s="62" t="str">
        <f t="shared" si="94"/>
        <v>DNS/DNF</v>
      </c>
      <c r="BB141" s="62" t="str">
        <f t="shared" si="95"/>
        <v>DNS/DNF</v>
      </c>
      <c r="BC141" s="75" t="str">
        <f t="shared" si="96"/>
        <v/>
      </c>
      <c r="BD141" s="53" t="str">
        <f t="shared" si="97"/>
        <v/>
      </c>
      <c r="BE141" s="53" t="str">
        <f t="shared" si="98"/>
        <v/>
      </c>
      <c r="BF141" s="53" t="str">
        <f t="shared" si="99"/>
        <v/>
      </c>
      <c r="BG141" s="53" t="str">
        <f t="shared" si="100"/>
        <v/>
      </c>
      <c r="BH141" s="53" t="str">
        <f t="shared" si="101"/>
        <v/>
      </c>
      <c r="BI141" s="53" t="str">
        <f t="shared" si="102"/>
        <v/>
      </c>
      <c r="BJ141" s="53" t="str">
        <f t="shared" si="103"/>
        <v/>
      </c>
      <c r="BK141" s="53" t="str">
        <f t="shared" si="104"/>
        <v/>
      </c>
    </row>
    <row r="142" spans="1:63">
      <c r="A142" s="53"/>
      <c r="B142" s="89" t="str">
        <f>IFERROR(VLOOKUP($A142,EntryList!$A$3:$N$645,2,FALSE),"")</f>
        <v/>
      </c>
      <c r="C142" s="74"/>
      <c r="D142" s="53">
        <f t="shared" si="78"/>
        <v>0</v>
      </c>
      <c r="E142" s="62"/>
      <c r="F142" s="62"/>
      <c r="G142" s="62"/>
      <c r="H142" s="62"/>
      <c r="I142" s="62"/>
      <c r="J142" s="62"/>
      <c r="K142" s="62"/>
      <c r="L142" s="62"/>
      <c r="M142" s="62"/>
      <c r="N142" s="62">
        <f t="shared" si="79"/>
        <v>0</v>
      </c>
      <c r="O142" s="53" t="str">
        <f t="shared" si="70"/>
        <v/>
      </c>
      <c r="P142" s="53" t="str">
        <f t="shared" si="71"/>
        <v/>
      </c>
      <c r="Q142" s="53" t="str">
        <f t="shared" si="72"/>
        <v/>
      </c>
      <c r="R142" s="53" t="str">
        <f t="shared" si="73"/>
        <v/>
      </c>
      <c r="S142" s="53" t="str">
        <f t="shared" si="74"/>
        <v/>
      </c>
      <c r="T142" s="53" t="str">
        <f t="shared" si="75"/>
        <v/>
      </c>
      <c r="U142" s="53" t="str">
        <f t="shared" si="76"/>
        <v/>
      </c>
      <c r="V142" s="53" t="str">
        <f t="shared" si="77"/>
        <v/>
      </c>
      <c r="W142" s="53" t="str">
        <f t="shared" si="80"/>
        <v>DNS/DNF ()</v>
      </c>
      <c r="X142" s="53" t="str">
        <f t="shared" si="81"/>
        <v>DNS/DNF ()</v>
      </c>
      <c r="Y142" s="53" t="str">
        <f t="shared" si="82"/>
        <v>DNS/DNF ()</v>
      </c>
      <c r="Z142" s="53" t="str">
        <f t="shared" si="83"/>
        <v>DNS/DNF ()</v>
      </c>
      <c r="AA142" s="53" t="str">
        <f t="shared" si="84"/>
        <v>DNS/DNF ()</v>
      </c>
      <c r="AB142" s="53" t="str">
        <f t="shared" si="85"/>
        <v>DNS/DNF ()</v>
      </c>
      <c r="AC142" s="53" t="str">
        <f t="shared" si="86"/>
        <v>DNS/DNF ()</v>
      </c>
      <c r="AD142" s="53" t="str">
        <f t="shared" si="87"/>
        <v>DNS/DNF ()</v>
      </c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62" t="str">
        <f t="shared" si="88"/>
        <v>DNS/DNF</v>
      </c>
      <c r="AV142" s="62" t="str">
        <f t="shared" si="89"/>
        <v>DNS/DNF</v>
      </c>
      <c r="AW142" s="62" t="str">
        <f t="shared" si="90"/>
        <v>DNS/DNF</v>
      </c>
      <c r="AX142" s="62" t="str">
        <f t="shared" si="91"/>
        <v>DNS/DNF</v>
      </c>
      <c r="AY142" s="62" t="str">
        <f t="shared" si="92"/>
        <v>DNS/DNF</v>
      </c>
      <c r="AZ142" s="62" t="str">
        <f t="shared" si="93"/>
        <v>DNS/DNF</v>
      </c>
      <c r="BA142" s="62" t="str">
        <f t="shared" si="94"/>
        <v>DNS/DNF</v>
      </c>
      <c r="BB142" s="62" t="str">
        <f t="shared" si="95"/>
        <v>DNS/DNF</v>
      </c>
      <c r="BC142" s="75" t="str">
        <f t="shared" si="96"/>
        <v/>
      </c>
      <c r="BD142" s="53" t="str">
        <f t="shared" si="97"/>
        <v/>
      </c>
      <c r="BE142" s="53" t="str">
        <f t="shared" si="98"/>
        <v/>
      </c>
      <c r="BF142" s="53" t="str">
        <f t="shared" si="99"/>
        <v/>
      </c>
      <c r="BG142" s="53" t="str">
        <f t="shared" si="100"/>
        <v/>
      </c>
      <c r="BH142" s="53" t="str">
        <f t="shared" si="101"/>
        <v/>
      </c>
      <c r="BI142" s="53" t="str">
        <f t="shared" si="102"/>
        <v/>
      </c>
      <c r="BJ142" s="53" t="str">
        <f t="shared" si="103"/>
        <v/>
      </c>
      <c r="BK142" s="53" t="str">
        <f t="shared" si="104"/>
        <v/>
      </c>
    </row>
    <row r="143" spans="1:63">
      <c r="A143" s="53"/>
      <c r="B143" s="89" t="str">
        <f>IFERROR(VLOOKUP($A143,EntryList!$A$3:$N$645,2,FALSE),"")</f>
        <v/>
      </c>
      <c r="C143" s="74"/>
      <c r="D143" s="53">
        <f t="shared" si="78"/>
        <v>0</v>
      </c>
      <c r="E143" s="62"/>
      <c r="F143" s="62"/>
      <c r="G143" s="62"/>
      <c r="H143" s="62"/>
      <c r="I143" s="62"/>
      <c r="J143" s="62"/>
      <c r="K143" s="62"/>
      <c r="L143" s="62"/>
      <c r="M143" s="62"/>
      <c r="N143" s="62">
        <f t="shared" si="79"/>
        <v>0</v>
      </c>
      <c r="O143" s="53" t="str">
        <f t="shared" si="70"/>
        <v/>
      </c>
      <c r="P143" s="53" t="str">
        <f t="shared" si="71"/>
        <v/>
      </c>
      <c r="Q143" s="53" t="str">
        <f t="shared" si="72"/>
        <v/>
      </c>
      <c r="R143" s="53" t="str">
        <f t="shared" si="73"/>
        <v/>
      </c>
      <c r="S143" s="53" t="str">
        <f t="shared" si="74"/>
        <v/>
      </c>
      <c r="T143" s="53" t="str">
        <f t="shared" si="75"/>
        <v/>
      </c>
      <c r="U143" s="53" t="str">
        <f t="shared" si="76"/>
        <v/>
      </c>
      <c r="V143" s="53" t="str">
        <f t="shared" si="77"/>
        <v/>
      </c>
      <c r="W143" s="53" t="str">
        <f t="shared" si="80"/>
        <v>DNS/DNF ()</v>
      </c>
      <c r="X143" s="53" t="str">
        <f t="shared" si="81"/>
        <v>DNS/DNF ()</v>
      </c>
      <c r="Y143" s="53" t="str">
        <f t="shared" si="82"/>
        <v>DNS/DNF ()</v>
      </c>
      <c r="Z143" s="53" t="str">
        <f t="shared" si="83"/>
        <v>DNS/DNF ()</v>
      </c>
      <c r="AA143" s="53" t="str">
        <f t="shared" si="84"/>
        <v>DNS/DNF ()</v>
      </c>
      <c r="AB143" s="53" t="str">
        <f t="shared" si="85"/>
        <v>DNS/DNF ()</v>
      </c>
      <c r="AC143" s="53" t="str">
        <f t="shared" si="86"/>
        <v>DNS/DNF ()</v>
      </c>
      <c r="AD143" s="53" t="str">
        <f t="shared" si="87"/>
        <v>DNS/DNF ()</v>
      </c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62" t="str">
        <f t="shared" si="88"/>
        <v>DNS/DNF</v>
      </c>
      <c r="AV143" s="62" t="str">
        <f t="shared" si="89"/>
        <v>DNS/DNF</v>
      </c>
      <c r="AW143" s="62" t="str">
        <f t="shared" si="90"/>
        <v>DNS/DNF</v>
      </c>
      <c r="AX143" s="62" t="str">
        <f t="shared" si="91"/>
        <v>DNS/DNF</v>
      </c>
      <c r="AY143" s="62" t="str">
        <f t="shared" si="92"/>
        <v>DNS/DNF</v>
      </c>
      <c r="AZ143" s="62" t="str">
        <f t="shared" si="93"/>
        <v>DNS/DNF</v>
      </c>
      <c r="BA143" s="62" t="str">
        <f t="shared" si="94"/>
        <v>DNS/DNF</v>
      </c>
      <c r="BB143" s="62" t="str">
        <f t="shared" si="95"/>
        <v>DNS/DNF</v>
      </c>
      <c r="BC143" s="75" t="str">
        <f t="shared" si="96"/>
        <v/>
      </c>
      <c r="BD143" s="53" t="str">
        <f t="shared" si="97"/>
        <v/>
      </c>
      <c r="BE143" s="53" t="str">
        <f t="shared" si="98"/>
        <v/>
      </c>
      <c r="BF143" s="53" t="str">
        <f t="shared" si="99"/>
        <v/>
      </c>
      <c r="BG143" s="53" t="str">
        <f t="shared" si="100"/>
        <v/>
      </c>
      <c r="BH143" s="53" t="str">
        <f t="shared" si="101"/>
        <v/>
      </c>
      <c r="BI143" s="53" t="str">
        <f t="shared" si="102"/>
        <v/>
      </c>
      <c r="BJ143" s="53" t="str">
        <f t="shared" si="103"/>
        <v/>
      </c>
      <c r="BK143" s="53" t="str">
        <f t="shared" si="104"/>
        <v/>
      </c>
    </row>
    <row r="144" spans="1:63">
      <c r="A144" s="53"/>
      <c r="B144" s="89" t="str">
        <f>IFERROR(VLOOKUP($A144,EntryList!$A$3:$N$645,2,FALSE),"")</f>
        <v/>
      </c>
      <c r="C144" s="74"/>
      <c r="D144" s="53">
        <f t="shared" si="78"/>
        <v>0</v>
      </c>
      <c r="E144" s="62"/>
      <c r="F144" s="62"/>
      <c r="G144" s="62"/>
      <c r="H144" s="62"/>
      <c r="I144" s="62"/>
      <c r="J144" s="62"/>
      <c r="K144" s="62"/>
      <c r="L144" s="62"/>
      <c r="M144" s="62"/>
      <c r="N144" s="62">
        <f t="shared" si="79"/>
        <v>0</v>
      </c>
      <c r="O144" s="53" t="str">
        <f t="shared" si="70"/>
        <v/>
      </c>
      <c r="P144" s="53" t="str">
        <f t="shared" si="71"/>
        <v/>
      </c>
      <c r="Q144" s="53" t="str">
        <f t="shared" si="72"/>
        <v/>
      </c>
      <c r="R144" s="53" t="str">
        <f t="shared" si="73"/>
        <v/>
      </c>
      <c r="S144" s="53" t="str">
        <f t="shared" si="74"/>
        <v/>
      </c>
      <c r="T144" s="53" t="str">
        <f t="shared" si="75"/>
        <v/>
      </c>
      <c r="U144" s="53" t="str">
        <f t="shared" si="76"/>
        <v/>
      </c>
      <c r="V144" s="53" t="str">
        <f t="shared" si="77"/>
        <v/>
      </c>
      <c r="W144" s="53" t="str">
        <f t="shared" si="80"/>
        <v>DNS/DNF ()</v>
      </c>
      <c r="X144" s="53" t="str">
        <f t="shared" si="81"/>
        <v>DNS/DNF ()</v>
      </c>
      <c r="Y144" s="53" t="str">
        <f t="shared" si="82"/>
        <v>DNS/DNF ()</v>
      </c>
      <c r="Z144" s="53" t="str">
        <f t="shared" si="83"/>
        <v>DNS/DNF ()</v>
      </c>
      <c r="AA144" s="53" t="str">
        <f t="shared" si="84"/>
        <v>DNS/DNF ()</v>
      </c>
      <c r="AB144" s="53" t="str">
        <f t="shared" si="85"/>
        <v>DNS/DNF ()</v>
      </c>
      <c r="AC144" s="53" t="str">
        <f t="shared" si="86"/>
        <v>DNS/DNF ()</v>
      </c>
      <c r="AD144" s="53" t="str">
        <f t="shared" si="87"/>
        <v>DNS/DNF ()</v>
      </c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62" t="str">
        <f t="shared" si="88"/>
        <v>DNS/DNF</v>
      </c>
      <c r="AV144" s="62" t="str">
        <f t="shared" si="89"/>
        <v>DNS/DNF</v>
      </c>
      <c r="AW144" s="62" t="str">
        <f t="shared" si="90"/>
        <v>DNS/DNF</v>
      </c>
      <c r="AX144" s="62" t="str">
        <f t="shared" si="91"/>
        <v>DNS/DNF</v>
      </c>
      <c r="AY144" s="62" t="str">
        <f t="shared" si="92"/>
        <v>DNS/DNF</v>
      </c>
      <c r="AZ144" s="62" t="str">
        <f t="shared" si="93"/>
        <v>DNS/DNF</v>
      </c>
      <c r="BA144" s="62" t="str">
        <f t="shared" si="94"/>
        <v>DNS/DNF</v>
      </c>
      <c r="BB144" s="62" t="str">
        <f t="shared" si="95"/>
        <v>DNS/DNF</v>
      </c>
      <c r="BC144" s="75" t="str">
        <f t="shared" si="96"/>
        <v/>
      </c>
      <c r="BD144" s="53" t="str">
        <f t="shared" si="97"/>
        <v/>
      </c>
      <c r="BE144" s="53" t="str">
        <f t="shared" si="98"/>
        <v/>
      </c>
      <c r="BF144" s="53" t="str">
        <f t="shared" si="99"/>
        <v/>
      </c>
      <c r="BG144" s="53" t="str">
        <f t="shared" si="100"/>
        <v/>
      </c>
      <c r="BH144" s="53" t="str">
        <f t="shared" si="101"/>
        <v/>
      </c>
      <c r="BI144" s="53" t="str">
        <f t="shared" si="102"/>
        <v/>
      </c>
      <c r="BJ144" s="53" t="str">
        <f t="shared" si="103"/>
        <v/>
      </c>
      <c r="BK144" s="53" t="str">
        <f t="shared" si="104"/>
        <v/>
      </c>
    </row>
    <row r="145" spans="1:63">
      <c r="A145" s="53"/>
      <c r="B145" s="89" t="str">
        <f>IFERROR(VLOOKUP($A145,EntryList!$A$3:$N$645,2,FALSE),"")</f>
        <v/>
      </c>
      <c r="C145" s="74"/>
      <c r="D145" s="53">
        <f t="shared" si="78"/>
        <v>0</v>
      </c>
      <c r="E145" s="62"/>
      <c r="F145" s="62"/>
      <c r="G145" s="62"/>
      <c r="H145" s="62"/>
      <c r="I145" s="62"/>
      <c r="J145" s="62"/>
      <c r="K145" s="62"/>
      <c r="L145" s="62"/>
      <c r="M145" s="62"/>
      <c r="N145" s="62">
        <f t="shared" si="79"/>
        <v>0</v>
      </c>
      <c r="O145" s="53" t="str">
        <f t="shared" si="70"/>
        <v/>
      </c>
      <c r="P145" s="53" t="str">
        <f t="shared" si="71"/>
        <v/>
      </c>
      <c r="Q145" s="53" t="str">
        <f t="shared" si="72"/>
        <v/>
      </c>
      <c r="R145" s="53" t="str">
        <f t="shared" si="73"/>
        <v/>
      </c>
      <c r="S145" s="53" t="str">
        <f t="shared" si="74"/>
        <v/>
      </c>
      <c r="T145" s="53" t="str">
        <f t="shared" si="75"/>
        <v/>
      </c>
      <c r="U145" s="53" t="str">
        <f t="shared" si="76"/>
        <v/>
      </c>
      <c r="V145" s="53" t="str">
        <f t="shared" si="77"/>
        <v/>
      </c>
      <c r="W145" s="53" t="str">
        <f t="shared" si="80"/>
        <v>DNS/DNF ()</v>
      </c>
      <c r="X145" s="53" t="str">
        <f t="shared" si="81"/>
        <v>DNS/DNF ()</v>
      </c>
      <c r="Y145" s="53" t="str">
        <f t="shared" si="82"/>
        <v>DNS/DNF ()</v>
      </c>
      <c r="Z145" s="53" t="str">
        <f t="shared" si="83"/>
        <v>DNS/DNF ()</v>
      </c>
      <c r="AA145" s="53" t="str">
        <f t="shared" si="84"/>
        <v>DNS/DNF ()</v>
      </c>
      <c r="AB145" s="53" t="str">
        <f t="shared" si="85"/>
        <v>DNS/DNF ()</v>
      </c>
      <c r="AC145" s="53" t="str">
        <f t="shared" si="86"/>
        <v>DNS/DNF ()</v>
      </c>
      <c r="AD145" s="53" t="str">
        <f t="shared" si="87"/>
        <v>DNS/DNF ()</v>
      </c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62" t="str">
        <f t="shared" si="88"/>
        <v>DNS/DNF</v>
      </c>
      <c r="AV145" s="62" t="str">
        <f t="shared" si="89"/>
        <v>DNS/DNF</v>
      </c>
      <c r="AW145" s="62" t="str">
        <f t="shared" si="90"/>
        <v>DNS/DNF</v>
      </c>
      <c r="AX145" s="62" t="str">
        <f t="shared" si="91"/>
        <v>DNS/DNF</v>
      </c>
      <c r="AY145" s="62" t="str">
        <f t="shared" si="92"/>
        <v>DNS/DNF</v>
      </c>
      <c r="AZ145" s="62" t="str">
        <f t="shared" si="93"/>
        <v>DNS/DNF</v>
      </c>
      <c r="BA145" s="62" t="str">
        <f t="shared" si="94"/>
        <v>DNS/DNF</v>
      </c>
      <c r="BB145" s="62" t="str">
        <f t="shared" si="95"/>
        <v>DNS/DNF</v>
      </c>
      <c r="BC145" s="75" t="str">
        <f t="shared" si="96"/>
        <v/>
      </c>
      <c r="BD145" s="53" t="str">
        <f t="shared" si="97"/>
        <v/>
      </c>
      <c r="BE145" s="53" t="str">
        <f t="shared" si="98"/>
        <v/>
      </c>
      <c r="BF145" s="53" t="str">
        <f t="shared" si="99"/>
        <v/>
      </c>
      <c r="BG145" s="53" t="str">
        <f t="shared" si="100"/>
        <v/>
      </c>
      <c r="BH145" s="53" t="str">
        <f t="shared" si="101"/>
        <v/>
      </c>
      <c r="BI145" s="53" t="str">
        <f t="shared" si="102"/>
        <v/>
      </c>
      <c r="BJ145" s="53" t="str">
        <f t="shared" si="103"/>
        <v/>
      </c>
      <c r="BK145" s="53" t="str">
        <f t="shared" si="104"/>
        <v/>
      </c>
    </row>
    <row r="146" spans="1:63">
      <c r="A146" s="53"/>
      <c r="B146" s="89" t="str">
        <f>IFERROR(VLOOKUP($A146,EntryList!$A$3:$N$645,2,FALSE),"")</f>
        <v/>
      </c>
      <c r="C146" s="74"/>
      <c r="D146" s="53">
        <f t="shared" si="78"/>
        <v>0</v>
      </c>
      <c r="E146" s="62"/>
      <c r="F146" s="62"/>
      <c r="G146" s="62"/>
      <c r="H146" s="62"/>
      <c r="I146" s="62"/>
      <c r="J146" s="62"/>
      <c r="K146" s="62"/>
      <c r="L146" s="62"/>
      <c r="M146" s="62"/>
      <c r="N146" s="62">
        <f t="shared" si="79"/>
        <v>0</v>
      </c>
      <c r="O146" s="53" t="str">
        <f t="shared" ref="O146:O209" si="105">IFERROR(RANK($AU146,AU$3:AU$500,1),"")</f>
        <v/>
      </c>
      <c r="P146" s="53" t="str">
        <f t="shared" ref="P146:P209" si="106">IFERROR(RANK($AV146,AV$3:AV$500,1),"")</f>
        <v/>
      </c>
      <c r="Q146" s="53" t="str">
        <f t="shared" ref="Q146:Q209" si="107">IFERROR(RANK($AW146,AW$3:AW$500,1),"")</f>
        <v/>
      </c>
      <c r="R146" s="53" t="str">
        <f t="shared" ref="R146:R209" si="108">IFERROR(RANK($AX146,AX$3:AX$500,1),"")</f>
        <v/>
      </c>
      <c r="S146" s="53" t="str">
        <f t="shared" ref="S146:S209" si="109">IFERROR(RANK($AY146,AY$3:AY$500,1),"")</f>
        <v/>
      </c>
      <c r="T146" s="53" t="str">
        <f t="shared" ref="T146:T209" si="110">IFERROR(RANK($AZ146,AZ$3:AZ$500,1),"")</f>
        <v/>
      </c>
      <c r="U146" s="53" t="str">
        <f t="shared" ref="U146:U209" si="111">IFERROR(RANK($BA146,BA$3:BA$500,1),"")</f>
        <v/>
      </c>
      <c r="V146" s="53" t="str">
        <f t="shared" ref="V146:V209" si="112">IFERROR(RANK($BB146,BB$3:BB$500,1),"")</f>
        <v/>
      </c>
      <c r="W146" s="53" t="str">
        <f t="shared" si="80"/>
        <v>DNS/DNF ()</v>
      </c>
      <c r="X146" s="53" t="str">
        <f t="shared" si="81"/>
        <v>DNS/DNF ()</v>
      </c>
      <c r="Y146" s="53" t="str">
        <f t="shared" si="82"/>
        <v>DNS/DNF ()</v>
      </c>
      <c r="Z146" s="53" t="str">
        <f t="shared" si="83"/>
        <v>DNS/DNF ()</v>
      </c>
      <c r="AA146" s="53" t="str">
        <f t="shared" si="84"/>
        <v>DNS/DNF ()</v>
      </c>
      <c r="AB146" s="53" t="str">
        <f t="shared" si="85"/>
        <v>DNS/DNF ()</v>
      </c>
      <c r="AC146" s="53" t="str">
        <f t="shared" si="86"/>
        <v>DNS/DNF ()</v>
      </c>
      <c r="AD146" s="53" t="str">
        <f t="shared" si="87"/>
        <v>DNS/DNF ()</v>
      </c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62" t="str">
        <f t="shared" si="88"/>
        <v>DNS/DNF</v>
      </c>
      <c r="AV146" s="62" t="str">
        <f t="shared" si="89"/>
        <v>DNS/DNF</v>
      </c>
      <c r="AW146" s="62" t="str">
        <f t="shared" si="90"/>
        <v>DNS/DNF</v>
      </c>
      <c r="AX146" s="62" t="str">
        <f t="shared" si="91"/>
        <v>DNS/DNF</v>
      </c>
      <c r="AY146" s="62" t="str">
        <f t="shared" si="92"/>
        <v>DNS/DNF</v>
      </c>
      <c r="AZ146" s="62" t="str">
        <f t="shared" si="93"/>
        <v>DNS/DNF</v>
      </c>
      <c r="BA146" s="62" t="str">
        <f t="shared" si="94"/>
        <v>DNS/DNF</v>
      </c>
      <c r="BB146" s="62" t="str">
        <f t="shared" si="95"/>
        <v>DNS/DNF</v>
      </c>
      <c r="BC146" s="75" t="str">
        <f t="shared" si="96"/>
        <v/>
      </c>
      <c r="BD146" s="53" t="str">
        <f t="shared" si="97"/>
        <v/>
      </c>
      <c r="BE146" s="53" t="str">
        <f t="shared" si="98"/>
        <v/>
      </c>
      <c r="BF146" s="53" t="str">
        <f t="shared" si="99"/>
        <v/>
      </c>
      <c r="BG146" s="53" t="str">
        <f t="shared" si="100"/>
        <v/>
      </c>
      <c r="BH146" s="53" t="str">
        <f t="shared" si="101"/>
        <v/>
      </c>
      <c r="BI146" s="53" t="str">
        <f t="shared" si="102"/>
        <v/>
      </c>
      <c r="BJ146" s="53" t="str">
        <f t="shared" si="103"/>
        <v/>
      </c>
      <c r="BK146" s="53" t="str">
        <f t="shared" si="104"/>
        <v/>
      </c>
    </row>
    <row r="147" spans="1:63">
      <c r="A147" s="53"/>
      <c r="B147" s="89" t="str">
        <f>IFERROR(VLOOKUP($A147,EntryList!$A$3:$N$645,2,FALSE),"")</f>
        <v/>
      </c>
      <c r="C147" s="74"/>
      <c r="D147" s="53">
        <f t="shared" si="78"/>
        <v>0</v>
      </c>
      <c r="E147" s="62"/>
      <c r="F147" s="62"/>
      <c r="G147" s="62"/>
      <c r="H147" s="62"/>
      <c r="I147" s="62"/>
      <c r="J147" s="62"/>
      <c r="K147" s="62"/>
      <c r="L147" s="62"/>
      <c r="M147" s="62"/>
      <c r="N147" s="62">
        <f t="shared" si="79"/>
        <v>0</v>
      </c>
      <c r="O147" s="53" t="str">
        <f t="shared" si="105"/>
        <v/>
      </c>
      <c r="P147" s="53" t="str">
        <f t="shared" si="106"/>
        <v/>
      </c>
      <c r="Q147" s="53" t="str">
        <f t="shared" si="107"/>
        <v/>
      </c>
      <c r="R147" s="53" t="str">
        <f t="shared" si="108"/>
        <v/>
      </c>
      <c r="S147" s="53" t="str">
        <f t="shared" si="109"/>
        <v/>
      </c>
      <c r="T147" s="53" t="str">
        <f t="shared" si="110"/>
        <v/>
      </c>
      <c r="U147" s="53" t="str">
        <f t="shared" si="111"/>
        <v/>
      </c>
      <c r="V147" s="53" t="str">
        <f t="shared" si="112"/>
        <v/>
      </c>
      <c r="W147" s="53" t="str">
        <f t="shared" si="80"/>
        <v>DNS/DNF ()</v>
      </c>
      <c r="X147" s="53" t="str">
        <f t="shared" si="81"/>
        <v>DNS/DNF ()</v>
      </c>
      <c r="Y147" s="53" t="str">
        <f t="shared" si="82"/>
        <v>DNS/DNF ()</v>
      </c>
      <c r="Z147" s="53" t="str">
        <f t="shared" si="83"/>
        <v>DNS/DNF ()</v>
      </c>
      <c r="AA147" s="53" t="str">
        <f t="shared" si="84"/>
        <v>DNS/DNF ()</v>
      </c>
      <c r="AB147" s="53" t="str">
        <f t="shared" si="85"/>
        <v>DNS/DNF ()</v>
      </c>
      <c r="AC147" s="53" t="str">
        <f t="shared" si="86"/>
        <v>DNS/DNF ()</v>
      </c>
      <c r="AD147" s="53" t="str">
        <f t="shared" si="87"/>
        <v>DNS/DNF ()</v>
      </c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62" t="str">
        <f t="shared" si="88"/>
        <v>DNS/DNF</v>
      </c>
      <c r="AV147" s="62" t="str">
        <f t="shared" si="89"/>
        <v>DNS/DNF</v>
      </c>
      <c r="AW147" s="62" t="str">
        <f t="shared" si="90"/>
        <v>DNS/DNF</v>
      </c>
      <c r="AX147" s="62" t="str">
        <f t="shared" si="91"/>
        <v>DNS/DNF</v>
      </c>
      <c r="AY147" s="62" t="str">
        <f t="shared" si="92"/>
        <v>DNS/DNF</v>
      </c>
      <c r="AZ147" s="62" t="str">
        <f t="shared" si="93"/>
        <v>DNS/DNF</v>
      </c>
      <c r="BA147" s="62" t="str">
        <f t="shared" si="94"/>
        <v>DNS/DNF</v>
      </c>
      <c r="BB147" s="62" t="str">
        <f t="shared" si="95"/>
        <v>DNS/DNF</v>
      </c>
      <c r="BC147" s="75" t="str">
        <f t="shared" si="96"/>
        <v/>
      </c>
      <c r="BD147" s="53" t="str">
        <f t="shared" si="97"/>
        <v/>
      </c>
      <c r="BE147" s="53" t="str">
        <f t="shared" si="98"/>
        <v/>
      </c>
      <c r="BF147" s="53" t="str">
        <f t="shared" si="99"/>
        <v/>
      </c>
      <c r="BG147" s="53" t="str">
        <f t="shared" si="100"/>
        <v/>
      </c>
      <c r="BH147" s="53" t="str">
        <f t="shared" si="101"/>
        <v/>
      </c>
      <c r="BI147" s="53" t="str">
        <f t="shared" si="102"/>
        <v/>
      </c>
      <c r="BJ147" s="53" t="str">
        <f t="shared" si="103"/>
        <v/>
      </c>
      <c r="BK147" s="53" t="str">
        <f t="shared" si="104"/>
        <v/>
      </c>
    </row>
    <row r="148" spans="1:63">
      <c r="A148" s="53"/>
      <c r="B148" s="89" t="str">
        <f>IFERROR(VLOOKUP($A148,EntryList!$A$3:$N$645,2,FALSE),"")</f>
        <v/>
      </c>
      <c r="C148" s="74"/>
      <c r="D148" s="53">
        <f t="shared" si="78"/>
        <v>0</v>
      </c>
      <c r="E148" s="62"/>
      <c r="F148" s="62"/>
      <c r="G148" s="62"/>
      <c r="H148" s="62"/>
      <c r="I148" s="62"/>
      <c r="J148" s="62"/>
      <c r="K148" s="62"/>
      <c r="L148" s="62"/>
      <c r="M148" s="62"/>
      <c r="N148" s="62">
        <f t="shared" si="79"/>
        <v>0</v>
      </c>
      <c r="O148" s="53" t="str">
        <f t="shared" si="105"/>
        <v/>
      </c>
      <c r="P148" s="53" t="str">
        <f t="shared" si="106"/>
        <v/>
      </c>
      <c r="Q148" s="53" t="str">
        <f t="shared" si="107"/>
        <v/>
      </c>
      <c r="R148" s="53" t="str">
        <f t="shared" si="108"/>
        <v/>
      </c>
      <c r="S148" s="53" t="str">
        <f t="shared" si="109"/>
        <v/>
      </c>
      <c r="T148" s="53" t="str">
        <f t="shared" si="110"/>
        <v/>
      </c>
      <c r="U148" s="53" t="str">
        <f t="shared" si="111"/>
        <v/>
      </c>
      <c r="V148" s="53" t="str">
        <f t="shared" si="112"/>
        <v/>
      </c>
      <c r="W148" s="53" t="str">
        <f t="shared" si="80"/>
        <v>DNS/DNF ()</v>
      </c>
      <c r="X148" s="53" t="str">
        <f t="shared" si="81"/>
        <v>DNS/DNF ()</v>
      </c>
      <c r="Y148" s="53" t="str">
        <f t="shared" si="82"/>
        <v>DNS/DNF ()</v>
      </c>
      <c r="Z148" s="53" t="str">
        <f t="shared" si="83"/>
        <v>DNS/DNF ()</v>
      </c>
      <c r="AA148" s="53" t="str">
        <f t="shared" si="84"/>
        <v>DNS/DNF ()</v>
      </c>
      <c r="AB148" s="53" t="str">
        <f t="shared" si="85"/>
        <v>DNS/DNF ()</v>
      </c>
      <c r="AC148" s="53" t="str">
        <f t="shared" si="86"/>
        <v>DNS/DNF ()</v>
      </c>
      <c r="AD148" s="53" t="str">
        <f t="shared" si="87"/>
        <v>DNS/DNF ()</v>
      </c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62" t="str">
        <f t="shared" si="88"/>
        <v>DNS/DNF</v>
      </c>
      <c r="AV148" s="62" t="str">
        <f t="shared" si="89"/>
        <v>DNS/DNF</v>
      </c>
      <c r="AW148" s="62" t="str">
        <f t="shared" si="90"/>
        <v>DNS/DNF</v>
      </c>
      <c r="AX148" s="62" t="str">
        <f t="shared" si="91"/>
        <v>DNS/DNF</v>
      </c>
      <c r="AY148" s="62" t="str">
        <f t="shared" si="92"/>
        <v>DNS/DNF</v>
      </c>
      <c r="AZ148" s="62" t="str">
        <f t="shared" si="93"/>
        <v>DNS/DNF</v>
      </c>
      <c r="BA148" s="62" t="str">
        <f t="shared" si="94"/>
        <v>DNS/DNF</v>
      </c>
      <c r="BB148" s="62" t="str">
        <f t="shared" si="95"/>
        <v>DNS/DNF</v>
      </c>
      <c r="BC148" s="75" t="str">
        <f t="shared" si="96"/>
        <v/>
      </c>
      <c r="BD148" s="53" t="str">
        <f t="shared" si="97"/>
        <v/>
      </c>
      <c r="BE148" s="53" t="str">
        <f t="shared" si="98"/>
        <v/>
      </c>
      <c r="BF148" s="53" t="str">
        <f t="shared" si="99"/>
        <v/>
      </c>
      <c r="BG148" s="53" t="str">
        <f t="shared" si="100"/>
        <v/>
      </c>
      <c r="BH148" s="53" t="str">
        <f t="shared" si="101"/>
        <v/>
      </c>
      <c r="BI148" s="53" t="str">
        <f t="shared" si="102"/>
        <v/>
      </c>
      <c r="BJ148" s="53" t="str">
        <f t="shared" si="103"/>
        <v/>
      </c>
      <c r="BK148" s="53" t="str">
        <f t="shared" si="104"/>
        <v/>
      </c>
    </row>
    <row r="149" spans="1:63">
      <c r="A149" s="53"/>
      <c r="B149" s="89" t="str">
        <f>IFERROR(VLOOKUP($A149,EntryList!$A$3:$N$645,2,FALSE),"")</f>
        <v/>
      </c>
      <c r="C149" s="74"/>
      <c r="D149" s="53">
        <f t="shared" si="78"/>
        <v>0</v>
      </c>
      <c r="E149" s="62"/>
      <c r="F149" s="62"/>
      <c r="G149" s="62"/>
      <c r="H149" s="62"/>
      <c r="I149" s="62"/>
      <c r="J149" s="62"/>
      <c r="K149" s="62"/>
      <c r="L149" s="62"/>
      <c r="M149" s="62"/>
      <c r="N149" s="62">
        <f t="shared" si="79"/>
        <v>0</v>
      </c>
      <c r="O149" s="53" t="str">
        <f t="shared" si="105"/>
        <v/>
      </c>
      <c r="P149" s="53" t="str">
        <f t="shared" si="106"/>
        <v/>
      </c>
      <c r="Q149" s="53" t="str">
        <f t="shared" si="107"/>
        <v/>
      </c>
      <c r="R149" s="53" t="str">
        <f t="shared" si="108"/>
        <v/>
      </c>
      <c r="S149" s="53" t="str">
        <f t="shared" si="109"/>
        <v/>
      </c>
      <c r="T149" s="53" t="str">
        <f t="shared" si="110"/>
        <v/>
      </c>
      <c r="U149" s="53" t="str">
        <f t="shared" si="111"/>
        <v/>
      </c>
      <c r="V149" s="53" t="str">
        <f t="shared" si="112"/>
        <v/>
      </c>
      <c r="W149" s="53" t="str">
        <f t="shared" si="80"/>
        <v>DNS/DNF ()</v>
      </c>
      <c r="X149" s="53" t="str">
        <f t="shared" si="81"/>
        <v>DNS/DNF ()</v>
      </c>
      <c r="Y149" s="53" t="str">
        <f t="shared" si="82"/>
        <v>DNS/DNF ()</v>
      </c>
      <c r="Z149" s="53" t="str">
        <f t="shared" si="83"/>
        <v>DNS/DNF ()</v>
      </c>
      <c r="AA149" s="53" t="str">
        <f t="shared" si="84"/>
        <v>DNS/DNF ()</v>
      </c>
      <c r="AB149" s="53" t="str">
        <f t="shared" si="85"/>
        <v>DNS/DNF ()</v>
      </c>
      <c r="AC149" s="53" t="str">
        <f t="shared" si="86"/>
        <v>DNS/DNF ()</v>
      </c>
      <c r="AD149" s="53" t="str">
        <f t="shared" si="87"/>
        <v>DNS/DNF ()</v>
      </c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62" t="str">
        <f t="shared" si="88"/>
        <v>DNS/DNF</v>
      </c>
      <c r="AV149" s="62" t="str">
        <f t="shared" si="89"/>
        <v>DNS/DNF</v>
      </c>
      <c r="AW149" s="62" t="str">
        <f t="shared" si="90"/>
        <v>DNS/DNF</v>
      </c>
      <c r="AX149" s="62" t="str">
        <f t="shared" si="91"/>
        <v>DNS/DNF</v>
      </c>
      <c r="AY149" s="62" t="str">
        <f t="shared" si="92"/>
        <v>DNS/DNF</v>
      </c>
      <c r="AZ149" s="62" t="str">
        <f t="shared" si="93"/>
        <v>DNS/DNF</v>
      </c>
      <c r="BA149" s="62" t="str">
        <f t="shared" si="94"/>
        <v>DNS/DNF</v>
      </c>
      <c r="BB149" s="62" t="str">
        <f t="shared" si="95"/>
        <v>DNS/DNF</v>
      </c>
      <c r="BC149" s="75" t="str">
        <f t="shared" si="96"/>
        <v/>
      </c>
      <c r="BD149" s="53" t="str">
        <f t="shared" si="97"/>
        <v/>
      </c>
      <c r="BE149" s="53" t="str">
        <f t="shared" si="98"/>
        <v/>
      </c>
      <c r="BF149" s="53" t="str">
        <f t="shared" si="99"/>
        <v/>
      </c>
      <c r="BG149" s="53" t="str">
        <f t="shared" si="100"/>
        <v/>
      </c>
      <c r="BH149" s="53" t="str">
        <f t="shared" si="101"/>
        <v/>
      </c>
      <c r="BI149" s="53" t="str">
        <f t="shared" si="102"/>
        <v/>
      </c>
      <c r="BJ149" s="53" t="str">
        <f t="shared" si="103"/>
        <v/>
      </c>
      <c r="BK149" s="53" t="str">
        <f t="shared" si="104"/>
        <v/>
      </c>
    </row>
    <row r="150" spans="1:63">
      <c r="A150" s="53"/>
      <c r="B150" s="89" t="str">
        <f>IFERROR(VLOOKUP($A150,EntryList!$A$3:$N$645,2,FALSE),"")</f>
        <v/>
      </c>
      <c r="C150" s="74"/>
      <c r="D150" s="53">
        <f t="shared" si="78"/>
        <v>0</v>
      </c>
      <c r="E150" s="62"/>
      <c r="F150" s="62"/>
      <c r="G150" s="62"/>
      <c r="H150" s="62"/>
      <c r="I150" s="62"/>
      <c r="J150" s="62"/>
      <c r="K150" s="62"/>
      <c r="L150" s="62"/>
      <c r="M150" s="62"/>
      <c r="N150" s="62">
        <f t="shared" si="79"/>
        <v>0</v>
      </c>
      <c r="O150" s="53" t="str">
        <f t="shared" si="105"/>
        <v/>
      </c>
      <c r="P150" s="53" t="str">
        <f t="shared" si="106"/>
        <v/>
      </c>
      <c r="Q150" s="53" t="str">
        <f t="shared" si="107"/>
        <v/>
      </c>
      <c r="R150" s="53" t="str">
        <f t="shared" si="108"/>
        <v/>
      </c>
      <c r="S150" s="53" t="str">
        <f t="shared" si="109"/>
        <v/>
      </c>
      <c r="T150" s="53" t="str">
        <f t="shared" si="110"/>
        <v/>
      </c>
      <c r="U150" s="53" t="str">
        <f t="shared" si="111"/>
        <v/>
      </c>
      <c r="V150" s="53" t="str">
        <f t="shared" si="112"/>
        <v/>
      </c>
      <c r="W150" s="53" t="str">
        <f t="shared" si="80"/>
        <v>DNS/DNF ()</v>
      </c>
      <c r="X150" s="53" t="str">
        <f t="shared" si="81"/>
        <v>DNS/DNF ()</v>
      </c>
      <c r="Y150" s="53" t="str">
        <f t="shared" si="82"/>
        <v>DNS/DNF ()</v>
      </c>
      <c r="Z150" s="53" t="str">
        <f t="shared" si="83"/>
        <v>DNS/DNF ()</v>
      </c>
      <c r="AA150" s="53" t="str">
        <f t="shared" si="84"/>
        <v>DNS/DNF ()</v>
      </c>
      <c r="AB150" s="53" t="str">
        <f t="shared" si="85"/>
        <v>DNS/DNF ()</v>
      </c>
      <c r="AC150" s="53" t="str">
        <f t="shared" si="86"/>
        <v>DNS/DNF ()</v>
      </c>
      <c r="AD150" s="53" t="str">
        <f t="shared" si="87"/>
        <v>DNS/DNF ()</v>
      </c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62" t="str">
        <f t="shared" si="88"/>
        <v>DNS/DNF</v>
      </c>
      <c r="AV150" s="62" t="str">
        <f t="shared" si="89"/>
        <v>DNS/DNF</v>
      </c>
      <c r="AW150" s="62" t="str">
        <f t="shared" si="90"/>
        <v>DNS/DNF</v>
      </c>
      <c r="AX150" s="62" t="str">
        <f t="shared" si="91"/>
        <v>DNS/DNF</v>
      </c>
      <c r="AY150" s="62" t="str">
        <f t="shared" si="92"/>
        <v>DNS/DNF</v>
      </c>
      <c r="AZ150" s="62" t="str">
        <f t="shared" si="93"/>
        <v>DNS/DNF</v>
      </c>
      <c r="BA150" s="62" t="str">
        <f t="shared" si="94"/>
        <v>DNS/DNF</v>
      </c>
      <c r="BB150" s="62" t="str">
        <f t="shared" si="95"/>
        <v>DNS/DNF</v>
      </c>
      <c r="BC150" s="75" t="str">
        <f t="shared" si="96"/>
        <v/>
      </c>
      <c r="BD150" s="53" t="str">
        <f t="shared" si="97"/>
        <v/>
      </c>
      <c r="BE150" s="53" t="str">
        <f t="shared" si="98"/>
        <v/>
      </c>
      <c r="BF150" s="53" t="str">
        <f t="shared" si="99"/>
        <v/>
      </c>
      <c r="BG150" s="53" t="str">
        <f t="shared" si="100"/>
        <v/>
      </c>
      <c r="BH150" s="53" t="str">
        <f t="shared" si="101"/>
        <v/>
      </c>
      <c r="BI150" s="53" t="str">
        <f t="shared" si="102"/>
        <v/>
      </c>
      <c r="BJ150" s="53" t="str">
        <f t="shared" si="103"/>
        <v/>
      </c>
      <c r="BK150" s="53" t="str">
        <f t="shared" si="104"/>
        <v/>
      </c>
    </row>
    <row r="151" spans="1:63">
      <c r="A151" s="53"/>
      <c r="B151" s="89" t="str">
        <f>IFERROR(VLOOKUP($A151,EntryList!$A$3:$N$645,2,FALSE),"")</f>
        <v/>
      </c>
      <c r="C151" s="74"/>
      <c r="D151" s="53">
        <f t="shared" si="78"/>
        <v>0</v>
      </c>
      <c r="E151" s="62"/>
      <c r="F151" s="62"/>
      <c r="G151" s="62"/>
      <c r="H151" s="62"/>
      <c r="I151" s="62"/>
      <c r="J151" s="62"/>
      <c r="K151" s="62"/>
      <c r="L151" s="62"/>
      <c r="M151" s="62"/>
      <c r="N151" s="62">
        <f t="shared" si="79"/>
        <v>0</v>
      </c>
      <c r="O151" s="53" t="str">
        <f t="shared" si="105"/>
        <v/>
      </c>
      <c r="P151" s="53" t="str">
        <f t="shared" si="106"/>
        <v/>
      </c>
      <c r="Q151" s="53" t="str">
        <f t="shared" si="107"/>
        <v/>
      </c>
      <c r="R151" s="53" t="str">
        <f t="shared" si="108"/>
        <v/>
      </c>
      <c r="S151" s="53" t="str">
        <f t="shared" si="109"/>
        <v/>
      </c>
      <c r="T151" s="53" t="str">
        <f t="shared" si="110"/>
        <v/>
      </c>
      <c r="U151" s="53" t="str">
        <f t="shared" si="111"/>
        <v/>
      </c>
      <c r="V151" s="53" t="str">
        <f t="shared" si="112"/>
        <v/>
      </c>
      <c r="W151" s="53" t="str">
        <f t="shared" si="80"/>
        <v>DNS/DNF ()</v>
      </c>
      <c r="X151" s="53" t="str">
        <f t="shared" si="81"/>
        <v>DNS/DNF ()</v>
      </c>
      <c r="Y151" s="53" t="str">
        <f t="shared" si="82"/>
        <v>DNS/DNF ()</v>
      </c>
      <c r="Z151" s="53" t="str">
        <f t="shared" si="83"/>
        <v>DNS/DNF ()</v>
      </c>
      <c r="AA151" s="53" t="str">
        <f t="shared" si="84"/>
        <v>DNS/DNF ()</v>
      </c>
      <c r="AB151" s="53" t="str">
        <f t="shared" si="85"/>
        <v>DNS/DNF ()</v>
      </c>
      <c r="AC151" s="53" t="str">
        <f t="shared" si="86"/>
        <v>DNS/DNF ()</v>
      </c>
      <c r="AD151" s="53" t="str">
        <f t="shared" si="87"/>
        <v>DNS/DNF ()</v>
      </c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62" t="str">
        <f t="shared" si="88"/>
        <v>DNS/DNF</v>
      </c>
      <c r="AV151" s="62" t="str">
        <f t="shared" si="89"/>
        <v>DNS/DNF</v>
      </c>
      <c r="AW151" s="62" t="str">
        <f t="shared" si="90"/>
        <v>DNS/DNF</v>
      </c>
      <c r="AX151" s="62" t="str">
        <f t="shared" si="91"/>
        <v>DNS/DNF</v>
      </c>
      <c r="AY151" s="62" t="str">
        <f t="shared" si="92"/>
        <v>DNS/DNF</v>
      </c>
      <c r="AZ151" s="62" t="str">
        <f t="shared" si="93"/>
        <v>DNS/DNF</v>
      </c>
      <c r="BA151" s="62" t="str">
        <f t="shared" si="94"/>
        <v>DNS/DNF</v>
      </c>
      <c r="BB151" s="62" t="str">
        <f t="shared" si="95"/>
        <v>DNS/DNF</v>
      </c>
      <c r="BC151" s="75" t="str">
        <f t="shared" si="96"/>
        <v/>
      </c>
      <c r="BD151" s="53" t="str">
        <f t="shared" si="97"/>
        <v/>
      </c>
      <c r="BE151" s="53" t="str">
        <f t="shared" si="98"/>
        <v/>
      </c>
      <c r="BF151" s="53" t="str">
        <f t="shared" si="99"/>
        <v/>
      </c>
      <c r="BG151" s="53" t="str">
        <f t="shared" si="100"/>
        <v/>
      </c>
      <c r="BH151" s="53" t="str">
        <f t="shared" si="101"/>
        <v/>
      </c>
      <c r="BI151" s="53" t="str">
        <f t="shared" si="102"/>
        <v/>
      </c>
      <c r="BJ151" s="53" t="str">
        <f t="shared" si="103"/>
        <v/>
      </c>
      <c r="BK151" s="53" t="str">
        <f t="shared" si="104"/>
        <v/>
      </c>
    </row>
    <row r="152" spans="1:63">
      <c r="A152" s="53"/>
      <c r="B152" s="89" t="str">
        <f>IFERROR(VLOOKUP($A152,EntryList!$A$3:$N$645,2,FALSE),"")</f>
        <v/>
      </c>
      <c r="C152" s="74"/>
      <c r="D152" s="53">
        <f t="shared" si="78"/>
        <v>0</v>
      </c>
      <c r="E152" s="62"/>
      <c r="F152" s="62"/>
      <c r="G152" s="62"/>
      <c r="H152" s="62"/>
      <c r="I152" s="62"/>
      <c r="J152" s="62"/>
      <c r="K152" s="62"/>
      <c r="L152" s="62"/>
      <c r="M152" s="62"/>
      <c r="N152" s="62">
        <f t="shared" si="79"/>
        <v>0</v>
      </c>
      <c r="O152" s="53" t="str">
        <f t="shared" si="105"/>
        <v/>
      </c>
      <c r="P152" s="53" t="str">
        <f t="shared" si="106"/>
        <v/>
      </c>
      <c r="Q152" s="53" t="str">
        <f t="shared" si="107"/>
        <v/>
      </c>
      <c r="R152" s="53" t="str">
        <f t="shared" si="108"/>
        <v/>
      </c>
      <c r="S152" s="53" t="str">
        <f t="shared" si="109"/>
        <v/>
      </c>
      <c r="T152" s="53" t="str">
        <f t="shared" si="110"/>
        <v/>
      </c>
      <c r="U152" s="53" t="str">
        <f t="shared" si="111"/>
        <v/>
      </c>
      <c r="V152" s="53" t="str">
        <f t="shared" si="112"/>
        <v/>
      </c>
      <c r="W152" s="53" t="str">
        <f t="shared" si="80"/>
        <v>DNS/DNF ()</v>
      </c>
      <c r="X152" s="53" t="str">
        <f t="shared" si="81"/>
        <v>DNS/DNF ()</v>
      </c>
      <c r="Y152" s="53" t="str">
        <f t="shared" si="82"/>
        <v>DNS/DNF ()</v>
      </c>
      <c r="Z152" s="53" t="str">
        <f t="shared" si="83"/>
        <v>DNS/DNF ()</v>
      </c>
      <c r="AA152" s="53" t="str">
        <f t="shared" si="84"/>
        <v>DNS/DNF ()</v>
      </c>
      <c r="AB152" s="53" t="str">
        <f t="shared" si="85"/>
        <v>DNS/DNF ()</v>
      </c>
      <c r="AC152" s="53" t="str">
        <f t="shared" si="86"/>
        <v>DNS/DNF ()</v>
      </c>
      <c r="AD152" s="53" t="str">
        <f t="shared" si="87"/>
        <v>DNS/DNF ()</v>
      </c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62" t="str">
        <f t="shared" si="88"/>
        <v>DNS/DNF</v>
      </c>
      <c r="AV152" s="62" t="str">
        <f t="shared" si="89"/>
        <v>DNS/DNF</v>
      </c>
      <c r="AW152" s="62" t="str">
        <f t="shared" si="90"/>
        <v>DNS/DNF</v>
      </c>
      <c r="AX152" s="62" t="str">
        <f t="shared" si="91"/>
        <v>DNS/DNF</v>
      </c>
      <c r="AY152" s="62" t="str">
        <f t="shared" si="92"/>
        <v>DNS/DNF</v>
      </c>
      <c r="AZ152" s="62" t="str">
        <f t="shared" si="93"/>
        <v>DNS/DNF</v>
      </c>
      <c r="BA152" s="62" t="str">
        <f t="shared" si="94"/>
        <v>DNS/DNF</v>
      </c>
      <c r="BB152" s="62" t="str">
        <f t="shared" si="95"/>
        <v>DNS/DNF</v>
      </c>
      <c r="BC152" s="75" t="str">
        <f t="shared" si="96"/>
        <v/>
      </c>
      <c r="BD152" s="53" t="str">
        <f t="shared" si="97"/>
        <v/>
      </c>
      <c r="BE152" s="53" t="str">
        <f t="shared" si="98"/>
        <v/>
      </c>
      <c r="BF152" s="53" t="str">
        <f t="shared" si="99"/>
        <v/>
      </c>
      <c r="BG152" s="53" t="str">
        <f t="shared" si="100"/>
        <v/>
      </c>
      <c r="BH152" s="53" t="str">
        <f t="shared" si="101"/>
        <v/>
      </c>
      <c r="BI152" s="53" t="str">
        <f t="shared" si="102"/>
        <v/>
      </c>
      <c r="BJ152" s="53" t="str">
        <f t="shared" si="103"/>
        <v/>
      </c>
      <c r="BK152" s="53" t="str">
        <f t="shared" si="104"/>
        <v/>
      </c>
    </row>
    <row r="153" spans="1:63">
      <c r="A153" s="53"/>
      <c r="B153" s="89" t="str">
        <f>IFERROR(VLOOKUP($A153,EntryList!$A$3:$N$645,2,FALSE),"")</f>
        <v/>
      </c>
      <c r="C153" s="74"/>
      <c r="D153" s="53">
        <f t="shared" si="78"/>
        <v>0</v>
      </c>
      <c r="E153" s="62"/>
      <c r="F153" s="62"/>
      <c r="G153" s="62"/>
      <c r="H153" s="62"/>
      <c r="I153" s="62"/>
      <c r="J153" s="62"/>
      <c r="K153" s="62"/>
      <c r="L153" s="62"/>
      <c r="M153" s="62"/>
      <c r="N153" s="62">
        <f t="shared" si="79"/>
        <v>0</v>
      </c>
      <c r="O153" s="53" t="str">
        <f t="shared" si="105"/>
        <v/>
      </c>
      <c r="P153" s="53" t="str">
        <f t="shared" si="106"/>
        <v/>
      </c>
      <c r="Q153" s="53" t="str">
        <f t="shared" si="107"/>
        <v/>
      </c>
      <c r="R153" s="53" t="str">
        <f t="shared" si="108"/>
        <v/>
      </c>
      <c r="S153" s="53" t="str">
        <f t="shared" si="109"/>
        <v/>
      </c>
      <c r="T153" s="53" t="str">
        <f t="shared" si="110"/>
        <v/>
      </c>
      <c r="U153" s="53" t="str">
        <f t="shared" si="111"/>
        <v/>
      </c>
      <c r="V153" s="53" t="str">
        <f t="shared" si="112"/>
        <v/>
      </c>
      <c r="W153" s="53" t="str">
        <f t="shared" si="80"/>
        <v>DNS/DNF ()</v>
      </c>
      <c r="X153" s="53" t="str">
        <f t="shared" si="81"/>
        <v>DNS/DNF ()</v>
      </c>
      <c r="Y153" s="53" t="str">
        <f t="shared" si="82"/>
        <v>DNS/DNF ()</v>
      </c>
      <c r="Z153" s="53" t="str">
        <f t="shared" si="83"/>
        <v>DNS/DNF ()</v>
      </c>
      <c r="AA153" s="53" t="str">
        <f t="shared" si="84"/>
        <v>DNS/DNF ()</v>
      </c>
      <c r="AB153" s="53" t="str">
        <f t="shared" si="85"/>
        <v>DNS/DNF ()</v>
      </c>
      <c r="AC153" s="53" t="str">
        <f t="shared" si="86"/>
        <v>DNS/DNF ()</v>
      </c>
      <c r="AD153" s="53" t="str">
        <f t="shared" si="87"/>
        <v>DNS/DNF ()</v>
      </c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62" t="str">
        <f t="shared" si="88"/>
        <v>DNS/DNF</v>
      </c>
      <c r="AV153" s="62" t="str">
        <f t="shared" si="89"/>
        <v>DNS/DNF</v>
      </c>
      <c r="AW153" s="62" t="str">
        <f t="shared" si="90"/>
        <v>DNS/DNF</v>
      </c>
      <c r="AX153" s="62" t="str">
        <f t="shared" si="91"/>
        <v>DNS/DNF</v>
      </c>
      <c r="AY153" s="62" t="str">
        <f t="shared" si="92"/>
        <v>DNS/DNF</v>
      </c>
      <c r="AZ153" s="62" t="str">
        <f t="shared" si="93"/>
        <v>DNS/DNF</v>
      </c>
      <c r="BA153" s="62" t="str">
        <f t="shared" si="94"/>
        <v>DNS/DNF</v>
      </c>
      <c r="BB153" s="62" t="str">
        <f t="shared" si="95"/>
        <v>DNS/DNF</v>
      </c>
      <c r="BC153" s="75" t="str">
        <f t="shared" si="96"/>
        <v/>
      </c>
      <c r="BD153" s="53" t="str">
        <f t="shared" si="97"/>
        <v/>
      </c>
      <c r="BE153" s="53" t="str">
        <f t="shared" si="98"/>
        <v/>
      </c>
      <c r="BF153" s="53" t="str">
        <f t="shared" si="99"/>
        <v/>
      </c>
      <c r="BG153" s="53" t="str">
        <f t="shared" si="100"/>
        <v/>
      </c>
      <c r="BH153" s="53" t="str">
        <f t="shared" si="101"/>
        <v/>
      </c>
      <c r="BI153" s="53" t="str">
        <f t="shared" si="102"/>
        <v/>
      </c>
      <c r="BJ153" s="53" t="str">
        <f t="shared" si="103"/>
        <v/>
      </c>
      <c r="BK153" s="53" t="str">
        <f t="shared" si="104"/>
        <v/>
      </c>
    </row>
    <row r="154" spans="1:63">
      <c r="A154" s="53"/>
      <c r="B154" s="89" t="str">
        <f>IFERROR(VLOOKUP($A154,EntryList!$A$3:$N$645,2,FALSE),"")</f>
        <v/>
      </c>
      <c r="C154" s="74"/>
      <c r="D154" s="53">
        <f t="shared" si="78"/>
        <v>0</v>
      </c>
      <c r="E154" s="62"/>
      <c r="F154" s="62"/>
      <c r="G154" s="62"/>
      <c r="H154" s="62"/>
      <c r="I154" s="62"/>
      <c r="J154" s="62"/>
      <c r="K154" s="62"/>
      <c r="L154" s="62"/>
      <c r="M154" s="62"/>
      <c r="N154" s="62">
        <f t="shared" si="79"/>
        <v>0</v>
      </c>
      <c r="O154" s="53" t="str">
        <f t="shared" si="105"/>
        <v/>
      </c>
      <c r="P154" s="53" t="str">
        <f t="shared" si="106"/>
        <v/>
      </c>
      <c r="Q154" s="53" t="str">
        <f t="shared" si="107"/>
        <v/>
      </c>
      <c r="R154" s="53" t="str">
        <f t="shared" si="108"/>
        <v/>
      </c>
      <c r="S154" s="53" t="str">
        <f t="shared" si="109"/>
        <v/>
      </c>
      <c r="T154" s="53" t="str">
        <f t="shared" si="110"/>
        <v/>
      </c>
      <c r="U154" s="53" t="str">
        <f t="shared" si="111"/>
        <v/>
      </c>
      <c r="V154" s="53" t="str">
        <f t="shared" si="112"/>
        <v/>
      </c>
      <c r="W154" s="53" t="str">
        <f t="shared" si="80"/>
        <v>DNS/DNF ()</v>
      </c>
      <c r="X154" s="53" t="str">
        <f t="shared" si="81"/>
        <v>DNS/DNF ()</v>
      </c>
      <c r="Y154" s="53" t="str">
        <f t="shared" si="82"/>
        <v>DNS/DNF ()</v>
      </c>
      <c r="Z154" s="53" t="str">
        <f t="shared" si="83"/>
        <v>DNS/DNF ()</v>
      </c>
      <c r="AA154" s="53" t="str">
        <f t="shared" si="84"/>
        <v>DNS/DNF ()</v>
      </c>
      <c r="AB154" s="53" t="str">
        <f t="shared" si="85"/>
        <v>DNS/DNF ()</v>
      </c>
      <c r="AC154" s="53" t="str">
        <f t="shared" si="86"/>
        <v>DNS/DNF ()</v>
      </c>
      <c r="AD154" s="53" t="str">
        <f t="shared" si="87"/>
        <v>DNS/DNF ()</v>
      </c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62" t="str">
        <f t="shared" si="88"/>
        <v>DNS/DNF</v>
      </c>
      <c r="AV154" s="62" t="str">
        <f t="shared" si="89"/>
        <v>DNS/DNF</v>
      </c>
      <c r="AW154" s="62" t="str">
        <f t="shared" si="90"/>
        <v>DNS/DNF</v>
      </c>
      <c r="AX154" s="62" t="str">
        <f t="shared" si="91"/>
        <v>DNS/DNF</v>
      </c>
      <c r="AY154" s="62" t="str">
        <f t="shared" si="92"/>
        <v>DNS/DNF</v>
      </c>
      <c r="AZ154" s="62" t="str">
        <f t="shared" si="93"/>
        <v>DNS/DNF</v>
      </c>
      <c r="BA154" s="62" t="str">
        <f t="shared" si="94"/>
        <v>DNS/DNF</v>
      </c>
      <c r="BB154" s="62" t="str">
        <f t="shared" si="95"/>
        <v>DNS/DNF</v>
      </c>
      <c r="BC154" s="75" t="str">
        <f t="shared" si="96"/>
        <v/>
      </c>
      <c r="BD154" s="53" t="str">
        <f t="shared" si="97"/>
        <v/>
      </c>
      <c r="BE154" s="53" t="str">
        <f t="shared" si="98"/>
        <v/>
      </c>
      <c r="BF154" s="53" t="str">
        <f t="shared" si="99"/>
        <v/>
      </c>
      <c r="BG154" s="53" t="str">
        <f t="shared" si="100"/>
        <v/>
      </c>
      <c r="BH154" s="53" t="str">
        <f t="shared" si="101"/>
        <v/>
      </c>
      <c r="BI154" s="53" t="str">
        <f t="shared" si="102"/>
        <v/>
      </c>
      <c r="BJ154" s="53" t="str">
        <f t="shared" si="103"/>
        <v/>
      </c>
      <c r="BK154" s="53" t="str">
        <f t="shared" si="104"/>
        <v/>
      </c>
    </row>
    <row r="155" spans="1:63">
      <c r="A155" s="53"/>
      <c r="B155" s="89" t="str">
        <f>IFERROR(VLOOKUP($A155,EntryList!$A$3:$N$645,2,FALSE),"")</f>
        <v/>
      </c>
      <c r="C155" s="74"/>
      <c r="D155" s="53">
        <f t="shared" si="78"/>
        <v>0</v>
      </c>
      <c r="E155" s="62"/>
      <c r="F155" s="62"/>
      <c r="G155" s="62"/>
      <c r="H155" s="62"/>
      <c r="I155" s="62"/>
      <c r="J155" s="62"/>
      <c r="K155" s="62"/>
      <c r="L155" s="62"/>
      <c r="M155" s="62"/>
      <c r="N155" s="62">
        <f t="shared" si="79"/>
        <v>0</v>
      </c>
      <c r="O155" s="53" t="str">
        <f t="shared" si="105"/>
        <v/>
      </c>
      <c r="P155" s="53" t="str">
        <f t="shared" si="106"/>
        <v/>
      </c>
      <c r="Q155" s="53" t="str">
        <f t="shared" si="107"/>
        <v/>
      </c>
      <c r="R155" s="53" t="str">
        <f t="shared" si="108"/>
        <v/>
      </c>
      <c r="S155" s="53" t="str">
        <f t="shared" si="109"/>
        <v/>
      </c>
      <c r="T155" s="53" t="str">
        <f t="shared" si="110"/>
        <v/>
      </c>
      <c r="U155" s="53" t="str">
        <f t="shared" si="111"/>
        <v/>
      </c>
      <c r="V155" s="53" t="str">
        <f t="shared" si="112"/>
        <v/>
      </c>
      <c r="W155" s="53" t="str">
        <f t="shared" si="80"/>
        <v>DNS/DNF ()</v>
      </c>
      <c r="X155" s="53" t="str">
        <f t="shared" si="81"/>
        <v>DNS/DNF ()</v>
      </c>
      <c r="Y155" s="53" t="str">
        <f t="shared" si="82"/>
        <v>DNS/DNF ()</v>
      </c>
      <c r="Z155" s="53" t="str">
        <f t="shared" si="83"/>
        <v>DNS/DNF ()</v>
      </c>
      <c r="AA155" s="53" t="str">
        <f t="shared" si="84"/>
        <v>DNS/DNF ()</v>
      </c>
      <c r="AB155" s="53" t="str">
        <f t="shared" si="85"/>
        <v>DNS/DNF ()</v>
      </c>
      <c r="AC155" s="53" t="str">
        <f t="shared" si="86"/>
        <v>DNS/DNF ()</v>
      </c>
      <c r="AD155" s="53" t="str">
        <f t="shared" si="87"/>
        <v>DNS/DNF ()</v>
      </c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62" t="str">
        <f t="shared" si="88"/>
        <v>DNS/DNF</v>
      </c>
      <c r="AV155" s="62" t="str">
        <f t="shared" si="89"/>
        <v>DNS/DNF</v>
      </c>
      <c r="AW155" s="62" t="str">
        <f t="shared" si="90"/>
        <v>DNS/DNF</v>
      </c>
      <c r="AX155" s="62" t="str">
        <f t="shared" si="91"/>
        <v>DNS/DNF</v>
      </c>
      <c r="AY155" s="62" t="str">
        <f t="shared" si="92"/>
        <v>DNS/DNF</v>
      </c>
      <c r="AZ155" s="62" t="str">
        <f t="shared" si="93"/>
        <v>DNS/DNF</v>
      </c>
      <c r="BA155" s="62" t="str">
        <f t="shared" si="94"/>
        <v>DNS/DNF</v>
      </c>
      <c r="BB155" s="62" t="str">
        <f t="shared" si="95"/>
        <v>DNS/DNF</v>
      </c>
      <c r="BC155" s="75" t="str">
        <f t="shared" si="96"/>
        <v/>
      </c>
      <c r="BD155" s="53" t="str">
        <f t="shared" si="97"/>
        <v/>
      </c>
      <c r="BE155" s="53" t="str">
        <f t="shared" si="98"/>
        <v/>
      </c>
      <c r="BF155" s="53" t="str">
        <f t="shared" si="99"/>
        <v/>
      </c>
      <c r="BG155" s="53" t="str">
        <f t="shared" si="100"/>
        <v/>
      </c>
      <c r="BH155" s="53" t="str">
        <f t="shared" si="101"/>
        <v/>
      </c>
      <c r="BI155" s="53" t="str">
        <f t="shared" si="102"/>
        <v/>
      </c>
      <c r="BJ155" s="53" t="str">
        <f t="shared" si="103"/>
        <v/>
      </c>
      <c r="BK155" s="53" t="str">
        <f t="shared" si="104"/>
        <v/>
      </c>
    </row>
    <row r="156" spans="1:63">
      <c r="A156" s="53"/>
      <c r="B156" s="89" t="str">
        <f>IFERROR(VLOOKUP($A156,EntryList!$A$3:$N$645,2,FALSE),"")</f>
        <v/>
      </c>
      <c r="C156" s="74"/>
      <c r="D156" s="53">
        <f t="shared" si="78"/>
        <v>0</v>
      </c>
      <c r="E156" s="62"/>
      <c r="F156" s="62"/>
      <c r="G156" s="62"/>
      <c r="H156" s="62"/>
      <c r="I156" s="62"/>
      <c r="J156" s="62"/>
      <c r="K156" s="62"/>
      <c r="L156" s="62"/>
      <c r="M156" s="62"/>
      <c r="N156" s="62">
        <f t="shared" si="79"/>
        <v>0</v>
      </c>
      <c r="O156" s="53" t="str">
        <f t="shared" si="105"/>
        <v/>
      </c>
      <c r="P156" s="53" t="str">
        <f t="shared" si="106"/>
        <v/>
      </c>
      <c r="Q156" s="53" t="str">
        <f t="shared" si="107"/>
        <v/>
      </c>
      <c r="R156" s="53" t="str">
        <f t="shared" si="108"/>
        <v/>
      </c>
      <c r="S156" s="53" t="str">
        <f t="shared" si="109"/>
        <v/>
      </c>
      <c r="T156" s="53" t="str">
        <f t="shared" si="110"/>
        <v/>
      </c>
      <c r="U156" s="53" t="str">
        <f t="shared" si="111"/>
        <v/>
      </c>
      <c r="V156" s="53" t="str">
        <f t="shared" si="112"/>
        <v/>
      </c>
      <c r="W156" s="53" t="str">
        <f t="shared" si="80"/>
        <v>DNS/DNF ()</v>
      </c>
      <c r="X156" s="53" t="str">
        <f t="shared" si="81"/>
        <v>DNS/DNF ()</v>
      </c>
      <c r="Y156" s="53" t="str">
        <f t="shared" si="82"/>
        <v>DNS/DNF ()</v>
      </c>
      <c r="Z156" s="53" t="str">
        <f t="shared" si="83"/>
        <v>DNS/DNF ()</v>
      </c>
      <c r="AA156" s="53" t="str">
        <f t="shared" si="84"/>
        <v>DNS/DNF ()</v>
      </c>
      <c r="AB156" s="53" t="str">
        <f t="shared" si="85"/>
        <v>DNS/DNF ()</v>
      </c>
      <c r="AC156" s="53" t="str">
        <f t="shared" si="86"/>
        <v>DNS/DNF ()</v>
      </c>
      <c r="AD156" s="53" t="str">
        <f t="shared" si="87"/>
        <v>DNS/DNF ()</v>
      </c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62" t="str">
        <f t="shared" si="88"/>
        <v>DNS/DNF</v>
      </c>
      <c r="AV156" s="62" t="str">
        <f t="shared" si="89"/>
        <v>DNS/DNF</v>
      </c>
      <c r="AW156" s="62" t="str">
        <f t="shared" si="90"/>
        <v>DNS/DNF</v>
      </c>
      <c r="AX156" s="62" t="str">
        <f t="shared" si="91"/>
        <v>DNS/DNF</v>
      </c>
      <c r="AY156" s="62" t="str">
        <f t="shared" si="92"/>
        <v>DNS/DNF</v>
      </c>
      <c r="AZ156" s="62" t="str">
        <f t="shared" si="93"/>
        <v>DNS/DNF</v>
      </c>
      <c r="BA156" s="62" t="str">
        <f t="shared" si="94"/>
        <v>DNS/DNF</v>
      </c>
      <c r="BB156" s="62" t="str">
        <f t="shared" si="95"/>
        <v>DNS/DNF</v>
      </c>
      <c r="BC156" s="75" t="str">
        <f t="shared" si="96"/>
        <v/>
      </c>
      <c r="BD156" s="53" t="str">
        <f t="shared" si="97"/>
        <v/>
      </c>
      <c r="BE156" s="53" t="str">
        <f t="shared" si="98"/>
        <v/>
      </c>
      <c r="BF156" s="53" t="str">
        <f t="shared" si="99"/>
        <v/>
      </c>
      <c r="BG156" s="53" t="str">
        <f t="shared" si="100"/>
        <v/>
      </c>
      <c r="BH156" s="53" t="str">
        <f t="shared" si="101"/>
        <v/>
      </c>
      <c r="BI156" s="53" t="str">
        <f t="shared" si="102"/>
        <v/>
      </c>
      <c r="BJ156" s="53" t="str">
        <f t="shared" si="103"/>
        <v/>
      </c>
      <c r="BK156" s="53" t="str">
        <f t="shared" si="104"/>
        <v/>
      </c>
    </row>
    <row r="157" spans="1:63">
      <c r="A157" s="53"/>
      <c r="B157" s="89" t="str">
        <f>IFERROR(VLOOKUP($A157,EntryList!$A$3:$N$645,2,FALSE),"")</f>
        <v/>
      </c>
      <c r="C157" s="74"/>
      <c r="D157" s="53">
        <f t="shared" si="78"/>
        <v>0</v>
      </c>
      <c r="E157" s="62"/>
      <c r="F157" s="62"/>
      <c r="G157" s="62"/>
      <c r="H157" s="62"/>
      <c r="I157" s="62"/>
      <c r="J157" s="62"/>
      <c r="K157" s="62"/>
      <c r="L157" s="62"/>
      <c r="M157" s="62"/>
      <c r="N157" s="62">
        <f t="shared" si="79"/>
        <v>0</v>
      </c>
      <c r="O157" s="53" t="str">
        <f t="shared" si="105"/>
        <v/>
      </c>
      <c r="P157" s="53" t="str">
        <f t="shared" si="106"/>
        <v/>
      </c>
      <c r="Q157" s="53" t="str">
        <f t="shared" si="107"/>
        <v/>
      </c>
      <c r="R157" s="53" t="str">
        <f t="shared" si="108"/>
        <v/>
      </c>
      <c r="S157" s="53" t="str">
        <f t="shared" si="109"/>
        <v/>
      </c>
      <c r="T157" s="53" t="str">
        <f t="shared" si="110"/>
        <v/>
      </c>
      <c r="U157" s="53" t="str">
        <f t="shared" si="111"/>
        <v/>
      </c>
      <c r="V157" s="53" t="str">
        <f t="shared" si="112"/>
        <v/>
      </c>
      <c r="W157" s="53" t="str">
        <f t="shared" si="80"/>
        <v>DNS/DNF ()</v>
      </c>
      <c r="X157" s="53" t="str">
        <f t="shared" si="81"/>
        <v>DNS/DNF ()</v>
      </c>
      <c r="Y157" s="53" t="str">
        <f t="shared" si="82"/>
        <v>DNS/DNF ()</v>
      </c>
      <c r="Z157" s="53" t="str">
        <f t="shared" si="83"/>
        <v>DNS/DNF ()</v>
      </c>
      <c r="AA157" s="53" t="str">
        <f t="shared" si="84"/>
        <v>DNS/DNF ()</v>
      </c>
      <c r="AB157" s="53" t="str">
        <f t="shared" si="85"/>
        <v>DNS/DNF ()</v>
      </c>
      <c r="AC157" s="53" t="str">
        <f t="shared" si="86"/>
        <v>DNS/DNF ()</v>
      </c>
      <c r="AD157" s="53" t="str">
        <f t="shared" si="87"/>
        <v>DNS/DNF ()</v>
      </c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62" t="str">
        <f t="shared" si="88"/>
        <v>DNS/DNF</v>
      </c>
      <c r="AV157" s="62" t="str">
        <f t="shared" si="89"/>
        <v>DNS/DNF</v>
      </c>
      <c r="AW157" s="62" t="str">
        <f t="shared" si="90"/>
        <v>DNS/DNF</v>
      </c>
      <c r="AX157" s="62" t="str">
        <f t="shared" si="91"/>
        <v>DNS/DNF</v>
      </c>
      <c r="AY157" s="62" t="str">
        <f t="shared" si="92"/>
        <v>DNS/DNF</v>
      </c>
      <c r="AZ157" s="62" t="str">
        <f t="shared" si="93"/>
        <v>DNS/DNF</v>
      </c>
      <c r="BA157" s="62" t="str">
        <f t="shared" si="94"/>
        <v>DNS/DNF</v>
      </c>
      <c r="BB157" s="62" t="str">
        <f t="shared" si="95"/>
        <v>DNS/DNF</v>
      </c>
      <c r="BC157" s="75" t="str">
        <f t="shared" si="96"/>
        <v/>
      </c>
      <c r="BD157" s="53" t="str">
        <f t="shared" si="97"/>
        <v/>
      </c>
      <c r="BE157" s="53" t="str">
        <f t="shared" si="98"/>
        <v/>
      </c>
      <c r="BF157" s="53" t="str">
        <f t="shared" si="99"/>
        <v/>
      </c>
      <c r="BG157" s="53" t="str">
        <f t="shared" si="100"/>
        <v/>
      </c>
      <c r="BH157" s="53" t="str">
        <f t="shared" si="101"/>
        <v/>
      </c>
      <c r="BI157" s="53" t="str">
        <f t="shared" si="102"/>
        <v/>
      </c>
      <c r="BJ157" s="53" t="str">
        <f t="shared" si="103"/>
        <v/>
      </c>
      <c r="BK157" s="53" t="str">
        <f t="shared" si="104"/>
        <v/>
      </c>
    </row>
    <row r="158" spans="1:63">
      <c r="A158" s="53"/>
      <c r="B158" s="89" t="str">
        <f>IFERROR(VLOOKUP($A158,EntryList!$A$3:$N$645,2,FALSE),"")</f>
        <v/>
      </c>
      <c r="C158" s="74"/>
      <c r="D158" s="53">
        <f t="shared" si="78"/>
        <v>0</v>
      </c>
      <c r="E158" s="62"/>
      <c r="F158" s="62"/>
      <c r="G158" s="62"/>
      <c r="H158" s="62"/>
      <c r="I158" s="62"/>
      <c r="J158" s="62"/>
      <c r="K158" s="62"/>
      <c r="L158" s="62"/>
      <c r="M158" s="62"/>
      <c r="N158" s="62">
        <f t="shared" si="79"/>
        <v>0</v>
      </c>
      <c r="O158" s="53" t="str">
        <f t="shared" si="105"/>
        <v/>
      </c>
      <c r="P158" s="53" t="str">
        <f t="shared" si="106"/>
        <v/>
      </c>
      <c r="Q158" s="53" t="str">
        <f t="shared" si="107"/>
        <v/>
      </c>
      <c r="R158" s="53" t="str">
        <f t="shared" si="108"/>
        <v/>
      </c>
      <c r="S158" s="53" t="str">
        <f t="shared" si="109"/>
        <v/>
      </c>
      <c r="T158" s="53" t="str">
        <f t="shared" si="110"/>
        <v/>
      </c>
      <c r="U158" s="53" t="str">
        <f t="shared" si="111"/>
        <v/>
      </c>
      <c r="V158" s="53" t="str">
        <f t="shared" si="112"/>
        <v/>
      </c>
      <c r="W158" s="53" t="str">
        <f t="shared" si="80"/>
        <v>DNS/DNF ()</v>
      </c>
      <c r="X158" s="53" t="str">
        <f t="shared" si="81"/>
        <v>DNS/DNF ()</v>
      </c>
      <c r="Y158" s="53" t="str">
        <f t="shared" si="82"/>
        <v>DNS/DNF ()</v>
      </c>
      <c r="Z158" s="53" t="str">
        <f t="shared" si="83"/>
        <v>DNS/DNF ()</v>
      </c>
      <c r="AA158" s="53" t="str">
        <f t="shared" si="84"/>
        <v>DNS/DNF ()</v>
      </c>
      <c r="AB158" s="53" t="str">
        <f t="shared" si="85"/>
        <v>DNS/DNF ()</v>
      </c>
      <c r="AC158" s="53" t="str">
        <f t="shared" si="86"/>
        <v>DNS/DNF ()</v>
      </c>
      <c r="AD158" s="53" t="str">
        <f t="shared" si="87"/>
        <v>DNS/DNF ()</v>
      </c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62" t="str">
        <f t="shared" si="88"/>
        <v>DNS/DNF</v>
      </c>
      <c r="AV158" s="62" t="str">
        <f t="shared" si="89"/>
        <v>DNS/DNF</v>
      </c>
      <c r="AW158" s="62" t="str">
        <f t="shared" si="90"/>
        <v>DNS/DNF</v>
      </c>
      <c r="AX158" s="62" t="str">
        <f t="shared" si="91"/>
        <v>DNS/DNF</v>
      </c>
      <c r="AY158" s="62" t="str">
        <f t="shared" si="92"/>
        <v>DNS/DNF</v>
      </c>
      <c r="AZ158" s="62" t="str">
        <f t="shared" si="93"/>
        <v>DNS/DNF</v>
      </c>
      <c r="BA158" s="62" t="str">
        <f t="shared" si="94"/>
        <v>DNS/DNF</v>
      </c>
      <c r="BB158" s="62" t="str">
        <f t="shared" si="95"/>
        <v>DNS/DNF</v>
      </c>
      <c r="BC158" s="75" t="str">
        <f t="shared" si="96"/>
        <v/>
      </c>
      <c r="BD158" s="53" t="str">
        <f t="shared" si="97"/>
        <v/>
      </c>
      <c r="BE158" s="53" t="str">
        <f t="shared" si="98"/>
        <v/>
      </c>
      <c r="BF158" s="53" t="str">
        <f t="shared" si="99"/>
        <v/>
      </c>
      <c r="BG158" s="53" t="str">
        <f t="shared" si="100"/>
        <v/>
      </c>
      <c r="BH158" s="53" t="str">
        <f t="shared" si="101"/>
        <v/>
      </c>
      <c r="BI158" s="53" t="str">
        <f t="shared" si="102"/>
        <v/>
      </c>
      <c r="BJ158" s="53" t="str">
        <f t="shared" si="103"/>
        <v/>
      </c>
      <c r="BK158" s="53" t="str">
        <f t="shared" si="104"/>
        <v/>
      </c>
    </row>
    <row r="159" spans="1:63">
      <c r="A159" s="53"/>
      <c r="B159" s="89" t="str">
        <f>IFERROR(VLOOKUP($A159,EntryList!$A$3:$N$645,2,FALSE),"")</f>
        <v/>
      </c>
      <c r="C159" s="74"/>
      <c r="D159" s="53">
        <f t="shared" si="78"/>
        <v>0</v>
      </c>
      <c r="E159" s="62"/>
      <c r="F159" s="62"/>
      <c r="G159" s="62"/>
      <c r="H159" s="62"/>
      <c r="I159" s="62"/>
      <c r="J159" s="62"/>
      <c r="K159" s="62"/>
      <c r="L159" s="62"/>
      <c r="M159" s="62"/>
      <c r="N159" s="62">
        <f t="shared" si="79"/>
        <v>0</v>
      </c>
      <c r="O159" s="53" t="str">
        <f t="shared" si="105"/>
        <v/>
      </c>
      <c r="P159" s="53" t="str">
        <f t="shared" si="106"/>
        <v/>
      </c>
      <c r="Q159" s="53" t="str">
        <f t="shared" si="107"/>
        <v/>
      </c>
      <c r="R159" s="53" t="str">
        <f t="shared" si="108"/>
        <v/>
      </c>
      <c r="S159" s="53" t="str">
        <f t="shared" si="109"/>
        <v/>
      </c>
      <c r="T159" s="53" t="str">
        <f t="shared" si="110"/>
        <v/>
      </c>
      <c r="U159" s="53" t="str">
        <f t="shared" si="111"/>
        <v/>
      </c>
      <c r="V159" s="53" t="str">
        <f t="shared" si="112"/>
        <v/>
      </c>
      <c r="W159" s="53" t="str">
        <f t="shared" si="80"/>
        <v>DNS/DNF ()</v>
      </c>
      <c r="X159" s="53" t="str">
        <f t="shared" si="81"/>
        <v>DNS/DNF ()</v>
      </c>
      <c r="Y159" s="53" t="str">
        <f t="shared" si="82"/>
        <v>DNS/DNF ()</v>
      </c>
      <c r="Z159" s="53" t="str">
        <f t="shared" si="83"/>
        <v>DNS/DNF ()</v>
      </c>
      <c r="AA159" s="53" t="str">
        <f t="shared" si="84"/>
        <v>DNS/DNF ()</v>
      </c>
      <c r="AB159" s="53" t="str">
        <f t="shared" si="85"/>
        <v>DNS/DNF ()</v>
      </c>
      <c r="AC159" s="53" t="str">
        <f t="shared" si="86"/>
        <v>DNS/DNF ()</v>
      </c>
      <c r="AD159" s="53" t="str">
        <f t="shared" si="87"/>
        <v>DNS/DNF ()</v>
      </c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62" t="str">
        <f t="shared" si="88"/>
        <v>DNS/DNF</v>
      </c>
      <c r="AV159" s="62" t="str">
        <f t="shared" si="89"/>
        <v>DNS/DNF</v>
      </c>
      <c r="AW159" s="62" t="str">
        <f t="shared" si="90"/>
        <v>DNS/DNF</v>
      </c>
      <c r="AX159" s="62" t="str">
        <f t="shared" si="91"/>
        <v>DNS/DNF</v>
      </c>
      <c r="AY159" s="62" t="str">
        <f t="shared" si="92"/>
        <v>DNS/DNF</v>
      </c>
      <c r="AZ159" s="62" t="str">
        <f t="shared" si="93"/>
        <v>DNS/DNF</v>
      </c>
      <c r="BA159" s="62" t="str">
        <f t="shared" si="94"/>
        <v>DNS/DNF</v>
      </c>
      <c r="BB159" s="62" t="str">
        <f t="shared" si="95"/>
        <v>DNS/DNF</v>
      </c>
      <c r="BC159" s="75" t="str">
        <f t="shared" si="96"/>
        <v/>
      </c>
      <c r="BD159" s="53" t="str">
        <f t="shared" si="97"/>
        <v/>
      </c>
      <c r="BE159" s="53" t="str">
        <f t="shared" si="98"/>
        <v/>
      </c>
      <c r="BF159" s="53" t="str">
        <f t="shared" si="99"/>
        <v/>
      </c>
      <c r="BG159" s="53" t="str">
        <f t="shared" si="100"/>
        <v/>
      </c>
      <c r="BH159" s="53" t="str">
        <f t="shared" si="101"/>
        <v/>
      </c>
      <c r="BI159" s="53" t="str">
        <f t="shared" si="102"/>
        <v/>
      </c>
      <c r="BJ159" s="53" t="str">
        <f t="shared" si="103"/>
        <v/>
      </c>
      <c r="BK159" s="53" t="str">
        <f t="shared" si="104"/>
        <v/>
      </c>
    </row>
    <row r="160" spans="1:63">
      <c r="A160" s="53"/>
      <c r="B160" s="89" t="str">
        <f>IFERROR(VLOOKUP($A160,EntryList!$A$3:$N$645,2,FALSE),"")</f>
        <v/>
      </c>
      <c r="C160" s="74"/>
      <c r="D160" s="53">
        <f t="shared" si="78"/>
        <v>0</v>
      </c>
      <c r="E160" s="62"/>
      <c r="F160" s="62"/>
      <c r="G160" s="62"/>
      <c r="H160" s="62"/>
      <c r="I160" s="62"/>
      <c r="J160" s="62"/>
      <c r="K160" s="62"/>
      <c r="L160" s="62"/>
      <c r="M160" s="62"/>
      <c r="N160" s="62">
        <f t="shared" si="79"/>
        <v>0</v>
      </c>
      <c r="O160" s="53" t="str">
        <f t="shared" si="105"/>
        <v/>
      </c>
      <c r="P160" s="53" t="str">
        <f t="shared" si="106"/>
        <v/>
      </c>
      <c r="Q160" s="53" t="str">
        <f t="shared" si="107"/>
        <v/>
      </c>
      <c r="R160" s="53" t="str">
        <f t="shared" si="108"/>
        <v/>
      </c>
      <c r="S160" s="53" t="str">
        <f t="shared" si="109"/>
        <v/>
      </c>
      <c r="T160" s="53" t="str">
        <f t="shared" si="110"/>
        <v/>
      </c>
      <c r="U160" s="53" t="str">
        <f t="shared" si="111"/>
        <v/>
      </c>
      <c r="V160" s="53" t="str">
        <f t="shared" si="112"/>
        <v/>
      </c>
      <c r="W160" s="53" t="str">
        <f t="shared" si="80"/>
        <v>DNS/DNF ()</v>
      </c>
      <c r="X160" s="53" t="str">
        <f t="shared" si="81"/>
        <v>DNS/DNF ()</v>
      </c>
      <c r="Y160" s="53" t="str">
        <f t="shared" si="82"/>
        <v>DNS/DNF ()</v>
      </c>
      <c r="Z160" s="53" t="str">
        <f t="shared" si="83"/>
        <v>DNS/DNF ()</v>
      </c>
      <c r="AA160" s="53" t="str">
        <f t="shared" si="84"/>
        <v>DNS/DNF ()</v>
      </c>
      <c r="AB160" s="53" t="str">
        <f t="shared" si="85"/>
        <v>DNS/DNF ()</v>
      </c>
      <c r="AC160" s="53" t="str">
        <f t="shared" si="86"/>
        <v>DNS/DNF ()</v>
      </c>
      <c r="AD160" s="53" t="str">
        <f t="shared" si="87"/>
        <v>DNS/DNF ()</v>
      </c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62" t="str">
        <f t="shared" si="88"/>
        <v>DNS/DNF</v>
      </c>
      <c r="AV160" s="62" t="str">
        <f t="shared" si="89"/>
        <v>DNS/DNF</v>
      </c>
      <c r="AW160" s="62" t="str">
        <f t="shared" si="90"/>
        <v>DNS/DNF</v>
      </c>
      <c r="AX160" s="62" t="str">
        <f t="shared" si="91"/>
        <v>DNS/DNF</v>
      </c>
      <c r="AY160" s="62" t="str">
        <f t="shared" si="92"/>
        <v>DNS/DNF</v>
      </c>
      <c r="AZ160" s="62" t="str">
        <f t="shared" si="93"/>
        <v>DNS/DNF</v>
      </c>
      <c r="BA160" s="62" t="str">
        <f t="shared" si="94"/>
        <v>DNS/DNF</v>
      </c>
      <c r="BB160" s="62" t="str">
        <f t="shared" si="95"/>
        <v>DNS/DNF</v>
      </c>
      <c r="BC160" s="75" t="str">
        <f t="shared" si="96"/>
        <v/>
      </c>
      <c r="BD160" s="53" t="str">
        <f t="shared" si="97"/>
        <v/>
      </c>
      <c r="BE160" s="53" t="str">
        <f t="shared" si="98"/>
        <v/>
      </c>
      <c r="BF160" s="53" t="str">
        <f t="shared" si="99"/>
        <v/>
      </c>
      <c r="BG160" s="53" t="str">
        <f t="shared" si="100"/>
        <v/>
      </c>
      <c r="BH160" s="53" t="str">
        <f t="shared" si="101"/>
        <v/>
      </c>
      <c r="BI160" s="53" t="str">
        <f t="shared" si="102"/>
        <v/>
      </c>
      <c r="BJ160" s="53" t="str">
        <f t="shared" si="103"/>
        <v/>
      </c>
      <c r="BK160" s="53" t="str">
        <f t="shared" si="104"/>
        <v/>
      </c>
    </row>
    <row r="161" spans="1:63">
      <c r="A161" s="53"/>
      <c r="B161" s="89" t="str">
        <f>IFERROR(VLOOKUP($A161,EntryList!$A$3:$N$645,2,FALSE),"")</f>
        <v/>
      </c>
      <c r="C161" s="74"/>
      <c r="D161" s="53">
        <f t="shared" si="78"/>
        <v>0</v>
      </c>
      <c r="E161" s="62"/>
      <c r="F161" s="62"/>
      <c r="G161" s="62"/>
      <c r="H161" s="62"/>
      <c r="I161" s="62"/>
      <c r="J161" s="62"/>
      <c r="K161" s="62"/>
      <c r="L161" s="62"/>
      <c r="M161" s="62"/>
      <c r="N161" s="62">
        <f t="shared" si="79"/>
        <v>0</v>
      </c>
      <c r="O161" s="53" t="str">
        <f t="shared" si="105"/>
        <v/>
      </c>
      <c r="P161" s="53" t="str">
        <f t="shared" si="106"/>
        <v/>
      </c>
      <c r="Q161" s="53" t="str">
        <f t="shared" si="107"/>
        <v/>
      </c>
      <c r="R161" s="53" t="str">
        <f t="shared" si="108"/>
        <v/>
      </c>
      <c r="S161" s="53" t="str">
        <f t="shared" si="109"/>
        <v/>
      </c>
      <c r="T161" s="53" t="str">
        <f t="shared" si="110"/>
        <v/>
      </c>
      <c r="U161" s="53" t="str">
        <f t="shared" si="111"/>
        <v/>
      </c>
      <c r="V161" s="53" t="str">
        <f t="shared" si="112"/>
        <v/>
      </c>
      <c r="W161" s="53" t="str">
        <f t="shared" si="80"/>
        <v>DNS/DNF ()</v>
      </c>
      <c r="X161" s="53" t="str">
        <f t="shared" si="81"/>
        <v>DNS/DNF ()</v>
      </c>
      <c r="Y161" s="53" t="str">
        <f t="shared" si="82"/>
        <v>DNS/DNF ()</v>
      </c>
      <c r="Z161" s="53" t="str">
        <f t="shared" si="83"/>
        <v>DNS/DNF ()</v>
      </c>
      <c r="AA161" s="53" t="str">
        <f t="shared" si="84"/>
        <v>DNS/DNF ()</v>
      </c>
      <c r="AB161" s="53" t="str">
        <f t="shared" si="85"/>
        <v>DNS/DNF ()</v>
      </c>
      <c r="AC161" s="53" t="str">
        <f t="shared" si="86"/>
        <v>DNS/DNF ()</v>
      </c>
      <c r="AD161" s="53" t="str">
        <f t="shared" si="87"/>
        <v>DNS/DNF ()</v>
      </c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62" t="str">
        <f t="shared" si="88"/>
        <v>DNS/DNF</v>
      </c>
      <c r="AV161" s="62" t="str">
        <f t="shared" si="89"/>
        <v>DNS/DNF</v>
      </c>
      <c r="AW161" s="62" t="str">
        <f t="shared" si="90"/>
        <v>DNS/DNF</v>
      </c>
      <c r="AX161" s="62" t="str">
        <f t="shared" si="91"/>
        <v>DNS/DNF</v>
      </c>
      <c r="AY161" s="62" t="str">
        <f t="shared" si="92"/>
        <v>DNS/DNF</v>
      </c>
      <c r="AZ161" s="62" t="str">
        <f t="shared" si="93"/>
        <v>DNS/DNF</v>
      </c>
      <c r="BA161" s="62" t="str">
        <f t="shared" si="94"/>
        <v>DNS/DNF</v>
      </c>
      <c r="BB161" s="62" t="str">
        <f t="shared" si="95"/>
        <v>DNS/DNF</v>
      </c>
      <c r="BC161" s="75" t="str">
        <f t="shared" si="96"/>
        <v/>
      </c>
      <c r="BD161" s="53" t="str">
        <f t="shared" si="97"/>
        <v/>
      </c>
      <c r="BE161" s="53" t="str">
        <f t="shared" si="98"/>
        <v/>
      </c>
      <c r="BF161" s="53" t="str">
        <f t="shared" si="99"/>
        <v/>
      </c>
      <c r="BG161" s="53" t="str">
        <f t="shared" si="100"/>
        <v/>
      </c>
      <c r="BH161" s="53" t="str">
        <f t="shared" si="101"/>
        <v/>
      </c>
      <c r="BI161" s="53" t="str">
        <f t="shared" si="102"/>
        <v/>
      </c>
      <c r="BJ161" s="53" t="str">
        <f t="shared" si="103"/>
        <v/>
      </c>
      <c r="BK161" s="53" t="str">
        <f t="shared" si="104"/>
        <v/>
      </c>
    </row>
    <row r="162" spans="1:63">
      <c r="A162" s="53"/>
      <c r="B162" s="89" t="str">
        <f>IFERROR(VLOOKUP($A162,EntryList!$A$3:$N$645,2,FALSE),"")</f>
        <v/>
      </c>
      <c r="C162" s="74"/>
      <c r="D162" s="53">
        <f t="shared" si="78"/>
        <v>0</v>
      </c>
      <c r="E162" s="62"/>
      <c r="F162" s="62"/>
      <c r="G162" s="62"/>
      <c r="H162" s="62"/>
      <c r="I162" s="62"/>
      <c r="J162" s="62"/>
      <c r="K162" s="62"/>
      <c r="L162" s="62"/>
      <c r="M162" s="62"/>
      <c r="N162" s="62">
        <f t="shared" si="79"/>
        <v>0</v>
      </c>
      <c r="O162" s="53" t="str">
        <f t="shared" si="105"/>
        <v/>
      </c>
      <c r="P162" s="53" t="str">
        <f t="shared" si="106"/>
        <v/>
      </c>
      <c r="Q162" s="53" t="str">
        <f t="shared" si="107"/>
        <v/>
      </c>
      <c r="R162" s="53" t="str">
        <f t="shared" si="108"/>
        <v/>
      </c>
      <c r="S162" s="53" t="str">
        <f t="shared" si="109"/>
        <v/>
      </c>
      <c r="T162" s="53" t="str">
        <f t="shared" si="110"/>
        <v/>
      </c>
      <c r="U162" s="53" t="str">
        <f t="shared" si="111"/>
        <v/>
      </c>
      <c r="V162" s="53" t="str">
        <f t="shared" si="112"/>
        <v/>
      </c>
      <c r="W162" s="53" t="str">
        <f t="shared" si="80"/>
        <v>DNS/DNF ()</v>
      </c>
      <c r="X162" s="53" t="str">
        <f t="shared" si="81"/>
        <v>DNS/DNF ()</v>
      </c>
      <c r="Y162" s="53" t="str">
        <f t="shared" si="82"/>
        <v>DNS/DNF ()</v>
      </c>
      <c r="Z162" s="53" t="str">
        <f t="shared" si="83"/>
        <v>DNS/DNF ()</v>
      </c>
      <c r="AA162" s="53" t="str">
        <f t="shared" si="84"/>
        <v>DNS/DNF ()</v>
      </c>
      <c r="AB162" s="53" t="str">
        <f t="shared" si="85"/>
        <v>DNS/DNF ()</v>
      </c>
      <c r="AC162" s="53" t="str">
        <f t="shared" si="86"/>
        <v>DNS/DNF ()</v>
      </c>
      <c r="AD162" s="53" t="str">
        <f t="shared" si="87"/>
        <v>DNS/DNF ()</v>
      </c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62" t="str">
        <f t="shared" si="88"/>
        <v>DNS/DNF</v>
      </c>
      <c r="AV162" s="62" t="str">
        <f t="shared" si="89"/>
        <v>DNS/DNF</v>
      </c>
      <c r="AW162" s="62" t="str">
        <f t="shared" si="90"/>
        <v>DNS/DNF</v>
      </c>
      <c r="AX162" s="62" t="str">
        <f t="shared" si="91"/>
        <v>DNS/DNF</v>
      </c>
      <c r="AY162" s="62" t="str">
        <f t="shared" si="92"/>
        <v>DNS/DNF</v>
      </c>
      <c r="AZ162" s="62" t="str">
        <f t="shared" si="93"/>
        <v>DNS/DNF</v>
      </c>
      <c r="BA162" s="62" t="str">
        <f t="shared" si="94"/>
        <v>DNS/DNF</v>
      </c>
      <c r="BB162" s="62" t="str">
        <f t="shared" si="95"/>
        <v>DNS/DNF</v>
      </c>
      <c r="BC162" s="75" t="str">
        <f t="shared" si="96"/>
        <v/>
      </c>
      <c r="BD162" s="53" t="str">
        <f t="shared" si="97"/>
        <v/>
      </c>
      <c r="BE162" s="53" t="str">
        <f t="shared" si="98"/>
        <v/>
      </c>
      <c r="BF162" s="53" t="str">
        <f t="shared" si="99"/>
        <v/>
      </c>
      <c r="BG162" s="53" t="str">
        <f t="shared" si="100"/>
        <v/>
      </c>
      <c r="BH162" s="53" t="str">
        <f t="shared" si="101"/>
        <v/>
      </c>
      <c r="BI162" s="53" t="str">
        <f t="shared" si="102"/>
        <v/>
      </c>
      <c r="BJ162" s="53" t="str">
        <f t="shared" si="103"/>
        <v/>
      </c>
      <c r="BK162" s="53" t="str">
        <f t="shared" si="104"/>
        <v/>
      </c>
    </row>
    <row r="163" spans="1:63">
      <c r="A163" s="53"/>
      <c r="B163" s="89" t="str">
        <f>IFERROR(VLOOKUP($A163,EntryList!$A$3:$N$645,2,FALSE),"")</f>
        <v/>
      </c>
      <c r="C163" s="74"/>
      <c r="D163" s="53">
        <f t="shared" si="78"/>
        <v>0</v>
      </c>
      <c r="E163" s="62"/>
      <c r="F163" s="62"/>
      <c r="G163" s="62"/>
      <c r="H163" s="62"/>
      <c r="I163" s="62"/>
      <c r="J163" s="62"/>
      <c r="K163" s="62"/>
      <c r="L163" s="62"/>
      <c r="M163" s="62"/>
      <c r="N163" s="62">
        <f t="shared" si="79"/>
        <v>0</v>
      </c>
      <c r="O163" s="53" t="str">
        <f t="shared" si="105"/>
        <v/>
      </c>
      <c r="P163" s="53" t="str">
        <f t="shared" si="106"/>
        <v/>
      </c>
      <c r="Q163" s="53" t="str">
        <f t="shared" si="107"/>
        <v/>
      </c>
      <c r="R163" s="53" t="str">
        <f t="shared" si="108"/>
        <v/>
      </c>
      <c r="S163" s="53" t="str">
        <f t="shared" si="109"/>
        <v/>
      </c>
      <c r="T163" s="53" t="str">
        <f t="shared" si="110"/>
        <v/>
      </c>
      <c r="U163" s="53" t="str">
        <f t="shared" si="111"/>
        <v/>
      </c>
      <c r="V163" s="53" t="str">
        <f t="shared" si="112"/>
        <v/>
      </c>
      <c r="W163" s="53" t="str">
        <f t="shared" si="80"/>
        <v>DNS/DNF ()</v>
      </c>
      <c r="X163" s="53" t="str">
        <f t="shared" si="81"/>
        <v>DNS/DNF ()</v>
      </c>
      <c r="Y163" s="53" t="str">
        <f t="shared" si="82"/>
        <v>DNS/DNF ()</v>
      </c>
      <c r="Z163" s="53" t="str">
        <f t="shared" si="83"/>
        <v>DNS/DNF ()</v>
      </c>
      <c r="AA163" s="53" t="str">
        <f t="shared" si="84"/>
        <v>DNS/DNF ()</v>
      </c>
      <c r="AB163" s="53" t="str">
        <f t="shared" si="85"/>
        <v>DNS/DNF ()</v>
      </c>
      <c r="AC163" s="53" t="str">
        <f t="shared" si="86"/>
        <v>DNS/DNF ()</v>
      </c>
      <c r="AD163" s="53" t="str">
        <f t="shared" si="87"/>
        <v>DNS/DNF ()</v>
      </c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62" t="str">
        <f t="shared" si="88"/>
        <v>DNS/DNF</v>
      </c>
      <c r="AV163" s="62" t="str">
        <f t="shared" si="89"/>
        <v>DNS/DNF</v>
      </c>
      <c r="AW163" s="62" t="str">
        <f t="shared" si="90"/>
        <v>DNS/DNF</v>
      </c>
      <c r="AX163" s="62" t="str">
        <f t="shared" si="91"/>
        <v>DNS/DNF</v>
      </c>
      <c r="AY163" s="62" t="str">
        <f t="shared" si="92"/>
        <v>DNS/DNF</v>
      </c>
      <c r="AZ163" s="62" t="str">
        <f t="shared" si="93"/>
        <v>DNS/DNF</v>
      </c>
      <c r="BA163" s="62" t="str">
        <f t="shared" si="94"/>
        <v>DNS/DNF</v>
      </c>
      <c r="BB163" s="62" t="str">
        <f t="shared" si="95"/>
        <v>DNS/DNF</v>
      </c>
      <c r="BC163" s="75" t="str">
        <f t="shared" si="96"/>
        <v/>
      </c>
      <c r="BD163" s="53" t="str">
        <f t="shared" si="97"/>
        <v/>
      </c>
      <c r="BE163" s="53" t="str">
        <f t="shared" si="98"/>
        <v/>
      </c>
      <c r="BF163" s="53" t="str">
        <f t="shared" si="99"/>
        <v/>
      </c>
      <c r="BG163" s="53" t="str">
        <f t="shared" si="100"/>
        <v/>
      </c>
      <c r="BH163" s="53" t="str">
        <f t="shared" si="101"/>
        <v/>
      </c>
      <c r="BI163" s="53" t="str">
        <f t="shared" si="102"/>
        <v/>
      </c>
      <c r="BJ163" s="53" t="str">
        <f t="shared" si="103"/>
        <v/>
      </c>
      <c r="BK163" s="53" t="str">
        <f t="shared" si="104"/>
        <v/>
      </c>
    </row>
    <row r="164" spans="1:63">
      <c r="A164" s="53"/>
      <c r="B164" s="89" t="str">
        <f>IFERROR(VLOOKUP($A164,EntryList!$A$3:$N$645,2,FALSE),"")</f>
        <v/>
      </c>
      <c r="C164" s="74"/>
      <c r="D164" s="53">
        <f t="shared" si="78"/>
        <v>0</v>
      </c>
      <c r="E164" s="62"/>
      <c r="F164" s="62"/>
      <c r="G164" s="62"/>
      <c r="H164" s="62"/>
      <c r="I164" s="62"/>
      <c r="J164" s="62"/>
      <c r="K164" s="62"/>
      <c r="L164" s="62"/>
      <c r="M164" s="62"/>
      <c r="N164" s="62">
        <f t="shared" si="79"/>
        <v>0</v>
      </c>
      <c r="O164" s="53" t="str">
        <f t="shared" si="105"/>
        <v/>
      </c>
      <c r="P164" s="53" t="str">
        <f t="shared" si="106"/>
        <v/>
      </c>
      <c r="Q164" s="53" t="str">
        <f t="shared" si="107"/>
        <v/>
      </c>
      <c r="R164" s="53" t="str">
        <f t="shared" si="108"/>
        <v/>
      </c>
      <c r="S164" s="53" t="str">
        <f t="shared" si="109"/>
        <v/>
      </c>
      <c r="T164" s="53" t="str">
        <f t="shared" si="110"/>
        <v/>
      </c>
      <c r="U164" s="53" t="str">
        <f t="shared" si="111"/>
        <v/>
      </c>
      <c r="V164" s="53" t="str">
        <f t="shared" si="112"/>
        <v/>
      </c>
      <c r="W164" s="53" t="str">
        <f t="shared" si="80"/>
        <v>DNS/DNF ()</v>
      </c>
      <c r="X164" s="53" t="str">
        <f t="shared" si="81"/>
        <v>DNS/DNF ()</v>
      </c>
      <c r="Y164" s="53" t="str">
        <f t="shared" si="82"/>
        <v>DNS/DNF ()</v>
      </c>
      <c r="Z164" s="53" t="str">
        <f t="shared" si="83"/>
        <v>DNS/DNF ()</v>
      </c>
      <c r="AA164" s="53" t="str">
        <f t="shared" si="84"/>
        <v>DNS/DNF ()</v>
      </c>
      <c r="AB164" s="53" t="str">
        <f t="shared" si="85"/>
        <v>DNS/DNF ()</v>
      </c>
      <c r="AC164" s="53" t="str">
        <f t="shared" si="86"/>
        <v>DNS/DNF ()</v>
      </c>
      <c r="AD164" s="53" t="str">
        <f t="shared" si="87"/>
        <v>DNS/DNF ()</v>
      </c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62" t="str">
        <f t="shared" si="88"/>
        <v>DNS/DNF</v>
      </c>
      <c r="AV164" s="62" t="str">
        <f t="shared" si="89"/>
        <v>DNS/DNF</v>
      </c>
      <c r="AW164" s="62" t="str">
        <f t="shared" si="90"/>
        <v>DNS/DNF</v>
      </c>
      <c r="AX164" s="62" t="str">
        <f t="shared" si="91"/>
        <v>DNS/DNF</v>
      </c>
      <c r="AY164" s="62" t="str">
        <f t="shared" si="92"/>
        <v>DNS/DNF</v>
      </c>
      <c r="AZ164" s="62" t="str">
        <f t="shared" si="93"/>
        <v>DNS/DNF</v>
      </c>
      <c r="BA164" s="62" t="str">
        <f t="shared" si="94"/>
        <v>DNS/DNF</v>
      </c>
      <c r="BB164" s="62" t="str">
        <f t="shared" si="95"/>
        <v>DNS/DNF</v>
      </c>
      <c r="BC164" s="75" t="str">
        <f t="shared" si="96"/>
        <v/>
      </c>
      <c r="BD164" s="53" t="str">
        <f t="shared" si="97"/>
        <v/>
      </c>
      <c r="BE164" s="53" t="str">
        <f t="shared" si="98"/>
        <v/>
      </c>
      <c r="BF164" s="53" t="str">
        <f t="shared" si="99"/>
        <v/>
      </c>
      <c r="BG164" s="53" t="str">
        <f t="shared" si="100"/>
        <v/>
      </c>
      <c r="BH164" s="53" t="str">
        <f t="shared" si="101"/>
        <v/>
      </c>
      <c r="BI164" s="53" t="str">
        <f t="shared" si="102"/>
        <v/>
      </c>
      <c r="BJ164" s="53" t="str">
        <f t="shared" si="103"/>
        <v/>
      </c>
      <c r="BK164" s="53" t="str">
        <f t="shared" si="104"/>
        <v/>
      </c>
    </row>
    <row r="165" spans="1:63">
      <c r="A165" s="53"/>
      <c r="B165" s="89" t="str">
        <f>IFERROR(VLOOKUP($A165,EntryList!$A$3:$N$645,2,FALSE),"")</f>
        <v/>
      </c>
      <c r="C165" s="74"/>
      <c r="D165" s="53">
        <f t="shared" si="78"/>
        <v>0</v>
      </c>
      <c r="E165" s="62"/>
      <c r="F165" s="62"/>
      <c r="G165" s="62"/>
      <c r="H165" s="62"/>
      <c r="I165" s="62"/>
      <c r="J165" s="62"/>
      <c r="K165" s="62"/>
      <c r="L165" s="62"/>
      <c r="M165" s="62"/>
      <c r="N165" s="62">
        <f t="shared" si="79"/>
        <v>0</v>
      </c>
      <c r="O165" s="53" t="str">
        <f t="shared" si="105"/>
        <v/>
      </c>
      <c r="P165" s="53" t="str">
        <f t="shared" si="106"/>
        <v/>
      </c>
      <c r="Q165" s="53" t="str">
        <f t="shared" si="107"/>
        <v/>
      </c>
      <c r="R165" s="53" t="str">
        <f t="shared" si="108"/>
        <v/>
      </c>
      <c r="S165" s="53" t="str">
        <f t="shared" si="109"/>
        <v/>
      </c>
      <c r="T165" s="53" t="str">
        <f t="shared" si="110"/>
        <v/>
      </c>
      <c r="U165" s="53" t="str">
        <f t="shared" si="111"/>
        <v/>
      </c>
      <c r="V165" s="53" t="str">
        <f t="shared" si="112"/>
        <v/>
      </c>
      <c r="W165" s="53" t="str">
        <f t="shared" si="80"/>
        <v>DNS/DNF ()</v>
      </c>
      <c r="X165" s="53" t="str">
        <f t="shared" si="81"/>
        <v>DNS/DNF ()</v>
      </c>
      <c r="Y165" s="53" t="str">
        <f t="shared" si="82"/>
        <v>DNS/DNF ()</v>
      </c>
      <c r="Z165" s="53" t="str">
        <f t="shared" si="83"/>
        <v>DNS/DNF ()</v>
      </c>
      <c r="AA165" s="53" t="str">
        <f t="shared" si="84"/>
        <v>DNS/DNF ()</v>
      </c>
      <c r="AB165" s="53" t="str">
        <f t="shared" si="85"/>
        <v>DNS/DNF ()</v>
      </c>
      <c r="AC165" s="53" t="str">
        <f t="shared" si="86"/>
        <v>DNS/DNF ()</v>
      </c>
      <c r="AD165" s="53" t="str">
        <f t="shared" si="87"/>
        <v>DNS/DNF ()</v>
      </c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62" t="str">
        <f t="shared" si="88"/>
        <v>DNS/DNF</v>
      </c>
      <c r="AV165" s="62" t="str">
        <f t="shared" si="89"/>
        <v>DNS/DNF</v>
      </c>
      <c r="AW165" s="62" t="str">
        <f t="shared" si="90"/>
        <v>DNS/DNF</v>
      </c>
      <c r="AX165" s="62" t="str">
        <f t="shared" si="91"/>
        <v>DNS/DNF</v>
      </c>
      <c r="AY165" s="62" t="str">
        <f t="shared" si="92"/>
        <v>DNS/DNF</v>
      </c>
      <c r="AZ165" s="62" t="str">
        <f t="shared" si="93"/>
        <v>DNS/DNF</v>
      </c>
      <c r="BA165" s="62" t="str">
        <f t="shared" si="94"/>
        <v>DNS/DNF</v>
      </c>
      <c r="BB165" s="62" t="str">
        <f t="shared" si="95"/>
        <v>DNS/DNF</v>
      </c>
      <c r="BC165" s="75" t="str">
        <f t="shared" si="96"/>
        <v/>
      </c>
      <c r="BD165" s="53" t="str">
        <f t="shared" si="97"/>
        <v/>
      </c>
      <c r="BE165" s="53" t="str">
        <f t="shared" si="98"/>
        <v/>
      </c>
      <c r="BF165" s="53" t="str">
        <f t="shared" si="99"/>
        <v/>
      </c>
      <c r="BG165" s="53" t="str">
        <f t="shared" si="100"/>
        <v/>
      </c>
      <c r="BH165" s="53" t="str">
        <f t="shared" si="101"/>
        <v/>
      </c>
      <c r="BI165" s="53" t="str">
        <f t="shared" si="102"/>
        <v/>
      </c>
      <c r="BJ165" s="53" t="str">
        <f t="shared" si="103"/>
        <v/>
      </c>
      <c r="BK165" s="53" t="str">
        <f t="shared" si="104"/>
        <v/>
      </c>
    </row>
    <row r="166" spans="1:63">
      <c r="A166" s="53"/>
      <c r="B166" s="89" t="str">
        <f>IFERROR(VLOOKUP($A166,EntryList!$A$3:$N$645,2,FALSE),"")</f>
        <v/>
      </c>
      <c r="C166" s="74"/>
      <c r="D166" s="53">
        <f t="shared" si="78"/>
        <v>0</v>
      </c>
      <c r="E166" s="62"/>
      <c r="F166" s="62"/>
      <c r="G166" s="62"/>
      <c r="H166" s="62"/>
      <c r="I166" s="62"/>
      <c r="J166" s="62"/>
      <c r="K166" s="62"/>
      <c r="L166" s="62"/>
      <c r="M166" s="62"/>
      <c r="N166" s="62">
        <f t="shared" si="79"/>
        <v>0</v>
      </c>
      <c r="O166" s="53" t="str">
        <f t="shared" si="105"/>
        <v/>
      </c>
      <c r="P166" s="53" t="str">
        <f t="shared" si="106"/>
        <v/>
      </c>
      <c r="Q166" s="53" t="str">
        <f t="shared" si="107"/>
        <v/>
      </c>
      <c r="R166" s="53" t="str">
        <f t="shared" si="108"/>
        <v/>
      </c>
      <c r="S166" s="53" t="str">
        <f t="shared" si="109"/>
        <v/>
      </c>
      <c r="T166" s="53" t="str">
        <f t="shared" si="110"/>
        <v/>
      </c>
      <c r="U166" s="53" t="str">
        <f t="shared" si="111"/>
        <v/>
      </c>
      <c r="V166" s="53" t="str">
        <f t="shared" si="112"/>
        <v/>
      </c>
      <c r="W166" s="53" t="str">
        <f t="shared" si="80"/>
        <v>DNS/DNF ()</v>
      </c>
      <c r="X166" s="53" t="str">
        <f t="shared" si="81"/>
        <v>DNS/DNF ()</v>
      </c>
      <c r="Y166" s="53" t="str">
        <f t="shared" si="82"/>
        <v>DNS/DNF ()</v>
      </c>
      <c r="Z166" s="53" t="str">
        <f t="shared" si="83"/>
        <v>DNS/DNF ()</v>
      </c>
      <c r="AA166" s="53" t="str">
        <f t="shared" si="84"/>
        <v>DNS/DNF ()</v>
      </c>
      <c r="AB166" s="53" t="str">
        <f t="shared" si="85"/>
        <v>DNS/DNF ()</v>
      </c>
      <c r="AC166" s="53" t="str">
        <f t="shared" si="86"/>
        <v>DNS/DNF ()</v>
      </c>
      <c r="AD166" s="53" t="str">
        <f t="shared" si="87"/>
        <v>DNS/DNF ()</v>
      </c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62" t="str">
        <f t="shared" si="88"/>
        <v>DNS/DNF</v>
      </c>
      <c r="AV166" s="62" t="str">
        <f t="shared" si="89"/>
        <v>DNS/DNF</v>
      </c>
      <c r="AW166" s="62" t="str">
        <f t="shared" si="90"/>
        <v>DNS/DNF</v>
      </c>
      <c r="AX166" s="62" t="str">
        <f t="shared" si="91"/>
        <v>DNS/DNF</v>
      </c>
      <c r="AY166" s="62" t="str">
        <f t="shared" si="92"/>
        <v>DNS/DNF</v>
      </c>
      <c r="AZ166" s="62" t="str">
        <f t="shared" si="93"/>
        <v>DNS/DNF</v>
      </c>
      <c r="BA166" s="62" t="str">
        <f t="shared" si="94"/>
        <v>DNS/DNF</v>
      </c>
      <c r="BB166" s="62" t="str">
        <f t="shared" si="95"/>
        <v>DNS/DNF</v>
      </c>
      <c r="BC166" s="75" t="str">
        <f t="shared" si="96"/>
        <v/>
      </c>
      <c r="BD166" s="53" t="str">
        <f t="shared" si="97"/>
        <v/>
      </c>
      <c r="BE166" s="53" t="str">
        <f t="shared" si="98"/>
        <v/>
      </c>
      <c r="BF166" s="53" t="str">
        <f t="shared" si="99"/>
        <v/>
      </c>
      <c r="BG166" s="53" t="str">
        <f t="shared" si="100"/>
        <v/>
      </c>
      <c r="BH166" s="53" t="str">
        <f t="shared" si="101"/>
        <v/>
      </c>
      <c r="BI166" s="53" t="str">
        <f t="shared" si="102"/>
        <v/>
      </c>
      <c r="BJ166" s="53" t="str">
        <f t="shared" si="103"/>
        <v/>
      </c>
      <c r="BK166" s="53" t="str">
        <f t="shared" si="104"/>
        <v/>
      </c>
    </row>
    <row r="167" spans="1:63">
      <c r="A167" s="53"/>
      <c r="B167" s="89" t="str">
        <f>IFERROR(VLOOKUP($A167,EntryList!$A$3:$N$645,2,FALSE),"")</f>
        <v/>
      </c>
      <c r="C167" s="74"/>
      <c r="D167" s="53">
        <f t="shared" si="78"/>
        <v>0</v>
      </c>
      <c r="E167" s="62"/>
      <c r="F167" s="62"/>
      <c r="G167" s="62"/>
      <c r="H167" s="62"/>
      <c r="I167" s="62"/>
      <c r="J167" s="62"/>
      <c r="K167" s="62"/>
      <c r="L167" s="62"/>
      <c r="M167" s="62"/>
      <c r="N167" s="62">
        <f t="shared" si="79"/>
        <v>0</v>
      </c>
      <c r="O167" s="53" t="str">
        <f t="shared" si="105"/>
        <v/>
      </c>
      <c r="P167" s="53" t="str">
        <f t="shared" si="106"/>
        <v/>
      </c>
      <c r="Q167" s="53" t="str">
        <f t="shared" si="107"/>
        <v/>
      </c>
      <c r="R167" s="53" t="str">
        <f t="shared" si="108"/>
        <v/>
      </c>
      <c r="S167" s="53" t="str">
        <f t="shared" si="109"/>
        <v/>
      </c>
      <c r="T167" s="53" t="str">
        <f t="shared" si="110"/>
        <v/>
      </c>
      <c r="U167" s="53" t="str">
        <f t="shared" si="111"/>
        <v/>
      </c>
      <c r="V167" s="53" t="str">
        <f t="shared" si="112"/>
        <v/>
      </c>
      <c r="W167" s="53" t="str">
        <f t="shared" si="80"/>
        <v>DNS/DNF ()</v>
      </c>
      <c r="X167" s="53" t="str">
        <f t="shared" si="81"/>
        <v>DNS/DNF ()</v>
      </c>
      <c r="Y167" s="53" t="str">
        <f t="shared" si="82"/>
        <v>DNS/DNF ()</v>
      </c>
      <c r="Z167" s="53" t="str">
        <f t="shared" si="83"/>
        <v>DNS/DNF ()</v>
      </c>
      <c r="AA167" s="53" t="str">
        <f t="shared" si="84"/>
        <v>DNS/DNF ()</v>
      </c>
      <c r="AB167" s="53" t="str">
        <f t="shared" si="85"/>
        <v>DNS/DNF ()</v>
      </c>
      <c r="AC167" s="53" t="str">
        <f t="shared" si="86"/>
        <v>DNS/DNF ()</v>
      </c>
      <c r="AD167" s="53" t="str">
        <f t="shared" si="87"/>
        <v>DNS/DNF ()</v>
      </c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62" t="str">
        <f t="shared" si="88"/>
        <v>DNS/DNF</v>
      </c>
      <c r="AV167" s="62" t="str">
        <f t="shared" si="89"/>
        <v>DNS/DNF</v>
      </c>
      <c r="AW167" s="62" t="str">
        <f t="shared" si="90"/>
        <v>DNS/DNF</v>
      </c>
      <c r="AX167" s="62" t="str">
        <f t="shared" si="91"/>
        <v>DNS/DNF</v>
      </c>
      <c r="AY167" s="62" t="str">
        <f t="shared" si="92"/>
        <v>DNS/DNF</v>
      </c>
      <c r="AZ167" s="62" t="str">
        <f t="shared" si="93"/>
        <v>DNS/DNF</v>
      </c>
      <c r="BA167" s="62" t="str">
        <f t="shared" si="94"/>
        <v>DNS/DNF</v>
      </c>
      <c r="BB167" s="62" t="str">
        <f t="shared" si="95"/>
        <v>DNS/DNF</v>
      </c>
      <c r="BC167" s="75" t="str">
        <f t="shared" si="96"/>
        <v/>
      </c>
      <c r="BD167" s="53" t="str">
        <f t="shared" si="97"/>
        <v/>
      </c>
      <c r="BE167" s="53" t="str">
        <f t="shared" si="98"/>
        <v/>
      </c>
      <c r="BF167" s="53" t="str">
        <f t="shared" si="99"/>
        <v/>
      </c>
      <c r="BG167" s="53" t="str">
        <f t="shared" si="100"/>
        <v/>
      </c>
      <c r="BH167" s="53" t="str">
        <f t="shared" si="101"/>
        <v/>
      </c>
      <c r="BI167" s="53" t="str">
        <f t="shared" si="102"/>
        <v/>
      </c>
      <c r="BJ167" s="53" t="str">
        <f t="shared" si="103"/>
        <v/>
      </c>
      <c r="BK167" s="53" t="str">
        <f t="shared" si="104"/>
        <v/>
      </c>
    </row>
    <row r="168" spans="1:63">
      <c r="A168" s="53"/>
      <c r="B168" s="89" t="str">
        <f>IFERROR(VLOOKUP($A168,EntryList!$A$3:$N$645,2,FALSE),"")</f>
        <v/>
      </c>
      <c r="C168" s="74"/>
      <c r="D168" s="53">
        <f t="shared" si="78"/>
        <v>0</v>
      </c>
      <c r="E168" s="62"/>
      <c r="F168" s="62"/>
      <c r="G168" s="62"/>
      <c r="H168" s="62"/>
      <c r="I168" s="62"/>
      <c r="J168" s="62"/>
      <c r="K168" s="62"/>
      <c r="L168" s="62"/>
      <c r="M168" s="62"/>
      <c r="N168" s="62">
        <f t="shared" si="79"/>
        <v>0</v>
      </c>
      <c r="O168" s="53" t="str">
        <f t="shared" si="105"/>
        <v/>
      </c>
      <c r="P168" s="53" t="str">
        <f t="shared" si="106"/>
        <v/>
      </c>
      <c r="Q168" s="53" t="str">
        <f t="shared" si="107"/>
        <v/>
      </c>
      <c r="R168" s="53" t="str">
        <f t="shared" si="108"/>
        <v/>
      </c>
      <c r="S168" s="53" t="str">
        <f t="shared" si="109"/>
        <v/>
      </c>
      <c r="T168" s="53" t="str">
        <f t="shared" si="110"/>
        <v/>
      </c>
      <c r="U168" s="53" t="str">
        <f t="shared" si="111"/>
        <v/>
      </c>
      <c r="V168" s="53" t="str">
        <f t="shared" si="112"/>
        <v/>
      </c>
      <c r="W168" s="53" t="str">
        <f t="shared" si="80"/>
        <v>DNS/DNF ()</v>
      </c>
      <c r="X168" s="53" t="str">
        <f t="shared" si="81"/>
        <v>DNS/DNF ()</v>
      </c>
      <c r="Y168" s="53" t="str">
        <f t="shared" si="82"/>
        <v>DNS/DNF ()</v>
      </c>
      <c r="Z168" s="53" t="str">
        <f t="shared" si="83"/>
        <v>DNS/DNF ()</v>
      </c>
      <c r="AA168" s="53" t="str">
        <f t="shared" si="84"/>
        <v>DNS/DNF ()</v>
      </c>
      <c r="AB168" s="53" t="str">
        <f t="shared" si="85"/>
        <v>DNS/DNF ()</v>
      </c>
      <c r="AC168" s="53" t="str">
        <f t="shared" si="86"/>
        <v>DNS/DNF ()</v>
      </c>
      <c r="AD168" s="53" t="str">
        <f t="shared" si="87"/>
        <v>DNS/DNF ()</v>
      </c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62" t="str">
        <f t="shared" si="88"/>
        <v>DNS/DNF</v>
      </c>
      <c r="AV168" s="62" t="str">
        <f t="shared" si="89"/>
        <v>DNS/DNF</v>
      </c>
      <c r="AW168" s="62" t="str">
        <f t="shared" si="90"/>
        <v>DNS/DNF</v>
      </c>
      <c r="AX168" s="62" t="str">
        <f t="shared" si="91"/>
        <v>DNS/DNF</v>
      </c>
      <c r="AY168" s="62" t="str">
        <f t="shared" si="92"/>
        <v>DNS/DNF</v>
      </c>
      <c r="AZ168" s="62" t="str">
        <f t="shared" si="93"/>
        <v>DNS/DNF</v>
      </c>
      <c r="BA168" s="62" t="str">
        <f t="shared" si="94"/>
        <v>DNS/DNF</v>
      </c>
      <c r="BB168" s="62" t="str">
        <f t="shared" si="95"/>
        <v>DNS/DNF</v>
      </c>
      <c r="BC168" s="75" t="str">
        <f t="shared" si="96"/>
        <v/>
      </c>
      <c r="BD168" s="53" t="str">
        <f t="shared" si="97"/>
        <v/>
      </c>
      <c r="BE168" s="53" t="str">
        <f t="shared" si="98"/>
        <v/>
      </c>
      <c r="BF168" s="53" t="str">
        <f t="shared" si="99"/>
        <v/>
      </c>
      <c r="BG168" s="53" t="str">
        <f t="shared" si="100"/>
        <v/>
      </c>
      <c r="BH168" s="53" t="str">
        <f t="shared" si="101"/>
        <v/>
      </c>
      <c r="BI168" s="53" t="str">
        <f t="shared" si="102"/>
        <v/>
      </c>
      <c r="BJ168" s="53" t="str">
        <f t="shared" si="103"/>
        <v/>
      </c>
      <c r="BK168" s="53" t="str">
        <f t="shared" si="104"/>
        <v/>
      </c>
    </row>
    <row r="169" spans="1:63">
      <c r="A169" s="53"/>
      <c r="B169" s="89" t="str">
        <f>IFERROR(VLOOKUP($A169,EntryList!$A$3:$N$645,2,FALSE),"")</f>
        <v/>
      </c>
      <c r="C169" s="74"/>
      <c r="D169" s="53">
        <f t="shared" si="78"/>
        <v>0</v>
      </c>
      <c r="E169" s="62"/>
      <c r="F169" s="62"/>
      <c r="G169" s="62"/>
      <c r="H169" s="62"/>
      <c r="I169" s="62"/>
      <c r="J169" s="62"/>
      <c r="K169" s="62"/>
      <c r="L169" s="62"/>
      <c r="M169" s="62"/>
      <c r="N169" s="62">
        <f t="shared" si="79"/>
        <v>0</v>
      </c>
      <c r="O169" s="53" t="str">
        <f t="shared" si="105"/>
        <v/>
      </c>
      <c r="P169" s="53" t="str">
        <f t="shared" si="106"/>
        <v/>
      </c>
      <c r="Q169" s="53" t="str">
        <f t="shared" si="107"/>
        <v/>
      </c>
      <c r="R169" s="53" t="str">
        <f t="shared" si="108"/>
        <v/>
      </c>
      <c r="S169" s="53" t="str">
        <f t="shared" si="109"/>
        <v/>
      </c>
      <c r="T169" s="53" t="str">
        <f t="shared" si="110"/>
        <v/>
      </c>
      <c r="U169" s="53" t="str">
        <f t="shared" si="111"/>
        <v/>
      </c>
      <c r="V169" s="53" t="str">
        <f t="shared" si="112"/>
        <v/>
      </c>
      <c r="W169" s="53" t="str">
        <f t="shared" si="80"/>
        <v>DNS/DNF ()</v>
      </c>
      <c r="X169" s="53" t="str">
        <f t="shared" si="81"/>
        <v>DNS/DNF ()</v>
      </c>
      <c r="Y169" s="53" t="str">
        <f t="shared" si="82"/>
        <v>DNS/DNF ()</v>
      </c>
      <c r="Z169" s="53" t="str">
        <f t="shared" si="83"/>
        <v>DNS/DNF ()</v>
      </c>
      <c r="AA169" s="53" t="str">
        <f t="shared" si="84"/>
        <v>DNS/DNF ()</v>
      </c>
      <c r="AB169" s="53" t="str">
        <f t="shared" si="85"/>
        <v>DNS/DNF ()</v>
      </c>
      <c r="AC169" s="53" t="str">
        <f t="shared" si="86"/>
        <v>DNS/DNF ()</v>
      </c>
      <c r="AD169" s="53" t="str">
        <f t="shared" si="87"/>
        <v>DNS/DNF ()</v>
      </c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62" t="str">
        <f t="shared" si="88"/>
        <v>DNS/DNF</v>
      </c>
      <c r="AV169" s="62" t="str">
        <f t="shared" si="89"/>
        <v>DNS/DNF</v>
      </c>
      <c r="AW169" s="62" t="str">
        <f t="shared" si="90"/>
        <v>DNS/DNF</v>
      </c>
      <c r="AX169" s="62" t="str">
        <f t="shared" si="91"/>
        <v>DNS/DNF</v>
      </c>
      <c r="AY169" s="62" t="str">
        <f t="shared" si="92"/>
        <v>DNS/DNF</v>
      </c>
      <c r="AZ169" s="62" t="str">
        <f t="shared" si="93"/>
        <v>DNS/DNF</v>
      </c>
      <c r="BA169" s="62" t="str">
        <f t="shared" si="94"/>
        <v>DNS/DNF</v>
      </c>
      <c r="BB169" s="62" t="str">
        <f t="shared" si="95"/>
        <v>DNS/DNF</v>
      </c>
      <c r="BC169" s="75" t="str">
        <f t="shared" si="96"/>
        <v/>
      </c>
      <c r="BD169" s="53" t="str">
        <f t="shared" si="97"/>
        <v/>
      </c>
      <c r="BE169" s="53" t="str">
        <f t="shared" si="98"/>
        <v/>
      </c>
      <c r="BF169" s="53" t="str">
        <f t="shared" si="99"/>
        <v/>
      </c>
      <c r="BG169" s="53" t="str">
        <f t="shared" si="100"/>
        <v/>
      </c>
      <c r="BH169" s="53" t="str">
        <f t="shared" si="101"/>
        <v/>
      </c>
      <c r="BI169" s="53" t="str">
        <f t="shared" si="102"/>
        <v/>
      </c>
      <c r="BJ169" s="53" t="str">
        <f t="shared" si="103"/>
        <v/>
      </c>
      <c r="BK169" s="53" t="str">
        <f t="shared" si="104"/>
        <v/>
      </c>
    </row>
    <row r="170" spans="1:63">
      <c r="A170" s="53"/>
      <c r="B170" s="89" t="str">
        <f>IFERROR(VLOOKUP($A170,EntryList!$A$3:$N$645,2,FALSE),"")</f>
        <v/>
      </c>
      <c r="C170" s="74"/>
      <c r="D170" s="53">
        <f t="shared" si="78"/>
        <v>0</v>
      </c>
      <c r="E170" s="62"/>
      <c r="F170" s="62"/>
      <c r="G170" s="62"/>
      <c r="H170" s="62"/>
      <c r="I170" s="62"/>
      <c r="J170" s="62"/>
      <c r="K170" s="62"/>
      <c r="L170" s="62"/>
      <c r="M170" s="62"/>
      <c r="N170" s="62">
        <f t="shared" si="79"/>
        <v>0</v>
      </c>
      <c r="O170" s="53" t="str">
        <f t="shared" si="105"/>
        <v/>
      </c>
      <c r="P170" s="53" t="str">
        <f t="shared" si="106"/>
        <v/>
      </c>
      <c r="Q170" s="53" t="str">
        <f t="shared" si="107"/>
        <v/>
      </c>
      <c r="R170" s="53" t="str">
        <f t="shared" si="108"/>
        <v/>
      </c>
      <c r="S170" s="53" t="str">
        <f t="shared" si="109"/>
        <v/>
      </c>
      <c r="T170" s="53" t="str">
        <f t="shared" si="110"/>
        <v/>
      </c>
      <c r="U170" s="53" t="str">
        <f t="shared" si="111"/>
        <v/>
      </c>
      <c r="V170" s="53" t="str">
        <f t="shared" si="112"/>
        <v/>
      </c>
      <c r="W170" s="53" t="str">
        <f t="shared" si="80"/>
        <v>DNS/DNF ()</v>
      </c>
      <c r="X170" s="53" t="str">
        <f t="shared" si="81"/>
        <v>DNS/DNF ()</v>
      </c>
      <c r="Y170" s="53" t="str">
        <f t="shared" si="82"/>
        <v>DNS/DNF ()</v>
      </c>
      <c r="Z170" s="53" t="str">
        <f t="shared" si="83"/>
        <v>DNS/DNF ()</v>
      </c>
      <c r="AA170" s="53" t="str">
        <f t="shared" si="84"/>
        <v>DNS/DNF ()</v>
      </c>
      <c r="AB170" s="53" t="str">
        <f t="shared" si="85"/>
        <v>DNS/DNF ()</v>
      </c>
      <c r="AC170" s="53" t="str">
        <f t="shared" si="86"/>
        <v>DNS/DNF ()</v>
      </c>
      <c r="AD170" s="53" t="str">
        <f t="shared" si="87"/>
        <v>DNS/DNF ()</v>
      </c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62" t="str">
        <f t="shared" si="88"/>
        <v>DNS/DNF</v>
      </c>
      <c r="AV170" s="62" t="str">
        <f t="shared" si="89"/>
        <v>DNS/DNF</v>
      </c>
      <c r="AW170" s="62" t="str">
        <f t="shared" si="90"/>
        <v>DNS/DNF</v>
      </c>
      <c r="AX170" s="62" t="str">
        <f t="shared" si="91"/>
        <v>DNS/DNF</v>
      </c>
      <c r="AY170" s="62" t="str">
        <f t="shared" si="92"/>
        <v>DNS/DNF</v>
      </c>
      <c r="AZ170" s="62" t="str">
        <f t="shared" si="93"/>
        <v>DNS/DNF</v>
      </c>
      <c r="BA170" s="62" t="str">
        <f t="shared" si="94"/>
        <v>DNS/DNF</v>
      </c>
      <c r="BB170" s="62" t="str">
        <f t="shared" si="95"/>
        <v>DNS/DNF</v>
      </c>
      <c r="BC170" s="75" t="str">
        <f t="shared" si="96"/>
        <v/>
      </c>
      <c r="BD170" s="53" t="str">
        <f t="shared" si="97"/>
        <v/>
      </c>
      <c r="BE170" s="53" t="str">
        <f t="shared" si="98"/>
        <v/>
      </c>
      <c r="BF170" s="53" t="str">
        <f t="shared" si="99"/>
        <v/>
      </c>
      <c r="BG170" s="53" t="str">
        <f t="shared" si="100"/>
        <v/>
      </c>
      <c r="BH170" s="53" t="str">
        <f t="shared" si="101"/>
        <v/>
      </c>
      <c r="BI170" s="53" t="str">
        <f t="shared" si="102"/>
        <v/>
      </c>
      <c r="BJ170" s="53" t="str">
        <f t="shared" si="103"/>
        <v/>
      </c>
      <c r="BK170" s="53" t="str">
        <f t="shared" si="104"/>
        <v/>
      </c>
    </row>
    <row r="171" spans="1:63">
      <c r="A171" s="53"/>
      <c r="B171" s="89" t="str">
        <f>IFERROR(VLOOKUP($A171,EntryList!$A$3:$N$645,2,FALSE),"")</f>
        <v/>
      </c>
      <c r="C171" s="74"/>
      <c r="D171" s="53">
        <f t="shared" si="78"/>
        <v>0</v>
      </c>
      <c r="E171" s="62"/>
      <c r="F171" s="62"/>
      <c r="G171" s="62"/>
      <c r="H171" s="62"/>
      <c r="I171" s="62"/>
      <c r="J171" s="62"/>
      <c r="K171" s="62"/>
      <c r="L171" s="62"/>
      <c r="M171" s="62"/>
      <c r="N171" s="62">
        <f t="shared" si="79"/>
        <v>0</v>
      </c>
      <c r="O171" s="53" t="str">
        <f t="shared" si="105"/>
        <v/>
      </c>
      <c r="P171" s="53" t="str">
        <f t="shared" si="106"/>
        <v/>
      </c>
      <c r="Q171" s="53" t="str">
        <f t="shared" si="107"/>
        <v/>
      </c>
      <c r="R171" s="53" t="str">
        <f t="shared" si="108"/>
        <v/>
      </c>
      <c r="S171" s="53" t="str">
        <f t="shared" si="109"/>
        <v/>
      </c>
      <c r="T171" s="53" t="str">
        <f t="shared" si="110"/>
        <v/>
      </c>
      <c r="U171" s="53" t="str">
        <f t="shared" si="111"/>
        <v/>
      </c>
      <c r="V171" s="53" t="str">
        <f t="shared" si="112"/>
        <v/>
      </c>
      <c r="W171" s="53" t="str">
        <f t="shared" si="80"/>
        <v>DNS/DNF ()</v>
      </c>
      <c r="X171" s="53" t="str">
        <f t="shared" si="81"/>
        <v>DNS/DNF ()</v>
      </c>
      <c r="Y171" s="53" t="str">
        <f t="shared" si="82"/>
        <v>DNS/DNF ()</v>
      </c>
      <c r="Z171" s="53" t="str">
        <f t="shared" si="83"/>
        <v>DNS/DNF ()</v>
      </c>
      <c r="AA171" s="53" t="str">
        <f t="shared" si="84"/>
        <v>DNS/DNF ()</v>
      </c>
      <c r="AB171" s="53" t="str">
        <f t="shared" si="85"/>
        <v>DNS/DNF ()</v>
      </c>
      <c r="AC171" s="53" t="str">
        <f t="shared" si="86"/>
        <v>DNS/DNF ()</v>
      </c>
      <c r="AD171" s="53" t="str">
        <f t="shared" si="87"/>
        <v>DNS/DNF ()</v>
      </c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62" t="str">
        <f t="shared" si="88"/>
        <v>DNS/DNF</v>
      </c>
      <c r="AV171" s="62" t="str">
        <f t="shared" si="89"/>
        <v>DNS/DNF</v>
      </c>
      <c r="AW171" s="62" t="str">
        <f t="shared" si="90"/>
        <v>DNS/DNF</v>
      </c>
      <c r="AX171" s="62" t="str">
        <f t="shared" si="91"/>
        <v>DNS/DNF</v>
      </c>
      <c r="AY171" s="62" t="str">
        <f t="shared" si="92"/>
        <v>DNS/DNF</v>
      </c>
      <c r="AZ171" s="62" t="str">
        <f t="shared" si="93"/>
        <v>DNS/DNF</v>
      </c>
      <c r="BA171" s="62" t="str">
        <f t="shared" si="94"/>
        <v>DNS/DNF</v>
      </c>
      <c r="BB171" s="62" t="str">
        <f t="shared" si="95"/>
        <v>DNS/DNF</v>
      </c>
      <c r="BC171" s="75" t="str">
        <f t="shared" si="96"/>
        <v/>
      </c>
      <c r="BD171" s="53" t="str">
        <f t="shared" si="97"/>
        <v/>
      </c>
      <c r="BE171" s="53" t="str">
        <f t="shared" si="98"/>
        <v/>
      </c>
      <c r="BF171" s="53" t="str">
        <f t="shared" si="99"/>
        <v/>
      </c>
      <c r="BG171" s="53" t="str">
        <f t="shared" si="100"/>
        <v/>
      </c>
      <c r="BH171" s="53" t="str">
        <f t="shared" si="101"/>
        <v/>
      </c>
      <c r="BI171" s="53" t="str">
        <f t="shared" si="102"/>
        <v/>
      </c>
      <c r="BJ171" s="53" t="str">
        <f t="shared" si="103"/>
        <v/>
      </c>
      <c r="BK171" s="53" t="str">
        <f t="shared" si="104"/>
        <v/>
      </c>
    </row>
    <row r="172" spans="1:63">
      <c r="A172" s="53"/>
      <c r="B172" s="89" t="str">
        <f>IFERROR(VLOOKUP($A172,EntryList!$A$3:$N$645,2,FALSE),"")</f>
        <v/>
      </c>
      <c r="C172" s="74"/>
      <c r="D172" s="53">
        <f t="shared" si="78"/>
        <v>0</v>
      </c>
      <c r="E172" s="62"/>
      <c r="F172" s="62"/>
      <c r="G172" s="62"/>
      <c r="H172" s="62"/>
      <c r="I172" s="62"/>
      <c r="J172" s="62"/>
      <c r="K172" s="62"/>
      <c r="L172" s="62"/>
      <c r="M172" s="62"/>
      <c r="N172" s="62">
        <f t="shared" si="79"/>
        <v>0</v>
      </c>
      <c r="O172" s="53" t="str">
        <f t="shared" si="105"/>
        <v/>
      </c>
      <c r="P172" s="53" t="str">
        <f t="shared" si="106"/>
        <v/>
      </c>
      <c r="Q172" s="53" t="str">
        <f t="shared" si="107"/>
        <v/>
      </c>
      <c r="R172" s="53" t="str">
        <f t="shared" si="108"/>
        <v/>
      </c>
      <c r="S172" s="53" t="str">
        <f t="shared" si="109"/>
        <v/>
      </c>
      <c r="T172" s="53" t="str">
        <f t="shared" si="110"/>
        <v/>
      </c>
      <c r="U172" s="53" t="str">
        <f t="shared" si="111"/>
        <v/>
      </c>
      <c r="V172" s="53" t="str">
        <f t="shared" si="112"/>
        <v/>
      </c>
      <c r="W172" s="53" t="str">
        <f t="shared" si="80"/>
        <v>DNS/DNF ()</v>
      </c>
      <c r="X172" s="53" t="str">
        <f t="shared" si="81"/>
        <v>DNS/DNF ()</v>
      </c>
      <c r="Y172" s="53" t="str">
        <f t="shared" si="82"/>
        <v>DNS/DNF ()</v>
      </c>
      <c r="Z172" s="53" t="str">
        <f t="shared" si="83"/>
        <v>DNS/DNF ()</v>
      </c>
      <c r="AA172" s="53" t="str">
        <f t="shared" si="84"/>
        <v>DNS/DNF ()</v>
      </c>
      <c r="AB172" s="53" t="str">
        <f t="shared" si="85"/>
        <v>DNS/DNF ()</v>
      </c>
      <c r="AC172" s="53" t="str">
        <f t="shared" si="86"/>
        <v>DNS/DNF ()</v>
      </c>
      <c r="AD172" s="53" t="str">
        <f t="shared" si="87"/>
        <v>DNS/DNF ()</v>
      </c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62" t="str">
        <f t="shared" si="88"/>
        <v>DNS/DNF</v>
      </c>
      <c r="AV172" s="62" t="str">
        <f t="shared" si="89"/>
        <v>DNS/DNF</v>
      </c>
      <c r="AW172" s="62" t="str">
        <f t="shared" si="90"/>
        <v>DNS/DNF</v>
      </c>
      <c r="AX172" s="62" t="str">
        <f t="shared" si="91"/>
        <v>DNS/DNF</v>
      </c>
      <c r="AY172" s="62" t="str">
        <f t="shared" si="92"/>
        <v>DNS/DNF</v>
      </c>
      <c r="AZ172" s="62" t="str">
        <f t="shared" si="93"/>
        <v>DNS/DNF</v>
      </c>
      <c r="BA172" s="62" t="str">
        <f t="shared" si="94"/>
        <v>DNS/DNF</v>
      </c>
      <c r="BB172" s="62" t="str">
        <f t="shared" si="95"/>
        <v>DNS/DNF</v>
      </c>
      <c r="BC172" s="75" t="str">
        <f t="shared" si="96"/>
        <v/>
      </c>
      <c r="BD172" s="53" t="str">
        <f t="shared" si="97"/>
        <v/>
      </c>
      <c r="BE172" s="53" t="str">
        <f t="shared" si="98"/>
        <v/>
      </c>
      <c r="BF172" s="53" t="str">
        <f t="shared" si="99"/>
        <v/>
      </c>
      <c r="BG172" s="53" t="str">
        <f t="shared" si="100"/>
        <v/>
      </c>
      <c r="BH172" s="53" t="str">
        <f t="shared" si="101"/>
        <v/>
      </c>
      <c r="BI172" s="53" t="str">
        <f t="shared" si="102"/>
        <v/>
      </c>
      <c r="BJ172" s="53" t="str">
        <f t="shared" si="103"/>
        <v/>
      </c>
      <c r="BK172" s="53" t="str">
        <f t="shared" si="104"/>
        <v/>
      </c>
    </row>
    <row r="173" spans="1:63">
      <c r="A173" s="53"/>
      <c r="B173" s="89" t="str">
        <f>IFERROR(VLOOKUP($A173,EntryList!$A$3:$N$645,2,FALSE),"")</f>
        <v/>
      </c>
      <c r="C173" s="74"/>
      <c r="D173" s="53">
        <f t="shared" si="78"/>
        <v>0</v>
      </c>
      <c r="E173" s="62"/>
      <c r="F173" s="62"/>
      <c r="G173" s="62"/>
      <c r="H173" s="62"/>
      <c r="I173" s="62"/>
      <c r="J173" s="62"/>
      <c r="K173" s="62"/>
      <c r="L173" s="62"/>
      <c r="M173" s="62"/>
      <c r="N173" s="62">
        <f t="shared" si="79"/>
        <v>0</v>
      </c>
      <c r="O173" s="53" t="str">
        <f t="shared" si="105"/>
        <v/>
      </c>
      <c r="P173" s="53" t="str">
        <f t="shared" si="106"/>
        <v/>
      </c>
      <c r="Q173" s="53" t="str">
        <f t="shared" si="107"/>
        <v/>
      </c>
      <c r="R173" s="53" t="str">
        <f t="shared" si="108"/>
        <v/>
      </c>
      <c r="S173" s="53" t="str">
        <f t="shared" si="109"/>
        <v/>
      </c>
      <c r="T173" s="53" t="str">
        <f t="shared" si="110"/>
        <v/>
      </c>
      <c r="U173" s="53" t="str">
        <f t="shared" si="111"/>
        <v/>
      </c>
      <c r="V173" s="53" t="str">
        <f t="shared" si="112"/>
        <v/>
      </c>
      <c r="W173" s="53" t="str">
        <f t="shared" si="80"/>
        <v>DNS/DNF ()</v>
      </c>
      <c r="X173" s="53" t="str">
        <f t="shared" si="81"/>
        <v>DNS/DNF ()</v>
      </c>
      <c r="Y173" s="53" t="str">
        <f t="shared" si="82"/>
        <v>DNS/DNF ()</v>
      </c>
      <c r="Z173" s="53" t="str">
        <f t="shared" si="83"/>
        <v>DNS/DNF ()</v>
      </c>
      <c r="AA173" s="53" t="str">
        <f t="shared" si="84"/>
        <v>DNS/DNF ()</v>
      </c>
      <c r="AB173" s="53" t="str">
        <f t="shared" si="85"/>
        <v>DNS/DNF ()</v>
      </c>
      <c r="AC173" s="53" t="str">
        <f t="shared" si="86"/>
        <v>DNS/DNF ()</v>
      </c>
      <c r="AD173" s="53" t="str">
        <f t="shared" si="87"/>
        <v>DNS/DNF ()</v>
      </c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62" t="str">
        <f t="shared" si="88"/>
        <v>DNS/DNF</v>
      </c>
      <c r="AV173" s="62" t="str">
        <f t="shared" si="89"/>
        <v>DNS/DNF</v>
      </c>
      <c r="AW173" s="62" t="str">
        <f t="shared" si="90"/>
        <v>DNS/DNF</v>
      </c>
      <c r="AX173" s="62" t="str">
        <f t="shared" si="91"/>
        <v>DNS/DNF</v>
      </c>
      <c r="AY173" s="62" t="str">
        <f t="shared" si="92"/>
        <v>DNS/DNF</v>
      </c>
      <c r="AZ173" s="62" t="str">
        <f t="shared" si="93"/>
        <v>DNS/DNF</v>
      </c>
      <c r="BA173" s="62" t="str">
        <f t="shared" si="94"/>
        <v>DNS/DNF</v>
      </c>
      <c r="BB173" s="62" t="str">
        <f t="shared" si="95"/>
        <v>DNS/DNF</v>
      </c>
      <c r="BC173" s="75" t="str">
        <f t="shared" si="96"/>
        <v/>
      </c>
      <c r="BD173" s="53" t="str">
        <f t="shared" si="97"/>
        <v/>
      </c>
      <c r="BE173" s="53" t="str">
        <f t="shared" si="98"/>
        <v/>
      </c>
      <c r="BF173" s="53" t="str">
        <f t="shared" si="99"/>
        <v/>
      </c>
      <c r="BG173" s="53" t="str">
        <f t="shared" si="100"/>
        <v/>
      </c>
      <c r="BH173" s="53" t="str">
        <f t="shared" si="101"/>
        <v/>
      </c>
      <c r="BI173" s="53" t="str">
        <f t="shared" si="102"/>
        <v/>
      </c>
      <c r="BJ173" s="53" t="str">
        <f t="shared" si="103"/>
        <v/>
      </c>
      <c r="BK173" s="53" t="str">
        <f t="shared" si="104"/>
        <v/>
      </c>
    </row>
    <row r="174" spans="1:63">
      <c r="A174" s="53"/>
      <c r="B174" s="89" t="str">
        <f>IFERROR(VLOOKUP($A174,EntryList!$A$3:$N$645,2,FALSE),"")</f>
        <v/>
      </c>
      <c r="C174" s="74"/>
      <c r="D174" s="53">
        <f t="shared" si="78"/>
        <v>0</v>
      </c>
      <c r="E174" s="62"/>
      <c r="F174" s="62"/>
      <c r="G174" s="62"/>
      <c r="H174" s="62"/>
      <c r="I174" s="62"/>
      <c r="J174" s="62"/>
      <c r="K174" s="62"/>
      <c r="L174" s="62"/>
      <c r="M174" s="62"/>
      <c r="N174" s="62">
        <f t="shared" si="79"/>
        <v>0</v>
      </c>
      <c r="O174" s="53" t="str">
        <f t="shared" si="105"/>
        <v/>
      </c>
      <c r="P174" s="53" t="str">
        <f t="shared" si="106"/>
        <v/>
      </c>
      <c r="Q174" s="53" t="str">
        <f t="shared" si="107"/>
        <v/>
      </c>
      <c r="R174" s="53" t="str">
        <f t="shared" si="108"/>
        <v/>
      </c>
      <c r="S174" s="53" t="str">
        <f t="shared" si="109"/>
        <v/>
      </c>
      <c r="T174" s="53" t="str">
        <f t="shared" si="110"/>
        <v/>
      </c>
      <c r="U174" s="53" t="str">
        <f t="shared" si="111"/>
        <v/>
      </c>
      <c r="V174" s="53" t="str">
        <f t="shared" si="112"/>
        <v/>
      </c>
      <c r="W174" s="53" t="str">
        <f t="shared" si="80"/>
        <v>DNS/DNF ()</v>
      </c>
      <c r="X174" s="53" t="str">
        <f t="shared" si="81"/>
        <v>DNS/DNF ()</v>
      </c>
      <c r="Y174" s="53" t="str">
        <f t="shared" si="82"/>
        <v>DNS/DNF ()</v>
      </c>
      <c r="Z174" s="53" t="str">
        <f t="shared" si="83"/>
        <v>DNS/DNF ()</v>
      </c>
      <c r="AA174" s="53" t="str">
        <f t="shared" si="84"/>
        <v>DNS/DNF ()</v>
      </c>
      <c r="AB174" s="53" t="str">
        <f t="shared" si="85"/>
        <v>DNS/DNF ()</v>
      </c>
      <c r="AC174" s="53" t="str">
        <f t="shared" si="86"/>
        <v>DNS/DNF ()</v>
      </c>
      <c r="AD174" s="53" t="str">
        <f t="shared" si="87"/>
        <v>DNS/DNF ()</v>
      </c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62" t="str">
        <f t="shared" si="88"/>
        <v>DNS/DNF</v>
      </c>
      <c r="AV174" s="62" t="str">
        <f t="shared" si="89"/>
        <v>DNS/DNF</v>
      </c>
      <c r="AW174" s="62" t="str">
        <f t="shared" si="90"/>
        <v>DNS/DNF</v>
      </c>
      <c r="AX174" s="62" t="str">
        <f t="shared" si="91"/>
        <v>DNS/DNF</v>
      </c>
      <c r="AY174" s="62" t="str">
        <f t="shared" si="92"/>
        <v>DNS/DNF</v>
      </c>
      <c r="AZ174" s="62" t="str">
        <f t="shared" si="93"/>
        <v>DNS/DNF</v>
      </c>
      <c r="BA174" s="62" t="str">
        <f t="shared" si="94"/>
        <v>DNS/DNF</v>
      </c>
      <c r="BB174" s="62" t="str">
        <f t="shared" si="95"/>
        <v>DNS/DNF</v>
      </c>
      <c r="BC174" s="75" t="str">
        <f t="shared" si="96"/>
        <v/>
      </c>
      <c r="BD174" s="53" t="str">
        <f t="shared" si="97"/>
        <v/>
      </c>
      <c r="BE174" s="53" t="str">
        <f t="shared" si="98"/>
        <v/>
      </c>
      <c r="BF174" s="53" t="str">
        <f t="shared" si="99"/>
        <v/>
      </c>
      <c r="BG174" s="53" t="str">
        <f t="shared" si="100"/>
        <v/>
      </c>
      <c r="BH174" s="53" t="str">
        <f t="shared" si="101"/>
        <v/>
      </c>
      <c r="BI174" s="53" t="str">
        <f t="shared" si="102"/>
        <v/>
      </c>
      <c r="BJ174" s="53" t="str">
        <f t="shared" si="103"/>
        <v/>
      </c>
      <c r="BK174" s="53" t="str">
        <f t="shared" si="104"/>
        <v/>
      </c>
    </row>
    <row r="175" spans="1:63">
      <c r="A175" s="53"/>
      <c r="B175" s="89" t="str">
        <f>IFERROR(VLOOKUP($A175,EntryList!$A$3:$N$645,2,FALSE),"")</f>
        <v/>
      </c>
      <c r="C175" s="74"/>
      <c r="D175" s="53">
        <f t="shared" si="78"/>
        <v>0</v>
      </c>
      <c r="E175" s="62"/>
      <c r="F175" s="62"/>
      <c r="G175" s="62"/>
      <c r="H175" s="62"/>
      <c r="I175" s="62"/>
      <c r="J175" s="62"/>
      <c r="K175" s="62"/>
      <c r="L175" s="62"/>
      <c r="M175" s="62"/>
      <c r="N175" s="62">
        <f t="shared" si="79"/>
        <v>0</v>
      </c>
      <c r="O175" s="53" t="str">
        <f t="shared" si="105"/>
        <v/>
      </c>
      <c r="P175" s="53" t="str">
        <f t="shared" si="106"/>
        <v/>
      </c>
      <c r="Q175" s="53" t="str">
        <f t="shared" si="107"/>
        <v/>
      </c>
      <c r="R175" s="53" t="str">
        <f t="shared" si="108"/>
        <v/>
      </c>
      <c r="S175" s="53" t="str">
        <f t="shared" si="109"/>
        <v/>
      </c>
      <c r="T175" s="53" t="str">
        <f t="shared" si="110"/>
        <v/>
      </c>
      <c r="U175" s="53" t="str">
        <f t="shared" si="111"/>
        <v/>
      </c>
      <c r="V175" s="53" t="str">
        <f t="shared" si="112"/>
        <v/>
      </c>
      <c r="W175" s="53" t="str">
        <f t="shared" si="80"/>
        <v>DNS/DNF ()</v>
      </c>
      <c r="X175" s="53" t="str">
        <f t="shared" si="81"/>
        <v>DNS/DNF ()</v>
      </c>
      <c r="Y175" s="53" t="str">
        <f t="shared" si="82"/>
        <v>DNS/DNF ()</v>
      </c>
      <c r="Z175" s="53" t="str">
        <f t="shared" si="83"/>
        <v>DNS/DNF ()</v>
      </c>
      <c r="AA175" s="53" t="str">
        <f t="shared" si="84"/>
        <v>DNS/DNF ()</v>
      </c>
      <c r="AB175" s="53" t="str">
        <f t="shared" si="85"/>
        <v>DNS/DNF ()</v>
      </c>
      <c r="AC175" s="53" t="str">
        <f t="shared" si="86"/>
        <v>DNS/DNF ()</v>
      </c>
      <c r="AD175" s="53" t="str">
        <f t="shared" si="87"/>
        <v>DNS/DNF ()</v>
      </c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62" t="str">
        <f t="shared" si="88"/>
        <v>DNS/DNF</v>
      </c>
      <c r="AV175" s="62" t="str">
        <f t="shared" si="89"/>
        <v>DNS/DNF</v>
      </c>
      <c r="AW175" s="62" t="str">
        <f t="shared" si="90"/>
        <v>DNS/DNF</v>
      </c>
      <c r="AX175" s="62" t="str">
        <f t="shared" si="91"/>
        <v>DNS/DNF</v>
      </c>
      <c r="AY175" s="62" t="str">
        <f t="shared" si="92"/>
        <v>DNS/DNF</v>
      </c>
      <c r="AZ175" s="62" t="str">
        <f t="shared" si="93"/>
        <v>DNS/DNF</v>
      </c>
      <c r="BA175" s="62" t="str">
        <f t="shared" si="94"/>
        <v>DNS/DNF</v>
      </c>
      <c r="BB175" s="62" t="str">
        <f t="shared" si="95"/>
        <v>DNS/DNF</v>
      </c>
      <c r="BC175" s="75" t="str">
        <f t="shared" si="96"/>
        <v/>
      </c>
      <c r="BD175" s="53" t="str">
        <f t="shared" si="97"/>
        <v/>
      </c>
      <c r="BE175" s="53" t="str">
        <f t="shared" si="98"/>
        <v/>
      </c>
      <c r="BF175" s="53" t="str">
        <f t="shared" si="99"/>
        <v/>
      </c>
      <c r="BG175" s="53" t="str">
        <f t="shared" si="100"/>
        <v/>
      </c>
      <c r="BH175" s="53" t="str">
        <f t="shared" si="101"/>
        <v/>
      </c>
      <c r="BI175" s="53" t="str">
        <f t="shared" si="102"/>
        <v/>
      </c>
      <c r="BJ175" s="53" t="str">
        <f t="shared" si="103"/>
        <v/>
      </c>
      <c r="BK175" s="53" t="str">
        <f t="shared" si="104"/>
        <v/>
      </c>
    </row>
    <row r="176" spans="1:63">
      <c r="A176" s="53"/>
      <c r="B176" s="89" t="str">
        <f>IFERROR(VLOOKUP($A176,EntryList!$A$3:$N$645,2,FALSE),"")</f>
        <v/>
      </c>
      <c r="C176" s="74"/>
      <c r="D176" s="53">
        <f t="shared" si="78"/>
        <v>0</v>
      </c>
      <c r="E176" s="62"/>
      <c r="F176" s="62"/>
      <c r="G176" s="62"/>
      <c r="H176" s="62"/>
      <c r="I176" s="62"/>
      <c r="J176" s="62"/>
      <c r="K176" s="62"/>
      <c r="L176" s="62"/>
      <c r="M176" s="62"/>
      <c r="N176" s="62">
        <f t="shared" si="79"/>
        <v>0</v>
      </c>
      <c r="O176" s="53" t="str">
        <f t="shared" si="105"/>
        <v/>
      </c>
      <c r="P176" s="53" t="str">
        <f t="shared" si="106"/>
        <v/>
      </c>
      <c r="Q176" s="53" t="str">
        <f t="shared" si="107"/>
        <v/>
      </c>
      <c r="R176" s="53" t="str">
        <f t="shared" si="108"/>
        <v/>
      </c>
      <c r="S176" s="53" t="str">
        <f t="shared" si="109"/>
        <v/>
      </c>
      <c r="T176" s="53" t="str">
        <f t="shared" si="110"/>
        <v/>
      </c>
      <c r="U176" s="53" t="str">
        <f t="shared" si="111"/>
        <v/>
      </c>
      <c r="V176" s="53" t="str">
        <f t="shared" si="112"/>
        <v/>
      </c>
      <c r="W176" s="53" t="str">
        <f t="shared" si="80"/>
        <v>DNS/DNF ()</v>
      </c>
      <c r="X176" s="53" t="str">
        <f t="shared" si="81"/>
        <v>DNS/DNF ()</v>
      </c>
      <c r="Y176" s="53" t="str">
        <f t="shared" si="82"/>
        <v>DNS/DNF ()</v>
      </c>
      <c r="Z176" s="53" t="str">
        <f t="shared" si="83"/>
        <v>DNS/DNF ()</v>
      </c>
      <c r="AA176" s="53" t="str">
        <f t="shared" si="84"/>
        <v>DNS/DNF ()</v>
      </c>
      <c r="AB176" s="53" t="str">
        <f t="shared" si="85"/>
        <v>DNS/DNF ()</v>
      </c>
      <c r="AC176" s="53" t="str">
        <f t="shared" si="86"/>
        <v>DNS/DNF ()</v>
      </c>
      <c r="AD176" s="53" t="str">
        <f t="shared" si="87"/>
        <v>DNS/DNF ()</v>
      </c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62" t="str">
        <f t="shared" si="88"/>
        <v>DNS/DNF</v>
      </c>
      <c r="AV176" s="62" t="str">
        <f t="shared" si="89"/>
        <v>DNS/DNF</v>
      </c>
      <c r="AW176" s="62" t="str">
        <f t="shared" si="90"/>
        <v>DNS/DNF</v>
      </c>
      <c r="AX176" s="62" t="str">
        <f t="shared" si="91"/>
        <v>DNS/DNF</v>
      </c>
      <c r="AY176" s="62" t="str">
        <f t="shared" si="92"/>
        <v>DNS/DNF</v>
      </c>
      <c r="AZ176" s="62" t="str">
        <f t="shared" si="93"/>
        <v>DNS/DNF</v>
      </c>
      <c r="BA176" s="62" t="str">
        <f t="shared" si="94"/>
        <v>DNS/DNF</v>
      </c>
      <c r="BB176" s="62" t="str">
        <f t="shared" si="95"/>
        <v>DNS/DNF</v>
      </c>
      <c r="BC176" s="75" t="str">
        <f t="shared" si="96"/>
        <v/>
      </c>
      <c r="BD176" s="53" t="str">
        <f t="shared" si="97"/>
        <v/>
      </c>
      <c r="BE176" s="53" t="str">
        <f t="shared" si="98"/>
        <v/>
      </c>
      <c r="BF176" s="53" t="str">
        <f t="shared" si="99"/>
        <v/>
      </c>
      <c r="BG176" s="53" t="str">
        <f t="shared" si="100"/>
        <v/>
      </c>
      <c r="BH176" s="53" t="str">
        <f t="shared" si="101"/>
        <v/>
      </c>
      <c r="BI176" s="53" t="str">
        <f t="shared" si="102"/>
        <v/>
      </c>
      <c r="BJ176" s="53" t="str">
        <f t="shared" si="103"/>
        <v/>
      </c>
      <c r="BK176" s="53" t="str">
        <f t="shared" si="104"/>
        <v/>
      </c>
    </row>
    <row r="177" spans="1:63">
      <c r="A177" s="53"/>
      <c r="B177" s="89" t="str">
        <f>IFERROR(VLOOKUP($A177,EntryList!$A$3:$N$645,2,FALSE),"")</f>
        <v/>
      </c>
      <c r="C177" s="74"/>
      <c r="D177" s="53">
        <f t="shared" si="78"/>
        <v>0</v>
      </c>
      <c r="E177" s="62"/>
      <c r="F177" s="62"/>
      <c r="G177" s="62"/>
      <c r="H177" s="62"/>
      <c r="I177" s="62"/>
      <c r="J177" s="62"/>
      <c r="K177" s="62"/>
      <c r="L177" s="62"/>
      <c r="M177" s="62"/>
      <c r="N177" s="62">
        <f t="shared" si="79"/>
        <v>0</v>
      </c>
      <c r="O177" s="53" t="str">
        <f t="shared" si="105"/>
        <v/>
      </c>
      <c r="P177" s="53" t="str">
        <f t="shared" si="106"/>
        <v/>
      </c>
      <c r="Q177" s="53" t="str">
        <f t="shared" si="107"/>
        <v/>
      </c>
      <c r="R177" s="53" t="str">
        <f t="shared" si="108"/>
        <v/>
      </c>
      <c r="S177" s="53" t="str">
        <f t="shared" si="109"/>
        <v/>
      </c>
      <c r="T177" s="53" t="str">
        <f t="shared" si="110"/>
        <v/>
      </c>
      <c r="U177" s="53" t="str">
        <f t="shared" si="111"/>
        <v/>
      </c>
      <c r="V177" s="53" t="str">
        <f t="shared" si="112"/>
        <v/>
      </c>
      <c r="W177" s="53" t="str">
        <f t="shared" si="80"/>
        <v>DNS/DNF ()</v>
      </c>
      <c r="X177" s="53" t="str">
        <f t="shared" si="81"/>
        <v>DNS/DNF ()</v>
      </c>
      <c r="Y177" s="53" t="str">
        <f t="shared" si="82"/>
        <v>DNS/DNF ()</v>
      </c>
      <c r="Z177" s="53" t="str">
        <f t="shared" si="83"/>
        <v>DNS/DNF ()</v>
      </c>
      <c r="AA177" s="53" t="str">
        <f t="shared" si="84"/>
        <v>DNS/DNF ()</v>
      </c>
      <c r="AB177" s="53" t="str">
        <f t="shared" si="85"/>
        <v>DNS/DNF ()</v>
      </c>
      <c r="AC177" s="53" t="str">
        <f t="shared" si="86"/>
        <v>DNS/DNF ()</v>
      </c>
      <c r="AD177" s="53" t="str">
        <f t="shared" si="87"/>
        <v>DNS/DNF ()</v>
      </c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62" t="str">
        <f t="shared" si="88"/>
        <v>DNS/DNF</v>
      </c>
      <c r="AV177" s="62" t="str">
        <f t="shared" si="89"/>
        <v>DNS/DNF</v>
      </c>
      <c r="AW177" s="62" t="str">
        <f t="shared" si="90"/>
        <v>DNS/DNF</v>
      </c>
      <c r="AX177" s="62" t="str">
        <f t="shared" si="91"/>
        <v>DNS/DNF</v>
      </c>
      <c r="AY177" s="62" t="str">
        <f t="shared" si="92"/>
        <v>DNS/DNF</v>
      </c>
      <c r="AZ177" s="62" t="str">
        <f t="shared" si="93"/>
        <v>DNS/DNF</v>
      </c>
      <c r="BA177" s="62" t="str">
        <f t="shared" si="94"/>
        <v>DNS/DNF</v>
      </c>
      <c r="BB177" s="62" t="str">
        <f t="shared" si="95"/>
        <v>DNS/DNF</v>
      </c>
      <c r="BC177" s="75" t="str">
        <f t="shared" si="96"/>
        <v/>
      </c>
      <c r="BD177" s="53" t="str">
        <f t="shared" si="97"/>
        <v/>
      </c>
      <c r="BE177" s="53" t="str">
        <f t="shared" si="98"/>
        <v/>
      </c>
      <c r="BF177" s="53" t="str">
        <f t="shared" si="99"/>
        <v/>
      </c>
      <c r="BG177" s="53" t="str">
        <f t="shared" si="100"/>
        <v/>
      </c>
      <c r="BH177" s="53" t="str">
        <f t="shared" si="101"/>
        <v/>
      </c>
      <c r="BI177" s="53" t="str">
        <f t="shared" si="102"/>
        <v/>
      </c>
      <c r="BJ177" s="53" t="str">
        <f t="shared" si="103"/>
        <v/>
      </c>
      <c r="BK177" s="53" t="str">
        <f t="shared" si="104"/>
        <v/>
      </c>
    </row>
    <row r="178" spans="1:63">
      <c r="A178" s="53"/>
      <c r="B178" s="89" t="str">
        <f>IFERROR(VLOOKUP($A178,EntryList!$A$3:$N$645,2,FALSE),"")</f>
        <v/>
      </c>
      <c r="C178" s="74"/>
      <c r="D178" s="53">
        <f t="shared" si="78"/>
        <v>0</v>
      </c>
      <c r="E178" s="62"/>
      <c r="F178" s="62"/>
      <c r="G178" s="62"/>
      <c r="H178" s="62"/>
      <c r="I178" s="62"/>
      <c r="J178" s="62"/>
      <c r="K178" s="62"/>
      <c r="L178" s="62"/>
      <c r="M178" s="62"/>
      <c r="N178" s="62">
        <f t="shared" si="79"/>
        <v>0</v>
      </c>
      <c r="O178" s="53" t="str">
        <f t="shared" si="105"/>
        <v/>
      </c>
      <c r="P178" s="53" t="str">
        <f t="shared" si="106"/>
        <v/>
      </c>
      <c r="Q178" s="53" t="str">
        <f t="shared" si="107"/>
        <v/>
      </c>
      <c r="R178" s="53" t="str">
        <f t="shared" si="108"/>
        <v/>
      </c>
      <c r="S178" s="53" t="str">
        <f t="shared" si="109"/>
        <v/>
      </c>
      <c r="T178" s="53" t="str">
        <f t="shared" si="110"/>
        <v/>
      </c>
      <c r="U178" s="53" t="str">
        <f t="shared" si="111"/>
        <v/>
      </c>
      <c r="V178" s="53" t="str">
        <f t="shared" si="112"/>
        <v/>
      </c>
      <c r="W178" s="53" t="str">
        <f t="shared" si="80"/>
        <v>DNS/DNF ()</v>
      </c>
      <c r="X178" s="53" t="str">
        <f t="shared" si="81"/>
        <v>DNS/DNF ()</v>
      </c>
      <c r="Y178" s="53" t="str">
        <f t="shared" si="82"/>
        <v>DNS/DNF ()</v>
      </c>
      <c r="Z178" s="53" t="str">
        <f t="shared" si="83"/>
        <v>DNS/DNF ()</v>
      </c>
      <c r="AA178" s="53" t="str">
        <f t="shared" si="84"/>
        <v>DNS/DNF ()</v>
      </c>
      <c r="AB178" s="53" t="str">
        <f t="shared" si="85"/>
        <v>DNS/DNF ()</v>
      </c>
      <c r="AC178" s="53" t="str">
        <f t="shared" si="86"/>
        <v>DNS/DNF ()</v>
      </c>
      <c r="AD178" s="53" t="str">
        <f t="shared" si="87"/>
        <v>DNS/DNF ()</v>
      </c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62" t="str">
        <f t="shared" si="88"/>
        <v>DNS/DNF</v>
      </c>
      <c r="AV178" s="62" t="str">
        <f t="shared" si="89"/>
        <v>DNS/DNF</v>
      </c>
      <c r="AW178" s="62" t="str">
        <f t="shared" si="90"/>
        <v>DNS/DNF</v>
      </c>
      <c r="AX178" s="62" t="str">
        <f t="shared" si="91"/>
        <v>DNS/DNF</v>
      </c>
      <c r="AY178" s="62" t="str">
        <f t="shared" si="92"/>
        <v>DNS/DNF</v>
      </c>
      <c r="AZ178" s="62" t="str">
        <f t="shared" si="93"/>
        <v>DNS/DNF</v>
      </c>
      <c r="BA178" s="62" t="str">
        <f t="shared" si="94"/>
        <v>DNS/DNF</v>
      </c>
      <c r="BB178" s="62" t="str">
        <f t="shared" si="95"/>
        <v>DNS/DNF</v>
      </c>
      <c r="BC178" s="75" t="str">
        <f t="shared" si="96"/>
        <v/>
      </c>
      <c r="BD178" s="53" t="str">
        <f t="shared" si="97"/>
        <v/>
      </c>
      <c r="BE178" s="53" t="str">
        <f t="shared" si="98"/>
        <v/>
      </c>
      <c r="BF178" s="53" t="str">
        <f t="shared" si="99"/>
        <v/>
      </c>
      <c r="BG178" s="53" t="str">
        <f t="shared" si="100"/>
        <v/>
      </c>
      <c r="BH178" s="53" t="str">
        <f t="shared" si="101"/>
        <v/>
      </c>
      <c r="BI178" s="53" t="str">
        <f t="shared" si="102"/>
        <v/>
      </c>
      <c r="BJ178" s="53" t="str">
        <f t="shared" si="103"/>
        <v/>
      </c>
      <c r="BK178" s="53" t="str">
        <f t="shared" si="104"/>
        <v/>
      </c>
    </row>
    <row r="179" spans="1:63">
      <c r="A179" s="53"/>
      <c r="B179" s="89" t="str">
        <f>IFERROR(VLOOKUP($A179,EntryList!$A$3:$N$645,2,FALSE),"")</f>
        <v/>
      </c>
      <c r="C179" s="74"/>
      <c r="D179" s="53">
        <f t="shared" si="78"/>
        <v>0</v>
      </c>
      <c r="E179" s="62"/>
      <c r="F179" s="62"/>
      <c r="G179" s="62"/>
      <c r="H179" s="62"/>
      <c r="I179" s="62"/>
      <c r="J179" s="62"/>
      <c r="K179" s="62"/>
      <c r="L179" s="62"/>
      <c r="M179" s="62"/>
      <c r="N179" s="62">
        <f t="shared" si="79"/>
        <v>0</v>
      </c>
      <c r="O179" s="53" t="str">
        <f t="shared" si="105"/>
        <v/>
      </c>
      <c r="P179" s="53" t="str">
        <f t="shared" si="106"/>
        <v/>
      </c>
      <c r="Q179" s="53" t="str">
        <f t="shared" si="107"/>
        <v/>
      </c>
      <c r="R179" s="53" t="str">
        <f t="shared" si="108"/>
        <v/>
      </c>
      <c r="S179" s="53" t="str">
        <f t="shared" si="109"/>
        <v/>
      </c>
      <c r="T179" s="53" t="str">
        <f t="shared" si="110"/>
        <v/>
      </c>
      <c r="U179" s="53" t="str">
        <f t="shared" si="111"/>
        <v/>
      </c>
      <c r="V179" s="53" t="str">
        <f t="shared" si="112"/>
        <v/>
      </c>
      <c r="W179" s="53" t="str">
        <f t="shared" si="80"/>
        <v>DNS/DNF ()</v>
      </c>
      <c r="X179" s="53" t="str">
        <f t="shared" si="81"/>
        <v>DNS/DNF ()</v>
      </c>
      <c r="Y179" s="53" t="str">
        <f t="shared" si="82"/>
        <v>DNS/DNF ()</v>
      </c>
      <c r="Z179" s="53" t="str">
        <f t="shared" si="83"/>
        <v>DNS/DNF ()</v>
      </c>
      <c r="AA179" s="53" t="str">
        <f t="shared" si="84"/>
        <v>DNS/DNF ()</v>
      </c>
      <c r="AB179" s="53" t="str">
        <f t="shared" si="85"/>
        <v>DNS/DNF ()</v>
      </c>
      <c r="AC179" s="53" t="str">
        <f t="shared" si="86"/>
        <v>DNS/DNF ()</v>
      </c>
      <c r="AD179" s="53" t="str">
        <f t="shared" si="87"/>
        <v>DNS/DNF ()</v>
      </c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62" t="str">
        <f t="shared" si="88"/>
        <v>DNS/DNF</v>
      </c>
      <c r="AV179" s="62" t="str">
        <f t="shared" si="89"/>
        <v>DNS/DNF</v>
      </c>
      <c r="AW179" s="62" t="str">
        <f t="shared" si="90"/>
        <v>DNS/DNF</v>
      </c>
      <c r="AX179" s="62" t="str">
        <f t="shared" si="91"/>
        <v>DNS/DNF</v>
      </c>
      <c r="AY179" s="62" t="str">
        <f t="shared" si="92"/>
        <v>DNS/DNF</v>
      </c>
      <c r="AZ179" s="62" t="str">
        <f t="shared" si="93"/>
        <v>DNS/DNF</v>
      </c>
      <c r="BA179" s="62" t="str">
        <f t="shared" si="94"/>
        <v>DNS/DNF</v>
      </c>
      <c r="BB179" s="62" t="str">
        <f t="shared" si="95"/>
        <v>DNS/DNF</v>
      </c>
      <c r="BC179" s="75" t="str">
        <f t="shared" si="96"/>
        <v/>
      </c>
      <c r="BD179" s="53" t="str">
        <f t="shared" si="97"/>
        <v/>
      </c>
      <c r="BE179" s="53" t="str">
        <f t="shared" si="98"/>
        <v/>
      </c>
      <c r="BF179" s="53" t="str">
        <f t="shared" si="99"/>
        <v/>
      </c>
      <c r="BG179" s="53" t="str">
        <f t="shared" si="100"/>
        <v/>
      </c>
      <c r="BH179" s="53" t="str">
        <f t="shared" si="101"/>
        <v/>
      </c>
      <c r="BI179" s="53" t="str">
        <f t="shared" si="102"/>
        <v/>
      </c>
      <c r="BJ179" s="53" t="str">
        <f t="shared" si="103"/>
        <v/>
      </c>
      <c r="BK179" s="53" t="str">
        <f t="shared" si="104"/>
        <v/>
      </c>
    </row>
    <row r="180" spans="1:63">
      <c r="A180" s="53"/>
      <c r="B180" s="89" t="str">
        <f>IFERROR(VLOOKUP($A180,EntryList!$A$3:$N$645,2,FALSE),"")</f>
        <v/>
      </c>
      <c r="C180" s="74"/>
      <c r="D180" s="53">
        <f t="shared" si="78"/>
        <v>0</v>
      </c>
      <c r="E180" s="62"/>
      <c r="F180" s="62"/>
      <c r="G180" s="62"/>
      <c r="H180" s="62"/>
      <c r="I180" s="62"/>
      <c r="J180" s="62"/>
      <c r="K180" s="62"/>
      <c r="L180" s="62"/>
      <c r="M180" s="62"/>
      <c r="N180" s="62">
        <f t="shared" si="79"/>
        <v>0</v>
      </c>
      <c r="O180" s="53" t="str">
        <f t="shared" si="105"/>
        <v/>
      </c>
      <c r="P180" s="53" t="str">
        <f t="shared" si="106"/>
        <v/>
      </c>
      <c r="Q180" s="53" t="str">
        <f t="shared" si="107"/>
        <v/>
      </c>
      <c r="R180" s="53" t="str">
        <f t="shared" si="108"/>
        <v/>
      </c>
      <c r="S180" s="53" t="str">
        <f t="shared" si="109"/>
        <v/>
      </c>
      <c r="T180" s="53" t="str">
        <f t="shared" si="110"/>
        <v/>
      </c>
      <c r="U180" s="53" t="str">
        <f t="shared" si="111"/>
        <v/>
      </c>
      <c r="V180" s="53" t="str">
        <f t="shared" si="112"/>
        <v/>
      </c>
      <c r="W180" s="53" t="str">
        <f t="shared" si="80"/>
        <v>DNS/DNF ()</v>
      </c>
      <c r="X180" s="53" t="str">
        <f t="shared" si="81"/>
        <v>DNS/DNF ()</v>
      </c>
      <c r="Y180" s="53" t="str">
        <f t="shared" si="82"/>
        <v>DNS/DNF ()</v>
      </c>
      <c r="Z180" s="53" t="str">
        <f t="shared" si="83"/>
        <v>DNS/DNF ()</v>
      </c>
      <c r="AA180" s="53" t="str">
        <f t="shared" si="84"/>
        <v>DNS/DNF ()</v>
      </c>
      <c r="AB180" s="53" t="str">
        <f t="shared" si="85"/>
        <v>DNS/DNF ()</v>
      </c>
      <c r="AC180" s="53" t="str">
        <f t="shared" si="86"/>
        <v>DNS/DNF ()</v>
      </c>
      <c r="AD180" s="53" t="str">
        <f t="shared" si="87"/>
        <v>DNS/DNF ()</v>
      </c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62" t="str">
        <f t="shared" si="88"/>
        <v>DNS/DNF</v>
      </c>
      <c r="AV180" s="62" t="str">
        <f t="shared" si="89"/>
        <v>DNS/DNF</v>
      </c>
      <c r="AW180" s="62" t="str">
        <f t="shared" si="90"/>
        <v>DNS/DNF</v>
      </c>
      <c r="AX180" s="62" t="str">
        <f t="shared" si="91"/>
        <v>DNS/DNF</v>
      </c>
      <c r="AY180" s="62" t="str">
        <f t="shared" si="92"/>
        <v>DNS/DNF</v>
      </c>
      <c r="AZ180" s="62" t="str">
        <f t="shared" si="93"/>
        <v>DNS/DNF</v>
      </c>
      <c r="BA180" s="62" t="str">
        <f t="shared" si="94"/>
        <v>DNS/DNF</v>
      </c>
      <c r="BB180" s="62" t="str">
        <f t="shared" si="95"/>
        <v>DNS/DNF</v>
      </c>
      <c r="BC180" s="75" t="str">
        <f t="shared" si="96"/>
        <v/>
      </c>
      <c r="BD180" s="53" t="str">
        <f t="shared" si="97"/>
        <v/>
      </c>
      <c r="BE180" s="53" t="str">
        <f t="shared" si="98"/>
        <v/>
      </c>
      <c r="BF180" s="53" t="str">
        <f t="shared" si="99"/>
        <v/>
      </c>
      <c r="BG180" s="53" t="str">
        <f t="shared" si="100"/>
        <v/>
      </c>
      <c r="BH180" s="53" t="str">
        <f t="shared" si="101"/>
        <v/>
      </c>
      <c r="BI180" s="53" t="str">
        <f t="shared" si="102"/>
        <v/>
      </c>
      <c r="BJ180" s="53" t="str">
        <f t="shared" si="103"/>
        <v/>
      </c>
      <c r="BK180" s="53" t="str">
        <f t="shared" si="104"/>
        <v/>
      </c>
    </row>
    <row r="181" spans="1:63">
      <c r="A181" s="53"/>
      <c r="B181" s="89" t="str">
        <f>IFERROR(VLOOKUP($A181,EntryList!$A$3:$N$645,2,FALSE),"")</f>
        <v/>
      </c>
      <c r="C181" s="74"/>
      <c r="D181" s="53">
        <f t="shared" si="78"/>
        <v>0</v>
      </c>
      <c r="E181" s="62"/>
      <c r="F181" s="62"/>
      <c r="G181" s="62"/>
      <c r="H181" s="62"/>
      <c r="I181" s="62"/>
      <c r="J181" s="62"/>
      <c r="K181" s="62"/>
      <c r="L181" s="62"/>
      <c r="M181" s="62"/>
      <c r="N181" s="62">
        <f t="shared" si="79"/>
        <v>0</v>
      </c>
      <c r="O181" s="53" t="str">
        <f t="shared" si="105"/>
        <v/>
      </c>
      <c r="P181" s="53" t="str">
        <f t="shared" si="106"/>
        <v/>
      </c>
      <c r="Q181" s="53" t="str">
        <f t="shared" si="107"/>
        <v/>
      </c>
      <c r="R181" s="53" t="str">
        <f t="shared" si="108"/>
        <v/>
      </c>
      <c r="S181" s="53" t="str">
        <f t="shared" si="109"/>
        <v/>
      </c>
      <c r="T181" s="53" t="str">
        <f t="shared" si="110"/>
        <v/>
      </c>
      <c r="U181" s="53" t="str">
        <f t="shared" si="111"/>
        <v/>
      </c>
      <c r="V181" s="53" t="str">
        <f t="shared" si="112"/>
        <v/>
      </c>
      <c r="W181" s="53" t="str">
        <f t="shared" si="80"/>
        <v>DNS/DNF ()</v>
      </c>
      <c r="X181" s="53" t="str">
        <f t="shared" si="81"/>
        <v>DNS/DNF ()</v>
      </c>
      <c r="Y181" s="53" t="str">
        <f t="shared" si="82"/>
        <v>DNS/DNF ()</v>
      </c>
      <c r="Z181" s="53" t="str">
        <f t="shared" si="83"/>
        <v>DNS/DNF ()</v>
      </c>
      <c r="AA181" s="53" t="str">
        <f t="shared" si="84"/>
        <v>DNS/DNF ()</v>
      </c>
      <c r="AB181" s="53" t="str">
        <f t="shared" si="85"/>
        <v>DNS/DNF ()</v>
      </c>
      <c r="AC181" s="53" t="str">
        <f t="shared" si="86"/>
        <v>DNS/DNF ()</v>
      </c>
      <c r="AD181" s="53" t="str">
        <f t="shared" si="87"/>
        <v>DNS/DNF ()</v>
      </c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62" t="str">
        <f t="shared" si="88"/>
        <v>DNS/DNF</v>
      </c>
      <c r="AV181" s="62" t="str">
        <f t="shared" si="89"/>
        <v>DNS/DNF</v>
      </c>
      <c r="AW181" s="62" t="str">
        <f t="shared" si="90"/>
        <v>DNS/DNF</v>
      </c>
      <c r="AX181" s="62" t="str">
        <f t="shared" si="91"/>
        <v>DNS/DNF</v>
      </c>
      <c r="AY181" s="62" t="str">
        <f t="shared" si="92"/>
        <v>DNS/DNF</v>
      </c>
      <c r="AZ181" s="62" t="str">
        <f t="shared" si="93"/>
        <v>DNS/DNF</v>
      </c>
      <c r="BA181" s="62" t="str">
        <f t="shared" si="94"/>
        <v>DNS/DNF</v>
      </c>
      <c r="BB181" s="62" t="str">
        <f t="shared" si="95"/>
        <v>DNS/DNF</v>
      </c>
      <c r="BC181" s="75" t="str">
        <f t="shared" si="96"/>
        <v/>
      </c>
      <c r="BD181" s="53" t="str">
        <f t="shared" si="97"/>
        <v/>
      </c>
      <c r="BE181" s="53" t="str">
        <f t="shared" si="98"/>
        <v/>
      </c>
      <c r="BF181" s="53" t="str">
        <f t="shared" si="99"/>
        <v/>
      </c>
      <c r="BG181" s="53" t="str">
        <f t="shared" si="100"/>
        <v/>
      </c>
      <c r="BH181" s="53" t="str">
        <f t="shared" si="101"/>
        <v/>
      </c>
      <c r="BI181" s="53" t="str">
        <f t="shared" si="102"/>
        <v/>
      </c>
      <c r="BJ181" s="53" t="str">
        <f t="shared" si="103"/>
        <v/>
      </c>
      <c r="BK181" s="53" t="str">
        <f t="shared" si="104"/>
        <v/>
      </c>
    </row>
    <row r="182" spans="1:63">
      <c r="A182" s="53"/>
      <c r="B182" s="89" t="str">
        <f>IFERROR(VLOOKUP($A182,EntryList!$A$3:$N$645,2,FALSE),"")</f>
        <v/>
      </c>
      <c r="C182" s="74"/>
      <c r="D182" s="53">
        <f t="shared" si="78"/>
        <v>0</v>
      </c>
      <c r="E182" s="62"/>
      <c r="F182" s="62"/>
      <c r="G182" s="62"/>
      <c r="H182" s="62"/>
      <c r="I182" s="62"/>
      <c r="J182" s="62"/>
      <c r="K182" s="62"/>
      <c r="L182" s="62"/>
      <c r="M182" s="62"/>
      <c r="N182" s="62">
        <f t="shared" si="79"/>
        <v>0</v>
      </c>
      <c r="O182" s="53" t="str">
        <f t="shared" si="105"/>
        <v/>
      </c>
      <c r="P182" s="53" t="str">
        <f t="shared" si="106"/>
        <v/>
      </c>
      <c r="Q182" s="53" t="str">
        <f t="shared" si="107"/>
        <v/>
      </c>
      <c r="R182" s="53" t="str">
        <f t="shared" si="108"/>
        <v/>
      </c>
      <c r="S182" s="53" t="str">
        <f t="shared" si="109"/>
        <v/>
      </c>
      <c r="T182" s="53" t="str">
        <f t="shared" si="110"/>
        <v/>
      </c>
      <c r="U182" s="53" t="str">
        <f t="shared" si="111"/>
        <v/>
      </c>
      <c r="V182" s="53" t="str">
        <f t="shared" si="112"/>
        <v/>
      </c>
      <c r="W182" s="53" t="str">
        <f t="shared" si="80"/>
        <v>DNS/DNF ()</v>
      </c>
      <c r="X182" s="53" t="str">
        <f t="shared" si="81"/>
        <v>DNS/DNF ()</v>
      </c>
      <c r="Y182" s="53" t="str">
        <f t="shared" si="82"/>
        <v>DNS/DNF ()</v>
      </c>
      <c r="Z182" s="53" t="str">
        <f t="shared" si="83"/>
        <v>DNS/DNF ()</v>
      </c>
      <c r="AA182" s="53" t="str">
        <f t="shared" si="84"/>
        <v>DNS/DNF ()</v>
      </c>
      <c r="AB182" s="53" t="str">
        <f t="shared" si="85"/>
        <v>DNS/DNF ()</v>
      </c>
      <c r="AC182" s="53" t="str">
        <f t="shared" si="86"/>
        <v>DNS/DNF ()</v>
      </c>
      <c r="AD182" s="53" t="str">
        <f t="shared" si="87"/>
        <v>DNS/DNF ()</v>
      </c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62" t="str">
        <f t="shared" si="88"/>
        <v>DNS/DNF</v>
      </c>
      <c r="AV182" s="62" t="str">
        <f t="shared" si="89"/>
        <v>DNS/DNF</v>
      </c>
      <c r="AW182" s="62" t="str">
        <f t="shared" si="90"/>
        <v>DNS/DNF</v>
      </c>
      <c r="AX182" s="62" t="str">
        <f t="shared" si="91"/>
        <v>DNS/DNF</v>
      </c>
      <c r="AY182" s="62" t="str">
        <f t="shared" si="92"/>
        <v>DNS/DNF</v>
      </c>
      <c r="AZ182" s="62" t="str">
        <f t="shared" si="93"/>
        <v>DNS/DNF</v>
      </c>
      <c r="BA182" s="62" t="str">
        <f t="shared" si="94"/>
        <v>DNS/DNF</v>
      </c>
      <c r="BB182" s="62" t="str">
        <f t="shared" si="95"/>
        <v>DNS/DNF</v>
      </c>
      <c r="BC182" s="75" t="str">
        <f t="shared" si="96"/>
        <v/>
      </c>
      <c r="BD182" s="53" t="str">
        <f t="shared" si="97"/>
        <v/>
      </c>
      <c r="BE182" s="53" t="str">
        <f t="shared" si="98"/>
        <v/>
      </c>
      <c r="BF182" s="53" t="str">
        <f t="shared" si="99"/>
        <v/>
      </c>
      <c r="BG182" s="53" t="str">
        <f t="shared" si="100"/>
        <v/>
      </c>
      <c r="BH182" s="53" t="str">
        <f t="shared" si="101"/>
        <v/>
      </c>
      <c r="BI182" s="53" t="str">
        <f t="shared" si="102"/>
        <v/>
      </c>
      <c r="BJ182" s="53" t="str">
        <f t="shared" si="103"/>
        <v/>
      </c>
      <c r="BK182" s="53" t="str">
        <f t="shared" si="104"/>
        <v/>
      </c>
    </row>
    <row r="183" spans="1:63">
      <c r="A183" s="53"/>
      <c r="B183" s="89" t="str">
        <f>IFERROR(VLOOKUP($A183,EntryList!$A$3:$N$645,2,FALSE),"")</f>
        <v/>
      </c>
      <c r="C183" s="74"/>
      <c r="D183" s="53">
        <f t="shared" si="78"/>
        <v>0</v>
      </c>
      <c r="E183" s="62"/>
      <c r="F183" s="62"/>
      <c r="G183" s="62"/>
      <c r="H183" s="62"/>
      <c r="I183" s="62"/>
      <c r="J183" s="62"/>
      <c r="K183" s="62"/>
      <c r="L183" s="62"/>
      <c r="M183" s="62"/>
      <c r="N183" s="62">
        <f t="shared" si="79"/>
        <v>0</v>
      </c>
      <c r="O183" s="53" t="str">
        <f t="shared" si="105"/>
        <v/>
      </c>
      <c r="P183" s="53" t="str">
        <f t="shared" si="106"/>
        <v/>
      </c>
      <c r="Q183" s="53" t="str">
        <f t="shared" si="107"/>
        <v/>
      </c>
      <c r="R183" s="53" t="str">
        <f t="shared" si="108"/>
        <v/>
      </c>
      <c r="S183" s="53" t="str">
        <f t="shared" si="109"/>
        <v/>
      </c>
      <c r="T183" s="53" t="str">
        <f t="shared" si="110"/>
        <v/>
      </c>
      <c r="U183" s="53" t="str">
        <f t="shared" si="111"/>
        <v/>
      </c>
      <c r="V183" s="53" t="str">
        <f t="shared" si="112"/>
        <v/>
      </c>
      <c r="W183" s="53" t="str">
        <f t="shared" si="80"/>
        <v>DNS/DNF ()</v>
      </c>
      <c r="X183" s="53" t="str">
        <f t="shared" si="81"/>
        <v>DNS/DNF ()</v>
      </c>
      <c r="Y183" s="53" t="str">
        <f t="shared" si="82"/>
        <v>DNS/DNF ()</v>
      </c>
      <c r="Z183" s="53" t="str">
        <f t="shared" si="83"/>
        <v>DNS/DNF ()</v>
      </c>
      <c r="AA183" s="53" t="str">
        <f t="shared" si="84"/>
        <v>DNS/DNF ()</v>
      </c>
      <c r="AB183" s="53" t="str">
        <f t="shared" si="85"/>
        <v>DNS/DNF ()</v>
      </c>
      <c r="AC183" s="53" t="str">
        <f t="shared" si="86"/>
        <v>DNS/DNF ()</v>
      </c>
      <c r="AD183" s="53" t="str">
        <f t="shared" si="87"/>
        <v>DNS/DNF ()</v>
      </c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62" t="str">
        <f t="shared" si="88"/>
        <v>DNS/DNF</v>
      </c>
      <c r="AV183" s="62" t="str">
        <f t="shared" si="89"/>
        <v>DNS/DNF</v>
      </c>
      <c r="AW183" s="62" t="str">
        <f t="shared" si="90"/>
        <v>DNS/DNF</v>
      </c>
      <c r="AX183" s="62" t="str">
        <f t="shared" si="91"/>
        <v>DNS/DNF</v>
      </c>
      <c r="AY183" s="62" t="str">
        <f t="shared" si="92"/>
        <v>DNS/DNF</v>
      </c>
      <c r="AZ183" s="62" t="str">
        <f t="shared" si="93"/>
        <v>DNS/DNF</v>
      </c>
      <c r="BA183" s="62" t="str">
        <f t="shared" si="94"/>
        <v>DNS/DNF</v>
      </c>
      <c r="BB183" s="62" t="str">
        <f t="shared" si="95"/>
        <v>DNS/DNF</v>
      </c>
      <c r="BC183" s="75" t="str">
        <f t="shared" si="96"/>
        <v/>
      </c>
      <c r="BD183" s="53" t="str">
        <f t="shared" si="97"/>
        <v/>
      </c>
      <c r="BE183" s="53" t="str">
        <f t="shared" si="98"/>
        <v/>
      </c>
      <c r="BF183" s="53" t="str">
        <f t="shared" si="99"/>
        <v/>
      </c>
      <c r="BG183" s="53" t="str">
        <f t="shared" si="100"/>
        <v/>
      </c>
      <c r="BH183" s="53" t="str">
        <f t="shared" si="101"/>
        <v/>
      </c>
      <c r="BI183" s="53" t="str">
        <f t="shared" si="102"/>
        <v/>
      </c>
      <c r="BJ183" s="53" t="str">
        <f t="shared" si="103"/>
        <v/>
      </c>
      <c r="BK183" s="53" t="str">
        <f t="shared" si="104"/>
        <v/>
      </c>
    </row>
    <row r="184" spans="1:63">
      <c r="A184" s="53"/>
      <c r="B184" s="89" t="str">
        <f>IFERROR(VLOOKUP($A184,EntryList!$A$3:$N$645,2,FALSE),"")</f>
        <v/>
      </c>
      <c r="C184" s="74"/>
      <c r="D184" s="53">
        <f t="shared" si="78"/>
        <v>0</v>
      </c>
      <c r="E184" s="62"/>
      <c r="F184" s="62"/>
      <c r="G184" s="62"/>
      <c r="H184" s="62"/>
      <c r="I184" s="62"/>
      <c r="J184" s="62"/>
      <c r="K184" s="62"/>
      <c r="L184" s="62"/>
      <c r="M184" s="62"/>
      <c r="N184" s="62">
        <f t="shared" si="79"/>
        <v>0</v>
      </c>
      <c r="O184" s="53" t="str">
        <f t="shared" si="105"/>
        <v/>
      </c>
      <c r="P184" s="53" t="str">
        <f t="shared" si="106"/>
        <v/>
      </c>
      <c r="Q184" s="53" t="str">
        <f t="shared" si="107"/>
        <v/>
      </c>
      <c r="R184" s="53" t="str">
        <f t="shared" si="108"/>
        <v/>
      </c>
      <c r="S184" s="53" t="str">
        <f t="shared" si="109"/>
        <v/>
      </c>
      <c r="T184" s="53" t="str">
        <f t="shared" si="110"/>
        <v/>
      </c>
      <c r="U184" s="53" t="str">
        <f t="shared" si="111"/>
        <v/>
      </c>
      <c r="V184" s="53" t="str">
        <f t="shared" si="112"/>
        <v/>
      </c>
      <c r="W184" s="53" t="str">
        <f t="shared" si="80"/>
        <v>DNS/DNF ()</v>
      </c>
      <c r="X184" s="53" t="str">
        <f t="shared" si="81"/>
        <v>DNS/DNF ()</v>
      </c>
      <c r="Y184" s="53" t="str">
        <f t="shared" si="82"/>
        <v>DNS/DNF ()</v>
      </c>
      <c r="Z184" s="53" t="str">
        <f t="shared" si="83"/>
        <v>DNS/DNF ()</v>
      </c>
      <c r="AA184" s="53" t="str">
        <f t="shared" si="84"/>
        <v>DNS/DNF ()</v>
      </c>
      <c r="AB184" s="53" t="str">
        <f t="shared" si="85"/>
        <v>DNS/DNF ()</v>
      </c>
      <c r="AC184" s="53" t="str">
        <f t="shared" si="86"/>
        <v>DNS/DNF ()</v>
      </c>
      <c r="AD184" s="53" t="str">
        <f t="shared" si="87"/>
        <v>DNS/DNF ()</v>
      </c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62" t="str">
        <f t="shared" si="88"/>
        <v>DNS/DNF</v>
      </c>
      <c r="AV184" s="62" t="str">
        <f t="shared" si="89"/>
        <v>DNS/DNF</v>
      </c>
      <c r="AW184" s="62" t="str">
        <f t="shared" si="90"/>
        <v>DNS/DNF</v>
      </c>
      <c r="AX184" s="62" t="str">
        <f t="shared" si="91"/>
        <v>DNS/DNF</v>
      </c>
      <c r="AY184" s="62" t="str">
        <f t="shared" si="92"/>
        <v>DNS/DNF</v>
      </c>
      <c r="AZ184" s="62" t="str">
        <f t="shared" si="93"/>
        <v>DNS/DNF</v>
      </c>
      <c r="BA184" s="62" t="str">
        <f t="shared" si="94"/>
        <v>DNS/DNF</v>
      </c>
      <c r="BB184" s="62" t="str">
        <f t="shared" si="95"/>
        <v>DNS/DNF</v>
      </c>
      <c r="BC184" s="75" t="str">
        <f t="shared" si="96"/>
        <v/>
      </c>
      <c r="BD184" s="53" t="str">
        <f t="shared" si="97"/>
        <v/>
      </c>
      <c r="BE184" s="53" t="str">
        <f t="shared" si="98"/>
        <v/>
      </c>
      <c r="BF184" s="53" t="str">
        <f t="shared" si="99"/>
        <v/>
      </c>
      <c r="BG184" s="53" t="str">
        <f t="shared" si="100"/>
        <v/>
      </c>
      <c r="BH184" s="53" t="str">
        <f t="shared" si="101"/>
        <v/>
      </c>
      <c r="BI184" s="53" t="str">
        <f t="shared" si="102"/>
        <v/>
      </c>
      <c r="BJ184" s="53" t="str">
        <f t="shared" si="103"/>
        <v/>
      </c>
      <c r="BK184" s="53" t="str">
        <f t="shared" si="104"/>
        <v/>
      </c>
    </row>
    <row r="185" spans="1:63">
      <c r="A185" s="53"/>
      <c r="B185" s="89" t="str">
        <f>IFERROR(VLOOKUP($A185,EntryList!$A$3:$N$645,2,FALSE),"")</f>
        <v/>
      </c>
      <c r="C185" s="74"/>
      <c r="D185" s="53">
        <f t="shared" si="78"/>
        <v>0</v>
      </c>
      <c r="E185" s="62"/>
      <c r="F185" s="62"/>
      <c r="G185" s="62"/>
      <c r="H185" s="62"/>
      <c r="I185" s="62"/>
      <c r="J185" s="62"/>
      <c r="K185" s="62"/>
      <c r="L185" s="62"/>
      <c r="M185" s="62"/>
      <c r="N185" s="62">
        <f t="shared" si="79"/>
        <v>0</v>
      </c>
      <c r="O185" s="53" t="str">
        <f t="shared" si="105"/>
        <v/>
      </c>
      <c r="P185" s="53" t="str">
        <f t="shared" si="106"/>
        <v/>
      </c>
      <c r="Q185" s="53" t="str">
        <f t="shared" si="107"/>
        <v/>
      </c>
      <c r="R185" s="53" t="str">
        <f t="shared" si="108"/>
        <v/>
      </c>
      <c r="S185" s="53" t="str">
        <f t="shared" si="109"/>
        <v/>
      </c>
      <c r="T185" s="53" t="str">
        <f t="shared" si="110"/>
        <v/>
      </c>
      <c r="U185" s="53" t="str">
        <f t="shared" si="111"/>
        <v/>
      </c>
      <c r="V185" s="53" t="str">
        <f t="shared" si="112"/>
        <v/>
      </c>
      <c r="W185" s="53" t="str">
        <f t="shared" si="80"/>
        <v>DNS/DNF ()</v>
      </c>
      <c r="X185" s="53" t="str">
        <f t="shared" si="81"/>
        <v>DNS/DNF ()</v>
      </c>
      <c r="Y185" s="53" t="str">
        <f t="shared" si="82"/>
        <v>DNS/DNF ()</v>
      </c>
      <c r="Z185" s="53" t="str">
        <f t="shared" si="83"/>
        <v>DNS/DNF ()</v>
      </c>
      <c r="AA185" s="53" t="str">
        <f t="shared" si="84"/>
        <v>DNS/DNF ()</v>
      </c>
      <c r="AB185" s="53" t="str">
        <f t="shared" si="85"/>
        <v>DNS/DNF ()</v>
      </c>
      <c r="AC185" s="53" t="str">
        <f t="shared" si="86"/>
        <v>DNS/DNF ()</v>
      </c>
      <c r="AD185" s="53" t="str">
        <f t="shared" si="87"/>
        <v>DNS/DNF ()</v>
      </c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62" t="str">
        <f t="shared" si="88"/>
        <v>DNS/DNF</v>
      </c>
      <c r="AV185" s="62" t="str">
        <f t="shared" si="89"/>
        <v>DNS/DNF</v>
      </c>
      <c r="AW185" s="62" t="str">
        <f t="shared" si="90"/>
        <v>DNS/DNF</v>
      </c>
      <c r="AX185" s="62" t="str">
        <f t="shared" si="91"/>
        <v>DNS/DNF</v>
      </c>
      <c r="AY185" s="62" t="str">
        <f t="shared" si="92"/>
        <v>DNS/DNF</v>
      </c>
      <c r="AZ185" s="62" t="str">
        <f t="shared" si="93"/>
        <v>DNS/DNF</v>
      </c>
      <c r="BA185" s="62" t="str">
        <f t="shared" si="94"/>
        <v>DNS/DNF</v>
      </c>
      <c r="BB185" s="62" t="str">
        <f t="shared" si="95"/>
        <v>DNS/DNF</v>
      </c>
      <c r="BC185" s="75" t="str">
        <f t="shared" si="96"/>
        <v/>
      </c>
      <c r="BD185" s="53" t="str">
        <f t="shared" si="97"/>
        <v/>
      </c>
      <c r="BE185" s="53" t="str">
        <f t="shared" si="98"/>
        <v/>
      </c>
      <c r="BF185" s="53" t="str">
        <f t="shared" si="99"/>
        <v/>
      </c>
      <c r="BG185" s="53" t="str">
        <f t="shared" si="100"/>
        <v/>
      </c>
      <c r="BH185" s="53" t="str">
        <f t="shared" si="101"/>
        <v/>
      </c>
      <c r="BI185" s="53" t="str">
        <f t="shared" si="102"/>
        <v/>
      </c>
      <c r="BJ185" s="53" t="str">
        <f t="shared" si="103"/>
        <v/>
      </c>
      <c r="BK185" s="53" t="str">
        <f t="shared" si="104"/>
        <v/>
      </c>
    </row>
    <row r="186" spans="1:63">
      <c r="A186" s="53"/>
      <c r="B186" s="89" t="str">
        <f>IFERROR(VLOOKUP($A186,EntryList!$A$3:$N$645,2,FALSE),"")</f>
        <v/>
      </c>
      <c r="C186" s="74"/>
      <c r="D186" s="53">
        <f t="shared" si="78"/>
        <v>0</v>
      </c>
      <c r="E186" s="62"/>
      <c r="F186" s="62"/>
      <c r="G186" s="62"/>
      <c r="H186" s="62"/>
      <c r="I186" s="62"/>
      <c r="J186" s="62"/>
      <c r="K186" s="62"/>
      <c r="L186" s="62"/>
      <c r="M186" s="62"/>
      <c r="N186" s="62">
        <f t="shared" si="79"/>
        <v>0</v>
      </c>
      <c r="O186" s="53" t="str">
        <f t="shared" si="105"/>
        <v/>
      </c>
      <c r="P186" s="53" t="str">
        <f t="shared" si="106"/>
        <v/>
      </c>
      <c r="Q186" s="53" t="str">
        <f t="shared" si="107"/>
        <v/>
      </c>
      <c r="R186" s="53" t="str">
        <f t="shared" si="108"/>
        <v/>
      </c>
      <c r="S186" s="53" t="str">
        <f t="shared" si="109"/>
        <v/>
      </c>
      <c r="T186" s="53" t="str">
        <f t="shared" si="110"/>
        <v/>
      </c>
      <c r="U186" s="53" t="str">
        <f t="shared" si="111"/>
        <v/>
      </c>
      <c r="V186" s="53" t="str">
        <f t="shared" si="112"/>
        <v/>
      </c>
      <c r="W186" s="53" t="str">
        <f t="shared" si="80"/>
        <v>DNS/DNF ()</v>
      </c>
      <c r="X186" s="53" t="str">
        <f t="shared" si="81"/>
        <v>DNS/DNF ()</v>
      </c>
      <c r="Y186" s="53" t="str">
        <f t="shared" si="82"/>
        <v>DNS/DNF ()</v>
      </c>
      <c r="Z186" s="53" t="str">
        <f t="shared" si="83"/>
        <v>DNS/DNF ()</v>
      </c>
      <c r="AA186" s="53" t="str">
        <f t="shared" si="84"/>
        <v>DNS/DNF ()</v>
      </c>
      <c r="AB186" s="53" t="str">
        <f t="shared" si="85"/>
        <v>DNS/DNF ()</v>
      </c>
      <c r="AC186" s="53" t="str">
        <f t="shared" si="86"/>
        <v>DNS/DNF ()</v>
      </c>
      <c r="AD186" s="53" t="str">
        <f t="shared" si="87"/>
        <v>DNS/DNF ()</v>
      </c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62" t="str">
        <f t="shared" si="88"/>
        <v>DNS/DNF</v>
      </c>
      <c r="AV186" s="62" t="str">
        <f t="shared" si="89"/>
        <v>DNS/DNF</v>
      </c>
      <c r="AW186" s="62" t="str">
        <f t="shared" si="90"/>
        <v>DNS/DNF</v>
      </c>
      <c r="AX186" s="62" t="str">
        <f t="shared" si="91"/>
        <v>DNS/DNF</v>
      </c>
      <c r="AY186" s="62" t="str">
        <f t="shared" si="92"/>
        <v>DNS/DNF</v>
      </c>
      <c r="AZ186" s="62" t="str">
        <f t="shared" si="93"/>
        <v>DNS/DNF</v>
      </c>
      <c r="BA186" s="62" t="str">
        <f t="shared" si="94"/>
        <v>DNS/DNF</v>
      </c>
      <c r="BB186" s="62" t="str">
        <f t="shared" si="95"/>
        <v>DNS/DNF</v>
      </c>
      <c r="BC186" s="75" t="str">
        <f t="shared" si="96"/>
        <v/>
      </c>
      <c r="BD186" s="53" t="str">
        <f t="shared" si="97"/>
        <v/>
      </c>
      <c r="BE186" s="53" t="str">
        <f t="shared" si="98"/>
        <v/>
      </c>
      <c r="BF186" s="53" t="str">
        <f t="shared" si="99"/>
        <v/>
      </c>
      <c r="BG186" s="53" t="str">
        <f t="shared" si="100"/>
        <v/>
      </c>
      <c r="BH186" s="53" t="str">
        <f t="shared" si="101"/>
        <v/>
      </c>
      <c r="BI186" s="53" t="str">
        <f t="shared" si="102"/>
        <v/>
      </c>
      <c r="BJ186" s="53" t="str">
        <f t="shared" si="103"/>
        <v/>
      </c>
      <c r="BK186" s="53" t="str">
        <f t="shared" si="104"/>
        <v/>
      </c>
    </row>
    <row r="187" spans="1:63">
      <c r="A187" s="53"/>
      <c r="B187" s="89" t="str">
        <f>IFERROR(VLOOKUP($A187,EntryList!$A$3:$N$645,2,FALSE),"")</f>
        <v/>
      </c>
      <c r="C187" s="74"/>
      <c r="D187" s="53">
        <f t="shared" si="78"/>
        <v>0</v>
      </c>
      <c r="E187" s="62"/>
      <c r="F187" s="62"/>
      <c r="G187" s="62"/>
      <c r="H187" s="62"/>
      <c r="I187" s="62"/>
      <c r="J187" s="62"/>
      <c r="K187" s="62"/>
      <c r="L187" s="62"/>
      <c r="M187" s="62"/>
      <c r="N187" s="62">
        <f t="shared" si="79"/>
        <v>0</v>
      </c>
      <c r="O187" s="53" t="str">
        <f t="shared" si="105"/>
        <v/>
      </c>
      <c r="P187" s="53" t="str">
        <f t="shared" si="106"/>
        <v/>
      </c>
      <c r="Q187" s="53" t="str">
        <f t="shared" si="107"/>
        <v/>
      </c>
      <c r="R187" s="53" t="str">
        <f t="shared" si="108"/>
        <v/>
      </c>
      <c r="S187" s="53" t="str">
        <f t="shared" si="109"/>
        <v/>
      </c>
      <c r="T187" s="53" t="str">
        <f t="shared" si="110"/>
        <v/>
      </c>
      <c r="U187" s="53" t="str">
        <f t="shared" si="111"/>
        <v/>
      </c>
      <c r="V187" s="53" t="str">
        <f t="shared" si="112"/>
        <v/>
      </c>
      <c r="W187" s="53" t="str">
        <f t="shared" si="80"/>
        <v>DNS/DNF ()</v>
      </c>
      <c r="X187" s="53" t="str">
        <f t="shared" si="81"/>
        <v>DNS/DNF ()</v>
      </c>
      <c r="Y187" s="53" t="str">
        <f t="shared" si="82"/>
        <v>DNS/DNF ()</v>
      </c>
      <c r="Z187" s="53" t="str">
        <f t="shared" si="83"/>
        <v>DNS/DNF ()</v>
      </c>
      <c r="AA187" s="53" t="str">
        <f t="shared" si="84"/>
        <v>DNS/DNF ()</v>
      </c>
      <c r="AB187" s="53" t="str">
        <f t="shared" si="85"/>
        <v>DNS/DNF ()</v>
      </c>
      <c r="AC187" s="53" t="str">
        <f t="shared" si="86"/>
        <v>DNS/DNF ()</v>
      </c>
      <c r="AD187" s="53" t="str">
        <f t="shared" si="87"/>
        <v>DNS/DNF ()</v>
      </c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62" t="str">
        <f t="shared" si="88"/>
        <v>DNS/DNF</v>
      </c>
      <c r="AV187" s="62" t="str">
        <f t="shared" si="89"/>
        <v>DNS/DNF</v>
      </c>
      <c r="AW187" s="62" t="str">
        <f t="shared" si="90"/>
        <v>DNS/DNF</v>
      </c>
      <c r="AX187" s="62" t="str">
        <f t="shared" si="91"/>
        <v>DNS/DNF</v>
      </c>
      <c r="AY187" s="62" t="str">
        <f t="shared" si="92"/>
        <v>DNS/DNF</v>
      </c>
      <c r="AZ187" s="62" t="str">
        <f t="shared" si="93"/>
        <v>DNS/DNF</v>
      </c>
      <c r="BA187" s="62" t="str">
        <f t="shared" si="94"/>
        <v>DNS/DNF</v>
      </c>
      <c r="BB187" s="62" t="str">
        <f t="shared" si="95"/>
        <v>DNS/DNF</v>
      </c>
      <c r="BC187" s="75" t="str">
        <f t="shared" si="96"/>
        <v/>
      </c>
      <c r="BD187" s="53" t="str">
        <f t="shared" si="97"/>
        <v/>
      </c>
      <c r="BE187" s="53" t="str">
        <f t="shared" si="98"/>
        <v/>
      </c>
      <c r="BF187" s="53" t="str">
        <f t="shared" si="99"/>
        <v/>
      </c>
      <c r="BG187" s="53" t="str">
        <f t="shared" si="100"/>
        <v/>
      </c>
      <c r="BH187" s="53" t="str">
        <f t="shared" si="101"/>
        <v/>
      </c>
      <c r="BI187" s="53" t="str">
        <f t="shared" si="102"/>
        <v/>
      </c>
      <c r="BJ187" s="53" t="str">
        <f t="shared" si="103"/>
        <v/>
      </c>
      <c r="BK187" s="53" t="str">
        <f t="shared" si="104"/>
        <v/>
      </c>
    </row>
    <row r="188" spans="1:63">
      <c r="A188" s="53"/>
      <c r="B188" s="89" t="str">
        <f>IFERROR(VLOOKUP($A188,EntryList!$A$3:$N$645,2,FALSE),"")</f>
        <v/>
      </c>
      <c r="C188" s="74"/>
      <c r="D188" s="53">
        <f t="shared" si="78"/>
        <v>0</v>
      </c>
      <c r="E188" s="62"/>
      <c r="F188" s="62"/>
      <c r="G188" s="62"/>
      <c r="H188" s="62"/>
      <c r="I188" s="62"/>
      <c r="J188" s="62"/>
      <c r="K188" s="62"/>
      <c r="L188" s="62"/>
      <c r="M188" s="62"/>
      <c r="N188" s="62">
        <f t="shared" si="79"/>
        <v>0</v>
      </c>
      <c r="O188" s="53" t="str">
        <f t="shared" si="105"/>
        <v/>
      </c>
      <c r="P188" s="53" t="str">
        <f t="shared" si="106"/>
        <v/>
      </c>
      <c r="Q188" s="53" t="str">
        <f t="shared" si="107"/>
        <v/>
      </c>
      <c r="R188" s="53" t="str">
        <f t="shared" si="108"/>
        <v/>
      </c>
      <c r="S188" s="53" t="str">
        <f t="shared" si="109"/>
        <v/>
      </c>
      <c r="T188" s="53" t="str">
        <f t="shared" si="110"/>
        <v/>
      </c>
      <c r="U188" s="53" t="str">
        <f t="shared" si="111"/>
        <v/>
      </c>
      <c r="V188" s="53" t="str">
        <f t="shared" si="112"/>
        <v/>
      </c>
      <c r="W188" s="53" t="str">
        <f t="shared" si="80"/>
        <v>DNS/DNF ()</v>
      </c>
      <c r="X188" s="53" t="str">
        <f t="shared" si="81"/>
        <v>DNS/DNF ()</v>
      </c>
      <c r="Y188" s="53" t="str">
        <f t="shared" si="82"/>
        <v>DNS/DNF ()</v>
      </c>
      <c r="Z188" s="53" t="str">
        <f t="shared" si="83"/>
        <v>DNS/DNF ()</v>
      </c>
      <c r="AA188" s="53" t="str">
        <f t="shared" si="84"/>
        <v>DNS/DNF ()</v>
      </c>
      <c r="AB188" s="53" t="str">
        <f t="shared" si="85"/>
        <v>DNS/DNF ()</v>
      </c>
      <c r="AC188" s="53" t="str">
        <f t="shared" si="86"/>
        <v>DNS/DNF ()</v>
      </c>
      <c r="AD188" s="53" t="str">
        <f t="shared" si="87"/>
        <v>DNS/DNF ()</v>
      </c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62" t="str">
        <f t="shared" si="88"/>
        <v>DNS/DNF</v>
      </c>
      <c r="AV188" s="62" t="str">
        <f t="shared" si="89"/>
        <v>DNS/DNF</v>
      </c>
      <c r="AW188" s="62" t="str">
        <f t="shared" si="90"/>
        <v>DNS/DNF</v>
      </c>
      <c r="AX188" s="62" t="str">
        <f t="shared" si="91"/>
        <v>DNS/DNF</v>
      </c>
      <c r="AY188" s="62" t="str">
        <f t="shared" si="92"/>
        <v>DNS/DNF</v>
      </c>
      <c r="AZ188" s="62" t="str">
        <f t="shared" si="93"/>
        <v>DNS/DNF</v>
      </c>
      <c r="BA188" s="62" t="str">
        <f t="shared" si="94"/>
        <v>DNS/DNF</v>
      </c>
      <c r="BB188" s="62" t="str">
        <f t="shared" si="95"/>
        <v>DNS/DNF</v>
      </c>
      <c r="BC188" s="75" t="str">
        <f t="shared" si="96"/>
        <v/>
      </c>
      <c r="BD188" s="53" t="str">
        <f t="shared" si="97"/>
        <v/>
      </c>
      <c r="BE188" s="53" t="str">
        <f t="shared" si="98"/>
        <v/>
      </c>
      <c r="BF188" s="53" t="str">
        <f t="shared" si="99"/>
        <v/>
      </c>
      <c r="BG188" s="53" t="str">
        <f t="shared" si="100"/>
        <v/>
      </c>
      <c r="BH188" s="53" t="str">
        <f t="shared" si="101"/>
        <v/>
      </c>
      <c r="BI188" s="53" t="str">
        <f t="shared" si="102"/>
        <v/>
      </c>
      <c r="BJ188" s="53" t="str">
        <f t="shared" si="103"/>
        <v/>
      </c>
      <c r="BK188" s="53" t="str">
        <f t="shared" si="104"/>
        <v/>
      </c>
    </row>
    <row r="189" spans="1:63">
      <c r="A189" s="53"/>
      <c r="B189" s="89" t="str">
        <f>IFERROR(VLOOKUP($A189,EntryList!$A$3:$N$645,2,FALSE),"")</f>
        <v/>
      </c>
      <c r="C189" s="74"/>
      <c r="D189" s="53">
        <f t="shared" si="78"/>
        <v>0</v>
      </c>
      <c r="E189" s="62"/>
      <c r="F189" s="62"/>
      <c r="G189" s="62"/>
      <c r="H189" s="62"/>
      <c r="I189" s="62"/>
      <c r="J189" s="62"/>
      <c r="K189" s="62"/>
      <c r="L189" s="62"/>
      <c r="M189" s="62"/>
      <c r="N189" s="62">
        <f t="shared" si="79"/>
        <v>0</v>
      </c>
      <c r="O189" s="53" t="str">
        <f t="shared" si="105"/>
        <v/>
      </c>
      <c r="P189" s="53" t="str">
        <f t="shared" si="106"/>
        <v/>
      </c>
      <c r="Q189" s="53" t="str">
        <f t="shared" si="107"/>
        <v/>
      </c>
      <c r="R189" s="53" t="str">
        <f t="shared" si="108"/>
        <v/>
      </c>
      <c r="S189" s="53" t="str">
        <f t="shared" si="109"/>
        <v/>
      </c>
      <c r="T189" s="53" t="str">
        <f t="shared" si="110"/>
        <v/>
      </c>
      <c r="U189" s="53" t="str">
        <f t="shared" si="111"/>
        <v/>
      </c>
      <c r="V189" s="53" t="str">
        <f t="shared" si="112"/>
        <v/>
      </c>
      <c r="W189" s="53" t="str">
        <f t="shared" si="80"/>
        <v>DNS/DNF ()</v>
      </c>
      <c r="X189" s="53" t="str">
        <f t="shared" si="81"/>
        <v>DNS/DNF ()</v>
      </c>
      <c r="Y189" s="53" t="str">
        <f t="shared" si="82"/>
        <v>DNS/DNF ()</v>
      </c>
      <c r="Z189" s="53" t="str">
        <f t="shared" si="83"/>
        <v>DNS/DNF ()</v>
      </c>
      <c r="AA189" s="53" t="str">
        <f t="shared" si="84"/>
        <v>DNS/DNF ()</v>
      </c>
      <c r="AB189" s="53" t="str">
        <f t="shared" si="85"/>
        <v>DNS/DNF ()</v>
      </c>
      <c r="AC189" s="53" t="str">
        <f t="shared" si="86"/>
        <v>DNS/DNF ()</v>
      </c>
      <c r="AD189" s="53" t="str">
        <f t="shared" si="87"/>
        <v>DNS/DNF ()</v>
      </c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62" t="str">
        <f t="shared" si="88"/>
        <v>DNS/DNF</v>
      </c>
      <c r="AV189" s="62" t="str">
        <f t="shared" si="89"/>
        <v>DNS/DNF</v>
      </c>
      <c r="AW189" s="62" t="str">
        <f t="shared" si="90"/>
        <v>DNS/DNF</v>
      </c>
      <c r="AX189" s="62" t="str">
        <f t="shared" si="91"/>
        <v>DNS/DNF</v>
      </c>
      <c r="AY189" s="62" t="str">
        <f t="shared" si="92"/>
        <v>DNS/DNF</v>
      </c>
      <c r="AZ189" s="62" t="str">
        <f t="shared" si="93"/>
        <v>DNS/DNF</v>
      </c>
      <c r="BA189" s="62" t="str">
        <f t="shared" si="94"/>
        <v>DNS/DNF</v>
      </c>
      <c r="BB189" s="62" t="str">
        <f t="shared" si="95"/>
        <v>DNS/DNF</v>
      </c>
      <c r="BC189" s="75" t="str">
        <f t="shared" si="96"/>
        <v/>
      </c>
      <c r="BD189" s="53" t="str">
        <f t="shared" si="97"/>
        <v/>
      </c>
      <c r="BE189" s="53" t="str">
        <f t="shared" si="98"/>
        <v/>
      </c>
      <c r="BF189" s="53" t="str">
        <f t="shared" si="99"/>
        <v/>
      </c>
      <c r="BG189" s="53" t="str">
        <f t="shared" si="100"/>
        <v/>
      </c>
      <c r="BH189" s="53" t="str">
        <f t="shared" si="101"/>
        <v/>
      </c>
      <c r="BI189" s="53" t="str">
        <f t="shared" si="102"/>
        <v/>
      </c>
      <c r="BJ189" s="53" t="str">
        <f t="shared" si="103"/>
        <v/>
      </c>
      <c r="BK189" s="53" t="str">
        <f t="shared" si="104"/>
        <v/>
      </c>
    </row>
    <row r="190" spans="1:63">
      <c r="A190" s="53"/>
      <c r="B190" s="89" t="str">
        <f>IFERROR(VLOOKUP($A190,EntryList!$A$3:$N$645,2,FALSE),"")</f>
        <v/>
      </c>
      <c r="C190" s="74"/>
      <c r="D190" s="53">
        <f t="shared" si="78"/>
        <v>0</v>
      </c>
      <c r="E190" s="62"/>
      <c r="F190" s="62"/>
      <c r="G190" s="62"/>
      <c r="H190" s="62"/>
      <c r="I190" s="62"/>
      <c r="J190" s="62"/>
      <c r="K190" s="62"/>
      <c r="L190" s="62"/>
      <c r="M190" s="62"/>
      <c r="N190" s="62">
        <f t="shared" si="79"/>
        <v>0</v>
      </c>
      <c r="O190" s="53" t="str">
        <f t="shared" si="105"/>
        <v/>
      </c>
      <c r="P190" s="53" t="str">
        <f t="shared" si="106"/>
        <v/>
      </c>
      <c r="Q190" s="53" t="str">
        <f t="shared" si="107"/>
        <v/>
      </c>
      <c r="R190" s="53" t="str">
        <f t="shared" si="108"/>
        <v/>
      </c>
      <c r="S190" s="53" t="str">
        <f t="shared" si="109"/>
        <v/>
      </c>
      <c r="T190" s="53" t="str">
        <f t="shared" si="110"/>
        <v/>
      </c>
      <c r="U190" s="53" t="str">
        <f t="shared" si="111"/>
        <v/>
      </c>
      <c r="V190" s="53" t="str">
        <f t="shared" si="112"/>
        <v/>
      </c>
      <c r="W190" s="53" t="str">
        <f t="shared" si="80"/>
        <v>DNS/DNF ()</v>
      </c>
      <c r="X190" s="53" t="str">
        <f t="shared" si="81"/>
        <v>DNS/DNF ()</v>
      </c>
      <c r="Y190" s="53" t="str">
        <f t="shared" si="82"/>
        <v>DNS/DNF ()</v>
      </c>
      <c r="Z190" s="53" t="str">
        <f t="shared" si="83"/>
        <v>DNS/DNF ()</v>
      </c>
      <c r="AA190" s="53" t="str">
        <f t="shared" si="84"/>
        <v>DNS/DNF ()</v>
      </c>
      <c r="AB190" s="53" t="str">
        <f t="shared" si="85"/>
        <v>DNS/DNF ()</v>
      </c>
      <c r="AC190" s="53" t="str">
        <f t="shared" si="86"/>
        <v>DNS/DNF ()</v>
      </c>
      <c r="AD190" s="53" t="str">
        <f t="shared" si="87"/>
        <v>DNS/DNF ()</v>
      </c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62" t="str">
        <f t="shared" si="88"/>
        <v>DNS/DNF</v>
      </c>
      <c r="AV190" s="62" t="str">
        <f t="shared" si="89"/>
        <v>DNS/DNF</v>
      </c>
      <c r="AW190" s="62" t="str">
        <f t="shared" si="90"/>
        <v>DNS/DNF</v>
      </c>
      <c r="AX190" s="62" t="str">
        <f t="shared" si="91"/>
        <v>DNS/DNF</v>
      </c>
      <c r="AY190" s="62" t="str">
        <f t="shared" si="92"/>
        <v>DNS/DNF</v>
      </c>
      <c r="AZ190" s="62" t="str">
        <f t="shared" si="93"/>
        <v>DNS/DNF</v>
      </c>
      <c r="BA190" s="62" t="str">
        <f t="shared" si="94"/>
        <v>DNS/DNF</v>
      </c>
      <c r="BB190" s="62" t="str">
        <f t="shared" si="95"/>
        <v>DNS/DNF</v>
      </c>
      <c r="BC190" s="75" t="str">
        <f t="shared" si="96"/>
        <v/>
      </c>
      <c r="BD190" s="53" t="str">
        <f t="shared" si="97"/>
        <v/>
      </c>
      <c r="BE190" s="53" t="str">
        <f t="shared" si="98"/>
        <v/>
      </c>
      <c r="BF190" s="53" t="str">
        <f t="shared" si="99"/>
        <v/>
      </c>
      <c r="BG190" s="53" t="str">
        <f t="shared" si="100"/>
        <v/>
      </c>
      <c r="BH190" s="53" t="str">
        <f t="shared" si="101"/>
        <v/>
      </c>
      <c r="BI190" s="53" t="str">
        <f t="shared" si="102"/>
        <v/>
      </c>
      <c r="BJ190" s="53" t="str">
        <f t="shared" si="103"/>
        <v/>
      </c>
      <c r="BK190" s="53" t="str">
        <f t="shared" si="104"/>
        <v/>
      </c>
    </row>
    <row r="191" spans="1:63">
      <c r="A191" s="53"/>
      <c r="B191" s="89" t="str">
        <f>IFERROR(VLOOKUP($A191,EntryList!$A$3:$N$645,2,FALSE),"")</f>
        <v/>
      </c>
      <c r="C191" s="74"/>
      <c r="D191" s="53">
        <f t="shared" si="78"/>
        <v>0</v>
      </c>
      <c r="E191" s="62"/>
      <c r="F191" s="62"/>
      <c r="G191" s="62"/>
      <c r="H191" s="62"/>
      <c r="I191" s="62"/>
      <c r="J191" s="62"/>
      <c r="K191" s="62"/>
      <c r="L191" s="62"/>
      <c r="M191" s="62"/>
      <c r="N191" s="62">
        <f t="shared" si="79"/>
        <v>0</v>
      </c>
      <c r="O191" s="53" t="str">
        <f t="shared" si="105"/>
        <v/>
      </c>
      <c r="P191" s="53" t="str">
        <f t="shared" si="106"/>
        <v/>
      </c>
      <c r="Q191" s="53" t="str">
        <f t="shared" si="107"/>
        <v/>
      </c>
      <c r="R191" s="53" t="str">
        <f t="shared" si="108"/>
        <v/>
      </c>
      <c r="S191" s="53" t="str">
        <f t="shared" si="109"/>
        <v/>
      </c>
      <c r="T191" s="53" t="str">
        <f t="shared" si="110"/>
        <v/>
      </c>
      <c r="U191" s="53" t="str">
        <f t="shared" si="111"/>
        <v/>
      </c>
      <c r="V191" s="53" t="str">
        <f t="shared" si="112"/>
        <v/>
      </c>
      <c r="W191" s="53" t="str">
        <f t="shared" si="80"/>
        <v>DNS/DNF ()</v>
      </c>
      <c r="X191" s="53" t="str">
        <f t="shared" si="81"/>
        <v>DNS/DNF ()</v>
      </c>
      <c r="Y191" s="53" t="str">
        <f t="shared" si="82"/>
        <v>DNS/DNF ()</v>
      </c>
      <c r="Z191" s="53" t="str">
        <f t="shared" si="83"/>
        <v>DNS/DNF ()</v>
      </c>
      <c r="AA191" s="53" t="str">
        <f t="shared" si="84"/>
        <v>DNS/DNF ()</v>
      </c>
      <c r="AB191" s="53" t="str">
        <f t="shared" si="85"/>
        <v>DNS/DNF ()</v>
      </c>
      <c r="AC191" s="53" t="str">
        <f t="shared" si="86"/>
        <v>DNS/DNF ()</v>
      </c>
      <c r="AD191" s="53" t="str">
        <f t="shared" si="87"/>
        <v>DNS/DNF ()</v>
      </c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62" t="str">
        <f t="shared" si="88"/>
        <v>DNS/DNF</v>
      </c>
      <c r="AV191" s="62" t="str">
        <f t="shared" si="89"/>
        <v>DNS/DNF</v>
      </c>
      <c r="AW191" s="62" t="str">
        <f t="shared" si="90"/>
        <v>DNS/DNF</v>
      </c>
      <c r="AX191" s="62" t="str">
        <f t="shared" si="91"/>
        <v>DNS/DNF</v>
      </c>
      <c r="AY191" s="62" t="str">
        <f t="shared" si="92"/>
        <v>DNS/DNF</v>
      </c>
      <c r="AZ191" s="62" t="str">
        <f t="shared" si="93"/>
        <v>DNS/DNF</v>
      </c>
      <c r="BA191" s="62" t="str">
        <f t="shared" si="94"/>
        <v>DNS/DNF</v>
      </c>
      <c r="BB191" s="62" t="str">
        <f t="shared" si="95"/>
        <v>DNS/DNF</v>
      </c>
      <c r="BC191" s="75" t="str">
        <f t="shared" si="96"/>
        <v/>
      </c>
      <c r="BD191" s="53" t="str">
        <f t="shared" si="97"/>
        <v/>
      </c>
      <c r="BE191" s="53" t="str">
        <f t="shared" si="98"/>
        <v/>
      </c>
      <c r="BF191" s="53" t="str">
        <f t="shared" si="99"/>
        <v/>
      </c>
      <c r="BG191" s="53" t="str">
        <f t="shared" si="100"/>
        <v/>
      </c>
      <c r="BH191" s="53" t="str">
        <f t="shared" si="101"/>
        <v/>
      </c>
      <c r="BI191" s="53" t="str">
        <f t="shared" si="102"/>
        <v/>
      </c>
      <c r="BJ191" s="53" t="str">
        <f t="shared" si="103"/>
        <v/>
      </c>
      <c r="BK191" s="53" t="str">
        <f t="shared" si="104"/>
        <v/>
      </c>
    </row>
    <row r="192" spans="1:63">
      <c r="A192" s="53"/>
      <c r="B192" s="89" t="str">
        <f>IFERROR(VLOOKUP($A192,EntryList!$A$3:$N$645,2,FALSE),"")</f>
        <v/>
      </c>
      <c r="C192" s="74"/>
      <c r="D192" s="53">
        <f t="shared" si="78"/>
        <v>0</v>
      </c>
      <c r="E192" s="62"/>
      <c r="F192" s="62"/>
      <c r="G192" s="62"/>
      <c r="H192" s="62"/>
      <c r="I192" s="62"/>
      <c r="J192" s="62"/>
      <c r="K192" s="62"/>
      <c r="L192" s="62"/>
      <c r="M192" s="62"/>
      <c r="N192" s="62">
        <f t="shared" si="79"/>
        <v>0</v>
      </c>
      <c r="O192" s="53" t="str">
        <f t="shared" si="105"/>
        <v/>
      </c>
      <c r="P192" s="53" t="str">
        <f t="shared" si="106"/>
        <v/>
      </c>
      <c r="Q192" s="53" t="str">
        <f t="shared" si="107"/>
        <v/>
      </c>
      <c r="R192" s="53" t="str">
        <f t="shared" si="108"/>
        <v/>
      </c>
      <c r="S192" s="53" t="str">
        <f t="shared" si="109"/>
        <v/>
      </c>
      <c r="T192" s="53" t="str">
        <f t="shared" si="110"/>
        <v/>
      </c>
      <c r="U192" s="53" t="str">
        <f t="shared" si="111"/>
        <v/>
      </c>
      <c r="V192" s="53" t="str">
        <f t="shared" si="112"/>
        <v/>
      </c>
      <c r="W192" s="53" t="str">
        <f t="shared" si="80"/>
        <v>DNS/DNF ()</v>
      </c>
      <c r="X192" s="53" t="str">
        <f t="shared" si="81"/>
        <v>DNS/DNF ()</v>
      </c>
      <c r="Y192" s="53" t="str">
        <f t="shared" si="82"/>
        <v>DNS/DNF ()</v>
      </c>
      <c r="Z192" s="53" t="str">
        <f t="shared" si="83"/>
        <v>DNS/DNF ()</v>
      </c>
      <c r="AA192" s="53" t="str">
        <f t="shared" si="84"/>
        <v>DNS/DNF ()</v>
      </c>
      <c r="AB192" s="53" t="str">
        <f t="shared" si="85"/>
        <v>DNS/DNF ()</v>
      </c>
      <c r="AC192" s="53" t="str">
        <f t="shared" si="86"/>
        <v>DNS/DNF ()</v>
      </c>
      <c r="AD192" s="53" t="str">
        <f t="shared" si="87"/>
        <v>DNS/DNF ()</v>
      </c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62" t="str">
        <f t="shared" si="88"/>
        <v>DNS/DNF</v>
      </c>
      <c r="AV192" s="62" t="str">
        <f t="shared" si="89"/>
        <v>DNS/DNF</v>
      </c>
      <c r="AW192" s="62" t="str">
        <f t="shared" si="90"/>
        <v>DNS/DNF</v>
      </c>
      <c r="AX192" s="62" t="str">
        <f t="shared" si="91"/>
        <v>DNS/DNF</v>
      </c>
      <c r="AY192" s="62" t="str">
        <f t="shared" si="92"/>
        <v>DNS/DNF</v>
      </c>
      <c r="AZ192" s="62" t="str">
        <f t="shared" si="93"/>
        <v>DNS/DNF</v>
      </c>
      <c r="BA192" s="62" t="str">
        <f t="shared" si="94"/>
        <v>DNS/DNF</v>
      </c>
      <c r="BB192" s="62" t="str">
        <f t="shared" si="95"/>
        <v>DNS/DNF</v>
      </c>
      <c r="BC192" s="75" t="str">
        <f t="shared" si="96"/>
        <v/>
      </c>
      <c r="BD192" s="53" t="str">
        <f t="shared" si="97"/>
        <v/>
      </c>
      <c r="BE192" s="53" t="str">
        <f t="shared" si="98"/>
        <v/>
      </c>
      <c r="BF192" s="53" t="str">
        <f t="shared" si="99"/>
        <v/>
      </c>
      <c r="BG192" s="53" t="str">
        <f t="shared" si="100"/>
        <v/>
      </c>
      <c r="BH192" s="53" t="str">
        <f t="shared" si="101"/>
        <v/>
      </c>
      <c r="BI192" s="53" t="str">
        <f t="shared" si="102"/>
        <v/>
      </c>
      <c r="BJ192" s="53" t="str">
        <f t="shared" si="103"/>
        <v/>
      </c>
      <c r="BK192" s="53" t="str">
        <f t="shared" si="104"/>
        <v/>
      </c>
    </row>
    <row r="193" spans="1:63">
      <c r="A193" s="53"/>
      <c r="B193" s="89" t="str">
        <f>IFERROR(VLOOKUP($A193,EntryList!$A$3:$N$645,2,FALSE),"")</f>
        <v/>
      </c>
      <c r="C193" s="74"/>
      <c r="D193" s="53">
        <f t="shared" si="78"/>
        <v>0</v>
      </c>
      <c r="E193" s="62"/>
      <c r="F193" s="62"/>
      <c r="G193" s="62"/>
      <c r="H193" s="62"/>
      <c r="I193" s="62"/>
      <c r="J193" s="62"/>
      <c r="K193" s="62"/>
      <c r="L193" s="62"/>
      <c r="M193" s="62"/>
      <c r="N193" s="62">
        <f t="shared" si="79"/>
        <v>0</v>
      </c>
      <c r="O193" s="53" t="str">
        <f t="shared" si="105"/>
        <v/>
      </c>
      <c r="P193" s="53" t="str">
        <f t="shared" si="106"/>
        <v/>
      </c>
      <c r="Q193" s="53" t="str">
        <f t="shared" si="107"/>
        <v/>
      </c>
      <c r="R193" s="53" t="str">
        <f t="shared" si="108"/>
        <v/>
      </c>
      <c r="S193" s="53" t="str">
        <f t="shared" si="109"/>
        <v/>
      </c>
      <c r="T193" s="53" t="str">
        <f t="shared" si="110"/>
        <v/>
      </c>
      <c r="U193" s="53" t="str">
        <f t="shared" si="111"/>
        <v/>
      </c>
      <c r="V193" s="53" t="str">
        <f t="shared" si="112"/>
        <v/>
      </c>
      <c r="W193" s="53" t="str">
        <f t="shared" si="80"/>
        <v>DNS/DNF ()</v>
      </c>
      <c r="X193" s="53" t="str">
        <f t="shared" si="81"/>
        <v>DNS/DNF ()</v>
      </c>
      <c r="Y193" s="53" t="str">
        <f t="shared" si="82"/>
        <v>DNS/DNF ()</v>
      </c>
      <c r="Z193" s="53" t="str">
        <f t="shared" si="83"/>
        <v>DNS/DNF ()</v>
      </c>
      <c r="AA193" s="53" t="str">
        <f t="shared" si="84"/>
        <v>DNS/DNF ()</v>
      </c>
      <c r="AB193" s="53" t="str">
        <f t="shared" si="85"/>
        <v>DNS/DNF ()</v>
      </c>
      <c r="AC193" s="53" t="str">
        <f t="shared" si="86"/>
        <v>DNS/DNF ()</v>
      </c>
      <c r="AD193" s="53" t="str">
        <f t="shared" si="87"/>
        <v>DNS/DNF ()</v>
      </c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62" t="str">
        <f t="shared" si="88"/>
        <v>DNS/DNF</v>
      </c>
      <c r="AV193" s="62" t="str">
        <f t="shared" si="89"/>
        <v>DNS/DNF</v>
      </c>
      <c r="AW193" s="62" t="str">
        <f t="shared" si="90"/>
        <v>DNS/DNF</v>
      </c>
      <c r="AX193" s="62" t="str">
        <f t="shared" si="91"/>
        <v>DNS/DNF</v>
      </c>
      <c r="AY193" s="62" t="str">
        <f t="shared" si="92"/>
        <v>DNS/DNF</v>
      </c>
      <c r="AZ193" s="62" t="str">
        <f t="shared" si="93"/>
        <v>DNS/DNF</v>
      </c>
      <c r="BA193" s="62" t="str">
        <f t="shared" si="94"/>
        <v>DNS/DNF</v>
      </c>
      <c r="BB193" s="62" t="str">
        <f t="shared" si="95"/>
        <v>DNS/DNF</v>
      </c>
      <c r="BC193" s="75" t="str">
        <f t="shared" si="96"/>
        <v/>
      </c>
      <c r="BD193" s="53" t="str">
        <f t="shared" si="97"/>
        <v/>
      </c>
      <c r="BE193" s="53" t="str">
        <f t="shared" si="98"/>
        <v/>
      </c>
      <c r="BF193" s="53" t="str">
        <f t="shared" si="99"/>
        <v/>
      </c>
      <c r="BG193" s="53" t="str">
        <f t="shared" si="100"/>
        <v/>
      </c>
      <c r="BH193" s="53" t="str">
        <f t="shared" si="101"/>
        <v/>
      </c>
      <c r="BI193" s="53" t="str">
        <f t="shared" si="102"/>
        <v/>
      </c>
      <c r="BJ193" s="53" t="str">
        <f t="shared" si="103"/>
        <v/>
      </c>
      <c r="BK193" s="53" t="str">
        <f t="shared" si="104"/>
        <v/>
      </c>
    </row>
    <row r="194" spans="1:63">
      <c r="A194" s="53"/>
      <c r="B194" s="89" t="str">
        <f>IFERROR(VLOOKUP($A194,EntryList!$A$3:$N$645,2,FALSE),"")</f>
        <v/>
      </c>
      <c r="C194" s="74"/>
      <c r="D194" s="53">
        <f t="shared" si="78"/>
        <v>0</v>
      </c>
      <c r="E194" s="62"/>
      <c r="F194" s="62"/>
      <c r="G194" s="62"/>
      <c r="H194" s="62"/>
      <c r="I194" s="62"/>
      <c r="J194" s="62"/>
      <c r="K194" s="62"/>
      <c r="L194" s="62"/>
      <c r="M194" s="62"/>
      <c r="N194" s="62">
        <f t="shared" si="79"/>
        <v>0</v>
      </c>
      <c r="O194" s="53" t="str">
        <f t="shared" si="105"/>
        <v/>
      </c>
      <c r="P194" s="53" t="str">
        <f t="shared" si="106"/>
        <v/>
      </c>
      <c r="Q194" s="53" t="str">
        <f t="shared" si="107"/>
        <v/>
      </c>
      <c r="R194" s="53" t="str">
        <f t="shared" si="108"/>
        <v/>
      </c>
      <c r="S194" s="53" t="str">
        <f t="shared" si="109"/>
        <v/>
      </c>
      <c r="T194" s="53" t="str">
        <f t="shared" si="110"/>
        <v/>
      </c>
      <c r="U194" s="53" t="str">
        <f t="shared" si="111"/>
        <v/>
      </c>
      <c r="V194" s="53" t="str">
        <f t="shared" si="112"/>
        <v/>
      </c>
      <c r="W194" s="53" t="str">
        <f t="shared" si="80"/>
        <v>DNS/DNF ()</v>
      </c>
      <c r="X194" s="53" t="str">
        <f t="shared" si="81"/>
        <v>DNS/DNF ()</v>
      </c>
      <c r="Y194" s="53" t="str">
        <f t="shared" si="82"/>
        <v>DNS/DNF ()</v>
      </c>
      <c r="Z194" s="53" t="str">
        <f t="shared" si="83"/>
        <v>DNS/DNF ()</v>
      </c>
      <c r="AA194" s="53" t="str">
        <f t="shared" si="84"/>
        <v>DNS/DNF ()</v>
      </c>
      <c r="AB194" s="53" t="str">
        <f t="shared" si="85"/>
        <v>DNS/DNF ()</v>
      </c>
      <c r="AC194" s="53" t="str">
        <f t="shared" si="86"/>
        <v>DNS/DNF ()</v>
      </c>
      <c r="AD194" s="53" t="str">
        <f t="shared" si="87"/>
        <v>DNS/DNF ()</v>
      </c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62" t="str">
        <f t="shared" si="88"/>
        <v>DNS/DNF</v>
      </c>
      <c r="AV194" s="62" t="str">
        <f t="shared" si="89"/>
        <v>DNS/DNF</v>
      </c>
      <c r="AW194" s="62" t="str">
        <f t="shared" si="90"/>
        <v>DNS/DNF</v>
      </c>
      <c r="AX194" s="62" t="str">
        <f t="shared" si="91"/>
        <v>DNS/DNF</v>
      </c>
      <c r="AY194" s="62" t="str">
        <f t="shared" si="92"/>
        <v>DNS/DNF</v>
      </c>
      <c r="AZ194" s="62" t="str">
        <f t="shared" si="93"/>
        <v>DNS/DNF</v>
      </c>
      <c r="BA194" s="62" t="str">
        <f t="shared" si="94"/>
        <v>DNS/DNF</v>
      </c>
      <c r="BB194" s="62" t="str">
        <f t="shared" si="95"/>
        <v>DNS/DNF</v>
      </c>
      <c r="BC194" s="75" t="str">
        <f t="shared" si="96"/>
        <v/>
      </c>
      <c r="BD194" s="53" t="str">
        <f t="shared" si="97"/>
        <v/>
      </c>
      <c r="BE194" s="53" t="str">
        <f t="shared" si="98"/>
        <v/>
      </c>
      <c r="BF194" s="53" t="str">
        <f t="shared" si="99"/>
        <v/>
      </c>
      <c r="BG194" s="53" t="str">
        <f t="shared" si="100"/>
        <v/>
      </c>
      <c r="BH194" s="53" t="str">
        <f t="shared" si="101"/>
        <v/>
      </c>
      <c r="BI194" s="53" t="str">
        <f t="shared" si="102"/>
        <v/>
      </c>
      <c r="BJ194" s="53" t="str">
        <f t="shared" si="103"/>
        <v/>
      </c>
      <c r="BK194" s="53" t="str">
        <f t="shared" si="104"/>
        <v/>
      </c>
    </row>
    <row r="195" spans="1:63">
      <c r="A195" s="53"/>
      <c r="B195" s="89" t="str">
        <f>IFERROR(VLOOKUP($A195,EntryList!$A$3:$N$645,2,FALSE),"")</f>
        <v/>
      </c>
      <c r="C195" s="74"/>
      <c r="D195" s="53">
        <f t="shared" si="78"/>
        <v>0</v>
      </c>
      <c r="E195" s="62"/>
      <c r="F195" s="62"/>
      <c r="G195" s="62"/>
      <c r="H195" s="62"/>
      <c r="I195" s="62"/>
      <c r="J195" s="62"/>
      <c r="K195" s="62"/>
      <c r="L195" s="62"/>
      <c r="M195" s="62"/>
      <c r="N195" s="62">
        <f t="shared" si="79"/>
        <v>0</v>
      </c>
      <c r="O195" s="53" t="str">
        <f t="shared" si="105"/>
        <v/>
      </c>
      <c r="P195" s="53" t="str">
        <f t="shared" si="106"/>
        <v/>
      </c>
      <c r="Q195" s="53" t="str">
        <f t="shared" si="107"/>
        <v/>
      </c>
      <c r="R195" s="53" t="str">
        <f t="shared" si="108"/>
        <v/>
      </c>
      <c r="S195" s="53" t="str">
        <f t="shared" si="109"/>
        <v/>
      </c>
      <c r="T195" s="53" t="str">
        <f t="shared" si="110"/>
        <v/>
      </c>
      <c r="U195" s="53" t="str">
        <f t="shared" si="111"/>
        <v/>
      </c>
      <c r="V195" s="53" t="str">
        <f t="shared" si="112"/>
        <v/>
      </c>
      <c r="W195" s="53" t="str">
        <f t="shared" si="80"/>
        <v>DNS/DNF ()</v>
      </c>
      <c r="X195" s="53" t="str">
        <f t="shared" si="81"/>
        <v>DNS/DNF ()</v>
      </c>
      <c r="Y195" s="53" t="str">
        <f t="shared" si="82"/>
        <v>DNS/DNF ()</v>
      </c>
      <c r="Z195" s="53" t="str">
        <f t="shared" si="83"/>
        <v>DNS/DNF ()</v>
      </c>
      <c r="AA195" s="53" t="str">
        <f t="shared" si="84"/>
        <v>DNS/DNF ()</v>
      </c>
      <c r="AB195" s="53" t="str">
        <f t="shared" si="85"/>
        <v>DNS/DNF ()</v>
      </c>
      <c r="AC195" s="53" t="str">
        <f t="shared" si="86"/>
        <v>DNS/DNF ()</v>
      </c>
      <c r="AD195" s="53" t="str">
        <f t="shared" si="87"/>
        <v>DNS/DNF ()</v>
      </c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62" t="str">
        <f t="shared" si="88"/>
        <v>DNS/DNF</v>
      </c>
      <c r="AV195" s="62" t="str">
        <f t="shared" si="89"/>
        <v>DNS/DNF</v>
      </c>
      <c r="AW195" s="62" t="str">
        <f t="shared" si="90"/>
        <v>DNS/DNF</v>
      </c>
      <c r="AX195" s="62" t="str">
        <f t="shared" si="91"/>
        <v>DNS/DNF</v>
      </c>
      <c r="AY195" s="62" t="str">
        <f t="shared" si="92"/>
        <v>DNS/DNF</v>
      </c>
      <c r="AZ195" s="62" t="str">
        <f t="shared" si="93"/>
        <v>DNS/DNF</v>
      </c>
      <c r="BA195" s="62" t="str">
        <f t="shared" si="94"/>
        <v>DNS/DNF</v>
      </c>
      <c r="BB195" s="62" t="str">
        <f t="shared" si="95"/>
        <v>DNS/DNF</v>
      </c>
      <c r="BC195" s="75" t="str">
        <f t="shared" si="96"/>
        <v/>
      </c>
      <c r="BD195" s="53" t="str">
        <f t="shared" si="97"/>
        <v/>
      </c>
      <c r="BE195" s="53" t="str">
        <f t="shared" si="98"/>
        <v/>
      </c>
      <c r="BF195" s="53" t="str">
        <f t="shared" si="99"/>
        <v/>
      </c>
      <c r="BG195" s="53" t="str">
        <f t="shared" si="100"/>
        <v/>
      </c>
      <c r="BH195" s="53" t="str">
        <f t="shared" si="101"/>
        <v/>
      </c>
      <c r="BI195" s="53" t="str">
        <f t="shared" si="102"/>
        <v/>
      </c>
      <c r="BJ195" s="53" t="str">
        <f t="shared" si="103"/>
        <v/>
      </c>
      <c r="BK195" s="53" t="str">
        <f t="shared" si="104"/>
        <v/>
      </c>
    </row>
    <row r="196" spans="1:63">
      <c r="A196" s="53"/>
      <c r="B196" s="89" t="str">
        <f>IFERROR(VLOOKUP($A196,EntryList!$A$3:$N$645,2,FALSE),"")</f>
        <v/>
      </c>
      <c r="C196" s="74"/>
      <c r="D196" s="53">
        <f t="shared" ref="D196:D252" si="113">COUNT($AU196:$BB196)</f>
        <v>0</v>
      </c>
      <c r="E196" s="62"/>
      <c r="F196" s="62"/>
      <c r="G196" s="62"/>
      <c r="H196" s="62"/>
      <c r="I196" s="62"/>
      <c r="J196" s="62"/>
      <c r="K196" s="62"/>
      <c r="L196" s="62"/>
      <c r="M196" s="62"/>
      <c r="N196" s="62">
        <f t="shared" ref="N196:N252" si="114">SUM($AU196:$BB196)</f>
        <v>0</v>
      </c>
      <c r="O196" s="53" t="str">
        <f t="shared" si="105"/>
        <v/>
      </c>
      <c r="P196" s="53" t="str">
        <f t="shared" si="106"/>
        <v/>
      </c>
      <c r="Q196" s="53" t="str">
        <f t="shared" si="107"/>
        <v/>
      </c>
      <c r="R196" s="53" t="str">
        <f t="shared" si="108"/>
        <v/>
      </c>
      <c r="S196" s="53" t="str">
        <f t="shared" si="109"/>
        <v/>
      </c>
      <c r="T196" s="53" t="str">
        <f t="shared" si="110"/>
        <v/>
      </c>
      <c r="U196" s="53" t="str">
        <f t="shared" si="111"/>
        <v/>
      </c>
      <c r="V196" s="53" t="str">
        <f t="shared" si="112"/>
        <v/>
      </c>
      <c r="W196" s="53" t="str">
        <f t="shared" ref="W196:W259" si="115">CONCATENATE(TEXT($AU196,"[hh]:mm:ss.0")," ","(",$O196,")")</f>
        <v>DNS/DNF ()</v>
      </c>
      <c r="X196" s="53" t="str">
        <f t="shared" ref="X196:X259" si="116">CONCATENATE(TEXT($AV196,"[hh]:mm:ss.0")," ","(",$P196,")")</f>
        <v>DNS/DNF ()</v>
      </c>
      <c r="Y196" s="53" t="str">
        <f t="shared" ref="Y196:Y259" si="117">CONCATENATE(TEXT($AW196,"[hh]:mm:ss.0")," ","(",$Q196,")")</f>
        <v>DNS/DNF ()</v>
      </c>
      <c r="Z196" s="53" t="str">
        <f t="shared" ref="Z196:Z259" si="118">CONCATENATE(TEXT($AX196,"[hh]:mm:ss.0")," ","(",$R196,")")</f>
        <v>DNS/DNF ()</v>
      </c>
      <c r="AA196" s="53" t="str">
        <f t="shared" ref="AA196:AA259" si="119">CONCATENATE(TEXT($AY196,"[hh]:mm:ss.0")," ","(",$S196,")")</f>
        <v>DNS/DNF ()</v>
      </c>
      <c r="AB196" s="53" t="str">
        <f t="shared" ref="AB196:AB259" si="120">CONCATENATE(TEXT($AZ196,"[hh]:mm:ss.0")," ","(",$T196,")")</f>
        <v>DNS/DNF ()</v>
      </c>
      <c r="AC196" s="53" t="str">
        <f t="shared" ref="AC196:AC259" si="121">CONCATENATE(TEXT($BA196,"[hh]:mm:ss.0")," ","(",$U196,")")</f>
        <v>DNS/DNF ()</v>
      </c>
      <c r="AD196" s="53" t="str">
        <f t="shared" ref="AD196:AD259" si="122">CONCATENATE(TEXT($BB196,"[hh]:mm:ss.0")," ","(",$V196,")")</f>
        <v>DNS/DNF ()</v>
      </c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62" t="str">
        <f t="shared" ref="AU196:AU259" si="123">IF((OR($AE196=0,$AF196=0,$AF196-$AE196&lt;0)),"DNS/DNF",($AF196-$AE196)/86400000)</f>
        <v>DNS/DNF</v>
      </c>
      <c r="AV196" s="62" t="str">
        <f t="shared" ref="AV196:AV259" si="124">IF((OR($AG196=0,$AH196=0,$AH196-$AG196&lt;0)),"DNS/DNF",($AH196-$AG196)/86400000)</f>
        <v>DNS/DNF</v>
      </c>
      <c r="AW196" s="62" t="str">
        <f t="shared" ref="AW196:AW259" si="125">IF((OR($AI196=0,$AJ196=0,$AJ196-$AI196&lt;0)),"DNS/DNF",($AJ196-$AI196)/86400000)</f>
        <v>DNS/DNF</v>
      </c>
      <c r="AX196" s="62" t="str">
        <f t="shared" ref="AX196:AX259" si="126">IF((OR($AK196=0,$AL196=0,$AL196-$AK196&lt;0)),"DNS/DNF",($AL196-$AK196)/86400000)</f>
        <v>DNS/DNF</v>
      </c>
      <c r="AY196" s="62" t="str">
        <f t="shared" ref="AY196:AY259" si="127">IF((OR($AM196=0,$AM196=0,$AN196-$AM196&lt;0)),"DNS/DNF",($AN196-$AM196)/86400000)</f>
        <v>DNS/DNF</v>
      </c>
      <c r="AZ196" s="62" t="str">
        <f t="shared" ref="AZ196:AZ259" si="128">IF((OR($AO196=0,$AP196=0,$AP196-$AO196&lt;0)),"DNS/DNF",($AP196-$AO196)/86400000)</f>
        <v>DNS/DNF</v>
      </c>
      <c r="BA196" s="62" t="str">
        <f t="shared" ref="BA196:BA259" si="129">IF((OR($AQ196=0,$AR196=0,$AR196-$AQ196&lt;0)),"DNS/DNF",($AR196-$AQ196)/86400000)</f>
        <v>DNS/DNF</v>
      </c>
      <c r="BB196" s="62" t="str">
        <f t="shared" ref="BB196:BB259" si="130">IF((OR($AS196=0,$AT196=0,$AT196-$AS196&lt;0)),"DNS/DNF",($AT196-$AS196)/86400000)</f>
        <v>DNS/DNF</v>
      </c>
      <c r="BC196" s="75" t="str">
        <f t="shared" ref="BC196:BC259" si="131">IFERROR(ROUND(AVERAGE(O196:V196),0),"")</f>
        <v/>
      </c>
      <c r="BD196" s="53" t="str">
        <f t="shared" ref="BD196:BD259" si="132">IFERROR((INDEX(($AU$3:$AU$500)*86400000,MATCH(BC196,$O$3:$O$500,0))),"")</f>
        <v/>
      </c>
      <c r="BE196" s="53" t="str">
        <f t="shared" ref="BE196:BE259" si="133">IFERROR((INDEX(($AV$3:$AV$500)*86400000,MATCH(BC196,$P$3:$P$500,0))),"")</f>
        <v/>
      </c>
      <c r="BF196" s="53" t="str">
        <f t="shared" ref="BF196:BF259" si="134">IFERROR((INDEX(($AW$3:$AW$500)*86400000,MATCH(BC196,$Q$3:$Q$500,0))),"")</f>
        <v/>
      </c>
      <c r="BG196" s="53" t="str">
        <f t="shared" ref="BG196:BG259" si="135">IFERROR((INDEX(($AX$3:$AX$500)*86400000,MATCH(BC196,$R$3:$R$500,0))),"")</f>
        <v/>
      </c>
      <c r="BH196" s="53" t="str">
        <f t="shared" ref="BH196:BH259" si="136">IFERROR((INDEX(($AY$3:$AY$500)*86400000,MATCH(BC196,$S$3:$S$500,0))),"")</f>
        <v/>
      </c>
      <c r="BI196" s="53" t="str">
        <f t="shared" ref="BI196:BI259" si="137">IFERROR((INDEX(($AZ$3:$AZ$500)*86400000,MATCH(BC196,$T$3:$T$500,0))),"")</f>
        <v/>
      </c>
      <c r="BJ196" s="53" t="str">
        <f t="shared" ref="BJ196:BJ259" si="138">IFERROR((INDEX(($BA$3:$BA$500)*86400000,MATCH(BC196,$U$3:$U$500,0))),"")</f>
        <v/>
      </c>
      <c r="BK196" s="53" t="str">
        <f t="shared" ref="BK196:BK259" si="139">IFERROR((INDEX(($BB$3:$BB$500)*86400000,MATCH(BC196,$V$3:$V$500,0))),"")</f>
        <v/>
      </c>
    </row>
    <row r="197" spans="1:63">
      <c r="A197" s="53"/>
      <c r="B197" s="89" t="str">
        <f>IFERROR(VLOOKUP($A197,EntryList!$A$3:$N$645,2,FALSE),"")</f>
        <v/>
      </c>
      <c r="C197" s="74"/>
      <c r="D197" s="53">
        <f t="shared" si="113"/>
        <v>0</v>
      </c>
      <c r="E197" s="62"/>
      <c r="F197" s="62"/>
      <c r="G197" s="62"/>
      <c r="H197" s="62"/>
      <c r="I197" s="62"/>
      <c r="J197" s="62"/>
      <c r="K197" s="62"/>
      <c r="L197" s="62"/>
      <c r="M197" s="62"/>
      <c r="N197" s="62">
        <f t="shared" si="114"/>
        <v>0</v>
      </c>
      <c r="O197" s="53" t="str">
        <f t="shared" si="105"/>
        <v/>
      </c>
      <c r="P197" s="53" t="str">
        <f t="shared" si="106"/>
        <v/>
      </c>
      <c r="Q197" s="53" t="str">
        <f t="shared" si="107"/>
        <v/>
      </c>
      <c r="R197" s="53" t="str">
        <f t="shared" si="108"/>
        <v/>
      </c>
      <c r="S197" s="53" t="str">
        <f t="shared" si="109"/>
        <v/>
      </c>
      <c r="T197" s="53" t="str">
        <f t="shared" si="110"/>
        <v/>
      </c>
      <c r="U197" s="53" t="str">
        <f t="shared" si="111"/>
        <v/>
      </c>
      <c r="V197" s="53" t="str">
        <f t="shared" si="112"/>
        <v/>
      </c>
      <c r="W197" s="53" t="str">
        <f t="shared" si="115"/>
        <v>DNS/DNF ()</v>
      </c>
      <c r="X197" s="53" t="str">
        <f t="shared" si="116"/>
        <v>DNS/DNF ()</v>
      </c>
      <c r="Y197" s="53" t="str">
        <f t="shared" si="117"/>
        <v>DNS/DNF ()</v>
      </c>
      <c r="Z197" s="53" t="str">
        <f t="shared" si="118"/>
        <v>DNS/DNF ()</v>
      </c>
      <c r="AA197" s="53" t="str">
        <f t="shared" si="119"/>
        <v>DNS/DNF ()</v>
      </c>
      <c r="AB197" s="53" t="str">
        <f t="shared" si="120"/>
        <v>DNS/DNF ()</v>
      </c>
      <c r="AC197" s="53" t="str">
        <f t="shared" si="121"/>
        <v>DNS/DNF ()</v>
      </c>
      <c r="AD197" s="53" t="str">
        <f t="shared" si="122"/>
        <v>DNS/DNF ()</v>
      </c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62" t="str">
        <f t="shared" si="123"/>
        <v>DNS/DNF</v>
      </c>
      <c r="AV197" s="62" t="str">
        <f t="shared" si="124"/>
        <v>DNS/DNF</v>
      </c>
      <c r="AW197" s="62" t="str">
        <f t="shared" si="125"/>
        <v>DNS/DNF</v>
      </c>
      <c r="AX197" s="62" t="str">
        <f t="shared" si="126"/>
        <v>DNS/DNF</v>
      </c>
      <c r="AY197" s="62" t="str">
        <f t="shared" si="127"/>
        <v>DNS/DNF</v>
      </c>
      <c r="AZ197" s="62" t="str">
        <f t="shared" si="128"/>
        <v>DNS/DNF</v>
      </c>
      <c r="BA197" s="62" t="str">
        <f t="shared" si="129"/>
        <v>DNS/DNF</v>
      </c>
      <c r="BB197" s="62" t="str">
        <f t="shared" si="130"/>
        <v>DNS/DNF</v>
      </c>
      <c r="BC197" s="75" t="str">
        <f t="shared" si="131"/>
        <v/>
      </c>
      <c r="BD197" s="53" t="str">
        <f t="shared" si="132"/>
        <v/>
      </c>
      <c r="BE197" s="53" t="str">
        <f t="shared" si="133"/>
        <v/>
      </c>
      <c r="BF197" s="53" t="str">
        <f t="shared" si="134"/>
        <v/>
      </c>
      <c r="BG197" s="53" t="str">
        <f t="shared" si="135"/>
        <v/>
      </c>
      <c r="BH197" s="53" t="str">
        <f t="shared" si="136"/>
        <v/>
      </c>
      <c r="BI197" s="53" t="str">
        <f t="shared" si="137"/>
        <v/>
      </c>
      <c r="BJ197" s="53" t="str">
        <f t="shared" si="138"/>
        <v/>
      </c>
      <c r="BK197" s="53" t="str">
        <f t="shared" si="139"/>
        <v/>
      </c>
    </row>
    <row r="198" spans="1:63">
      <c r="A198" s="53"/>
      <c r="B198" s="89" t="str">
        <f>IFERROR(VLOOKUP($A198,EntryList!$A$3:$N$645,2,FALSE),"")</f>
        <v/>
      </c>
      <c r="C198" s="74"/>
      <c r="D198" s="53">
        <f t="shared" si="113"/>
        <v>0</v>
      </c>
      <c r="E198" s="62"/>
      <c r="F198" s="62"/>
      <c r="G198" s="62"/>
      <c r="H198" s="62"/>
      <c r="I198" s="62"/>
      <c r="J198" s="62"/>
      <c r="K198" s="62"/>
      <c r="L198" s="62"/>
      <c r="M198" s="62"/>
      <c r="N198" s="62">
        <f t="shared" si="114"/>
        <v>0</v>
      </c>
      <c r="O198" s="53" t="str">
        <f t="shared" si="105"/>
        <v/>
      </c>
      <c r="P198" s="53" t="str">
        <f t="shared" si="106"/>
        <v/>
      </c>
      <c r="Q198" s="53" t="str">
        <f t="shared" si="107"/>
        <v/>
      </c>
      <c r="R198" s="53" t="str">
        <f t="shared" si="108"/>
        <v/>
      </c>
      <c r="S198" s="53" t="str">
        <f t="shared" si="109"/>
        <v/>
      </c>
      <c r="T198" s="53" t="str">
        <f t="shared" si="110"/>
        <v/>
      </c>
      <c r="U198" s="53" t="str">
        <f t="shared" si="111"/>
        <v/>
      </c>
      <c r="V198" s="53" t="str">
        <f t="shared" si="112"/>
        <v/>
      </c>
      <c r="W198" s="53" t="str">
        <f t="shared" si="115"/>
        <v>DNS/DNF ()</v>
      </c>
      <c r="X198" s="53" t="str">
        <f t="shared" si="116"/>
        <v>DNS/DNF ()</v>
      </c>
      <c r="Y198" s="53" t="str">
        <f t="shared" si="117"/>
        <v>DNS/DNF ()</v>
      </c>
      <c r="Z198" s="53" t="str">
        <f t="shared" si="118"/>
        <v>DNS/DNF ()</v>
      </c>
      <c r="AA198" s="53" t="str">
        <f t="shared" si="119"/>
        <v>DNS/DNF ()</v>
      </c>
      <c r="AB198" s="53" t="str">
        <f t="shared" si="120"/>
        <v>DNS/DNF ()</v>
      </c>
      <c r="AC198" s="53" t="str">
        <f t="shared" si="121"/>
        <v>DNS/DNF ()</v>
      </c>
      <c r="AD198" s="53" t="str">
        <f t="shared" si="122"/>
        <v>DNS/DNF ()</v>
      </c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62" t="str">
        <f t="shared" si="123"/>
        <v>DNS/DNF</v>
      </c>
      <c r="AV198" s="62" t="str">
        <f t="shared" si="124"/>
        <v>DNS/DNF</v>
      </c>
      <c r="AW198" s="62" t="str">
        <f t="shared" si="125"/>
        <v>DNS/DNF</v>
      </c>
      <c r="AX198" s="62" t="str">
        <f t="shared" si="126"/>
        <v>DNS/DNF</v>
      </c>
      <c r="AY198" s="62" t="str">
        <f t="shared" si="127"/>
        <v>DNS/DNF</v>
      </c>
      <c r="AZ198" s="62" t="str">
        <f t="shared" si="128"/>
        <v>DNS/DNF</v>
      </c>
      <c r="BA198" s="62" t="str">
        <f t="shared" si="129"/>
        <v>DNS/DNF</v>
      </c>
      <c r="BB198" s="62" t="str">
        <f t="shared" si="130"/>
        <v>DNS/DNF</v>
      </c>
      <c r="BC198" s="75" t="str">
        <f t="shared" si="131"/>
        <v/>
      </c>
      <c r="BD198" s="53" t="str">
        <f t="shared" si="132"/>
        <v/>
      </c>
      <c r="BE198" s="53" t="str">
        <f t="shared" si="133"/>
        <v/>
      </c>
      <c r="BF198" s="53" t="str">
        <f t="shared" si="134"/>
        <v/>
      </c>
      <c r="BG198" s="53" t="str">
        <f t="shared" si="135"/>
        <v/>
      </c>
      <c r="BH198" s="53" t="str">
        <f t="shared" si="136"/>
        <v/>
      </c>
      <c r="BI198" s="53" t="str">
        <f t="shared" si="137"/>
        <v/>
      </c>
      <c r="BJ198" s="53" t="str">
        <f t="shared" si="138"/>
        <v/>
      </c>
      <c r="BK198" s="53" t="str">
        <f t="shared" si="139"/>
        <v/>
      </c>
    </row>
    <row r="199" spans="1:63">
      <c r="A199" s="53"/>
      <c r="B199" s="89" t="str">
        <f>IFERROR(VLOOKUP($A199,EntryList!$A$3:$N$645,2,FALSE),"")</f>
        <v/>
      </c>
      <c r="C199" s="74"/>
      <c r="D199" s="53">
        <f t="shared" si="113"/>
        <v>0</v>
      </c>
      <c r="E199" s="62"/>
      <c r="F199" s="62"/>
      <c r="G199" s="62"/>
      <c r="H199" s="62"/>
      <c r="I199" s="62"/>
      <c r="J199" s="62"/>
      <c r="K199" s="62"/>
      <c r="L199" s="62"/>
      <c r="M199" s="62"/>
      <c r="N199" s="62">
        <f t="shared" si="114"/>
        <v>0</v>
      </c>
      <c r="O199" s="53" t="str">
        <f t="shared" si="105"/>
        <v/>
      </c>
      <c r="P199" s="53" t="str">
        <f t="shared" si="106"/>
        <v/>
      </c>
      <c r="Q199" s="53" t="str">
        <f t="shared" si="107"/>
        <v/>
      </c>
      <c r="R199" s="53" t="str">
        <f t="shared" si="108"/>
        <v/>
      </c>
      <c r="S199" s="53" t="str">
        <f t="shared" si="109"/>
        <v/>
      </c>
      <c r="T199" s="53" t="str">
        <f t="shared" si="110"/>
        <v/>
      </c>
      <c r="U199" s="53" t="str">
        <f t="shared" si="111"/>
        <v/>
      </c>
      <c r="V199" s="53" t="str">
        <f t="shared" si="112"/>
        <v/>
      </c>
      <c r="W199" s="53" t="str">
        <f t="shared" si="115"/>
        <v>DNS/DNF ()</v>
      </c>
      <c r="X199" s="53" t="str">
        <f t="shared" si="116"/>
        <v>DNS/DNF ()</v>
      </c>
      <c r="Y199" s="53" t="str">
        <f t="shared" si="117"/>
        <v>DNS/DNF ()</v>
      </c>
      <c r="Z199" s="53" t="str">
        <f t="shared" si="118"/>
        <v>DNS/DNF ()</v>
      </c>
      <c r="AA199" s="53" t="str">
        <f t="shared" si="119"/>
        <v>DNS/DNF ()</v>
      </c>
      <c r="AB199" s="53" t="str">
        <f t="shared" si="120"/>
        <v>DNS/DNF ()</v>
      </c>
      <c r="AC199" s="53" t="str">
        <f t="shared" si="121"/>
        <v>DNS/DNF ()</v>
      </c>
      <c r="AD199" s="53" t="str">
        <f t="shared" si="122"/>
        <v>DNS/DNF ()</v>
      </c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62" t="str">
        <f t="shared" si="123"/>
        <v>DNS/DNF</v>
      </c>
      <c r="AV199" s="62" t="str">
        <f t="shared" si="124"/>
        <v>DNS/DNF</v>
      </c>
      <c r="AW199" s="62" t="str">
        <f t="shared" si="125"/>
        <v>DNS/DNF</v>
      </c>
      <c r="AX199" s="62" t="str">
        <f t="shared" si="126"/>
        <v>DNS/DNF</v>
      </c>
      <c r="AY199" s="62" t="str">
        <f t="shared" si="127"/>
        <v>DNS/DNF</v>
      </c>
      <c r="AZ199" s="62" t="str">
        <f t="shared" si="128"/>
        <v>DNS/DNF</v>
      </c>
      <c r="BA199" s="62" t="str">
        <f t="shared" si="129"/>
        <v>DNS/DNF</v>
      </c>
      <c r="BB199" s="62" t="str">
        <f t="shared" si="130"/>
        <v>DNS/DNF</v>
      </c>
      <c r="BC199" s="75" t="str">
        <f t="shared" si="131"/>
        <v/>
      </c>
      <c r="BD199" s="53" t="str">
        <f t="shared" si="132"/>
        <v/>
      </c>
      <c r="BE199" s="53" t="str">
        <f t="shared" si="133"/>
        <v/>
      </c>
      <c r="BF199" s="53" t="str">
        <f t="shared" si="134"/>
        <v/>
      </c>
      <c r="BG199" s="53" t="str">
        <f t="shared" si="135"/>
        <v/>
      </c>
      <c r="BH199" s="53" t="str">
        <f t="shared" si="136"/>
        <v/>
      </c>
      <c r="BI199" s="53" t="str">
        <f t="shared" si="137"/>
        <v/>
      </c>
      <c r="BJ199" s="53" t="str">
        <f t="shared" si="138"/>
        <v/>
      </c>
      <c r="BK199" s="53" t="str">
        <f t="shared" si="139"/>
        <v/>
      </c>
    </row>
    <row r="200" spans="1:63">
      <c r="A200" s="53"/>
      <c r="B200" s="89" t="str">
        <f>IFERROR(VLOOKUP($A200,EntryList!$A$3:$N$645,2,FALSE),"")</f>
        <v/>
      </c>
      <c r="C200" s="74"/>
      <c r="D200" s="53">
        <f t="shared" si="113"/>
        <v>0</v>
      </c>
      <c r="E200" s="62"/>
      <c r="F200" s="62"/>
      <c r="G200" s="62"/>
      <c r="H200" s="62"/>
      <c r="I200" s="62"/>
      <c r="J200" s="62"/>
      <c r="K200" s="62"/>
      <c r="L200" s="62"/>
      <c r="M200" s="62"/>
      <c r="N200" s="62">
        <f t="shared" si="114"/>
        <v>0</v>
      </c>
      <c r="O200" s="53" t="str">
        <f t="shared" si="105"/>
        <v/>
      </c>
      <c r="P200" s="53" t="str">
        <f t="shared" si="106"/>
        <v/>
      </c>
      <c r="Q200" s="53" t="str">
        <f t="shared" si="107"/>
        <v/>
      </c>
      <c r="R200" s="53" t="str">
        <f t="shared" si="108"/>
        <v/>
      </c>
      <c r="S200" s="53" t="str">
        <f t="shared" si="109"/>
        <v/>
      </c>
      <c r="T200" s="53" t="str">
        <f t="shared" si="110"/>
        <v/>
      </c>
      <c r="U200" s="53" t="str">
        <f t="shared" si="111"/>
        <v/>
      </c>
      <c r="V200" s="53" t="str">
        <f t="shared" si="112"/>
        <v/>
      </c>
      <c r="W200" s="53" t="str">
        <f t="shared" si="115"/>
        <v>DNS/DNF ()</v>
      </c>
      <c r="X200" s="53" t="str">
        <f t="shared" si="116"/>
        <v>DNS/DNF ()</v>
      </c>
      <c r="Y200" s="53" t="str">
        <f t="shared" si="117"/>
        <v>DNS/DNF ()</v>
      </c>
      <c r="Z200" s="53" t="str">
        <f t="shared" si="118"/>
        <v>DNS/DNF ()</v>
      </c>
      <c r="AA200" s="53" t="str">
        <f t="shared" si="119"/>
        <v>DNS/DNF ()</v>
      </c>
      <c r="AB200" s="53" t="str">
        <f t="shared" si="120"/>
        <v>DNS/DNF ()</v>
      </c>
      <c r="AC200" s="53" t="str">
        <f t="shared" si="121"/>
        <v>DNS/DNF ()</v>
      </c>
      <c r="AD200" s="53" t="str">
        <f t="shared" si="122"/>
        <v>DNS/DNF ()</v>
      </c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62" t="str">
        <f t="shared" si="123"/>
        <v>DNS/DNF</v>
      </c>
      <c r="AV200" s="62" t="str">
        <f t="shared" si="124"/>
        <v>DNS/DNF</v>
      </c>
      <c r="AW200" s="62" t="str">
        <f t="shared" si="125"/>
        <v>DNS/DNF</v>
      </c>
      <c r="AX200" s="62" t="str">
        <f t="shared" si="126"/>
        <v>DNS/DNF</v>
      </c>
      <c r="AY200" s="62" t="str">
        <f t="shared" si="127"/>
        <v>DNS/DNF</v>
      </c>
      <c r="AZ200" s="62" t="str">
        <f t="shared" si="128"/>
        <v>DNS/DNF</v>
      </c>
      <c r="BA200" s="62" t="str">
        <f t="shared" si="129"/>
        <v>DNS/DNF</v>
      </c>
      <c r="BB200" s="62" t="str">
        <f t="shared" si="130"/>
        <v>DNS/DNF</v>
      </c>
      <c r="BC200" s="75" t="str">
        <f t="shared" si="131"/>
        <v/>
      </c>
      <c r="BD200" s="53" t="str">
        <f t="shared" si="132"/>
        <v/>
      </c>
      <c r="BE200" s="53" t="str">
        <f t="shared" si="133"/>
        <v/>
      </c>
      <c r="BF200" s="53" t="str">
        <f t="shared" si="134"/>
        <v/>
      </c>
      <c r="BG200" s="53" t="str">
        <f t="shared" si="135"/>
        <v/>
      </c>
      <c r="BH200" s="53" t="str">
        <f t="shared" si="136"/>
        <v/>
      </c>
      <c r="BI200" s="53" t="str">
        <f t="shared" si="137"/>
        <v/>
      </c>
      <c r="BJ200" s="53" t="str">
        <f t="shared" si="138"/>
        <v/>
      </c>
      <c r="BK200" s="53" t="str">
        <f t="shared" si="139"/>
        <v/>
      </c>
    </row>
    <row r="201" spans="1:63">
      <c r="A201" s="53"/>
      <c r="B201" s="89" t="str">
        <f>IFERROR(VLOOKUP($A201,EntryList!$A$3:$N$645,2,FALSE),"")</f>
        <v/>
      </c>
      <c r="C201" s="74"/>
      <c r="D201" s="53">
        <f t="shared" si="113"/>
        <v>0</v>
      </c>
      <c r="E201" s="62"/>
      <c r="F201" s="62"/>
      <c r="G201" s="62"/>
      <c r="H201" s="62"/>
      <c r="I201" s="62"/>
      <c r="J201" s="62"/>
      <c r="K201" s="62"/>
      <c r="L201" s="62"/>
      <c r="M201" s="62"/>
      <c r="N201" s="62">
        <f t="shared" si="114"/>
        <v>0</v>
      </c>
      <c r="O201" s="53" t="str">
        <f t="shared" si="105"/>
        <v/>
      </c>
      <c r="P201" s="53" t="str">
        <f t="shared" si="106"/>
        <v/>
      </c>
      <c r="Q201" s="53" t="str">
        <f t="shared" si="107"/>
        <v/>
      </c>
      <c r="R201" s="53" t="str">
        <f t="shared" si="108"/>
        <v/>
      </c>
      <c r="S201" s="53" t="str">
        <f t="shared" si="109"/>
        <v/>
      </c>
      <c r="T201" s="53" t="str">
        <f t="shared" si="110"/>
        <v/>
      </c>
      <c r="U201" s="53" t="str">
        <f t="shared" si="111"/>
        <v/>
      </c>
      <c r="V201" s="53" t="str">
        <f t="shared" si="112"/>
        <v/>
      </c>
      <c r="W201" s="53" t="str">
        <f t="shared" si="115"/>
        <v>DNS/DNF ()</v>
      </c>
      <c r="X201" s="53" t="str">
        <f t="shared" si="116"/>
        <v>DNS/DNF ()</v>
      </c>
      <c r="Y201" s="53" t="str">
        <f t="shared" si="117"/>
        <v>DNS/DNF ()</v>
      </c>
      <c r="Z201" s="53" t="str">
        <f t="shared" si="118"/>
        <v>DNS/DNF ()</v>
      </c>
      <c r="AA201" s="53" t="str">
        <f t="shared" si="119"/>
        <v>DNS/DNF ()</v>
      </c>
      <c r="AB201" s="53" t="str">
        <f t="shared" si="120"/>
        <v>DNS/DNF ()</v>
      </c>
      <c r="AC201" s="53" t="str">
        <f t="shared" si="121"/>
        <v>DNS/DNF ()</v>
      </c>
      <c r="AD201" s="53" t="str">
        <f t="shared" si="122"/>
        <v>DNS/DNF ()</v>
      </c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62" t="str">
        <f t="shared" si="123"/>
        <v>DNS/DNF</v>
      </c>
      <c r="AV201" s="62" t="str">
        <f t="shared" si="124"/>
        <v>DNS/DNF</v>
      </c>
      <c r="AW201" s="62" t="str">
        <f t="shared" si="125"/>
        <v>DNS/DNF</v>
      </c>
      <c r="AX201" s="62" t="str">
        <f t="shared" si="126"/>
        <v>DNS/DNF</v>
      </c>
      <c r="AY201" s="62" t="str">
        <f t="shared" si="127"/>
        <v>DNS/DNF</v>
      </c>
      <c r="AZ201" s="62" t="str">
        <f t="shared" si="128"/>
        <v>DNS/DNF</v>
      </c>
      <c r="BA201" s="62" t="str">
        <f t="shared" si="129"/>
        <v>DNS/DNF</v>
      </c>
      <c r="BB201" s="62" t="str">
        <f t="shared" si="130"/>
        <v>DNS/DNF</v>
      </c>
      <c r="BC201" s="75" t="str">
        <f t="shared" si="131"/>
        <v/>
      </c>
      <c r="BD201" s="53" t="str">
        <f t="shared" si="132"/>
        <v/>
      </c>
      <c r="BE201" s="53" t="str">
        <f t="shared" si="133"/>
        <v/>
      </c>
      <c r="BF201" s="53" t="str">
        <f t="shared" si="134"/>
        <v/>
      </c>
      <c r="BG201" s="53" t="str">
        <f t="shared" si="135"/>
        <v/>
      </c>
      <c r="BH201" s="53" t="str">
        <f t="shared" si="136"/>
        <v/>
      </c>
      <c r="BI201" s="53" t="str">
        <f t="shared" si="137"/>
        <v/>
      </c>
      <c r="BJ201" s="53" t="str">
        <f t="shared" si="138"/>
        <v/>
      </c>
      <c r="BK201" s="53" t="str">
        <f t="shared" si="139"/>
        <v/>
      </c>
    </row>
    <row r="202" spans="1:63">
      <c r="A202" s="53"/>
      <c r="B202" s="89" t="str">
        <f>IFERROR(VLOOKUP($A202,EntryList!$A$3:$N$645,2,FALSE),"")</f>
        <v/>
      </c>
      <c r="C202" s="74"/>
      <c r="D202" s="53">
        <f t="shared" si="113"/>
        <v>0</v>
      </c>
      <c r="E202" s="62"/>
      <c r="F202" s="62"/>
      <c r="G202" s="62"/>
      <c r="H202" s="62"/>
      <c r="I202" s="62"/>
      <c r="J202" s="62"/>
      <c r="K202" s="62"/>
      <c r="L202" s="62"/>
      <c r="M202" s="62"/>
      <c r="N202" s="62">
        <f t="shared" si="114"/>
        <v>0</v>
      </c>
      <c r="O202" s="53" t="str">
        <f t="shared" si="105"/>
        <v/>
      </c>
      <c r="P202" s="53" t="str">
        <f t="shared" si="106"/>
        <v/>
      </c>
      <c r="Q202" s="53" t="str">
        <f t="shared" si="107"/>
        <v/>
      </c>
      <c r="R202" s="53" t="str">
        <f t="shared" si="108"/>
        <v/>
      </c>
      <c r="S202" s="53" t="str">
        <f t="shared" si="109"/>
        <v/>
      </c>
      <c r="T202" s="53" t="str">
        <f t="shared" si="110"/>
        <v/>
      </c>
      <c r="U202" s="53" t="str">
        <f t="shared" si="111"/>
        <v/>
      </c>
      <c r="V202" s="53" t="str">
        <f t="shared" si="112"/>
        <v/>
      </c>
      <c r="W202" s="53" t="str">
        <f t="shared" si="115"/>
        <v>DNS/DNF ()</v>
      </c>
      <c r="X202" s="53" t="str">
        <f t="shared" si="116"/>
        <v>DNS/DNF ()</v>
      </c>
      <c r="Y202" s="53" t="str">
        <f t="shared" si="117"/>
        <v>DNS/DNF ()</v>
      </c>
      <c r="Z202" s="53" t="str">
        <f t="shared" si="118"/>
        <v>DNS/DNF ()</v>
      </c>
      <c r="AA202" s="53" t="str">
        <f t="shared" si="119"/>
        <v>DNS/DNF ()</v>
      </c>
      <c r="AB202" s="53" t="str">
        <f t="shared" si="120"/>
        <v>DNS/DNF ()</v>
      </c>
      <c r="AC202" s="53" t="str">
        <f t="shared" si="121"/>
        <v>DNS/DNF ()</v>
      </c>
      <c r="AD202" s="53" t="str">
        <f t="shared" si="122"/>
        <v>DNS/DNF ()</v>
      </c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62" t="str">
        <f t="shared" si="123"/>
        <v>DNS/DNF</v>
      </c>
      <c r="AV202" s="62" t="str">
        <f t="shared" si="124"/>
        <v>DNS/DNF</v>
      </c>
      <c r="AW202" s="62" t="str">
        <f t="shared" si="125"/>
        <v>DNS/DNF</v>
      </c>
      <c r="AX202" s="62" t="str">
        <f t="shared" si="126"/>
        <v>DNS/DNF</v>
      </c>
      <c r="AY202" s="62" t="str">
        <f t="shared" si="127"/>
        <v>DNS/DNF</v>
      </c>
      <c r="AZ202" s="62" t="str">
        <f t="shared" si="128"/>
        <v>DNS/DNF</v>
      </c>
      <c r="BA202" s="62" t="str">
        <f t="shared" si="129"/>
        <v>DNS/DNF</v>
      </c>
      <c r="BB202" s="62" t="str">
        <f t="shared" si="130"/>
        <v>DNS/DNF</v>
      </c>
      <c r="BC202" s="75" t="str">
        <f t="shared" si="131"/>
        <v/>
      </c>
      <c r="BD202" s="53" t="str">
        <f t="shared" si="132"/>
        <v/>
      </c>
      <c r="BE202" s="53" t="str">
        <f t="shared" si="133"/>
        <v/>
      </c>
      <c r="BF202" s="53" t="str">
        <f t="shared" si="134"/>
        <v/>
      </c>
      <c r="BG202" s="53" t="str">
        <f t="shared" si="135"/>
        <v/>
      </c>
      <c r="BH202" s="53" t="str">
        <f t="shared" si="136"/>
        <v/>
      </c>
      <c r="BI202" s="53" t="str">
        <f t="shared" si="137"/>
        <v/>
      </c>
      <c r="BJ202" s="53" t="str">
        <f t="shared" si="138"/>
        <v/>
      </c>
      <c r="BK202" s="53" t="str">
        <f t="shared" si="139"/>
        <v/>
      </c>
    </row>
    <row r="203" spans="1:63">
      <c r="A203" s="53"/>
      <c r="B203" s="89" t="str">
        <f>IFERROR(VLOOKUP($A203,EntryList!$A$3:$N$645,2,FALSE),"")</f>
        <v/>
      </c>
      <c r="C203" s="74"/>
      <c r="D203" s="53">
        <f t="shared" si="113"/>
        <v>0</v>
      </c>
      <c r="E203" s="62"/>
      <c r="F203" s="62"/>
      <c r="G203" s="62"/>
      <c r="H203" s="62"/>
      <c r="I203" s="62"/>
      <c r="J203" s="62"/>
      <c r="K203" s="62"/>
      <c r="L203" s="62"/>
      <c r="M203" s="62"/>
      <c r="N203" s="62">
        <f t="shared" si="114"/>
        <v>0</v>
      </c>
      <c r="O203" s="53" t="str">
        <f t="shared" si="105"/>
        <v/>
      </c>
      <c r="P203" s="53" t="str">
        <f t="shared" si="106"/>
        <v/>
      </c>
      <c r="Q203" s="53" t="str">
        <f t="shared" si="107"/>
        <v/>
      </c>
      <c r="R203" s="53" t="str">
        <f t="shared" si="108"/>
        <v/>
      </c>
      <c r="S203" s="53" t="str">
        <f t="shared" si="109"/>
        <v/>
      </c>
      <c r="T203" s="53" t="str">
        <f t="shared" si="110"/>
        <v/>
      </c>
      <c r="U203" s="53" t="str">
        <f t="shared" si="111"/>
        <v/>
      </c>
      <c r="V203" s="53" t="str">
        <f t="shared" si="112"/>
        <v/>
      </c>
      <c r="W203" s="53" t="str">
        <f t="shared" si="115"/>
        <v>DNS/DNF ()</v>
      </c>
      <c r="X203" s="53" t="str">
        <f t="shared" si="116"/>
        <v>DNS/DNF ()</v>
      </c>
      <c r="Y203" s="53" t="str">
        <f t="shared" si="117"/>
        <v>DNS/DNF ()</v>
      </c>
      <c r="Z203" s="53" t="str">
        <f t="shared" si="118"/>
        <v>DNS/DNF ()</v>
      </c>
      <c r="AA203" s="53" t="str">
        <f t="shared" si="119"/>
        <v>DNS/DNF ()</v>
      </c>
      <c r="AB203" s="53" t="str">
        <f t="shared" si="120"/>
        <v>DNS/DNF ()</v>
      </c>
      <c r="AC203" s="53" t="str">
        <f t="shared" si="121"/>
        <v>DNS/DNF ()</v>
      </c>
      <c r="AD203" s="53" t="str">
        <f t="shared" si="122"/>
        <v>DNS/DNF ()</v>
      </c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62" t="str">
        <f t="shared" si="123"/>
        <v>DNS/DNF</v>
      </c>
      <c r="AV203" s="62" t="str">
        <f t="shared" si="124"/>
        <v>DNS/DNF</v>
      </c>
      <c r="AW203" s="62" t="str">
        <f t="shared" si="125"/>
        <v>DNS/DNF</v>
      </c>
      <c r="AX203" s="62" t="str">
        <f t="shared" si="126"/>
        <v>DNS/DNF</v>
      </c>
      <c r="AY203" s="62" t="str">
        <f t="shared" si="127"/>
        <v>DNS/DNF</v>
      </c>
      <c r="AZ203" s="62" t="str">
        <f t="shared" si="128"/>
        <v>DNS/DNF</v>
      </c>
      <c r="BA203" s="62" t="str">
        <f t="shared" si="129"/>
        <v>DNS/DNF</v>
      </c>
      <c r="BB203" s="62" t="str">
        <f t="shared" si="130"/>
        <v>DNS/DNF</v>
      </c>
      <c r="BC203" s="75" t="str">
        <f t="shared" si="131"/>
        <v/>
      </c>
      <c r="BD203" s="53" t="str">
        <f t="shared" si="132"/>
        <v/>
      </c>
      <c r="BE203" s="53" t="str">
        <f t="shared" si="133"/>
        <v/>
      </c>
      <c r="BF203" s="53" t="str">
        <f t="shared" si="134"/>
        <v/>
      </c>
      <c r="BG203" s="53" t="str">
        <f t="shared" si="135"/>
        <v/>
      </c>
      <c r="BH203" s="53" t="str">
        <f t="shared" si="136"/>
        <v/>
      </c>
      <c r="BI203" s="53" t="str">
        <f t="shared" si="137"/>
        <v/>
      </c>
      <c r="BJ203" s="53" t="str">
        <f t="shared" si="138"/>
        <v/>
      </c>
      <c r="BK203" s="53" t="str">
        <f t="shared" si="139"/>
        <v/>
      </c>
    </row>
    <row r="204" spans="1:63">
      <c r="A204" s="53"/>
      <c r="B204" s="89" t="str">
        <f>IFERROR(VLOOKUP($A204,EntryList!$A$3:$N$645,2,FALSE),"")</f>
        <v/>
      </c>
      <c r="C204" s="74"/>
      <c r="D204" s="53">
        <f t="shared" si="113"/>
        <v>0</v>
      </c>
      <c r="E204" s="62"/>
      <c r="F204" s="62"/>
      <c r="G204" s="62"/>
      <c r="H204" s="62"/>
      <c r="I204" s="62"/>
      <c r="J204" s="62"/>
      <c r="K204" s="62"/>
      <c r="L204" s="62"/>
      <c r="M204" s="62"/>
      <c r="N204" s="62">
        <f t="shared" si="114"/>
        <v>0</v>
      </c>
      <c r="O204" s="53" t="str">
        <f t="shared" si="105"/>
        <v/>
      </c>
      <c r="P204" s="53" t="str">
        <f t="shared" si="106"/>
        <v/>
      </c>
      <c r="Q204" s="53" t="str">
        <f t="shared" si="107"/>
        <v/>
      </c>
      <c r="R204" s="53" t="str">
        <f t="shared" si="108"/>
        <v/>
      </c>
      <c r="S204" s="53" t="str">
        <f t="shared" si="109"/>
        <v/>
      </c>
      <c r="T204" s="53" t="str">
        <f t="shared" si="110"/>
        <v/>
      </c>
      <c r="U204" s="53" t="str">
        <f t="shared" si="111"/>
        <v/>
      </c>
      <c r="V204" s="53" t="str">
        <f t="shared" si="112"/>
        <v/>
      </c>
      <c r="W204" s="53" t="str">
        <f t="shared" si="115"/>
        <v>DNS/DNF ()</v>
      </c>
      <c r="X204" s="53" t="str">
        <f t="shared" si="116"/>
        <v>DNS/DNF ()</v>
      </c>
      <c r="Y204" s="53" t="str">
        <f t="shared" si="117"/>
        <v>DNS/DNF ()</v>
      </c>
      <c r="Z204" s="53" t="str">
        <f t="shared" si="118"/>
        <v>DNS/DNF ()</v>
      </c>
      <c r="AA204" s="53" t="str">
        <f t="shared" si="119"/>
        <v>DNS/DNF ()</v>
      </c>
      <c r="AB204" s="53" t="str">
        <f t="shared" si="120"/>
        <v>DNS/DNF ()</v>
      </c>
      <c r="AC204" s="53" t="str">
        <f t="shared" si="121"/>
        <v>DNS/DNF ()</v>
      </c>
      <c r="AD204" s="53" t="str">
        <f t="shared" si="122"/>
        <v>DNS/DNF ()</v>
      </c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62" t="str">
        <f t="shared" si="123"/>
        <v>DNS/DNF</v>
      </c>
      <c r="AV204" s="62" t="str">
        <f t="shared" si="124"/>
        <v>DNS/DNF</v>
      </c>
      <c r="AW204" s="62" t="str">
        <f t="shared" si="125"/>
        <v>DNS/DNF</v>
      </c>
      <c r="AX204" s="62" t="str">
        <f t="shared" si="126"/>
        <v>DNS/DNF</v>
      </c>
      <c r="AY204" s="62" t="str">
        <f t="shared" si="127"/>
        <v>DNS/DNF</v>
      </c>
      <c r="AZ204" s="62" t="str">
        <f t="shared" si="128"/>
        <v>DNS/DNF</v>
      </c>
      <c r="BA204" s="62" t="str">
        <f t="shared" si="129"/>
        <v>DNS/DNF</v>
      </c>
      <c r="BB204" s="62" t="str">
        <f t="shared" si="130"/>
        <v>DNS/DNF</v>
      </c>
      <c r="BC204" s="75" t="str">
        <f t="shared" si="131"/>
        <v/>
      </c>
      <c r="BD204" s="53" t="str">
        <f t="shared" si="132"/>
        <v/>
      </c>
      <c r="BE204" s="53" t="str">
        <f t="shared" si="133"/>
        <v/>
      </c>
      <c r="BF204" s="53" t="str">
        <f t="shared" si="134"/>
        <v/>
      </c>
      <c r="BG204" s="53" t="str">
        <f t="shared" si="135"/>
        <v/>
      </c>
      <c r="BH204" s="53" t="str">
        <f t="shared" si="136"/>
        <v/>
      </c>
      <c r="BI204" s="53" t="str">
        <f t="shared" si="137"/>
        <v/>
      </c>
      <c r="BJ204" s="53" t="str">
        <f t="shared" si="138"/>
        <v/>
      </c>
      <c r="BK204" s="53" t="str">
        <f t="shared" si="139"/>
        <v/>
      </c>
    </row>
    <row r="205" spans="1:63">
      <c r="A205" s="53"/>
      <c r="B205" s="89" t="str">
        <f>IFERROR(VLOOKUP($A205,EntryList!$A$3:$N$645,2,FALSE),"")</f>
        <v/>
      </c>
      <c r="C205" s="74"/>
      <c r="D205" s="53">
        <f t="shared" si="113"/>
        <v>0</v>
      </c>
      <c r="E205" s="62"/>
      <c r="F205" s="62"/>
      <c r="G205" s="62"/>
      <c r="H205" s="62"/>
      <c r="I205" s="62"/>
      <c r="J205" s="62"/>
      <c r="K205" s="62"/>
      <c r="L205" s="62"/>
      <c r="M205" s="62"/>
      <c r="N205" s="62">
        <f t="shared" si="114"/>
        <v>0</v>
      </c>
      <c r="O205" s="53" t="str">
        <f t="shared" si="105"/>
        <v/>
      </c>
      <c r="P205" s="53" t="str">
        <f t="shared" si="106"/>
        <v/>
      </c>
      <c r="Q205" s="53" t="str">
        <f t="shared" si="107"/>
        <v/>
      </c>
      <c r="R205" s="53" t="str">
        <f t="shared" si="108"/>
        <v/>
      </c>
      <c r="S205" s="53" t="str">
        <f t="shared" si="109"/>
        <v/>
      </c>
      <c r="T205" s="53" t="str">
        <f t="shared" si="110"/>
        <v/>
      </c>
      <c r="U205" s="53" t="str">
        <f t="shared" si="111"/>
        <v/>
      </c>
      <c r="V205" s="53" t="str">
        <f t="shared" si="112"/>
        <v/>
      </c>
      <c r="W205" s="53" t="str">
        <f t="shared" si="115"/>
        <v>DNS/DNF ()</v>
      </c>
      <c r="X205" s="53" t="str">
        <f t="shared" si="116"/>
        <v>DNS/DNF ()</v>
      </c>
      <c r="Y205" s="53" t="str">
        <f t="shared" si="117"/>
        <v>DNS/DNF ()</v>
      </c>
      <c r="Z205" s="53" t="str">
        <f t="shared" si="118"/>
        <v>DNS/DNF ()</v>
      </c>
      <c r="AA205" s="53" t="str">
        <f t="shared" si="119"/>
        <v>DNS/DNF ()</v>
      </c>
      <c r="AB205" s="53" t="str">
        <f t="shared" si="120"/>
        <v>DNS/DNF ()</v>
      </c>
      <c r="AC205" s="53" t="str">
        <f t="shared" si="121"/>
        <v>DNS/DNF ()</v>
      </c>
      <c r="AD205" s="53" t="str">
        <f t="shared" si="122"/>
        <v>DNS/DNF ()</v>
      </c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62" t="str">
        <f t="shared" si="123"/>
        <v>DNS/DNF</v>
      </c>
      <c r="AV205" s="62" t="str">
        <f t="shared" si="124"/>
        <v>DNS/DNF</v>
      </c>
      <c r="AW205" s="62" t="str">
        <f t="shared" si="125"/>
        <v>DNS/DNF</v>
      </c>
      <c r="AX205" s="62" t="str">
        <f t="shared" si="126"/>
        <v>DNS/DNF</v>
      </c>
      <c r="AY205" s="62" t="str">
        <f t="shared" si="127"/>
        <v>DNS/DNF</v>
      </c>
      <c r="AZ205" s="62" t="str">
        <f t="shared" si="128"/>
        <v>DNS/DNF</v>
      </c>
      <c r="BA205" s="62" t="str">
        <f t="shared" si="129"/>
        <v>DNS/DNF</v>
      </c>
      <c r="BB205" s="62" t="str">
        <f t="shared" si="130"/>
        <v>DNS/DNF</v>
      </c>
      <c r="BC205" s="75" t="str">
        <f t="shared" si="131"/>
        <v/>
      </c>
      <c r="BD205" s="53" t="str">
        <f t="shared" si="132"/>
        <v/>
      </c>
      <c r="BE205" s="53" t="str">
        <f t="shared" si="133"/>
        <v/>
      </c>
      <c r="BF205" s="53" t="str">
        <f t="shared" si="134"/>
        <v/>
      </c>
      <c r="BG205" s="53" t="str">
        <f t="shared" si="135"/>
        <v/>
      </c>
      <c r="BH205" s="53" t="str">
        <f t="shared" si="136"/>
        <v/>
      </c>
      <c r="BI205" s="53" t="str">
        <f t="shared" si="137"/>
        <v/>
      </c>
      <c r="BJ205" s="53" t="str">
        <f t="shared" si="138"/>
        <v/>
      </c>
      <c r="BK205" s="53" t="str">
        <f t="shared" si="139"/>
        <v/>
      </c>
    </row>
    <row r="206" spans="1:63">
      <c r="A206" s="53"/>
      <c r="B206" s="89" t="str">
        <f>IFERROR(VLOOKUP($A206,EntryList!$A$3:$N$645,2,FALSE),"")</f>
        <v/>
      </c>
      <c r="C206" s="74"/>
      <c r="D206" s="53">
        <f t="shared" si="113"/>
        <v>0</v>
      </c>
      <c r="E206" s="62"/>
      <c r="F206" s="62"/>
      <c r="G206" s="62"/>
      <c r="H206" s="62"/>
      <c r="I206" s="62"/>
      <c r="J206" s="62"/>
      <c r="K206" s="62"/>
      <c r="L206" s="62"/>
      <c r="M206" s="62"/>
      <c r="N206" s="62">
        <f t="shared" si="114"/>
        <v>0</v>
      </c>
      <c r="O206" s="53" t="str">
        <f t="shared" si="105"/>
        <v/>
      </c>
      <c r="P206" s="53" t="str">
        <f t="shared" si="106"/>
        <v/>
      </c>
      <c r="Q206" s="53" t="str">
        <f t="shared" si="107"/>
        <v/>
      </c>
      <c r="R206" s="53" t="str">
        <f t="shared" si="108"/>
        <v/>
      </c>
      <c r="S206" s="53" t="str">
        <f t="shared" si="109"/>
        <v/>
      </c>
      <c r="T206" s="53" t="str">
        <f t="shared" si="110"/>
        <v/>
      </c>
      <c r="U206" s="53" t="str">
        <f t="shared" si="111"/>
        <v/>
      </c>
      <c r="V206" s="53" t="str">
        <f t="shared" si="112"/>
        <v/>
      </c>
      <c r="W206" s="53" t="str">
        <f t="shared" si="115"/>
        <v>DNS/DNF ()</v>
      </c>
      <c r="X206" s="53" t="str">
        <f t="shared" si="116"/>
        <v>DNS/DNF ()</v>
      </c>
      <c r="Y206" s="53" t="str">
        <f t="shared" si="117"/>
        <v>DNS/DNF ()</v>
      </c>
      <c r="Z206" s="53" t="str">
        <f t="shared" si="118"/>
        <v>DNS/DNF ()</v>
      </c>
      <c r="AA206" s="53" t="str">
        <f t="shared" si="119"/>
        <v>DNS/DNF ()</v>
      </c>
      <c r="AB206" s="53" t="str">
        <f t="shared" si="120"/>
        <v>DNS/DNF ()</v>
      </c>
      <c r="AC206" s="53" t="str">
        <f t="shared" si="121"/>
        <v>DNS/DNF ()</v>
      </c>
      <c r="AD206" s="53" t="str">
        <f t="shared" si="122"/>
        <v>DNS/DNF ()</v>
      </c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62" t="str">
        <f t="shared" si="123"/>
        <v>DNS/DNF</v>
      </c>
      <c r="AV206" s="62" t="str">
        <f t="shared" si="124"/>
        <v>DNS/DNF</v>
      </c>
      <c r="AW206" s="62" t="str">
        <f t="shared" si="125"/>
        <v>DNS/DNF</v>
      </c>
      <c r="AX206" s="62" t="str">
        <f t="shared" si="126"/>
        <v>DNS/DNF</v>
      </c>
      <c r="AY206" s="62" t="str">
        <f t="shared" si="127"/>
        <v>DNS/DNF</v>
      </c>
      <c r="AZ206" s="62" t="str">
        <f t="shared" si="128"/>
        <v>DNS/DNF</v>
      </c>
      <c r="BA206" s="62" t="str">
        <f t="shared" si="129"/>
        <v>DNS/DNF</v>
      </c>
      <c r="BB206" s="62" t="str">
        <f t="shared" si="130"/>
        <v>DNS/DNF</v>
      </c>
      <c r="BC206" s="75" t="str">
        <f t="shared" si="131"/>
        <v/>
      </c>
      <c r="BD206" s="53" t="str">
        <f t="shared" si="132"/>
        <v/>
      </c>
      <c r="BE206" s="53" t="str">
        <f t="shared" si="133"/>
        <v/>
      </c>
      <c r="BF206" s="53" t="str">
        <f t="shared" si="134"/>
        <v/>
      </c>
      <c r="BG206" s="53" t="str">
        <f t="shared" si="135"/>
        <v/>
      </c>
      <c r="BH206" s="53" t="str">
        <f t="shared" si="136"/>
        <v/>
      </c>
      <c r="BI206" s="53" t="str">
        <f t="shared" si="137"/>
        <v/>
      </c>
      <c r="BJ206" s="53" t="str">
        <f t="shared" si="138"/>
        <v/>
      </c>
      <c r="BK206" s="53" t="str">
        <f t="shared" si="139"/>
        <v/>
      </c>
    </row>
    <row r="207" spans="1:63">
      <c r="A207" s="53"/>
      <c r="B207" s="89" t="str">
        <f>IFERROR(VLOOKUP($A207,EntryList!$A$3:$N$645,2,FALSE),"")</f>
        <v/>
      </c>
      <c r="C207" s="74"/>
      <c r="D207" s="53">
        <f t="shared" si="113"/>
        <v>0</v>
      </c>
      <c r="E207" s="62"/>
      <c r="F207" s="62"/>
      <c r="G207" s="62"/>
      <c r="H207" s="62"/>
      <c r="I207" s="62"/>
      <c r="J207" s="62"/>
      <c r="K207" s="62"/>
      <c r="L207" s="62"/>
      <c r="M207" s="62"/>
      <c r="N207" s="62">
        <f t="shared" si="114"/>
        <v>0</v>
      </c>
      <c r="O207" s="53" t="str">
        <f t="shared" si="105"/>
        <v/>
      </c>
      <c r="P207" s="53" t="str">
        <f t="shared" si="106"/>
        <v/>
      </c>
      <c r="Q207" s="53" t="str">
        <f t="shared" si="107"/>
        <v/>
      </c>
      <c r="R207" s="53" t="str">
        <f t="shared" si="108"/>
        <v/>
      </c>
      <c r="S207" s="53" t="str">
        <f t="shared" si="109"/>
        <v/>
      </c>
      <c r="T207" s="53" t="str">
        <f t="shared" si="110"/>
        <v/>
      </c>
      <c r="U207" s="53" t="str">
        <f t="shared" si="111"/>
        <v/>
      </c>
      <c r="V207" s="53" t="str">
        <f t="shared" si="112"/>
        <v/>
      </c>
      <c r="W207" s="53" t="str">
        <f t="shared" si="115"/>
        <v>DNS/DNF ()</v>
      </c>
      <c r="X207" s="53" t="str">
        <f t="shared" si="116"/>
        <v>DNS/DNF ()</v>
      </c>
      <c r="Y207" s="53" t="str">
        <f t="shared" si="117"/>
        <v>DNS/DNF ()</v>
      </c>
      <c r="Z207" s="53" t="str">
        <f t="shared" si="118"/>
        <v>DNS/DNF ()</v>
      </c>
      <c r="AA207" s="53" t="str">
        <f t="shared" si="119"/>
        <v>DNS/DNF ()</v>
      </c>
      <c r="AB207" s="53" t="str">
        <f t="shared" si="120"/>
        <v>DNS/DNF ()</v>
      </c>
      <c r="AC207" s="53" t="str">
        <f t="shared" si="121"/>
        <v>DNS/DNF ()</v>
      </c>
      <c r="AD207" s="53" t="str">
        <f t="shared" si="122"/>
        <v>DNS/DNF ()</v>
      </c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62" t="str">
        <f t="shared" si="123"/>
        <v>DNS/DNF</v>
      </c>
      <c r="AV207" s="62" t="str">
        <f t="shared" si="124"/>
        <v>DNS/DNF</v>
      </c>
      <c r="AW207" s="62" t="str">
        <f t="shared" si="125"/>
        <v>DNS/DNF</v>
      </c>
      <c r="AX207" s="62" t="str">
        <f t="shared" si="126"/>
        <v>DNS/DNF</v>
      </c>
      <c r="AY207" s="62" t="str">
        <f t="shared" si="127"/>
        <v>DNS/DNF</v>
      </c>
      <c r="AZ207" s="62" t="str">
        <f t="shared" si="128"/>
        <v>DNS/DNF</v>
      </c>
      <c r="BA207" s="62" t="str">
        <f t="shared" si="129"/>
        <v>DNS/DNF</v>
      </c>
      <c r="BB207" s="62" t="str">
        <f t="shared" si="130"/>
        <v>DNS/DNF</v>
      </c>
      <c r="BC207" s="75" t="str">
        <f t="shared" si="131"/>
        <v/>
      </c>
      <c r="BD207" s="53" t="str">
        <f t="shared" si="132"/>
        <v/>
      </c>
      <c r="BE207" s="53" t="str">
        <f t="shared" si="133"/>
        <v/>
      </c>
      <c r="BF207" s="53" t="str">
        <f t="shared" si="134"/>
        <v/>
      </c>
      <c r="BG207" s="53" t="str">
        <f t="shared" si="135"/>
        <v/>
      </c>
      <c r="BH207" s="53" t="str">
        <f t="shared" si="136"/>
        <v/>
      </c>
      <c r="BI207" s="53" t="str">
        <f t="shared" si="137"/>
        <v/>
      </c>
      <c r="BJ207" s="53" t="str">
        <f t="shared" si="138"/>
        <v/>
      </c>
      <c r="BK207" s="53" t="str">
        <f t="shared" si="139"/>
        <v/>
      </c>
    </row>
    <row r="208" spans="1:63">
      <c r="A208" s="53"/>
      <c r="B208" s="89" t="str">
        <f>IFERROR(VLOOKUP($A208,EntryList!$A$3:$N$645,2,FALSE),"")</f>
        <v/>
      </c>
      <c r="C208" s="74"/>
      <c r="D208" s="53">
        <f t="shared" si="113"/>
        <v>0</v>
      </c>
      <c r="E208" s="62"/>
      <c r="F208" s="62"/>
      <c r="G208" s="62"/>
      <c r="H208" s="62"/>
      <c r="I208" s="62"/>
      <c r="J208" s="62"/>
      <c r="K208" s="62"/>
      <c r="L208" s="62"/>
      <c r="M208" s="62"/>
      <c r="N208" s="62">
        <f t="shared" si="114"/>
        <v>0</v>
      </c>
      <c r="O208" s="53" t="str">
        <f t="shared" si="105"/>
        <v/>
      </c>
      <c r="P208" s="53" t="str">
        <f t="shared" si="106"/>
        <v/>
      </c>
      <c r="Q208" s="53" t="str">
        <f t="shared" si="107"/>
        <v/>
      </c>
      <c r="R208" s="53" t="str">
        <f t="shared" si="108"/>
        <v/>
      </c>
      <c r="S208" s="53" t="str">
        <f t="shared" si="109"/>
        <v/>
      </c>
      <c r="T208" s="53" t="str">
        <f t="shared" si="110"/>
        <v/>
      </c>
      <c r="U208" s="53" t="str">
        <f t="shared" si="111"/>
        <v/>
      </c>
      <c r="V208" s="53" t="str">
        <f t="shared" si="112"/>
        <v/>
      </c>
      <c r="W208" s="53" t="str">
        <f t="shared" si="115"/>
        <v>DNS/DNF ()</v>
      </c>
      <c r="X208" s="53" t="str">
        <f t="shared" si="116"/>
        <v>DNS/DNF ()</v>
      </c>
      <c r="Y208" s="53" t="str">
        <f t="shared" si="117"/>
        <v>DNS/DNF ()</v>
      </c>
      <c r="Z208" s="53" t="str">
        <f t="shared" si="118"/>
        <v>DNS/DNF ()</v>
      </c>
      <c r="AA208" s="53" t="str">
        <f t="shared" si="119"/>
        <v>DNS/DNF ()</v>
      </c>
      <c r="AB208" s="53" t="str">
        <f t="shared" si="120"/>
        <v>DNS/DNF ()</v>
      </c>
      <c r="AC208" s="53" t="str">
        <f t="shared" si="121"/>
        <v>DNS/DNF ()</v>
      </c>
      <c r="AD208" s="53" t="str">
        <f t="shared" si="122"/>
        <v>DNS/DNF ()</v>
      </c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62" t="str">
        <f t="shared" si="123"/>
        <v>DNS/DNF</v>
      </c>
      <c r="AV208" s="62" t="str">
        <f t="shared" si="124"/>
        <v>DNS/DNF</v>
      </c>
      <c r="AW208" s="62" t="str">
        <f t="shared" si="125"/>
        <v>DNS/DNF</v>
      </c>
      <c r="AX208" s="62" t="str">
        <f t="shared" si="126"/>
        <v>DNS/DNF</v>
      </c>
      <c r="AY208" s="62" t="str">
        <f t="shared" si="127"/>
        <v>DNS/DNF</v>
      </c>
      <c r="AZ208" s="62" t="str">
        <f t="shared" si="128"/>
        <v>DNS/DNF</v>
      </c>
      <c r="BA208" s="62" t="str">
        <f t="shared" si="129"/>
        <v>DNS/DNF</v>
      </c>
      <c r="BB208" s="62" t="str">
        <f t="shared" si="130"/>
        <v>DNS/DNF</v>
      </c>
      <c r="BC208" s="75" t="str">
        <f t="shared" si="131"/>
        <v/>
      </c>
      <c r="BD208" s="53" t="str">
        <f t="shared" si="132"/>
        <v/>
      </c>
      <c r="BE208" s="53" t="str">
        <f t="shared" si="133"/>
        <v/>
      </c>
      <c r="BF208" s="53" t="str">
        <f t="shared" si="134"/>
        <v/>
      </c>
      <c r="BG208" s="53" t="str">
        <f t="shared" si="135"/>
        <v/>
      </c>
      <c r="BH208" s="53" t="str">
        <f t="shared" si="136"/>
        <v/>
      </c>
      <c r="BI208" s="53" t="str">
        <f t="shared" si="137"/>
        <v/>
      </c>
      <c r="BJ208" s="53" t="str">
        <f t="shared" si="138"/>
        <v/>
      </c>
      <c r="BK208" s="53" t="str">
        <f t="shared" si="139"/>
        <v/>
      </c>
    </row>
    <row r="209" spans="1:63">
      <c r="A209" s="53"/>
      <c r="B209" s="89" t="str">
        <f>IFERROR(VLOOKUP($A209,EntryList!$A$3:$N$645,2,FALSE),"")</f>
        <v/>
      </c>
      <c r="C209" s="74"/>
      <c r="D209" s="53">
        <f t="shared" si="113"/>
        <v>0</v>
      </c>
      <c r="E209" s="62"/>
      <c r="F209" s="62"/>
      <c r="G209" s="62"/>
      <c r="H209" s="62"/>
      <c r="I209" s="62"/>
      <c r="J209" s="62"/>
      <c r="K209" s="62"/>
      <c r="L209" s="62"/>
      <c r="M209" s="62"/>
      <c r="N209" s="62">
        <f t="shared" si="114"/>
        <v>0</v>
      </c>
      <c r="O209" s="53" t="str">
        <f t="shared" si="105"/>
        <v/>
      </c>
      <c r="P209" s="53" t="str">
        <f t="shared" si="106"/>
        <v/>
      </c>
      <c r="Q209" s="53" t="str">
        <f t="shared" si="107"/>
        <v/>
      </c>
      <c r="R209" s="53" t="str">
        <f t="shared" si="108"/>
        <v/>
      </c>
      <c r="S209" s="53" t="str">
        <f t="shared" si="109"/>
        <v/>
      </c>
      <c r="T209" s="53" t="str">
        <f t="shared" si="110"/>
        <v/>
      </c>
      <c r="U209" s="53" t="str">
        <f t="shared" si="111"/>
        <v/>
      </c>
      <c r="V209" s="53" t="str">
        <f t="shared" si="112"/>
        <v/>
      </c>
      <c r="W209" s="53" t="str">
        <f t="shared" si="115"/>
        <v>DNS/DNF ()</v>
      </c>
      <c r="X209" s="53" t="str">
        <f t="shared" si="116"/>
        <v>DNS/DNF ()</v>
      </c>
      <c r="Y209" s="53" t="str">
        <f t="shared" si="117"/>
        <v>DNS/DNF ()</v>
      </c>
      <c r="Z209" s="53" t="str">
        <f t="shared" si="118"/>
        <v>DNS/DNF ()</v>
      </c>
      <c r="AA209" s="53" t="str">
        <f t="shared" si="119"/>
        <v>DNS/DNF ()</v>
      </c>
      <c r="AB209" s="53" t="str">
        <f t="shared" si="120"/>
        <v>DNS/DNF ()</v>
      </c>
      <c r="AC209" s="53" t="str">
        <f t="shared" si="121"/>
        <v>DNS/DNF ()</v>
      </c>
      <c r="AD209" s="53" t="str">
        <f t="shared" si="122"/>
        <v>DNS/DNF ()</v>
      </c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62" t="str">
        <f t="shared" si="123"/>
        <v>DNS/DNF</v>
      </c>
      <c r="AV209" s="62" t="str">
        <f t="shared" si="124"/>
        <v>DNS/DNF</v>
      </c>
      <c r="AW209" s="62" t="str">
        <f t="shared" si="125"/>
        <v>DNS/DNF</v>
      </c>
      <c r="AX209" s="62" t="str">
        <f t="shared" si="126"/>
        <v>DNS/DNF</v>
      </c>
      <c r="AY209" s="62" t="str">
        <f t="shared" si="127"/>
        <v>DNS/DNF</v>
      </c>
      <c r="AZ209" s="62" t="str">
        <f t="shared" si="128"/>
        <v>DNS/DNF</v>
      </c>
      <c r="BA209" s="62" t="str">
        <f t="shared" si="129"/>
        <v>DNS/DNF</v>
      </c>
      <c r="BB209" s="62" t="str">
        <f t="shared" si="130"/>
        <v>DNS/DNF</v>
      </c>
      <c r="BC209" s="75" t="str">
        <f t="shared" si="131"/>
        <v/>
      </c>
      <c r="BD209" s="53" t="str">
        <f t="shared" si="132"/>
        <v/>
      </c>
      <c r="BE209" s="53" t="str">
        <f t="shared" si="133"/>
        <v/>
      </c>
      <c r="BF209" s="53" t="str">
        <f t="shared" si="134"/>
        <v/>
      </c>
      <c r="BG209" s="53" t="str">
        <f t="shared" si="135"/>
        <v/>
      </c>
      <c r="BH209" s="53" t="str">
        <f t="shared" si="136"/>
        <v/>
      </c>
      <c r="BI209" s="53" t="str">
        <f t="shared" si="137"/>
        <v/>
      </c>
      <c r="BJ209" s="53" t="str">
        <f t="shared" si="138"/>
        <v/>
      </c>
      <c r="BK209" s="53" t="str">
        <f t="shared" si="139"/>
        <v/>
      </c>
    </row>
    <row r="210" spans="1:63">
      <c r="A210" s="53"/>
      <c r="B210" s="89" t="str">
        <f>IFERROR(VLOOKUP($A210,EntryList!$A$3:$N$645,2,FALSE),"")</f>
        <v/>
      </c>
      <c r="C210" s="74"/>
      <c r="D210" s="53">
        <f t="shared" si="113"/>
        <v>0</v>
      </c>
      <c r="E210" s="62"/>
      <c r="F210" s="62"/>
      <c r="G210" s="62"/>
      <c r="H210" s="62"/>
      <c r="I210" s="62"/>
      <c r="J210" s="62"/>
      <c r="K210" s="62"/>
      <c r="L210" s="62"/>
      <c r="M210" s="62"/>
      <c r="N210" s="62">
        <f t="shared" si="114"/>
        <v>0</v>
      </c>
      <c r="O210" s="53" t="str">
        <f t="shared" ref="O210:O273" si="140">IFERROR(RANK($AU210,AU$3:AU$500,1),"")</f>
        <v/>
      </c>
      <c r="P210" s="53" t="str">
        <f t="shared" ref="P210:P273" si="141">IFERROR(RANK($AV210,AV$3:AV$500,1),"")</f>
        <v/>
      </c>
      <c r="Q210" s="53" t="str">
        <f t="shared" ref="Q210:Q273" si="142">IFERROR(RANK($AW210,AW$3:AW$500,1),"")</f>
        <v/>
      </c>
      <c r="R210" s="53" t="str">
        <f t="shared" ref="R210:R273" si="143">IFERROR(RANK($AX210,AX$3:AX$500,1),"")</f>
        <v/>
      </c>
      <c r="S210" s="53" t="str">
        <f t="shared" ref="S210:S273" si="144">IFERROR(RANK($AY210,AY$3:AY$500,1),"")</f>
        <v/>
      </c>
      <c r="T210" s="53" t="str">
        <f t="shared" ref="T210:T273" si="145">IFERROR(RANK($AZ210,AZ$3:AZ$500,1),"")</f>
        <v/>
      </c>
      <c r="U210" s="53" t="str">
        <f t="shared" ref="U210:U273" si="146">IFERROR(RANK($BA210,BA$3:BA$500,1),"")</f>
        <v/>
      </c>
      <c r="V210" s="53" t="str">
        <f t="shared" ref="V210:V273" si="147">IFERROR(RANK($BB210,BB$3:BB$500,1),"")</f>
        <v/>
      </c>
      <c r="W210" s="53" t="str">
        <f t="shared" si="115"/>
        <v>DNS/DNF ()</v>
      </c>
      <c r="X210" s="53" t="str">
        <f t="shared" si="116"/>
        <v>DNS/DNF ()</v>
      </c>
      <c r="Y210" s="53" t="str">
        <f t="shared" si="117"/>
        <v>DNS/DNF ()</v>
      </c>
      <c r="Z210" s="53" t="str">
        <f t="shared" si="118"/>
        <v>DNS/DNF ()</v>
      </c>
      <c r="AA210" s="53" t="str">
        <f t="shared" si="119"/>
        <v>DNS/DNF ()</v>
      </c>
      <c r="AB210" s="53" t="str">
        <f t="shared" si="120"/>
        <v>DNS/DNF ()</v>
      </c>
      <c r="AC210" s="53" t="str">
        <f t="shared" si="121"/>
        <v>DNS/DNF ()</v>
      </c>
      <c r="AD210" s="53" t="str">
        <f t="shared" si="122"/>
        <v>DNS/DNF ()</v>
      </c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62" t="str">
        <f t="shared" si="123"/>
        <v>DNS/DNF</v>
      </c>
      <c r="AV210" s="62" t="str">
        <f t="shared" si="124"/>
        <v>DNS/DNF</v>
      </c>
      <c r="AW210" s="62" t="str">
        <f t="shared" si="125"/>
        <v>DNS/DNF</v>
      </c>
      <c r="AX210" s="62" t="str">
        <f t="shared" si="126"/>
        <v>DNS/DNF</v>
      </c>
      <c r="AY210" s="62" t="str">
        <f t="shared" si="127"/>
        <v>DNS/DNF</v>
      </c>
      <c r="AZ210" s="62" t="str">
        <f t="shared" si="128"/>
        <v>DNS/DNF</v>
      </c>
      <c r="BA210" s="62" t="str">
        <f t="shared" si="129"/>
        <v>DNS/DNF</v>
      </c>
      <c r="BB210" s="62" t="str">
        <f t="shared" si="130"/>
        <v>DNS/DNF</v>
      </c>
      <c r="BC210" s="75" t="str">
        <f t="shared" si="131"/>
        <v/>
      </c>
      <c r="BD210" s="53" t="str">
        <f t="shared" si="132"/>
        <v/>
      </c>
      <c r="BE210" s="53" t="str">
        <f t="shared" si="133"/>
        <v/>
      </c>
      <c r="BF210" s="53" t="str">
        <f t="shared" si="134"/>
        <v/>
      </c>
      <c r="BG210" s="53" t="str">
        <f t="shared" si="135"/>
        <v/>
      </c>
      <c r="BH210" s="53" t="str">
        <f t="shared" si="136"/>
        <v/>
      </c>
      <c r="BI210" s="53" t="str">
        <f t="shared" si="137"/>
        <v/>
      </c>
      <c r="BJ210" s="53" t="str">
        <f t="shared" si="138"/>
        <v/>
      </c>
      <c r="BK210" s="53" t="str">
        <f t="shared" si="139"/>
        <v/>
      </c>
    </row>
    <row r="211" spans="1:63">
      <c r="A211" s="53"/>
      <c r="B211" s="89" t="str">
        <f>IFERROR(VLOOKUP($A211,EntryList!$A$3:$N$645,2,FALSE),"")</f>
        <v/>
      </c>
      <c r="C211" s="74"/>
      <c r="D211" s="53">
        <f t="shared" si="113"/>
        <v>0</v>
      </c>
      <c r="E211" s="62"/>
      <c r="F211" s="62"/>
      <c r="G211" s="62"/>
      <c r="H211" s="62"/>
      <c r="I211" s="62"/>
      <c r="J211" s="62"/>
      <c r="K211" s="62"/>
      <c r="L211" s="62"/>
      <c r="M211" s="62"/>
      <c r="N211" s="62">
        <f t="shared" si="114"/>
        <v>0</v>
      </c>
      <c r="O211" s="53" t="str">
        <f t="shared" si="140"/>
        <v/>
      </c>
      <c r="P211" s="53" t="str">
        <f t="shared" si="141"/>
        <v/>
      </c>
      <c r="Q211" s="53" t="str">
        <f t="shared" si="142"/>
        <v/>
      </c>
      <c r="R211" s="53" t="str">
        <f t="shared" si="143"/>
        <v/>
      </c>
      <c r="S211" s="53" t="str">
        <f t="shared" si="144"/>
        <v/>
      </c>
      <c r="T211" s="53" t="str">
        <f t="shared" si="145"/>
        <v/>
      </c>
      <c r="U211" s="53" t="str">
        <f t="shared" si="146"/>
        <v/>
      </c>
      <c r="V211" s="53" t="str">
        <f t="shared" si="147"/>
        <v/>
      </c>
      <c r="W211" s="53" t="str">
        <f t="shared" si="115"/>
        <v>DNS/DNF ()</v>
      </c>
      <c r="X211" s="53" t="str">
        <f t="shared" si="116"/>
        <v>DNS/DNF ()</v>
      </c>
      <c r="Y211" s="53" t="str">
        <f t="shared" si="117"/>
        <v>DNS/DNF ()</v>
      </c>
      <c r="Z211" s="53" t="str">
        <f t="shared" si="118"/>
        <v>DNS/DNF ()</v>
      </c>
      <c r="AA211" s="53" t="str">
        <f t="shared" si="119"/>
        <v>DNS/DNF ()</v>
      </c>
      <c r="AB211" s="53" t="str">
        <f t="shared" si="120"/>
        <v>DNS/DNF ()</v>
      </c>
      <c r="AC211" s="53" t="str">
        <f t="shared" si="121"/>
        <v>DNS/DNF ()</v>
      </c>
      <c r="AD211" s="53" t="str">
        <f t="shared" si="122"/>
        <v>DNS/DNF ()</v>
      </c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62" t="str">
        <f t="shared" si="123"/>
        <v>DNS/DNF</v>
      </c>
      <c r="AV211" s="62" t="str">
        <f t="shared" si="124"/>
        <v>DNS/DNF</v>
      </c>
      <c r="AW211" s="62" t="str">
        <f t="shared" si="125"/>
        <v>DNS/DNF</v>
      </c>
      <c r="AX211" s="62" t="str">
        <f t="shared" si="126"/>
        <v>DNS/DNF</v>
      </c>
      <c r="AY211" s="62" t="str">
        <f t="shared" si="127"/>
        <v>DNS/DNF</v>
      </c>
      <c r="AZ211" s="62" t="str">
        <f t="shared" si="128"/>
        <v>DNS/DNF</v>
      </c>
      <c r="BA211" s="62" t="str">
        <f t="shared" si="129"/>
        <v>DNS/DNF</v>
      </c>
      <c r="BB211" s="62" t="str">
        <f t="shared" si="130"/>
        <v>DNS/DNF</v>
      </c>
      <c r="BC211" s="75" t="str">
        <f t="shared" si="131"/>
        <v/>
      </c>
      <c r="BD211" s="53" t="str">
        <f t="shared" si="132"/>
        <v/>
      </c>
      <c r="BE211" s="53" t="str">
        <f t="shared" si="133"/>
        <v/>
      </c>
      <c r="BF211" s="53" t="str">
        <f t="shared" si="134"/>
        <v/>
      </c>
      <c r="BG211" s="53" t="str">
        <f t="shared" si="135"/>
        <v/>
      </c>
      <c r="BH211" s="53" t="str">
        <f t="shared" si="136"/>
        <v/>
      </c>
      <c r="BI211" s="53" t="str">
        <f t="shared" si="137"/>
        <v/>
      </c>
      <c r="BJ211" s="53" t="str">
        <f t="shared" si="138"/>
        <v/>
      </c>
      <c r="BK211" s="53" t="str">
        <f t="shared" si="139"/>
        <v/>
      </c>
    </row>
    <row r="212" spans="1:63">
      <c r="A212" s="53"/>
      <c r="B212" s="89" t="str">
        <f>IFERROR(VLOOKUP($A212,EntryList!$A$3:$N$645,2,FALSE),"")</f>
        <v/>
      </c>
      <c r="C212" s="74"/>
      <c r="D212" s="53">
        <f t="shared" si="113"/>
        <v>0</v>
      </c>
      <c r="E212" s="62"/>
      <c r="F212" s="62"/>
      <c r="G212" s="62"/>
      <c r="H212" s="62"/>
      <c r="I212" s="62"/>
      <c r="J212" s="62"/>
      <c r="K212" s="62"/>
      <c r="L212" s="62"/>
      <c r="M212" s="62"/>
      <c r="N212" s="62">
        <f t="shared" si="114"/>
        <v>0</v>
      </c>
      <c r="O212" s="53" t="str">
        <f t="shared" si="140"/>
        <v/>
      </c>
      <c r="P212" s="53" t="str">
        <f t="shared" si="141"/>
        <v/>
      </c>
      <c r="Q212" s="53" t="str">
        <f t="shared" si="142"/>
        <v/>
      </c>
      <c r="R212" s="53" t="str">
        <f t="shared" si="143"/>
        <v/>
      </c>
      <c r="S212" s="53" t="str">
        <f t="shared" si="144"/>
        <v/>
      </c>
      <c r="T212" s="53" t="str">
        <f t="shared" si="145"/>
        <v/>
      </c>
      <c r="U212" s="53" t="str">
        <f t="shared" si="146"/>
        <v/>
      </c>
      <c r="V212" s="53" t="str">
        <f t="shared" si="147"/>
        <v/>
      </c>
      <c r="W212" s="53" t="str">
        <f t="shared" si="115"/>
        <v>DNS/DNF ()</v>
      </c>
      <c r="X212" s="53" t="str">
        <f t="shared" si="116"/>
        <v>DNS/DNF ()</v>
      </c>
      <c r="Y212" s="53" t="str">
        <f t="shared" si="117"/>
        <v>DNS/DNF ()</v>
      </c>
      <c r="Z212" s="53" t="str">
        <f t="shared" si="118"/>
        <v>DNS/DNF ()</v>
      </c>
      <c r="AA212" s="53" t="str">
        <f t="shared" si="119"/>
        <v>DNS/DNF ()</v>
      </c>
      <c r="AB212" s="53" t="str">
        <f t="shared" si="120"/>
        <v>DNS/DNF ()</v>
      </c>
      <c r="AC212" s="53" t="str">
        <f t="shared" si="121"/>
        <v>DNS/DNF ()</v>
      </c>
      <c r="AD212" s="53" t="str">
        <f t="shared" si="122"/>
        <v>DNS/DNF ()</v>
      </c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62" t="str">
        <f t="shared" si="123"/>
        <v>DNS/DNF</v>
      </c>
      <c r="AV212" s="62" t="str">
        <f t="shared" si="124"/>
        <v>DNS/DNF</v>
      </c>
      <c r="AW212" s="62" t="str">
        <f t="shared" si="125"/>
        <v>DNS/DNF</v>
      </c>
      <c r="AX212" s="62" t="str">
        <f t="shared" si="126"/>
        <v>DNS/DNF</v>
      </c>
      <c r="AY212" s="62" t="str">
        <f t="shared" si="127"/>
        <v>DNS/DNF</v>
      </c>
      <c r="AZ212" s="62" t="str">
        <f t="shared" si="128"/>
        <v>DNS/DNF</v>
      </c>
      <c r="BA212" s="62" t="str">
        <f t="shared" si="129"/>
        <v>DNS/DNF</v>
      </c>
      <c r="BB212" s="62" t="str">
        <f t="shared" si="130"/>
        <v>DNS/DNF</v>
      </c>
      <c r="BC212" s="75" t="str">
        <f t="shared" si="131"/>
        <v/>
      </c>
      <c r="BD212" s="53" t="str">
        <f t="shared" si="132"/>
        <v/>
      </c>
      <c r="BE212" s="53" t="str">
        <f t="shared" si="133"/>
        <v/>
      </c>
      <c r="BF212" s="53" t="str">
        <f t="shared" si="134"/>
        <v/>
      </c>
      <c r="BG212" s="53" t="str">
        <f t="shared" si="135"/>
        <v/>
      </c>
      <c r="BH212" s="53" t="str">
        <f t="shared" si="136"/>
        <v/>
      </c>
      <c r="BI212" s="53" t="str">
        <f t="shared" si="137"/>
        <v/>
      </c>
      <c r="BJ212" s="53" t="str">
        <f t="shared" si="138"/>
        <v/>
      </c>
      <c r="BK212" s="53" t="str">
        <f t="shared" si="139"/>
        <v/>
      </c>
    </row>
    <row r="213" spans="1:63">
      <c r="A213" s="53"/>
      <c r="B213" s="89" t="str">
        <f>IFERROR(VLOOKUP($A213,EntryList!$A$3:$N$645,2,FALSE),"")</f>
        <v/>
      </c>
      <c r="C213" s="74"/>
      <c r="D213" s="53">
        <f t="shared" si="113"/>
        <v>0</v>
      </c>
      <c r="E213" s="62"/>
      <c r="F213" s="62"/>
      <c r="G213" s="62"/>
      <c r="H213" s="62"/>
      <c r="I213" s="62"/>
      <c r="J213" s="62"/>
      <c r="K213" s="62"/>
      <c r="L213" s="62"/>
      <c r="M213" s="62"/>
      <c r="N213" s="62">
        <f t="shared" si="114"/>
        <v>0</v>
      </c>
      <c r="O213" s="53" t="str">
        <f t="shared" si="140"/>
        <v/>
      </c>
      <c r="P213" s="53" t="str">
        <f t="shared" si="141"/>
        <v/>
      </c>
      <c r="Q213" s="53" t="str">
        <f t="shared" si="142"/>
        <v/>
      </c>
      <c r="R213" s="53" t="str">
        <f t="shared" si="143"/>
        <v/>
      </c>
      <c r="S213" s="53" t="str">
        <f t="shared" si="144"/>
        <v/>
      </c>
      <c r="T213" s="53" t="str">
        <f t="shared" si="145"/>
        <v/>
      </c>
      <c r="U213" s="53" t="str">
        <f t="shared" si="146"/>
        <v/>
      </c>
      <c r="V213" s="53" t="str">
        <f t="shared" si="147"/>
        <v/>
      </c>
      <c r="W213" s="53" t="str">
        <f t="shared" si="115"/>
        <v>DNS/DNF ()</v>
      </c>
      <c r="X213" s="53" t="str">
        <f t="shared" si="116"/>
        <v>DNS/DNF ()</v>
      </c>
      <c r="Y213" s="53" t="str">
        <f t="shared" si="117"/>
        <v>DNS/DNF ()</v>
      </c>
      <c r="Z213" s="53" t="str">
        <f t="shared" si="118"/>
        <v>DNS/DNF ()</v>
      </c>
      <c r="AA213" s="53" t="str">
        <f t="shared" si="119"/>
        <v>DNS/DNF ()</v>
      </c>
      <c r="AB213" s="53" t="str">
        <f t="shared" si="120"/>
        <v>DNS/DNF ()</v>
      </c>
      <c r="AC213" s="53" t="str">
        <f t="shared" si="121"/>
        <v>DNS/DNF ()</v>
      </c>
      <c r="AD213" s="53" t="str">
        <f t="shared" si="122"/>
        <v>DNS/DNF ()</v>
      </c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62" t="str">
        <f t="shared" si="123"/>
        <v>DNS/DNF</v>
      </c>
      <c r="AV213" s="62" t="str">
        <f t="shared" si="124"/>
        <v>DNS/DNF</v>
      </c>
      <c r="AW213" s="62" t="str">
        <f t="shared" si="125"/>
        <v>DNS/DNF</v>
      </c>
      <c r="AX213" s="62" t="str">
        <f t="shared" si="126"/>
        <v>DNS/DNF</v>
      </c>
      <c r="AY213" s="62" t="str">
        <f t="shared" si="127"/>
        <v>DNS/DNF</v>
      </c>
      <c r="AZ213" s="62" t="str">
        <f t="shared" si="128"/>
        <v>DNS/DNF</v>
      </c>
      <c r="BA213" s="62" t="str">
        <f t="shared" si="129"/>
        <v>DNS/DNF</v>
      </c>
      <c r="BB213" s="62" t="str">
        <f t="shared" si="130"/>
        <v>DNS/DNF</v>
      </c>
      <c r="BC213" s="75" t="str">
        <f t="shared" si="131"/>
        <v/>
      </c>
      <c r="BD213" s="53" t="str">
        <f t="shared" si="132"/>
        <v/>
      </c>
      <c r="BE213" s="53" t="str">
        <f t="shared" si="133"/>
        <v/>
      </c>
      <c r="BF213" s="53" t="str">
        <f t="shared" si="134"/>
        <v/>
      </c>
      <c r="BG213" s="53" t="str">
        <f t="shared" si="135"/>
        <v/>
      </c>
      <c r="BH213" s="53" t="str">
        <f t="shared" si="136"/>
        <v/>
      </c>
      <c r="BI213" s="53" t="str">
        <f t="shared" si="137"/>
        <v/>
      </c>
      <c r="BJ213" s="53" t="str">
        <f t="shared" si="138"/>
        <v/>
      </c>
      <c r="BK213" s="53" t="str">
        <f t="shared" si="139"/>
        <v/>
      </c>
    </row>
    <row r="214" spans="1:63">
      <c r="A214" s="53"/>
      <c r="B214" s="89" t="str">
        <f>IFERROR(VLOOKUP($A214,EntryList!$A$3:$N$645,2,FALSE),"")</f>
        <v/>
      </c>
      <c r="C214" s="74"/>
      <c r="D214" s="53">
        <f t="shared" si="113"/>
        <v>0</v>
      </c>
      <c r="E214" s="62"/>
      <c r="F214" s="62"/>
      <c r="G214" s="62"/>
      <c r="H214" s="62"/>
      <c r="I214" s="62"/>
      <c r="J214" s="62"/>
      <c r="K214" s="62"/>
      <c r="L214" s="62"/>
      <c r="M214" s="62"/>
      <c r="N214" s="62">
        <f t="shared" si="114"/>
        <v>0</v>
      </c>
      <c r="O214" s="53" t="str">
        <f t="shared" si="140"/>
        <v/>
      </c>
      <c r="P214" s="53" t="str">
        <f t="shared" si="141"/>
        <v/>
      </c>
      <c r="Q214" s="53" t="str">
        <f t="shared" si="142"/>
        <v/>
      </c>
      <c r="R214" s="53" t="str">
        <f t="shared" si="143"/>
        <v/>
      </c>
      <c r="S214" s="53" t="str">
        <f t="shared" si="144"/>
        <v/>
      </c>
      <c r="T214" s="53" t="str">
        <f t="shared" si="145"/>
        <v/>
      </c>
      <c r="U214" s="53" t="str">
        <f t="shared" si="146"/>
        <v/>
      </c>
      <c r="V214" s="53" t="str">
        <f t="shared" si="147"/>
        <v/>
      </c>
      <c r="W214" s="53" t="str">
        <f t="shared" si="115"/>
        <v>DNS/DNF ()</v>
      </c>
      <c r="X214" s="53" t="str">
        <f t="shared" si="116"/>
        <v>DNS/DNF ()</v>
      </c>
      <c r="Y214" s="53" t="str">
        <f t="shared" si="117"/>
        <v>DNS/DNF ()</v>
      </c>
      <c r="Z214" s="53" t="str">
        <f t="shared" si="118"/>
        <v>DNS/DNF ()</v>
      </c>
      <c r="AA214" s="53" t="str">
        <f t="shared" si="119"/>
        <v>DNS/DNF ()</v>
      </c>
      <c r="AB214" s="53" t="str">
        <f t="shared" si="120"/>
        <v>DNS/DNF ()</v>
      </c>
      <c r="AC214" s="53" t="str">
        <f t="shared" si="121"/>
        <v>DNS/DNF ()</v>
      </c>
      <c r="AD214" s="53" t="str">
        <f t="shared" si="122"/>
        <v>DNS/DNF ()</v>
      </c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62" t="str">
        <f t="shared" si="123"/>
        <v>DNS/DNF</v>
      </c>
      <c r="AV214" s="62" t="str">
        <f t="shared" si="124"/>
        <v>DNS/DNF</v>
      </c>
      <c r="AW214" s="62" t="str">
        <f t="shared" si="125"/>
        <v>DNS/DNF</v>
      </c>
      <c r="AX214" s="62" t="str">
        <f t="shared" si="126"/>
        <v>DNS/DNF</v>
      </c>
      <c r="AY214" s="62" t="str">
        <f t="shared" si="127"/>
        <v>DNS/DNF</v>
      </c>
      <c r="AZ214" s="62" t="str">
        <f t="shared" si="128"/>
        <v>DNS/DNF</v>
      </c>
      <c r="BA214" s="62" t="str">
        <f t="shared" si="129"/>
        <v>DNS/DNF</v>
      </c>
      <c r="BB214" s="62" t="str">
        <f t="shared" si="130"/>
        <v>DNS/DNF</v>
      </c>
      <c r="BC214" s="75" t="str">
        <f t="shared" si="131"/>
        <v/>
      </c>
      <c r="BD214" s="53" t="str">
        <f t="shared" si="132"/>
        <v/>
      </c>
      <c r="BE214" s="53" t="str">
        <f t="shared" si="133"/>
        <v/>
      </c>
      <c r="BF214" s="53" t="str">
        <f t="shared" si="134"/>
        <v/>
      </c>
      <c r="BG214" s="53" t="str">
        <f t="shared" si="135"/>
        <v/>
      </c>
      <c r="BH214" s="53" t="str">
        <f t="shared" si="136"/>
        <v/>
      </c>
      <c r="BI214" s="53" t="str">
        <f t="shared" si="137"/>
        <v/>
      </c>
      <c r="BJ214" s="53" t="str">
        <f t="shared" si="138"/>
        <v/>
      </c>
      <c r="BK214" s="53" t="str">
        <f t="shared" si="139"/>
        <v/>
      </c>
    </row>
    <row r="215" spans="1:63">
      <c r="A215" s="53"/>
      <c r="B215" s="89" t="str">
        <f>IFERROR(VLOOKUP($A215,EntryList!$A$3:$N$645,2,FALSE),"")</f>
        <v/>
      </c>
      <c r="C215" s="74"/>
      <c r="D215" s="53">
        <f t="shared" si="113"/>
        <v>0</v>
      </c>
      <c r="E215" s="62"/>
      <c r="F215" s="62"/>
      <c r="G215" s="62"/>
      <c r="H215" s="62"/>
      <c r="I215" s="62"/>
      <c r="J215" s="62"/>
      <c r="K215" s="62"/>
      <c r="L215" s="62"/>
      <c r="M215" s="62"/>
      <c r="N215" s="62">
        <f t="shared" si="114"/>
        <v>0</v>
      </c>
      <c r="O215" s="53" t="str">
        <f t="shared" si="140"/>
        <v/>
      </c>
      <c r="P215" s="53" t="str">
        <f t="shared" si="141"/>
        <v/>
      </c>
      <c r="Q215" s="53" t="str">
        <f t="shared" si="142"/>
        <v/>
      </c>
      <c r="R215" s="53" t="str">
        <f t="shared" si="143"/>
        <v/>
      </c>
      <c r="S215" s="53" t="str">
        <f t="shared" si="144"/>
        <v/>
      </c>
      <c r="T215" s="53" t="str">
        <f t="shared" si="145"/>
        <v/>
      </c>
      <c r="U215" s="53" t="str">
        <f t="shared" si="146"/>
        <v/>
      </c>
      <c r="V215" s="53" t="str">
        <f t="shared" si="147"/>
        <v/>
      </c>
      <c r="W215" s="53" t="str">
        <f t="shared" si="115"/>
        <v>DNS/DNF ()</v>
      </c>
      <c r="X215" s="53" t="str">
        <f t="shared" si="116"/>
        <v>DNS/DNF ()</v>
      </c>
      <c r="Y215" s="53" t="str">
        <f t="shared" si="117"/>
        <v>DNS/DNF ()</v>
      </c>
      <c r="Z215" s="53" t="str">
        <f t="shared" si="118"/>
        <v>DNS/DNF ()</v>
      </c>
      <c r="AA215" s="53" t="str">
        <f t="shared" si="119"/>
        <v>DNS/DNF ()</v>
      </c>
      <c r="AB215" s="53" t="str">
        <f t="shared" si="120"/>
        <v>DNS/DNF ()</v>
      </c>
      <c r="AC215" s="53" t="str">
        <f t="shared" si="121"/>
        <v>DNS/DNF ()</v>
      </c>
      <c r="AD215" s="53" t="str">
        <f t="shared" si="122"/>
        <v>DNS/DNF ()</v>
      </c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62" t="str">
        <f t="shared" si="123"/>
        <v>DNS/DNF</v>
      </c>
      <c r="AV215" s="62" t="str">
        <f t="shared" si="124"/>
        <v>DNS/DNF</v>
      </c>
      <c r="AW215" s="62" t="str">
        <f t="shared" si="125"/>
        <v>DNS/DNF</v>
      </c>
      <c r="AX215" s="62" t="str">
        <f t="shared" si="126"/>
        <v>DNS/DNF</v>
      </c>
      <c r="AY215" s="62" t="str">
        <f t="shared" si="127"/>
        <v>DNS/DNF</v>
      </c>
      <c r="AZ215" s="62" t="str">
        <f t="shared" si="128"/>
        <v>DNS/DNF</v>
      </c>
      <c r="BA215" s="62" t="str">
        <f t="shared" si="129"/>
        <v>DNS/DNF</v>
      </c>
      <c r="BB215" s="62" t="str">
        <f t="shared" si="130"/>
        <v>DNS/DNF</v>
      </c>
      <c r="BC215" s="75" t="str">
        <f t="shared" si="131"/>
        <v/>
      </c>
      <c r="BD215" s="53" t="str">
        <f t="shared" si="132"/>
        <v/>
      </c>
      <c r="BE215" s="53" t="str">
        <f t="shared" si="133"/>
        <v/>
      </c>
      <c r="BF215" s="53" t="str">
        <f t="shared" si="134"/>
        <v/>
      </c>
      <c r="BG215" s="53" t="str">
        <f t="shared" si="135"/>
        <v/>
      </c>
      <c r="BH215" s="53" t="str">
        <f t="shared" si="136"/>
        <v/>
      </c>
      <c r="BI215" s="53" t="str">
        <f t="shared" si="137"/>
        <v/>
      </c>
      <c r="BJ215" s="53" t="str">
        <f t="shared" si="138"/>
        <v/>
      </c>
      <c r="BK215" s="53" t="str">
        <f t="shared" si="139"/>
        <v/>
      </c>
    </row>
    <row r="216" spans="1:63">
      <c r="A216" s="53"/>
      <c r="B216" s="89" t="str">
        <f>IFERROR(VLOOKUP($A216,EntryList!$A$3:$N$645,2,FALSE),"")</f>
        <v/>
      </c>
      <c r="C216" s="74"/>
      <c r="D216" s="53">
        <f t="shared" si="113"/>
        <v>0</v>
      </c>
      <c r="E216" s="62"/>
      <c r="F216" s="62"/>
      <c r="G216" s="62"/>
      <c r="H216" s="62"/>
      <c r="I216" s="62"/>
      <c r="J216" s="62"/>
      <c r="K216" s="62"/>
      <c r="L216" s="62"/>
      <c r="M216" s="62"/>
      <c r="N216" s="62">
        <f t="shared" si="114"/>
        <v>0</v>
      </c>
      <c r="O216" s="53" t="str">
        <f t="shared" si="140"/>
        <v/>
      </c>
      <c r="P216" s="53" t="str">
        <f t="shared" si="141"/>
        <v/>
      </c>
      <c r="Q216" s="53" t="str">
        <f t="shared" si="142"/>
        <v/>
      </c>
      <c r="R216" s="53" t="str">
        <f t="shared" si="143"/>
        <v/>
      </c>
      <c r="S216" s="53" t="str">
        <f t="shared" si="144"/>
        <v/>
      </c>
      <c r="T216" s="53" t="str">
        <f t="shared" si="145"/>
        <v/>
      </c>
      <c r="U216" s="53" t="str">
        <f t="shared" si="146"/>
        <v/>
      </c>
      <c r="V216" s="53" t="str">
        <f t="shared" si="147"/>
        <v/>
      </c>
      <c r="W216" s="53" t="str">
        <f t="shared" si="115"/>
        <v>DNS/DNF ()</v>
      </c>
      <c r="X216" s="53" t="str">
        <f t="shared" si="116"/>
        <v>DNS/DNF ()</v>
      </c>
      <c r="Y216" s="53" t="str">
        <f t="shared" si="117"/>
        <v>DNS/DNF ()</v>
      </c>
      <c r="Z216" s="53" t="str">
        <f t="shared" si="118"/>
        <v>DNS/DNF ()</v>
      </c>
      <c r="AA216" s="53" t="str">
        <f t="shared" si="119"/>
        <v>DNS/DNF ()</v>
      </c>
      <c r="AB216" s="53" t="str">
        <f t="shared" si="120"/>
        <v>DNS/DNF ()</v>
      </c>
      <c r="AC216" s="53" t="str">
        <f t="shared" si="121"/>
        <v>DNS/DNF ()</v>
      </c>
      <c r="AD216" s="53" t="str">
        <f t="shared" si="122"/>
        <v>DNS/DNF ()</v>
      </c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62" t="str">
        <f t="shared" si="123"/>
        <v>DNS/DNF</v>
      </c>
      <c r="AV216" s="62" t="str">
        <f t="shared" si="124"/>
        <v>DNS/DNF</v>
      </c>
      <c r="AW216" s="62" t="str">
        <f t="shared" si="125"/>
        <v>DNS/DNF</v>
      </c>
      <c r="AX216" s="62" t="str">
        <f t="shared" si="126"/>
        <v>DNS/DNF</v>
      </c>
      <c r="AY216" s="62" t="str">
        <f t="shared" si="127"/>
        <v>DNS/DNF</v>
      </c>
      <c r="AZ216" s="62" t="str">
        <f t="shared" si="128"/>
        <v>DNS/DNF</v>
      </c>
      <c r="BA216" s="62" t="str">
        <f t="shared" si="129"/>
        <v>DNS/DNF</v>
      </c>
      <c r="BB216" s="62" t="str">
        <f t="shared" si="130"/>
        <v>DNS/DNF</v>
      </c>
      <c r="BC216" s="75" t="str">
        <f t="shared" si="131"/>
        <v/>
      </c>
      <c r="BD216" s="53" t="str">
        <f t="shared" si="132"/>
        <v/>
      </c>
      <c r="BE216" s="53" t="str">
        <f t="shared" si="133"/>
        <v/>
      </c>
      <c r="BF216" s="53" t="str">
        <f t="shared" si="134"/>
        <v/>
      </c>
      <c r="BG216" s="53" t="str">
        <f t="shared" si="135"/>
        <v/>
      </c>
      <c r="BH216" s="53" t="str">
        <f t="shared" si="136"/>
        <v/>
      </c>
      <c r="BI216" s="53" t="str">
        <f t="shared" si="137"/>
        <v/>
      </c>
      <c r="BJ216" s="53" t="str">
        <f t="shared" si="138"/>
        <v/>
      </c>
      <c r="BK216" s="53" t="str">
        <f t="shared" si="139"/>
        <v/>
      </c>
    </row>
    <row r="217" spans="1:63">
      <c r="A217" s="53"/>
      <c r="B217" s="89" t="str">
        <f>IFERROR(VLOOKUP($A217,EntryList!$A$3:$N$645,2,FALSE),"")</f>
        <v/>
      </c>
      <c r="C217" s="74"/>
      <c r="D217" s="53">
        <f t="shared" si="113"/>
        <v>0</v>
      </c>
      <c r="E217" s="62"/>
      <c r="F217" s="62"/>
      <c r="G217" s="62"/>
      <c r="H217" s="62"/>
      <c r="I217" s="62"/>
      <c r="J217" s="62"/>
      <c r="K217" s="62"/>
      <c r="L217" s="62"/>
      <c r="M217" s="62"/>
      <c r="N217" s="62">
        <f t="shared" si="114"/>
        <v>0</v>
      </c>
      <c r="O217" s="53" t="str">
        <f t="shared" si="140"/>
        <v/>
      </c>
      <c r="P217" s="53" t="str">
        <f t="shared" si="141"/>
        <v/>
      </c>
      <c r="Q217" s="53" t="str">
        <f t="shared" si="142"/>
        <v/>
      </c>
      <c r="R217" s="53" t="str">
        <f t="shared" si="143"/>
        <v/>
      </c>
      <c r="S217" s="53" t="str">
        <f t="shared" si="144"/>
        <v/>
      </c>
      <c r="T217" s="53" t="str">
        <f t="shared" si="145"/>
        <v/>
      </c>
      <c r="U217" s="53" t="str">
        <f t="shared" si="146"/>
        <v/>
      </c>
      <c r="V217" s="53" t="str">
        <f t="shared" si="147"/>
        <v/>
      </c>
      <c r="W217" s="53" t="str">
        <f t="shared" si="115"/>
        <v>DNS/DNF ()</v>
      </c>
      <c r="X217" s="53" t="str">
        <f t="shared" si="116"/>
        <v>DNS/DNF ()</v>
      </c>
      <c r="Y217" s="53" t="str">
        <f t="shared" si="117"/>
        <v>DNS/DNF ()</v>
      </c>
      <c r="Z217" s="53" t="str">
        <f t="shared" si="118"/>
        <v>DNS/DNF ()</v>
      </c>
      <c r="AA217" s="53" t="str">
        <f t="shared" si="119"/>
        <v>DNS/DNF ()</v>
      </c>
      <c r="AB217" s="53" t="str">
        <f t="shared" si="120"/>
        <v>DNS/DNF ()</v>
      </c>
      <c r="AC217" s="53" t="str">
        <f t="shared" si="121"/>
        <v>DNS/DNF ()</v>
      </c>
      <c r="AD217" s="53" t="str">
        <f t="shared" si="122"/>
        <v>DNS/DNF ()</v>
      </c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62" t="str">
        <f t="shared" si="123"/>
        <v>DNS/DNF</v>
      </c>
      <c r="AV217" s="62" t="str">
        <f t="shared" si="124"/>
        <v>DNS/DNF</v>
      </c>
      <c r="AW217" s="62" t="str">
        <f t="shared" si="125"/>
        <v>DNS/DNF</v>
      </c>
      <c r="AX217" s="62" t="str">
        <f t="shared" si="126"/>
        <v>DNS/DNF</v>
      </c>
      <c r="AY217" s="62" t="str">
        <f t="shared" si="127"/>
        <v>DNS/DNF</v>
      </c>
      <c r="AZ217" s="62" t="str">
        <f t="shared" si="128"/>
        <v>DNS/DNF</v>
      </c>
      <c r="BA217" s="62" t="str">
        <f t="shared" si="129"/>
        <v>DNS/DNF</v>
      </c>
      <c r="BB217" s="62" t="str">
        <f t="shared" si="130"/>
        <v>DNS/DNF</v>
      </c>
      <c r="BC217" s="75" t="str">
        <f t="shared" si="131"/>
        <v/>
      </c>
      <c r="BD217" s="53" t="str">
        <f t="shared" si="132"/>
        <v/>
      </c>
      <c r="BE217" s="53" t="str">
        <f t="shared" si="133"/>
        <v/>
      </c>
      <c r="BF217" s="53" t="str">
        <f t="shared" si="134"/>
        <v/>
      </c>
      <c r="BG217" s="53" t="str">
        <f t="shared" si="135"/>
        <v/>
      </c>
      <c r="BH217" s="53" t="str">
        <f t="shared" si="136"/>
        <v/>
      </c>
      <c r="BI217" s="53" t="str">
        <f t="shared" si="137"/>
        <v/>
      </c>
      <c r="BJ217" s="53" t="str">
        <f t="shared" si="138"/>
        <v/>
      </c>
      <c r="BK217" s="53" t="str">
        <f t="shared" si="139"/>
        <v/>
      </c>
    </row>
    <row r="218" spans="1:63">
      <c r="A218" s="53"/>
      <c r="B218" s="89" t="str">
        <f>IFERROR(VLOOKUP($A218,EntryList!$A$3:$N$645,2,FALSE),"")</f>
        <v/>
      </c>
      <c r="C218" s="74"/>
      <c r="D218" s="53">
        <f t="shared" si="113"/>
        <v>0</v>
      </c>
      <c r="E218" s="62"/>
      <c r="F218" s="62"/>
      <c r="G218" s="62"/>
      <c r="H218" s="62"/>
      <c r="I218" s="62"/>
      <c r="J218" s="62"/>
      <c r="K218" s="62"/>
      <c r="L218" s="62"/>
      <c r="M218" s="62"/>
      <c r="N218" s="62">
        <f t="shared" si="114"/>
        <v>0</v>
      </c>
      <c r="O218" s="53" t="str">
        <f t="shared" si="140"/>
        <v/>
      </c>
      <c r="P218" s="53" t="str">
        <f t="shared" si="141"/>
        <v/>
      </c>
      <c r="Q218" s="53" t="str">
        <f t="shared" si="142"/>
        <v/>
      </c>
      <c r="R218" s="53" t="str">
        <f t="shared" si="143"/>
        <v/>
      </c>
      <c r="S218" s="53" t="str">
        <f t="shared" si="144"/>
        <v/>
      </c>
      <c r="T218" s="53" t="str">
        <f t="shared" si="145"/>
        <v/>
      </c>
      <c r="U218" s="53" t="str">
        <f t="shared" si="146"/>
        <v/>
      </c>
      <c r="V218" s="53" t="str">
        <f t="shared" si="147"/>
        <v/>
      </c>
      <c r="W218" s="53" t="str">
        <f t="shared" si="115"/>
        <v>DNS/DNF ()</v>
      </c>
      <c r="X218" s="53" t="str">
        <f t="shared" si="116"/>
        <v>DNS/DNF ()</v>
      </c>
      <c r="Y218" s="53" t="str">
        <f t="shared" si="117"/>
        <v>DNS/DNF ()</v>
      </c>
      <c r="Z218" s="53" t="str">
        <f t="shared" si="118"/>
        <v>DNS/DNF ()</v>
      </c>
      <c r="AA218" s="53" t="str">
        <f t="shared" si="119"/>
        <v>DNS/DNF ()</v>
      </c>
      <c r="AB218" s="53" t="str">
        <f t="shared" si="120"/>
        <v>DNS/DNF ()</v>
      </c>
      <c r="AC218" s="53" t="str">
        <f t="shared" si="121"/>
        <v>DNS/DNF ()</v>
      </c>
      <c r="AD218" s="53" t="str">
        <f t="shared" si="122"/>
        <v>DNS/DNF ()</v>
      </c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62" t="str">
        <f t="shared" si="123"/>
        <v>DNS/DNF</v>
      </c>
      <c r="AV218" s="62" t="str">
        <f t="shared" si="124"/>
        <v>DNS/DNF</v>
      </c>
      <c r="AW218" s="62" t="str">
        <f t="shared" si="125"/>
        <v>DNS/DNF</v>
      </c>
      <c r="AX218" s="62" t="str">
        <f t="shared" si="126"/>
        <v>DNS/DNF</v>
      </c>
      <c r="AY218" s="62" t="str">
        <f t="shared" si="127"/>
        <v>DNS/DNF</v>
      </c>
      <c r="AZ218" s="62" t="str">
        <f t="shared" si="128"/>
        <v>DNS/DNF</v>
      </c>
      <c r="BA218" s="62" t="str">
        <f t="shared" si="129"/>
        <v>DNS/DNF</v>
      </c>
      <c r="BB218" s="62" t="str">
        <f t="shared" si="130"/>
        <v>DNS/DNF</v>
      </c>
      <c r="BC218" s="75" t="str">
        <f t="shared" si="131"/>
        <v/>
      </c>
      <c r="BD218" s="53" t="str">
        <f t="shared" si="132"/>
        <v/>
      </c>
      <c r="BE218" s="53" t="str">
        <f t="shared" si="133"/>
        <v/>
      </c>
      <c r="BF218" s="53" t="str">
        <f t="shared" si="134"/>
        <v/>
      </c>
      <c r="BG218" s="53" t="str">
        <f t="shared" si="135"/>
        <v/>
      </c>
      <c r="BH218" s="53" t="str">
        <f t="shared" si="136"/>
        <v/>
      </c>
      <c r="BI218" s="53" t="str">
        <f t="shared" si="137"/>
        <v/>
      </c>
      <c r="BJ218" s="53" t="str">
        <f t="shared" si="138"/>
        <v/>
      </c>
      <c r="BK218" s="53" t="str">
        <f t="shared" si="139"/>
        <v/>
      </c>
    </row>
    <row r="219" spans="1:63">
      <c r="A219" s="53"/>
      <c r="B219" s="89" t="str">
        <f>IFERROR(VLOOKUP($A219,EntryList!$A$3:$N$645,2,FALSE),"")</f>
        <v/>
      </c>
      <c r="C219" s="74"/>
      <c r="D219" s="53">
        <f t="shared" si="113"/>
        <v>0</v>
      </c>
      <c r="E219" s="62"/>
      <c r="F219" s="62"/>
      <c r="G219" s="62"/>
      <c r="H219" s="62"/>
      <c r="I219" s="62"/>
      <c r="J219" s="62"/>
      <c r="K219" s="62"/>
      <c r="L219" s="62"/>
      <c r="M219" s="62"/>
      <c r="N219" s="62">
        <f t="shared" si="114"/>
        <v>0</v>
      </c>
      <c r="O219" s="53" t="str">
        <f t="shared" si="140"/>
        <v/>
      </c>
      <c r="P219" s="53" t="str">
        <f t="shared" si="141"/>
        <v/>
      </c>
      <c r="Q219" s="53" t="str">
        <f t="shared" si="142"/>
        <v/>
      </c>
      <c r="R219" s="53" t="str">
        <f t="shared" si="143"/>
        <v/>
      </c>
      <c r="S219" s="53" t="str">
        <f t="shared" si="144"/>
        <v/>
      </c>
      <c r="T219" s="53" t="str">
        <f t="shared" si="145"/>
        <v/>
      </c>
      <c r="U219" s="53" t="str">
        <f t="shared" si="146"/>
        <v/>
      </c>
      <c r="V219" s="53" t="str">
        <f t="shared" si="147"/>
        <v/>
      </c>
      <c r="W219" s="53" t="str">
        <f t="shared" si="115"/>
        <v>DNS/DNF ()</v>
      </c>
      <c r="X219" s="53" t="str">
        <f t="shared" si="116"/>
        <v>DNS/DNF ()</v>
      </c>
      <c r="Y219" s="53" t="str">
        <f t="shared" si="117"/>
        <v>DNS/DNF ()</v>
      </c>
      <c r="Z219" s="53" t="str">
        <f t="shared" si="118"/>
        <v>DNS/DNF ()</v>
      </c>
      <c r="AA219" s="53" t="str">
        <f t="shared" si="119"/>
        <v>DNS/DNF ()</v>
      </c>
      <c r="AB219" s="53" t="str">
        <f t="shared" si="120"/>
        <v>DNS/DNF ()</v>
      </c>
      <c r="AC219" s="53" t="str">
        <f t="shared" si="121"/>
        <v>DNS/DNF ()</v>
      </c>
      <c r="AD219" s="53" t="str">
        <f t="shared" si="122"/>
        <v>DNS/DNF ()</v>
      </c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62" t="str">
        <f t="shared" si="123"/>
        <v>DNS/DNF</v>
      </c>
      <c r="AV219" s="62" t="str">
        <f t="shared" si="124"/>
        <v>DNS/DNF</v>
      </c>
      <c r="AW219" s="62" t="str">
        <f t="shared" si="125"/>
        <v>DNS/DNF</v>
      </c>
      <c r="AX219" s="62" t="str">
        <f t="shared" si="126"/>
        <v>DNS/DNF</v>
      </c>
      <c r="AY219" s="62" t="str">
        <f t="shared" si="127"/>
        <v>DNS/DNF</v>
      </c>
      <c r="AZ219" s="62" t="str">
        <f t="shared" si="128"/>
        <v>DNS/DNF</v>
      </c>
      <c r="BA219" s="62" t="str">
        <f t="shared" si="129"/>
        <v>DNS/DNF</v>
      </c>
      <c r="BB219" s="62" t="str">
        <f t="shared" si="130"/>
        <v>DNS/DNF</v>
      </c>
      <c r="BC219" s="75" t="str">
        <f t="shared" si="131"/>
        <v/>
      </c>
      <c r="BD219" s="53" t="str">
        <f t="shared" si="132"/>
        <v/>
      </c>
      <c r="BE219" s="53" t="str">
        <f t="shared" si="133"/>
        <v/>
      </c>
      <c r="BF219" s="53" t="str">
        <f t="shared" si="134"/>
        <v/>
      </c>
      <c r="BG219" s="53" t="str">
        <f t="shared" si="135"/>
        <v/>
      </c>
      <c r="BH219" s="53" t="str">
        <f t="shared" si="136"/>
        <v/>
      </c>
      <c r="BI219" s="53" t="str">
        <f t="shared" si="137"/>
        <v/>
      </c>
      <c r="BJ219" s="53" t="str">
        <f t="shared" si="138"/>
        <v/>
      </c>
      <c r="BK219" s="53" t="str">
        <f t="shared" si="139"/>
        <v/>
      </c>
    </row>
    <row r="220" spans="1:63">
      <c r="A220" s="53"/>
      <c r="B220" s="89" t="str">
        <f>IFERROR(VLOOKUP($A220,EntryList!$A$3:$N$645,2,FALSE),"")</f>
        <v/>
      </c>
      <c r="C220" s="74"/>
      <c r="D220" s="53">
        <f t="shared" si="113"/>
        <v>0</v>
      </c>
      <c r="E220" s="62"/>
      <c r="F220" s="62"/>
      <c r="G220" s="62"/>
      <c r="H220" s="62"/>
      <c r="I220" s="62"/>
      <c r="J220" s="62"/>
      <c r="K220" s="62"/>
      <c r="L220" s="62"/>
      <c r="M220" s="62"/>
      <c r="N220" s="62">
        <f t="shared" si="114"/>
        <v>0</v>
      </c>
      <c r="O220" s="53" t="str">
        <f t="shared" si="140"/>
        <v/>
      </c>
      <c r="P220" s="53" t="str">
        <f t="shared" si="141"/>
        <v/>
      </c>
      <c r="Q220" s="53" t="str">
        <f t="shared" si="142"/>
        <v/>
      </c>
      <c r="R220" s="53" t="str">
        <f t="shared" si="143"/>
        <v/>
      </c>
      <c r="S220" s="53" t="str">
        <f t="shared" si="144"/>
        <v/>
      </c>
      <c r="T220" s="53" t="str">
        <f t="shared" si="145"/>
        <v/>
      </c>
      <c r="U220" s="53" t="str">
        <f t="shared" si="146"/>
        <v/>
      </c>
      <c r="V220" s="53" t="str">
        <f t="shared" si="147"/>
        <v/>
      </c>
      <c r="W220" s="53" t="str">
        <f t="shared" si="115"/>
        <v>DNS/DNF ()</v>
      </c>
      <c r="X220" s="53" t="str">
        <f t="shared" si="116"/>
        <v>DNS/DNF ()</v>
      </c>
      <c r="Y220" s="53" t="str">
        <f t="shared" si="117"/>
        <v>DNS/DNF ()</v>
      </c>
      <c r="Z220" s="53" t="str">
        <f t="shared" si="118"/>
        <v>DNS/DNF ()</v>
      </c>
      <c r="AA220" s="53" t="str">
        <f t="shared" si="119"/>
        <v>DNS/DNF ()</v>
      </c>
      <c r="AB220" s="53" t="str">
        <f t="shared" si="120"/>
        <v>DNS/DNF ()</v>
      </c>
      <c r="AC220" s="53" t="str">
        <f t="shared" si="121"/>
        <v>DNS/DNF ()</v>
      </c>
      <c r="AD220" s="53" t="str">
        <f t="shared" si="122"/>
        <v>DNS/DNF ()</v>
      </c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62" t="str">
        <f t="shared" si="123"/>
        <v>DNS/DNF</v>
      </c>
      <c r="AV220" s="62" t="str">
        <f t="shared" si="124"/>
        <v>DNS/DNF</v>
      </c>
      <c r="AW220" s="62" t="str">
        <f t="shared" si="125"/>
        <v>DNS/DNF</v>
      </c>
      <c r="AX220" s="62" t="str">
        <f t="shared" si="126"/>
        <v>DNS/DNF</v>
      </c>
      <c r="AY220" s="62" t="str">
        <f t="shared" si="127"/>
        <v>DNS/DNF</v>
      </c>
      <c r="AZ220" s="62" t="str">
        <f t="shared" si="128"/>
        <v>DNS/DNF</v>
      </c>
      <c r="BA220" s="62" t="str">
        <f t="shared" si="129"/>
        <v>DNS/DNF</v>
      </c>
      <c r="BB220" s="62" t="str">
        <f t="shared" si="130"/>
        <v>DNS/DNF</v>
      </c>
      <c r="BC220" s="75" t="str">
        <f t="shared" si="131"/>
        <v/>
      </c>
      <c r="BD220" s="53" t="str">
        <f t="shared" si="132"/>
        <v/>
      </c>
      <c r="BE220" s="53" t="str">
        <f t="shared" si="133"/>
        <v/>
      </c>
      <c r="BF220" s="53" t="str">
        <f t="shared" si="134"/>
        <v/>
      </c>
      <c r="BG220" s="53" t="str">
        <f t="shared" si="135"/>
        <v/>
      </c>
      <c r="BH220" s="53" t="str">
        <f t="shared" si="136"/>
        <v/>
      </c>
      <c r="BI220" s="53" t="str">
        <f t="shared" si="137"/>
        <v/>
      </c>
      <c r="BJ220" s="53" t="str">
        <f t="shared" si="138"/>
        <v/>
      </c>
      <c r="BK220" s="53" t="str">
        <f t="shared" si="139"/>
        <v/>
      </c>
    </row>
    <row r="221" spans="1:63">
      <c r="A221" s="53"/>
      <c r="B221" s="89" t="str">
        <f>IFERROR(VLOOKUP($A221,EntryList!$A$3:$N$645,2,FALSE),"")</f>
        <v/>
      </c>
      <c r="C221" s="74"/>
      <c r="D221" s="53">
        <f t="shared" si="113"/>
        <v>0</v>
      </c>
      <c r="E221" s="62"/>
      <c r="F221" s="62"/>
      <c r="G221" s="62"/>
      <c r="H221" s="62"/>
      <c r="I221" s="62"/>
      <c r="J221" s="62"/>
      <c r="K221" s="62"/>
      <c r="L221" s="62"/>
      <c r="M221" s="62"/>
      <c r="N221" s="62">
        <f t="shared" si="114"/>
        <v>0</v>
      </c>
      <c r="O221" s="53" t="str">
        <f t="shared" si="140"/>
        <v/>
      </c>
      <c r="P221" s="53" t="str">
        <f t="shared" si="141"/>
        <v/>
      </c>
      <c r="Q221" s="53" t="str">
        <f t="shared" si="142"/>
        <v/>
      </c>
      <c r="R221" s="53" t="str">
        <f t="shared" si="143"/>
        <v/>
      </c>
      <c r="S221" s="53" t="str">
        <f t="shared" si="144"/>
        <v/>
      </c>
      <c r="T221" s="53" t="str">
        <f t="shared" si="145"/>
        <v/>
      </c>
      <c r="U221" s="53" t="str">
        <f t="shared" si="146"/>
        <v/>
      </c>
      <c r="V221" s="53" t="str">
        <f t="shared" si="147"/>
        <v/>
      </c>
      <c r="W221" s="53" t="str">
        <f t="shared" si="115"/>
        <v>DNS/DNF ()</v>
      </c>
      <c r="X221" s="53" t="str">
        <f t="shared" si="116"/>
        <v>DNS/DNF ()</v>
      </c>
      <c r="Y221" s="53" t="str">
        <f t="shared" si="117"/>
        <v>DNS/DNF ()</v>
      </c>
      <c r="Z221" s="53" t="str">
        <f t="shared" si="118"/>
        <v>DNS/DNF ()</v>
      </c>
      <c r="AA221" s="53" t="str">
        <f t="shared" si="119"/>
        <v>DNS/DNF ()</v>
      </c>
      <c r="AB221" s="53" t="str">
        <f t="shared" si="120"/>
        <v>DNS/DNF ()</v>
      </c>
      <c r="AC221" s="53" t="str">
        <f t="shared" si="121"/>
        <v>DNS/DNF ()</v>
      </c>
      <c r="AD221" s="53" t="str">
        <f t="shared" si="122"/>
        <v>DNS/DNF ()</v>
      </c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62" t="str">
        <f t="shared" si="123"/>
        <v>DNS/DNF</v>
      </c>
      <c r="AV221" s="62" t="str">
        <f t="shared" si="124"/>
        <v>DNS/DNF</v>
      </c>
      <c r="AW221" s="62" t="str">
        <f t="shared" si="125"/>
        <v>DNS/DNF</v>
      </c>
      <c r="AX221" s="62" t="str">
        <f t="shared" si="126"/>
        <v>DNS/DNF</v>
      </c>
      <c r="AY221" s="62" t="str">
        <f t="shared" si="127"/>
        <v>DNS/DNF</v>
      </c>
      <c r="AZ221" s="62" t="str">
        <f t="shared" si="128"/>
        <v>DNS/DNF</v>
      </c>
      <c r="BA221" s="62" t="str">
        <f t="shared" si="129"/>
        <v>DNS/DNF</v>
      </c>
      <c r="BB221" s="62" t="str">
        <f t="shared" si="130"/>
        <v>DNS/DNF</v>
      </c>
      <c r="BC221" s="75" t="str">
        <f t="shared" si="131"/>
        <v/>
      </c>
      <c r="BD221" s="53" t="str">
        <f t="shared" si="132"/>
        <v/>
      </c>
      <c r="BE221" s="53" t="str">
        <f t="shared" si="133"/>
        <v/>
      </c>
      <c r="BF221" s="53" t="str">
        <f t="shared" si="134"/>
        <v/>
      </c>
      <c r="BG221" s="53" t="str">
        <f t="shared" si="135"/>
        <v/>
      </c>
      <c r="BH221" s="53" t="str">
        <f t="shared" si="136"/>
        <v/>
      </c>
      <c r="BI221" s="53" t="str">
        <f t="shared" si="137"/>
        <v/>
      </c>
      <c r="BJ221" s="53" t="str">
        <f t="shared" si="138"/>
        <v/>
      </c>
      <c r="BK221" s="53" t="str">
        <f t="shared" si="139"/>
        <v/>
      </c>
    </row>
    <row r="222" spans="1:63">
      <c r="A222" s="53"/>
      <c r="B222" s="89" t="str">
        <f>IFERROR(VLOOKUP($A222,EntryList!$A$3:$N$645,2,FALSE),"")</f>
        <v/>
      </c>
      <c r="C222" s="74"/>
      <c r="D222" s="53">
        <f t="shared" si="113"/>
        <v>0</v>
      </c>
      <c r="E222" s="62"/>
      <c r="F222" s="62"/>
      <c r="G222" s="62"/>
      <c r="H222" s="62"/>
      <c r="I222" s="62"/>
      <c r="J222" s="62"/>
      <c r="K222" s="62"/>
      <c r="L222" s="62"/>
      <c r="M222" s="62"/>
      <c r="N222" s="62">
        <f t="shared" si="114"/>
        <v>0</v>
      </c>
      <c r="O222" s="53" t="str">
        <f t="shared" si="140"/>
        <v/>
      </c>
      <c r="P222" s="53" t="str">
        <f t="shared" si="141"/>
        <v/>
      </c>
      <c r="Q222" s="53" t="str">
        <f t="shared" si="142"/>
        <v/>
      </c>
      <c r="R222" s="53" t="str">
        <f t="shared" si="143"/>
        <v/>
      </c>
      <c r="S222" s="53" t="str">
        <f t="shared" si="144"/>
        <v/>
      </c>
      <c r="T222" s="53" t="str">
        <f t="shared" si="145"/>
        <v/>
      </c>
      <c r="U222" s="53" t="str">
        <f t="shared" si="146"/>
        <v/>
      </c>
      <c r="V222" s="53" t="str">
        <f t="shared" si="147"/>
        <v/>
      </c>
      <c r="W222" s="53" t="str">
        <f t="shared" si="115"/>
        <v>DNS/DNF ()</v>
      </c>
      <c r="X222" s="53" t="str">
        <f t="shared" si="116"/>
        <v>DNS/DNF ()</v>
      </c>
      <c r="Y222" s="53" t="str">
        <f t="shared" si="117"/>
        <v>DNS/DNF ()</v>
      </c>
      <c r="Z222" s="53" t="str">
        <f t="shared" si="118"/>
        <v>DNS/DNF ()</v>
      </c>
      <c r="AA222" s="53" t="str">
        <f t="shared" si="119"/>
        <v>DNS/DNF ()</v>
      </c>
      <c r="AB222" s="53" t="str">
        <f t="shared" si="120"/>
        <v>DNS/DNF ()</v>
      </c>
      <c r="AC222" s="53" t="str">
        <f t="shared" si="121"/>
        <v>DNS/DNF ()</v>
      </c>
      <c r="AD222" s="53" t="str">
        <f t="shared" si="122"/>
        <v>DNS/DNF ()</v>
      </c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62" t="str">
        <f t="shared" si="123"/>
        <v>DNS/DNF</v>
      </c>
      <c r="AV222" s="62" t="str">
        <f t="shared" si="124"/>
        <v>DNS/DNF</v>
      </c>
      <c r="AW222" s="62" t="str">
        <f t="shared" si="125"/>
        <v>DNS/DNF</v>
      </c>
      <c r="AX222" s="62" t="str">
        <f t="shared" si="126"/>
        <v>DNS/DNF</v>
      </c>
      <c r="AY222" s="62" t="str">
        <f t="shared" si="127"/>
        <v>DNS/DNF</v>
      </c>
      <c r="AZ222" s="62" t="str">
        <f t="shared" si="128"/>
        <v>DNS/DNF</v>
      </c>
      <c r="BA222" s="62" t="str">
        <f t="shared" si="129"/>
        <v>DNS/DNF</v>
      </c>
      <c r="BB222" s="62" t="str">
        <f t="shared" si="130"/>
        <v>DNS/DNF</v>
      </c>
      <c r="BC222" s="75" t="str">
        <f t="shared" si="131"/>
        <v/>
      </c>
      <c r="BD222" s="53" t="str">
        <f t="shared" si="132"/>
        <v/>
      </c>
      <c r="BE222" s="53" t="str">
        <f t="shared" si="133"/>
        <v/>
      </c>
      <c r="BF222" s="53" t="str">
        <f t="shared" si="134"/>
        <v/>
      </c>
      <c r="BG222" s="53" t="str">
        <f t="shared" si="135"/>
        <v/>
      </c>
      <c r="BH222" s="53" t="str">
        <f t="shared" si="136"/>
        <v/>
      </c>
      <c r="BI222" s="53" t="str">
        <f t="shared" si="137"/>
        <v/>
      </c>
      <c r="BJ222" s="53" t="str">
        <f t="shared" si="138"/>
        <v/>
      </c>
      <c r="BK222" s="53" t="str">
        <f t="shared" si="139"/>
        <v/>
      </c>
    </row>
    <row r="223" spans="1:63">
      <c r="A223" s="53"/>
      <c r="B223" s="89" t="str">
        <f>IFERROR(VLOOKUP($A223,EntryList!$A$3:$N$645,2,FALSE),"")</f>
        <v/>
      </c>
      <c r="C223" s="74"/>
      <c r="D223" s="53">
        <f t="shared" si="113"/>
        <v>0</v>
      </c>
      <c r="E223" s="62"/>
      <c r="F223" s="62"/>
      <c r="G223" s="62"/>
      <c r="H223" s="62"/>
      <c r="I223" s="62"/>
      <c r="J223" s="62"/>
      <c r="K223" s="62"/>
      <c r="L223" s="62"/>
      <c r="M223" s="62"/>
      <c r="N223" s="62">
        <f t="shared" si="114"/>
        <v>0</v>
      </c>
      <c r="O223" s="53" t="str">
        <f t="shared" si="140"/>
        <v/>
      </c>
      <c r="P223" s="53" t="str">
        <f t="shared" si="141"/>
        <v/>
      </c>
      <c r="Q223" s="53" t="str">
        <f t="shared" si="142"/>
        <v/>
      </c>
      <c r="R223" s="53" t="str">
        <f t="shared" si="143"/>
        <v/>
      </c>
      <c r="S223" s="53" t="str">
        <f t="shared" si="144"/>
        <v/>
      </c>
      <c r="T223" s="53" t="str">
        <f t="shared" si="145"/>
        <v/>
      </c>
      <c r="U223" s="53" t="str">
        <f t="shared" si="146"/>
        <v/>
      </c>
      <c r="V223" s="53" t="str">
        <f t="shared" si="147"/>
        <v/>
      </c>
      <c r="W223" s="53" t="str">
        <f t="shared" si="115"/>
        <v>DNS/DNF ()</v>
      </c>
      <c r="X223" s="53" t="str">
        <f t="shared" si="116"/>
        <v>DNS/DNF ()</v>
      </c>
      <c r="Y223" s="53" t="str">
        <f t="shared" si="117"/>
        <v>DNS/DNF ()</v>
      </c>
      <c r="Z223" s="53" t="str">
        <f t="shared" si="118"/>
        <v>DNS/DNF ()</v>
      </c>
      <c r="AA223" s="53" t="str">
        <f t="shared" si="119"/>
        <v>DNS/DNF ()</v>
      </c>
      <c r="AB223" s="53" t="str">
        <f t="shared" si="120"/>
        <v>DNS/DNF ()</v>
      </c>
      <c r="AC223" s="53" t="str">
        <f t="shared" si="121"/>
        <v>DNS/DNF ()</v>
      </c>
      <c r="AD223" s="53" t="str">
        <f t="shared" si="122"/>
        <v>DNS/DNF ()</v>
      </c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62" t="str">
        <f t="shared" si="123"/>
        <v>DNS/DNF</v>
      </c>
      <c r="AV223" s="62" t="str">
        <f t="shared" si="124"/>
        <v>DNS/DNF</v>
      </c>
      <c r="AW223" s="62" t="str">
        <f t="shared" si="125"/>
        <v>DNS/DNF</v>
      </c>
      <c r="AX223" s="62" t="str">
        <f t="shared" si="126"/>
        <v>DNS/DNF</v>
      </c>
      <c r="AY223" s="62" t="str">
        <f t="shared" si="127"/>
        <v>DNS/DNF</v>
      </c>
      <c r="AZ223" s="62" t="str">
        <f t="shared" si="128"/>
        <v>DNS/DNF</v>
      </c>
      <c r="BA223" s="62" t="str">
        <f t="shared" si="129"/>
        <v>DNS/DNF</v>
      </c>
      <c r="BB223" s="62" t="str">
        <f t="shared" si="130"/>
        <v>DNS/DNF</v>
      </c>
      <c r="BC223" s="75" t="str">
        <f t="shared" si="131"/>
        <v/>
      </c>
      <c r="BD223" s="53" t="str">
        <f t="shared" si="132"/>
        <v/>
      </c>
      <c r="BE223" s="53" t="str">
        <f t="shared" si="133"/>
        <v/>
      </c>
      <c r="BF223" s="53" t="str">
        <f t="shared" si="134"/>
        <v/>
      </c>
      <c r="BG223" s="53" t="str">
        <f t="shared" si="135"/>
        <v/>
      </c>
      <c r="BH223" s="53" t="str">
        <f t="shared" si="136"/>
        <v/>
      </c>
      <c r="BI223" s="53" t="str">
        <f t="shared" si="137"/>
        <v/>
      </c>
      <c r="BJ223" s="53" t="str">
        <f t="shared" si="138"/>
        <v/>
      </c>
      <c r="BK223" s="53" t="str">
        <f t="shared" si="139"/>
        <v/>
      </c>
    </row>
    <row r="224" spans="1:63">
      <c r="A224" s="53"/>
      <c r="B224" s="89" t="str">
        <f>IFERROR(VLOOKUP($A224,EntryList!$A$3:$N$645,2,FALSE),"")</f>
        <v/>
      </c>
      <c r="C224" s="74"/>
      <c r="D224" s="53">
        <f t="shared" si="113"/>
        <v>0</v>
      </c>
      <c r="E224" s="62"/>
      <c r="F224" s="62"/>
      <c r="G224" s="62"/>
      <c r="H224" s="62"/>
      <c r="I224" s="62"/>
      <c r="J224" s="62"/>
      <c r="K224" s="62"/>
      <c r="L224" s="62"/>
      <c r="M224" s="62"/>
      <c r="N224" s="62">
        <f t="shared" si="114"/>
        <v>0</v>
      </c>
      <c r="O224" s="53" t="str">
        <f t="shared" si="140"/>
        <v/>
      </c>
      <c r="P224" s="53" t="str">
        <f t="shared" si="141"/>
        <v/>
      </c>
      <c r="Q224" s="53" t="str">
        <f t="shared" si="142"/>
        <v/>
      </c>
      <c r="R224" s="53" t="str">
        <f t="shared" si="143"/>
        <v/>
      </c>
      <c r="S224" s="53" t="str">
        <f t="shared" si="144"/>
        <v/>
      </c>
      <c r="T224" s="53" t="str">
        <f t="shared" si="145"/>
        <v/>
      </c>
      <c r="U224" s="53" t="str">
        <f t="shared" si="146"/>
        <v/>
      </c>
      <c r="V224" s="53" t="str">
        <f t="shared" si="147"/>
        <v/>
      </c>
      <c r="W224" s="53" t="str">
        <f t="shared" si="115"/>
        <v>DNS/DNF ()</v>
      </c>
      <c r="X224" s="53" t="str">
        <f t="shared" si="116"/>
        <v>DNS/DNF ()</v>
      </c>
      <c r="Y224" s="53" t="str">
        <f t="shared" si="117"/>
        <v>DNS/DNF ()</v>
      </c>
      <c r="Z224" s="53" t="str">
        <f t="shared" si="118"/>
        <v>DNS/DNF ()</v>
      </c>
      <c r="AA224" s="53" t="str">
        <f t="shared" si="119"/>
        <v>DNS/DNF ()</v>
      </c>
      <c r="AB224" s="53" t="str">
        <f t="shared" si="120"/>
        <v>DNS/DNF ()</v>
      </c>
      <c r="AC224" s="53" t="str">
        <f t="shared" si="121"/>
        <v>DNS/DNF ()</v>
      </c>
      <c r="AD224" s="53" t="str">
        <f t="shared" si="122"/>
        <v>DNS/DNF ()</v>
      </c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62" t="str">
        <f t="shared" si="123"/>
        <v>DNS/DNF</v>
      </c>
      <c r="AV224" s="62" t="str">
        <f t="shared" si="124"/>
        <v>DNS/DNF</v>
      </c>
      <c r="AW224" s="62" t="str">
        <f t="shared" si="125"/>
        <v>DNS/DNF</v>
      </c>
      <c r="AX224" s="62" t="str">
        <f t="shared" si="126"/>
        <v>DNS/DNF</v>
      </c>
      <c r="AY224" s="62" t="str">
        <f t="shared" si="127"/>
        <v>DNS/DNF</v>
      </c>
      <c r="AZ224" s="62" t="str">
        <f t="shared" si="128"/>
        <v>DNS/DNF</v>
      </c>
      <c r="BA224" s="62" t="str">
        <f t="shared" si="129"/>
        <v>DNS/DNF</v>
      </c>
      <c r="BB224" s="62" t="str">
        <f t="shared" si="130"/>
        <v>DNS/DNF</v>
      </c>
      <c r="BC224" s="75" t="str">
        <f t="shared" si="131"/>
        <v/>
      </c>
      <c r="BD224" s="53" t="str">
        <f t="shared" si="132"/>
        <v/>
      </c>
      <c r="BE224" s="53" t="str">
        <f t="shared" si="133"/>
        <v/>
      </c>
      <c r="BF224" s="53" t="str">
        <f t="shared" si="134"/>
        <v/>
      </c>
      <c r="BG224" s="53" t="str">
        <f t="shared" si="135"/>
        <v/>
      </c>
      <c r="BH224" s="53" t="str">
        <f t="shared" si="136"/>
        <v/>
      </c>
      <c r="BI224" s="53" t="str">
        <f t="shared" si="137"/>
        <v/>
      </c>
      <c r="BJ224" s="53" t="str">
        <f t="shared" si="138"/>
        <v/>
      </c>
      <c r="BK224" s="53" t="str">
        <f t="shared" si="139"/>
        <v/>
      </c>
    </row>
    <row r="225" spans="1:63">
      <c r="A225" s="53"/>
      <c r="B225" s="89" t="str">
        <f>IFERROR(VLOOKUP($A225,EntryList!$A$3:$N$645,2,FALSE),"")</f>
        <v/>
      </c>
      <c r="C225" s="74"/>
      <c r="D225" s="53">
        <f t="shared" si="113"/>
        <v>0</v>
      </c>
      <c r="E225" s="62"/>
      <c r="F225" s="62"/>
      <c r="G225" s="62"/>
      <c r="H225" s="62"/>
      <c r="I225" s="62"/>
      <c r="J225" s="62"/>
      <c r="K225" s="62"/>
      <c r="L225" s="62"/>
      <c r="M225" s="62"/>
      <c r="N225" s="62">
        <f t="shared" si="114"/>
        <v>0</v>
      </c>
      <c r="O225" s="53" t="str">
        <f t="shared" si="140"/>
        <v/>
      </c>
      <c r="P225" s="53" t="str">
        <f t="shared" si="141"/>
        <v/>
      </c>
      <c r="Q225" s="53" t="str">
        <f t="shared" si="142"/>
        <v/>
      </c>
      <c r="R225" s="53" t="str">
        <f t="shared" si="143"/>
        <v/>
      </c>
      <c r="S225" s="53" t="str">
        <f t="shared" si="144"/>
        <v/>
      </c>
      <c r="T225" s="53" t="str">
        <f t="shared" si="145"/>
        <v/>
      </c>
      <c r="U225" s="53" t="str">
        <f t="shared" si="146"/>
        <v/>
      </c>
      <c r="V225" s="53" t="str">
        <f t="shared" si="147"/>
        <v/>
      </c>
      <c r="W225" s="53" t="str">
        <f t="shared" si="115"/>
        <v>DNS/DNF ()</v>
      </c>
      <c r="X225" s="53" t="str">
        <f t="shared" si="116"/>
        <v>DNS/DNF ()</v>
      </c>
      <c r="Y225" s="53" t="str">
        <f t="shared" si="117"/>
        <v>DNS/DNF ()</v>
      </c>
      <c r="Z225" s="53" t="str">
        <f t="shared" si="118"/>
        <v>DNS/DNF ()</v>
      </c>
      <c r="AA225" s="53" t="str">
        <f t="shared" si="119"/>
        <v>DNS/DNF ()</v>
      </c>
      <c r="AB225" s="53" t="str">
        <f t="shared" si="120"/>
        <v>DNS/DNF ()</v>
      </c>
      <c r="AC225" s="53" t="str">
        <f t="shared" si="121"/>
        <v>DNS/DNF ()</v>
      </c>
      <c r="AD225" s="53" t="str">
        <f t="shared" si="122"/>
        <v>DNS/DNF ()</v>
      </c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62" t="str">
        <f t="shared" si="123"/>
        <v>DNS/DNF</v>
      </c>
      <c r="AV225" s="62" t="str">
        <f t="shared" si="124"/>
        <v>DNS/DNF</v>
      </c>
      <c r="AW225" s="62" t="str">
        <f t="shared" si="125"/>
        <v>DNS/DNF</v>
      </c>
      <c r="AX225" s="62" t="str">
        <f t="shared" si="126"/>
        <v>DNS/DNF</v>
      </c>
      <c r="AY225" s="62" t="str">
        <f t="shared" si="127"/>
        <v>DNS/DNF</v>
      </c>
      <c r="AZ225" s="62" t="str">
        <f t="shared" si="128"/>
        <v>DNS/DNF</v>
      </c>
      <c r="BA225" s="62" t="str">
        <f t="shared" si="129"/>
        <v>DNS/DNF</v>
      </c>
      <c r="BB225" s="62" t="str">
        <f t="shared" si="130"/>
        <v>DNS/DNF</v>
      </c>
      <c r="BC225" s="75" t="str">
        <f t="shared" si="131"/>
        <v/>
      </c>
      <c r="BD225" s="53" t="str">
        <f t="shared" si="132"/>
        <v/>
      </c>
      <c r="BE225" s="53" t="str">
        <f t="shared" si="133"/>
        <v/>
      </c>
      <c r="BF225" s="53" t="str">
        <f t="shared" si="134"/>
        <v/>
      </c>
      <c r="BG225" s="53" t="str">
        <f t="shared" si="135"/>
        <v/>
      </c>
      <c r="BH225" s="53" t="str">
        <f t="shared" si="136"/>
        <v/>
      </c>
      <c r="BI225" s="53" t="str">
        <f t="shared" si="137"/>
        <v/>
      </c>
      <c r="BJ225" s="53" t="str">
        <f t="shared" si="138"/>
        <v/>
      </c>
      <c r="BK225" s="53" t="str">
        <f t="shared" si="139"/>
        <v/>
      </c>
    </row>
    <row r="226" spans="1:63">
      <c r="A226" s="53"/>
      <c r="B226" s="89" t="str">
        <f>IFERROR(VLOOKUP($A226,EntryList!$A$3:$N$645,2,FALSE),"")</f>
        <v/>
      </c>
      <c r="C226" s="74"/>
      <c r="D226" s="53">
        <f t="shared" si="113"/>
        <v>0</v>
      </c>
      <c r="E226" s="62"/>
      <c r="F226" s="62"/>
      <c r="G226" s="62"/>
      <c r="H226" s="62"/>
      <c r="I226" s="62"/>
      <c r="J226" s="62"/>
      <c r="K226" s="62"/>
      <c r="L226" s="62"/>
      <c r="M226" s="62"/>
      <c r="N226" s="62">
        <f t="shared" si="114"/>
        <v>0</v>
      </c>
      <c r="O226" s="53" t="str">
        <f t="shared" si="140"/>
        <v/>
      </c>
      <c r="P226" s="53" t="str">
        <f t="shared" si="141"/>
        <v/>
      </c>
      <c r="Q226" s="53" t="str">
        <f t="shared" si="142"/>
        <v/>
      </c>
      <c r="R226" s="53" t="str">
        <f t="shared" si="143"/>
        <v/>
      </c>
      <c r="S226" s="53" t="str">
        <f t="shared" si="144"/>
        <v/>
      </c>
      <c r="T226" s="53" t="str">
        <f t="shared" si="145"/>
        <v/>
      </c>
      <c r="U226" s="53" t="str">
        <f t="shared" si="146"/>
        <v/>
      </c>
      <c r="V226" s="53" t="str">
        <f t="shared" si="147"/>
        <v/>
      </c>
      <c r="W226" s="53" t="str">
        <f t="shared" si="115"/>
        <v>DNS/DNF ()</v>
      </c>
      <c r="X226" s="53" t="str">
        <f t="shared" si="116"/>
        <v>DNS/DNF ()</v>
      </c>
      <c r="Y226" s="53" t="str">
        <f t="shared" si="117"/>
        <v>DNS/DNF ()</v>
      </c>
      <c r="Z226" s="53" t="str">
        <f t="shared" si="118"/>
        <v>DNS/DNF ()</v>
      </c>
      <c r="AA226" s="53" t="str">
        <f t="shared" si="119"/>
        <v>DNS/DNF ()</v>
      </c>
      <c r="AB226" s="53" t="str">
        <f t="shared" si="120"/>
        <v>DNS/DNF ()</v>
      </c>
      <c r="AC226" s="53" t="str">
        <f t="shared" si="121"/>
        <v>DNS/DNF ()</v>
      </c>
      <c r="AD226" s="53" t="str">
        <f t="shared" si="122"/>
        <v>DNS/DNF ()</v>
      </c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62" t="str">
        <f t="shared" si="123"/>
        <v>DNS/DNF</v>
      </c>
      <c r="AV226" s="62" t="str">
        <f t="shared" si="124"/>
        <v>DNS/DNF</v>
      </c>
      <c r="AW226" s="62" t="str">
        <f t="shared" si="125"/>
        <v>DNS/DNF</v>
      </c>
      <c r="AX226" s="62" t="str">
        <f t="shared" si="126"/>
        <v>DNS/DNF</v>
      </c>
      <c r="AY226" s="62" t="str">
        <f t="shared" si="127"/>
        <v>DNS/DNF</v>
      </c>
      <c r="AZ226" s="62" t="str">
        <f t="shared" si="128"/>
        <v>DNS/DNF</v>
      </c>
      <c r="BA226" s="62" t="str">
        <f t="shared" si="129"/>
        <v>DNS/DNF</v>
      </c>
      <c r="BB226" s="62" t="str">
        <f t="shared" si="130"/>
        <v>DNS/DNF</v>
      </c>
      <c r="BC226" s="75" t="str">
        <f t="shared" si="131"/>
        <v/>
      </c>
      <c r="BD226" s="53" t="str">
        <f t="shared" si="132"/>
        <v/>
      </c>
      <c r="BE226" s="53" t="str">
        <f t="shared" si="133"/>
        <v/>
      </c>
      <c r="BF226" s="53" t="str">
        <f t="shared" si="134"/>
        <v/>
      </c>
      <c r="BG226" s="53" t="str">
        <f t="shared" si="135"/>
        <v/>
      </c>
      <c r="BH226" s="53" t="str">
        <f t="shared" si="136"/>
        <v/>
      </c>
      <c r="BI226" s="53" t="str">
        <f t="shared" si="137"/>
        <v/>
      </c>
      <c r="BJ226" s="53" t="str">
        <f t="shared" si="138"/>
        <v/>
      </c>
      <c r="BK226" s="53" t="str">
        <f t="shared" si="139"/>
        <v/>
      </c>
    </row>
    <row r="227" spans="1:63">
      <c r="A227" s="53"/>
      <c r="B227" s="89" t="str">
        <f>IFERROR(VLOOKUP($A227,EntryList!$A$3:$N$645,2,FALSE),"")</f>
        <v/>
      </c>
      <c r="C227" s="74"/>
      <c r="D227" s="53">
        <f t="shared" si="113"/>
        <v>0</v>
      </c>
      <c r="E227" s="62"/>
      <c r="F227" s="62"/>
      <c r="G227" s="62"/>
      <c r="H227" s="62"/>
      <c r="I227" s="62"/>
      <c r="J227" s="62"/>
      <c r="K227" s="62"/>
      <c r="L227" s="62"/>
      <c r="M227" s="62"/>
      <c r="N227" s="62">
        <f t="shared" si="114"/>
        <v>0</v>
      </c>
      <c r="O227" s="53" t="str">
        <f t="shared" si="140"/>
        <v/>
      </c>
      <c r="P227" s="53" t="str">
        <f t="shared" si="141"/>
        <v/>
      </c>
      <c r="Q227" s="53" t="str">
        <f t="shared" si="142"/>
        <v/>
      </c>
      <c r="R227" s="53" t="str">
        <f t="shared" si="143"/>
        <v/>
      </c>
      <c r="S227" s="53" t="str">
        <f t="shared" si="144"/>
        <v/>
      </c>
      <c r="T227" s="53" t="str">
        <f t="shared" si="145"/>
        <v/>
      </c>
      <c r="U227" s="53" t="str">
        <f t="shared" si="146"/>
        <v/>
      </c>
      <c r="V227" s="53" t="str">
        <f t="shared" si="147"/>
        <v/>
      </c>
      <c r="W227" s="53" t="str">
        <f t="shared" si="115"/>
        <v>DNS/DNF ()</v>
      </c>
      <c r="X227" s="53" t="str">
        <f t="shared" si="116"/>
        <v>DNS/DNF ()</v>
      </c>
      <c r="Y227" s="53" t="str">
        <f t="shared" si="117"/>
        <v>DNS/DNF ()</v>
      </c>
      <c r="Z227" s="53" t="str">
        <f t="shared" si="118"/>
        <v>DNS/DNF ()</v>
      </c>
      <c r="AA227" s="53" t="str">
        <f t="shared" si="119"/>
        <v>DNS/DNF ()</v>
      </c>
      <c r="AB227" s="53" t="str">
        <f t="shared" si="120"/>
        <v>DNS/DNF ()</v>
      </c>
      <c r="AC227" s="53" t="str">
        <f t="shared" si="121"/>
        <v>DNS/DNF ()</v>
      </c>
      <c r="AD227" s="53" t="str">
        <f t="shared" si="122"/>
        <v>DNS/DNF ()</v>
      </c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62" t="str">
        <f t="shared" si="123"/>
        <v>DNS/DNF</v>
      </c>
      <c r="AV227" s="62" t="str">
        <f t="shared" si="124"/>
        <v>DNS/DNF</v>
      </c>
      <c r="AW227" s="62" t="str">
        <f t="shared" si="125"/>
        <v>DNS/DNF</v>
      </c>
      <c r="AX227" s="62" t="str">
        <f t="shared" si="126"/>
        <v>DNS/DNF</v>
      </c>
      <c r="AY227" s="62" t="str">
        <f t="shared" si="127"/>
        <v>DNS/DNF</v>
      </c>
      <c r="AZ227" s="62" t="str">
        <f t="shared" si="128"/>
        <v>DNS/DNF</v>
      </c>
      <c r="BA227" s="62" t="str">
        <f t="shared" si="129"/>
        <v>DNS/DNF</v>
      </c>
      <c r="BB227" s="62" t="str">
        <f t="shared" si="130"/>
        <v>DNS/DNF</v>
      </c>
      <c r="BC227" s="75" t="str">
        <f t="shared" si="131"/>
        <v/>
      </c>
      <c r="BD227" s="53" t="str">
        <f t="shared" si="132"/>
        <v/>
      </c>
      <c r="BE227" s="53" t="str">
        <f t="shared" si="133"/>
        <v/>
      </c>
      <c r="BF227" s="53" t="str">
        <f t="shared" si="134"/>
        <v/>
      </c>
      <c r="BG227" s="53" t="str">
        <f t="shared" si="135"/>
        <v/>
      </c>
      <c r="BH227" s="53" t="str">
        <f t="shared" si="136"/>
        <v/>
      </c>
      <c r="BI227" s="53" t="str">
        <f t="shared" si="137"/>
        <v/>
      </c>
      <c r="BJ227" s="53" t="str">
        <f t="shared" si="138"/>
        <v/>
      </c>
      <c r="BK227" s="53" t="str">
        <f t="shared" si="139"/>
        <v/>
      </c>
    </row>
    <row r="228" spans="1:63">
      <c r="A228" s="53"/>
      <c r="B228" s="89" t="str">
        <f>IFERROR(VLOOKUP($A228,EntryList!$A$3:$N$645,2,FALSE),"")</f>
        <v/>
      </c>
      <c r="C228" s="74"/>
      <c r="D228" s="53">
        <f t="shared" si="113"/>
        <v>0</v>
      </c>
      <c r="E228" s="62"/>
      <c r="F228" s="62"/>
      <c r="G228" s="62"/>
      <c r="H228" s="62"/>
      <c r="I228" s="62"/>
      <c r="J228" s="62"/>
      <c r="K228" s="62"/>
      <c r="L228" s="62"/>
      <c r="M228" s="62"/>
      <c r="N228" s="62">
        <f t="shared" si="114"/>
        <v>0</v>
      </c>
      <c r="O228" s="53" t="str">
        <f t="shared" si="140"/>
        <v/>
      </c>
      <c r="P228" s="53" t="str">
        <f t="shared" si="141"/>
        <v/>
      </c>
      <c r="Q228" s="53" t="str">
        <f t="shared" si="142"/>
        <v/>
      </c>
      <c r="R228" s="53" t="str">
        <f t="shared" si="143"/>
        <v/>
      </c>
      <c r="S228" s="53" t="str">
        <f t="shared" si="144"/>
        <v/>
      </c>
      <c r="T228" s="53" t="str">
        <f t="shared" si="145"/>
        <v/>
      </c>
      <c r="U228" s="53" t="str">
        <f t="shared" si="146"/>
        <v/>
      </c>
      <c r="V228" s="53" t="str">
        <f t="shared" si="147"/>
        <v/>
      </c>
      <c r="W228" s="53" t="str">
        <f t="shared" si="115"/>
        <v>DNS/DNF ()</v>
      </c>
      <c r="X228" s="53" t="str">
        <f t="shared" si="116"/>
        <v>DNS/DNF ()</v>
      </c>
      <c r="Y228" s="53" t="str">
        <f t="shared" si="117"/>
        <v>DNS/DNF ()</v>
      </c>
      <c r="Z228" s="53" t="str">
        <f t="shared" si="118"/>
        <v>DNS/DNF ()</v>
      </c>
      <c r="AA228" s="53" t="str">
        <f t="shared" si="119"/>
        <v>DNS/DNF ()</v>
      </c>
      <c r="AB228" s="53" t="str">
        <f t="shared" si="120"/>
        <v>DNS/DNF ()</v>
      </c>
      <c r="AC228" s="53" t="str">
        <f t="shared" si="121"/>
        <v>DNS/DNF ()</v>
      </c>
      <c r="AD228" s="53" t="str">
        <f t="shared" si="122"/>
        <v>DNS/DNF ()</v>
      </c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62" t="str">
        <f t="shared" si="123"/>
        <v>DNS/DNF</v>
      </c>
      <c r="AV228" s="62" t="str">
        <f t="shared" si="124"/>
        <v>DNS/DNF</v>
      </c>
      <c r="AW228" s="62" t="str">
        <f t="shared" si="125"/>
        <v>DNS/DNF</v>
      </c>
      <c r="AX228" s="62" t="str">
        <f t="shared" si="126"/>
        <v>DNS/DNF</v>
      </c>
      <c r="AY228" s="62" t="str">
        <f t="shared" si="127"/>
        <v>DNS/DNF</v>
      </c>
      <c r="AZ228" s="62" t="str">
        <f t="shared" si="128"/>
        <v>DNS/DNF</v>
      </c>
      <c r="BA228" s="62" t="str">
        <f t="shared" si="129"/>
        <v>DNS/DNF</v>
      </c>
      <c r="BB228" s="62" t="str">
        <f t="shared" si="130"/>
        <v>DNS/DNF</v>
      </c>
      <c r="BC228" s="75" t="str">
        <f t="shared" si="131"/>
        <v/>
      </c>
      <c r="BD228" s="53" t="str">
        <f t="shared" si="132"/>
        <v/>
      </c>
      <c r="BE228" s="53" t="str">
        <f t="shared" si="133"/>
        <v/>
      </c>
      <c r="BF228" s="53" t="str">
        <f t="shared" si="134"/>
        <v/>
      </c>
      <c r="BG228" s="53" t="str">
        <f t="shared" si="135"/>
        <v/>
      </c>
      <c r="BH228" s="53" t="str">
        <f t="shared" si="136"/>
        <v/>
      </c>
      <c r="BI228" s="53" t="str">
        <f t="shared" si="137"/>
        <v/>
      </c>
      <c r="BJ228" s="53" t="str">
        <f t="shared" si="138"/>
        <v/>
      </c>
      <c r="BK228" s="53" t="str">
        <f t="shared" si="139"/>
        <v/>
      </c>
    </row>
    <row r="229" spans="1:63">
      <c r="A229" s="53"/>
      <c r="B229" s="89" t="str">
        <f>IFERROR(VLOOKUP($A229,EntryList!$A$3:$N$645,2,FALSE),"")</f>
        <v/>
      </c>
      <c r="C229" s="74"/>
      <c r="D229" s="53">
        <f t="shared" si="113"/>
        <v>0</v>
      </c>
      <c r="E229" s="62"/>
      <c r="F229" s="62"/>
      <c r="G229" s="62"/>
      <c r="H229" s="62"/>
      <c r="I229" s="62"/>
      <c r="J229" s="62"/>
      <c r="K229" s="62"/>
      <c r="L229" s="62"/>
      <c r="M229" s="62"/>
      <c r="N229" s="62">
        <f t="shared" si="114"/>
        <v>0</v>
      </c>
      <c r="O229" s="53" t="str">
        <f t="shared" si="140"/>
        <v/>
      </c>
      <c r="P229" s="53" t="str">
        <f t="shared" si="141"/>
        <v/>
      </c>
      <c r="Q229" s="53" t="str">
        <f t="shared" si="142"/>
        <v/>
      </c>
      <c r="R229" s="53" t="str">
        <f t="shared" si="143"/>
        <v/>
      </c>
      <c r="S229" s="53" t="str">
        <f t="shared" si="144"/>
        <v/>
      </c>
      <c r="T229" s="53" t="str">
        <f t="shared" si="145"/>
        <v/>
      </c>
      <c r="U229" s="53" t="str">
        <f t="shared" si="146"/>
        <v/>
      </c>
      <c r="V229" s="53" t="str">
        <f t="shared" si="147"/>
        <v/>
      </c>
      <c r="W229" s="53" t="str">
        <f t="shared" si="115"/>
        <v>DNS/DNF ()</v>
      </c>
      <c r="X229" s="53" t="str">
        <f t="shared" si="116"/>
        <v>DNS/DNF ()</v>
      </c>
      <c r="Y229" s="53" t="str">
        <f t="shared" si="117"/>
        <v>DNS/DNF ()</v>
      </c>
      <c r="Z229" s="53" t="str">
        <f t="shared" si="118"/>
        <v>DNS/DNF ()</v>
      </c>
      <c r="AA229" s="53" t="str">
        <f t="shared" si="119"/>
        <v>DNS/DNF ()</v>
      </c>
      <c r="AB229" s="53" t="str">
        <f t="shared" si="120"/>
        <v>DNS/DNF ()</v>
      </c>
      <c r="AC229" s="53" t="str">
        <f t="shared" si="121"/>
        <v>DNS/DNF ()</v>
      </c>
      <c r="AD229" s="53" t="str">
        <f t="shared" si="122"/>
        <v>DNS/DNF ()</v>
      </c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62" t="str">
        <f t="shared" si="123"/>
        <v>DNS/DNF</v>
      </c>
      <c r="AV229" s="62" t="str">
        <f t="shared" si="124"/>
        <v>DNS/DNF</v>
      </c>
      <c r="AW229" s="62" t="str">
        <f t="shared" si="125"/>
        <v>DNS/DNF</v>
      </c>
      <c r="AX229" s="62" t="str">
        <f t="shared" si="126"/>
        <v>DNS/DNF</v>
      </c>
      <c r="AY229" s="62" t="str">
        <f t="shared" si="127"/>
        <v>DNS/DNF</v>
      </c>
      <c r="AZ229" s="62" t="str">
        <f t="shared" si="128"/>
        <v>DNS/DNF</v>
      </c>
      <c r="BA229" s="62" t="str">
        <f t="shared" si="129"/>
        <v>DNS/DNF</v>
      </c>
      <c r="BB229" s="62" t="str">
        <f t="shared" si="130"/>
        <v>DNS/DNF</v>
      </c>
      <c r="BC229" s="75" t="str">
        <f t="shared" si="131"/>
        <v/>
      </c>
      <c r="BD229" s="53" t="str">
        <f t="shared" si="132"/>
        <v/>
      </c>
      <c r="BE229" s="53" t="str">
        <f t="shared" si="133"/>
        <v/>
      </c>
      <c r="BF229" s="53" t="str">
        <f t="shared" si="134"/>
        <v/>
      </c>
      <c r="BG229" s="53" t="str">
        <f t="shared" si="135"/>
        <v/>
      </c>
      <c r="BH229" s="53" t="str">
        <f t="shared" si="136"/>
        <v/>
      </c>
      <c r="BI229" s="53" t="str">
        <f t="shared" si="137"/>
        <v/>
      </c>
      <c r="BJ229" s="53" t="str">
        <f t="shared" si="138"/>
        <v/>
      </c>
      <c r="BK229" s="53" t="str">
        <f t="shared" si="139"/>
        <v/>
      </c>
    </row>
    <row r="230" spans="1:63">
      <c r="A230" s="53"/>
      <c r="B230" s="89" t="str">
        <f>IFERROR(VLOOKUP($A230,EntryList!$A$3:$N$645,2,FALSE),"")</f>
        <v/>
      </c>
      <c r="C230" s="74"/>
      <c r="D230" s="53">
        <f t="shared" si="113"/>
        <v>0</v>
      </c>
      <c r="E230" s="62"/>
      <c r="F230" s="62"/>
      <c r="G230" s="62"/>
      <c r="H230" s="62"/>
      <c r="I230" s="62"/>
      <c r="J230" s="62"/>
      <c r="K230" s="62"/>
      <c r="L230" s="62"/>
      <c r="M230" s="62"/>
      <c r="N230" s="62">
        <f t="shared" si="114"/>
        <v>0</v>
      </c>
      <c r="O230" s="53" t="str">
        <f t="shared" si="140"/>
        <v/>
      </c>
      <c r="P230" s="53" t="str">
        <f t="shared" si="141"/>
        <v/>
      </c>
      <c r="Q230" s="53" t="str">
        <f t="shared" si="142"/>
        <v/>
      </c>
      <c r="R230" s="53" t="str">
        <f t="shared" si="143"/>
        <v/>
      </c>
      <c r="S230" s="53" t="str">
        <f t="shared" si="144"/>
        <v/>
      </c>
      <c r="T230" s="53" t="str">
        <f t="shared" si="145"/>
        <v/>
      </c>
      <c r="U230" s="53" t="str">
        <f t="shared" si="146"/>
        <v/>
      </c>
      <c r="V230" s="53" t="str">
        <f t="shared" si="147"/>
        <v/>
      </c>
      <c r="W230" s="53" t="str">
        <f t="shared" si="115"/>
        <v>DNS/DNF ()</v>
      </c>
      <c r="X230" s="53" t="str">
        <f t="shared" si="116"/>
        <v>DNS/DNF ()</v>
      </c>
      <c r="Y230" s="53" t="str">
        <f t="shared" si="117"/>
        <v>DNS/DNF ()</v>
      </c>
      <c r="Z230" s="53" t="str">
        <f t="shared" si="118"/>
        <v>DNS/DNF ()</v>
      </c>
      <c r="AA230" s="53" t="str">
        <f t="shared" si="119"/>
        <v>DNS/DNF ()</v>
      </c>
      <c r="AB230" s="53" t="str">
        <f t="shared" si="120"/>
        <v>DNS/DNF ()</v>
      </c>
      <c r="AC230" s="53" t="str">
        <f t="shared" si="121"/>
        <v>DNS/DNF ()</v>
      </c>
      <c r="AD230" s="53" t="str">
        <f t="shared" si="122"/>
        <v>DNS/DNF ()</v>
      </c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62" t="str">
        <f t="shared" si="123"/>
        <v>DNS/DNF</v>
      </c>
      <c r="AV230" s="62" t="str">
        <f t="shared" si="124"/>
        <v>DNS/DNF</v>
      </c>
      <c r="AW230" s="62" t="str">
        <f t="shared" si="125"/>
        <v>DNS/DNF</v>
      </c>
      <c r="AX230" s="62" t="str">
        <f t="shared" si="126"/>
        <v>DNS/DNF</v>
      </c>
      <c r="AY230" s="62" t="str">
        <f t="shared" si="127"/>
        <v>DNS/DNF</v>
      </c>
      <c r="AZ230" s="62" t="str">
        <f t="shared" si="128"/>
        <v>DNS/DNF</v>
      </c>
      <c r="BA230" s="62" t="str">
        <f t="shared" si="129"/>
        <v>DNS/DNF</v>
      </c>
      <c r="BB230" s="62" t="str">
        <f t="shared" si="130"/>
        <v>DNS/DNF</v>
      </c>
      <c r="BC230" s="75" t="str">
        <f t="shared" si="131"/>
        <v/>
      </c>
      <c r="BD230" s="53" t="str">
        <f t="shared" si="132"/>
        <v/>
      </c>
      <c r="BE230" s="53" t="str">
        <f t="shared" si="133"/>
        <v/>
      </c>
      <c r="BF230" s="53" t="str">
        <f t="shared" si="134"/>
        <v/>
      </c>
      <c r="BG230" s="53" t="str">
        <f t="shared" si="135"/>
        <v/>
      </c>
      <c r="BH230" s="53" t="str">
        <f t="shared" si="136"/>
        <v/>
      </c>
      <c r="BI230" s="53" t="str">
        <f t="shared" si="137"/>
        <v/>
      </c>
      <c r="BJ230" s="53" t="str">
        <f t="shared" si="138"/>
        <v/>
      </c>
      <c r="BK230" s="53" t="str">
        <f t="shared" si="139"/>
        <v/>
      </c>
    </row>
    <row r="231" spans="1:63">
      <c r="A231" s="53"/>
      <c r="B231" s="89" t="str">
        <f>IFERROR(VLOOKUP($A231,EntryList!$A$3:$N$645,2,FALSE),"")</f>
        <v/>
      </c>
      <c r="C231" s="74"/>
      <c r="D231" s="53">
        <f t="shared" si="113"/>
        <v>0</v>
      </c>
      <c r="E231" s="62"/>
      <c r="F231" s="62"/>
      <c r="G231" s="62"/>
      <c r="H231" s="62"/>
      <c r="I231" s="62"/>
      <c r="J231" s="62"/>
      <c r="K231" s="62"/>
      <c r="L231" s="62"/>
      <c r="M231" s="62"/>
      <c r="N231" s="62">
        <f t="shared" si="114"/>
        <v>0</v>
      </c>
      <c r="O231" s="53" t="str">
        <f t="shared" si="140"/>
        <v/>
      </c>
      <c r="P231" s="53" t="str">
        <f t="shared" si="141"/>
        <v/>
      </c>
      <c r="Q231" s="53" t="str">
        <f t="shared" si="142"/>
        <v/>
      </c>
      <c r="R231" s="53" t="str">
        <f t="shared" si="143"/>
        <v/>
      </c>
      <c r="S231" s="53" t="str">
        <f t="shared" si="144"/>
        <v/>
      </c>
      <c r="T231" s="53" t="str">
        <f t="shared" si="145"/>
        <v/>
      </c>
      <c r="U231" s="53" t="str">
        <f t="shared" si="146"/>
        <v/>
      </c>
      <c r="V231" s="53" t="str">
        <f t="shared" si="147"/>
        <v/>
      </c>
      <c r="W231" s="53" t="str">
        <f t="shared" si="115"/>
        <v>DNS/DNF ()</v>
      </c>
      <c r="X231" s="53" t="str">
        <f t="shared" si="116"/>
        <v>DNS/DNF ()</v>
      </c>
      <c r="Y231" s="53" t="str">
        <f t="shared" si="117"/>
        <v>DNS/DNF ()</v>
      </c>
      <c r="Z231" s="53" t="str">
        <f t="shared" si="118"/>
        <v>DNS/DNF ()</v>
      </c>
      <c r="AA231" s="53" t="str">
        <f t="shared" si="119"/>
        <v>DNS/DNF ()</v>
      </c>
      <c r="AB231" s="53" t="str">
        <f t="shared" si="120"/>
        <v>DNS/DNF ()</v>
      </c>
      <c r="AC231" s="53" t="str">
        <f t="shared" si="121"/>
        <v>DNS/DNF ()</v>
      </c>
      <c r="AD231" s="53" t="str">
        <f t="shared" si="122"/>
        <v>DNS/DNF ()</v>
      </c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62" t="str">
        <f t="shared" si="123"/>
        <v>DNS/DNF</v>
      </c>
      <c r="AV231" s="62" t="str">
        <f t="shared" si="124"/>
        <v>DNS/DNF</v>
      </c>
      <c r="AW231" s="62" t="str">
        <f t="shared" si="125"/>
        <v>DNS/DNF</v>
      </c>
      <c r="AX231" s="62" t="str">
        <f t="shared" si="126"/>
        <v>DNS/DNF</v>
      </c>
      <c r="AY231" s="62" t="str">
        <f t="shared" si="127"/>
        <v>DNS/DNF</v>
      </c>
      <c r="AZ231" s="62" t="str">
        <f t="shared" si="128"/>
        <v>DNS/DNF</v>
      </c>
      <c r="BA231" s="62" t="str">
        <f t="shared" si="129"/>
        <v>DNS/DNF</v>
      </c>
      <c r="BB231" s="62" t="str">
        <f t="shared" si="130"/>
        <v>DNS/DNF</v>
      </c>
      <c r="BC231" s="75" t="str">
        <f t="shared" si="131"/>
        <v/>
      </c>
      <c r="BD231" s="53" t="str">
        <f t="shared" si="132"/>
        <v/>
      </c>
      <c r="BE231" s="53" t="str">
        <f t="shared" si="133"/>
        <v/>
      </c>
      <c r="BF231" s="53" t="str">
        <f t="shared" si="134"/>
        <v/>
      </c>
      <c r="BG231" s="53" t="str">
        <f t="shared" si="135"/>
        <v/>
      </c>
      <c r="BH231" s="53" t="str">
        <f t="shared" si="136"/>
        <v/>
      </c>
      <c r="BI231" s="53" t="str">
        <f t="shared" si="137"/>
        <v/>
      </c>
      <c r="BJ231" s="53" t="str">
        <f t="shared" si="138"/>
        <v/>
      </c>
      <c r="BK231" s="53" t="str">
        <f t="shared" si="139"/>
        <v/>
      </c>
    </row>
    <row r="232" spans="1:63">
      <c r="A232" s="53"/>
      <c r="B232" s="89" t="str">
        <f>IFERROR(VLOOKUP($A232,EntryList!$A$3:$N$645,2,FALSE),"")</f>
        <v/>
      </c>
      <c r="C232" s="74"/>
      <c r="D232" s="53">
        <f t="shared" si="113"/>
        <v>0</v>
      </c>
      <c r="E232" s="62"/>
      <c r="F232" s="62"/>
      <c r="G232" s="62"/>
      <c r="H232" s="62"/>
      <c r="I232" s="62"/>
      <c r="J232" s="62"/>
      <c r="K232" s="62"/>
      <c r="L232" s="62"/>
      <c r="M232" s="62"/>
      <c r="N232" s="62">
        <f t="shared" si="114"/>
        <v>0</v>
      </c>
      <c r="O232" s="53" t="str">
        <f t="shared" si="140"/>
        <v/>
      </c>
      <c r="P232" s="53" t="str">
        <f t="shared" si="141"/>
        <v/>
      </c>
      <c r="Q232" s="53" t="str">
        <f t="shared" si="142"/>
        <v/>
      </c>
      <c r="R232" s="53" t="str">
        <f t="shared" si="143"/>
        <v/>
      </c>
      <c r="S232" s="53" t="str">
        <f t="shared" si="144"/>
        <v/>
      </c>
      <c r="T232" s="53" t="str">
        <f t="shared" si="145"/>
        <v/>
      </c>
      <c r="U232" s="53" t="str">
        <f t="shared" si="146"/>
        <v/>
      </c>
      <c r="V232" s="53" t="str">
        <f t="shared" si="147"/>
        <v/>
      </c>
      <c r="W232" s="53" t="str">
        <f t="shared" si="115"/>
        <v>DNS/DNF ()</v>
      </c>
      <c r="X232" s="53" t="str">
        <f t="shared" si="116"/>
        <v>DNS/DNF ()</v>
      </c>
      <c r="Y232" s="53" t="str">
        <f t="shared" si="117"/>
        <v>DNS/DNF ()</v>
      </c>
      <c r="Z232" s="53" t="str">
        <f t="shared" si="118"/>
        <v>DNS/DNF ()</v>
      </c>
      <c r="AA232" s="53" t="str">
        <f t="shared" si="119"/>
        <v>DNS/DNF ()</v>
      </c>
      <c r="AB232" s="53" t="str">
        <f t="shared" si="120"/>
        <v>DNS/DNF ()</v>
      </c>
      <c r="AC232" s="53" t="str">
        <f t="shared" si="121"/>
        <v>DNS/DNF ()</v>
      </c>
      <c r="AD232" s="53" t="str">
        <f t="shared" si="122"/>
        <v>DNS/DNF ()</v>
      </c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62" t="str">
        <f t="shared" si="123"/>
        <v>DNS/DNF</v>
      </c>
      <c r="AV232" s="62" t="str">
        <f t="shared" si="124"/>
        <v>DNS/DNF</v>
      </c>
      <c r="AW232" s="62" t="str">
        <f t="shared" si="125"/>
        <v>DNS/DNF</v>
      </c>
      <c r="AX232" s="62" t="str">
        <f t="shared" si="126"/>
        <v>DNS/DNF</v>
      </c>
      <c r="AY232" s="62" t="str">
        <f t="shared" si="127"/>
        <v>DNS/DNF</v>
      </c>
      <c r="AZ232" s="62" t="str">
        <f t="shared" si="128"/>
        <v>DNS/DNF</v>
      </c>
      <c r="BA232" s="62" t="str">
        <f t="shared" si="129"/>
        <v>DNS/DNF</v>
      </c>
      <c r="BB232" s="62" t="str">
        <f t="shared" si="130"/>
        <v>DNS/DNF</v>
      </c>
      <c r="BC232" s="75" t="str">
        <f t="shared" si="131"/>
        <v/>
      </c>
      <c r="BD232" s="53" t="str">
        <f t="shared" si="132"/>
        <v/>
      </c>
      <c r="BE232" s="53" t="str">
        <f t="shared" si="133"/>
        <v/>
      </c>
      <c r="BF232" s="53" t="str">
        <f t="shared" si="134"/>
        <v/>
      </c>
      <c r="BG232" s="53" t="str">
        <f t="shared" si="135"/>
        <v/>
      </c>
      <c r="BH232" s="53" t="str">
        <f t="shared" si="136"/>
        <v/>
      </c>
      <c r="BI232" s="53" t="str">
        <f t="shared" si="137"/>
        <v/>
      </c>
      <c r="BJ232" s="53" t="str">
        <f t="shared" si="138"/>
        <v/>
      </c>
      <c r="BK232" s="53" t="str">
        <f t="shared" si="139"/>
        <v/>
      </c>
    </row>
    <row r="233" spans="1:63">
      <c r="A233" s="53"/>
      <c r="B233" s="89" t="str">
        <f>IFERROR(VLOOKUP($A233,EntryList!$A$3:$N$645,2,FALSE),"")</f>
        <v/>
      </c>
      <c r="C233" s="74"/>
      <c r="D233" s="53">
        <f t="shared" si="113"/>
        <v>0</v>
      </c>
      <c r="E233" s="62"/>
      <c r="F233" s="62"/>
      <c r="G233" s="62"/>
      <c r="H233" s="62"/>
      <c r="I233" s="62"/>
      <c r="J233" s="62"/>
      <c r="K233" s="62"/>
      <c r="L233" s="62"/>
      <c r="M233" s="62"/>
      <c r="N233" s="62">
        <f t="shared" si="114"/>
        <v>0</v>
      </c>
      <c r="O233" s="53" t="str">
        <f t="shared" si="140"/>
        <v/>
      </c>
      <c r="P233" s="53" t="str">
        <f t="shared" si="141"/>
        <v/>
      </c>
      <c r="Q233" s="53" t="str">
        <f t="shared" si="142"/>
        <v/>
      </c>
      <c r="R233" s="53" t="str">
        <f t="shared" si="143"/>
        <v/>
      </c>
      <c r="S233" s="53" t="str">
        <f t="shared" si="144"/>
        <v/>
      </c>
      <c r="T233" s="53" t="str">
        <f t="shared" si="145"/>
        <v/>
      </c>
      <c r="U233" s="53" t="str">
        <f t="shared" si="146"/>
        <v/>
      </c>
      <c r="V233" s="53" t="str">
        <f t="shared" si="147"/>
        <v/>
      </c>
      <c r="W233" s="53" t="str">
        <f t="shared" si="115"/>
        <v>DNS/DNF ()</v>
      </c>
      <c r="X233" s="53" t="str">
        <f t="shared" si="116"/>
        <v>DNS/DNF ()</v>
      </c>
      <c r="Y233" s="53" t="str">
        <f t="shared" si="117"/>
        <v>DNS/DNF ()</v>
      </c>
      <c r="Z233" s="53" t="str">
        <f t="shared" si="118"/>
        <v>DNS/DNF ()</v>
      </c>
      <c r="AA233" s="53" t="str">
        <f t="shared" si="119"/>
        <v>DNS/DNF ()</v>
      </c>
      <c r="AB233" s="53" t="str">
        <f t="shared" si="120"/>
        <v>DNS/DNF ()</v>
      </c>
      <c r="AC233" s="53" t="str">
        <f t="shared" si="121"/>
        <v>DNS/DNF ()</v>
      </c>
      <c r="AD233" s="53" t="str">
        <f t="shared" si="122"/>
        <v>DNS/DNF ()</v>
      </c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62" t="str">
        <f t="shared" si="123"/>
        <v>DNS/DNF</v>
      </c>
      <c r="AV233" s="62" t="str">
        <f t="shared" si="124"/>
        <v>DNS/DNF</v>
      </c>
      <c r="AW233" s="62" t="str">
        <f t="shared" si="125"/>
        <v>DNS/DNF</v>
      </c>
      <c r="AX233" s="62" t="str">
        <f t="shared" si="126"/>
        <v>DNS/DNF</v>
      </c>
      <c r="AY233" s="62" t="str">
        <f t="shared" si="127"/>
        <v>DNS/DNF</v>
      </c>
      <c r="AZ233" s="62" t="str">
        <f t="shared" si="128"/>
        <v>DNS/DNF</v>
      </c>
      <c r="BA233" s="62" t="str">
        <f t="shared" si="129"/>
        <v>DNS/DNF</v>
      </c>
      <c r="BB233" s="62" t="str">
        <f t="shared" si="130"/>
        <v>DNS/DNF</v>
      </c>
      <c r="BC233" s="75" t="str">
        <f t="shared" si="131"/>
        <v/>
      </c>
      <c r="BD233" s="53" t="str">
        <f t="shared" si="132"/>
        <v/>
      </c>
      <c r="BE233" s="53" t="str">
        <f t="shared" si="133"/>
        <v/>
      </c>
      <c r="BF233" s="53" t="str">
        <f t="shared" si="134"/>
        <v/>
      </c>
      <c r="BG233" s="53" t="str">
        <f t="shared" si="135"/>
        <v/>
      </c>
      <c r="BH233" s="53" t="str">
        <f t="shared" si="136"/>
        <v/>
      </c>
      <c r="BI233" s="53" t="str">
        <f t="shared" si="137"/>
        <v/>
      </c>
      <c r="BJ233" s="53" t="str">
        <f t="shared" si="138"/>
        <v/>
      </c>
      <c r="BK233" s="53" t="str">
        <f t="shared" si="139"/>
        <v/>
      </c>
    </row>
    <row r="234" spans="1:63">
      <c r="A234" s="53"/>
      <c r="B234" s="89" t="str">
        <f>IFERROR(VLOOKUP($A234,EntryList!$A$3:$N$645,2,FALSE),"")</f>
        <v/>
      </c>
      <c r="C234" s="74"/>
      <c r="D234" s="53">
        <f t="shared" si="113"/>
        <v>0</v>
      </c>
      <c r="E234" s="62"/>
      <c r="F234" s="62"/>
      <c r="G234" s="62"/>
      <c r="H234" s="62"/>
      <c r="I234" s="62"/>
      <c r="J234" s="62"/>
      <c r="K234" s="62"/>
      <c r="L234" s="62"/>
      <c r="M234" s="62"/>
      <c r="N234" s="62">
        <f t="shared" si="114"/>
        <v>0</v>
      </c>
      <c r="O234" s="53" t="str">
        <f t="shared" si="140"/>
        <v/>
      </c>
      <c r="P234" s="53" t="str">
        <f t="shared" si="141"/>
        <v/>
      </c>
      <c r="Q234" s="53" t="str">
        <f t="shared" si="142"/>
        <v/>
      </c>
      <c r="R234" s="53" t="str">
        <f t="shared" si="143"/>
        <v/>
      </c>
      <c r="S234" s="53" t="str">
        <f t="shared" si="144"/>
        <v/>
      </c>
      <c r="T234" s="53" t="str">
        <f t="shared" si="145"/>
        <v/>
      </c>
      <c r="U234" s="53" t="str">
        <f t="shared" si="146"/>
        <v/>
      </c>
      <c r="V234" s="53" t="str">
        <f t="shared" si="147"/>
        <v/>
      </c>
      <c r="W234" s="53" t="str">
        <f t="shared" si="115"/>
        <v>DNS/DNF ()</v>
      </c>
      <c r="X234" s="53" t="str">
        <f t="shared" si="116"/>
        <v>DNS/DNF ()</v>
      </c>
      <c r="Y234" s="53" t="str">
        <f t="shared" si="117"/>
        <v>DNS/DNF ()</v>
      </c>
      <c r="Z234" s="53" t="str">
        <f t="shared" si="118"/>
        <v>DNS/DNF ()</v>
      </c>
      <c r="AA234" s="53" t="str">
        <f t="shared" si="119"/>
        <v>DNS/DNF ()</v>
      </c>
      <c r="AB234" s="53" t="str">
        <f t="shared" si="120"/>
        <v>DNS/DNF ()</v>
      </c>
      <c r="AC234" s="53" t="str">
        <f t="shared" si="121"/>
        <v>DNS/DNF ()</v>
      </c>
      <c r="AD234" s="53" t="str">
        <f t="shared" si="122"/>
        <v>DNS/DNF ()</v>
      </c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62" t="str">
        <f t="shared" si="123"/>
        <v>DNS/DNF</v>
      </c>
      <c r="AV234" s="62" t="str">
        <f t="shared" si="124"/>
        <v>DNS/DNF</v>
      </c>
      <c r="AW234" s="62" t="str">
        <f t="shared" si="125"/>
        <v>DNS/DNF</v>
      </c>
      <c r="AX234" s="62" t="str">
        <f t="shared" si="126"/>
        <v>DNS/DNF</v>
      </c>
      <c r="AY234" s="62" t="str">
        <f t="shared" si="127"/>
        <v>DNS/DNF</v>
      </c>
      <c r="AZ234" s="62" t="str">
        <f t="shared" si="128"/>
        <v>DNS/DNF</v>
      </c>
      <c r="BA234" s="62" t="str">
        <f t="shared" si="129"/>
        <v>DNS/DNF</v>
      </c>
      <c r="BB234" s="62" t="str">
        <f t="shared" si="130"/>
        <v>DNS/DNF</v>
      </c>
      <c r="BC234" s="75" t="str">
        <f t="shared" si="131"/>
        <v/>
      </c>
      <c r="BD234" s="53" t="str">
        <f t="shared" si="132"/>
        <v/>
      </c>
      <c r="BE234" s="53" t="str">
        <f t="shared" si="133"/>
        <v/>
      </c>
      <c r="BF234" s="53" t="str">
        <f t="shared" si="134"/>
        <v/>
      </c>
      <c r="BG234" s="53" t="str">
        <f t="shared" si="135"/>
        <v/>
      </c>
      <c r="BH234" s="53" t="str">
        <f t="shared" si="136"/>
        <v/>
      </c>
      <c r="BI234" s="53" t="str">
        <f t="shared" si="137"/>
        <v/>
      </c>
      <c r="BJ234" s="53" t="str">
        <f t="shared" si="138"/>
        <v/>
      </c>
      <c r="BK234" s="53" t="str">
        <f t="shared" si="139"/>
        <v/>
      </c>
    </row>
    <row r="235" spans="1:63">
      <c r="A235" s="53"/>
      <c r="B235" s="89" t="str">
        <f>IFERROR(VLOOKUP($A235,EntryList!$A$3:$N$645,2,FALSE),"")</f>
        <v/>
      </c>
      <c r="C235" s="74"/>
      <c r="D235" s="53">
        <f t="shared" si="113"/>
        <v>0</v>
      </c>
      <c r="E235" s="62"/>
      <c r="F235" s="62"/>
      <c r="G235" s="62"/>
      <c r="H235" s="62"/>
      <c r="I235" s="62"/>
      <c r="J235" s="62"/>
      <c r="K235" s="62"/>
      <c r="L235" s="62"/>
      <c r="M235" s="62"/>
      <c r="N235" s="62">
        <f t="shared" si="114"/>
        <v>0</v>
      </c>
      <c r="O235" s="53" t="str">
        <f t="shared" si="140"/>
        <v/>
      </c>
      <c r="P235" s="53" t="str">
        <f t="shared" si="141"/>
        <v/>
      </c>
      <c r="Q235" s="53" t="str">
        <f t="shared" si="142"/>
        <v/>
      </c>
      <c r="R235" s="53" t="str">
        <f t="shared" si="143"/>
        <v/>
      </c>
      <c r="S235" s="53" t="str">
        <f t="shared" si="144"/>
        <v/>
      </c>
      <c r="T235" s="53" t="str">
        <f t="shared" si="145"/>
        <v/>
      </c>
      <c r="U235" s="53" t="str">
        <f t="shared" si="146"/>
        <v/>
      </c>
      <c r="V235" s="53" t="str">
        <f t="shared" si="147"/>
        <v/>
      </c>
      <c r="W235" s="53" t="str">
        <f t="shared" si="115"/>
        <v>DNS/DNF ()</v>
      </c>
      <c r="X235" s="53" t="str">
        <f t="shared" si="116"/>
        <v>DNS/DNF ()</v>
      </c>
      <c r="Y235" s="53" t="str">
        <f t="shared" si="117"/>
        <v>DNS/DNF ()</v>
      </c>
      <c r="Z235" s="53" t="str">
        <f t="shared" si="118"/>
        <v>DNS/DNF ()</v>
      </c>
      <c r="AA235" s="53" t="str">
        <f t="shared" si="119"/>
        <v>DNS/DNF ()</v>
      </c>
      <c r="AB235" s="53" t="str">
        <f t="shared" si="120"/>
        <v>DNS/DNF ()</v>
      </c>
      <c r="AC235" s="53" t="str">
        <f t="shared" si="121"/>
        <v>DNS/DNF ()</v>
      </c>
      <c r="AD235" s="53" t="str">
        <f t="shared" si="122"/>
        <v>DNS/DNF ()</v>
      </c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62" t="str">
        <f t="shared" si="123"/>
        <v>DNS/DNF</v>
      </c>
      <c r="AV235" s="62" t="str">
        <f t="shared" si="124"/>
        <v>DNS/DNF</v>
      </c>
      <c r="AW235" s="62" t="str">
        <f t="shared" si="125"/>
        <v>DNS/DNF</v>
      </c>
      <c r="AX235" s="62" t="str">
        <f t="shared" si="126"/>
        <v>DNS/DNF</v>
      </c>
      <c r="AY235" s="62" t="str">
        <f t="shared" si="127"/>
        <v>DNS/DNF</v>
      </c>
      <c r="AZ235" s="62" t="str">
        <f t="shared" si="128"/>
        <v>DNS/DNF</v>
      </c>
      <c r="BA235" s="62" t="str">
        <f t="shared" si="129"/>
        <v>DNS/DNF</v>
      </c>
      <c r="BB235" s="62" t="str">
        <f t="shared" si="130"/>
        <v>DNS/DNF</v>
      </c>
      <c r="BC235" s="75" t="str">
        <f t="shared" si="131"/>
        <v/>
      </c>
      <c r="BD235" s="53" t="str">
        <f t="shared" si="132"/>
        <v/>
      </c>
      <c r="BE235" s="53" t="str">
        <f t="shared" si="133"/>
        <v/>
      </c>
      <c r="BF235" s="53" t="str">
        <f t="shared" si="134"/>
        <v/>
      </c>
      <c r="BG235" s="53" t="str">
        <f t="shared" si="135"/>
        <v/>
      </c>
      <c r="BH235" s="53" t="str">
        <f t="shared" si="136"/>
        <v/>
      </c>
      <c r="BI235" s="53" t="str">
        <f t="shared" si="137"/>
        <v/>
      </c>
      <c r="BJ235" s="53" t="str">
        <f t="shared" si="138"/>
        <v/>
      </c>
      <c r="BK235" s="53" t="str">
        <f t="shared" si="139"/>
        <v/>
      </c>
    </row>
    <row r="236" spans="1:63">
      <c r="A236" s="53"/>
      <c r="B236" s="89" t="str">
        <f>IFERROR(VLOOKUP($A236,EntryList!$A$3:$N$645,2,FALSE),"")</f>
        <v/>
      </c>
      <c r="C236" s="74"/>
      <c r="D236" s="53">
        <f t="shared" si="113"/>
        <v>0</v>
      </c>
      <c r="E236" s="62"/>
      <c r="F236" s="62"/>
      <c r="G236" s="62"/>
      <c r="H236" s="62"/>
      <c r="I236" s="62"/>
      <c r="J236" s="62"/>
      <c r="K236" s="62"/>
      <c r="L236" s="62"/>
      <c r="M236" s="62"/>
      <c r="N236" s="62">
        <f t="shared" si="114"/>
        <v>0</v>
      </c>
      <c r="O236" s="53" t="str">
        <f t="shared" si="140"/>
        <v/>
      </c>
      <c r="P236" s="53" t="str">
        <f t="shared" si="141"/>
        <v/>
      </c>
      <c r="Q236" s="53" t="str">
        <f t="shared" si="142"/>
        <v/>
      </c>
      <c r="R236" s="53" t="str">
        <f t="shared" si="143"/>
        <v/>
      </c>
      <c r="S236" s="53" t="str">
        <f t="shared" si="144"/>
        <v/>
      </c>
      <c r="T236" s="53" t="str">
        <f t="shared" si="145"/>
        <v/>
      </c>
      <c r="U236" s="53" t="str">
        <f t="shared" si="146"/>
        <v/>
      </c>
      <c r="V236" s="53" t="str">
        <f t="shared" si="147"/>
        <v/>
      </c>
      <c r="W236" s="53" t="str">
        <f t="shared" si="115"/>
        <v>DNS/DNF ()</v>
      </c>
      <c r="X236" s="53" t="str">
        <f t="shared" si="116"/>
        <v>DNS/DNF ()</v>
      </c>
      <c r="Y236" s="53" t="str">
        <f t="shared" si="117"/>
        <v>DNS/DNF ()</v>
      </c>
      <c r="Z236" s="53" t="str">
        <f t="shared" si="118"/>
        <v>DNS/DNF ()</v>
      </c>
      <c r="AA236" s="53" t="str">
        <f t="shared" si="119"/>
        <v>DNS/DNF ()</v>
      </c>
      <c r="AB236" s="53" t="str">
        <f t="shared" si="120"/>
        <v>DNS/DNF ()</v>
      </c>
      <c r="AC236" s="53" t="str">
        <f t="shared" si="121"/>
        <v>DNS/DNF ()</v>
      </c>
      <c r="AD236" s="53" t="str">
        <f t="shared" si="122"/>
        <v>DNS/DNF ()</v>
      </c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62" t="str">
        <f t="shared" si="123"/>
        <v>DNS/DNF</v>
      </c>
      <c r="AV236" s="62" t="str">
        <f t="shared" si="124"/>
        <v>DNS/DNF</v>
      </c>
      <c r="AW236" s="62" t="str">
        <f t="shared" si="125"/>
        <v>DNS/DNF</v>
      </c>
      <c r="AX236" s="62" t="str">
        <f t="shared" si="126"/>
        <v>DNS/DNF</v>
      </c>
      <c r="AY236" s="62" t="str">
        <f t="shared" si="127"/>
        <v>DNS/DNF</v>
      </c>
      <c r="AZ236" s="62" t="str">
        <f t="shared" si="128"/>
        <v>DNS/DNF</v>
      </c>
      <c r="BA236" s="62" t="str">
        <f t="shared" si="129"/>
        <v>DNS/DNF</v>
      </c>
      <c r="BB236" s="62" t="str">
        <f t="shared" si="130"/>
        <v>DNS/DNF</v>
      </c>
      <c r="BC236" s="75" t="str">
        <f t="shared" si="131"/>
        <v/>
      </c>
      <c r="BD236" s="53" t="str">
        <f t="shared" si="132"/>
        <v/>
      </c>
      <c r="BE236" s="53" t="str">
        <f t="shared" si="133"/>
        <v/>
      </c>
      <c r="BF236" s="53" t="str">
        <f t="shared" si="134"/>
        <v/>
      </c>
      <c r="BG236" s="53" t="str">
        <f t="shared" si="135"/>
        <v/>
      </c>
      <c r="BH236" s="53" t="str">
        <f t="shared" si="136"/>
        <v/>
      </c>
      <c r="BI236" s="53" t="str">
        <f t="shared" si="137"/>
        <v/>
      </c>
      <c r="BJ236" s="53" t="str">
        <f t="shared" si="138"/>
        <v/>
      </c>
      <c r="BK236" s="53" t="str">
        <f t="shared" si="139"/>
        <v/>
      </c>
    </row>
    <row r="237" spans="1:63">
      <c r="A237" s="53"/>
      <c r="B237" s="89" t="str">
        <f>IFERROR(VLOOKUP($A237,EntryList!$A$3:$N$645,2,FALSE),"")</f>
        <v/>
      </c>
      <c r="C237" s="74"/>
      <c r="D237" s="53">
        <f t="shared" si="113"/>
        <v>0</v>
      </c>
      <c r="E237" s="62"/>
      <c r="F237" s="62"/>
      <c r="G237" s="62"/>
      <c r="H237" s="62"/>
      <c r="I237" s="62"/>
      <c r="J237" s="62"/>
      <c r="K237" s="62"/>
      <c r="L237" s="62"/>
      <c r="M237" s="62"/>
      <c r="N237" s="62">
        <f t="shared" si="114"/>
        <v>0</v>
      </c>
      <c r="O237" s="53" t="str">
        <f t="shared" si="140"/>
        <v/>
      </c>
      <c r="P237" s="53" t="str">
        <f t="shared" si="141"/>
        <v/>
      </c>
      <c r="Q237" s="53" t="str">
        <f t="shared" si="142"/>
        <v/>
      </c>
      <c r="R237" s="53" t="str">
        <f t="shared" si="143"/>
        <v/>
      </c>
      <c r="S237" s="53" t="str">
        <f t="shared" si="144"/>
        <v/>
      </c>
      <c r="T237" s="53" t="str">
        <f t="shared" si="145"/>
        <v/>
      </c>
      <c r="U237" s="53" t="str">
        <f t="shared" si="146"/>
        <v/>
      </c>
      <c r="V237" s="53" t="str">
        <f t="shared" si="147"/>
        <v/>
      </c>
      <c r="W237" s="53" t="str">
        <f t="shared" si="115"/>
        <v>DNS/DNF ()</v>
      </c>
      <c r="X237" s="53" t="str">
        <f t="shared" si="116"/>
        <v>DNS/DNF ()</v>
      </c>
      <c r="Y237" s="53" t="str">
        <f t="shared" si="117"/>
        <v>DNS/DNF ()</v>
      </c>
      <c r="Z237" s="53" t="str">
        <f t="shared" si="118"/>
        <v>DNS/DNF ()</v>
      </c>
      <c r="AA237" s="53" t="str">
        <f t="shared" si="119"/>
        <v>DNS/DNF ()</v>
      </c>
      <c r="AB237" s="53" t="str">
        <f t="shared" si="120"/>
        <v>DNS/DNF ()</v>
      </c>
      <c r="AC237" s="53" t="str">
        <f t="shared" si="121"/>
        <v>DNS/DNF ()</v>
      </c>
      <c r="AD237" s="53" t="str">
        <f t="shared" si="122"/>
        <v>DNS/DNF ()</v>
      </c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62" t="str">
        <f t="shared" si="123"/>
        <v>DNS/DNF</v>
      </c>
      <c r="AV237" s="62" t="str">
        <f t="shared" si="124"/>
        <v>DNS/DNF</v>
      </c>
      <c r="AW237" s="62" t="str">
        <f t="shared" si="125"/>
        <v>DNS/DNF</v>
      </c>
      <c r="AX237" s="62" t="str">
        <f t="shared" si="126"/>
        <v>DNS/DNF</v>
      </c>
      <c r="AY237" s="62" t="str">
        <f t="shared" si="127"/>
        <v>DNS/DNF</v>
      </c>
      <c r="AZ237" s="62" t="str">
        <f t="shared" si="128"/>
        <v>DNS/DNF</v>
      </c>
      <c r="BA237" s="62" t="str">
        <f t="shared" si="129"/>
        <v>DNS/DNF</v>
      </c>
      <c r="BB237" s="62" t="str">
        <f t="shared" si="130"/>
        <v>DNS/DNF</v>
      </c>
      <c r="BC237" s="75" t="str">
        <f t="shared" si="131"/>
        <v/>
      </c>
      <c r="BD237" s="53" t="str">
        <f t="shared" si="132"/>
        <v/>
      </c>
      <c r="BE237" s="53" t="str">
        <f t="shared" si="133"/>
        <v/>
      </c>
      <c r="BF237" s="53" t="str">
        <f t="shared" si="134"/>
        <v/>
      </c>
      <c r="BG237" s="53" t="str">
        <f t="shared" si="135"/>
        <v/>
      </c>
      <c r="BH237" s="53" t="str">
        <f t="shared" si="136"/>
        <v/>
      </c>
      <c r="BI237" s="53" t="str">
        <f t="shared" si="137"/>
        <v/>
      </c>
      <c r="BJ237" s="53" t="str">
        <f t="shared" si="138"/>
        <v/>
      </c>
      <c r="BK237" s="53" t="str">
        <f t="shared" si="139"/>
        <v/>
      </c>
    </row>
    <row r="238" spans="1:63">
      <c r="A238" s="53"/>
      <c r="B238" s="89" t="str">
        <f>IFERROR(VLOOKUP($A238,EntryList!$A$3:$N$645,2,FALSE),"")</f>
        <v/>
      </c>
      <c r="C238" s="74"/>
      <c r="D238" s="53">
        <f t="shared" si="113"/>
        <v>0</v>
      </c>
      <c r="E238" s="62"/>
      <c r="F238" s="62"/>
      <c r="G238" s="62"/>
      <c r="H238" s="62"/>
      <c r="I238" s="62"/>
      <c r="J238" s="62"/>
      <c r="K238" s="62"/>
      <c r="L238" s="62"/>
      <c r="M238" s="62"/>
      <c r="N238" s="62">
        <f t="shared" si="114"/>
        <v>0</v>
      </c>
      <c r="O238" s="53" t="str">
        <f t="shared" si="140"/>
        <v/>
      </c>
      <c r="P238" s="53" t="str">
        <f t="shared" si="141"/>
        <v/>
      </c>
      <c r="Q238" s="53" t="str">
        <f t="shared" si="142"/>
        <v/>
      </c>
      <c r="R238" s="53" t="str">
        <f t="shared" si="143"/>
        <v/>
      </c>
      <c r="S238" s="53" t="str">
        <f t="shared" si="144"/>
        <v/>
      </c>
      <c r="T238" s="53" t="str">
        <f t="shared" si="145"/>
        <v/>
      </c>
      <c r="U238" s="53" t="str">
        <f t="shared" si="146"/>
        <v/>
      </c>
      <c r="V238" s="53" t="str">
        <f t="shared" si="147"/>
        <v/>
      </c>
      <c r="W238" s="53" t="str">
        <f t="shared" si="115"/>
        <v>DNS/DNF ()</v>
      </c>
      <c r="X238" s="53" t="str">
        <f t="shared" si="116"/>
        <v>DNS/DNF ()</v>
      </c>
      <c r="Y238" s="53" t="str">
        <f t="shared" si="117"/>
        <v>DNS/DNF ()</v>
      </c>
      <c r="Z238" s="53" t="str">
        <f t="shared" si="118"/>
        <v>DNS/DNF ()</v>
      </c>
      <c r="AA238" s="53" t="str">
        <f t="shared" si="119"/>
        <v>DNS/DNF ()</v>
      </c>
      <c r="AB238" s="53" t="str">
        <f t="shared" si="120"/>
        <v>DNS/DNF ()</v>
      </c>
      <c r="AC238" s="53" t="str">
        <f t="shared" si="121"/>
        <v>DNS/DNF ()</v>
      </c>
      <c r="AD238" s="53" t="str">
        <f t="shared" si="122"/>
        <v>DNS/DNF ()</v>
      </c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62" t="str">
        <f t="shared" si="123"/>
        <v>DNS/DNF</v>
      </c>
      <c r="AV238" s="62" t="str">
        <f t="shared" si="124"/>
        <v>DNS/DNF</v>
      </c>
      <c r="AW238" s="62" t="str">
        <f t="shared" si="125"/>
        <v>DNS/DNF</v>
      </c>
      <c r="AX238" s="62" t="str">
        <f t="shared" si="126"/>
        <v>DNS/DNF</v>
      </c>
      <c r="AY238" s="62" t="str">
        <f t="shared" si="127"/>
        <v>DNS/DNF</v>
      </c>
      <c r="AZ238" s="62" t="str">
        <f t="shared" si="128"/>
        <v>DNS/DNF</v>
      </c>
      <c r="BA238" s="62" t="str">
        <f t="shared" si="129"/>
        <v>DNS/DNF</v>
      </c>
      <c r="BB238" s="62" t="str">
        <f t="shared" si="130"/>
        <v>DNS/DNF</v>
      </c>
      <c r="BC238" s="75" t="str">
        <f t="shared" si="131"/>
        <v/>
      </c>
      <c r="BD238" s="53" t="str">
        <f t="shared" si="132"/>
        <v/>
      </c>
      <c r="BE238" s="53" t="str">
        <f t="shared" si="133"/>
        <v/>
      </c>
      <c r="BF238" s="53" t="str">
        <f t="shared" si="134"/>
        <v/>
      </c>
      <c r="BG238" s="53" t="str">
        <f t="shared" si="135"/>
        <v/>
      </c>
      <c r="BH238" s="53" t="str">
        <f t="shared" si="136"/>
        <v/>
      </c>
      <c r="BI238" s="53" t="str">
        <f t="shared" si="137"/>
        <v/>
      </c>
      <c r="BJ238" s="53" t="str">
        <f t="shared" si="138"/>
        <v/>
      </c>
      <c r="BK238" s="53" t="str">
        <f t="shared" si="139"/>
        <v/>
      </c>
    </row>
    <row r="239" spans="1:63">
      <c r="A239" s="53"/>
      <c r="B239" s="89" t="str">
        <f>IFERROR(VLOOKUP($A239,EntryList!$A$3:$N$645,2,FALSE),"")</f>
        <v/>
      </c>
      <c r="C239" s="74"/>
      <c r="D239" s="53">
        <f t="shared" si="113"/>
        <v>0</v>
      </c>
      <c r="E239" s="62"/>
      <c r="F239" s="62"/>
      <c r="G239" s="62"/>
      <c r="H239" s="62"/>
      <c r="I239" s="62"/>
      <c r="J239" s="62"/>
      <c r="K239" s="62"/>
      <c r="L239" s="62"/>
      <c r="M239" s="62"/>
      <c r="N239" s="62">
        <f t="shared" si="114"/>
        <v>0</v>
      </c>
      <c r="O239" s="53" t="str">
        <f t="shared" si="140"/>
        <v/>
      </c>
      <c r="P239" s="53" t="str">
        <f t="shared" si="141"/>
        <v/>
      </c>
      <c r="Q239" s="53" t="str">
        <f t="shared" si="142"/>
        <v/>
      </c>
      <c r="R239" s="53" t="str">
        <f t="shared" si="143"/>
        <v/>
      </c>
      <c r="S239" s="53" t="str">
        <f t="shared" si="144"/>
        <v/>
      </c>
      <c r="T239" s="53" t="str">
        <f t="shared" si="145"/>
        <v/>
      </c>
      <c r="U239" s="53" t="str">
        <f t="shared" si="146"/>
        <v/>
      </c>
      <c r="V239" s="53" t="str">
        <f t="shared" si="147"/>
        <v/>
      </c>
      <c r="W239" s="53" t="str">
        <f t="shared" si="115"/>
        <v>DNS/DNF ()</v>
      </c>
      <c r="X239" s="53" t="str">
        <f t="shared" si="116"/>
        <v>DNS/DNF ()</v>
      </c>
      <c r="Y239" s="53" t="str">
        <f t="shared" si="117"/>
        <v>DNS/DNF ()</v>
      </c>
      <c r="Z239" s="53" t="str">
        <f t="shared" si="118"/>
        <v>DNS/DNF ()</v>
      </c>
      <c r="AA239" s="53" t="str">
        <f t="shared" si="119"/>
        <v>DNS/DNF ()</v>
      </c>
      <c r="AB239" s="53" t="str">
        <f t="shared" si="120"/>
        <v>DNS/DNF ()</v>
      </c>
      <c r="AC239" s="53" t="str">
        <f t="shared" si="121"/>
        <v>DNS/DNF ()</v>
      </c>
      <c r="AD239" s="53" t="str">
        <f t="shared" si="122"/>
        <v>DNS/DNF ()</v>
      </c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62" t="str">
        <f t="shared" si="123"/>
        <v>DNS/DNF</v>
      </c>
      <c r="AV239" s="62" t="str">
        <f t="shared" si="124"/>
        <v>DNS/DNF</v>
      </c>
      <c r="AW239" s="62" t="str">
        <f t="shared" si="125"/>
        <v>DNS/DNF</v>
      </c>
      <c r="AX239" s="62" t="str">
        <f t="shared" si="126"/>
        <v>DNS/DNF</v>
      </c>
      <c r="AY239" s="62" t="str">
        <f t="shared" si="127"/>
        <v>DNS/DNF</v>
      </c>
      <c r="AZ239" s="62" t="str">
        <f t="shared" si="128"/>
        <v>DNS/DNF</v>
      </c>
      <c r="BA239" s="62" t="str">
        <f t="shared" si="129"/>
        <v>DNS/DNF</v>
      </c>
      <c r="BB239" s="62" t="str">
        <f t="shared" si="130"/>
        <v>DNS/DNF</v>
      </c>
      <c r="BC239" s="75" t="str">
        <f t="shared" si="131"/>
        <v/>
      </c>
      <c r="BD239" s="53" t="str">
        <f t="shared" si="132"/>
        <v/>
      </c>
      <c r="BE239" s="53" t="str">
        <f t="shared" si="133"/>
        <v/>
      </c>
      <c r="BF239" s="53" t="str">
        <f t="shared" si="134"/>
        <v/>
      </c>
      <c r="BG239" s="53" t="str">
        <f t="shared" si="135"/>
        <v/>
      </c>
      <c r="BH239" s="53" t="str">
        <f t="shared" si="136"/>
        <v/>
      </c>
      <c r="BI239" s="53" t="str">
        <f t="shared" si="137"/>
        <v/>
      </c>
      <c r="BJ239" s="53" t="str">
        <f t="shared" si="138"/>
        <v/>
      </c>
      <c r="BK239" s="53" t="str">
        <f t="shared" si="139"/>
        <v/>
      </c>
    </row>
    <row r="240" spans="1:63">
      <c r="A240" s="53"/>
      <c r="B240" s="89" t="str">
        <f>IFERROR(VLOOKUP($A240,EntryList!$A$3:$N$645,2,FALSE),"")</f>
        <v/>
      </c>
      <c r="C240" s="74"/>
      <c r="D240" s="53">
        <f t="shared" si="113"/>
        <v>0</v>
      </c>
      <c r="E240" s="62"/>
      <c r="F240" s="62"/>
      <c r="G240" s="62"/>
      <c r="H240" s="62"/>
      <c r="I240" s="62"/>
      <c r="J240" s="62"/>
      <c r="K240" s="62"/>
      <c r="L240" s="62"/>
      <c r="M240" s="62"/>
      <c r="N240" s="62">
        <f t="shared" si="114"/>
        <v>0</v>
      </c>
      <c r="O240" s="53" t="str">
        <f t="shared" si="140"/>
        <v/>
      </c>
      <c r="P240" s="53" t="str">
        <f t="shared" si="141"/>
        <v/>
      </c>
      <c r="Q240" s="53" t="str">
        <f t="shared" si="142"/>
        <v/>
      </c>
      <c r="R240" s="53" t="str">
        <f t="shared" si="143"/>
        <v/>
      </c>
      <c r="S240" s="53" t="str">
        <f t="shared" si="144"/>
        <v/>
      </c>
      <c r="T240" s="53" t="str">
        <f t="shared" si="145"/>
        <v/>
      </c>
      <c r="U240" s="53" t="str">
        <f t="shared" si="146"/>
        <v/>
      </c>
      <c r="V240" s="53" t="str">
        <f t="shared" si="147"/>
        <v/>
      </c>
      <c r="W240" s="53" t="str">
        <f t="shared" si="115"/>
        <v>DNS/DNF ()</v>
      </c>
      <c r="X240" s="53" t="str">
        <f t="shared" si="116"/>
        <v>DNS/DNF ()</v>
      </c>
      <c r="Y240" s="53" t="str">
        <f t="shared" si="117"/>
        <v>DNS/DNF ()</v>
      </c>
      <c r="Z240" s="53" t="str">
        <f t="shared" si="118"/>
        <v>DNS/DNF ()</v>
      </c>
      <c r="AA240" s="53" t="str">
        <f t="shared" si="119"/>
        <v>DNS/DNF ()</v>
      </c>
      <c r="AB240" s="53" t="str">
        <f t="shared" si="120"/>
        <v>DNS/DNF ()</v>
      </c>
      <c r="AC240" s="53" t="str">
        <f t="shared" si="121"/>
        <v>DNS/DNF ()</v>
      </c>
      <c r="AD240" s="53" t="str">
        <f t="shared" si="122"/>
        <v>DNS/DNF ()</v>
      </c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62" t="str">
        <f t="shared" si="123"/>
        <v>DNS/DNF</v>
      </c>
      <c r="AV240" s="62" t="str">
        <f t="shared" si="124"/>
        <v>DNS/DNF</v>
      </c>
      <c r="AW240" s="62" t="str">
        <f t="shared" si="125"/>
        <v>DNS/DNF</v>
      </c>
      <c r="AX240" s="62" t="str">
        <f t="shared" si="126"/>
        <v>DNS/DNF</v>
      </c>
      <c r="AY240" s="62" t="str">
        <f t="shared" si="127"/>
        <v>DNS/DNF</v>
      </c>
      <c r="AZ240" s="62" t="str">
        <f t="shared" si="128"/>
        <v>DNS/DNF</v>
      </c>
      <c r="BA240" s="62" t="str">
        <f t="shared" si="129"/>
        <v>DNS/DNF</v>
      </c>
      <c r="BB240" s="62" t="str">
        <f t="shared" si="130"/>
        <v>DNS/DNF</v>
      </c>
      <c r="BC240" s="75" t="str">
        <f t="shared" si="131"/>
        <v/>
      </c>
      <c r="BD240" s="53" t="str">
        <f t="shared" si="132"/>
        <v/>
      </c>
      <c r="BE240" s="53" t="str">
        <f t="shared" si="133"/>
        <v/>
      </c>
      <c r="BF240" s="53" t="str">
        <f t="shared" si="134"/>
        <v/>
      </c>
      <c r="BG240" s="53" t="str">
        <f t="shared" si="135"/>
        <v/>
      </c>
      <c r="BH240" s="53" t="str">
        <f t="shared" si="136"/>
        <v/>
      </c>
      <c r="BI240" s="53" t="str">
        <f t="shared" si="137"/>
        <v/>
      </c>
      <c r="BJ240" s="53" t="str">
        <f t="shared" si="138"/>
        <v/>
      </c>
      <c r="BK240" s="53" t="str">
        <f t="shared" si="139"/>
        <v/>
      </c>
    </row>
    <row r="241" spans="1:63">
      <c r="A241" s="53"/>
      <c r="B241" s="89" t="str">
        <f>IFERROR(VLOOKUP($A241,EntryList!$A$3:$N$645,2,FALSE),"")</f>
        <v/>
      </c>
      <c r="C241" s="74"/>
      <c r="D241" s="53">
        <f t="shared" si="113"/>
        <v>0</v>
      </c>
      <c r="E241" s="62"/>
      <c r="F241" s="62"/>
      <c r="G241" s="62"/>
      <c r="H241" s="62"/>
      <c r="I241" s="62"/>
      <c r="J241" s="62"/>
      <c r="K241" s="62"/>
      <c r="L241" s="62"/>
      <c r="M241" s="62"/>
      <c r="N241" s="62">
        <f t="shared" si="114"/>
        <v>0</v>
      </c>
      <c r="O241" s="53" t="str">
        <f t="shared" si="140"/>
        <v/>
      </c>
      <c r="P241" s="53" t="str">
        <f t="shared" si="141"/>
        <v/>
      </c>
      <c r="Q241" s="53" t="str">
        <f t="shared" si="142"/>
        <v/>
      </c>
      <c r="R241" s="53" t="str">
        <f t="shared" si="143"/>
        <v/>
      </c>
      <c r="S241" s="53" t="str">
        <f t="shared" si="144"/>
        <v/>
      </c>
      <c r="T241" s="53" t="str">
        <f t="shared" si="145"/>
        <v/>
      </c>
      <c r="U241" s="53" t="str">
        <f t="shared" si="146"/>
        <v/>
      </c>
      <c r="V241" s="53" t="str">
        <f t="shared" si="147"/>
        <v/>
      </c>
      <c r="W241" s="53" t="str">
        <f t="shared" si="115"/>
        <v>DNS/DNF ()</v>
      </c>
      <c r="X241" s="53" t="str">
        <f t="shared" si="116"/>
        <v>DNS/DNF ()</v>
      </c>
      <c r="Y241" s="53" t="str">
        <f t="shared" si="117"/>
        <v>DNS/DNF ()</v>
      </c>
      <c r="Z241" s="53" t="str">
        <f t="shared" si="118"/>
        <v>DNS/DNF ()</v>
      </c>
      <c r="AA241" s="53" t="str">
        <f t="shared" si="119"/>
        <v>DNS/DNF ()</v>
      </c>
      <c r="AB241" s="53" t="str">
        <f t="shared" si="120"/>
        <v>DNS/DNF ()</v>
      </c>
      <c r="AC241" s="53" t="str">
        <f t="shared" si="121"/>
        <v>DNS/DNF ()</v>
      </c>
      <c r="AD241" s="53" t="str">
        <f t="shared" si="122"/>
        <v>DNS/DNF ()</v>
      </c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62" t="str">
        <f t="shared" si="123"/>
        <v>DNS/DNF</v>
      </c>
      <c r="AV241" s="62" t="str">
        <f t="shared" si="124"/>
        <v>DNS/DNF</v>
      </c>
      <c r="AW241" s="62" t="str">
        <f t="shared" si="125"/>
        <v>DNS/DNF</v>
      </c>
      <c r="AX241" s="62" t="str">
        <f t="shared" si="126"/>
        <v>DNS/DNF</v>
      </c>
      <c r="AY241" s="62" t="str">
        <f t="shared" si="127"/>
        <v>DNS/DNF</v>
      </c>
      <c r="AZ241" s="62" t="str">
        <f t="shared" si="128"/>
        <v>DNS/DNF</v>
      </c>
      <c r="BA241" s="62" t="str">
        <f t="shared" si="129"/>
        <v>DNS/DNF</v>
      </c>
      <c r="BB241" s="62" t="str">
        <f t="shared" si="130"/>
        <v>DNS/DNF</v>
      </c>
      <c r="BC241" s="75" t="str">
        <f t="shared" si="131"/>
        <v/>
      </c>
      <c r="BD241" s="53" t="str">
        <f t="shared" si="132"/>
        <v/>
      </c>
      <c r="BE241" s="53" t="str">
        <f t="shared" si="133"/>
        <v/>
      </c>
      <c r="BF241" s="53" t="str">
        <f t="shared" si="134"/>
        <v/>
      </c>
      <c r="BG241" s="53" t="str">
        <f t="shared" si="135"/>
        <v/>
      </c>
      <c r="BH241" s="53" t="str">
        <f t="shared" si="136"/>
        <v/>
      </c>
      <c r="BI241" s="53" t="str">
        <f t="shared" si="137"/>
        <v/>
      </c>
      <c r="BJ241" s="53" t="str">
        <f t="shared" si="138"/>
        <v/>
      </c>
      <c r="BK241" s="53" t="str">
        <f t="shared" si="139"/>
        <v/>
      </c>
    </row>
    <row r="242" spans="1:63">
      <c r="A242" s="53"/>
      <c r="B242" s="89" t="str">
        <f>IFERROR(VLOOKUP($A242,EntryList!$A$3:$N$645,2,FALSE),"")</f>
        <v/>
      </c>
      <c r="C242" s="74"/>
      <c r="D242" s="53">
        <f t="shared" si="113"/>
        <v>0</v>
      </c>
      <c r="E242" s="62"/>
      <c r="F242" s="62"/>
      <c r="G242" s="62"/>
      <c r="H242" s="62"/>
      <c r="I242" s="62"/>
      <c r="J242" s="62"/>
      <c r="K242" s="62"/>
      <c r="L242" s="62"/>
      <c r="M242" s="62"/>
      <c r="N242" s="62">
        <f t="shared" si="114"/>
        <v>0</v>
      </c>
      <c r="O242" s="53" t="str">
        <f t="shared" si="140"/>
        <v/>
      </c>
      <c r="P242" s="53" t="str">
        <f t="shared" si="141"/>
        <v/>
      </c>
      <c r="Q242" s="53" t="str">
        <f t="shared" si="142"/>
        <v/>
      </c>
      <c r="R242" s="53" t="str">
        <f t="shared" si="143"/>
        <v/>
      </c>
      <c r="S242" s="53" t="str">
        <f t="shared" si="144"/>
        <v/>
      </c>
      <c r="T242" s="53" t="str">
        <f t="shared" si="145"/>
        <v/>
      </c>
      <c r="U242" s="53" t="str">
        <f t="shared" si="146"/>
        <v/>
      </c>
      <c r="V242" s="53" t="str">
        <f t="shared" si="147"/>
        <v/>
      </c>
      <c r="W242" s="53" t="str">
        <f t="shared" si="115"/>
        <v>DNS/DNF ()</v>
      </c>
      <c r="X242" s="53" t="str">
        <f t="shared" si="116"/>
        <v>DNS/DNF ()</v>
      </c>
      <c r="Y242" s="53" t="str">
        <f t="shared" si="117"/>
        <v>DNS/DNF ()</v>
      </c>
      <c r="Z242" s="53" t="str">
        <f t="shared" si="118"/>
        <v>DNS/DNF ()</v>
      </c>
      <c r="AA242" s="53" t="str">
        <f t="shared" si="119"/>
        <v>DNS/DNF ()</v>
      </c>
      <c r="AB242" s="53" t="str">
        <f t="shared" si="120"/>
        <v>DNS/DNF ()</v>
      </c>
      <c r="AC242" s="53" t="str">
        <f t="shared" si="121"/>
        <v>DNS/DNF ()</v>
      </c>
      <c r="AD242" s="53" t="str">
        <f t="shared" si="122"/>
        <v>DNS/DNF ()</v>
      </c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62" t="str">
        <f t="shared" si="123"/>
        <v>DNS/DNF</v>
      </c>
      <c r="AV242" s="62" t="str">
        <f t="shared" si="124"/>
        <v>DNS/DNF</v>
      </c>
      <c r="AW242" s="62" t="str">
        <f t="shared" si="125"/>
        <v>DNS/DNF</v>
      </c>
      <c r="AX242" s="62" t="str">
        <f t="shared" si="126"/>
        <v>DNS/DNF</v>
      </c>
      <c r="AY242" s="62" t="str">
        <f t="shared" si="127"/>
        <v>DNS/DNF</v>
      </c>
      <c r="AZ242" s="62" t="str">
        <f t="shared" si="128"/>
        <v>DNS/DNF</v>
      </c>
      <c r="BA242" s="62" t="str">
        <f t="shared" si="129"/>
        <v>DNS/DNF</v>
      </c>
      <c r="BB242" s="62" t="str">
        <f t="shared" si="130"/>
        <v>DNS/DNF</v>
      </c>
      <c r="BC242" s="75" t="str">
        <f t="shared" si="131"/>
        <v/>
      </c>
      <c r="BD242" s="53" t="str">
        <f t="shared" si="132"/>
        <v/>
      </c>
      <c r="BE242" s="53" t="str">
        <f t="shared" si="133"/>
        <v/>
      </c>
      <c r="BF242" s="53" t="str">
        <f t="shared" si="134"/>
        <v/>
      </c>
      <c r="BG242" s="53" t="str">
        <f t="shared" si="135"/>
        <v/>
      </c>
      <c r="BH242" s="53" t="str">
        <f t="shared" si="136"/>
        <v/>
      </c>
      <c r="BI242" s="53" t="str">
        <f t="shared" si="137"/>
        <v/>
      </c>
      <c r="BJ242" s="53" t="str">
        <f t="shared" si="138"/>
        <v/>
      </c>
      <c r="BK242" s="53" t="str">
        <f t="shared" si="139"/>
        <v/>
      </c>
    </row>
    <row r="243" spans="1:63">
      <c r="A243" s="53"/>
      <c r="B243" s="89" t="str">
        <f>IFERROR(VLOOKUP($A243,EntryList!$A$3:$N$645,2,FALSE),"")</f>
        <v/>
      </c>
      <c r="C243" s="74"/>
      <c r="D243" s="53">
        <f t="shared" si="113"/>
        <v>0</v>
      </c>
      <c r="E243" s="62"/>
      <c r="F243" s="62"/>
      <c r="G243" s="62"/>
      <c r="H243" s="62"/>
      <c r="I243" s="62"/>
      <c r="J243" s="62"/>
      <c r="K243" s="62"/>
      <c r="L243" s="62"/>
      <c r="M243" s="62"/>
      <c r="N243" s="62">
        <f t="shared" si="114"/>
        <v>0</v>
      </c>
      <c r="O243" s="53" t="str">
        <f t="shared" si="140"/>
        <v/>
      </c>
      <c r="P243" s="53" t="str">
        <f t="shared" si="141"/>
        <v/>
      </c>
      <c r="Q243" s="53" t="str">
        <f t="shared" si="142"/>
        <v/>
      </c>
      <c r="R243" s="53" t="str">
        <f t="shared" si="143"/>
        <v/>
      </c>
      <c r="S243" s="53" t="str">
        <f t="shared" si="144"/>
        <v/>
      </c>
      <c r="T243" s="53" t="str">
        <f t="shared" si="145"/>
        <v/>
      </c>
      <c r="U243" s="53" t="str">
        <f t="shared" si="146"/>
        <v/>
      </c>
      <c r="V243" s="53" t="str">
        <f t="shared" si="147"/>
        <v/>
      </c>
      <c r="W243" s="53" t="str">
        <f t="shared" si="115"/>
        <v>DNS/DNF ()</v>
      </c>
      <c r="X243" s="53" t="str">
        <f t="shared" si="116"/>
        <v>DNS/DNF ()</v>
      </c>
      <c r="Y243" s="53" t="str">
        <f t="shared" si="117"/>
        <v>DNS/DNF ()</v>
      </c>
      <c r="Z243" s="53" t="str">
        <f t="shared" si="118"/>
        <v>DNS/DNF ()</v>
      </c>
      <c r="AA243" s="53" t="str">
        <f t="shared" si="119"/>
        <v>DNS/DNF ()</v>
      </c>
      <c r="AB243" s="53" t="str">
        <f t="shared" si="120"/>
        <v>DNS/DNF ()</v>
      </c>
      <c r="AC243" s="53" t="str">
        <f t="shared" si="121"/>
        <v>DNS/DNF ()</v>
      </c>
      <c r="AD243" s="53" t="str">
        <f t="shared" si="122"/>
        <v>DNS/DNF ()</v>
      </c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62" t="str">
        <f t="shared" si="123"/>
        <v>DNS/DNF</v>
      </c>
      <c r="AV243" s="62" t="str">
        <f t="shared" si="124"/>
        <v>DNS/DNF</v>
      </c>
      <c r="AW243" s="62" t="str">
        <f t="shared" si="125"/>
        <v>DNS/DNF</v>
      </c>
      <c r="AX243" s="62" t="str">
        <f t="shared" si="126"/>
        <v>DNS/DNF</v>
      </c>
      <c r="AY243" s="62" t="str">
        <f t="shared" si="127"/>
        <v>DNS/DNF</v>
      </c>
      <c r="AZ243" s="62" t="str">
        <f t="shared" si="128"/>
        <v>DNS/DNF</v>
      </c>
      <c r="BA243" s="62" t="str">
        <f t="shared" si="129"/>
        <v>DNS/DNF</v>
      </c>
      <c r="BB243" s="62" t="str">
        <f t="shared" si="130"/>
        <v>DNS/DNF</v>
      </c>
      <c r="BC243" s="75" t="str">
        <f t="shared" si="131"/>
        <v/>
      </c>
      <c r="BD243" s="53" t="str">
        <f t="shared" si="132"/>
        <v/>
      </c>
      <c r="BE243" s="53" t="str">
        <f t="shared" si="133"/>
        <v/>
      </c>
      <c r="BF243" s="53" t="str">
        <f t="shared" si="134"/>
        <v/>
      </c>
      <c r="BG243" s="53" t="str">
        <f t="shared" si="135"/>
        <v/>
      </c>
      <c r="BH243" s="53" t="str">
        <f t="shared" si="136"/>
        <v/>
      </c>
      <c r="BI243" s="53" t="str">
        <f t="shared" si="137"/>
        <v/>
      </c>
      <c r="BJ243" s="53" t="str">
        <f t="shared" si="138"/>
        <v/>
      </c>
      <c r="BK243" s="53" t="str">
        <f t="shared" si="139"/>
        <v/>
      </c>
    </row>
    <row r="244" spans="1:63">
      <c r="A244" s="53"/>
      <c r="B244" s="89" t="str">
        <f>IFERROR(VLOOKUP($A244,EntryList!$A$3:$N$645,2,FALSE),"")</f>
        <v/>
      </c>
      <c r="C244" s="74"/>
      <c r="D244" s="53">
        <f t="shared" si="113"/>
        <v>0</v>
      </c>
      <c r="E244" s="62"/>
      <c r="F244" s="62"/>
      <c r="G244" s="62"/>
      <c r="H244" s="62"/>
      <c r="I244" s="62"/>
      <c r="J244" s="62"/>
      <c r="K244" s="62"/>
      <c r="L244" s="62"/>
      <c r="M244" s="62"/>
      <c r="N244" s="62">
        <f t="shared" si="114"/>
        <v>0</v>
      </c>
      <c r="O244" s="53" t="str">
        <f t="shared" si="140"/>
        <v/>
      </c>
      <c r="P244" s="53" t="str">
        <f t="shared" si="141"/>
        <v/>
      </c>
      <c r="Q244" s="53" t="str">
        <f t="shared" si="142"/>
        <v/>
      </c>
      <c r="R244" s="53" t="str">
        <f t="shared" si="143"/>
        <v/>
      </c>
      <c r="S244" s="53" t="str">
        <f t="shared" si="144"/>
        <v/>
      </c>
      <c r="T244" s="53" t="str">
        <f t="shared" si="145"/>
        <v/>
      </c>
      <c r="U244" s="53" t="str">
        <f t="shared" si="146"/>
        <v/>
      </c>
      <c r="V244" s="53" t="str">
        <f t="shared" si="147"/>
        <v/>
      </c>
      <c r="W244" s="53" t="str">
        <f t="shared" si="115"/>
        <v>DNS/DNF ()</v>
      </c>
      <c r="X244" s="53" t="str">
        <f t="shared" si="116"/>
        <v>DNS/DNF ()</v>
      </c>
      <c r="Y244" s="53" t="str">
        <f t="shared" si="117"/>
        <v>DNS/DNF ()</v>
      </c>
      <c r="Z244" s="53" t="str">
        <f t="shared" si="118"/>
        <v>DNS/DNF ()</v>
      </c>
      <c r="AA244" s="53" t="str">
        <f t="shared" si="119"/>
        <v>DNS/DNF ()</v>
      </c>
      <c r="AB244" s="53" t="str">
        <f t="shared" si="120"/>
        <v>DNS/DNF ()</v>
      </c>
      <c r="AC244" s="53" t="str">
        <f t="shared" si="121"/>
        <v>DNS/DNF ()</v>
      </c>
      <c r="AD244" s="53" t="str">
        <f t="shared" si="122"/>
        <v>DNS/DNF ()</v>
      </c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62" t="str">
        <f t="shared" si="123"/>
        <v>DNS/DNF</v>
      </c>
      <c r="AV244" s="62" t="str">
        <f t="shared" si="124"/>
        <v>DNS/DNF</v>
      </c>
      <c r="AW244" s="62" t="str">
        <f t="shared" si="125"/>
        <v>DNS/DNF</v>
      </c>
      <c r="AX244" s="62" t="str">
        <f t="shared" si="126"/>
        <v>DNS/DNF</v>
      </c>
      <c r="AY244" s="62" t="str">
        <f t="shared" si="127"/>
        <v>DNS/DNF</v>
      </c>
      <c r="AZ244" s="62" t="str">
        <f t="shared" si="128"/>
        <v>DNS/DNF</v>
      </c>
      <c r="BA244" s="62" t="str">
        <f t="shared" si="129"/>
        <v>DNS/DNF</v>
      </c>
      <c r="BB244" s="62" t="str">
        <f t="shared" si="130"/>
        <v>DNS/DNF</v>
      </c>
      <c r="BC244" s="75" t="str">
        <f t="shared" si="131"/>
        <v/>
      </c>
      <c r="BD244" s="53" t="str">
        <f t="shared" si="132"/>
        <v/>
      </c>
      <c r="BE244" s="53" t="str">
        <f t="shared" si="133"/>
        <v/>
      </c>
      <c r="BF244" s="53" t="str">
        <f t="shared" si="134"/>
        <v/>
      </c>
      <c r="BG244" s="53" t="str">
        <f t="shared" si="135"/>
        <v/>
      </c>
      <c r="BH244" s="53" t="str">
        <f t="shared" si="136"/>
        <v/>
      </c>
      <c r="BI244" s="53" t="str">
        <f t="shared" si="137"/>
        <v/>
      </c>
      <c r="BJ244" s="53" t="str">
        <f t="shared" si="138"/>
        <v/>
      </c>
      <c r="BK244" s="53" t="str">
        <f t="shared" si="139"/>
        <v/>
      </c>
    </row>
    <row r="245" spans="1:63">
      <c r="A245" s="53"/>
      <c r="B245" s="89" t="str">
        <f>IFERROR(VLOOKUP($A245,EntryList!$A$3:$N$645,2,FALSE),"")</f>
        <v/>
      </c>
      <c r="C245" s="74"/>
      <c r="D245" s="53">
        <f t="shared" si="113"/>
        <v>0</v>
      </c>
      <c r="E245" s="62"/>
      <c r="F245" s="62"/>
      <c r="G245" s="62"/>
      <c r="H245" s="62"/>
      <c r="I245" s="62"/>
      <c r="J245" s="62"/>
      <c r="K245" s="62"/>
      <c r="L245" s="62"/>
      <c r="M245" s="62"/>
      <c r="N245" s="62">
        <f t="shared" si="114"/>
        <v>0</v>
      </c>
      <c r="O245" s="53" t="str">
        <f t="shared" si="140"/>
        <v/>
      </c>
      <c r="P245" s="53" t="str">
        <f t="shared" si="141"/>
        <v/>
      </c>
      <c r="Q245" s="53" t="str">
        <f t="shared" si="142"/>
        <v/>
      </c>
      <c r="R245" s="53" t="str">
        <f t="shared" si="143"/>
        <v/>
      </c>
      <c r="S245" s="53" t="str">
        <f t="shared" si="144"/>
        <v/>
      </c>
      <c r="T245" s="53" t="str">
        <f t="shared" si="145"/>
        <v/>
      </c>
      <c r="U245" s="53" t="str">
        <f t="shared" si="146"/>
        <v/>
      </c>
      <c r="V245" s="53" t="str">
        <f t="shared" si="147"/>
        <v/>
      </c>
      <c r="W245" s="53" t="str">
        <f t="shared" si="115"/>
        <v>DNS/DNF ()</v>
      </c>
      <c r="X245" s="53" t="str">
        <f t="shared" si="116"/>
        <v>DNS/DNF ()</v>
      </c>
      <c r="Y245" s="53" t="str">
        <f t="shared" si="117"/>
        <v>DNS/DNF ()</v>
      </c>
      <c r="Z245" s="53" t="str">
        <f t="shared" si="118"/>
        <v>DNS/DNF ()</v>
      </c>
      <c r="AA245" s="53" t="str">
        <f t="shared" si="119"/>
        <v>DNS/DNF ()</v>
      </c>
      <c r="AB245" s="53" t="str">
        <f t="shared" si="120"/>
        <v>DNS/DNF ()</v>
      </c>
      <c r="AC245" s="53" t="str">
        <f t="shared" si="121"/>
        <v>DNS/DNF ()</v>
      </c>
      <c r="AD245" s="53" t="str">
        <f t="shared" si="122"/>
        <v>DNS/DNF ()</v>
      </c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62" t="str">
        <f t="shared" si="123"/>
        <v>DNS/DNF</v>
      </c>
      <c r="AV245" s="62" t="str">
        <f t="shared" si="124"/>
        <v>DNS/DNF</v>
      </c>
      <c r="AW245" s="62" t="str">
        <f t="shared" si="125"/>
        <v>DNS/DNF</v>
      </c>
      <c r="AX245" s="62" t="str">
        <f t="shared" si="126"/>
        <v>DNS/DNF</v>
      </c>
      <c r="AY245" s="62" t="str">
        <f t="shared" si="127"/>
        <v>DNS/DNF</v>
      </c>
      <c r="AZ245" s="62" t="str">
        <f t="shared" si="128"/>
        <v>DNS/DNF</v>
      </c>
      <c r="BA245" s="62" t="str">
        <f t="shared" si="129"/>
        <v>DNS/DNF</v>
      </c>
      <c r="BB245" s="62" t="str">
        <f t="shared" si="130"/>
        <v>DNS/DNF</v>
      </c>
      <c r="BC245" s="75" t="str">
        <f t="shared" si="131"/>
        <v/>
      </c>
      <c r="BD245" s="53" t="str">
        <f t="shared" si="132"/>
        <v/>
      </c>
      <c r="BE245" s="53" t="str">
        <f t="shared" si="133"/>
        <v/>
      </c>
      <c r="BF245" s="53" t="str">
        <f t="shared" si="134"/>
        <v/>
      </c>
      <c r="BG245" s="53" t="str">
        <f t="shared" si="135"/>
        <v/>
      </c>
      <c r="BH245" s="53" t="str">
        <f t="shared" si="136"/>
        <v/>
      </c>
      <c r="BI245" s="53" t="str">
        <f t="shared" si="137"/>
        <v/>
      </c>
      <c r="BJ245" s="53" t="str">
        <f t="shared" si="138"/>
        <v/>
      </c>
      <c r="BK245" s="53" t="str">
        <f t="shared" si="139"/>
        <v/>
      </c>
    </row>
    <row r="246" spans="1:63">
      <c r="A246" s="53"/>
      <c r="B246" s="89" t="str">
        <f>IFERROR(VLOOKUP($A246,EntryList!$A$3:$N$645,2,FALSE),"")</f>
        <v/>
      </c>
      <c r="C246" s="74"/>
      <c r="D246" s="53">
        <f t="shared" si="113"/>
        <v>0</v>
      </c>
      <c r="E246" s="62"/>
      <c r="F246" s="62"/>
      <c r="G246" s="62"/>
      <c r="H246" s="62"/>
      <c r="I246" s="62"/>
      <c r="J246" s="62"/>
      <c r="K246" s="62"/>
      <c r="L246" s="62"/>
      <c r="M246" s="62"/>
      <c r="N246" s="62">
        <f t="shared" si="114"/>
        <v>0</v>
      </c>
      <c r="O246" s="53" t="str">
        <f t="shared" si="140"/>
        <v/>
      </c>
      <c r="P246" s="53" t="str">
        <f t="shared" si="141"/>
        <v/>
      </c>
      <c r="Q246" s="53" t="str">
        <f t="shared" si="142"/>
        <v/>
      </c>
      <c r="R246" s="53" t="str">
        <f t="shared" si="143"/>
        <v/>
      </c>
      <c r="S246" s="53" t="str">
        <f t="shared" si="144"/>
        <v/>
      </c>
      <c r="T246" s="53" t="str">
        <f t="shared" si="145"/>
        <v/>
      </c>
      <c r="U246" s="53" t="str">
        <f t="shared" si="146"/>
        <v/>
      </c>
      <c r="V246" s="53" t="str">
        <f t="shared" si="147"/>
        <v/>
      </c>
      <c r="W246" s="53" t="str">
        <f t="shared" si="115"/>
        <v>DNS/DNF ()</v>
      </c>
      <c r="X246" s="53" t="str">
        <f t="shared" si="116"/>
        <v>DNS/DNF ()</v>
      </c>
      <c r="Y246" s="53" t="str">
        <f t="shared" si="117"/>
        <v>DNS/DNF ()</v>
      </c>
      <c r="Z246" s="53" t="str">
        <f t="shared" si="118"/>
        <v>DNS/DNF ()</v>
      </c>
      <c r="AA246" s="53" t="str">
        <f t="shared" si="119"/>
        <v>DNS/DNF ()</v>
      </c>
      <c r="AB246" s="53" t="str">
        <f t="shared" si="120"/>
        <v>DNS/DNF ()</v>
      </c>
      <c r="AC246" s="53" t="str">
        <f t="shared" si="121"/>
        <v>DNS/DNF ()</v>
      </c>
      <c r="AD246" s="53" t="str">
        <f t="shared" si="122"/>
        <v>DNS/DNF ()</v>
      </c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62" t="str">
        <f t="shared" si="123"/>
        <v>DNS/DNF</v>
      </c>
      <c r="AV246" s="62" t="str">
        <f t="shared" si="124"/>
        <v>DNS/DNF</v>
      </c>
      <c r="AW246" s="62" t="str">
        <f t="shared" si="125"/>
        <v>DNS/DNF</v>
      </c>
      <c r="AX246" s="62" t="str">
        <f t="shared" si="126"/>
        <v>DNS/DNF</v>
      </c>
      <c r="AY246" s="62" t="str">
        <f t="shared" si="127"/>
        <v>DNS/DNF</v>
      </c>
      <c r="AZ246" s="62" t="str">
        <f t="shared" si="128"/>
        <v>DNS/DNF</v>
      </c>
      <c r="BA246" s="62" t="str">
        <f t="shared" si="129"/>
        <v>DNS/DNF</v>
      </c>
      <c r="BB246" s="62" t="str">
        <f t="shared" si="130"/>
        <v>DNS/DNF</v>
      </c>
      <c r="BC246" s="75" t="str">
        <f t="shared" si="131"/>
        <v/>
      </c>
      <c r="BD246" s="53" t="str">
        <f t="shared" si="132"/>
        <v/>
      </c>
      <c r="BE246" s="53" t="str">
        <f t="shared" si="133"/>
        <v/>
      </c>
      <c r="BF246" s="53" t="str">
        <f t="shared" si="134"/>
        <v/>
      </c>
      <c r="BG246" s="53" t="str">
        <f t="shared" si="135"/>
        <v/>
      </c>
      <c r="BH246" s="53" t="str">
        <f t="shared" si="136"/>
        <v/>
      </c>
      <c r="BI246" s="53" t="str">
        <f t="shared" si="137"/>
        <v/>
      </c>
      <c r="BJ246" s="53" t="str">
        <f t="shared" si="138"/>
        <v/>
      </c>
      <c r="BK246" s="53" t="str">
        <f t="shared" si="139"/>
        <v/>
      </c>
    </row>
    <row r="247" spans="1:63">
      <c r="A247" s="53"/>
      <c r="B247" s="89" t="str">
        <f>IFERROR(VLOOKUP($A247,EntryList!$A$3:$N$645,2,FALSE),"")</f>
        <v/>
      </c>
      <c r="C247" s="74"/>
      <c r="D247" s="53">
        <f t="shared" si="113"/>
        <v>0</v>
      </c>
      <c r="E247" s="62"/>
      <c r="F247" s="62"/>
      <c r="G247" s="62"/>
      <c r="H247" s="62"/>
      <c r="I247" s="62"/>
      <c r="J247" s="62"/>
      <c r="K247" s="62"/>
      <c r="L247" s="62"/>
      <c r="M247" s="62"/>
      <c r="N247" s="62">
        <f t="shared" si="114"/>
        <v>0</v>
      </c>
      <c r="O247" s="53" t="str">
        <f t="shared" si="140"/>
        <v/>
      </c>
      <c r="P247" s="53" t="str">
        <f t="shared" si="141"/>
        <v/>
      </c>
      <c r="Q247" s="53" t="str">
        <f t="shared" si="142"/>
        <v/>
      </c>
      <c r="R247" s="53" t="str">
        <f t="shared" si="143"/>
        <v/>
      </c>
      <c r="S247" s="53" t="str">
        <f t="shared" si="144"/>
        <v/>
      </c>
      <c r="T247" s="53" t="str">
        <f t="shared" si="145"/>
        <v/>
      </c>
      <c r="U247" s="53" t="str">
        <f t="shared" si="146"/>
        <v/>
      </c>
      <c r="V247" s="53" t="str">
        <f t="shared" si="147"/>
        <v/>
      </c>
      <c r="W247" s="53" t="str">
        <f t="shared" si="115"/>
        <v>DNS/DNF ()</v>
      </c>
      <c r="X247" s="53" t="str">
        <f t="shared" si="116"/>
        <v>DNS/DNF ()</v>
      </c>
      <c r="Y247" s="53" t="str">
        <f t="shared" si="117"/>
        <v>DNS/DNF ()</v>
      </c>
      <c r="Z247" s="53" t="str">
        <f t="shared" si="118"/>
        <v>DNS/DNF ()</v>
      </c>
      <c r="AA247" s="53" t="str">
        <f t="shared" si="119"/>
        <v>DNS/DNF ()</v>
      </c>
      <c r="AB247" s="53" t="str">
        <f t="shared" si="120"/>
        <v>DNS/DNF ()</v>
      </c>
      <c r="AC247" s="53" t="str">
        <f t="shared" si="121"/>
        <v>DNS/DNF ()</v>
      </c>
      <c r="AD247" s="53" t="str">
        <f t="shared" si="122"/>
        <v>DNS/DNF ()</v>
      </c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62" t="str">
        <f t="shared" si="123"/>
        <v>DNS/DNF</v>
      </c>
      <c r="AV247" s="62" t="str">
        <f t="shared" si="124"/>
        <v>DNS/DNF</v>
      </c>
      <c r="AW247" s="62" t="str">
        <f t="shared" si="125"/>
        <v>DNS/DNF</v>
      </c>
      <c r="AX247" s="62" t="str">
        <f t="shared" si="126"/>
        <v>DNS/DNF</v>
      </c>
      <c r="AY247" s="62" t="str">
        <f t="shared" si="127"/>
        <v>DNS/DNF</v>
      </c>
      <c r="AZ247" s="62" t="str">
        <f t="shared" si="128"/>
        <v>DNS/DNF</v>
      </c>
      <c r="BA247" s="62" t="str">
        <f t="shared" si="129"/>
        <v>DNS/DNF</v>
      </c>
      <c r="BB247" s="62" t="str">
        <f t="shared" si="130"/>
        <v>DNS/DNF</v>
      </c>
      <c r="BC247" s="75" t="str">
        <f t="shared" si="131"/>
        <v/>
      </c>
      <c r="BD247" s="53" t="str">
        <f t="shared" si="132"/>
        <v/>
      </c>
      <c r="BE247" s="53" t="str">
        <f t="shared" si="133"/>
        <v/>
      </c>
      <c r="BF247" s="53" t="str">
        <f t="shared" si="134"/>
        <v/>
      </c>
      <c r="BG247" s="53" t="str">
        <f t="shared" si="135"/>
        <v/>
      </c>
      <c r="BH247" s="53" t="str">
        <f t="shared" si="136"/>
        <v/>
      </c>
      <c r="BI247" s="53" t="str">
        <f t="shared" si="137"/>
        <v/>
      </c>
      <c r="BJ247" s="53" t="str">
        <f t="shared" si="138"/>
        <v/>
      </c>
      <c r="BK247" s="53" t="str">
        <f t="shared" si="139"/>
        <v/>
      </c>
    </row>
    <row r="248" spans="1:63">
      <c r="A248" s="53"/>
      <c r="B248" s="89" t="str">
        <f>IFERROR(VLOOKUP($A248,EntryList!$A$3:$N$645,2,FALSE),"")</f>
        <v/>
      </c>
      <c r="C248" s="74"/>
      <c r="D248" s="53">
        <f t="shared" si="113"/>
        <v>0</v>
      </c>
      <c r="E248" s="62"/>
      <c r="F248" s="62"/>
      <c r="G248" s="62"/>
      <c r="H248" s="62"/>
      <c r="I248" s="62"/>
      <c r="J248" s="62"/>
      <c r="K248" s="62"/>
      <c r="L248" s="62"/>
      <c r="M248" s="62"/>
      <c r="N248" s="62">
        <f t="shared" si="114"/>
        <v>0</v>
      </c>
      <c r="O248" s="53" t="str">
        <f t="shared" si="140"/>
        <v/>
      </c>
      <c r="P248" s="53" t="str">
        <f t="shared" si="141"/>
        <v/>
      </c>
      <c r="Q248" s="53" t="str">
        <f t="shared" si="142"/>
        <v/>
      </c>
      <c r="R248" s="53" t="str">
        <f t="shared" si="143"/>
        <v/>
      </c>
      <c r="S248" s="53" t="str">
        <f t="shared" si="144"/>
        <v/>
      </c>
      <c r="T248" s="53" t="str">
        <f t="shared" si="145"/>
        <v/>
      </c>
      <c r="U248" s="53" t="str">
        <f t="shared" si="146"/>
        <v/>
      </c>
      <c r="V248" s="53" t="str">
        <f t="shared" si="147"/>
        <v/>
      </c>
      <c r="W248" s="53" t="str">
        <f t="shared" si="115"/>
        <v>DNS/DNF ()</v>
      </c>
      <c r="X248" s="53" t="str">
        <f t="shared" si="116"/>
        <v>DNS/DNF ()</v>
      </c>
      <c r="Y248" s="53" t="str">
        <f t="shared" si="117"/>
        <v>DNS/DNF ()</v>
      </c>
      <c r="Z248" s="53" t="str">
        <f t="shared" si="118"/>
        <v>DNS/DNF ()</v>
      </c>
      <c r="AA248" s="53" t="str">
        <f t="shared" si="119"/>
        <v>DNS/DNF ()</v>
      </c>
      <c r="AB248" s="53" t="str">
        <f t="shared" si="120"/>
        <v>DNS/DNF ()</v>
      </c>
      <c r="AC248" s="53" t="str">
        <f t="shared" si="121"/>
        <v>DNS/DNF ()</v>
      </c>
      <c r="AD248" s="53" t="str">
        <f t="shared" si="122"/>
        <v>DNS/DNF ()</v>
      </c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62" t="str">
        <f t="shared" si="123"/>
        <v>DNS/DNF</v>
      </c>
      <c r="AV248" s="62" t="str">
        <f t="shared" si="124"/>
        <v>DNS/DNF</v>
      </c>
      <c r="AW248" s="62" t="str">
        <f t="shared" si="125"/>
        <v>DNS/DNF</v>
      </c>
      <c r="AX248" s="62" t="str">
        <f t="shared" si="126"/>
        <v>DNS/DNF</v>
      </c>
      <c r="AY248" s="62" t="str">
        <f t="shared" si="127"/>
        <v>DNS/DNF</v>
      </c>
      <c r="AZ248" s="62" t="str">
        <f t="shared" si="128"/>
        <v>DNS/DNF</v>
      </c>
      <c r="BA248" s="62" t="str">
        <f t="shared" si="129"/>
        <v>DNS/DNF</v>
      </c>
      <c r="BB248" s="62" t="str">
        <f t="shared" si="130"/>
        <v>DNS/DNF</v>
      </c>
      <c r="BC248" s="75" t="str">
        <f t="shared" si="131"/>
        <v/>
      </c>
      <c r="BD248" s="53" t="str">
        <f t="shared" si="132"/>
        <v/>
      </c>
      <c r="BE248" s="53" t="str">
        <f t="shared" si="133"/>
        <v/>
      </c>
      <c r="BF248" s="53" t="str">
        <f t="shared" si="134"/>
        <v/>
      </c>
      <c r="BG248" s="53" t="str">
        <f t="shared" si="135"/>
        <v/>
      </c>
      <c r="BH248" s="53" t="str">
        <f t="shared" si="136"/>
        <v/>
      </c>
      <c r="BI248" s="53" t="str">
        <f t="shared" si="137"/>
        <v/>
      </c>
      <c r="BJ248" s="53" t="str">
        <f t="shared" si="138"/>
        <v/>
      </c>
      <c r="BK248" s="53" t="str">
        <f t="shared" si="139"/>
        <v/>
      </c>
    </row>
    <row r="249" spans="1:63">
      <c r="A249" s="53"/>
      <c r="B249" s="89" t="str">
        <f>IFERROR(VLOOKUP($A249,EntryList!$A$3:$N$645,2,FALSE),"")</f>
        <v/>
      </c>
      <c r="C249" s="74"/>
      <c r="D249" s="53">
        <f t="shared" si="113"/>
        <v>0</v>
      </c>
      <c r="E249" s="62"/>
      <c r="F249" s="62"/>
      <c r="G249" s="62"/>
      <c r="H249" s="62"/>
      <c r="I249" s="62"/>
      <c r="J249" s="62"/>
      <c r="K249" s="62"/>
      <c r="L249" s="62"/>
      <c r="M249" s="62"/>
      <c r="N249" s="62">
        <f t="shared" si="114"/>
        <v>0</v>
      </c>
      <c r="O249" s="53" t="str">
        <f t="shared" si="140"/>
        <v/>
      </c>
      <c r="P249" s="53" t="str">
        <f t="shared" si="141"/>
        <v/>
      </c>
      <c r="Q249" s="53" t="str">
        <f t="shared" si="142"/>
        <v/>
      </c>
      <c r="R249" s="53" t="str">
        <f t="shared" si="143"/>
        <v/>
      </c>
      <c r="S249" s="53" t="str">
        <f t="shared" si="144"/>
        <v/>
      </c>
      <c r="T249" s="53" t="str">
        <f t="shared" si="145"/>
        <v/>
      </c>
      <c r="U249" s="53" t="str">
        <f t="shared" si="146"/>
        <v/>
      </c>
      <c r="V249" s="53" t="str">
        <f t="shared" si="147"/>
        <v/>
      </c>
      <c r="W249" s="53" t="str">
        <f t="shared" si="115"/>
        <v>DNS/DNF ()</v>
      </c>
      <c r="X249" s="53" t="str">
        <f t="shared" si="116"/>
        <v>DNS/DNF ()</v>
      </c>
      <c r="Y249" s="53" t="str">
        <f t="shared" si="117"/>
        <v>DNS/DNF ()</v>
      </c>
      <c r="Z249" s="53" t="str">
        <f t="shared" si="118"/>
        <v>DNS/DNF ()</v>
      </c>
      <c r="AA249" s="53" t="str">
        <f t="shared" si="119"/>
        <v>DNS/DNF ()</v>
      </c>
      <c r="AB249" s="53" t="str">
        <f t="shared" si="120"/>
        <v>DNS/DNF ()</v>
      </c>
      <c r="AC249" s="53" t="str">
        <f t="shared" si="121"/>
        <v>DNS/DNF ()</v>
      </c>
      <c r="AD249" s="53" t="str">
        <f t="shared" si="122"/>
        <v>DNS/DNF ()</v>
      </c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62" t="str">
        <f t="shared" si="123"/>
        <v>DNS/DNF</v>
      </c>
      <c r="AV249" s="62" t="str">
        <f t="shared" si="124"/>
        <v>DNS/DNF</v>
      </c>
      <c r="AW249" s="62" t="str">
        <f t="shared" si="125"/>
        <v>DNS/DNF</v>
      </c>
      <c r="AX249" s="62" t="str">
        <f t="shared" si="126"/>
        <v>DNS/DNF</v>
      </c>
      <c r="AY249" s="62" t="str">
        <f t="shared" si="127"/>
        <v>DNS/DNF</v>
      </c>
      <c r="AZ249" s="62" t="str">
        <f t="shared" si="128"/>
        <v>DNS/DNF</v>
      </c>
      <c r="BA249" s="62" t="str">
        <f t="shared" si="129"/>
        <v>DNS/DNF</v>
      </c>
      <c r="BB249" s="62" t="str">
        <f t="shared" si="130"/>
        <v>DNS/DNF</v>
      </c>
      <c r="BC249" s="75" t="str">
        <f t="shared" si="131"/>
        <v/>
      </c>
      <c r="BD249" s="53" t="str">
        <f t="shared" si="132"/>
        <v/>
      </c>
      <c r="BE249" s="53" t="str">
        <f t="shared" si="133"/>
        <v/>
      </c>
      <c r="BF249" s="53" t="str">
        <f t="shared" si="134"/>
        <v/>
      </c>
      <c r="BG249" s="53" t="str">
        <f t="shared" si="135"/>
        <v/>
      </c>
      <c r="BH249" s="53" t="str">
        <f t="shared" si="136"/>
        <v/>
      </c>
      <c r="BI249" s="53" t="str">
        <f t="shared" si="137"/>
        <v/>
      </c>
      <c r="BJ249" s="53" t="str">
        <f t="shared" si="138"/>
        <v/>
      </c>
      <c r="BK249" s="53" t="str">
        <f t="shared" si="139"/>
        <v/>
      </c>
    </row>
    <row r="250" spans="1:63">
      <c r="A250" s="53"/>
      <c r="B250" s="89" t="str">
        <f>IFERROR(VLOOKUP($A250,EntryList!$A$3:$N$645,2,FALSE),"")</f>
        <v/>
      </c>
      <c r="C250" s="74"/>
      <c r="D250" s="53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53" t="str">
        <f t="shared" si="140"/>
        <v/>
      </c>
      <c r="P250" s="53" t="str">
        <f t="shared" si="141"/>
        <v/>
      </c>
      <c r="Q250" s="53"/>
      <c r="R250" s="53"/>
      <c r="S250" s="53"/>
      <c r="T250" s="53"/>
      <c r="U250" s="53"/>
      <c r="V250" s="53" t="str">
        <f t="shared" si="147"/>
        <v/>
      </c>
      <c r="W250" s="53" t="str">
        <f t="shared" si="115"/>
        <v>DNS/DNF ()</v>
      </c>
      <c r="X250" s="53" t="str">
        <f t="shared" si="116"/>
        <v>DNS/DNF ()</v>
      </c>
      <c r="Y250" s="53" t="str">
        <f t="shared" si="117"/>
        <v>DNS/DNF ()</v>
      </c>
      <c r="Z250" s="53" t="str">
        <f t="shared" si="118"/>
        <v>DNS/DNF ()</v>
      </c>
      <c r="AA250" s="53" t="str">
        <f t="shared" si="119"/>
        <v>DNS/DNF ()</v>
      </c>
      <c r="AB250" s="53" t="str">
        <f t="shared" si="120"/>
        <v>DNS/DNF ()</v>
      </c>
      <c r="AC250" s="53" t="str">
        <f t="shared" si="121"/>
        <v>DNS/DNF ()</v>
      </c>
      <c r="AD250" s="53" t="str">
        <f t="shared" si="122"/>
        <v>DNS/DNF ()</v>
      </c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62" t="str">
        <f t="shared" si="123"/>
        <v>DNS/DNF</v>
      </c>
      <c r="AV250" s="62" t="str">
        <f t="shared" si="124"/>
        <v>DNS/DNF</v>
      </c>
      <c r="AW250" s="62" t="str">
        <f t="shared" si="125"/>
        <v>DNS/DNF</v>
      </c>
      <c r="AX250" s="62" t="str">
        <f t="shared" si="126"/>
        <v>DNS/DNF</v>
      </c>
      <c r="AY250" s="62" t="str">
        <f t="shared" si="127"/>
        <v>DNS/DNF</v>
      </c>
      <c r="AZ250" s="62" t="str">
        <f t="shared" si="128"/>
        <v>DNS/DNF</v>
      </c>
      <c r="BA250" s="62" t="str">
        <f t="shared" si="129"/>
        <v>DNS/DNF</v>
      </c>
      <c r="BB250" s="62" t="str">
        <f t="shared" si="130"/>
        <v>DNS/DNF</v>
      </c>
      <c r="BC250" s="75" t="str">
        <f t="shared" si="131"/>
        <v/>
      </c>
      <c r="BD250" s="53" t="str">
        <f t="shared" si="132"/>
        <v/>
      </c>
      <c r="BE250" s="53" t="str">
        <f t="shared" si="133"/>
        <v/>
      </c>
      <c r="BF250" s="53" t="str">
        <f t="shared" si="134"/>
        <v/>
      </c>
      <c r="BG250" s="53" t="str">
        <f t="shared" si="135"/>
        <v/>
      </c>
      <c r="BH250" s="53" t="str">
        <f t="shared" si="136"/>
        <v/>
      </c>
      <c r="BI250" s="53" t="str">
        <f t="shared" si="137"/>
        <v/>
      </c>
      <c r="BJ250" s="53" t="str">
        <f t="shared" si="138"/>
        <v/>
      </c>
      <c r="BK250" s="53" t="str">
        <f t="shared" si="139"/>
        <v/>
      </c>
    </row>
    <row r="251" spans="1:63">
      <c r="A251" s="53"/>
      <c r="B251" s="89" t="str">
        <f>IFERROR(VLOOKUP($A251,EntryList!$A$3:$N$645,2,FALSE),"")</f>
        <v/>
      </c>
      <c r="C251" s="74"/>
      <c r="D251" s="53">
        <f t="shared" si="113"/>
        <v>0</v>
      </c>
      <c r="E251" s="62"/>
      <c r="F251" s="62"/>
      <c r="G251" s="62"/>
      <c r="H251" s="62"/>
      <c r="I251" s="62"/>
      <c r="J251" s="62"/>
      <c r="K251" s="62"/>
      <c r="L251" s="62"/>
      <c r="M251" s="62"/>
      <c r="N251" s="62">
        <f t="shared" si="114"/>
        <v>0</v>
      </c>
      <c r="O251" s="53" t="str">
        <f t="shared" si="140"/>
        <v/>
      </c>
      <c r="P251" s="53" t="str">
        <f t="shared" si="141"/>
        <v/>
      </c>
      <c r="Q251" s="53" t="str">
        <f t="shared" si="142"/>
        <v/>
      </c>
      <c r="R251" s="53" t="str">
        <f t="shared" si="143"/>
        <v/>
      </c>
      <c r="S251" s="53" t="str">
        <f t="shared" si="144"/>
        <v/>
      </c>
      <c r="T251" s="53" t="str">
        <f t="shared" si="145"/>
        <v/>
      </c>
      <c r="U251" s="53" t="str">
        <f t="shared" si="146"/>
        <v/>
      </c>
      <c r="V251" s="53" t="str">
        <f t="shared" si="147"/>
        <v/>
      </c>
      <c r="W251" s="53" t="str">
        <f t="shared" si="115"/>
        <v>DNS/DNF ()</v>
      </c>
      <c r="X251" s="53" t="str">
        <f t="shared" si="116"/>
        <v>DNS/DNF ()</v>
      </c>
      <c r="Y251" s="53" t="str">
        <f t="shared" si="117"/>
        <v>DNS/DNF ()</v>
      </c>
      <c r="Z251" s="53" t="str">
        <f t="shared" si="118"/>
        <v>DNS/DNF ()</v>
      </c>
      <c r="AA251" s="53" t="str">
        <f t="shared" si="119"/>
        <v>DNS/DNF ()</v>
      </c>
      <c r="AB251" s="53" t="str">
        <f t="shared" si="120"/>
        <v>DNS/DNF ()</v>
      </c>
      <c r="AC251" s="53" t="str">
        <f t="shared" si="121"/>
        <v>DNS/DNF ()</v>
      </c>
      <c r="AD251" s="53" t="str">
        <f t="shared" si="122"/>
        <v>DNS/DNF ()</v>
      </c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62" t="str">
        <f t="shared" si="123"/>
        <v>DNS/DNF</v>
      </c>
      <c r="AV251" s="62" t="str">
        <f t="shared" si="124"/>
        <v>DNS/DNF</v>
      </c>
      <c r="AW251" s="62" t="str">
        <f t="shared" si="125"/>
        <v>DNS/DNF</v>
      </c>
      <c r="AX251" s="62" t="str">
        <f t="shared" si="126"/>
        <v>DNS/DNF</v>
      </c>
      <c r="AY251" s="62" t="str">
        <f t="shared" si="127"/>
        <v>DNS/DNF</v>
      </c>
      <c r="AZ251" s="62" t="str">
        <f t="shared" si="128"/>
        <v>DNS/DNF</v>
      </c>
      <c r="BA251" s="62" t="str">
        <f t="shared" si="129"/>
        <v>DNS/DNF</v>
      </c>
      <c r="BB251" s="62" t="str">
        <f t="shared" si="130"/>
        <v>DNS/DNF</v>
      </c>
      <c r="BC251" s="75" t="str">
        <f t="shared" si="131"/>
        <v/>
      </c>
      <c r="BD251" s="53" t="str">
        <f t="shared" si="132"/>
        <v/>
      </c>
      <c r="BE251" s="53" t="str">
        <f t="shared" si="133"/>
        <v/>
      </c>
      <c r="BF251" s="53" t="str">
        <f t="shared" si="134"/>
        <v/>
      </c>
      <c r="BG251" s="53" t="str">
        <f t="shared" si="135"/>
        <v/>
      </c>
      <c r="BH251" s="53" t="str">
        <f t="shared" si="136"/>
        <v/>
      </c>
      <c r="BI251" s="53" t="str">
        <f t="shared" si="137"/>
        <v/>
      </c>
      <c r="BJ251" s="53" t="str">
        <f t="shared" si="138"/>
        <v/>
      </c>
      <c r="BK251" s="53" t="str">
        <f t="shared" si="139"/>
        <v/>
      </c>
    </row>
    <row r="252" spans="1:63">
      <c r="A252" s="53"/>
      <c r="B252" s="89" t="str">
        <f>IFERROR(VLOOKUP($A252,EntryList!$A$3:$N$645,2,FALSE),"")</f>
        <v/>
      </c>
      <c r="C252" s="74"/>
      <c r="D252" s="53">
        <f t="shared" si="113"/>
        <v>0</v>
      </c>
      <c r="E252" s="62"/>
      <c r="F252" s="62"/>
      <c r="G252" s="62"/>
      <c r="H252" s="62"/>
      <c r="I252" s="62"/>
      <c r="J252" s="62"/>
      <c r="K252" s="62"/>
      <c r="L252" s="62"/>
      <c r="M252" s="62"/>
      <c r="N252" s="62">
        <f t="shared" si="114"/>
        <v>0</v>
      </c>
      <c r="O252" s="53" t="str">
        <f t="shared" si="140"/>
        <v/>
      </c>
      <c r="P252" s="53" t="str">
        <f t="shared" si="141"/>
        <v/>
      </c>
      <c r="Q252" s="53" t="str">
        <f t="shared" si="142"/>
        <v/>
      </c>
      <c r="R252" s="53" t="str">
        <f t="shared" si="143"/>
        <v/>
      </c>
      <c r="S252" s="53" t="str">
        <f t="shared" si="144"/>
        <v/>
      </c>
      <c r="T252" s="53" t="str">
        <f t="shared" si="145"/>
        <v/>
      </c>
      <c r="U252" s="53" t="str">
        <f t="shared" si="146"/>
        <v/>
      </c>
      <c r="V252" s="53" t="str">
        <f t="shared" si="147"/>
        <v/>
      </c>
      <c r="W252" s="53" t="str">
        <f t="shared" si="115"/>
        <v>DNS/DNF ()</v>
      </c>
      <c r="X252" s="53" t="str">
        <f t="shared" si="116"/>
        <v>DNS/DNF ()</v>
      </c>
      <c r="Y252" s="53" t="str">
        <f t="shared" si="117"/>
        <v>DNS/DNF ()</v>
      </c>
      <c r="Z252" s="53" t="str">
        <f t="shared" si="118"/>
        <v>DNS/DNF ()</v>
      </c>
      <c r="AA252" s="53" t="str">
        <f t="shared" si="119"/>
        <v>DNS/DNF ()</v>
      </c>
      <c r="AB252" s="53" t="str">
        <f t="shared" si="120"/>
        <v>DNS/DNF ()</v>
      </c>
      <c r="AC252" s="53" t="str">
        <f t="shared" si="121"/>
        <v>DNS/DNF ()</v>
      </c>
      <c r="AD252" s="53" t="str">
        <f t="shared" si="122"/>
        <v>DNS/DNF ()</v>
      </c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62" t="str">
        <f t="shared" si="123"/>
        <v>DNS/DNF</v>
      </c>
      <c r="AV252" s="62" t="str">
        <f t="shared" si="124"/>
        <v>DNS/DNF</v>
      </c>
      <c r="AW252" s="62" t="str">
        <f t="shared" si="125"/>
        <v>DNS/DNF</v>
      </c>
      <c r="AX252" s="62" t="str">
        <f t="shared" si="126"/>
        <v>DNS/DNF</v>
      </c>
      <c r="AY252" s="62" t="str">
        <f t="shared" si="127"/>
        <v>DNS/DNF</v>
      </c>
      <c r="AZ252" s="62" t="str">
        <f t="shared" si="128"/>
        <v>DNS/DNF</v>
      </c>
      <c r="BA252" s="62" t="str">
        <f t="shared" si="129"/>
        <v>DNS/DNF</v>
      </c>
      <c r="BB252" s="62" t="str">
        <f t="shared" si="130"/>
        <v>DNS/DNF</v>
      </c>
      <c r="BC252" s="75" t="str">
        <f t="shared" si="131"/>
        <v/>
      </c>
      <c r="BD252" s="53" t="str">
        <f t="shared" si="132"/>
        <v/>
      </c>
      <c r="BE252" s="53" t="str">
        <f t="shared" si="133"/>
        <v/>
      </c>
      <c r="BF252" s="53" t="str">
        <f t="shared" si="134"/>
        <v/>
      </c>
      <c r="BG252" s="53" t="str">
        <f t="shared" si="135"/>
        <v/>
      </c>
      <c r="BH252" s="53" t="str">
        <f t="shared" si="136"/>
        <v/>
      </c>
      <c r="BI252" s="53" t="str">
        <f t="shared" si="137"/>
        <v/>
      </c>
      <c r="BJ252" s="53" t="str">
        <f t="shared" si="138"/>
        <v/>
      </c>
      <c r="BK252" s="53" t="str">
        <f t="shared" si="139"/>
        <v/>
      </c>
    </row>
    <row r="253" spans="1:63">
      <c r="B253" s="89" t="str">
        <f>IFERROR(VLOOKUP($A253,EntryList!$A$3:$N$645,2,FALSE),"")</f>
        <v/>
      </c>
      <c r="D253" s="53">
        <f>COUNT($AU253:$BB253)</f>
        <v>0</v>
      </c>
      <c r="N253" s="62">
        <f>SUM($AU253:$BB253)</f>
        <v>0</v>
      </c>
      <c r="O253" s="53" t="str">
        <f t="shared" si="140"/>
        <v/>
      </c>
      <c r="P253" s="53" t="str">
        <f t="shared" si="141"/>
        <v/>
      </c>
      <c r="Q253" s="53" t="str">
        <f t="shared" si="142"/>
        <v/>
      </c>
      <c r="R253" s="53" t="str">
        <f t="shared" si="143"/>
        <v/>
      </c>
      <c r="S253" s="53" t="str">
        <f t="shared" si="144"/>
        <v/>
      </c>
      <c r="T253" s="53" t="str">
        <f t="shared" si="145"/>
        <v/>
      </c>
      <c r="U253" s="53" t="str">
        <f t="shared" si="146"/>
        <v/>
      </c>
      <c r="V253" s="53" t="str">
        <f t="shared" si="147"/>
        <v/>
      </c>
      <c r="W253" s="53" t="str">
        <f t="shared" si="115"/>
        <v>DNS/DNF ()</v>
      </c>
      <c r="X253" s="53" t="str">
        <f t="shared" si="116"/>
        <v>DNS/DNF ()</v>
      </c>
      <c r="Y253" s="53" t="str">
        <f t="shared" si="117"/>
        <v>DNS/DNF ()</v>
      </c>
      <c r="Z253" s="53" t="str">
        <f t="shared" si="118"/>
        <v>DNS/DNF ()</v>
      </c>
      <c r="AA253" s="53" t="str">
        <f t="shared" si="119"/>
        <v>DNS/DNF ()</v>
      </c>
      <c r="AB253" s="53" t="str">
        <f t="shared" si="120"/>
        <v>DNS/DNF ()</v>
      </c>
      <c r="AC253" s="53" t="str">
        <f t="shared" si="121"/>
        <v>DNS/DNF ()</v>
      </c>
      <c r="AD253" s="53" t="str">
        <f t="shared" si="122"/>
        <v>DNS/DNF ()</v>
      </c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62" t="str">
        <f t="shared" si="123"/>
        <v>DNS/DNF</v>
      </c>
      <c r="AV253" s="62" t="str">
        <f t="shared" si="124"/>
        <v>DNS/DNF</v>
      </c>
      <c r="AW253" s="62" t="str">
        <f t="shared" si="125"/>
        <v>DNS/DNF</v>
      </c>
      <c r="AX253" s="62" t="str">
        <f t="shared" si="126"/>
        <v>DNS/DNF</v>
      </c>
      <c r="AY253" s="62" t="str">
        <f t="shared" si="127"/>
        <v>DNS/DNF</v>
      </c>
      <c r="AZ253" s="62" t="str">
        <f t="shared" si="128"/>
        <v>DNS/DNF</v>
      </c>
      <c r="BA253" s="62" t="str">
        <f t="shared" si="129"/>
        <v>DNS/DNF</v>
      </c>
      <c r="BB253" s="62" t="str">
        <f t="shared" si="130"/>
        <v>DNS/DNF</v>
      </c>
      <c r="BC253" s="75" t="str">
        <f t="shared" si="131"/>
        <v/>
      </c>
      <c r="BD253" s="53" t="str">
        <f t="shared" si="132"/>
        <v/>
      </c>
      <c r="BE253" s="53" t="str">
        <f t="shared" si="133"/>
        <v/>
      </c>
      <c r="BF253" s="53" t="str">
        <f t="shared" si="134"/>
        <v/>
      </c>
      <c r="BG253" s="53" t="str">
        <f t="shared" si="135"/>
        <v/>
      </c>
      <c r="BH253" s="53" t="str">
        <f t="shared" si="136"/>
        <v/>
      </c>
      <c r="BI253" s="53" t="str">
        <f t="shared" si="137"/>
        <v/>
      </c>
      <c r="BJ253" s="53" t="str">
        <f t="shared" si="138"/>
        <v/>
      </c>
      <c r="BK253" s="53" t="str">
        <f t="shared" si="139"/>
        <v/>
      </c>
    </row>
    <row r="254" spans="1:63">
      <c r="B254" s="89" t="str">
        <f>IFERROR(VLOOKUP($A254,EntryList!$A$3:$N$645,2,FALSE),"")</f>
        <v/>
      </c>
      <c r="D254" s="53">
        <f t="shared" ref="D254:D317" si="148">COUNT($AU254:$BB254)</f>
        <v>0</v>
      </c>
      <c r="N254" s="62">
        <f t="shared" ref="N254:N317" si="149">SUM($AU254:$BB254)</f>
        <v>0</v>
      </c>
      <c r="O254" s="53" t="str">
        <f t="shared" si="140"/>
        <v/>
      </c>
      <c r="P254" s="53" t="str">
        <f t="shared" si="141"/>
        <v/>
      </c>
      <c r="Q254" s="53" t="str">
        <f t="shared" si="142"/>
        <v/>
      </c>
      <c r="R254" s="53" t="str">
        <f t="shared" si="143"/>
        <v/>
      </c>
      <c r="S254" s="53" t="str">
        <f t="shared" si="144"/>
        <v/>
      </c>
      <c r="T254" s="53" t="str">
        <f t="shared" si="145"/>
        <v/>
      </c>
      <c r="U254" s="53" t="str">
        <f t="shared" si="146"/>
        <v/>
      </c>
      <c r="V254" s="53" t="str">
        <f t="shared" si="147"/>
        <v/>
      </c>
      <c r="W254" s="53" t="str">
        <f t="shared" si="115"/>
        <v>DNS/DNF ()</v>
      </c>
      <c r="X254" s="53" t="str">
        <f t="shared" si="116"/>
        <v>DNS/DNF ()</v>
      </c>
      <c r="Y254" s="53" t="str">
        <f t="shared" si="117"/>
        <v>DNS/DNF ()</v>
      </c>
      <c r="Z254" s="53" t="str">
        <f t="shared" si="118"/>
        <v>DNS/DNF ()</v>
      </c>
      <c r="AA254" s="53" t="str">
        <f t="shared" si="119"/>
        <v>DNS/DNF ()</v>
      </c>
      <c r="AB254" s="53" t="str">
        <f t="shared" si="120"/>
        <v>DNS/DNF ()</v>
      </c>
      <c r="AC254" s="53" t="str">
        <f t="shared" si="121"/>
        <v>DNS/DNF ()</v>
      </c>
      <c r="AD254" s="53" t="str">
        <f t="shared" si="122"/>
        <v>DNS/DNF ()</v>
      </c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62" t="str">
        <f t="shared" si="123"/>
        <v>DNS/DNF</v>
      </c>
      <c r="AV254" s="62" t="str">
        <f t="shared" si="124"/>
        <v>DNS/DNF</v>
      </c>
      <c r="AW254" s="62" t="str">
        <f t="shared" si="125"/>
        <v>DNS/DNF</v>
      </c>
      <c r="AX254" s="62" t="str">
        <f t="shared" si="126"/>
        <v>DNS/DNF</v>
      </c>
      <c r="AY254" s="62" t="str">
        <f t="shared" si="127"/>
        <v>DNS/DNF</v>
      </c>
      <c r="AZ254" s="62" t="str">
        <f t="shared" si="128"/>
        <v>DNS/DNF</v>
      </c>
      <c r="BA254" s="62" t="str">
        <f t="shared" si="129"/>
        <v>DNS/DNF</v>
      </c>
      <c r="BB254" s="62" t="str">
        <f t="shared" si="130"/>
        <v>DNS/DNF</v>
      </c>
      <c r="BC254" s="75" t="str">
        <f t="shared" si="131"/>
        <v/>
      </c>
      <c r="BD254" s="53" t="str">
        <f t="shared" si="132"/>
        <v/>
      </c>
      <c r="BE254" s="53" t="str">
        <f t="shared" si="133"/>
        <v/>
      </c>
      <c r="BF254" s="53" t="str">
        <f t="shared" si="134"/>
        <v/>
      </c>
      <c r="BG254" s="53" t="str">
        <f t="shared" si="135"/>
        <v/>
      </c>
      <c r="BH254" s="53" t="str">
        <f t="shared" si="136"/>
        <v/>
      </c>
      <c r="BI254" s="53" t="str">
        <f t="shared" si="137"/>
        <v/>
      </c>
      <c r="BJ254" s="53" t="str">
        <f t="shared" si="138"/>
        <v/>
      </c>
      <c r="BK254" s="53" t="str">
        <f t="shared" si="139"/>
        <v/>
      </c>
    </row>
    <row r="255" spans="1:63">
      <c r="B255" s="89" t="str">
        <f>IFERROR(VLOOKUP($A255,EntryList!$A$3:$N$645,2,FALSE),"")</f>
        <v/>
      </c>
      <c r="D255" s="53">
        <f t="shared" si="148"/>
        <v>0</v>
      </c>
      <c r="N255" s="62">
        <f t="shared" si="149"/>
        <v>0</v>
      </c>
      <c r="O255" s="53" t="str">
        <f t="shared" si="140"/>
        <v/>
      </c>
      <c r="P255" s="53" t="str">
        <f t="shared" si="141"/>
        <v/>
      </c>
      <c r="Q255" s="53" t="str">
        <f t="shared" si="142"/>
        <v/>
      </c>
      <c r="R255" s="53" t="str">
        <f t="shared" si="143"/>
        <v/>
      </c>
      <c r="S255" s="53" t="str">
        <f t="shared" si="144"/>
        <v/>
      </c>
      <c r="T255" s="53" t="str">
        <f t="shared" si="145"/>
        <v/>
      </c>
      <c r="U255" s="53" t="str">
        <f t="shared" si="146"/>
        <v/>
      </c>
      <c r="V255" s="53" t="str">
        <f t="shared" si="147"/>
        <v/>
      </c>
      <c r="W255" s="53" t="str">
        <f t="shared" si="115"/>
        <v>DNS/DNF ()</v>
      </c>
      <c r="X255" s="53" t="str">
        <f t="shared" si="116"/>
        <v>DNS/DNF ()</v>
      </c>
      <c r="Y255" s="53" t="str">
        <f t="shared" si="117"/>
        <v>DNS/DNF ()</v>
      </c>
      <c r="Z255" s="53" t="str">
        <f t="shared" si="118"/>
        <v>DNS/DNF ()</v>
      </c>
      <c r="AA255" s="53" t="str">
        <f t="shared" si="119"/>
        <v>DNS/DNF ()</v>
      </c>
      <c r="AB255" s="53" t="str">
        <f t="shared" si="120"/>
        <v>DNS/DNF ()</v>
      </c>
      <c r="AC255" s="53" t="str">
        <f t="shared" si="121"/>
        <v>DNS/DNF ()</v>
      </c>
      <c r="AD255" s="53" t="str">
        <f t="shared" si="122"/>
        <v>DNS/DNF ()</v>
      </c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62" t="str">
        <f t="shared" si="123"/>
        <v>DNS/DNF</v>
      </c>
      <c r="AV255" s="62" t="str">
        <f t="shared" si="124"/>
        <v>DNS/DNF</v>
      </c>
      <c r="AW255" s="62" t="str">
        <f t="shared" si="125"/>
        <v>DNS/DNF</v>
      </c>
      <c r="AX255" s="62" t="str">
        <f t="shared" si="126"/>
        <v>DNS/DNF</v>
      </c>
      <c r="AY255" s="62" t="str">
        <f t="shared" si="127"/>
        <v>DNS/DNF</v>
      </c>
      <c r="AZ255" s="62" t="str">
        <f t="shared" si="128"/>
        <v>DNS/DNF</v>
      </c>
      <c r="BA255" s="62" t="str">
        <f t="shared" si="129"/>
        <v>DNS/DNF</v>
      </c>
      <c r="BB255" s="62" t="str">
        <f t="shared" si="130"/>
        <v>DNS/DNF</v>
      </c>
      <c r="BC255" s="75" t="str">
        <f t="shared" si="131"/>
        <v/>
      </c>
      <c r="BD255" s="53" t="str">
        <f t="shared" si="132"/>
        <v/>
      </c>
      <c r="BE255" s="53" t="str">
        <f t="shared" si="133"/>
        <v/>
      </c>
      <c r="BF255" s="53" t="str">
        <f t="shared" si="134"/>
        <v/>
      </c>
      <c r="BG255" s="53" t="str">
        <f t="shared" si="135"/>
        <v/>
      </c>
      <c r="BH255" s="53" t="str">
        <f t="shared" si="136"/>
        <v/>
      </c>
      <c r="BI255" s="53" t="str">
        <f t="shared" si="137"/>
        <v/>
      </c>
      <c r="BJ255" s="53" t="str">
        <f t="shared" si="138"/>
        <v/>
      </c>
      <c r="BK255" s="53" t="str">
        <f t="shared" si="139"/>
        <v/>
      </c>
    </row>
    <row r="256" spans="1:63">
      <c r="B256" s="89" t="str">
        <f>IFERROR(VLOOKUP($A256,EntryList!$A$3:$N$645,2,FALSE),"")</f>
        <v/>
      </c>
      <c r="D256" s="53">
        <f t="shared" si="148"/>
        <v>0</v>
      </c>
      <c r="N256" s="62">
        <f t="shared" si="149"/>
        <v>0</v>
      </c>
      <c r="O256" s="53" t="str">
        <f t="shared" si="140"/>
        <v/>
      </c>
      <c r="P256" s="53" t="str">
        <f t="shared" si="141"/>
        <v/>
      </c>
      <c r="Q256" s="53" t="str">
        <f t="shared" si="142"/>
        <v/>
      </c>
      <c r="R256" s="53" t="str">
        <f t="shared" si="143"/>
        <v/>
      </c>
      <c r="S256" s="53" t="str">
        <f t="shared" si="144"/>
        <v/>
      </c>
      <c r="T256" s="53" t="str">
        <f t="shared" si="145"/>
        <v/>
      </c>
      <c r="U256" s="53" t="str">
        <f t="shared" si="146"/>
        <v/>
      </c>
      <c r="V256" s="53" t="str">
        <f t="shared" si="147"/>
        <v/>
      </c>
      <c r="W256" s="53" t="str">
        <f t="shared" si="115"/>
        <v>DNS/DNF ()</v>
      </c>
      <c r="X256" s="53" t="str">
        <f t="shared" si="116"/>
        <v>DNS/DNF ()</v>
      </c>
      <c r="Y256" s="53" t="str">
        <f t="shared" si="117"/>
        <v>DNS/DNF ()</v>
      </c>
      <c r="Z256" s="53" t="str">
        <f t="shared" si="118"/>
        <v>DNS/DNF ()</v>
      </c>
      <c r="AA256" s="53" t="str">
        <f t="shared" si="119"/>
        <v>DNS/DNF ()</v>
      </c>
      <c r="AB256" s="53" t="str">
        <f t="shared" si="120"/>
        <v>DNS/DNF ()</v>
      </c>
      <c r="AC256" s="53" t="str">
        <f t="shared" si="121"/>
        <v>DNS/DNF ()</v>
      </c>
      <c r="AD256" s="53" t="str">
        <f t="shared" si="122"/>
        <v>DNS/DNF ()</v>
      </c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62" t="str">
        <f t="shared" si="123"/>
        <v>DNS/DNF</v>
      </c>
      <c r="AV256" s="62" t="str">
        <f t="shared" si="124"/>
        <v>DNS/DNF</v>
      </c>
      <c r="AW256" s="62" t="str">
        <f t="shared" si="125"/>
        <v>DNS/DNF</v>
      </c>
      <c r="AX256" s="62" t="str">
        <f t="shared" si="126"/>
        <v>DNS/DNF</v>
      </c>
      <c r="AY256" s="62" t="str">
        <f t="shared" si="127"/>
        <v>DNS/DNF</v>
      </c>
      <c r="AZ256" s="62" t="str">
        <f t="shared" si="128"/>
        <v>DNS/DNF</v>
      </c>
      <c r="BA256" s="62" t="str">
        <f t="shared" si="129"/>
        <v>DNS/DNF</v>
      </c>
      <c r="BB256" s="62" t="str">
        <f t="shared" si="130"/>
        <v>DNS/DNF</v>
      </c>
      <c r="BC256" s="75" t="str">
        <f t="shared" si="131"/>
        <v/>
      </c>
      <c r="BD256" s="53" t="str">
        <f t="shared" si="132"/>
        <v/>
      </c>
      <c r="BE256" s="53" t="str">
        <f t="shared" si="133"/>
        <v/>
      </c>
      <c r="BF256" s="53" t="str">
        <f t="shared" si="134"/>
        <v/>
      </c>
      <c r="BG256" s="53" t="str">
        <f t="shared" si="135"/>
        <v/>
      </c>
      <c r="BH256" s="53" t="str">
        <f t="shared" si="136"/>
        <v/>
      </c>
      <c r="BI256" s="53" t="str">
        <f t="shared" si="137"/>
        <v/>
      </c>
      <c r="BJ256" s="53" t="str">
        <f t="shared" si="138"/>
        <v/>
      </c>
      <c r="BK256" s="53" t="str">
        <f t="shared" si="139"/>
        <v/>
      </c>
    </row>
    <row r="257" spans="2:63">
      <c r="B257" s="89" t="str">
        <f>IFERROR(VLOOKUP($A257,EntryList!$A$3:$N$645,2,FALSE),"")</f>
        <v/>
      </c>
      <c r="D257" s="53">
        <f t="shared" si="148"/>
        <v>0</v>
      </c>
      <c r="N257" s="62">
        <f t="shared" si="149"/>
        <v>0</v>
      </c>
      <c r="O257" s="53" t="str">
        <f t="shared" si="140"/>
        <v/>
      </c>
      <c r="P257" s="53" t="str">
        <f t="shared" si="141"/>
        <v/>
      </c>
      <c r="Q257" s="53" t="str">
        <f t="shared" si="142"/>
        <v/>
      </c>
      <c r="R257" s="53" t="str">
        <f t="shared" si="143"/>
        <v/>
      </c>
      <c r="S257" s="53" t="str">
        <f t="shared" si="144"/>
        <v/>
      </c>
      <c r="T257" s="53" t="str">
        <f t="shared" si="145"/>
        <v/>
      </c>
      <c r="U257" s="53" t="str">
        <f t="shared" si="146"/>
        <v/>
      </c>
      <c r="V257" s="53" t="str">
        <f t="shared" si="147"/>
        <v/>
      </c>
      <c r="W257" s="53" t="str">
        <f t="shared" si="115"/>
        <v>DNS/DNF ()</v>
      </c>
      <c r="X257" s="53" t="str">
        <f t="shared" si="116"/>
        <v>DNS/DNF ()</v>
      </c>
      <c r="Y257" s="53" t="str">
        <f t="shared" si="117"/>
        <v>DNS/DNF ()</v>
      </c>
      <c r="Z257" s="53" t="str">
        <f t="shared" si="118"/>
        <v>DNS/DNF ()</v>
      </c>
      <c r="AA257" s="53" t="str">
        <f t="shared" si="119"/>
        <v>DNS/DNF ()</v>
      </c>
      <c r="AB257" s="53" t="str">
        <f t="shared" si="120"/>
        <v>DNS/DNF ()</v>
      </c>
      <c r="AC257" s="53" t="str">
        <f t="shared" si="121"/>
        <v>DNS/DNF ()</v>
      </c>
      <c r="AD257" s="53" t="str">
        <f t="shared" si="122"/>
        <v>DNS/DNF ()</v>
      </c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62" t="str">
        <f t="shared" si="123"/>
        <v>DNS/DNF</v>
      </c>
      <c r="AV257" s="62" t="str">
        <f t="shared" si="124"/>
        <v>DNS/DNF</v>
      </c>
      <c r="AW257" s="62" t="str">
        <f t="shared" si="125"/>
        <v>DNS/DNF</v>
      </c>
      <c r="AX257" s="62" t="str">
        <f t="shared" si="126"/>
        <v>DNS/DNF</v>
      </c>
      <c r="AY257" s="62" t="str">
        <f t="shared" si="127"/>
        <v>DNS/DNF</v>
      </c>
      <c r="AZ257" s="62" t="str">
        <f t="shared" si="128"/>
        <v>DNS/DNF</v>
      </c>
      <c r="BA257" s="62" t="str">
        <f t="shared" si="129"/>
        <v>DNS/DNF</v>
      </c>
      <c r="BB257" s="62" t="str">
        <f t="shared" si="130"/>
        <v>DNS/DNF</v>
      </c>
      <c r="BC257" s="75" t="str">
        <f t="shared" si="131"/>
        <v/>
      </c>
      <c r="BD257" s="53" t="str">
        <f t="shared" si="132"/>
        <v/>
      </c>
      <c r="BE257" s="53" t="str">
        <f t="shared" si="133"/>
        <v/>
      </c>
      <c r="BF257" s="53" t="str">
        <f t="shared" si="134"/>
        <v/>
      </c>
      <c r="BG257" s="53" t="str">
        <f t="shared" si="135"/>
        <v/>
      </c>
      <c r="BH257" s="53" t="str">
        <f t="shared" si="136"/>
        <v/>
      </c>
      <c r="BI257" s="53" t="str">
        <f t="shared" si="137"/>
        <v/>
      </c>
      <c r="BJ257" s="53" t="str">
        <f t="shared" si="138"/>
        <v/>
      </c>
      <c r="BK257" s="53" t="str">
        <f t="shared" si="139"/>
        <v/>
      </c>
    </row>
    <row r="258" spans="2:63">
      <c r="B258" s="89" t="str">
        <f>IFERROR(VLOOKUP($A258,EntryList!$A$3:$N$645,2,FALSE),"")</f>
        <v/>
      </c>
      <c r="D258" s="53">
        <f t="shared" si="148"/>
        <v>0</v>
      </c>
      <c r="N258" s="62">
        <f t="shared" si="149"/>
        <v>0</v>
      </c>
      <c r="O258" s="53" t="str">
        <f t="shared" si="140"/>
        <v/>
      </c>
      <c r="P258" s="53" t="str">
        <f t="shared" si="141"/>
        <v/>
      </c>
      <c r="Q258" s="53" t="str">
        <f t="shared" si="142"/>
        <v/>
      </c>
      <c r="R258" s="53" t="str">
        <f t="shared" si="143"/>
        <v/>
      </c>
      <c r="S258" s="53" t="str">
        <f t="shared" si="144"/>
        <v/>
      </c>
      <c r="T258" s="53" t="str">
        <f t="shared" si="145"/>
        <v/>
      </c>
      <c r="U258" s="53" t="str">
        <f t="shared" si="146"/>
        <v/>
      </c>
      <c r="V258" s="53" t="str">
        <f t="shared" si="147"/>
        <v/>
      </c>
      <c r="W258" s="53" t="str">
        <f t="shared" si="115"/>
        <v>DNS/DNF ()</v>
      </c>
      <c r="X258" s="53" t="str">
        <f t="shared" si="116"/>
        <v>DNS/DNF ()</v>
      </c>
      <c r="Y258" s="53" t="str">
        <f t="shared" si="117"/>
        <v>DNS/DNF ()</v>
      </c>
      <c r="Z258" s="53" t="str">
        <f t="shared" si="118"/>
        <v>DNS/DNF ()</v>
      </c>
      <c r="AA258" s="53" t="str">
        <f t="shared" si="119"/>
        <v>DNS/DNF ()</v>
      </c>
      <c r="AB258" s="53" t="str">
        <f t="shared" si="120"/>
        <v>DNS/DNF ()</v>
      </c>
      <c r="AC258" s="53" t="str">
        <f t="shared" si="121"/>
        <v>DNS/DNF ()</v>
      </c>
      <c r="AD258" s="53" t="str">
        <f t="shared" si="122"/>
        <v>DNS/DNF ()</v>
      </c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62" t="str">
        <f t="shared" si="123"/>
        <v>DNS/DNF</v>
      </c>
      <c r="AV258" s="62" t="str">
        <f t="shared" si="124"/>
        <v>DNS/DNF</v>
      </c>
      <c r="AW258" s="62" t="str">
        <f t="shared" si="125"/>
        <v>DNS/DNF</v>
      </c>
      <c r="AX258" s="62" t="str">
        <f t="shared" si="126"/>
        <v>DNS/DNF</v>
      </c>
      <c r="AY258" s="62" t="str">
        <f t="shared" si="127"/>
        <v>DNS/DNF</v>
      </c>
      <c r="AZ258" s="62" t="str">
        <f t="shared" si="128"/>
        <v>DNS/DNF</v>
      </c>
      <c r="BA258" s="62" t="str">
        <f t="shared" si="129"/>
        <v>DNS/DNF</v>
      </c>
      <c r="BB258" s="62" t="str">
        <f t="shared" si="130"/>
        <v>DNS/DNF</v>
      </c>
      <c r="BC258" s="75" t="str">
        <f t="shared" si="131"/>
        <v/>
      </c>
      <c r="BD258" s="53" t="str">
        <f t="shared" si="132"/>
        <v/>
      </c>
      <c r="BE258" s="53" t="str">
        <f t="shared" si="133"/>
        <v/>
      </c>
      <c r="BF258" s="53" t="str">
        <f t="shared" si="134"/>
        <v/>
      </c>
      <c r="BG258" s="53" t="str">
        <f t="shared" si="135"/>
        <v/>
      </c>
      <c r="BH258" s="53" t="str">
        <f t="shared" si="136"/>
        <v/>
      </c>
      <c r="BI258" s="53" t="str">
        <f t="shared" si="137"/>
        <v/>
      </c>
      <c r="BJ258" s="53" t="str">
        <f t="shared" si="138"/>
        <v/>
      </c>
      <c r="BK258" s="53" t="str">
        <f t="shared" si="139"/>
        <v/>
      </c>
    </row>
    <row r="259" spans="2:63">
      <c r="B259" s="89" t="str">
        <f>IFERROR(VLOOKUP($A259,EntryList!$A$3:$N$645,2,FALSE),"")</f>
        <v/>
      </c>
      <c r="D259" s="53">
        <f t="shared" si="148"/>
        <v>0</v>
      </c>
      <c r="N259" s="62">
        <f t="shared" si="149"/>
        <v>0</v>
      </c>
      <c r="O259" s="53" t="str">
        <f t="shared" si="140"/>
        <v/>
      </c>
      <c r="P259" s="53" t="str">
        <f t="shared" si="141"/>
        <v/>
      </c>
      <c r="Q259" s="53" t="str">
        <f t="shared" si="142"/>
        <v/>
      </c>
      <c r="R259" s="53" t="str">
        <f t="shared" si="143"/>
        <v/>
      </c>
      <c r="S259" s="53" t="str">
        <f t="shared" si="144"/>
        <v/>
      </c>
      <c r="T259" s="53" t="str">
        <f t="shared" si="145"/>
        <v/>
      </c>
      <c r="U259" s="53" t="str">
        <f t="shared" si="146"/>
        <v/>
      </c>
      <c r="V259" s="53" t="str">
        <f t="shared" si="147"/>
        <v/>
      </c>
      <c r="W259" s="53" t="str">
        <f t="shared" si="115"/>
        <v>DNS/DNF ()</v>
      </c>
      <c r="X259" s="53" t="str">
        <f t="shared" si="116"/>
        <v>DNS/DNF ()</v>
      </c>
      <c r="Y259" s="53" t="str">
        <f t="shared" si="117"/>
        <v>DNS/DNF ()</v>
      </c>
      <c r="Z259" s="53" t="str">
        <f t="shared" si="118"/>
        <v>DNS/DNF ()</v>
      </c>
      <c r="AA259" s="53" t="str">
        <f t="shared" si="119"/>
        <v>DNS/DNF ()</v>
      </c>
      <c r="AB259" s="53" t="str">
        <f t="shared" si="120"/>
        <v>DNS/DNF ()</v>
      </c>
      <c r="AC259" s="53" t="str">
        <f t="shared" si="121"/>
        <v>DNS/DNF ()</v>
      </c>
      <c r="AD259" s="53" t="str">
        <f t="shared" si="122"/>
        <v>DNS/DNF ()</v>
      </c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62" t="str">
        <f t="shared" si="123"/>
        <v>DNS/DNF</v>
      </c>
      <c r="AV259" s="62" t="str">
        <f t="shared" si="124"/>
        <v>DNS/DNF</v>
      </c>
      <c r="AW259" s="62" t="str">
        <f t="shared" si="125"/>
        <v>DNS/DNF</v>
      </c>
      <c r="AX259" s="62" t="str">
        <f t="shared" si="126"/>
        <v>DNS/DNF</v>
      </c>
      <c r="AY259" s="62" t="str">
        <f t="shared" si="127"/>
        <v>DNS/DNF</v>
      </c>
      <c r="AZ259" s="62" t="str">
        <f t="shared" si="128"/>
        <v>DNS/DNF</v>
      </c>
      <c r="BA259" s="62" t="str">
        <f t="shared" si="129"/>
        <v>DNS/DNF</v>
      </c>
      <c r="BB259" s="62" t="str">
        <f t="shared" si="130"/>
        <v>DNS/DNF</v>
      </c>
      <c r="BC259" s="75" t="str">
        <f t="shared" si="131"/>
        <v/>
      </c>
      <c r="BD259" s="53" t="str">
        <f t="shared" si="132"/>
        <v/>
      </c>
      <c r="BE259" s="53" t="str">
        <f t="shared" si="133"/>
        <v/>
      </c>
      <c r="BF259" s="53" t="str">
        <f t="shared" si="134"/>
        <v/>
      </c>
      <c r="BG259" s="53" t="str">
        <f t="shared" si="135"/>
        <v/>
      </c>
      <c r="BH259" s="53" t="str">
        <f t="shared" si="136"/>
        <v/>
      </c>
      <c r="BI259" s="53" t="str">
        <f t="shared" si="137"/>
        <v/>
      </c>
      <c r="BJ259" s="53" t="str">
        <f t="shared" si="138"/>
        <v/>
      </c>
      <c r="BK259" s="53" t="str">
        <f t="shared" si="139"/>
        <v/>
      </c>
    </row>
    <row r="260" spans="2:63">
      <c r="B260" s="89" t="str">
        <f>IFERROR(VLOOKUP($A260,EntryList!$A$3:$N$645,2,FALSE),"")</f>
        <v/>
      </c>
      <c r="D260" s="53">
        <f t="shared" si="148"/>
        <v>0</v>
      </c>
      <c r="N260" s="62">
        <f t="shared" si="149"/>
        <v>0</v>
      </c>
      <c r="O260" s="53" t="str">
        <f t="shared" si="140"/>
        <v/>
      </c>
      <c r="P260" s="53" t="str">
        <f t="shared" si="141"/>
        <v/>
      </c>
      <c r="Q260" s="53" t="str">
        <f t="shared" si="142"/>
        <v/>
      </c>
      <c r="R260" s="53" t="str">
        <f t="shared" si="143"/>
        <v/>
      </c>
      <c r="S260" s="53" t="str">
        <f t="shared" si="144"/>
        <v/>
      </c>
      <c r="T260" s="53" t="str">
        <f t="shared" si="145"/>
        <v/>
      </c>
      <c r="U260" s="53" t="str">
        <f t="shared" si="146"/>
        <v/>
      </c>
      <c r="V260" s="53" t="str">
        <f t="shared" si="147"/>
        <v/>
      </c>
      <c r="W260" s="53" t="str">
        <f t="shared" ref="W260:W323" si="150">CONCATENATE(TEXT($AU260,"[hh]:mm:ss.0")," ","(",$O260,")")</f>
        <v>DNS/DNF ()</v>
      </c>
      <c r="X260" s="53" t="str">
        <f t="shared" ref="X260:X323" si="151">CONCATENATE(TEXT($AV260,"[hh]:mm:ss.0")," ","(",$P260,")")</f>
        <v>DNS/DNF ()</v>
      </c>
      <c r="Y260" s="53" t="str">
        <f t="shared" ref="Y260:Y323" si="152">CONCATENATE(TEXT($AW260,"[hh]:mm:ss.0")," ","(",$Q260,")")</f>
        <v>DNS/DNF ()</v>
      </c>
      <c r="Z260" s="53" t="str">
        <f t="shared" ref="Z260:Z323" si="153">CONCATENATE(TEXT($AX260,"[hh]:mm:ss.0")," ","(",$R260,")")</f>
        <v>DNS/DNF ()</v>
      </c>
      <c r="AA260" s="53" t="str">
        <f t="shared" ref="AA260:AA323" si="154">CONCATENATE(TEXT($AY260,"[hh]:mm:ss.0")," ","(",$S260,")")</f>
        <v>DNS/DNF ()</v>
      </c>
      <c r="AB260" s="53" t="str">
        <f t="shared" ref="AB260:AB323" si="155">CONCATENATE(TEXT($AZ260,"[hh]:mm:ss.0")," ","(",$T260,")")</f>
        <v>DNS/DNF ()</v>
      </c>
      <c r="AC260" s="53" t="str">
        <f t="shared" ref="AC260:AC323" si="156">CONCATENATE(TEXT($BA260,"[hh]:mm:ss.0")," ","(",$U260,")")</f>
        <v>DNS/DNF ()</v>
      </c>
      <c r="AD260" s="53" t="str">
        <f t="shared" ref="AD260:AD323" si="157">CONCATENATE(TEXT($BB260,"[hh]:mm:ss.0")," ","(",$V260,")")</f>
        <v>DNS/DNF ()</v>
      </c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62" t="str">
        <f t="shared" ref="AU260:AU323" si="158">IF((OR($AE260=0,$AF260=0,$AF260-$AE260&lt;0)),"DNS/DNF",($AF260-$AE260)/86400000)</f>
        <v>DNS/DNF</v>
      </c>
      <c r="AV260" s="62" t="str">
        <f t="shared" ref="AV260:AV323" si="159">IF((OR($AG260=0,$AH260=0,$AH260-$AG260&lt;0)),"DNS/DNF",($AH260-$AG260)/86400000)</f>
        <v>DNS/DNF</v>
      </c>
      <c r="AW260" s="62" t="str">
        <f t="shared" ref="AW260:AW323" si="160">IF((OR($AI260=0,$AJ260=0,$AJ260-$AI260&lt;0)),"DNS/DNF",($AJ260-$AI260)/86400000)</f>
        <v>DNS/DNF</v>
      </c>
      <c r="AX260" s="62" t="str">
        <f t="shared" ref="AX260:AX323" si="161">IF((OR($AK260=0,$AL260=0,$AL260-$AK260&lt;0)),"DNS/DNF",($AL260-$AK260)/86400000)</f>
        <v>DNS/DNF</v>
      </c>
      <c r="AY260" s="62" t="str">
        <f t="shared" ref="AY260:AY323" si="162">IF((OR($AM260=0,$AM260=0,$AN260-$AM260&lt;0)),"DNS/DNF",($AN260-$AM260)/86400000)</f>
        <v>DNS/DNF</v>
      </c>
      <c r="AZ260" s="62" t="str">
        <f t="shared" ref="AZ260:AZ323" si="163">IF((OR($AO260=0,$AP260=0,$AP260-$AO260&lt;0)),"DNS/DNF",($AP260-$AO260)/86400000)</f>
        <v>DNS/DNF</v>
      </c>
      <c r="BA260" s="62" t="str">
        <f t="shared" ref="BA260:BA323" si="164">IF((OR($AQ260=0,$AR260=0,$AR260-$AQ260&lt;0)),"DNS/DNF",($AR260-$AQ260)/86400000)</f>
        <v>DNS/DNF</v>
      </c>
      <c r="BB260" s="62" t="str">
        <f t="shared" ref="BB260:BB323" si="165">IF((OR($AS260=0,$AT260=0,$AT260-$AS260&lt;0)),"DNS/DNF",($AT260-$AS260)/86400000)</f>
        <v>DNS/DNF</v>
      </c>
      <c r="BC260" s="75" t="str">
        <f t="shared" ref="BC260:BC323" si="166">IFERROR(ROUND(AVERAGE(O260:V260),0),"")</f>
        <v/>
      </c>
      <c r="BD260" s="53" t="str">
        <f t="shared" ref="BD260:BD323" si="167">IFERROR((INDEX(($AU$3:$AU$500)*86400000,MATCH(BC260,$O$3:$O$500,0))),"")</f>
        <v/>
      </c>
      <c r="BE260" s="53" t="str">
        <f t="shared" ref="BE260:BE323" si="168">IFERROR((INDEX(($AV$3:$AV$500)*86400000,MATCH(BC260,$P$3:$P$500,0))),"")</f>
        <v/>
      </c>
      <c r="BF260" s="53" t="str">
        <f t="shared" ref="BF260:BF323" si="169">IFERROR((INDEX(($AW$3:$AW$500)*86400000,MATCH(BC260,$Q$3:$Q$500,0))),"")</f>
        <v/>
      </c>
      <c r="BG260" s="53" t="str">
        <f t="shared" ref="BG260:BG323" si="170">IFERROR((INDEX(($AX$3:$AX$500)*86400000,MATCH(BC260,$R$3:$R$500,0))),"")</f>
        <v/>
      </c>
      <c r="BH260" s="53" t="str">
        <f t="shared" ref="BH260:BH323" si="171">IFERROR((INDEX(($AY$3:$AY$500)*86400000,MATCH(BC260,$S$3:$S$500,0))),"")</f>
        <v/>
      </c>
      <c r="BI260" s="53" t="str">
        <f t="shared" ref="BI260:BI323" si="172">IFERROR((INDEX(($AZ$3:$AZ$500)*86400000,MATCH(BC260,$T$3:$T$500,0))),"")</f>
        <v/>
      </c>
      <c r="BJ260" s="53" t="str">
        <f t="shared" ref="BJ260:BJ323" si="173">IFERROR((INDEX(($BA$3:$BA$500)*86400000,MATCH(BC260,$U$3:$U$500,0))),"")</f>
        <v/>
      </c>
      <c r="BK260" s="53" t="str">
        <f t="shared" ref="BK260:BK323" si="174">IFERROR((INDEX(($BB$3:$BB$500)*86400000,MATCH(BC260,$V$3:$V$500,0))),"")</f>
        <v/>
      </c>
    </row>
    <row r="261" spans="2:63">
      <c r="B261" s="89" t="str">
        <f>IFERROR(VLOOKUP($A261,EntryList!$A$3:$N$645,2,FALSE),"")</f>
        <v/>
      </c>
      <c r="D261" s="53">
        <f t="shared" si="148"/>
        <v>0</v>
      </c>
      <c r="N261" s="62">
        <f t="shared" si="149"/>
        <v>0</v>
      </c>
      <c r="O261" s="53" t="str">
        <f t="shared" si="140"/>
        <v/>
      </c>
      <c r="P261" s="53" t="str">
        <f t="shared" si="141"/>
        <v/>
      </c>
      <c r="Q261" s="53" t="str">
        <f t="shared" si="142"/>
        <v/>
      </c>
      <c r="R261" s="53" t="str">
        <f t="shared" si="143"/>
        <v/>
      </c>
      <c r="S261" s="53" t="str">
        <f t="shared" si="144"/>
        <v/>
      </c>
      <c r="T261" s="53" t="str">
        <f t="shared" si="145"/>
        <v/>
      </c>
      <c r="U261" s="53" t="str">
        <f t="shared" si="146"/>
        <v/>
      </c>
      <c r="V261" s="53" t="str">
        <f t="shared" si="147"/>
        <v/>
      </c>
      <c r="W261" s="53" t="str">
        <f t="shared" si="150"/>
        <v>DNS/DNF ()</v>
      </c>
      <c r="X261" s="53" t="str">
        <f t="shared" si="151"/>
        <v>DNS/DNF ()</v>
      </c>
      <c r="Y261" s="53" t="str">
        <f t="shared" si="152"/>
        <v>DNS/DNF ()</v>
      </c>
      <c r="Z261" s="53" t="str">
        <f t="shared" si="153"/>
        <v>DNS/DNF ()</v>
      </c>
      <c r="AA261" s="53" t="str">
        <f t="shared" si="154"/>
        <v>DNS/DNF ()</v>
      </c>
      <c r="AB261" s="53" t="str">
        <f t="shared" si="155"/>
        <v>DNS/DNF ()</v>
      </c>
      <c r="AC261" s="53" t="str">
        <f t="shared" si="156"/>
        <v>DNS/DNF ()</v>
      </c>
      <c r="AD261" s="53" t="str">
        <f t="shared" si="157"/>
        <v>DNS/DNF ()</v>
      </c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62" t="str">
        <f t="shared" si="158"/>
        <v>DNS/DNF</v>
      </c>
      <c r="AV261" s="62" t="str">
        <f t="shared" si="159"/>
        <v>DNS/DNF</v>
      </c>
      <c r="AW261" s="62" t="str">
        <f t="shared" si="160"/>
        <v>DNS/DNF</v>
      </c>
      <c r="AX261" s="62" t="str">
        <f t="shared" si="161"/>
        <v>DNS/DNF</v>
      </c>
      <c r="AY261" s="62" t="str">
        <f t="shared" si="162"/>
        <v>DNS/DNF</v>
      </c>
      <c r="AZ261" s="62" t="str">
        <f t="shared" si="163"/>
        <v>DNS/DNF</v>
      </c>
      <c r="BA261" s="62" t="str">
        <f t="shared" si="164"/>
        <v>DNS/DNF</v>
      </c>
      <c r="BB261" s="62" t="str">
        <f t="shared" si="165"/>
        <v>DNS/DNF</v>
      </c>
      <c r="BC261" s="75" t="str">
        <f t="shared" si="166"/>
        <v/>
      </c>
      <c r="BD261" s="53" t="str">
        <f t="shared" si="167"/>
        <v/>
      </c>
      <c r="BE261" s="53" t="str">
        <f t="shared" si="168"/>
        <v/>
      </c>
      <c r="BF261" s="53" t="str">
        <f t="shared" si="169"/>
        <v/>
      </c>
      <c r="BG261" s="53" t="str">
        <f t="shared" si="170"/>
        <v/>
      </c>
      <c r="BH261" s="53" t="str">
        <f t="shared" si="171"/>
        <v/>
      </c>
      <c r="BI261" s="53" t="str">
        <f t="shared" si="172"/>
        <v/>
      </c>
      <c r="BJ261" s="53" t="str">
        <f t="shared" si="173"/>
        <v/>
      </c>
      <c r="BK261" s="53" t="str">
        <f t="shared" si="174"/>
        <v/>
      </c>
    </row>
    <row r="262" spans="2:63">
      <c r="B262" s="89" t="str">
        <f>IFERROR(VLOOKUP($A262,EntryList!$A$3:$N$645,2,FALSE),"")</f>
        <v/>
      </c>
      <c r="D262" s="53">
        <f t="shared" si="148"/>
        <v>0</v>
      </c>
      <c r="N262" s="62">
        <f t="shared" si="149"/>
        <v>0</v>
      </c>
      <c r="O262" s="53" t="str">
        <f t="shared" si="140"/>
        <v/>
      </c>
      <c r="P262" s="53" t="str">
        <f t="shared" si="141"/>
        <v/>
      </c>
      <c r="Q262" s="53" t="str">
        <f t="shared" si="142"/>
        <v/>
      </c>
      <c r="R262" s="53" t="str">
        <f t="shared" si="143"/>
        <v/>
      </c>
      <c r="S262" s="53" t="str">
        <f t="shared" si="144"/>
        <v/>
      </c>
      <c r="T262" s="53" t="str">
        <f t="shared" si="145"/>
        <v/>
      </c>
      <c r="U262" s="53" t="str">
        <f t="shared" si="146"/>
        <v/>
      </c>
      <c r="V262" s="53" t="str">
        <f t="shared" si="147"/>
        <v/>
      </c>
      <c r="W262" s="53" t="str">
        <f t="shared" si="150"/>
        <v>DNS/DNF ()</v>
      </c>
      <c r="X262" s="53" t="str">
        <f t="shared" si="151"/>
        <v>DNS/DNF ()</v>
      </c>
      <c r="Y262" s="53" t="str">
        <f t="shared" si="152"/>
        <v>DNS/DNF ()</v>
      </c>
      <c r="Z262" s="53" t="str">
        <f t="shared" si="153"/>
        <v>DNS/DNF ()</v>
      </c>
      <c r="AA262" s="53" t="str">
        <f t="shared" si="154"/>
        <v>DNS/DNF ()</v>
      </c>
      <c r="AB262" s="53" t="str">
        <f t="shared" si="155"/>
        <v>DNS/DNF ()</v>
      </c>
      <c r="AC262" s="53" t="str">
        <f t="shared" si="156"/>
        <v>DNS/DNF ()</v>
      </c>
      <c r="AD262" s="53" t="str">
        <f t="shared" si="157"/>
        <v>DNS/DNF ()</v>
      </c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62" t="str">
        <f t="shared" si="158"/>
        <v>DNS/DNF</v>
      </c>
      <c r="AV262" s="62" t="str">
        <f t="shared" si="159"/>
        <v>DNS/DNF</v>
      </c>
      <c r="AW262" s="62" t="str">
        <f t="shared" si="160"/>
        <v>DNS/DNF</v>
      </c>
      <c r="AX262" s="62" t="str">
        <f t="shared" si="161"/>
        <v>DNS/DNF</v>
      </c>
      <c r="AY262" s="62" t="str">
        <f t="shared" si="162"/>
        <v>DNS/DNF</v>
      </c>
      <c r="AZ262" s="62" t="str">
        <f t="shared" si="163"/>
        <v>DNS/DNF</v>
      </c>
      <c r="BA262" s="62" t="str">
        <f t="shared" si="164"/>
        <v>DNS/DNF</v>
      </c>
      <c r="BB262" s="62" t="str">
        <f t="shared" si="165"/>
        <v>DNS/DNF</v>
      </c>
      <c r="BC262" s="75" t="str">
        <f t="shared" si="166"/>
        <v/>
      </c>
      <c r="BD262" s="53" t="str">
        <f t="shared" si="167"/>
        <v/>
      </c>
      <c r="BE262" s="53" t="str">
        <f t="shared" si="168"/>
        <v/>
      </c>
      <c r="BF262" s="53" t="str">
        <f t="shared" si="169"/>
        <v/>
      </c>
      <c r="BG262" s="53" t="str">
        <f t="shared" si="170"/>
        <v/>
      </c>
      <c r="BH262" s="53" t="str">
        <f t="shared" si="171"/>
        <v/>
      </c>
      <c r="BI262" s="53" t="str">
        <f t="shared" si="172"/>
        <v/>
      </c>
      <c r="BJ262" s="53" t="str">
        <f t="shared" si="173"/>
        <v/>
      </c>
      <c r="BK262" s="53" t="str">
        <f t="shared" si="174"/>
        <v/>
      </c>
    </row>
    <row r="263" spans="2:63">
      <c r="B263" s="89" t="str">
        <f>IFERROR(VLOOKUP($A263,EntryList!$A$3:$N$645,2,FALSE),"")</f>
        <v/>
      </c>
      <c r="D263" s="53">
        <f t="shared" si="148"/>
        <v>0</v>
      </c>
      <c r="N263" s="62">
        <f t="shared" si="149"/>
        <v>0</v>
      </c>
      <c r="O263" s="53" t="str">
        <f t="shared" si="140"/>
        <v/>
      </c>
      <c r="P263" s="53" t="str">
        <f t="shared" si="141"/>
        <v/>
      </c>
      <c r="Q263" s="53" t="str">
        <f t="shared" si="142"/>
        <v/>
      </c>
      <c r="R263" s="53" t="str">
        <f t="shared" si="143"/>
        <v/>
      </c>
      <c r="S263" s="53" t="str">
        <f t="shared" si="144"/>
        <v/>
      </c>
      <c r="T263" s="53" t="str">
        <f t="shared" si="145"/>
        <v/>
      </c>
      <c r="U263" s="53" t="str">
        <f t="shared" si="146"/>
        <v/>
      </c>
      <c r="V263" s="53" t="str">
        <f t="shared" si="147"/>
        <v/>
      </c>
      <c r="W263" s="53" t="str">
        <f t="shared" si="150"/>
        <v>DNS/DNF ()</v>
      </c>
      <c r="X263" s="53" t="str">
        <f t="shared" si="151"/>
        <v>DNS/DNF ()</v>
      </c>
      <c r="Y263" s="53" t="str">
        <f t="shared" si="152"/>
        <v>DNS/DNF ()</v>
      </c>
      <c r="Z263" s="53" t="str">
        <f t="shared" si="153"/>
        <v>DNS/DNF ()</v>
      </c>
      <c r="AA263" s="53" t="str">
        <f t="shared" si="154"/>
        <v>DNS/DNF ()</v>
      </c>
      <c r="AB263" s="53" t="str">
        <f t="shared" si="155"/>
        <v>DNS/DNF ()</v>
      </c>
      <c r="AC263" s="53" t="str">
        <f t="shared" si="156"/>
        <v>DNS/DNF ()</v>
      </c>
      <c r="AD263" s="53" t="str">
        <f t="shared" si="157"/>
        <v>DNS/DNF ()</v>
      </c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62" t="str">
        <f t="shared" si="158"/>
        <v>DNS/DNF</v>
      </c>
      <c r="AV263" s="62" t="str">
        <f t="shared" si="159"/>
        <v>DNS/DNF</v>
      </c>
      <c r="AW263" s="62" t="str">
        <f t="shared" si="160"/>
        <v>DNS/DNF</v>
      </c>
      <c r="AX263" s="62" t="str">
        <f t="shared" si="161"/>
        <v>DNS/DNF</v>
      </c>
      <c r="AY263" s="62" t="str">
        <f t="shared" si="162"/>
        <v>DNS/DNF</v>
      </c>
      <c r="AZ263" s="62" t="str">
        <f t="shared" si="163"/>
        <v>DNS/DNF</v>
      </c>
      <c r="BA263" s="62" t="str">
        <f t="shared" si="164"/>
        <v>DNS/DNF</v>
      </c>
      <c r="BB263" s="62" t="str">
        <f t="shared" si="165"/>
        <v>DNS/DNF</v>
      </c>
      <c r="BC263" s="75" t="str">
        <f t="shared" si="166"/>
        <v/>
      </c>
      <c r="BD263" s="53" t="str">
        <f t="shared" si="167"/>
        <v/>
      </c>
      <c r="BE263" s="53" t="str">
        <f t="shared" si="168"/>
        <v/>
      </c>
      <c r="BF263" s="53" t="str">
        <f t="shared" si="169"/>
        <v/>
      </c>
      <c r="BG263" s="53" t="str">
        <f t="shared" si="170"/>
        <v/>
      </c>
      <c r="BH263" s="53" t="str">
        <f t="shared" si="171"/>
        <v/>
      </c>
      <c r="BI263" s="53" t="str">
        <f t="shared" si="172"/>
        <v/>
      </c>
      <c r="BJ263" s="53" t="str">
        <f t="shared" si="173"/>
        <v/>
      </c>
      <c r="BK263" s="53" t="str">
        <f t="shared" si="174"/>
        <v/>
      </c>
    </row>
    <row r="264" spans="2:63">
      <c r="B264" s="89" t="str">
        <f>IFERROR(VLOOKUP($A264,EntryList!$A$3:$N$645,2,FALSE),"")</f>
        <v/>
      </c>
      <c r="D264" s="53">
        <f t="shared" si="148"/>
        <v>0</v>
      </c>
      <c r="N264" s="62">
        <f t="shared" si="149"/>
        <v>0</v>
      </c>
      <c r="O264" s="53" t="str">
        <f t="shared" si="140"/>
        <v/>
      </c>
      <c r="P264" s="53" t="str">
        <f t="shared" si="141"/>
        <v/>
      </c>
      <c r="Q264" s="53" t="str">
        <f t="shared" si="142"/>
        <v/>
      </c>
      <c r="R264" s="53" t="str">
        <f t="shared" si="143"/>
        <v/>
      </c>
      <c r="S264" s="53" t="str">
        <f t="shared" si="144"/>
        <v/>
      </c>
      <c r="T264" s="53" t="str">
        <f t="shared" si="145"/>
        <v/>
      </c>
      <c r="U264" s="53" t="str">
        <f t="shared" si="146"/>
        <v/>
      </c>
      <c r="V264" s="53" t="str">
        <f t="shared" si="147"/>
        <v/>
      </c>
      <c r="W264" s="53" t="str">
        <f t="shared" si="150"/>
        <v>DNS/DNF ()</v>
      </c>
      <c r="X264" s="53" t="str">
        <f t="shared" si="151"/>
        <v>DNS/DNF ()</v>
      </c>
      <c r="Y264" s="53" t="str">
        <f t="shared" si="152"/>
        <v>DNS/DNF ()</v>
      </c>
      <c r="Z264" s="53" t="str">
        <f t="shared" si="153"/>
        <v>DNS/DNF ()</v>
      </c>
      <c r="AA264" s="53" t="str">
        <f t="shared" si="154"/>
        <v>DNS/DNF ()</v>
      </c>
      <c r="AB264" s="53" t="str">
        <f t="shared" si="155"/>
        <v>DNS/DNF ()</v>
      </c>
      <c r="AC264" s="53" t="str">
        <f t="shared" si="156"/>
        <v>DNS/DNF ()</v>
      </c>
      <c r="AD264" s="53" t="str">
        <f t="shared" si="157"/>
        <v>DNS/DNF ()</v>
      </c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62" t="str">
        <f t="shared" si="158"/>
        <v>DNS/DNF</v>
      </c>
      <c r="AV264" s="62" t="str">
        <f t="shared" si="159"/>
        <v>DNS/DNF</v>
      </c>
      <c r="AW264" s="62" t="str">
        <f t="shared" si="160"/>
        <v>DNS/DNF</v>
      </c>
      <c r="AX264" s="62" t="str">
        <f t="shared" si="161"/>
        <v>DNS/DNF</v>
      </c>
      <c r="AY264" s="62" t="str">
        <f t="shared" si="162"/>
        <v>DNS/DNF</v>
      </c>
      <c r="AZ264" s="62" t="str">
        <f t="shared" si="163"/>
        <v>DNS/DNF</v>
      </c>
      <c r="BA264" s="62" t="str">
        <f t="shared" si="164"/>
        <v>DNS/DNF</v>
      </c>
      <c r="BB264" s="62" t="str">
        <f t="shared" si="165"/>
        <v>DNS/DNF</v>
      </c>
      <c r="BC264" s="75" t="str">
        <f t="shared" si="166"/>
        <v/>
      </c>
      <c r="BD264" s="53" t="str">
        <f t="shared" si="167"/>
        <v/>
      </c>
      <c r="BE264" s="53" t="str">
        <f t="shared" si="168"/>
        <v/>
      </c>
      <c r="BF264" s="53" t="str">
        <f t="shared" si="169"/>
        <v/>
      </c>
      <c r="BG264" s="53" t="str">
        <f t="shared" si="170"/>
        <v/>
      </c>
      <c r="BH264" s="53" t="str">
        <f t="shared" si="171"/>
        <v/>
      </c>
      <c r="BI264" s="53" t="str">
        <f t="shared" si="172"/>
        <v/>
      </c>
      <c r="BJ264" s="53" t="str">
        <f t="shared" si="173"/>
        <v/>
      </c>
      <c r="BK264" s="53" t="str">
        <f t="shared" si="174"/>
        <v/>
      </c>
    </row>
    <row r="265" spans="2:63">
      <c r="B265" s="89" t="str">
        <f>IFERROR(VLOOKUP($A265,EntryList!$A$3:$N$645,2,FALSE),"")</f>
        <v/>
      </c>
      <c r="D265" s="53">
        <f t="shared" si="148"/>
        <v>0</v>
      </c>
      <c r="N265" s="62">
        <f t="shared" si="149"/>
        <v>0</v>
      </c>
      <c r="O265" s="53" t="str">
        <f t="shared" si="140"/>
        <v/>
      </c>
      <c r="P265" s="53" t="str">
        <f t="shared" si="141"/>
        <v/>
      </c>
      <c r="Q265" s="53" t="str">
        <f t="shared" si="142"/>
        <v/>
      </c>
      <c r="R265" s="53" t="str">
        <f t="shared" si="143"/>
        <v/>
      </c>
      <c r="S265" s="53" t="str">
        <f t="shared" si="144"/>
        <v/>
      </c>
      <c r="T265" s="53" t="str">
        <f t="shared" si="145"/>
        <v/>
      </c>
      <c r="U265" s="53" t="str">
        <f t="shared" si="146"/>
        <v/>
      </c>
      <c r="V265" s="53" t="str">
        <f t="shared" si="147"/>
        <v/>
      </c>
      <c r="W265" s="53" t="str">
        <f t="shared" si="150"/>
        <v>DNS/DNF ()</v>
      </c>
      <c r="X265" s="53" t="str">
        <f t="shared" si="151"/>
        <v>DNS/DNF ()</v>
      </c>
      <c r="Y265" s="53" t="str">
        <f t="shared" si="152"/>
        <v>DNS/DNF ()</v>
      </c>
      <c r="Z265" s="53" t="str">
        <f t="shared" si="153"/>
        <v>DNS/DNF ()</v>
      </c>
      <c r="AA265" s="53" t="str">
        <f t="shared" si="154"/>
        <v>DNS/DNF ()</v>
      </c>
      <c r="AB265" s="53" t="str">
        <f t="shared" si="155"/>
        <v>DNS/DNF ()</v>
      </c>
      <c r="AC265" s="53" t="str">
        <f t="shared" si="156"/>
        <v>DNS/DNF ()</v>
      </c>
      <c r="AD265" s="53" t="str">
        <f t="shared" si="157"/>
        <v>DNS/DNF ()</v>
      </c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62" t="str">
        <f t="shared" si="158"/>
        <v>DNS/DNF</v>
      </c>
      <c r="AV265" s="62" t="str">
        <f t="shared" si="159"/>
        <v>DNS/DNF</v>
      </c>
      <c r="AW265" s="62" t="str">
        <f t="shared" si="160"/>
        <v>DNS/DNF</v>
      </c>
      <c r="AX265" s="62" t="str">
        <f t="shared" si="161"/>
        <v>DNS/DNF</v>
      </c>
      <c r="AY265" s="62" t="str">
        <f t="shared" si="162"/>
        <v>DNS/DNF</v>
      </c>
      <c r="AZ265" s="62" t="str">
        <f t="shared" si="163"/>
        <v>DNS/DNF</v>
      </c>
      <c r="BA265" s="62" t="str">
        <f t="shared" si="164"/>
        <v>DNS/DNF</v>
      </c>
      <c r="BB265" s="62" t="str">
        <f t="shared" si="165"/>
        <v>DNS/DNF</v>
      </c>
      <c r="BC265" s="75" t="str">
        <f t="shared" si="166"/>
        <v/>
      </c>
      <c r="BD265" s="53" t="str">
        <f t="shared" si="167"/>
        <v/>
      </c>
      <c r="BE265" s="53" t="str">
        <f t="shared" si="168"/>
        <v/>
      </c>
      <c r="BF265" s="53" t="str">
        <f t="shared" si="169"/>
        <v/>
      </c>
      <c r="BG265" s="53" t="str">
        <f t="shared" si="170"/>
        <v/>
      </c>
      <c r="BH265" s="53" t="str">
        <f t="shared" si="171"/>
        <v/>
      </c>
      <c r="BI265" s="53" t="str">
        <f t="shared" si="172"/>
        <v/>
      </c>
      <c r="BJ265" s="53" t="str">
        <f t="shared" si="173"/>
        <v/>
      </c>
      <c r="BK265" s="53" t="str">
        <f t="shared" si="174"/>
        <v/>
      </c>
    </row>
    <row r="266" spans="2:63">
      <c r="B266" s="89" t="str">
        <f>IFERROR(VLOOKUP($A266,EntryList!$A$3:$N$645,2,FALSE),"")</f>
        <v/>
      </c>
      <c r="D266" s="53">
        <f t="shared" si="148"/>
        <v>0</v>
      </c>
      <c r="N266" s="62">
        <f t="shared" si="149"/>
        <v>0</v>
      </c>
      <c r="O266" s="53" t="str">
        <f t="shared" si="140"/>
        <v/>
      </c>
      <c r="P266" s="53" t="str">
        <f t="shared" si="141"/>
        <v/>
      </c>
      <c r="Q266" s="53" t="str">
        <f t="shared" si="142"/>
        <v/>
      </c>
      <c r="R266" s="53" t="str">
        <f t="shared" si="143"/>
        <v/>
      </c>
      <c r="S266" s="53" t="str">
        <f t="shared" si="144"/>
        <v/>
      </c>
      <c r="T266" s="53" t="str">
        <f t="shared" si="145"/>
        <v/>
      </c>
      <c r="U266" s="53" t="str">
        <f t="shared" si="146"/>
        <v/>
      </c>
      <c r="V266" s="53" t="str">
        <f t="shared" si="147"/>
        <v/>
      </c>
      <c r="W266" s="53" t="str">
        <f t="shared" si="150"/>
        <v>DNS/DNF ()</v>
      </c>
      <c r="X266" s="53" t="str">
        <f t="shared" si="151"/>
        <v>DNS/DNF ()</v>
      </c>
      <c r="Y266" s="53" t="str">
        <f t="shared" si="152"/>
        <v>DNS/DNF ()</v>
      </c>
      <c r="Z266" s="53" t="str">
        <f t="shared" si="153"/>
        <v>DNS/DNF ()</v>
      </c>
      <c r="AA266" s="53" t="str">
        <f t="shared" si="154"/>
        <v>DNS/DNF ()</v>
      </c>
      <c r="AB266" s="53" t="str">
        <f t="shared" si="155"/>
        <v>DNS/DNF ()</v>
      </c>
      <c r="AC266" s="53" t="str">
        <f t="shared" si="156"/>
        <v>DNS/DNF ()</v>
      </c>
      <c r="AD266" s="53" t="str">
        <f t="shared" si="157"/>
        <v>DNS/DNF ()</v>
      </c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62" t="str">
        <f t="shared" si="158"/>
        <v>DNS/DNF</v>
      </c>
      <c r="AV266" s="62" t="str">
        <f t="shared" si="159"/>
        <v>DNS/DNF</v>
      </c>
      <c r="AW266" s="62" t="str">
        <f t="shared" si="160"/>
        <v>DNS/DNF</v>
      </c>
      <c r="AX266" s="62" t="str">
        <f t="shared" si="161"/>
        <v>DNS/DNF</v>
      </c>
      <c r="AY266" s="62" t="str">
        <f t="shared" si="162"/>
        <v>DNS/DNF</v>
      </c>
      <c r="AZ266" s="62" t="str">
        <f t="shared" si="163"/>
        <v>DNS/DNF</v>
      </c>
      <c r="BA266" s="62" t="str">
        <f t="shared" si="164"/>
        <v>DNS/DNF</v>
      </c>
      <c r="BB266" s="62" t="str">
        <f t="shared" si="165"/>
        <v>DNS/DNF</v>
      </c>
      <c r="BC266" s="75" t="str">
        <f t="shared" si="166"/>
        <v/>
      </c>
      <c r="BD266" s="53" t="str">
        <f t="shared" si="167"/>
        <v/>
      </c>
      <c r="BE266" s="53" t="str">
        <f t="shared" si="168"/>
        <v/>
      </c>
      <c r="BF266" s="53" t="str">
        <f t="shared" si="169"/>
        <v/>
      </c>
      <c r="BG266" s="53" t="str">
        <f t="shared" si="170"/>
        <v/>
      </c>
      <c r="BH266" s="53" t="str">
        <f t="shared" si="171"/>
        <v/>
      </c>
      <c r="BI266" s="53" t="str">
        <f t="shared" si="172"/>
        <v/>
      </c>
      <c r="BJ266" s="53" t="str">
        <f t="shared" si="173"/>
        <v/>
      </c>
      <c r="BK266" s="53" t="str">
        <f t="shared" si="174"/>
        <v/>
      </c>
    </row>
    <row r="267" spans="2:63">
      <c r="B267" s="89" t="str">
        <f>IFERROR(VLOOKUP($A267,EntryList!$A$3:$N$645,2,FALSE),"")</f>
        <v/>
      </c>
      <c r="D267" s="53">
        <f t="shared" si="148"/>
        <v>0</v>
      </c>
      <c r="N267" s="62">
        <f t="shared" si="149"/>
        <v>0</v>
      </c>
      <c r="O267" s="53" t="str">
        <f t="shared" si="140"/>
        <v/>
      </c>
      <c r="P267" s="53" t="str">
        <f t="shared" si="141"/>
        <v/>
      </c>
      <c r="Q267" s="53" t="str">
        <f t="shared" si="142"/>
        <v/>
      </c>
      <c r="R267" s="53" t="str">
        <f t="shared" si="143"/>
        <v/>
      </c>
      <c r="S267" s="53" t="str">
        <f t="shared" si="144"/>
        <v/>
      </c>
      <c r="T267" s="53" t="str">
        <f t="shared" si="145"/>
        <v/>
      </c>
      <c r="U267" s="53" t="str">
        <f t="shared" si="146"/>
        <v/>
      </c>
      <c r="V267" s="53" t="str">
        <f t="shared" si="147"/>
        <v/>
      </c>
      <c r="W267" s="53" t="str">
        <f t="shared" si="150"/>
        <v>DNS/DNF ()</v>
      </c>
      <c r="X267" s="53" t="str">
        <f t="shared" si="151"/>
        <v>DNS/DNF ()</v>
      </c>
      <c r="Y267" s="53" t="str">
        <f t="shared" si="152"/>
        <v>DNS/DNF ()</v>
      </c>
      <c r="Z267" s="53" t="str">
        <f t="shared" si="153"/>
        <v>DNS/DNF ()</v>
      </c>
      <c r="AA267" s="53" t="str">
        <f t="shared" si="154"/>
        <v>DNS/DNF ()</v>
      </c>
      <c r="AB267" s="53" t="str">
        <f t="shared" si="155"/>
        <v>DNS/DNF ()</v>
      </c>
      <c r="AC267" s="53" t="str">
        <f t="shared" si="156"/>
        <v>DNS/DNF ()</v>
      </c>
      <c r="AD267" s="53" t="str">
        <f t="shared" si="157"/>
        <v>DNS/DNF ()</v>
      </c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62" t="str">
        <f t="shared" si="158"/>
        <v>DNS/DNF</v>
      </c>
      <c r="AV267" s="62" t="str">
        <f t="shared" si="159"/>
        <v>DNS/DNF</v>
      </c>
      <c r="AW267" s="62" t="str">
        <f t="shared" si="160"/>
        <v>DNS/DNF</v>
      </c>
      <c r="AX267" s="62" t="str">
        <f t="shared" si="161"/>
        <v>DNS/DNF</v>
      </c>
      <c r="AY267" s="62" t="str">
        <f t="shared" si="162"/>
        <v>DNS/DNF</v>
      </c>
      <c r="AZ267" s="62" t="str">
        <f t="shared" si="163"/>
        <v>DNS/DNF</v>
      </c>
      <c r="BA267" s="62" t="str">
        <f t="shared" si="164"/>
        <v>DNS/DNF</v>
      </c>
      <c r="BB267" s="62" t="str">
        <f t="shared" si="165"/>
        <v>DNS/DNF</v>
      </c>
      <c r="BC267" s="75" t="str">
        <f t="shared" si="166"/>
        <v/>
      </c>
      <c r="BD267" s="53" t="str">
        <f t="shared" si="167"/>
        <v/>
      </c>
      <c r="BE267" s="53" t="str">
        <f t="shared" si="168"/>
        <v/>
      </c>
      <c r="BF267" s="53" t="str">
        <f t="shared" si="169"/>
        <v/>
      </c>
      <c r="BG267" s="53" t="str">
        <f t="shared" si="170"/>
        <v/>
      </c>
      <c r="BH267" s="53" t="str">
        <f t="shared" si="171"/>
        <v/>
      </c>
      <c r="BI267" s="53" t="str">
        <f t="shared" si="172"/>
        <v/>
      </c>
      <c r="BJ267" s="53" t="str">
        <f t="shared" si="173"/>
        <v/>
      </c>
      <c r="BK267" s="53" t="str">
        <f t="shared" si="174"/>
        <v/>
      </c>
    </row>
    <row r="268" spans="2:63">
      <c r="B268" s="89" t="str">
        <f>IFERROR(VLOOKUP($A268,EntryList!$A$3:$N$645,2,FALSE),"")</f>
        <v/>
      </c>
      <c r="D268" s="53">
        <f t="shared" si="148"/>
        <v>0</v>
      </c>
      <c r="N268" s="62">
        <f t="shared" si="149"/>
        <v>0</v>
      </c>
      <c r="O268" s="53" t="str">
        <f t="shared" si="140"/>
        <v/>
      </c>
      <c r="P268" s="53" t="str">
        <f t="shared" si="141"/>
        <v/>
      </c>
      <c r="Q268" s="53" t="str">
        <f t="shared" si="142"/>
        <v/>
      </c>
      <c r="R268" s="53" t="str">
        <f t="shared" si="143"/>
        <v/>
      </c>
      <c r="S268" s="53" t="str">
        <f t="shared" si="144"/>
        <v/>
      </c>
      <c r="T268" s="53" t="str">
        <f t="shared" si="145"/>
        <v/>
      </c>
      <c r="U268" s="53" t="str">
        <f t="shared" si="146"/>
        <v/>
      </c>
      <c r="V268" s="53" t="str">
        <f t="shared" si="147"/>
        <v/>
      </c>
      <c r="W268" s="53" t="str">
        <f t="shared" si="150"/>
        <v>DNS/DNF ()</v>
      </c>
      <c r="X268" s="53" t="str">
        <f t="shared" si="151"/>
        <v>DNS/DNF ()</v>
      </c>
      <c r="Y268" s="53" t="str">
        <f t="shared" si="152"/>
        <v>DNS/DNF ()</v>
      </c>
      <c r="Z268" s="53" t="str">
        <f t="shared" si="153"/>
        <v>DNS/DNF ()</v>
      </c>
      <c r="AA268" s="53" t="str">
        <f t="shared" si="154"/>
        <v>DNS/DNF ()</v>
      </c>
      <c r="AB268" s="53" t="str">
        <f t="shared" si="155"/>
        <v>DNS/DNF ()</v>
      </c>
      <c r="AC268" s="53" t="str">
        <f t="shared" si="156"/>
        <v>DNS/DNF ()</v>
      </c>
      <c r="AD268" s="53" t="str">
        <f t="shared" si="157"/>
        <v>DNS/DNF ()</v>
      </c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62" t="str">
        <f t="shared" si="158"/>
        <v>DNS/DNF</v>
      </c>
      <c r="AV268" s="62" t="str">
        <f t="shared" si="159"/>
        <v>DNS/DNF</v>
      </c>
      <c r="AW268" s="62" t="str">
        <f t="shared" si="160"/>
        <v>DNS/DNF</v>
      </c>
      <c r="AX268" s="62" t="str">
        <f t="shared" si="161"/>
        <v>DNS/DNF</v>
      </c>
      <c r="AY268" s="62" t="str">
        <f t="shared" si="162"/>
        <v>DNS/DNF</v>
      </c>
      <c r="AZ268" s="62" t="str">
        <f t="shared" si="163"/>
        <v>DNS/DNF</v>
      </c>
      <c r="BA268" s="62" t="str">
        <f t="shared" si="164"/>
        <v>DNS/DNF</v>
      </c>
      <c r="BB268" s="62" t="str">
        <f t="shared" si="165"/>
        <v>DNS/DNF</v>
      </c>
      <c r="BC268" s="75" t="str">
        <f t="shared" si="166"/>
        <v/>
      </c>
      <c r="BD268" s="53" t="str">
        <f t="shared" si="167"/>
        <v/>
      </c>
      <c r="BE268" s="53" t="str">
        <f t="shared" si="168"/>
        <v/>
      </c>
      <c r="BF268" s="53" t="str">
        <f t="shared" si="169"/>
        <v/>
      </c>
      <c r="BG268" s="53" t="str">
        <f t="shared" si="170"/>
        <v/>
      </c>
      <c r="BH268" s="53" t="str">
        <f t="shared" si="171"/>
        <v/>
      </c>
      <c r="BI268" s="53" t="str">
        <f t="shared" si="172"/>
        <v/>
      </c>
      <c r="BJ268" s="53" t="str">
        <f t="shared" si="173"/>
        <v/>
      </c>
      <c r="BK268" s="53" t="str">
        <f t="shared" si="174"/>
        <v/>
      </c>
    </row>
    <row r="269" spans="2:63">
      <c r="B269" s="89" t="str">
        <f>IFERROR(VLOOKUP($A269,EntryList!$A$3:$N$645,2,FALSE),"")</f>
        <v/>
      </c>
      <c r="D269" s="53">
        <f t="shared" si="148"/>
        <v>0</v>
      </c>
      <c r="N269" s="62">
        <f t="shared" si="149"/>
        <v>0</v>
      </c>
      <c r="O269" s="53" t="str">
        <f t="shared" si="140"/>
        <v/>
      </c>
      <c r="P269" s="53" t="str">
        <f t="shared" si="141"/>
        <v/>
      </c>
      <c r="Q269" s="53" t="str">
        <f t="shared" si="142"/>
        <v/>
      </c>
      <c r="R269" s="53" t="str">
        <f t="shared" si="143"/>
        <v/>
      </c>
      <c r="S269" s="53" t="str">
        <f t="shared" si="144"/>
        <v/>
      </c>
      <c r="T269" s="53" t="str">
        <f t="shared" si="145"/>
        <v/>
      </c>
      <c r="U269" s="53" t="str">
        <f t="shared" si="146"/>
        <v/>
      </c>
      <c r="V269" s="53" t="str">
        <f t="shared" si="147"/>
        <v/>
      </c>
      <c r="W269" s="53" t="str">
        <f t="shared" si="150"/>
        <v>DNS/DNF ()</v>
      </c>
      <c r="X269" s="53" t="str">
        <f t="shared" si="151"/>
        <v>DNS/DNF ()</v>
      </c>
      <c r="Y269" s="53" t="str">
        <f t="shared" si="152"/>
        <v>DNS/DNF ()</v>
      </c>
      <c r="Z269" s="53" t="str">
        <f t="shared" si="153"/>
        <v>DNS/DNF ()</v>
      </c>
      <c r="AA269" s="53" t="str">
        <f t="shared" si="154"/>
        <v>DNS/DNF ()</v>
      </c>
      <c r="AB269" s="53" t="str">
        <f t="shared" si="155"/>
        <v>DNS/DNF ()</v>
      </c>
      <c r="AC269" s="53" t="str">
        <f t="shared" si="156"/>
        <v>DNS/DNF ()</v>
      </c>
      <c r="AD269" s="53" t="str">
        <f t="shared" si="157"/>
        <v>DNS/DNF ()</v>
      </c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62" t="str">
        <f t="shared" si="158"/>
        <v>DNS/DNF</v>
      </c>
      <c r="AV269" s="62" t="str">
        <f t="shared" si="159"/>
        <v>DNS/DNF</v>
      </c>
      <c r="AW269" s="62" t="str">
        <f t="shared" si="160"/>
        <v>DNS/DNF</v>
      </c>
      <c r="AX269" s="62" t="str">
        <f t="shared" si="161"/>
        <v>DNS/DNF</v>
      </c>
      <c r="AY269" s="62" t="str">
        <f t="shared" si="162"/>
        <v>DNS/DNF</v>
      </c>
      <c r="AZ269" s="62" t="str">
        <f t="shared" si="163"/>
        <v>DNS/DNF</v>
      </c>
      <c r="BA269" s="62" t="str">
        <f t="shared" si="164"/>
        <v>DNS/DNF</v>
      </c>
      <c r="BB269" s="62" t="str">
        <f t="shared" si="165"/>
        <v>DNS/DNF</v>
      </c>
      <c r="BC269" s="75" t="str">
        <f t="shared" si="166"/>
        <v/>
      </c>
      <c r="BD269" s="53" t="str">
        <f t="shared" si="167"/>
        <v/>
      </c>
      <c r="BE269" s="53" t="str">
        <f t="shared" si="168"/>
        <v/>
      </c>
      <c r="BF269" s="53" t="str">
        <f t="shared" si="169"/>
        <v/>
      </c>
      <c r="BG269" s="53" t="str">
        <f t="shared" si="170"/>
        <v/>
      </c>
      <c r="BH269" s="53" t="str">
        <f t="shared" si="171"/>
        <v/>
      </c>
      <c r="BI269" s="53" t="str">
        <f t="shared" si="172"/>
        <v/>
      </c>
      <c r="BJ269" s="53" t="str">
        <f t="shared" si="173"/>
        <v/>
      </c>
      <c r="BK269" s="53" t="str">
        <f t="shared" si="174"/>
        <v/>
      </c>
    </row>
    <row r="270" spans="2:63">
      <c r="B270" s="89" t="str">
        <f>IFERROR(VLOOKUP($A270,EntryList!$A$3:$N$645,2,FALSE),"")</f>
        <v/>
      </c>
      <c r="D270" s="53">
        <f t="shared" si="148"/>
        <v>0</v>
      </c>
      <c r="N270" s="62">
        <f t="shared" si="149"/>
        <v>0</v>
      </c>
      <c r="O270" s="53" t="str">
        <f t="shared" si="140"/>
        <v/>
      </c>
      <c r="P270" s="53" t="str">
        <f t="shared" si="141"/>
        <v/>
      </c>
      <c r="Q270" s="53" t="str">
        <f t="shared" si="142"/>
        <v/>
      </c>
      <c r="R270" s="53" t="str">
        <f t="shared" si="143"/>
        <v/>
      </c>
      <c r="S270" s="53" t="str">
        <f t="shared" si="144"/>
        <v/>
      </c>
      <c r="T270" s="53" t="str">
        <f t="shared" si="145"/>
        <v/>
      </c>
      <c r="U270" s="53" t="str">
        <f t="shared" si="146"/>
        <v/>
      </c>
      <c r="V270" s="53" t="str">
        <f t="shared" si="147"/>
        <v/>
      </c>
      <c r="W270" s="53" t="str">
        <f t="shared" si="150"/>
        <v>DNS/DNF ()</v>
      </c>
      <c r="X270" s="53" t="str">
        <f t="shared" si="151"/>
        <v>DNS/DNF ()</v>
      </c>
      <c r="Y270" s="53" t="str">
        <f t="shared" si="152"/>
        <v>DNS/DNF ()</v>
      </c>
      <c r="Z270" s="53" t="str">
        <f t="shared" si="153"/>
        <v>DNS/DNF ()</v>
      </c>
      <c r="AA270" s="53" t="str">
        <f t="shared" si="154"/>
        <v>DNS/DNF ()</v>
      </c>
      <c r="AB270" s="53" t="str">
        <f t="shared" si="155"/>
        <v>DNS/DNF ()</v>
      </c>
      <c r="AC270" s="53" t="str">
        <f t="shared" si="156"/>
        <v>DNS/DNF ()</v>
      </c>
      <c r="AD270" s="53" t="str">
        <f t="shared" si="157"/>
        <v>DNS/DNF ()</v>
      </c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62" t="str">
        <f t="shared" si="158"/>
        <v>DNS/DNF</v>
      </c>
      <c r="AV270" s="62" t="str">
        <f t="shared" si="159"/>
        <v>DNS/DNF</v>
      </c>
      <c r="AW270" s="62" t="str">
        <f t="shared" si="160"/>
        <v>DNS/DNF</v>
      </c>
      <c r="AX270" s="62" t="str">
        <f t="shared" si="161"/>
        <v>DNS/DNF</v>
      </c>
      <c r="AY270" s="62" t="str">
        <f t="shared" si="162"/>
        <v>DNS/DNF</v>
      </c>
      <c r="AZ270" s="62" t="str">
        <f t="shared" si="163"/>
        <v>DNS/DNF</v>
      </c>
      <c r="BA270" s="62" t="str">
        <f t="shared" si="164"/>
        <v>DNS/DNF</v>
      </c>
      <c r="BB270" s="62" t="str">
        <f t="shared" si="165"/>
        <v>DNS/DNF</v>
      </c>
      <c r="BC270" s="75" t="str">
        <f t="shared" si="166"/>
        <v/>
      </c>
      <c r="BD270" s="53" t="str">
        <f t="shared" si="167"/>
        <v/>
      </c>
      <c r="BE270" s="53" t="str">
        <f t="shared" si="168"/>
        <v/>
      </c>
      <c r="BF270" s="53" t="str">
        <f t="shared" si="169"/>
        <v/>
      </c>
      <c r="BG270" s="53" t="str">
        <f t="shared" si="170"/>
        <v/>
      </c>
      <c r="BH270" s="53" t="str">
        <f t="shared" si="171"/>
        <v/>
      </c>
      <c r="BI270" s="53" t="str">
        <f t="shared" si="172"/>
        <v/>
      </c>
      <c r="BJ270" s="53" t="str">
        <f t="shared" si="173"/>
        <v/>
      </c>
      <c r="BK270" s="53" t="str">
        <f t="shared" si="174"/>
        <v/>
      </c>
    </row>
    <row r="271" spans="2:63">
      <c r="B271" s="89" t="str">
        <f>IFERROR(VLOOKUP($A271,EntryList!$A$3:$N$645,2,FALSE),"")</f>
        <v/>
      </c>
      <c r="D271" s="53">
        <f t="shared" si="148"/>
        <v>0</v>
      </c>
      <c r="N271" s="62">
        <f t="shared" si="149"/>
        <v>0</v>
      </c>
      <c r="O271" s="53" t="str">
        <f t="shared" si="140"/>
        <v/>
      </c>
      <c r="P271" s="53" t="str">
        <f t="shared" si="141"/>
        <v/>
      </c>
      <c r="Q271" s="53" t="str">
        <f t="shared" si="142"/>
        <v/>
      </c>
      <c r="R271" s="53" t="str">
        <f t="shared" si="143"/>
        <v/>
      </c>
      <c r="S271" s="53" t="str">
        <f t="shared" si="144"/>
        <v/>
      </c>
      <c r="T271" s="53" t="str">
        <f t="shared" si="145"/>
        <v/>
      </c>
      <c r="U271" s="53" t="str">
        <f t="shared" si="146"/>
        <v/>
      </c>
      <c r="V271" s="53" t="str">
        <f t="shared" si="147"/>
        <v/>
      </c>
      <c r="W271" s="53" t="str">
        <f t="shared" si="150"/>
        <v>DNS/DNF ()</v>
      </c>
      <c r="X271" s="53" t="str">
        <f t="shared" si="151"/>
        <v>DNS/DNF ()</v>
      </c>
      <c r="Y271" s="53" t="str">
        <f t="shared" si="152"/>
        <v>DNS/DNF ()</v>
      </c>
      <c r="Z271" s="53" t="str">
        <f t="shared" si="153"/>
        <v>DNS/DNF ()</v>
      </c>
      <c r="AA271" s="53" t="str">
        <f t="shared" si="154"/>
        <v>DNS/DNF ()</v>
      </c>
      <c r="AB271" s="53" t="str">
        <f t="shared" si="155"/>
        <v>DNS/DNF ()</v>
      </c>
      <c r="AC271" s="53" t="str">
        <f t="shared" si="156"/>
        <v>DNS/DNF ()</v>
      </c>
      <c r="AD271" s="53" t="str">
        <f t="shared" si="157"/>
        <v>DNS/DNF ()</v>
      </c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62" t="str">
        <f t="shared" si="158"/>
        <v>DNS/DNF</v>
      </c>
      <c r="AV271" s="62" t="str">
        <f t="shared" si="159"/>
        <v>DNS/DNF</v>
      </c>
      <c r="AW271" s="62" t="str">
        <f t="shared" si="160"/>
        <v>DNS/DNF</v>
      </c>
      <c r="AX271" s="62" t="str">
        <f t="shared" si="161"/>
        <v>DNS/DNF</v>
      </c>
      <c r="AY271" s="62" t="str">
        <f t="shared" si="162"/>
        <v>DNS/DNF</v>
      </c>
      <c r="AZ271" s="62" t="str">
        <f t="shared" si="163"/>
        <v>DNS/DNF</v>
      </c>
      <c r="BA271" s="62" t="str">
        <f t="shared" si="164"/>
        <v>DNS/DNF</v>
      </c>
      <c r="BB271" s="62" t="str">
        <f t="shared" si="165"/>
        <v>DNS/DNF</v>
      </c>
      <c r="BC271" s="75" t="str">
        <f t="shared" si="166"/>
        <v/>
      </c>
      <c r="BD271" s="53" t="str">
        <f t="shared" si="167"/>
        <v/>
      </c>
      <c r="BE271" s="53" t="str">
        <f t="shared" si="168"/>
        <v/>
      </c>
      <c r="BF271" s="53" t="str">
        <f t="shared" si="169"/>
        <v/>
      </c>
      <c r="BG271" s="53" t="str">
        <f t="shared" si="170"/>
        <v/>
      </c>
      <c r="BH271" s="53" t="str">
        <f t="shared" si="171"/>
        <v/>
      </c>
      <c r="BI271" s="53" t="str">
        <f t="shared" si="172"/>
        <v/>
      </c>
      <c r="BJ271" s="53" t="str">
        <f t="shared" si="173"/>
        <v/>
      </c>
      <c r="BK271" s="53" t="str">
        <f t="shared" si="174"/>
        <v/>
      </c>
    </row>
    <row r="272" spans="2:63">
      <c r="B272" s="89" t="str">
        <f>IFERROR(VLOOKUP($A272,EntryList!$A$3:$N$645,2,FALSE),"")</f>
        <v/>
      </c>
      <c r="D272" s="53">
        <f t="shared" si="148"/>
        <v>0</v>
      </c>
      <c r="N272" s="62">
        <f t="shared" si="149"/>
        <v>0</v>
      </c>
      <c r="O272" s="53" t="str">
        <f t="shared" si="140"/>
        <v/>
      </c>
      <c r="P272" s="53" t="str">
        <f t="shared" si="141"/>
        <v/>
      </c>
      <c r="Q272" s="53" t="str">
        <f t="shared" si="142"/>
        <v/>
      </c>
      <c r="R272" s="53" t="str">
        <f t="shared" si="143"/>
        <v/>
      </c>
      <c r="S272" s="53" t="str">
        <f t="shared" si="144"/>
        <v/>
      </c>
      <c r="T272" s="53" t="str">
        <f t="shared" si="145"/>
        <v/>
      </c>
      <c r="U272" s="53" t="str">
        <f t="shared" si="146"/>
        <v/>
      </c>
      <c r="V272" s="53" t="str">
        <f t="shared" si="147"/>
        <v/>
      </c>
      <c r="W272" s="53" t="str">
        <f t="shared" si="150"/>
        <v>DNS/DNF ()</v>
      </c>
      <c r="X272" s="53" t="str">
        <f t="shared" si="151"/>
        <v>DNS/DNF ()</v>
      </c>
      <c r="Y272" s="53" t="str">
        <f t="shared" si="152"/>
        <v>DNS/DNF ()</v>
      </c>
      <c r="Z272" s="53" t="str">
        <f t="shared" si="153"/>
        <v>DNS/DNF ()</v>
      </c>
      <c r="AA272" s="53" t="str">
        <f t="shared" si="154"/>
        <v>DNS/DNF ()</v>
      </c>
      <c r="AB272" s="53" t="str">
        <f t="shared" si="155"/>
        <v>DNS/DNF ()</v>
      </c>
      <c r="AC272" s="53" t="str">
        <f t="shared" si="156"/>
        <v>DNS/DNF ()</v>
      </c>
      <c r="AD272" s="53" t="str">
        <f t="shared" si="157"/>
        <v>DNS/DNF ()</v>
      </c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62" t="str">
        <f t="shared" si="158"/>
        <v>DNS/DNF</v>
      </c>
      <c r="AV272" s="62" t="str">
        <f t="shared" si="159"/>
        <v>DNS/DNF</v>
      </c>
      <c r="AW272" s="62" t="str">
        <f t="shared" si="160"/>
        <v>DNS/DNF</v>
      </c>
      <c r="AX272" s="62" t="str">
        <f t="shared" si="161"/>
        <v>DNS/DNF</v>
      </c>
      <c r="AY272" s="62" t="str">
        <f t="shared" si="162"/>
        <v>DNS/DNF</v>
      </c>
      <c r="AZ272" s="62" t="str">
        <f t="shared" si="163"/>
        <v>DNS/DNF</v>
      </c>
      <c r="BA272" s="62" t="str">
        <f t="shared" si="164"/>
        <v>DNS/DNF</v>
      </c>
      <c r="BB272" s="62" t="str">
        <f t="shared" si="165"/>
        <v>DNS/DNF</v>
      </c>
      <c r="BC272" s="75" t="str">
        <f t="shared" si="166"/>
        <v/>
      </c>
      <c r="BD272" s="53" t="str">
        <f t="shared" si="167"/>
        <v/>
      </c>
      <c r="BE272" s="53" t="str">
        <f t="shared" si="168"/>
        <v/>
      </c>
      <c r="BF272" s="53" t="str">
        <f t="shared" si="169"/>
        <v/>
      </c>
      <c r="BG272" s="53" t="str">
        <f t="shared" si="170"/>
        <v/>
      </c>
      <c r="BH272" s="53" t="str">
        <f t="shared" si="171"/>
        <v/>
      </c>
      <c r="BI272" s="53" t="str">
        <f t="shared" si="172"/>
        <v/>
      </c>
      <c r="BJ272" s="53" t="str">
        <f t="shared" si="173"/>
        <v/>
      </c>
      <c r="BK272" s="53" t="str">
        <f t="shared" si="174"/>
        <v/>
      </c>
    </row>
    <row r="273" spans="2:63">
      <c r="B273" s="89" t="str">
        <f>IFERROR(VLOOKUP($A273,EntryList!$A$3:$N$645,2,FALSE),"")</f>
        <v/>
      </c>
      <c r="D273" s="53">
        <f t="shared" si="148"/>
        <v>0</v>
      </c>
      <c r="N273" s="62">
        <f t="shared" si="149"/>
        <v>0</v>
      </c>
      <c r="O273" s="53" t="str">
        <f t="shared" si="140"/>
        <v/>
      </c>
      <c r="P273" s="53" t="str">
        <f t="shared" si="141"/>
        <v/>
      </c>
      <c r="Q273" s="53" t="str">
        <f t="shared" si="142"/>
        <v/>
      </c>
      <c r="R273" s="53" t="str">
        <f t="shared" si="143"/>
        <v/>
      </c>
      <c r="S273" s="53" t="str">
        <f t="shared" si="144"/>
        <v/>
      </c>
      <c r="T273" s="53" t="str">
        <f t="shared" si="145"/>
        <v/>
      </c>
      <c r="U273" s="53" t="str">
        <f t="shared" si="146"/>
        <v/>
      </c>
      <c r="V273" s="53" t="str">
        <f t="shared" si="147"/>
        <v/>
      </c>
      <c r="W273" s="53" t="str">
        <f t="shared" si="150"/>
        <v>DNS/DNF ()</v>
      </c>
      <c r="X273" s="53" t="str">
        <f t="shared" si="151"/>
        <v>DNS/DNF ()</v>
      </c>
      <c r="Y273" s="53" t="str">
        <f t="shared" si="152"/>
        <v>DNS/DNF ()</v>
      </c>
      <c r="Z273" s="53" t="str">
        <f t="shared" si="153"/>
        <v>DNS/DNF ()</v>
      </c>
      <c r="AA273" s="53" t="str">
        <f t="shared" si="154"/>
        <v>DNS/DNF ()</v>
      </c>
      <c r="AB273" s="53" t="str">
        <f t="shared" si="155"/>
        <v>DNS/DNF ()</v>
      </c>
      <c r="AC273" s="53" t="str">
        <f t="shared" si="156"/>
        <v>DNS/DNF ()</v>
      </c>
      <c r="AD273" s="53" t="str">
        <f t="shared" si="157"/>
        <v>DNS/DNF ()</v>
      </c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62" t="str">
        <f t="shared" si="158"/>
        <v>DNS/DNF</v>
      </c>
      <c r="AV273" s="62" t="str">
        <f t="shared" si="159"/>
        <v>DNS/DNF</v>
      </c>
      <c r="AW273" s="62" t="str">
        <f t="shared" si="160"/>
        <v>DNS/DNF</v>
      </c>
      <c r="AX273" s="62" t="str">
        <f t="shared" si="161"/>
        <v>DNS/DNF</v>
      </c>
      <c r="AY273" s="62" t="str">
        <f t="shared" si="162"/>
        <v>DNS/DNF</v>
      </c>
      <c r="AZ273" s="62" t="str">
        <f t="shared" si="163"/>
        <v>DNS/DNF</v>
      </c>
      <c r="BA273" s="62" t="str">
        <f t="shared" si="164"/>
        <v>DNS/DNF</v>
      </c>
      <c r="BB273" s="62" t="str">
        <f t="shared" si="165"/>
        <v>DNS/DNF</v>
      </c>
      <c r="BC273" s="75" t="str">
        <f t="shared" si="166"/>
        <v/>
      </c>
      <c r="BD273" s="53" t="str">
        <f t="shared" si="167"/>
        <v/>
      </c>
      <c r="BE273" s="53" t="str">
        <f t="shared" si="168"/>
        <v/>
      </c>
      <c r="BF273" s="53" t="str">
        <f t="shared" si="169"/>
        <v/>
      </c>
      <c r="BG273" s="53" t="str">
        <f t="shared" si="170"/>
        <v/>
      </c>
      <c r="BH273" s="53" t="str">
        <f t="shared" si="171"/>
        <v/>
      </c>
      <c r="BI273" s="53" t="str">
        <f t="shared" si="172"/>
        <v/>
      </c>
      <c r="BJ273" s="53" t="str">
        <f t="shared" si="173"/>
        <v/>
      </c>
      <c r="BK273" s="53" t="str">
        <f t="shared" si="174"/>
        <v/>
      </c>
    </row>
    <row r="274" spans="2:63">
      <c r="B274" s="89" t="str">
        <f>IFERROR(VLOOKUP($A274,EntryList!$A$3:$N$645,2,FALSE),"")</f>
        <v/>
      </c>
      <c r="D274" s="53">
        <f t="shared" si="148"/>
        <v>0</v>
      </c>
      <c r="N274" s="62">
        <f t="shared" si="149"/>
        <v>0</v>
      </c>
      <c r="O274" s="53" t="str">
        <f t="shared" ref="O274:O337" si="175">IFERROR(RANK($AU274,AU$3:AU$500,1),"")</f>
        <v/>
      </c>
      <c r="P274" s="53" t="str">
        <f t="shared" ref="P274:P337" si="176">IFERROR(RANK($AV274,AV$3:AV$500,1),"")</f>
        <v/>
      </c>
      <c r="Q274" s="53" t="str">
        <f t="shared" ref="Q274:Q337" si="177">IFERROR(RANK($AW274,AW$3:AW$500,1),"")</f>
        <v/>
      </c>
      <c r="R274" s="53" t="str">
        <f t="shared" ref="R274:R337" si="178">IFERROR(RANK($AX274,AX$3:AX$500,1),"")</f>
        <v/>
      </c>
      <c r="S274" s="53" t="str">
        <f t="shared" ref="S274:S337" si="179">IFERROR(RANK($AY274,AY$3:AY$500,1),"")</f>
        <v/>
      </c>
      <c r="T274" s="53" t="str">
        <f t="shared" ref="T274:T337" si="180">IFERROR(RANK($AZ274,AZ$3:AZ$500,1),"")</f>
        <v/>
      </c>
      <c r="U274" s="53" t="str">
        <f t="shared" ref="U274:U337" si="181">IFERROR(RANK($BA274,BA$3:BA$500,1),"")</f>
        <v/>
      </c>
      <c r="V274" s="53" t="str">
        <f t="shared" ref="V274:V337" si="182">IFERROR(RANK($BB274,BB$3:BB$500,1),"")</f>
        <v/>
      </c>
      <c r="W274" s="53" t="str">
        <f t="shared" si="150"/>
        <v>DNS/DNF ()</v>
      </c>
      <c r="X274" s="53" t="str">
        <f t="shared" si="151"/>
        <v>DNS/DNF ()</v>
      </c>
      <c r="Y274" s="53" t="str">
        <f t="shared" si="152"/>
        <v>DNS/DNF ()</v>
      </c>
      <c r="Z274" s="53" t="str">
        <f t="shared" si="153"/>
        <v>DNS/DNF ()</v>
      </c>
      <c r="AA274" s="53" t="str">
        <f t="shared" si="154"/>
        <v>DNS/DNF ()</v>
      </c>
      <c r="AB274" s="53" t="str">
        <f t="shared" si="155"/>
        <v>DNS/DNF ()</v>
      </c>
      <c r="AC274" s="53" t="str">
        <f t="shared" si="156"/>
        <v>DNS/DNF ()</v>
      </c>
      <c r="AD274" s="53" t="str">
        <f t="shared" si="157"/>
        <v>DNS/DNF ()</v>
      </c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62" t="str">
        <f t="shared" si="158"/>
        <v>DNS/DNF</v>
      </c>
      <c r="AV274" s="62" t="str">
        <f t="shared" si="159"/>
        <v>DNS/DNF</v>
      </c>
      <c r="AW274" s="62" t="str">
        <f t="shared" si="160"/>
        <v>DNS/DNF</v>
      </c>
      <c r="AX274" s="62" t="str">
        <f t="shared" si="161"/>
        <v>DNS/DNF</v>
      </c>
      <c r="AY274" s="62" t="str">
        <f t="shared" si="162"/>
        <v>DNS/DNF</v>
      </c>
      <c r="AZ274" s="62" t="str">
        <f t="shared" si="163"/>
        <v>DNS/DNF</v>
      </c>
      <c r="BA274" s="62" t="str">
        <f t="shared" si="164"/>
        <v>DNS/DNF</v>
      </c>
      <c r="BB274" s="62" t="str">
        <f t="shared" si="165"/>
        <v>DNS/DNF</v>
      </c>
      <c r="BC274" s="75" t="str">
        <f t="shared" si="166"/>
        <v/>
      </c>
      <c r="BD274" s="53" t="str">
        <f t="shared" si="167"/>
        <v/>
      </c>
      <c r="BE274" s="53" t="str">
        <f t="shared" si="168"/>
        <v/>
      </c>
      <c r="BF274" s="53" t="str">
        <f t="shared" si="169"/>
        <v/>
      </c>
      <c r="BG274" s="53" t="str">
        <f t="shared" si="170"/>
        <v/>
      </c>
      <c r="BH274" s="53" t="str">
        <f t="shared" si="171"/>
        <v/>
      </c>
      <c r="BI274" s="53" t="str">
        <f t="shared" si="172"/>
        <v/>
      </c>
      <c r="BJ274" s="53" t="str">
        <f t="shared" si="173"/>
        <v/>
      </c>
      <c r="BK274" s="53" t="str">
        <f t="shared" si="174"/>
        <v/>
      </c>
    </row>
    <row r="275" spans="2:63">
      <c r="B275" s="89" t="str">
        <f>IFERROR(VLOOKUP($A275,EntryList!$A$3:$N$645,2,FALSE),"")</f>
        <v/>
      </c>
      <c r="D275" s="53">
        <f t="shared" si="148"/>
        <v>0</v>
      </c>
      <c r="N275" s="62">
        <f t="shared" si="149"/>
        <v>0</v>
      </c>
      <c r="O275" s="53" t="str">
        <f t="shared" si="175"/>
        <v/>
      </c>
      <c r="P275" s="53" t="str">
        <f t="shared" si="176"/>
        <v/>
      </c>
      <c r="Q275" s="53" t="str">
        <f t="shared" si="177"/>
        <v/>
      </c>
      <c r="R275" s="53" t="str">
        <f t="shared" si="178"/>
        <v/>
      </c>
      <c r="S275" s="53" t="str">
        <f t="shared" si="179"/>
        <v/>
      </c>
      <c r="T275" s="53" t="str">
        <f t="shared" si="180"/>
        <v/>
      </c>
      <c r="U275" s="53" t="str">
        <f t="shared" si="181"/>
        <v/>
      </c>
      <c r="V275" s="53" t="str">
        <f t="shared" si="182"/>
        <v/>
      </c>
      <c r="W275" s="53" t="str">
        <f t="shared" si="150"/>
        <v>DNS/DNF ()</v>
      </c>
      <c r="X275" s="53" t="str">
        <f t="shared" si="151"/>
        <v>DNS/DNF ()</v>
      </c>
      <c r="Y275" s="53" t="str">
        <f t="shared" si="152"/>
        <v>DNS/DNF ()</v>
      </c>
      <c r="Z275" s="53" t="str">
        <f t="shared" si="153"/>
        <v>DNS/DNF ()</v>
      </c>
      <c r="AA275" s="53" t="str">
        <f t="shared" si="154"/>
        <v>DNS/DNF ()</v>
      </c>
      <c r="AB275" s="53" t="str">
        <f t="shared" si="155"/>
        <v>DNS/DNF ()</v>
      </c>
      <c r="AC275" s="53" t="str">
        <f t="shared" si="156"/>
        <v>DNS/DNF ()</v>
      </c>
      <c r="AD275" s="53" t="str">
        <f t="shared" si="157"/>
        <v>DNS/DNF ()</v>
      </c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62" t="str">
        <f t="shared" si="158"/>
        <v>DNS/DNF</v>
      </c>
      <c r="AV275" s="62" t="str">
        <f t="shared" si="159"/>
        <v>DNS/DNF</v>
      </c>
      <c r="AW275" s="62" t="str">
        <f t="shared" si="160"/>
        <v>DNS/DNF</v>
      </c>
      <c r="AX275" s="62" t="str">
        <f t="shared" si="161"/>
        <v>DNS/DNF</v>
      </c>
      <c r="AY275" s="62" t="str">
        <f t="shared" si="162"/>
        <v>DNS/DNF</v>
      </c>
      <c r="AZ275" s="62" t="str">
        <f t="shared" si="163"/>
        <v>DNS/DNF</v>
      </c>
      <c r="BA275" s="62" t="str">
        <f t="shared" si="164"/>
        <v>DNS/DNF</v>
      </c>
      <c r="BB275" s="62" t="str">
        <f t="shared" si="165"/>
        <v>DNS/DNF</v>
      </c>
      <c r="BC275" s="75" t="str">
        <f t="shared" si="166"/>
        <v/>
      </c>
      <c r="BD275" s="53" t="str">
        <f t="shared" si="167"/>
        <v/>
      </c>
      <c r="BE275" s="53" t="str">
        <f t="shared" si="168"/>
        <v/>
      </c>
      <c r="BF275" s="53" t="str">
        <f t="shared" si="169"/>
        <v/>
      </c>
      <c r="BG275" s="53" t="str">
        <f t="shared" si="170"/>
        <v/>
      </c>
      <c r="BH275" s="53" t="str">
        <f t="shared" si="171"/>
        <v/>
      </c>
      <c r="BI275" s="53" t="str">
        <f t="shared" si="172"/>
        <v/>
      </c>
      <c r="BJ275" s="53" t="str">
        <f t="shared" si="173"/>
        <v/>
      </c>
      <c r="BK275" s="53" t="str">
        <f t="shared" si="174"/>
        <v/>
      </c>
    </row>
    <row r="276" spans="2:63">
      <c r="B276" s="89" t="str">
        <f>IFERROR(VLOOKUP($A276,EntryList!$A$3:$N$645,2,FALSE),"")</f>
        <v/>
      </c>
      <c r="D276" s="53">
        <f t="shared" si="148"/>
        <v>0</v>
      </c>
      <c r="N276" s="62">
        <f t="shared" si="149"/>
        <v>0</v>
      </c>
      <c r="O276" s="53" t="str">
        <f t="shared" si="175"/>
        <v/>
      </c>
      <c r="P276" s="53" t="str">
        <f t="shared" si="176"/>
        <v/>
      </c>
      <c r="Q276" s="53" t="str">
        <f t="shared" si="177"/>
        <v/>
      </c>
      <c r="R276" s="53" t="str">
        <f t="shared" si="178"/>
        <v/>
      </c>
      <c r="S276" s="53" t="str">
        <f t="shared" si="179"/>
        <v/>
      </c>
      <c r="T276" s="53" t="str">
        <f t="shared" si="180"/>
        <v/>
      </c>
      <c r="U276" s="53" t="str">
        <f t="shared" si="181"/>
        <v/>
      </c>
      <c r="V276" s="53" t="str">
        <f t="shared" si="182"/>
        <v/>
      </c>
      <c r="W276" s="53" t="str">
        <f t="shared" si="150"/>
        <v>DNS/DNF ()</v>
      </c>
      <c r="X276" s="53" t="str">
        <f t="shared" si="151"/>
        <v>DNS/DNF ()</v>
      </c>
      <c r="Y276" s="53" t="str">
        <f t="shared" si="152"/>
        <v>DNS/DNF ()</v>
      </c>
      <c r="Z276" s="53" t="str">
        <f t="shared" si="153"/>
        <v>DNS/DNF ()</v>
      </c>
      <c r="AA276" s="53" t="str">
        <f t="shared" si="154"/>
        <v>DNS/DNF ()</v>
      </c>
      <c r="AB276" s="53" t="str">
        <f t="shared" si="155"/>
        <v>DNS/DNF ()</v>
      </c>
      <c r="AC276" s="53" t="str">
        <f t="shared" si="156"/>
        <v>DNS/DNF ()</v>
      </c>
      <c r="AD276" s="53" t="str">
        <f t="shared" si="157"/>
        <v>DNS/DNF ()</v>
      </c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62" t="str">
        <f t="shared" si="158"/>
        <v>DNS/DNF</v>
      </c>
      <c r="AV276" s="62" t="str">
        <f t="shared" si="159"/>
        <v>DNS/DNF</v>
      </c>
      <c r="AW276" s="62" t="str">
        <f t="shared" si="160"/>
        <v>DNS/DNF</v>
      </c>
      <c r="AX276" s="62" t="str">
        <f t="shared" si="161"/>
        <v>DNS/DNF</v>
      </c>
      <c r="AY276" s="62" t="str">
        <f t="shared" si="162"/>
        <v>DNS/DNF</v>
      </c>
      <c r="AZ276" s="62" t="str">
        <f t="shared" si="163"/>
        <v>DNS/DNF</v>
      </c>
      <c r="BA276" s="62" t="str">
        <f t="shared" si="164"/>
        <v>DNS/DNF</v>
      </c>
      <c r="BB276" s="62" t="str">
        <f t="shared" si="165"/>
        <v>DNS/DNF</v>
      </c>
      <c r="BC276" s="75" t="str">
        <f t="shared" si="166"/>
        <v/>
      </c>
      <c r="BD276" s="53" t="str">
        <f t="shared" si="167"/>
        <v/>
      </c>
      <c r="BE276" s="53" t="str">
        <f t="shared" si="168"/>
        <v/>
      </c>
      <c r="BF276" s="53" t="str">
        <f t="shared" si="169"/>
        <v/>
      </c>
      <c r="BG276" s="53" t="str">
        <f t="shared" si="170"/>
        <v/>
      </c>
      <c r="BH276" s="53" t="str">
        <f t="shared" si="171"/>
        <v/>
      </c>
      <c r="BI276" s="53" t="str">
        <f t="shared" si="172"/>
        <v/>
      </c>
      <c r="BJ276" s="53" t="str">
        <f t="shared" si="173"/>
        <v/>
      </c>
      <c r="BK276" s="53" t="str">
        <f t="shared" si="174"/>
        <v/>
      </c>
    </row>
    <row r="277" spans="2:63">
      <c r="B277" s="89" t="str">
        <f>IFERROR(VLOOKUP($A277,EntryList!$A$3:$N$645,2,FALSE),"")</f>
        <v/>
      </c>
      <c r="D277" s="53">
        <f t="shared" si="148"/>
        <v>0</v>
      </c>
      <c r="N277" s="62">
        <f t="shared" si="149"/>
        <v>0</v>
      </c>
      <c r="O277" s="53" t="str">
        <f t="shared" si="175"/>
        <v/>
      </c>
      <c r="P277" s="53" t="str">
        <f t="shared" si="176"/>
        <v/>
      </c>
      <c r="Q277" s="53" t="str">
        <f t="shared" si="177"/>
        <v/>
      </c>
      <c r="R277" s="53" t="str">
        <f t="shared" si="178"/>
        <v/>
      </c>
      <c r="S277" s="53" t="str">
        <f t="shared" si="179"/>
        <v/>
      </c>
      <c r="T277" s="53" t="str">
        <f t="shared" si="180"/>
        <v/>
      </c>
      <c r="U277" s="53" t="str">
        <f t="shared" si="181"/>
        <v/>
      </c>
      <c r="V277" s="53" t="str">
        <f t="shared" si="182"/>
        <v/>
      </c>
      <c r="W277" s="53" t="str">
        <f t="shared" si="150"/>
        <v>DNS/DNF ()</v>
      </c>
      <c r="X277" s="53" t="str">
        <f t="shared" si="151"/>
        <v>DNS/DNF ()</v>
      </c>
      <c r="Y277" s="53" t="str">
        <f t="shared" si="152"/>
        <v>DNS/DNF ()</v>
      </c>
      <c r="Z277" s="53" t="str">
        <f t="shared" si="153"/>
        <v>DNS/DNF ()</v>
      </c>
      <c r="AA277" s="53" t="str">
        <f t="shared" si="154"/>
        <v>DNS/DNF ()</v>
      </c>
      <c r="AB277" s="53" t="str">
        <f t="shared" si="155"/>
        <v>DNS/DNF ()</v>
      </c>
      <c r="AC277" s="53" t="str">
        <f t="shared" si="156"/>
        <v>DNS/DNF ()</v>
      </c>
      <c r="AD277" s="53" t="str">
        <f t="shared" si="157"/>
        <v>DNS/DNF ()</v>
      </c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62" t="str">
        <f t="shared" si="158"/>
        <v>DNS/DNF</v>
      </c>
      <c r="AV277" s="62" t="str">
        <f t="shared" si="159"/>
        <v>DNS/DNF</v>
      </c>
      <c r="AW277" s="62" t="str">
        <f t="shared" si="160"/>
        <v>DNS/DNF</v>
      </c>
      <c r="AX277" s="62" t="str">
        <f t="shared" si="161"/>
        <v>DNS/DNF</v>
      </c>
      <c r="AY277" s="62" t="str">
        <f t="shared" si="162"/>
        <v>DNS/DNF</v>
      </c>
      <c r="AZ277" s="62" t="str">
        <f t="shared" si="163"/>
        <v>DNS/DNF</v>
      </c>
      <c r="BA277" s="62" t="str">
        <f t="shared" si="164"/>
        <v>DNS/DNF</v>
      </c>
      <c r="BB277" s="62" t="str">
        <f t="shared" si="165"/>
        <v>DNS/DNF</v>
      </c>
      <c r="BC277" s="75" t="str">
        <f t="shared" si="166"/>
        <v/>
      </c>
      <c r="BD277" s="53" t="str">
        <f t="shared" si="167"/>
        <v/>
      </c>
      <c r="BE277" s="53" t="str">
        <f t="shared" si="168"/>
        <v/>
      </c>
      <c r="BF277" s="53" t="str">
        <f t="shared" si="169"/>
        <v/>
      </c>
      <c r="BG277" s="53" t="str">
        <f t="shared" si="170"/>
        <v/>
      </c>
      <c r="BH277" s="53" t="str">
        <f t="shared" si="171"/>
        <v/>
      </c>
      <c r="BI277" s="53" t="str">
        <f t="shared" si="172"/>
        <v/>
      </c>
      <c r="BJ277" s="53" t="str">
        <f t="shared" si="173"/>
        <v/>
      </c>
      <c r="BK277" s="53" t="str">
        <f t="shared" si="174"/>
        <v/>
      </c>
    </row>
    <row r="278" spans="2:63">
      <c r="B278" s="89" t="str">
        <f>IFERROR(VLOOKUP($A278,EntryList!$A$3:$N$645,2,FALSE),"")</f>
        <v/>
      </c>
      <c r="D278" s="53">
        <f t="shared" si="148"/>
        <v>0</v>
      </c>
      <c r="N278" s="62">
        <f t="shared" si="149"/>
        <v>0</v>
      </c>
      <c r="O278" s="53" t="str">
        <f t="shared" si="175"/>
        <v/>
      </c>
      <c r="P278" s="53" t="str">
        <f t="shared" si="176"/>
        <v/>
      </c>
      <c r="Q278" s="53" t="str">
        <f t="shared" si="177"/>
        <v/>
      </c>
      <c r="R278" s="53" t="str">
        <f t="shared" si="178"/>
        <v/>
      </c>
      <c r="S278" s="53" t="str">
        <f t="shared" si="179"/>
        <v/>
      </c>
      <c r="T278" s="53" t="str">
        <f t="shared" si="180"/>
        <v/>
      </c>
      <c r="U278" s="53" t="str">
        <f t="shared" si="181"/>
        <v/>
      </c>
      <c r="V278" s="53" t="str">
        <f t="shared" si="182"/>
        <v/>
      </c>
      <c r="W278" s="53" t="str">
        <f t="shared" si="150"/>
        <v>DNS/DNF ()</v>
      </c>
      <c r="X278" s="53" t="str">
        <f t="shared" si="151"/>
        <v>DNS/DNF ()</v>
      </c>
      <c r="Y278" s="53" t="str">
        <f t="shared" si="152"/>
        <v>DNS/DNF ()</v>
      </c>
      <c r="Z278" s="53" t="str">
        <f t="shared" si="153"/>
        <v>DNS/DNF ()</v>
      </c>
      <c r="AA278" s="53" t="str">
        <f t="shared" si="154"/>
        <v>DNS/DNF ()</v>
      </c>
      <c r="AB278" s="53" t="str">
        <f t="shared" si="155"/>
        <v>DNS/DNF ()</v>
      </c>
      <c r="AC278" s="53" t="str">
        <f t="shared" si="156"/>
        <v>DNS/DNF ()</v>
      </c>
      <c r="AD278" s="53" t="str">
        <f t="shared" si="157"/>
        <v>DNS/DNF ()</v>
      </c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62" t="str">
        <f t="shared" si="158"/>
        <v>DNS/DNF</v>
      </c>
      <c r="AV278" s="62" t="str">
        <f t="shared" si="159"/>
        <v>DNS/DNF</v>
      </c>
      <c r="AW278" s="62" t="str">
        <f t="shared" si="160"/>
        <v>DNS/DNF</v>
      </c>
      <c r="AX278" s="62" t="str">
        <f t="shared" si="161"/>
        <v>DNS/DNF</v>
      </c>
      <c r="AY278" s="62" t="str">
        <f t="shared" si="162"/>
        <v>DNS/DNF</v>
      </c>
      <c r="AZ278" s="62" t="str">
        <f t="shared" si="163"/>
        <v>DNS/DNF</v>
      </c>
      <c r="BA278" s="62" t="str">
        <f t="shared" si="164"/>
        <v>DNS/DNF</v>
      </c>
      <c r="BB278" s="62" t="str">
        <f t="shared" si="165"/>
        <v>DNS/DNF</v>
      </c>
      <c r="BC278" s="75" t="str">
        <f t="shared" si="166"/>
        <v/>
      </c>
      <c r="BD278" s="53" t="str">
        <f t="shared" si="167"/>
        <v/>
      </c>
      <c r="BE278" s="53" t="str">
        <f t="shared" si="168"/>
        <v/>
      </c>
      <c r="BF278" s="53" t="str">
        <f t="shared" si="169"/>
        <v/>
      </c>
      <c r="BG278" s="53" t="str">
        <f t="shared" si="170"/>
        <v/>
      </c>
      <c r="BH278" s="53" t="str">
        <f t="shared" si="171"/>
        <v/>
      </c>
      <c r="BI278" s="53" t="str">
        <f t="shared" si="172"/>
        <v/>
      </c>
      <c r="BJ278" s="53" t="str">
        <f t="shared" si="173"/>
        <v/>
      </c>
      <c r="BK278" s="53" t="str">
        <f t="shared" si="174"/>
        <v/>
      </c>
    </row>
    <row r="279" spans="2:63">
      <c r="B279" s="89" t="str">
        <f>IFERROR(VLOOKUP($A279,EntryList!$A$3:$N$645,2,FALSE),"")</f>
        <v/>
      </c>
      <c r="D279" s="53">
        <f t="shared" si="148"/>
        <v>0</v>
      </c>
      <c r="N279" s="62">
        <f t="shared" si="149"/>
        <v>0</v>
      </c>
      <c r="O279" s="53" t="str">
        <f t="shared" si="175"/>
        <v/>
      </c>
      <c r="P279" s="53" t="str">
        <f t="shared" si="176"/>
        <v/>
      </c>
      <c r="Q279" s="53" t="str">
        <f t="shared" si="177"/>
        <v/>
      </c>
      <c r="R279" s="53" t="str">
        <f t="shared" si="178"/>
        <v/>
      </c>
      <c r="S279" s="53" t="str">
        <f t="shared" si="179"/>
        <v/>
      </c>
      <c r="T279" s="53" t="str">
        <f t="shared" si="180"/>
        <v/>
      </c>
      <c r="U279" s="53" t="str">
        <f t="shared" si="181"/>
        <v/>
      </c>
      <c r="V279" s="53" t="str">
        <f t="shared" si="182"/>
        <v/>
      </c>
      <c r="W279" s="53" t="str">
        <f t="shared" si="150"/>
        <v>DNS/DNF ()</v>
      </c>
      <c r="X279" s="53" t="str">
        <f t="shared" si="151"/>
        <v>DNS/DNF ()</v>
      </c>
      <c r="Y279" s="53" t="str">
        <f t="shared" si="152"/>
        <v>DNS/DNF ()</v>
      </c>
      <c r="Z279" s="53" t="str">
        <f t="shared" si="153"/>
        <v>DNS/DNF ()</v>
      </c>
      <c r="AA279" s="53" t="str">
        <f t="shared" si="154"/>
        <v>DNS/DNF ()</v>
      </c>
      <c r="AB279" s="53" t="str">
        <f t="shared" si="155"/>
        <v>DNS/DNF ()</v>
      </c>
      <c r="AC279" s="53" t="str">
        <f t="shared" si="156"/>
        <v>DNS/DNF ()</v>
      </c>
      <c r="AD279" s="53" t="str">
        <f t="shared" si="157"/>
        <v>DNS/DNF ()</v>
      </c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62" t="str">
        <f t="shared" si="158"/>
        <v>DNS/DNF</v>
      </c>
      <c r="AV279" s="62" t="str">
        <f t="shared" si="159"/>
        <v>DNS/DNF</v>
      </c>
      <c r="AW279" s="62" t="str">
        <f t="shared" si="160"/>
        <v>DNS/DNF</v>
      </c>
      <c r="AX279" s="62" t="str">
        <f t="shared" si="161"/>
        <v>DNS/DNF</v>
      </c>
      <c r="AY279" s="62" t="str">
        <f t="shared" si="162"/>
        <v>DNS/DNF</v>
      </c>
      <c r="AZ279" s="62" t="str">
        <f t="shared" si="163"/>
        <v>DNS/DNF</v>
      </c>
      <c r="BA279" s="62" t="str">
        <f t="shared" si="164"/>
        <v>DNS/DNF</v>
      </c>
      <c r="BB279" s="62" t="str">
        <f t="shared" si="165"/>
        <v>DNS/DNF</v>
      </c>
      <c r="BC279" s="75" t="str">
        <f t="shared" si="166"/>
        <v/>
      </c>
      <c r="BD279" s="53" t="str">
        <f t="shared" si="167"/>
        <v/>
      </c>
      <c r="BE279" s="53" t="str">
        <f t="shared" si="168"/>
        <v/>
      </c>
      <c r="BF279" s="53" t="str">
        <f t="shared" si="169"/>
        <v/>
      </c>
      <c r="BG279" s="53" t="str">
        <f t="shared" si="170"/>
        <v/>
      </c>
      <c r="BH279" s="53" t="str">
        <f t="shared" si="171"/>
        <v/>
      </c>
      <c r="BI279" s="53" t="str">
        <f t="shared" si="172"/>
        <v/>
      </c>
      <c r="BJ279" s="53" t="str">
        <f t="shared" si="173"/>
        <v/>
      </c>
      <c r="BK279" s="53" t="str">
        <f t="shared" si="174"/>
        <v/>
      </c>
    </row>
    <row r="280" spans="2:63">
      <c r="B280" s="89" t="str">
        <f>IFERROR(VLOOKUP($A280,EntryList!$A$3:$N$645,2,FALSE),"")</f>
        <v/>
      </c>
      <c r="D280" s="53">
        <f t="shared" si="148"/>
        <v>0</v>
      </c>
      <c r="N280" s="62">
        <f t="shared" si="149"/>
        <v>0</v>
      </c>
      <c r="O280" s="53" t="str">
        <f t="shared" si="175"/>
        <v/>
      </c>
      <c r="P280" s="53" t="str">
        <f t="shared" si="176"/>
        <v/>
      </c>
      <c r="Q280" s="53" t="str">
        <f t="shared" si="177"/>
        <v/>
      </c>
      <c r="R280" s="53" t="str">
        <f t="shared" si="178"/>
        <v/>
      </c>
      <c r="S280" s="53" t="str">
        <f t="shared" si="179"/>
        <v/>
      </c>
      <c r="T280" s="53" t="str">
        <f t="shared" si="180"/>
        <v/>
      </c>
      <c r="U280" s="53" t="str">
        <f t="shared" si="181"/>
        <v/>
      </c>
      <c r="V280" s="53" t="str">
        <f t="shared" si="182"/>
        <v/>
      </c>
      <c r="W280" s="53" t="str">
        <f t="shared" si="150"/>
        <v>DNS/DNF ()</v>
      </c>
      <c r="X280" s="53" t="str">
        <f t="shared" si="151"/>
        <v>DNS/DNF ()</v>
      </c>
      <c r="Y280" s="53" t="str">
        <f t="shared" si="152"/>
        <v>DNS/DNF ()</v>
      </c>
      <c r="Z280" s="53" t="str">
        <f t="shared" si="153"/>
        <v>DNS/DNF ()</v>
      </c>
      <c r="AA280" s="53" t="str">
        <f t="shared" si="154"/>
        <v>DNS/DNF ()</v>
      </c>
      <c r="AB280" s="53" t="str">
        <f t="shared" si="155"/>
        <v>DNS/DNF ()</v>
      </c>
      <c r="AC280" s="53" t="str">
        <f t="shared" si="156"/>
        <v>DNS/DNF ()</v>
      </c>
      <c r="AD280" s="53" t="str">
        <f t="shared" si="157"/>
        <v>DNS/DNF ()</v>
      </c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62" t="str">
        <f t="shared" si="158"/>
        <v>DNS/DNF</v>
      </c>
      <c r="AV280" s="62" t="str">
        <f t="shared" si="159"/>
        <v>DNS/DNF</v>
      </c>
      <c r="AW280" s="62" t="str">
        <f t="shared" si="160"/>
        <v>DNS/DNF</v>
      </c>
      <c r="AX280" s="62" t="str">
        <f t="shared" si="161"/>
        <v>DNS/DNF</v>
      </c>
      <c r="AY280" s="62" t="str">
        <f t="shared" si="162"/>
        <v>DNS/DNF</v>
      </c>
      <c r="AZ280" s="62" t="str">
        <f t="shared" si="163"/>
        <v>DNS/DNF</v>
      </c>
      <c r="BA280" s="62" t="str">
        <f t="shared" si="164"/>
        <v>DNS/DNF</v>
      </c>
      <c r="BB280" s="62" t="str">
        <f t="shared" si="165"/>
        <v>DNS/DNF</v>
      </c>
      <c r="BC280" s="75" t="str">
        <f t="shared" si="166"/>
        <v/>
      </c>
      <c r="BD280" s="53" t="str">
        <f t="shared" si="167"/>
        <v/>
      </c>
      <c r="BE280" s="53" t="str">
        <f t="shared" si="168"/>
        <v/>
      </c>
      <c r="BF280" s="53" t="str">
        <f t="shared" si="169"/>
        <v/>
      </c>
      <c r="BG280" s="53" t="str">
        <f t="shared" si="170"/>
        <v/>
      </c>
      <c r="BH280" s="53" t="str">
        <f t="shared" si="171"/>
        <v/>
      </c>
      <c r="BI280" s="53" t="str">
        <f t="shared" si="172"/>
        <v/>
      </c>
      <c r="BJ280" s="53" t="str">
        <f t="shared" si="173"/>
        <v/>
      </c>
      <c r="BK280" s="53" t="str">
        <f t="shared" si="174"/>
        <v/>
      </c>
    </row>
    <row r="281" spans="2:63">
      <c r="B281" s="89" t="str">
        <f>IFERROR(VLOOKUP($A281,EntryList!$A$3:$N$645,2,FALSE),"")</f>
        <v/>
      </c>
      <c r="D281" s="53">
        <f t="shared" si="148"/>
        <v>0</v>
      </c>
      <c r="N281" s="62">
        <f t="shared" si="149"/>
        <v>0</v>
      </c>
      <c r="O281" s="53" t="str">
        <f t="shared" si="175"/>
        <v/>
      </c>
      <c r="P281" s="53" t="str">
        <f t="shared" si="176"/>
        <v/>
      </c>
      <c r="Q281" s="53" t="str">
        <f t="shared" si="177"/>
        <v/>
      </c>
      <c r="R281" s="53" t="str">
        <f t="shared" si="178"/>
        <v/>
      </c>
      <c r="S281" s="53" t="str">
        <f t="shared" si="179"/>
        <v/>
      </c>
      <c r="T281" s="53" t="str">
        <f t="shared" si="180"/>
        <v/>
      </c>
      <c r="U281" s="53" t="str">
        <f t="shared" si="181"/>
        <v/>
      </c>
      <c r="V281" s="53" t="str">
        <f t="shared" si="182"/>
        <v/>
      </c>
      <c r="W281" s="53" t="str">
        <f t="shared" si="150"/>
        <v>DNS/DNF ()</v>
      </c>
      <c r="X281" s="53" t="str">
        <f t="shared" si="151"/>
        <v>DNS/DNF ()</v>
      </c>
      <c r="Y281" s="53" t="str">
        <f t="shared" si="152"/>
        <v>DNS/DNF ()</v>
      </c>
      <c r="Z281" s="53" t="str">
        <f t="shared" si="153"/>
        <v>DNS/DNF ()</v>
      </c>
      <c r="AA281" s="53" t="str">
        <f t="shared" si="154"/>
        <v>DNS/DNF ()</v>
      </c>
      <c r="AB281" s="53" t="str">
        <f t="shared" si="155"/>
        <v>DNS/DNF ()</v>
      </c>
      <c r="AC281" s="53" t="str">
        <f t="shared" si="156"/>
        <v>DNS/DNF ()</v>
      </c>
      <c r="AD281" s="53" t="str">
        <f t="shared" si="157"/>
        <v>DNS/DNF ()</v>
      </c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62" t="str">
        <f t="shared" si="158"/>
        <v>DNS/DNF</v>
      </c>
      <c r="AV281" s="62" t="str">
        <f t="shared" si="159"/>
        <v>DNS/DNF</v>
      </c>
      <c r="AW281" s="62" t="str">
        <f t="shared" si="160"/>
        <v>DNS/DNF</v>
      </c>
      <c r="AX281" s="62" t="str">
        <f t="shared" si="161"/>
        <v>DNS/DNF</v>
      </c>
      <c r="AY281" s="62" t="str">
        <f t="shared" si="162"/>
        <v>DNS/DNF</v>
      </c>
      <c r="AZ281" s="62" t="str">
        <f t="shared" si="163"/>
        <v>DNS/DNF</v>
      </c>
      <c r="BA281" s="62" t="str">
        <f t="shared" si="164"/>
        <v>DNS/DNF</v>
      </c>
      <c r="BB281" s="62" t="str">
        <f t="shared" si="165"/>
        <v>DNS/DNF</v>
      </c>
      <c r="BC281" s="75" t="str">
        <f t="shared" si="166"/>
        <v/>
      </c>
      <c r="BD281" s="53" t="str">
        <f t="shared" si="167"/>
        <v/>
      </c>
      <c r="BE281" s="53" t="str">
        <f t="shared" si="168"/>
        <v/>
      </c>
      <c r="BF281" s="53" t="str">
        <f t="shared" si="169"/>
        <v/>
      </c>
      <c r="BG281" s="53" t="str">
        <f t="shared" si="170"/>
        <v/>
      </c>
      <c r="BH281" s="53" t="str">
        <f t="shared" si="171"/>
        <v/>
      </c>
      <c r="BI281" s="53" t="str">
        <f t="shared" si="172"/>
        <v/>
      </c>
      <c r="BJ281" s="53" t="str">
        <f t="shared" si="173"/>
        <v/>
      </c>
      <c r="BK281" s="53" t="str">
        <f t="shared" si="174"/>
        <v/>
      </c>
    </row>
    <row r="282" spans="2:63">
      <c r="B282" s="89" t="str">
        <f>IFERROR(VLOOKUP($A282,EntryList!$A$3:$N$645,2,FALSE),"")</f>
        <v/>
      </c>
      <c r="D282" s="53">
        <f t="shared" si="148"/>
        <v>0</v>
      </c>
      <c r="N282" s="62">
        <f t="shared" si="149"/>
        <v>0</v>
      </c>
      <c r="O282" s="53" t="str">
        <f t="shared" si="175"/>
        <v/>
      </c>
      <c r="P282" s="53" t="str">
        <f t="shared" si="176"/>
        <v/>
      </c>
      <c r="Q282" s="53" t="str">
        <f t="shared" si="177"/>
        <v/>
      </c>
      <c r="R282" s="53" t="str">
        <f t="shared" si="178"/>
        <v/>
      </c>
      <c r="S282" s="53" t="str">
        <f t="shared" si="179"/>
        <v/>
      </c>
      <c r="T282" s="53" t="str">
        <f t="shared" si="180"/>
        <v/>
      </c>
      <c r="U282" s="53" t="str">
        <f t="shared" si="181"/>
        <v/>
      </c>
      <c r="V282" s="53" t="str">
        <f t="shared" si="182"/>
        <v/>
      </c>
      <c r="W282" s="53" t="str">
        <f t="shared" si="150"/>
        <v>DNS/DNF ()</v>
      </c>
      <c r="X282" s="53" t="str">
        <f t="shared" si="151"/>
        <v>DNS/DNF ()</v>
      </c>
      <c r="Y282" s="53" t="str">
        <f t="shared" si="152"/>
        <v>DNS/DNF ()</v>
      </c>
      <c r="Z282" s="53" t="str">
        <f t="shared" si="153"/>
        <v>DNS/DNF ()</v>
      </c>
      <c r="AA282" s="53" t="str">
        <f t="shared" si="154"/>
        <v>DNS/DNF ()</v>
      </c>
      <c r="AB282" s="53" t="str">
        <f t="shared" si="155"/>
        <v>DNS/DNF ()</v>
      </c>
      <c r="AC282" s="53" t="str">
        <f t="shared" si="156"/>
        <v>DNS/DNF ()</v>
      </c>
      <c r="AD282" s="53" t="str">
        <f t="shared" si="157"/>
        <v>DNS/DNF ()</v>
      </c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62" t="str">
        <f t="shared" si="158"/>
        <v>DNS/DNF</v>
      </c>
      <c r="AV282" s="62" t="str">
        <f t="shared" si="159"/>
        <v>DNS/DNF</v>
      </c>
      <c r="AW282" s="62" t="str">
        <f t="shared" si="160"/>
        <v>DNS/DNF</v>
      </c>
      <c r="AX282" s="62" t="str">
        <f t="shared" si="161"/>
        <v>DNS/DNF</v>
      </c>
      <c r="AY282" s="62" t="str">
        <f t="shared" si="162"/>
        <v>DNS/DNF</v>
      </c>
      <c r="AZ282" s="62" t="str">
        <f t="shared" si="163"/>
        <v>DNS/DNF</v>
      </c>
      <c r="BA282" s="62" t="str">
        <f t="shared" si="164"/>
        <v>DNS/DNF</v>
      </c>
      <c r="BB282" s="62" t="str">
        <f t="shared" si="165"/>
        <v>DNS/DNF</v>
      </c>
      <c r="BC282" s="75" t="str">
        <f t="shared" si="166"/>
        <v/>
      </c>
      <c r="BD282" s="53" t="str">
        <f t="shared" si="167"/>
        <v/>
      </c>
      <c r="BE282" s="53" t="str">
        <f t="shared" si="168"/>
        <v/>
      </c>
      <c r="BF282" s="53" t="str">
        <f t="shared" si="169"/>
        <v/>
      </c>
      <c r="BG282" s="53" t="str">
        <f t="shared" si="170"/>
        <v/>
      </c>
      <c r="BH282" s="53" t="str">
        <f t="shared" si="171"/>
        <v/>
      </c>
      <c r="BI282" s="53" t="str">
        <f t="shared" si="172"/>
        <v/>
      </c>
      <c r="BJ282" s="53" t="str">
        <f t="shared" si="173"/>
        <v/>
      </c>
      <c r="BK282" s="53" t="str">
        <f t="shared" si="174"/>
        <v/>
      </c>
    </row>
    <row r="283" spans="2:63">
      <c r="B283" s="89" t="str">
        <f>IFERROR(VLOOKUP($A283,EntryList!$A$3:$N$645,2,FALSE),"")</f>
        <v/>
      </c>
      <c r="D283" s="53">
        <f t="shared" si="148"/>
        <v>0</v>
      </c>
      <c r="N283" s="62">
        <f t="shared" si="149"/>
        <v>0</v>
      </c>
      <c r="O283" s="53" t="str">
        <f t="shared" si="175"/>
        <v/>
      </c>
      <c r="P283" s="53" t="str">
        <f t="shared" si="176"/>
        <v/>
      </c>
      <c r="Q283" s="53" t="str">
        <f t="shared" si="177"/>
        <v/>
      </c>
      <c r="R283" s="53" t="str">
        <f t="shared" si="178"/>
        <v/>
      </c>
      <c r="S283" s="53" t="str">
        <f t="shared" si="179"/>
        <v/>
      </c>
      <c r="T283" s="53" t="str">
        <f t="shared" si="180"/>
        <v/>
      </c>
      <c r="U283" s="53" t="str">
        <f t="shared" si="181"/>
        <v/>
      </c>
      <c r="V283" s="53" t="str">
        <f t="shared" si="182"/>
        <v/>
      </c>
      <c r="W283" s="53" t="str">
        <f t="shared" si="150"/>
        <v>DNS/DNF ()</v>
      </c>
      <c r="X283" s="53" t="str">
        <f t="shared" si="151"/>
        <v>DNS/DNF ()</v>
      </c>
      <c r="Y283" s="53" t="str">
        <f t="shared" si="152"/>
        <v>DNS/DNF ()</v>
      </c>
      <c r="Z283" s="53" t="str">
        <f t="shared" si="153"/>
        <v>DNS/DNF ()</v>
      </c>
      <c r="AA283" s="53" t="str">
        <f t="shared" si="154"/>
        <v>DNS/DNF ()</v>
      </c>
      <c r="AB283" s="53" t="str">
        <f t="shared" si="155"/>
        <v>DNS/DNF ()</v>
      </c>
      <c r="AC283" s="53" t="str">
        <f t="shared" si="156"/>
        <v>DNS/DNF ()</v>
      </c>
      <c r="AD283" s="53" t="str">
        <f t="shared" si="157"/>
        <v>DNS/DNF ()</v>
      </c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62" t="str">
        <f t="shared" si="158"/>
        <v>DNS/DNF</v>
      </c>
      <c r="AV283" s="62" t="str">
        <f t="shared" si="159"/>
        <v>DNS/DNF</v>
      </c>
      <c r="AW283" s="62" t="str">
        <f t="shared" si="160"/>
        <v>DNS/DNF</v>
      </c>
      <c r="AX283" s="62" t="str">
        <f t="shared" si="161"/>
        <v>DNS/DNF</v>
      </c>
      <c r="AY283" s="62" t="str">
        <f t="shared" si="162"/>
        <v>DNS/DNF</v>
      </c>
      <c r="AZ283" s="62" t="str">
        <f t="shared" si="163"/>
        <v>DNS/DNF</v>
      </c>
      <c r="BA283" s="62" t="str">
        <f t="shared" si="164"/>
        <v>DNS/DNF</v>
      </c>
      <c r="BB283" s="62" t="str">
        <f t="shared" si="165"/>
        <v>DNS/DNF</v>
      </c>
      <c r="BC283" s="75" t="str">
        <f t="shared" si="166"/>
        <v/>
      </c>
      <c r="BD283" s="53" t="str">
        <f t="shared" si="167"/>
        <v/>
      </c>
      <c r="BE283" s="53" t="str">
        <f t="shared" si="168"/>
        <v/>
      </c>
      <c r="BF283" s="53" t="str">
        <f t="shared" si="169"/>
        <v/>
      </c>
      <c r="BG283" s="53" t="str">
        <f t="shared" si="170"/>
        <v/>
      </c>
      <c r="BH283" s="53" t="str">
        <f t="shared" si="171"/>
        <v/>
      </c>
      <c r="BI283" s="53" t="str">
        <f t="shared" si="172"/>
        <v/>
      </c>
      <c r="BJ283" s="53" t="str">
        <f t="shared" si="173"/>
        <v/>
      </c>
      <c r="BK283" s="53" t="str">
        <f t="shared" si="174"/>
        <v/>
      </c>
    </row>
    <row r="284" spans="2:63">
      <c r="B284" s="89" t="str">
        <f>IFERROR(VLOOKUP($A284,EntryList!$A$3:$N$645,2,FALSE),"")</f>
        <v/>
      </c>
      <c r="D284" s="53">
        <f t="shared" si="148"/>
        <v>0</v>
      </c>
      <c r="N284" s="62">
        <f t="shared" si="149"/>
        <v>0</v>
      </c>
      <c r="O284" s="53" t="str">
        <f t="shared" si="175"/>
        <v/>
      </c>
      <c r="P284" s="53" t="str">
        <f t="shared" si="176"/>
        <v/>
      </c>
      <c r="Q284" s="53" t="str">
        <f t="shared" si="177"/>
        <v/>
      </c>
      <c r="R284" s="53" t="str">
        <f t="shared" si="178"/>
        <v/>
      </c>
      <c r="S284" s="53" t="str">
        <f t="shared" si="179"/>
        <v/>
      </c>
      <c r="T284" s="53" t="str">
        <f t="shared" si="180"/>
        <v/>
      </c>
      <c r="U284" s="53" t="str">
        <f t="shared" si="181"/>
        <v/>
      </c>
      <c r="V284" s="53" t="str">
        <f t="shared" si="182"/>
        <v/>
      </c>
      <c r="W284" s="53" t="str">
        <f t="shared" si="150"/>
        <v>DNS/DNF ()</v>
      </c>
      <c r="X284" s="53" t="str">
        <f t="shared" si="151"/>
        <v>DNS/DNF ()</v>
      </c>
      <c r="Y284" s="53" t="str">
        <f t="shared" si="152"/>
        <v>DNS/DNF ()</v>
      </c>
      <c r="Z284" s="53" t="str">
        <f t="shared" si="153"/>
        <v>DNS/DNF ()</v>
      </c>
      <c r="AA284" s="53" t="str">
        <f t="shared" si="154"/>
        <v>DNS/DNF ()</v>
      </c>
      <c r="AB284" s="53" t="str">
        <f t="shared" si="155"/>
        <v>DNS/DNF ()</v>
      </c>
      <c r="AC284" s="53" t="str">
        <f t="shared" si="156"/>
        <v>DNS/DNF ()</v>
      </c>
      <c r="AD284" s="53" t="str">
        <f t="shared" si="157"/>
        <v>DNS/DNF ()</v>
      </c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62" t="str">
        <f t="shared" si="158"/>
        <v>DNS/DNF</v>
      </c>
      <c r="AV284" s="62" t="str">
        <f t="shared" si="159"/>
        <v>DNS/DNF</v>
      </c>
      <c r="AW284" s="62" t="str">
        <f t="shared" si="160"/>
        <v>DNS/DNF</v>
      </c>
      <c r="AX284" s="62" t="str">
        <f t="shared" si="161"/>
        <v>DNS/DNF</v>
      </c>
      <c r="AY284" s="62" t="str">
        <f t="shared" si="162"/>
        <v>DNS/DNF</v>
      </c>
      <c r="AZ284" s="62" t="str">
        <f t="shared" si="163"/>
        <v>DNS/DNF</v>
      </c>
      <c r="BA284" s="62" t="str">
        <f t="shared" si="164"/>
        <v>DNS/DNF</v>
      </c>
      <c r="BB284" s="62" t="str">
        <f t="shared" si="165"/>
        <v>DNS/DNF</v>
      </c>
      <c r="BC284" s="75" t="str">
        <f t="shared" si="166"/>
        <v/>
      </c>
      <c r="BD284" s="53" t="str">
        <f t="shared" si="167"/>
        <v/>
      </c>
      <c r="BE284" s="53" t="str">
        <f t="shared" si="168"/>
        <v/>
      </c>
      <c r="BF284" s="53" t="str">
        <f t="shared" si="169"/>
        <v/>
      </c>
      <c r="BG284" s="53" t="str">
        <f t="shared" si="170"/>
        <v/>
      </c>
      <c r="BH284" s="53" t="str">
        <f t="shared" si="171"/>
        <v/>
      </c>
      <c r="BI284" s="53" t="str">
        <f t="shared" si="172"/>
        <v/>
      </c>
      <c r="BJ284" s="53" t="str">
        <f t="shared" si="173"/>
        <v/>
      </c>
      <c r="BK284" s="53" t="str">
        <f t="shared" si="174"/>
        <v/>
      </c>
    </row>
    <row r="285" spans="2:63">
      <c r="B285" s="89" t="str">
        <f>IFERROR(VLOOKUP($A285,EntryList!$A$3:$N$645,2,FALSE),"")</f>
        <v/>
      </c>
      <c r="D285" s="53">
        <f t="shared" si="148"/>
        <v>0</v>
      </c>
      <c r="N285" s="62">
        <f t="shared" si="149"/>
        <v>0</v>
      </c>
      <c r="O285" s="53" t="str">
        <f t="shared" si="175"/>
        <v/>
      </c>
      <c r="P285" s="53" t="str">
        <f t="shared" si="176"/>
        <v/>
      </c>
      <c r="Q285" s="53" t="str">
        <f t="shared" si="177"/>
        <v/>
      </c>
      <c r="R285" s="53" t="str">
        <f t="shared" si="178"/>
        <v/>
      </c>
      <c r="S285" s="53" t="str">
        <f t="shared" si="179"/>
        <v/>
      </c>
      <c r="T285" s="53" t="str">
        <f t="shared" si="180"/>
        <v/>
      </c>
      <c r="U285" s="53" t="str">
        <f t="shared" si="181"/>
        <v/>
      </c>
      <c r="V285" s="53" t="str">
        <f t="shared" si="182"/>
        <v/>
      </c>
      <c r="W285" s="53" t="str">
        <f t="shared" si="150"/>
        <v>DNS/DNF ()</v>
      </c>
      <c r="X285" s="53" t="str">
        <f t="shared" si="151"/>
        <v>DNS/DNF ()</v>
      </c>
      <c r="Y285" s="53" t="str">
        <f t="shared" si="152"/>
        <v>DNS/DNF ()</v>
      </c>
      <c r="Z285" s="53" t="str">
        <f t="shared" si="153"/>
        <v>DNS/DNF ()</v>
      </c>
      <c r="AA285" s="53" t="str">
        <f t="shared" si="154"/>
        <v>DNS/DNF ()</v>
      </c>
      <c r="AB285" s="53" t="str">
        <f t="shared" si="155"/>
        <v>DNS/DNF ()</v>
      </c>
      <c r="AC285" s="53" t="str">
        <f t="shared" si="156"/>
        <v>DNS/DNF ()</v>
      </c>
      <c r="AD285" s="53" t="str">
        <f t="shared" si="157"/>
        <v>DNS/DNF ()</v>
      </c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62" t="str">
        <f t="shared" si="158"/>
        <v>DNS/DNF</v>
      </c>
      <c r="AV285" s="62" t="str">
        <f t="shared" si="159"/>
        <v>DNS/DNF</v>
      </c>
      <c r="AW285" s="62" t="str">
        <f t="shared" si="160"/>
        <v>DNS/DNF</v>
      </c>
      <c r="AX285" s="62" t="str">
        <f t="shared" si="161"/>
        <v>DNS/DNF</v>
      </c>
      <c r="AY285" s="62" t="str">
        <f t="shared" si="162"/>
        <v>DNS/DNF</v>
      </c>
      <c r="AZ285" s="62" t="str">
        <f t="shared" si="163"/>
        <v>DNS/DNF</v>
      </c>
      <c r="BA285" s="62" t="str">
        <f t="shared" si="164"/>
        <v>DNS/DNF</v>
      </c>
      <c r="BB285" s="62" t="str">
        <f t="shared" si="165"/>
        <v>DNS/DNF</v>
      </c>
      <c r="BC285" s="75" t="str">
        <f t="shared" si="166"/>
        <v/>
      </c>
      <c r="BD285" s="53" t="str">
        <f t="shared" si="167"/>
        <v/>
      </c>
      <c r="BE285" s="53" t="str">
        <f t="shared" si="168"/>
        <v/>
      </c>
      <c r="BF285" s="53" t="str">
        <f t="shared" si="169"/>
        <v/>
      </c>
      <c r="BG285" s="53" t="str">
        <f t="shared" si="170"/>
        <v/>
      </c>
      <c r="BH285" s="53" t="str">
        <f t="shared" si="171"/>
        <v/>
      </c>
      <c r="BI285" s="53" t="str">
        <f t="shared" si="172"/>
        <v/>
      </c>
      <c r="BJ285" s="53" t="str">
        <f t="shared" si="173"/>
        <v/>
      </c>
      <c r="BK285" s="53" t="str">
        <f t="shared" si="174"/>
        <v/>
      </c>
    </row>
    <row r="286" spans="2:63">
      <c r="B286" s="89" t="str">
        <f>IFERROR(VLOOKUP($A286,EntryList!$A$3:$N$645,2,FALSE),"")</f>
        <v/>
      </c>
      <c r="D286" s="53">
        <f t="shared" si="148"/>
        <v>0</v>
      </c>
      <c r="N286" s="62">
        <f t="shared" si="149"/>
        <v>0</v>
      </c>
      <c r="O286" s="53" t="str">
        <f t="shared" si="175"/>
        <v/>
      </c>
      <c r="P286" s="53" t="str">
        <f t="shared" si="176"/>
        <v/>
      </c>
      <c r="Q286" s="53" t="str">
        <f t="shared" si="177"/>
        <v/>
      </c>
      <c r="R286" s="53" t="str">
        <f t="shared" si="178"/>
        <v/>
      </c>
      <c r="S286" s="53" t="str">
        <f t="shared" si="179"/>
        <v/>
      </c>
      <c r="T286" s="53" t="str">
        <f t="shared" si="180"/>
        <v/>
      </c>
      <c r="U286" s="53" t="str">
        <f t="shared" si="181"/>
        <v/>
      </c>
      <c r="V286" s="53" t="str">
        <f t="shared" si="182"/>
        <v/>
      </c>
      <c r="W286" s="53" t="str">
        <f t="shared" si="150"/>
        <v>DNS/DNF ()</v>
      </c>
      <c r="X286" s="53" t="str">
        <f t="shared" si="151"/>
        <v>DNS/DNF ()</v>
      </c>
      <c r="Y286" s="53" t="str">
        <f t="shared" si="152"/>
        <v>DNS/DNF ()</v>
      </c>
      <c r="Z286" s="53" t="str">
        <f t="shared" si="153"/>
        <v>DNS/DNF ()</v>
      </c>
      <c r="AA286" s="53" t="str">
        <f t="shared" si="154"/>
        <v>DNS/DNF ()</v>
      </c>
      <c r="AB286" s="53" t="str">
        <f t="shared" si="155"/>
        <v>DNS/DNF ()</v>
      </c>
      <c r="AC286" s="53" t="str">
        <f t="shared" si="156"/>
        <v>DNS/DNF ()</v>
      </c>
      <c r="AD286" s="53" t="str">
        <f t="shared" si="157"/>
        <v>DNS/DNF ()</v>
      </c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62" t="str">
        <f t="shared" si="158"/>
        <v>DNS/DNF</v>
      </c>
      <c r="AV286" s="62" t="str">
        <f t="shared" si="159"/>
        <v>DNS/DNF</v>
      </c>
      <c r="AW286" s="62" t="str">
        <f t="shared" si="160"/>
        <v>DNS/DNF</v>
      </c>
      <c r="AX286" s="62" t="str">
        <f t="shared" si="161"/>
        <v>DNS/DNF</v>
      </c>
      <c r="AY286" s="62" t="str">
        <f t="shared" si="162"/>
        <v>DNS/DNF</v>
      </c>
      <c r="AZ286" s="62" t="str">
        <f t="shared" si="163"/>
        <v>DNS/DNF</v>
      </c>
      <c r="BA286" s="62" t="str">
        <f t="shared" si="164"/>
        <v>DNS/DNF</v>
      </c>
      <c r="BB286" s="62" t="str">
        <f t="shared" si="165"/>
        <v>DNS/DNF</v>
      </c>
      <c r="BC286" s="75" t="str">
        <f t="shared" si="166"/>
        <v/>
      </c>
      <c r="BD286" s="53" t="str">
        <f t="shared" si="167"/>
        <v/>
      </c>
      <c r="BE286" s="53" t="str">
        <f t="shared" si="168"/>
        <v/>
      </c>
      <c r="BF286" s="53" t="str">
        <f t="shared" si="169"/>
        <v/>
      </c>
      <c r="BG286" s="53" t="str">
        <f t="shared" si="170"/>
        <v/>
      </c>
      <c r="BH286" s="53" t="str">
        <f t="shared" si="171"/>
        <v/>
      </c>
      <c r="BI286" s="53" t="str">
        <f t="shared" si="172"/>
        <v/>
      </c>
      <c r="BJ286" s="53" t="str">
        <f t="shared" si="173"/>
        <v/>
      </c>
      <c r="BK286" s="53" t="str">
        <f t="shared" si="174"/>
        <v/>
      </c>
    </row>
    <row r="287" spans="2:63">
      <c r="B287" s="89" t="str">
        <f>IFERROR(VLOOKUP($A287,EntryList!$A$3:$N$645,2,FALSE),"")</f>
        <v/>
      </c>
      <c r="D287" s="53">
        <f t="shared" si="148"/>
        <v>0</v>
      </c>
      <c r="N287" s="62">
        <f t="shared" si="149"/>
        <v>0</v>
      </c>
      <c r="O287" s="53" t="str">
        <f t="shared" si="175"/>
        <v/>
      </c>
      <c r="P287" s="53" t="str">
        <f t="shared" si="176"/>
        <v/>
      </c>
      <c r="Q287" s="53" t="str">
        <f t="shared" si="177"/>
        <v/>
      </c>
      <c r="R287" s="53" t="str">
        <f t="shared" si="178"/>
        <v/>
      </c>
      <c r="S287" s="53" t="str">
        <f t="shared" si="179"/>
        <v/>
      </c>
      <c r="T287" s="53" t="str">
        <f t="shared" si="180"/>
        <v/>
      </c>
      <c r="U287" s="53" t="str">
        <f t="shared" si="181"/>
        <v/>
      </c>
      <c r="V287" s="53" t="str">
        <f t="shared" si="182"/>
        <v/>
      </c>
      <c r="W287" s="53" t="str">
        <f t="shared" si="150"/>
        <v>DNS/DNF ()</v>
      </c>
      <c r="X287" s="53" t="str">
        <f t="shared" si="151"/>
        <v>DNS/DNF ()</v>
      </c>
      <c r="Y287" s="53" t="str">
        <f t="shared" si="152"/>
        <v>DNS/DNF ()</v>
      </c>
      <c r="Z287" s="53" t="str">
        <f t="shared" si="153"/>
        <v>DNS/DNF ()</v>
      </c>
      <c r="AA287" s="53" t="str">
        <f t="shared" si="154"/>
        <v>DNS/DNF ()</v>
      </c>
      <c r="AB287" s="53" t="str">
        <f t="shared" si="155"/>
        <v>DNS/DNF ()</v>
      </c>
      <c r="AC287" s="53" t="str">
        <f t="shared" si="156"/>
        <v>DNS/DNF ()</v>
      </c>
      <c r="AD287" s="53" t="str">
        <f t="shared" si="157"/>
        <v>DNS/DNF ()</v>
      </c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62" t="str">
        <f t="shared" si="158"/>
        <v>DNS/DNF</v>
      </c>
      <c r="AV287" s="62" t="str">
        <f t="shared" si="159"/>
        <v>DNS/DNF</v>
      </c>
      <c r="AW287" s="62" t="str">
        <f t="shared" si="160"/>
        <v>DNS/DNF</v>
      </c>
      <c r="AX287" s="62" t="str">
        <f t="shared" si="161"/>
        <v>DNS/DNF</v>
      </c>
      <c r="AY287" s="62" t="str">
        <f t="shared" si="162"/>
        <v>DNS/DNF</v>
      </c>
      <c r="AZ287" s="62" t="str">
        <f t="shared" si="163"/>
        <v>DNS/DNF</v>
      </c>
      <c r="BA287" s="62" t="str">
        <f t="shared" si="164"/>
        <v>DNS/DNF</v>
      </c>
      <c r="BB287" s="62" t="str">
        <f t="shared" si="165"/>
        <v>DNS/DNF</v>
      </c>
      <c r="BC287" s="75" t="str">
        <f t="shared" si="166"/>
        <v/>
      </c>
      <c r="BD287" s="53" t="str">
        <f t="shared" si="167"/>
        <v/>
      </c>
      <c r="BE287" s="53" t="str">
        <f t="shared" si="168"/>
        <v/>
      </c>
      <c r="BF287" s="53" t="str">
        <f t="shared" si="169"/>
        <v/>
      </c>
      <c r="BG287" s="53" t="str">
        <f t="shared" si="170"/>
        <v/>
      </c>
      <c r="BH287" s="53" t="str">
        <f t="shared" si="171"/>
        <v/>
      </c>
      <c r="BI287" s="53" t="str">
        <f t="shared" si="172"/>
        <v/>
      </c>
      <c r="BJ287" s="53" t="str">
        <f t="shared" si="173"/>
        <v/>
      </c>
      <c r="BK287" s="53" t="str">
        <f t="shared" si="174"/>
        <v/>
      </c>
    </row>
    <row r="288" spans="2:63">
      <c r="B288" s="89" t="str">
        <f>IFERROR(VLOOKUP($A288,EntryList!$A$3:$N$645,2,FALSE),"")</f>
        <v/>
      </c>
      <c r="D288" s="53">
        <f t="shared" si="148"/>
        <v>0</v>
      </c>
      <c r="N288" s="62">
        <f t="shared" si="149"/>
        <v>0</v>
      </c>
      <c r="O288" s="53" t="str">
        <f t="shared" si="175"/>
        <v/>
      </c>
      <c r="P288" s="53" t="str">
        <f t="shared" si="176"/>
        <v/>
      </c>
      <c r="Q288" s="53" t="str">
        <f t="shared" si="177"/>
        <v/>
      </c>
      <c r="R288" s="53" t="str">
        <f t="shared" si="178"/>
        <v/>
      </c>
      <c r="S288" s="53" t="str">
        <f t="shared" si="179"/>
        <v/>
      </c>
      <c r="T288" s="53" t="str">
        <f t="shared" si="180"/>
        <v/>
      </c>
      <c r="U288" s="53" t="str">
        <f t="shared" si="181"/>
        <v/>
      </c>
      <c r="V288" s="53" t="str">
        <f t="shared" si="182"/>
        <v/>
      </c>
      <c r="W288" s="53" t="str">
        <f t="shared" si="150"/>
        <v>DNS/DNF ()</v>
      </c>
      <c r="X288" s="53" t="str">
        <f t="shared" si="151"/>
        <v>DNS/DNF ()</v>
      </c>
      <c r="Y288" s="53" t="str">
        <f t="shared" si="152"/>
        <v>DNS/DNF ()</v>
      </c>
      <c r="Z288" s="53" t="str">
        <f t="shared" si="153"/>
        <v>DNS/DNF ()</v>
      </c>
      <c r="AA288" s="53" t="str">
        <f t="shared" si="154"/>
        <v>DNS/DNF ()</v>
      </c>
      <c r="AB288" s="53" t="str">
        <f t="shared" si="155"/>
        <v>DNS/DNF ()</v>
      </c>
      <c r="AC288" s="53" t="str">
        <f t="shared" si="156"/>
        <v>DNS/DNF ()</v>
      </c>
      <c r="AD288" s="53" t="str">
        <f t="shared" si="157"/>
        <v>DNS/DNF ()</v>
      </c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62" t="str">
        <f t="shared" si="158"/>
        <v>DNS/DNF</v>
      </c>
      <c r="AV288" s="62" t="str">
        <f t="shared" si="159"/>
        <v>DNS/DNF</v>
      </c>
      <c r="AW288" s="62" t="str">
        <f t="shared" si="160"/>
        <v>DNS/DNF</v>
      </c>
      <c r="AX288" s="62" t="str">
        <f t="shared" si="161"/>
        <v>DNS/DNF</v>
      </c>
      <c r="AY288" s="62" t="str">
        <f t="shared" si="162"/>
        <v>DNS/DNF</v>
      </c>
      <c r="AZ288" s="62" t="str">
        <f t="shared" si="163"/>
        <v>DNS/DNF</v>
      </c>
      <c r="BA288" s="62" t="str">
        <f t="shared" si="164"/>
        <v>DNS/DNF</v>
      </c>
      <c r="BB288" s="62" t="str">
        <f t="shared" si="165"/>
        <v>DNS/DNF</v>
      </c>
      <c r="BC288" s="75" t="str">
        <f t="shared" si="166"/>
        <v/>
      </c>
      <c r="BD288" s="53" t="str">
        <f t="shared" si="167"/>
        <v/>
      </c>
      <c r="BE288" s="53" t="str">
        <f t="shared" si="168"/>
        <v/>
      </c>
      <c r="BF288" s="53" t="str">
        <f t="shared" si="169"/>
        <v/>
      </c>
      <c r="BG288" s="53" t="str">
        <f t="shared" si="170"/>
        <v/>
      </c>
      <c r="BH288" s="53" t="str">
        <f t="shared" si="171"/>
        <v/>
      </c>
      <c r="BI288" s="53" t="str">
        <f t="shared" si="172"/>
        <v/>
      </c>
      <c r="BJ288" s="53" t="str">
        <f t="shared" si="173"/>
        <v/>
      </c>
      <c r="BK288" s="53" t="str">
        <f t="shared" si="174"/>
        <v/>
      </c>
    </row>
    <row r="289" spans="2:63">
      <c r="B289" s="89" t="str">
        <f>IFERROR(VLOOKUP($A289,EntryList!$A$3:$N$645,2,FALSE),"")</f>
        <v/>
      </c>
      <c r="D289" s="53">
        <f t="shared" si="148"/>
        <v>0</v>
      </c>
      <c r="N289" s="62">
        <f t="shared" si="149"/>
        <v>0</v>
      </c>
      <c r="O289" s="53" t="str">
        <f t="shared" si="175"/>
        <v/>
      </c>
      <c r="P289" s="53" t="str">
        <f t="shared" si="176"/>
        <v/>
      </c>
      <c r="Q289" s="53" t="str">
        <f t="shared" si="177"/>
        <v/>
      </c>
      <c r="R289" s="53" t="str">
        <f t="shared" si="178"/>
        <v/>
      </c>
      <c r="S289" s="53" t="str">
        <f t="shared" si="179"/>
        <v/>
      </c>
      <c r="T289" s="53" t="str">
        <f t="shared" si="180"/>
        <v/>
      </c>
      <c r="U289" s="53" t="str">
        <f t="shared" si="181"/>
        <v/>
      </c>
      <c r="V289" s="53" t="str">
        <f t="shared" si="182"/>
        <v/>
      </c>
      <c r="W289" s="53" t="str">
        <f t="shared" si="150"/>
        <v>DNS/DNF ()</v>
      </c>
      <c r="X289" s="53" t="str">
        <f t="shared" si="151"/>
        <v>DNS/DNF ()</v>
      </c>
      <c r="Y289" s="53" t="str">
        <f t="shared" si="152"/>
        <v>DNS/DNF ()</v>
      </c>
      <c r="Z289" s="53" t="str">
        <f t="shared" si="153"/>
        <v>DNS/DNF ()</v>
      </c>
      <c r="AA289" s="53" t="str">
        <f t="shared" si="154"/>
        <v>DNS/DNF ()</v>
      </c>
      <c r="AB289" s="53" t="str">
        <f t="shared" si="155"/>
        <v>DNS/DNF ()</v>
      </c>
      <c r="AC289" s="53" t="str">
        <f t="shared" si="156"/>
        <v>DNS/DNF ()</v>
      </c>
      <c r="AD289" s="53" t="str">
        <f t="shared" si="157"/>
        <v>DNS/DNF ()</v>
      </c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62" t="str">
        <f t="shared" si="158"/>
        <v>DNS/DNF</v>
      </c>
      <c r="AV289" s="62" t="str">
        <f t="shared" si="159"/>
        <v>DNS/DNF</v>
      </c>
      <c r="AW289" s="62" t="str">
        <f t="shared" si="160"/>
        <v>DNS/DNF</v>
      </c>
      <c r="AX289" s="62" t="str">
        <f t="shared" si="161"/>
        <v>DNS/DNF</v>
      </c>
      <c r="AY289" s="62" t="str">
        <f t="shared" si="162"/>
        <v>DNS/DNF</v>
      </c>
      <c r="AZ289" s="62" t="str">
        <f t="shared" si="163"/>
        <v>DNS/DNF</v>
      </c>
      <c r="BA289" s="62" t="str">
        <f t="shared" si="164"/>
        <v>DNS/DNF</v>
      </c>
      <c r="BB289" s="62" t="str">
        <f t="shared" si="165"/>
        <v>DNS/DNF</v>
      </c>
      <c r="BC289" s="75" t="str">
        <f t="shared" si="166"/>
        <v/>
      </c>
      <c r="BD289" s="53" t="str">
        <f t="shared" si="167"/>
        <v/>
      </c>
      <c r="BE289" s="53" t="str">
        <f t="shared" si="168"/>
        <v/>
      </c>
      <c r="BF289" s="53" t="str">
        <f t="shared" si="169"/>
        <v/>
      </c>
      <c r="BG289" s="53" t="str">
        <f t="shared" si="170"/>
        <v/>
      </c>
      <c r="BH289" s="53" t="str">
        <f t="shared" si="171"/>
        <v/>
      </c>
      <c r="BI289" s="53" t="str">
        <f t="shared" si="172"/>
        <v/>
      </c>
      <c r="BJ289" s="53" t="str">
        <f t="shared" si="173"/>
        <v/>
      </c>
      <c r="BK289" s="53" t="str">
        <f t="shared" si="174"/>
        <v/>
      </c>
    </row>
    <row r="290" spans="2:63">
      <c r="B290" s="89" t="str">
        <f>IFERROR(VLOOKUP($A290,EntryList!$A$3:$N$645,2,FALSE),"")</f>
        <v/>
      </c>
      <c r="D290" s="53">
        <f t="shared" si="148"/>
        <v>0</v>
      </c>
      <c r="N290" s="62">
        <f t="shared" si="149"/>
        <v>0</v>
      </c>
      <c r="O290" s="53" t="str">
        <f t="shared" si="175"/>
        <v/>
      </c>
      <c r="P290" s="53" t="str">
        <f t="shared" si="176"/>
        <v/>
      </c>
      <c r="Q290" s="53" t="str">
        <f t="shared" si="177"/>
        <v/>
      </c>
      <c r="R290" s="53" t="str">
        <f t="shared" si="178"/>
        <v/>
      </c>
      <c r="S290" s="53" t="str">
        <f t="shared" si="179"/>
        <v/>
      </c>
      <c r="T290" s="53" t="str">
        <f t="shared" si="180"/>
        <v/>
      </c>
      <c r="U290" s="53" t="str">
        <f t="shared" si="181"/>
        <v/>
      </c>
      <c r="V290" s="53" t="str">
        <f t="shared" si="182"/>
        <v/>
      </c>
      <c r="W290" s="53" t="str">
        <f t="shared" si="150"/>
        <v>DNS/DNF ()</v>
      </c>
      <c r="X290" s="53" t="str">
        <f t="shared" si="151"/>
        <v>DNS/DNF ()</v>
      </c>
      <c r="Y290" s="53" t="str">
        <f t="shared" si="152"/>
        <v>DNS/DNF ()</v>
      </c>
      <c r="Z290" s="53" t="str">
        <f t="shared" si="153"/>
        <v>DNS/DNF ()</v>
      </c>
      <c r="AA290" s="53" t="str">
        <f t="shared" si="154"/>
        <v>DNS/DNF ()</v>
      </c>
      <c r="AB290" s="53" t="str">
        <f t="shared" si="155"/>
        <v>DNS/DNF ()</v>
      </c>
      <c r="AC290" s="53" t="str">
        <f t="shared" si="156"/>
        <v>DNS/DNF ()</v>
      </c>
      <c r="AD290" s="53" t="str">
        <f t="shared" si="157"/>
        <v>DNS/DNF ()</v>
      </c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62" t="str">
        <f t="shared" si="158"/>
        <v>DNS/DNF</v>
      </c>
      <c r="AV290" s="62" t="str">
        <f t="shared" si="159"/>
        <v>DNS/DNF</v>
      </c>
      <c r="AW290" s="62" t="str">
        <f t="shared" si="160"/>
        <v>DNS/DNF</v>
      </c>
      <c r="AX290" s="62" t="str">
        <f t="shared" si="161"/>
        <v>DNS/DNF</v>
      </c>
      <c r="AY290" s="62" t="str">
        <f t="shared" si="162"/>
        <v>DNS/DNF</v>
      </c>
      <c r="AZ290" s="62" t="str">
        <f t="shared" si="163"/>
        <v>DNS/DNF</v>
      </c>
      <c r="BA290" s="62" t="str">
        <f t="shared" si="164"/>
        <v>DNS/DNF</v>
      </c>
      <c r="BB290" s="62" t="str">
        <f t="shared" si="165"/>
        <v>DNS/DNF</v>
      </c>
      <c r="BC290" s="75" t="str">
        <f t="shared" si="166"/>
        <v/>
      </c>
      <c r="BD290" s="53" t="str">
        <f t="shared" si="167"/>
        <v/>
      </c>
      <c r="BE290" s="53" t="str">
        <f t="shared" si="168"/>
        <v/>
      </c>
      <c r="BF290" s="53" t="str">
        <f t="shared" si="169"/>
        <v/>
      </c>
      <c r="BG290" s="53" t="str">
        <f t="shared" si="170"/>
        <v/>
      </c>
      <c r="BH290" s="53" t="str">
        <f t="shared" si="171"/>
        <v/>
      </c>
      <c r="BI290" s="53" t="str">
        <f t="shared" si="172"/>
        <v/>
      </c>
      <c r="BJ290" s="53" t="str">
        <f t="shared" si="173"/>
        <v/>
      </c>
      <c r="BK290" s="53" t="str">
        <f t="shared" si="174"/>
        <v/>
      </c>
    </row>
    <row r="291" spans="2:63">
      <c r="B291" s="89" t="str">
        <f>IFERROR(VLOOKUP($A291,EntryList!$A$3:$N$645,2,FALSE),"")</f>
        <v/>
      </c>
      <c r="D291" s="53">
        <f t="shared" si="148"/>
        <v>0</v>
      </c>
      <c r="N291" s="62">
        <f t="shared" si="149"/>
        <v>0</v>
      </c>
      <c r="O291" s="53" t="str">
        <f t="shared" si="175"/>
        <v/>
      </c>
      <c r="P291" s="53" t="str">
        <f t="shared" si="176"/>
        <v/>
      </c>
      <c r="Q291" s="53" t="str">
        <f t="shared" si="177"/>
        <v/>
      </c>
      <c r="R291" s="53" t="str">
        <f t="shared" si="178"/>
        <v/>
      </c>
      <c r="S291" s="53" t="str">
        <f t="shared" si="179"/>
        <v/>
      </c>
      <c r="T291" s="53" t="str">
        <f t="shared" si="180"/>
        <v/>
      </c>
      <c r="U291" s="53" t="str">
        <f t="shared" si="181"/>
        <v/>
      </c>
      <c r="V291" s="53" t="str">
        <f t="shared" si="182"/>
        <v/>
      </c>
      <c r="W291" s="53" t="str">
        <f t="shared" si="150"/>
        <v>DNS/DNF ()</v>
      </c>
      <c r="X291" s="53" t="str">
        <f t="shared" si="151"/>
        <v>DNS/DNF ()</v>
      </c>
      <c r="Y291" s="53" t="str">
        <f t="shared" si="152"/>
        <v>DNS/DNF ()</v>
      </c>
      <c r="Z291" s="53" t="str">
        <f t="shared" si="153"/>
        <v>DNS/DNF ()</v>
      </c>
      <c r="AA291" s="53" t="str">
        <f t="shared" si="154"/>
        <v>DNS/DNF ()</v>
      </c>
      <c r="AB291" s="53" t="str">
        <f t="shared" si="155"/>
        <v>DNS/DNF ()</v>
      </c>
      <c r="AC291" s="53" t="str">
        <f t="shared" si="156"/>
        <v>DNS/DNF ()</v>
      </c>
      <c r="AD291" s="53" t="str">
        <f t="shared" si="157"/>
        <v>DNS/DNF ()</v>
      </c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62" t="str">
        <f t="shared" si="158"/>
        <v>DNS/DNF</v>
      </c>
      <c r="AV291" s="62" t="str">
        <f t="shared" si="159"/>
        <v>DNS/DNF</v>
      </c>
      <c r="AW291" s="62" t="str">
        <f t="shared" si="160"/>
        <v>DNS/DNF</v>
      </c>
      <c r="AX291" s="62" t="str">
        <f t="shared" si="161"/>
        <v>DNS/DNF</v>
      </c>
      <c r="AY291" s="62" t="str">
        <f t="shared" si="162"/>
        <v>DNS/DNF</v>
      </c>
      <c r="AZ291" s="62" t="str">
        <f t="shared" si="163"/>
        <v>DNS/DNF</v>
      </c>
      <c r="BA291" s="62" t="str">
        <f t="shared" si="164"/>
        <v>DNS/DNF</v>
      </c>
      <c r="BB291" s="62" t="str">
        <f t="shared" si="165"/>
        <v>DNS/DNF</v>
      </c>
      <c r="BC291" s="75" t="str">
        <f t="shared" si="166"/>
        <v/>
      </c>
      <c r="BD291" s="53" t="str">
        <f t="shared" si="167"/>
        <v/>
      </c>
      <c r="BE291" s="53" t="str">
        <f t="shared" si="168"/>
        <v/>
      </c>
      <c r="BF291" s="53" t="str">
        <f t="shared" si="169"/>
        <v/>
      </c>
      <c r="BG291" s="53" t="str">
        <f t="shared" si="170"/>
        <v/>
      </c>
      <c r="BH291" s="53" t="str">
        <f t="shared" si="171"/>
        <v/>
      </c>
      <c r="BI291" s="53" t="str">
        <f t="shared" si="172"/>
        <v/>
      </c>
      <c r="BJ291" s="53" t="str">
        <f t="shared" si="173"/>
        <v/>
      </c>
      <c r="BK291" s="53" t="str">
        <f t="shared" si="174"/>
        <v/>
      </c>
    </row>
    <row r="292" spans="2:63">
      <c r="B292" s="89" t="str">
        <f>IFERROR(VLOOKUP($A292,EntryList!$A$3:$N$645,2,FALSE),"")</f>
        <v/>
      </c>
      <c r="D292" s="53">
        <f t="shared" si="148"/>
        <v>0</v>
      </c>
      <c r="N292" s="62">
        <f t="shared" si="149"/>
        <v>0</v>
      </c>
      <c r="O292" s="53" t="str">
        <f t="shared" si="175"/>
        <v/>
      </c>
      <c r="P292" s="53" t="str">
        <f t="shared" si="176"/>
        <v/>
      </c>
      <c r="Q292" s="53" t="str">
        <f t="shared" si="177"/>
        <v/>
      </c>
      <c r="R292" s="53" t="str">
        <f t="shared" si="178"/>
        <v/>
      </c>
      <c r="S292" s="53" t="str">
        <f t="shared" si="179"/>
        <v/>
      </c>
      <c r="T292" s="53" t="str">
        <f t="shared" si="180"/>
        <v/>
      </c>
      <c r="U292" s="53" t="str">
        <f t="shared" si="181"/>
        <v/>
      </c>
      <c r="V292" s="53" t="str">
        <f t="shared" si="182"/>
        <v/>
      </c>
      <c r="W292" s="53" t="str">
        <f t="shared" si="150"/>
        <v>DNS/DNF ()</v>
      </c>
      <c r="X292" s="53" t="str">
        <f t="shared" si="151"/>
        <v>DNS/DNF ()</v>
      </c>
      <c r="Y292" s="53" t="str">
        <f t="shared" si="152"/>
        <v>DNS/DNF ()</v>
      </c>
      <c r="Z292" s="53" t="str">
        <f t="shared" si="153"/>
        <v>DNS/DNF ()</v>
      </c>
      <c r="AA292" s="53" t="str">
        <f t="shared" si="154"/>
        <v>DNS/DNF ()</v>
      </c>
      <c r="AB292" s="53" t="str">
        <f t="shared" si="155"/>
        <v>DNS/DNF ()</v>
      </c>
      <c r="AC292" s="53" t="str">
        <f t="shared" si="156"/>
        <v>DNS/DNF ()</v>
      </c>
      <c r="AD292" s="53" t="str">
        <f t="shared" si="157"/>
        <v>DNS/DNF ()</v>
      </c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62" t="str">
        <f t="shared" si="158"/>
        <v>DNS/DNF</v>
      </c>
      <c r="AV292" s="62" t="str">
        <f t="shared" si="159"/>
        <v>DNS/DNF</v>
      </c>
      <c r="AW292" s="62" t="str">
        <f t="shared" si="160"/>
        <v>DNS/DNF</v>
      </c>
      <c r="AX292" s="62" t="str">
        <f t="shared" si="161"/>
        <v>DNS/DNF</v>
      </c>
      <c r="AY292" s="62" t="str">
        <f t="shared" si="162"/>
        <v>DNS/DNF</v>
      </c>
      <c r="AZ292" s="62" t="str">
        <f t="shared" si="163"/>
        <v>DNS/DNF</v>
      </c>
      <c r="BA292" s="62" t="str">
        <f t="shared" si="164"/>
        <v>DNS/DNF</v>
      </c>
      <c r="BB292" s="62" t="str">
        <f t="shared" si="165"/>
        <v>DNS/DNF</v>
      </c>
      <c r="BC292" s="75" t="str">
        <f t="shared" si="166"/>
        <v/>
      </c>
      <c r="BD292" s="53" t="str">
        <f t="shared" si="167"/>
        <v/>
      </c>
      <c r="BE292" s="53" t="str">
        <f t="shared" si="168"/>
        <v/>
      </c>
      <c r="BF292" s="53" t="str">
        <f t="shared" si="169"/>
        <v/>
      </c>
      <c r="BG292" s="53" t="str">
        <f t="shared" si="170"/>
        <v/>
      </c>
      <c r="BH292" s="53" t="str">
        <f t="shared" si="171"/>
        <v/>
      </c>
      <c r="BI292" s="53" t="str">
        <f t="shared" si="172"/>
        <v/>
      </c>
      <c r="BJ292" s="53" t="str">
        <f t="shared" si="173"/>
        <v/>
      </c>
      <c r="BK292" s="53" t="str">
        <f t="shared" si="174"/>
        <v/>
      </c>
    </row>
    <row r="293" spans="2:63">
      <c r="B293" s="89" t="str">
        <f>IFERROR(VLOOKUP($A293,EntryList!$A$3:$N$645,2,FALSE),"")</f>
        <v/>
      </c>
      <c r="D293" s="53">
        <f t="shared" si="148"/>
        <v>0</v>
      </c>
      <c r="N293" s="62">
        <f t="shared" si="149"/>
        <v>0</v>
      </c>
      <c r="O293" s="53" t="str">
        <f t="shared" si="175"/>
        <v/>
      </c>
      <c r="P293" s="53" t="str">
        <f t="shared" si="176"/>
        <v/>
      </c>
      <c r="Q293" s="53" t="str">
        <f t="shared" si="177"/>
        <v/>
      </c>
      <c r="R293" s="53" t="str">
        <f t="shared" si="178"/>
        <v/>
      </c>
      <c r="S293" s="53" t="str">
        <f t="shared" si="179"/>
        <v/>
      </c>
      <c r="T293" s="53" t="str">
        <f t="shared" si="180"/>
        <v/>
      </c>
      <c r="U293" s="53" t="str">
        <f t="shared" si="181"/>
        <v/>
      </c>
      <c r="V293" s="53" t="str">
        <f t="shared" si="182"/>
        <v/>
      </c>
      <c r="W293" s="53" t="str">
        <f t="shared" si="150"/>
        <v>DNS/DNF ()</v>
      </c>
      <c r="X293" s="53" t="str">
        <f t="shared" si="151"/>
        <v>DNS/DNF ()</v>
      </c>
      <c r="Y293" s="53" t="str">
        <f t="shared" si="152"/>
        <v>DNS/DNF ()</v>
      </c>
      <c r="Z293" s="53" t="str">
        <f t="shared" si="153"/>
        <v>DNS/DNF ()</v>
      </c>
      <c r="AA293" s="53" t="str">
        <f t="shared" si="154"/>
        <v>DNS/DNF ()</v>
      </c>
      <c r="AB293" s="53" t="str">
        <f t="shared" si="155"/>
        <v>DNS/DNF ()</v>
      </c>
      <c r="AC293" s="53" t="str">
        <f t="shared" si="156"/>
        <v>DNS/DNF ()</v>
      </c>
      <c r="AD293" s="53" t="str">
        <f t="shared" si="157"/>
        <v>DNS/DNF ()</v>
      </c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62" t="str">
        <f t="shared" si="158"/>
        <v>DNS/DNF</v>
      </c>
      <c r="AV293" s="62" t="str">
        <f t="shared" si="159"/>
        <v>DNS/DNF</v>
      </c>
      <c r="AW293" s="62" t="str">
        <f t="shared" si="160"/>
        <v>DNS/DNF</v>
      </c>
      <c r="AX293" s="62" t="str">
        <f t="shared" si="161"/>
        <v>DNS/DNF</v>
      </c>
      <c r="AY293" s="62" t="str">
        <f t="shared" si="162"/>
        <v>DNS/DNF</v>
      </c>
      <c r="AZ293" s="62" t="str">
        <f t="shared" si="163"/>
        <v>DNS/DNF</v>
      </c>
      <c r="BA293" s="62" t="str">
        <f t="shared" si="164"/>
        <v>DNS/DNF</v>
      </c>
      <c r="BB293" s="62" t="str">
        <f t="shared" si="165"/>
        <v>DNS/DNF</v>
      </c>
      <c r="BC293" s="75" t="str">
        <f t="shared" si="166"/>
        <v/>
      </c>
      <c r="BD293" s="53" t="str">
        <f t="shared" si="167"/>
        <v/>
      </c>
      <c r="BE293" s="53" t="str">
        <f t="shared" si="168"/>
        <v/>
      </c>
      <c r="BF293" s="53" t="str">
        <f t="shared" si="169"/>
        <v/>
      </c>
      <c r="BG293" s="53" t="str">
        <f t="shared" si="170"/>
        <v/>
      </c>
      <c r="BH293" s="53" t="str">
        <f t="shared" si="171"/>
        <v/>
      </c>
      <c r="BI293" s="53" t="str">
        <f t="shared" si="172"/>
        <v/>
      </c>
      <c r="BJ293" s="53" t="str">
        <f t="shared" si="173"/>
        <v/>
      </c>
      <c r="BK293" s="53" t="str">
        <f t="shared" si="174"/>
        <v/>
      </c>
    </row>
    <row r="294" spans="2:63">
      <c r="B294" s="89" t="str">
        <f>IFERROR(VLOOKUP($A294,EntryList!$A$3:$N$645,2,FALSE),"")</f>
        <v/>
      </c>
      <c r="D294" s="53">
        <f t="shared" si="148"/>
        <v>0</v>
      </c>
      <c r="N294" s="62">
        <f t="shared" si="149"/>
        <v>0</v>
      </c>
      <c r="O294" s="53" t="str">
        <f t="shared" si="175"/>
        <v/>
      </c>
      <c r="P294" s="53" t="str">
        <f t="shared" si="176"/>
        <v/>
      </c>
      <c r="Q294" s="53" t="str">
        <f t="shared" si="177"/>
        <v/>
      </c>
      <c r="R294" s="53" t="str">
        <f t="shared" si="178"/>
        <v/>
      </c>
      <c r="S294" s="53" t="str">
        <f t="shared" si="179"/>
        <v/>
      </c>
      <c r="T294" s="53" t="str">
        <f t="shared" si="180"/>
        <v/>
      </c>
      <c r="U294" s="53" t="str">
        <f t="shared" si="181"/>
        <v/>
      </c>
      <c r="V294" s="53" t="str">
        <f t="shared" si="182"/>
        <v/>
      </c>
      <c r="W294" s="53" t="str">
        <f t="shared" si="150"/>
        <v>DNS/DNF ()</v>
      </c>
      <c r="X294" s="53" t="str">
        <f t="shared" si="151"/>
        <v>DNS/DNF ()</v>
      </c>
      <c r="Y294" s="53" t="str">
        <f t="shared" si="152"/>
        <v>DNS/DNF ()</v>
      </c>
      <c r="Z294" s="53" t="str">
        <f t="shared" si="153"/>
        <v>DNS/DNF ()</v>
      </c>
      <c r="AA294" s="53" t="str">
        <f t="shared" si="154"/>
        <v>DNS/DNF ()</v>
      </c>
      <c r="AB294" s="53" t="str">
        <f t="shared" si="155"/>
        <v>DNS/DNF ()</v>
      </c>
      <c r="AC294" s="53" t="str">
        <f t="shared" si="156"/>
        <v>DNS/DNF ()</v>
      </c>
      <c r="AD294" s="53" t="str">
        <f t="shared" si="157"/>
        <v>DNS/DNF ()</v>
      </c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62" t="str">
        <f t="shared" si="158"/>
        <v>DNS/DNF</v>
      </c>
      <c r="AV294" s="62" t="str">
        <f t="shared" si="159"/>
        <v>DNS/DNF</v>
      </c>
      <c r="AW294" s="62" t="str">
        <f t="shared" si="160"/>
        <v>DNS/DNF</v>
      </c>
      <c r="AX294" s="62" t="str">
        <f t="shared" si="161"/>
        <v>DNS/DNF</v>
      </c>
      <c r="AY294" s="62" t="str">
        <f t="shared" si="162"/>
        <v>DNS/DNF</v>
      </c>
      <c r="AZ294" s="62" t="str">
        <f t="shared" si="163"/>
        <v>DNS/DNF</v>
      </c>
      <c r="BA294" s="62" t="str">
        <f t="shared" si="164"/>
        <v>DNS/DNF</v>
      </c>
      <c r="BB294" s="62" t="str">
        <f t="shared" si="165"/>
        <v>DNS/DNF</v>
      </c>
      <c r="BC294" s="75" t="str">
        <f t="shared" si="166"/>
        <v/>
      </c>
      <c r="BD294" s="53" t="str">
        <f t="shared" si="167"/>
        <v/>
      </c>
      <c r="BE294" s="53" t="str">
        <f t="shared" si="168"/>
        <v/>
      </c>
      <c r="BF294" s="53" t="str">
        <f t="shared" si="169"/>
        <v/>
      </c>
      <c r="BG294" s="53" t="str">
        <f t="shared" si="170"/>
        <v/>
      </c>
      <c r="BH294" s="53" t="str">
        <f t="shared" si="171"/>
        <v/>
      </c>
      <c r="BI294" s="53" t="str">
        <f t="shared" si="172"/>
        <v/>
      </c>
      <c r="BJ294" s="53" t="str">
        <f t="shared" si="173"/>
        <v/>
      </c>
      <c r="BK294" s="53" t="str">
        <f t="shared" si="174"/>
        <v/>
      </c>
    </row>
    <row r="295" spans="2:63">
      <c r="B295" s="89" t="str">
        <f>IFERROR(VLOOKUP($A295,EntryList!$A$3:$N$645,2,FALSE),"")</f>
        <v/>
      </c>
      <c r="D295" s="53">
        <f t="shared" si="148"/>
        <v>0</v>
      </c>
      <c r="N295" s="62">
        <f t="shared" si="149"/>
        <v>0</v>
      </c>
      <c r="O295" s="53" t="str">
        <f t="shared" si="175"/>
        <v/>
      </c>
      <c r="P295" s="53" t="str">
        <f t="shared" si="176"/>
        <v/>
      </c>
      <c r="Q295" s="53" t="str">
        <f t="shared" si="177"/>
        <v/>
      </c>
      <c r="R295" s="53" t="str">
        <f t="shared" si="178"/>
        <v/>
      </c>
      <c r="S295" s="53" t="str">
        <f t="shared" si="179"/>
        <v/>
      </c>
      <c r="T295" s="53" t="str">
        <f t="shared" si="180"/>
        <v/>
      </c>
      <c r="U295" s="53" t="str">
        <f t="shared" si="181"/>
        <v/>
      </c>
      <c r="V295" s="53" t="str">
        <f t="shared" si="182"/>
        <v/>
      </c>
      <c r="W295" s="53" t="str">
        <f t="shared" si="150"/>
        <v>DNS/DNF ()</v>
      </c>
      <c r="X295" s="53" t="str">
        <f t="shared" si="151"/>
        <v>DNS/DNF ()</v>
      </c>
      <c r="Y295" s="53" t="str">
        <f t="shared" si="152"/>
        <v>DNS/DNF ()</v>
      </c>
      <c r="Z295" s="53" t="str">
        <f t="shared" si="153"/>
        <v>DNS/DNF ()</v>
      </c>
      <c r="AA295" s="53" t="str">
        <f t="shared" si="154"/>
        <v>DNS/DNF ()</v>
      </c>
      <c r="AB295" s="53" t="str">
        <f t="shared" si="155"/>
        <v>DNS/DNF ()</v>
      </c>
      <c r="AC295" s="53" t="str">
        <f t="shared" si="156"/>
        <v>DNS/DNF ()</v>
      </c>
      <c r="AD295" s="53" t="str">
        <f t="shared" si="157"/>
        <v>DNS/DNF ()</v>
      </c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62" t="str">
        <f t="shared" si="158"/>
        <v>DNS/DNF</v>
      </c>
      <c r="AV295" s="62" t="str">
        <f t="shared" si="159"/>
        <v>DNS/DNF</v>
      </c>
      <c r="AW295" s="62" t="str">
        <f t="shared" si="160"/>
        <v>DNS/DNF</v>
      </c>
      <c r="AX295" s="62" t="str">
        <f t="shared" si="161"/>
        <v>DNS/DNF</v>
      </c>
      <c r="AY295" s="62" t="str">
        <f t="shared" si="162"/>
        <v>DNS/DNF</v>
      </c>
      <c r="AZ295" s="62" t="str">
        <f t="shared" si="163"/>
        <v>DNS/DNF</v>
      </c>
      <c r="BA295" s="62" t="str">
        <f t="shared" si="164"/>
        <v>DNS/DNF</v>
      </c>
      <c r="BB295" s="62" t="str">
        <f t="shared" si="165"/>
        <v>DNS/DNF</v>
      </c>
      <c r="BC295" s="75" t="str">
        <f t="shared" si="166"/>
        <v/>
      </c>
      <c r="BD295" s="53" t="str">
        <f t="shared" si="167"/>
        <v/>
      </c>
      <c r="BE295" s="53" t="str">
        <f t="shared" si="168"/>
        <v/>
      </c>
      <c r="BF295" s="53" t="str">
        <f t="shared" si="169"/>
        <v/>
      </c>
      <c r="BG295" s="53" t="str">
        <f t="shared" si="170"/>
        <v/>
      </c>
      <c r="BH295" s="53" t="str">
        <f t="shared" si="171"/>
        <v/>
      </c>
      <c r="BI295" s="53" t="str">
        <f t="shared" si="172"/>
        <v/>
      </c>
      <c r="BJ295" s="53" t="str">
        <f t="shared" si="173"/>
        <v/>
      </c>
      <c r="BK295" s="53" t="str">
        <f t="shared" si="174"/>
        <v/>
      </c>
    </row>
    <row r="296" spans="2:63">
      <c r="B296" s="89" t="str">
        <f>IFERROR(VLOOKUP($A296,EntryList!$A$3:$N$645,2,FALSE),"")</f>
        <v/>
      </c>
      <c r="D296" s="53">
        <f t="shared" si="148"/>
        <v>0</v>
      </c>
      <c r="N296" s="62">
        <f t="shared" si="149"/>
        <v>0</v>
      </c>
      <c r="O296" s="53" t="str">
        <f t="shared" si="175"/>
        <v/>
      </c>
      <c r="P296" s="53" t="str">
        <f t="shared" si="176"/>
        <v/>
      </c>
      <c r="Q296" s="53" t="str">
        <f t="shared" si="177"/>
        <v/>
      </c>
      <c r="R296" s="53" t="str">
        <f t="shared" si="178"/>
        <v/>
      </c>
      <c r="S296" s="53" t="str">
        <f t="shared" si="179"/>
        <v/>
      </c>
      <c r="T296" s="53" t="str">
        <f t="shared" si="180"/>
        <v/>
      </c>
      <c r="U296" s="53" t="str">
        <f t="shared" si="181"/>
        <v/>
      </c>
      <c r="V296" s="53" t="str">
        <f t="shared" si="182"/>
        <v/>
      </c>
      <c r="W296" s="53" t="str">
        <f t="shared" si="150"/>
        <v>DNS/DNF ()</v>
      </c>
      <c r="X296" s="53" t="str">
        <f t="shared" si="151"/>
        <v>DNS/DNF ()</v>
      </c>
      <c r="Y296" s="53" t="str">
        <f t="shared" si="152"/>
        <v>DNS/DNF ()</v>
      </c>
      <c r="Z296" s="53" t="str">
        <f t="shared" si="153"/>
        <v>DNS/DNF ()</v>
      </c>
      <c r="AA296" s="53" t="str">
        <f t="shared" si="154"/>
        <v>DNS/DNF ()</v>
      </c>
      <c r="AB296" s="53" t="str">
        <f t="shared" si="155"/>
        <v>DNS/DNF ()</v>
      </c>
      <c r="AC296" s="53" t="str">
        <f t="shared" si="156"/>
        <v>DNS/DNF ()</v>
      </c>
      <c r="AD296" s="53" t="str">
        <f t="shared" si="157"/>
        <v>DNS/DNF ()</v>
      </c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62" t="str">
        <f t="shared" si="158"/>
        <v>DNS/DNF</v>
      </c>
      <c r="AV296" s="62" t="str">
        <f t="shared" si="159"/>
        <v>DNS/DNF</v>
      </c>
      <c r="AW296" s="62" t="str">
        <f t="shared" si="160"/>
        <v>DNS/DNF</v>
      </c>
      <c r="AX296" s="62" t="str">
        <f t="shared" si="161"/>
        <v>DNS/DNF</v>
      </c>
      <c r="AY296" s="62" t="str">
        <f t="shared" si="162"/>
        <v>DNS/DNF</v>
      </c>
      <c r="AZ296" s="62" t="str">
        <f t="shared" si="163"/>
        <v>DNS/DNF</v>
      </c>
      <c r="BA296" s="62" t="str">
        <f t="shared" si="164"/>
        <v>DNS/DNF</v>
      </c>
      <c r="BB296" s="62" t="str">
        <f t="shared" si="165"/>
        <v>DNS/DNF</v>
      </c>
      <c r="BC296" s="75" t="str">
        <f t="shared" si="166"/>
        <v/>
      </c>
      <c r="BD296" s="53" t="str">
        <f t="shared" si="167"/>
        <v/>
      </c>
      <c r="BE296" s="53" t="str">
        <f t="shared" si="168"/>
        <v/>
      </c>
      <c r="BF296" s="53" t="str">
        <f t="shared" si="169"/>
        <v/>
      </c>
      <c r="BG296" s="53" t="str">
        <f t="shared" si="170"/>
        <v/>
      </c>
      <c r="BH296" s="53" t="str">
        <f t="shared" si="171"/>
        <v/>
      </c>
      <c r="BI296" s="53" t="str">
        <f t="shared" si="172"/>
        <v/>
      </c>
      <c r="BJ296" s="53" t="str">
        <f t="shared" si="173"/>
        <v/>
      </c>
      <c r="BK296" s="53" t="str">
        <f t="shared" si="174"/>
        <v/>
      </c>
    </row>
    <row r="297" spans="2:63">
      <c r="B297" s="89" t="str">
        <f>IFERROR(VLOOKUP($A297,EntryList!$A$3:$N$645,2,FALSE),"")</f>
        <v/>
      </c>
      <c r="D297" s="53">
        <f t="shared" si="148"/>
        <v>0</v>
      </c>
      <c r="N297" s="62">
        <f t="shared" si="149"/>
        <v>0</v>
      </c>
      <c r="O297" s="53" t="str">
        <f t="shared" si="175"/>
        <v/>
      </c>
      <c r="P297" s="53" t="str">
        <f t="shared" si="176"/>
        <v/>
      </c>
      <c r="Q297" s="53" t="str">
        <f t="shared" si="177"/>
        <v/>
      </c>
      <c r="R297" s="53" t="str">
        <f t="shared" si="178"/>
        <v/>
      </c>
      <c r="S297" s="53" t="str">
        <f t="shared" si="179"/>
        <v/>
      </c>
      <c r="T297" s="53" t="str">
        <f t="shared" si="180"/>
        <v/>
      </c>
      <c r="U297" s="53" t="str">
        <f t="shared" si="181"/>
        <v/>
      </c>
      <c r="V297" s="53" t="str">
        <f t="shared" si="182"/>
        <v/>
      </c>
      <c r="W297" s="53" t="str">
        <f t="shared" si="150"/>
        <v>DNS/DNF ()</v>
      </c>
      <c r="X297" s="53" t="str">
        <f t="shared" si="151"/>
        <v>DNS/DNF ()</v>
      </c>
      <c r="Y297" s="53" t="str">
        <f t="shared" si="152"/>
        <v>DNS/DNF ()</v>
      </c>
      <c r="Z297" s="53" t="str">
        <f t="shared" si="153"/>
        <v>DNS/DNF ()</v>
      </c>
      <c r="AA297" s="53" t="str">
        <f t="shared" si="154"/>
        <v>DNS/DNF ()</v>
      </c>
      <c r="AB297" s="53" t="str">
        <f t="shared" si="155"/>
        <v>DNS/DNF ()</v>
      </c>
      <c r="AC297" s="53" t="str">
        <f t="shared" si="156"/>
        <v>DNS/DNF ()</v>
      </c>
      <c r="AD297" s="53" t="str">
        <f t="shared" si="157"/>
        <v>DNS/DNF ()</v>
      </c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62" t="str">
        <f t="shared" si="158"/>
        <v>DNS/DNF</v>
      </c>
      <c r="AV297" s="62" t="str">
        <f t="shared" si="159"/>
        <v>DNS/DNF</v>
      </c>
      <c r="AW297" s="62" t="str">
        <f t="shared" si="160"/>
        <v>DNS/DNF</v>
      </c>
      <c r="AX297" s="62" t="str">
        <f t="shared" si="161"/>
        <v>DNS/DNF</v>
      </c>
      <c r="AY297" s="62" t="str">
        <f t="shared" si="162"/>
        <v>DNS/DNF</v>
      </c>
      <c r="AZ297" s="62" t="str">
        <f t="shared" si="163"/>
        <v>DNS/DNF</v>
      </c>
      <c r="BA297" s="62" t="str">
        <f t="shared" si="164"/>
        <v>DNS/DNF</v>
      </c>
      <c r="BB297" s="62" t="str">
        <f t="shared" si="165"/>
        <v>DNS/DNF</v>
      </c>
      <c r="BC297" s="75" t="str">
        <f t="shared" si="166"/>
        <v/>
      </c>
      <c r="BD297" s="53" t="str">
        <f t="shared" si="167"/>
        <v/>
      </c>
      <c r="BE297" s="53" t="str">
        <f t="shared" si="168"/>
        <v/>
      </c>
      <c r="BF297" s="53" t="str">
        <f t="shared" si="169"/>
        <v/>
      </c>
      <c r="BG297" s="53" t="str">
        <f t="shared" si="170"/>
        <v/>
      </c>
      <c r="BH297" s="53" t="str">
        <f t="shared" si="171"/>
        <v/>
      </c>
      <c r="BI297" s="53" t="str">
        <f t="shared" si="172"/>
        <v/>
      </c>
      <c r="BJ297" s="53" t="str">
        <f t="shared" si="173"/>
        <v/>
      </c>
      <c r="BK297" s="53" t="str">
        <f t="shared" si="174"/>
        <v/>
      </c>
    </row>
    <row r="298" spans="2:63">
      <c r="B298" s="89" t="str">
        <f>IFERROR(VLOOKUP($A298,EntryList!$A$3:$N$645,2,FALSE),"")</f>
        <v/>
      </c>
      <c r="D298" s="53">
        <f t="shared" si="148"/>
        <v>0</v>
      </c>
      <c r="N298" s="62">
        <f t="shared" si="149"/>
        <v>0</v>
      </c>
      <c r="O298" s="53" t="str">
        <f t="shared" si="175"/>
        <v/>
      </c>
      <c r="P298" s="53" t="str">
        <f t="shared" si="176"/>
        <v/>
      </c>
      <c r="Q298" s="53" t="str">
        <f t="shared" si="177"/>
        <v/>
      </c>
      <c r="R298" s="53" t="str">
        <f t="shared" si="178"/>
        <v/>
      </c>
      <c r="S298" s="53" t="str">
        <f t="shared" si="179"/>
        <v/>
      </c>
      <c r="T298" s="53" t="str">
        <f t="shared" si="180"/>
        <v/>
      </c>
      <c r="U298" s="53" t="str">
        <f t="shared" si="181"/>
        <v/>
      </c>
      <c r="V298" s="53" t="str">
        <f t="shared" si="182"/>
        <v/>
      </c>
      <c r="W298" s="53" t="str">
        <f t="shared" si="150"/>
        <v>DNS/DNF ()</v>
      </c>
      <c r="X298" s="53" t="str">
        <f t="shared" si="151"/>
        <v>DNS/DNF ()</v>
      </c>
      <c r="Y298" s="53" t="str">
        <f t="shared" si="152"/>
        <v>DNS/DNF ()</v>
      </c>
      <c r="Z298" s="53" t="str">
        <f t="shared" si="153"/>
        <v>DNS/DNF ()</v>
      </c>
      <c r="AA298" s="53" t="str">
        <f t="shared" si="154"/>
        <v>DNS/DNF ()</v>
      </c>
      <c r="AB298" s="53" t="str">
        <f t="shared" si="155"/>
        <v>DNS/DNF ()</v>
      </c>
      <c r="AC298" s="53" t="str">
        <f t="shared" si="156"/>
        <v>DNS/DNF ()</v>
      </c>
      <c r="AD298" s="53" t="str">
        <f t="shared" si="157"/>
        <v>DNS/DNF ()</v>
      </c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62" t="str">
        <f t="shared" si="158"/>
        <v>DNS/DNF</v>
      </c>
      <c r="AV298" s="62" t="str">
        <f t="shared" si="159"/>
        <v>DNS/DNF</v>
      </c>
      <c r="AW298" s="62" t="str">
        <f t="shared" si="160"/>
        <v>DNS/DNF</v>
      </c>
      <c r="AX298" s="62" t="str">
        <f t="shared" si="161"/>
        <v>DNS/DNF</v>
      </c>
      <c r="AY298" s="62" t="str">
        <f t="shared" si="162"/>
        <v>DNS/DNF</v>
      </c>
      <c r="AZ298" s="62" t="str">
        <f t="shared" si="163"/>
        <v>DNS/DNF</v>
      </c>
      <c r="BA298" s="62" t="str">
        <f t="shared" si="164"/>
        <v>DNS/DNF</v>
      </c>
      <c r="BB298" s="62" t="str">
        <f t="shared" si="165"/>
        <v>DNS/DNF</v>
      </c>
      <c r="BC298" s="75" t="str">
        <f t="shared" si="166"/>
        <v/>
      </c>
      <c r="BD298" s="53" t="str">
        <f t="shared" si="167"/>
        <v/>
      </c>
      <c r="BE298" s="53" t="str">
        <f t="shared" si="168"/>
        <v/>
      </c>
      <c r="BF298" s="53" t="str">
        <f t="shared" si="169"/>
        <v/>
      </c>
      <c r="BG298" s="53" t="str">
        <f t="shared" si="170"/>
        <v/>
      </c>
      <c r="BH298" s="53" t="str">
        <f t="shared" si="171"/>
        <v/>
      </c>
      <c r="BI298" s="53" t="str">
        <f t="shared" si="172"/>
        <v/>
      </c>
      <c r="BJ298" s="53" t="str">
        <f t="shared" si="173"/>
        <v/>
      </c>
      <c r="BK298" s="53" t="str">
        <f t="shared" si="174"/>
        <v/>
      </c>
    </row>
    <row r="299" spans="2:63">
      <c r="B299" s="89" t="str">
        <f>IFERROR(VLOOKUP($A299,EntryList!$A$3:$N$645,2,FALSE),"")</f>
        <v/>
      </c>
      <c r="D299" s="53">
        <f t="shared" si="148"/>
        <v>0</v>
      </c>
      <c r="N299" s="62">
        <f t="shared" si="149"/>
        <v>0</v>
      </c>
      <c r="O299" s="53" t="str">
        <f t="shared" si="175"/>
        <v/>
      </c>
      <c r="P299" s="53" t="str">
        <f t="shared" si="176"/>
        <v/>
      </c>
      <c r="Q299" s="53" t="str">
        <f t="shared" si="177"/>
        <v/>
      </c>
      <c r="R299" s="53" t="str">
        <f t="shared" si="178"/>
        <v/>
      </c>
      <c r="S299" s="53" t="str">
        <f t="shared" si="179"/>
        <v/>
      </c>
      <c r="T299" s="53" t="str">
        <f t="shared" si="180"/>
        <v/>
      </c>
      <c r="U299" s="53" t="str">
        <f t="shared" si="181"/>
        <v/>
      </c>
      <c r="V299" s="53" t="str">
        <f t="shared" si="182"/>
        <v/>
      </c>
      <c r="W299" s="53" t="str">
        <f t="shared" si="150"/>
        <v>DNS/DNF ()</v>
      </c>
      <c r="X299" s="53" t="str">
        <f t="shared" si="151"/>
        <v>DNS/DNF ()</v>
      </c>
      <c r="Y299" s="53" t="str">
        <f t="shared" si="152"/>
        <v>DNS/DNF ()</v>
      </c>
      <c r="Z299" s="53" t="str">
        <f t="shared" si="153"/>
        <v>DNS/DNF ()</v>
      </c>
      <c r="AA299" s="53" t="str">
        <f t="shared" si="154"/>
        <v>DNS/DNF ()</v>
      </c>
      <c r="AB299" s="53" t="str">
        <f t="shared" si="155"/>
        <v>DNS/DNF ()</v>
      </c>
      <c r="AC299" s="53" t="str">
        <f t="shared" si="156"/>
        <v>DNS/DNF ()</v>
      </c>
      <c r="AD299" s="53" t="str">
        <f t="shared" si="157"/>
        <v>DNS/DNF ()</v>
      </c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62" t="str">
        <f t="shared" si="158"/>
        <v>DNS/DNF</v>
      </c>
      <c r="AV299" s="62" t="str">
        <f t="shared" si="159"/>
        <v>DNS/DNF</v>
      </c>
      <c r="AW299" s="62" t="str">
        <f t="shared" si="160"/>
        <v>DNS/DNF</v>
      </c>
      <c r="AX299" s="62" t="str">
        <f t="shared" si="161"/>
        <v>DNS/DNF</v>
      </c>
      <c r="AY299" s="62" t="str">
        <f t="shared" si="162"/>
        <v>DNS/DNF</v>
      </c>
      <c r="AZ299" s="62" t="str">
        <f t="shared" si="163"/>
        <v>DNS/DNF</v>
      </c>
      <c r="BA299" s="62" t="str">
        <f t="shared" si="164"/>
        <v>DNS/DNF</v>
      </c>
      <c r="BB299" s="62" t="str">
        <f t="shared" si="165"/>
        <v>DNS/DNF</v>
      </c>
      <c r="BC299" s="75" t="str">
        <f t="shared" si="166"/>
        <v/>
      </c>
      <c r="BD299" s="53" t="str">
        <f t="shared" si="167"/>
        <v/>
      </c>
      <c r="BE299" s="53" t="str">
        <f t="shared" si="168"/>
        <v/>
      </c>
      <c r="BF299" s="53" t="str">
        <f t="shared" si="169"/>
        <v/>
      </c>
      <c r="BG299" s="53" t="str">
        <f t="shared" si="170"/>
        <v/>
      </c>
      <c r="BH299" s="53" t="str">
        <f t="shared" si="171"/>
        <v/>
      </c>
      <c r="BI299" s="53" t="str">
        <f t="shared" si="172"/>
        <v/>
      </c>
      <c r="BJ299" s="53" t="str">
        <f t="shared" si="173"/>
        <v/>
      </c>
      <c r="BK299" s="53" t="str">
        <f t="shared" si="174"/>
        <v/>
      </c>
    </row>
    <row r="300" spans="2:63">
      <c r="B300" s="89" t="str">
        <f>IFERROR(VLOOKUP($A300,EntryList!$A$3:$N$645,2,FALSE),"")</f>
        <v/>
      </c>
      <c r="D300" s="53">
        <f t="shared" si="148"/>
        <v>0</v>
      </c>
      <c r="N300" s="62">
        <f t="shared" si="149"/>
        <v>0</v>
      </c>
      <c r="O300" s="53" t="str">
        <f t="shared" si="175"/>
        <v/>
      </c>
      <c r="P300" s="53" t="str">
        <f t="shared" si="176"/>
        <v/>
      </c>
      <c r="Q300" s="53" t="str">
        <f t="shared" si="177"/>
        <v/>
      </c>
      <c r="R300" s="53" t="str">
        <f t="shared" si="178"/>
        <v/>
      </c>
      <c r="S300" s="53" t="str">
        <f t="shared" si="179"/>
        <v/>
      </c>
      <c r="T300" s="53" t="str">
        <f t="shared" si="180"/>
        <v/>
      </c>
      <c r="U300" s="53" t="str">
        <f t="shared" si="181"/>
        <v/>
      </c>
      <c r="V300" s="53" t="str">
        <f t="shared" si="182"/>
        <v/>
      </c>
      <c r="W300" s="53" t="str">
        <f t="shared" si="150"/>
        <v>DNS/DNF ()</v>
      </c>
      <c r="X300" s="53" t="str">
        <f t="shared" si="151"/>
        <v>DNS/DNF ()</v>
      </c>
      <c r="Y300" s="53" t="str">
        <f t="shared" si="152"/>
        <v>DNS/DNF ()</v>
      </c>
      <c r="Z300" s="53" t="str">
        <f t="shared" si="153"/>
        <v>DNS/DNF ()</v>
      </c>
      <c r="AA300" s="53" t="str">
        <f t="shared" si="154"/>
        <v>DNS/DNF ()</v>
      </c>
      <c r="AB300" s="53" t="str">
        <f t="shared" si="155"/>
        <v>DNS/DNF ()</v>
      </c>
      <c r="AC300" s="53" t="str">
        <f t="shared" si="156"/>
        <v>DNS/DNF ()</v>
      </c>
      <c r="AD300" s="53" t="str">
        <f t="shared" si="157"/>
        <v>DNS/DNF ()</v>
      </c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62" t="str">
        <f t="shared" si="158"/>
        <v>DNS/DNF</v>
      </c>
      <c r="AV300" s="62" t="str">
        <f t="shared" si="159"/>
        <v>DNS/DNF</v>
      </c>
      <c r="AW300" s="62" t="str">
        <f t="shared" si="160"/>
        <v>DNS/DNF</v>
      </c>
      <c r="AX300" s="62" t="str">
        <f t="shared" si="161"/>
        <v>DNS/DNF</v>
      </c>
      <c r="AY300" s="62" t="str">
        <f t="shared" si="162"/>
        <v>DNS/DNF</v>
      </c>
      <c r="AZ300" s="62" t="str">
        <f t="shared" si="163"/>
        <v>DNS/DNF</v>
      </c>
      <c r="BA300" s="62" t="str">
        <f t="shared" si="164"/>
        <v>DNS/DNF</v>
      </c>
      <c r="BB300" s="62" t="str">
        <f t="shared" si="165"/>
        <v>DNS/DNF</v>
      </c>
      <c r="BC300" s="75" t="str">
        <f t="shared" si="166"/>
        <v/>
      </c>
      <c r="BD300" s="53" t="str">
        <f t="shared" si="167"/>
        <v/>
      </c>
      <c r="BE300" s="53" t="str">
        <f t="shared" si="168"/>
        <v/>
      </c>
      <c r="BF300" s="53" t="str">
        <f t="shared" si="169"/>
        <v/>
      </c>
      <c r="BG300" s="53" t="str">
        <f t="shared" si="170"/>
        <v/>
      </c>
      <c r="BH300" s="53" t="str">
        <f t="shared" si="171"/>
        <v/>
      </c>
      <c r="BI300" s="53" t="str">
        <f t="shared" si="172"/>
        <v/>
      </c>
      <c r="BJ300" s="53" t="str">
        <f t="shared" si="173"/>
        <v/>
      </c>
      <c r="BK300" s="53" t="str">
        <f t="shared" si="174"/>
        <v/>
      </c>
    </row>
    <row r="301" spans="2:63">
      <c r="B301" s="89" t="str">
        <f>IFERROR(VLOOKUP($A301,EntryList!$A$3:$N$645,2,FALSE),"")</f>
        <v/>
      </c>
      <c r="D301" s="53">
        <f t="shared" si="148"/>
        <v>0</v>
      </c>
      <c r="N301" s="62">
        <f t="shared" si="149"/>
        <v>0</v>
      </c>
      <c r="O301" s="53" t="str">
        <f t="shared" si="175"/>
        <v/>
      </c>
      <c r="P301" s="53" t="str">
        <f t="shared" si="176"/>
        <v/>
      </c>
      <c r="Q301" s="53" t="str">
        <f t="shared" si="177"/>
        <v/>
      </c>
      <c r="R301" s="53" t="str">
        <f t="shared" si="178"/>
        <v/>
      </c>
      <c r="S301" s="53" t="str">
        <f t="shared" si="179"/>
        <v/>
      </c>
      <c r="T301" s="53" t="str">
        <f t="shared" si="180"/>
        <v/>
      </c>
      <c r="U301" s="53" t="str">
        <f t="shared" si="181"/>
        <v/>
      </c>
      <c r="V301" s="53" t="str">
        <f t="shared" si="182"/>
        <v/>
      </c>
      <c r="W301" s="53" t="str">
        <f t="shared" si="150"/>
        <v>DNS/DNF ()</v>
      </c>
      <c r="X301" s="53" t="str">
        <f t="shared" si="151"/>
        <v>DNS/DNF ()</v>
      </c>
      <c r="Y301" s="53" t="str">
        <f t="shared" si="152"/>
        <v>DNS/DNF ()</v>
      </c>
      <c r="Z301" s="53" t="str">
        <f t="shared" si="153"/>
        <v>DNS/DNF ()</v>
      </c>
      <c r="AA301" s="53" t="str">
        <f t="shared" si="154"/>
        <v>DNS/DNF ()</v>
      </c>
      <c r="AB301" s="53" t="str">
        <f t="shared" si="155"/>
        <v>DNS/DNF ()</v>
      </c>
      <c r="AC301" s="53" t="str">
        <f t="shared" si="156"/>
        <v>DNS/DNF ()</v>
      </c>
      <c r="AD301" s="53" t="str">
        <f t="shared" si="157"/>
        <v>DNS/DNF ()</v>
      </c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62" t="str">
        <f t="shared" si="158"/>
        <v>DNS/DNF</v>
      </c>
      <c r="AV301" s="62" t="str">
        <f t="shared" si="159"/>
        <v>DNS/DNF</v>
      </c>
      <c r="AW301" s="62" t="str">
        <f t="shared" si="160"/>
        <v>DNS/DNF</v>
      </c>
      <c r="AX301" s="62" t="str">
        <f t="shared" si="161"/>
        <v>DNS/DNF</v>
      </c>
      <c r="AY301" s="62" t="str">
        <f t="shared" si="162"/>
        <v>DNS/DNF</v>
      </c>
      <c r="AZ301" s="62" t="str">
        <f t="shared" si="163"/>
        <v>DNS/DNF</v>
      </c>
      <c r="BA301" s="62" t="str">
        <f t="shared" si="164"/>
        <v>DNS/DNF</v>
      </c>
      <c r="BB301" s="62" t="str">
        <f t="shared" si="165"/>
        <v>DNS/DNF</v>
      </c>
      <c r="BC301" s="75" t="str">
        <f t="shared" si="166"/>
        <v/>
      </c>
      <c r="BD301" s="53" t="str">
        <f t="shared" si="167"/>
        <v/>
      </c>
      <c r="BE301" s="53" t="str">
        <f t="shared" si="168"/>
        <v/>
      </c>
      <c r="BF301" s="53" t="str">
        <f t="shared" si="169"/>
        <v/>
      </c>
      <c r="BG301" s="53" t="str">
        <f t="shared" si="170"/>
        <v/>
      </c>
      <c r="BH301" s="53" t="str">
        <f t="shared" si="171"/>
        <v/>
      </c>
      <c r="BI301" s="53" t="str">
        <f t="shared" si="172"/>
        <v/>
      </c>
      <c r="BJ301" s="53" t="str">
        <f t="shared" si="173"/>
        <v/>
      </c>
      <c r="BK301" s="53" t="str">
        <f t="shared" si="174"/>
        <v/>
      </c>
    </row>
    <row r="302" spans="2:63">
      <c r="B302" s="89" t="str">
        <f>IFERROR(VLOOKUP($A302,EntryList!$A$3:$N$645,2,FALSE),"")</f>
        <v/>
      </c>
      <c r="D302" s="53">
        <f t="shared" si="148"/>
        <v>0</v>
      </c>
      <c r="N302" s="62">
        <f t="shared" si="149"/>
        <v>0</v>
      </c>
      <c r="O302" s="53" t="str">
        <f t="shared" si="175"/>
        <v/>
      </c>
      <c r="P302" s="53" t="str">
        <f t="shared" si="176"/>
        <v/>
      </c>
      <c r="Q302" s="53" t="str">
        <f t="shared" si="177"/>
        <v/>
      </c>
      <c r="R302" s="53" t="str">
        <f t="shared" si="178"/>
        <v/>
      </c>
      <c r="S302" s="53" t="str">
        <f t="shared" si="179"/>
        <v/>
      </c>
      <c r="T302" s="53" t="str">
        <f t="shared" si="180"/>
        <v/>
      </c>
      <c r="U302" s="53" t="str">
        <f t="shared" si="181"/>
        <v/>
      </c>
      <c r="V302" s="53" t="str">
        <f t="shared" si="182"/>
        <v/>
      </c>
      <c r="W302" s="53" t="str">
        <f t="shared" si="150"/>
        <v>DNS/DNF ()</v>
      </c>
      <c r="X302" s="53" t="str">
        <f t="shared" si="151"/>
        <v>DNS/DNF ()</v>
      </c>
      <c r="Y302" s="53" t="str">
        <f t="shared" si="152"/>
        <v>DNS/DNF ()</v>
      </c>
      <c r="Z302" s="53" t="str">
        <f t="shared" si="153"/>
        <v>DNS/DNF ()</v>
      </c>
      <c r="AA302" s="53" t="str">
        <f t="shared" si="154"/>
        <v>DNS/DNF ()</v>
      </c>
      <c r="AB302" s="53" t="str">
        <f t="shared" si="155"/>
        <v>DNS/DNF ()</v>
      </c>
      <c r="AC302" s="53" t="str">
        <f t="shared" si="156"/>
        <v>DNS/DNF ()</v>
      </c>
      <c r="AD302" s="53" t="str">
        <f t="shared" si="157"/>
        <v>DNS/DNF ()</v>
      </c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62" t="str">
        <f t="shared" si="158"/>
        <v>DNS/DNF</v>
      </c>
      <c r="AV302" s="62" t="str">
        <f t="shared" si="159"/>
        <v>DNS/DNF</v>
      </c>
      <c r="AW302" s="62" t="str">
        <f t="shared" si="160"/>
        <v>DNS/DNF</v>
      </c>
      <c r="AX302" s="62" t="str">
        <f t="shared" si="161"/>
        <v>DNS/DNF</v>
      </c>
      <c r="AY302" s="62" t="str">
        <f t="shared" si="162"/>
        <v>DNS/DNF</v>
      </c>
      <c r="AZ302" s="62" t="str">
        <f t="shared" si="163"/>
        <v>DNS/DNF</v>
      </c>
      <c r="BA302" s="62" t="str">
        <f t="shared" si="164"/>
        <v>DNS/DNF</v>
      </c>
      <c r="BB302" s="62" t="str">
        <f t="shared" si="165"/>
        <v>DNS/DNF</v>
      </c>
      <c r="BC302" s="75" t="str">
        <f t="shared" si="166"/>
        <v/>
      </c>
      <c r="BD302" s="53" t="str">
        <f t="shared" si="167"/>
        <v/>
      </c>
      <c r="BE302" s="53" t="str">
        <f t="shared" si="168"/>
        <v/>
      </c>
      <c r="BF302" s="53" t="str">
        <f t="shared" si="169"/>
        <v/>
      </c>
      <c r="BG302" s="53" t="str">
        <f t="shared" si="170"/>
        <v/>
      </c>
      <c r="BH302" s="53" t="str">
        <f t="shared" si="171"/>
        <v/>
      </c>
      <c r="BI302" s="53" t="str">
        <f t="shared" si="172"/>
        <v/>
      </c>
      <c r="BJ302" s="53" t="str">
        <f t="shared" si="173"/>
        <v/>
      </c>
      <c r="BK302" s="53" t="str">
        <f t="shared" si="174"/>
        <v/>
      </c>
    </row>
    <row r="303" spans="2:63">
      <c r="B303" s="89" t="str">
        <f>IFERROR(VLOOKUP($A303,EntryList!$A$3:$N$645,2,FALSE),"")</f>
        <v/>
      </c>
      <c r="D303" s="53">
        <f t="shared" si="148"/>
        <v>0</v>
      </c>
      <c r="N303" s="62">
        <f t="shared" si="149"/>
        <v>0</v>
      </c>
      <c r="O303" s="53" t="str">
        <f t="shared" si="175"/>
        <v/>
      </c>
      <c r="P303" s="53" t="str">
        <f t="shared" si="176"/>
        <v/>
      </c>
      <c r="Q303" s="53" t="str">
        <f t="shared" si="177"/>
        <v/>
      </c>
      <c r="R303" s="53" t="str">
        <f t="shared" si="178"/>
        <v/>
      </c>
      <c r="S303" s="53" t="str">
        <f t="shared" si="179"/>
        <v/>
      </c>
      <c r="T303" s="53" t="str">
        <f t="shared" si="180"/>
        <v/>
      </c>
      <c r="U303" s="53" t="str">
        <f t="shared" si="181"/>
        <v/>
      </c>
      <c r="V303" s="53" t="str">
        <f t="shared" si="182"/>
        <v/>
      </c>
      <c r="W303" s="53" t="str">
        <f t="shared" si="150"/>
        <v>DNS/DNF ()</v>
      </c>
      <c r="X303" s="53" t="str">
        <f t="shared" si="151"/>
        <v>DNS/DNF ()</v>
      </c>
      <c r="Y303" s="53" t="str">
        <f t="shared" si="152"/>
        <v>DNS/DNF ()</v>
      </c>
      <c r="Z303" s="53" t="str">
        <f t="shared" si="153"/>
        <v>DNS/DNF ()</v>
      </c>
      <c r="AA303" s="53" t="str">
        <f t="shared" si="154"/>
        <v>DNS/DNF ()</v>
      </c>
      <c r="AB303" s="53" t="str">
        <f t="shared" si="155"/>
        <v>DNS/DNF ()</v>
      </c>
      <c r="AC303" s="53" t="str">
        <f t="shared" si="156"/>
        <v>DNS/DNF ()</v>
      </c>
      <c r="AD303" s="53" t="str">
        <f t="shared" si="157"/>
        <v>DNS/DNF ()</v>
      </c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62" t="str">
        <f t="shared" si="158"/>
        <v>DNS/DNF</v>
      </c>
      <c r="AV303" s="62" t="str">
        <f t="shared" si="159"/>
        <v>DNS/DNF</v>
      </c>
      <c r="AW303" s="62" t="str">
        <f t="shared" si="160"/>
        <v>DNS/DNF</v>
      </c>
      <c r="AX303" s="62" t="str">
        <f t="shared" si="161"/>
        <v>DNS/DNF</v>
      </c>
      <c r="AY303" s="62" t="str">
        <f t="shared" si="162"/>
        <v>DNS/DNF</v>
      </c>
      <c r="AZ303" s="62" t="str">
        <f t="shared" si="163"/>
        <v>DNS/DNF</v>
      </c>
      <c r="BA303" s="62" t="str">
        <f t="shared" si="164"/>
        <v>DNS/DNF</v>
      </c>
      <c r="BB303" s="62" t="str">
        <f t="shared" si="165"/>
        <v>DNS/DNF</v>
      </c>
      <c r="BC303" s="75" t="str">
        <f t="shared" si="166"/>
        <v/>
      </c>
      <c r="BD303" s="53" t="str">
        <f t="shared" si="167"/>
        <v/>
      </c>
      <c r="BE303" s="53" t="str">
        <f t="shared" si="168"/>
        <v/>
      </c>
      <c r="BF303" s="53" t="str">
        <f t="shared" si="169"/>
        <v/>
      </c>
      <c r="BG303" s="53" t="str">
        <f t="shared" si="170"/>
        <v/>
      </c>
      <c r="BH303" s="53" t="str">
        <f t="shared" si="171"/>
        <v/>
      </c>
      <c r="BI303" s="53" t="str">
        <f t="shared" si="172"/>
        <v/>
      </c>
      <c r="BJ303" s="53" t="str">
        <f t="shared" si="173"/>
        <v/>
      </c>
      <c r="BK303" s="53" t="str">
        <f t="shared" si="174"/>
        <v/>
      </c>
    </row>
    <row r="304" spans="2:63">
      <c r="B304" s="89" t="str">
        <f>IFERROR(VLOOKUP($A304,EntryList!$A$3:$N$645,2,FALSE),"")</f>
        <v/>
      </c>
      <c r="D304" s="53">
        <f t="shared" si="148"/>
        <v>0</v>
      </c>
      <c r="N304" s="62">
        <f t="shared" si="149"/>
        <v>0</v>
      </c>
      <c r="O304" s="53" t="str">
        <f t="shared" si="175"/>
        <v/>
      </c>
      <c r="P304" s="53" t="str">
        <f t="shared" si="176"/>
        <v/>
      </c>
      <c r="Q304" s="53" t="str">
        <f t="shared" si="177"/>
        <v/>
      </c>
      <c r="R304" s="53" t="str">
        <f t="shared" si="178"/>
        <v/>
      </c>
      <c r="S304" s="53" t="str">
        <f t="shared" si="179"/>
        <v/>
      </c>
      <c r="T304" s="53" t="str">
        <f t="shared" si="180"/>
        <v/>
      </c>
      <c r="U304" s="53" t="str">
        <f t="shared" si="181"/>
        <v/>
      </c>
      <c r="V304" s="53" t="str">
        <f t="shared" si="182"/>
        <v/>
      </c>
      <c r="W304" s="53" t="str">
        <f t="shared" si="150"/>
        <v>DNS/DNF ()</v>
      </c>
      <c r="X304" s="53" t="str">
        <f t="shared" si="151"/>
        <v>DNS/DNF ()</v>
      </c>
      <c r="Y304" s="53" t="str">
        <f t="shared" si="152"/>
        <v>DNS/DNF ()</v>
      </c>
      <c r="Z304" s="53" t="str">
        <f t="shared" si="153"/>
        <v>DNS/DNF ()</v>
      </c>
      <c r="AA304" s="53" t="str">
        <f t="shared" si="154"/>
        <v>DNS/DNF ()</v>
      </c>
      <c r="AB304" s="53" t="str">
        <f t="shared" si="155"/>
        <v>DNS/DNF ()</v>
      </c>
      <c r="AC304" s="53" t="str">
        <f t="shared" si="156"/>
        <v>DNS/DNF ()</v>
      </c>
      <c r="AD304" s="53" t="str">
        <f t="shared" si="157"/>
        <v>DNS/DNF ()</v>
      </c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62" t="str">
        <f t="shared" si="158"/>
        <v>DNS/DNF</v>
      </c>
      <c r="AV304" s="62" t="str">
        <f t="shared" si="159"/>
        <v>DNS/DNF</v>
      </c>
      <c r="AW304" s="62" t="str">
        <f t="shared" si="160"/>
        <v>DNS/DNF</v>
      </c>
      <c r="AX304" s="62" t="str">
        <f t="shared" si="161"/>
        <v>DNS/DNF</v>
      </c>
      <c r="AY304" s="62" t="str">
        <f t="shared" si="162"/>
        <v>DNS/DNF</v>
      </c>
      <c r="AZ304" s="62" t="str">
        <f t="shared" si="163"/>
        <v>DNS/DNF</v>
      </c>
      <c r="BA304" s="62" t="str">
        <f t="shared" si="164"/>
        <v>DNS/DNF</v>
      </c>
      <c r="BB304" s="62" t="str">
        <f t="shared" si="165"/>
        <v>DNS/DNF</v>
      </c>
      <c r="BC304" s="75" t="str">
        <f t="shared" si="166"/>
        <v/>
      </c>
      <c r="BD304" s="53" t="str">
        <f t="shared" si="167"/>
        <v/>
      </c>
      <c r="BE304" s="53" t="str">
        <f t="shared" si="168"/>
        <v/>
      </c>
      <c r="BF304" s="53" t="str">
        <f t="shared" si="169"/>
        <v/>
      </c>
      <c r="BG304" s="53" t="str">
        <f t="shared" si="170"/>
        <v/>
      </c>
      <c r="BH304" s="53" t="str">
        <f t="shared" si="171"/>
        <v/>
      </c>
      <c r="BI304" s="53" t="str">
        <f t="shared" si="172"/>
        <v/>
      </c>
      <c r="BJ304" s="53" t="str">
        <f t="shared" si="173"/>
        <v/>
      </c>
      <c r="BK304" s="53" t="str">
        <f t="shared" si="174"/>
        <v/>
      </c>
    </row>
    <row r="305" spans="2:63">
      <c r="B305" s="89" t="str">
        <f>IFERROR(VLOOKUP($A305,EntryList!$A$3:$N$645,2,FALSE),"")</f>
        <v/>
      </c>
      <c r="D305" s="53">
        <f t="shared" si="148"/>
        <v>0</v>
      </c>
      <c r="N305" s="62">
        <f t="shared" si="149"/>
        <v>0</v>
      </c>
      <c r="O305" s="53" t="str">
        <f t="shared" si="175"/>
        <v/>
      </c>
      <c r="P305" s="53" t="str">
        <f t="shared" si="176"/>
        <v/>
      </c>
      <c r="Q305" s="53" t="str">
        <f t="shared" si="177"/>
        <v/>
      </c>
      <c r="R305" s="53" t="str">
        <f t="shared" si="178"/>
        <v/>
      </c>
      <c r="S305" s="53" t="str">
        <f t="shared" si="179"/>
        <v/>
      </c>
      <c r="T305" s="53" t="str">
        <f t="shared" si="180"/>
        <v/>
      </c>
      <c r="U305" s="53" t="str">
        <f t="shared" si="181"/>
        <v/>
      </c>
      <c r="V305" s="53" t="str">
        <f t="shared" si="182"/>
        <v/>
      </c>
      <c r="W305" s="53" t="str">
        <f t="shared" si="150"/>
        <v>DNS/DNF ()</v>
      </c>
      <c r="X305" s="53" t="str">
        <f t="shared" si="151"/>
        <v>DNS/DNF ()</v>
      </c>
      <c r="Y305" s="53" t="str">
        <f t="shared" si="152"/>
        <v>DNS/DNF ()</v>
      </c>
      <c r="Z305" s="53" t="str">
        <f t="shared" si="153"/>
        <v>DNS/DNF ()</v>
      </c>
      <c r="AA305" s="53" t="str">
        <f t="shared" si="154"/>
        <v>DNS/DNF ()</v>
      </c>
      <c r="AB305" s="53" t="str">
        <f t="shared" si="155"/>
        <v>DNS/DNF ()</v>
      </c>
      <c r="AC305" s="53" t="str">
        <f t="shared" si="156"/>
        <v>DNS/DNF ()</v>
      </c>
      <c r="AD305" s="53" t="str">
        <f t="shared" si="157"/>
        <v>DNS/DNF ()</v>
      </c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62" t="str">
        <f t="shared" si="158"/>
        <v>DNS/DNF</v>
      </c>
      <c r="AV305" s="62" t="str">
        <f t="shared" si="159"/>
        <v>DNS/DNF</v>
      </c>
      <c r="AW305" s="62" t="str">
        <f t="shared" si="160"/>
        <v>DNS/DNF</v>
      </c>
      <c r="AX305" s="62" t="str">
        <f t="shared" si="161"/>
        <v>DNS/DNF</v>
      </c>
      <c r="AY305" s="62" t="str">
        <f t="shared" si="162"/>
        <v>DNS/DNF</v>
      </c>
      <c r="AZ305" s="62" t="str">
        <f t="shared" si="163"/>
        <v>DNS/DNF</v>
      </c>
      <c r="BA305" s="62" t="str">
        <f t="shared" si="164"/>
        <v>DNS/DNF</v>
      </c>
      <c r="BB305" s="62" t="str">
        <f t="shared" si="165"/>
        <v>DNS/DNF</v>
      </c>
      <c r="BC305" s="75" t="str">
        <f t="shared" si="166"/>
        <v/>
      </c>
      <c r="BD305" s="53" t="str">
        <f t="shared" si="167"/>
        <v/>
      </c>
      <c r="BE305" s="53" t="str">
        <f t="shared" si="168"/>
        <v/>
      </c>
      <c r="BF305" s="53" t="str">
        <f t="shared" si="169"/>
        <v/>
      </c>
      <c r="BG305" s="53" t="str">
        <f t="shared" si="170"/>
        <v/>
      </c>
      <c r="BH305" s="53" t="str">
        <f t="shared" si="171"/>
        <v/>
      </c>
      <c r="BI305" s="53" t="str">
        <f t="shared" si="172"/>
        <v/>
      </c>
      <c r="BJ305" s="53" t="str">
        <f t="shared" si="173"/>
        <v/>
      </c>
      <c r="BK305" s="53" t="str">
        <f t="shared" si="174"/>
        <v/>
      </c>
    </row>
    <row r="306" spans="2:63">
      <c r="B306" s="89" t="str">
        <f>IFERROR(VLOOKUP($A306,EntryList!$A$3:$N$645,2,FALSE),"")</f>
        <v/>
      </c>
      <c r="D306" s="53">
        <f t="shared" si="148"/>
        <v>0</v>
      </c>
      <c r="N306" s="62">
        <f t="shared" si="149"/>
        <v>0</v>
      </c>
      <c r="O306" s="53" t="str">
        <f t="shared" si="175"/>
        <v/>
      </c>
      <c r="P306" s="53" t="str">
        <f t="shared" si="176"/>
        <v/>
      </c>
      <c r="Q306" s="53" t="str">
        <f t="shared" si="177"/>
        <v/>
      </c>
      <c r="R306" s="53" t="str">
        <f t="shared" si="178"/>
        <v/>
      </c>
      <c r="S306" s="53" t="str">
        <f t="shared" si="179"/>
        <v/>
      </c>
      <c r="T306" s="53" t="str">
        <f t="shared" si="180"/>
        <v/>
      </c>
      <c r="U306" s="53" t="str">
        <f t="shared" si="181"/>
        <v/>
      </c>
      <c r="V306" s="53" t="str">
        <f t="shared" si="182"/>
        <v/>
      </c>
      <c r="W306" s="53" t="str">
        <f t="shared" si="150"/>
        <v>DNS/DNF ()</v>
      </c>
      <c r="X306" s="53" t="str">
        <f t="shared" si="151"/>
        <v>DNS/DNF ()</v>
      </c>
      <c r="Y306" s="53" t="str">
        <f t="shared" si="152"/>
        <v>DNS/DNF ()</v>
      </c>
      <c r="Z306" s="53" t="str">
        <f t="shared" si="153"/>
        <v>DNS/DNF ()</v>
      </c>
      <c r="AA306" s="53" t="str">
        <f t="shared" si="154"/>
        <v>DNS/DNF ()</v>
      </c>
      <c r="AB306" s="53" t="str">
        <f t="shared" si="155"/>
        <v>DNS/DNF ()</v>
      </c>
      <c r="AC306" s="53" t="str">
        <f t="shared" si="156"/>
        <v>DNS/DNF ()</v>
      </c>
      <c r="AD306" s="53" t="str">
        <f t="shared" si="157"/>
        <v>DNS/DNF ()</v>
      </c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62" t="str">
        <f t="shared" si="158"/>
        <v>DNS/DNF</v>
      </c>
      <c r="AV306" s="62" t="str">
        <f t="shared" si="159"/>
        <v>DNS/DNF</v>
      </c>
      <c r="AW306" s="62" t="str">
        <f t="shared" si="160"/>
        <v>DNS/DNF</v>
      </c>
      <c r="AX306" s="62" t="str">
        <f t="shared" si="161"/>
        <v>DNS/DNF</v>
      </c>
      <c r="AY306" s="62" t="str">
        <f t="shared" si="162"/>
        <v>DNS/DNF</v>
      </c>
      <c r="AZ306" s="62" t="str">
        <f t="shared" si="163"/>
        <v>DNS/DNF</v>
      </c>
      <c r="BA306" s="62" t="str">
        <f t="shared" si="164"/>
        <v>DNS/DNF</v>
      </c>
      <c r="BB306" s="62" t="str">
        <f t="shared" si="165"/>
        <v>DNS/DNF</v>
      </c>
      <c r="BC306" s="75" t="str">
        <f t="shared" si="166"/>
        <v/>
      </c>
      <c r="BD306" s="53" t="str">
        <f t="shared" si="167"/>
        <v/>
      </c>
      <c r="BE306" s="53" t="str">
        <f t="shared" si="168"/>
        <v/>
      </c>
      <c r="BF306" s="53" t="str">
        <f t="shared" si="169"/>
        <v/>
      </c>
      <c r="BG306" s="53" t="str">
        <f t="shared" si="170"/>
        <v/>
      </c>
      <c r="BH306" s="53" t="str">
        <f t="shared" si="171"/>
        <v/>
      </c>
      <c r="BI306" s="53" t="str">
        <f t="shared" si="172"/>
        <v/>
      </c>
      <c r="BJ306" s="53" t="str">
        <f t="shared" si="173"/>
        <v/>
      </c>
      <c r="BK306" s="53" t="str">
        <f t="shared" si="174"/>
        <v/>
      </c>
    </row>
    <row r="307" spans="2:63">
      <c r="B307" s="89" t="str">
        <f>IFERROR(VLOOKUP($A307,EntryList!$A$3:$N$645,2,FALSE),"")</f>
        <v/>
      </c>
      <c r="D307" s="53">
        <f t="shared" si="148"/>
        <v>0</v>
      </c>
      <c r="N307" s="62">
        <f t="shared" si="149"/>
        <v>0</v>
      </c>
      <c r="O307" s="53" t="str">
        <f t="shared" si="175"/>
        <v/>
      </c>
      <c r="P307" s="53" t="str">
        <f t="shared" si="176"/>
        <v/>
      </c>
      <c r="Q307" s="53" t="str">
        <f t="shared" si="177"/>
        <v/>
      </c>
      <c r="R307" s="53" t="str">
        <f t="shared" si="178"/>
        <v/>
      </c>
      <c r="S307" s="53" t="str">
        <f t="shared" si="179"/>
        <v/>
      </c>
      <c r="T307" s="53" t="str">
        <f t="shared" si="180"/>
        <v/>
      </c>
      <c r="U307" s="53" t="str">
        <f t="shared" si="181"/>
        <v/>
      </c>
      <c r="V307" s="53" t="str">
        <f t="shared" si="182"/>
        <v/>
      </c>
      <c r="W307" s="53" t="str">
        <f t="shared" si="150"/>
        <v>DNS/DNF ()</v>
      </c>
      <c r="X307" s="53" t="str">
        <f t="shared" si="151"/>
        <v>DNS/DNF ()</v>
      </c>
      <c r="Y307" s="53" t="str">
        <f t="shared" si="152"/>
        <v>DNS/DNF ()</v>
      </c>
      <c r="Z307" s="53" t="str">
        <f t="shared" si="153"/>
        <v>DNS/DNF ()</v>
      </c>
      <c r="AA307" s="53" t="str">
        <f t="shared" si="154"/>
        <v>DNS/DNF ()</v>
      </c>
      <c r="AB307" s="53" t="str">
        <f t="shared" si="155"/>
        <v>DNS/DNF ()</v>
      </c>
      <c r="AC307" s="53" t="str">
        <f t="shared" si="156"/>
        <v>DNS/DNF ()</v>
      </c>
      <c r="AD307" s="53" t="str">
        <f t="shared" si="157"/>
        <v>DNS/DNF ()</v>
      </c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62" t="str">
        <f t="shared" si="158"/>
        <v>DNS/DNF</v>
      </c>
      <c r="AV307" s="62" t="str">
        <f t="shared" si="159"/>
        <v>DNS/DNF</v>
      </c>
      <c r="AW307" s="62" t="str">
        <f t="shared" si="160"/>
        <v>DNS/DNF</v>
      </c>
      <c r="AX307" s="62" t="str">
        <f t="shared" si="161"/>
        <v>DNS/DNF</v>
      </c>
      <c r="AY307" s="62" t="str">
        <f t="shared" si="162"/>
        <v>DNS/DNF</v>
      </c>
      <c r="AZ307" s="62" t="str">
        <f t="shared" si="163"/>
        <v>DNS/DNF</v>
      </c>
      <c r="BA307" s="62" t="str">
        <f t="shared" si="164"/>
        <v>DNS/DNF</v>
      </c>
      <c r="BB307" s="62" t="str">
        <f t="shared" si="165"/>
        <v>DNS/DNF</v>
      </c>
      <c r="BC307" s="75" t="str">
        <f t="shared" si="166"/>
        <v/>
      </c>
      <c r="BD307" s="53" t="str">
        <f t="shared" si="167"/>
        <v/>
      </c>
      <c r="BE307" s="53" t="str">
        <f t="shared" si="168"/>
        <v/>
      </c>
      <c r="BF307" s="53" t="str">
        <f t="shared" si="169"/>
        <v/>
      </c>
      <c r="BG307" s="53" t="str">
        <f t="shared" si="170"/>
        <v/>
      </c>
      <c r="BH307" s="53" t="str">
        <f t="shared" si="171"/>
        <v/>
      </c>
      <c r="BI307" s="53" t="str">
        <f t="shared" si="172"/>
        <v/>
      </c>
      <c r="BJ307" s="53" t="str">
        <f t="shared" si="173"/>
        <v/>
      </c>
      <c r="BK307" s="53" t="str">
        <f t="shared" si="174"/>
        <v/>
      </c>
    </row>
    <row r="308" spans="2:63">
      <c r="B308" s="89" t="str">
        <f>IFERROR(VLOOKUP($A308,EntryList!$A$3:$N$645,2,FALSE),"")</f>
        <v/>
      </c>
      <c r="D308" s="53">
        <f t="shared" si="148"/>
        <v>0</v>
      </c>
      <c r="N308" s="62">
        <f t="shared" si="149"/>
        <v>0</v>
      </c>
      <c r="O308" s="53" t="str">
        <f t="shared" si="175"/>
        <v/>
      </c>
      <c r="P308" s="53" t="str">
        <f t="shared" si="176"/>
        <v/>
      </c>
      <c r="Q308" s="53" t="str">
        <f t="shared" si="177"/>
        <v/>
      </c>
      <c r="R308" s="53" t="str">
        <f t="shared" si="178"/>
        <v/>
      </c>
      <c r="S308" s="53" t="str">
        <f t="shared" si="179"/>
        <v/>
      </c>
      <c r="T308" s="53" t="str">
        <f t="shared" si="180"/>
        <v/>
      </c>
      <c r="U308" s="53" t="str">
        <f t="shared" si="181"/>
        <v/>
      </c>
      <c r="V308" s="53" t="str">
        <f t="shared" si="182"/>
        <v/>
      </c>
      <c r="W308" s="53" t="str">
        <f t="shared" si="150"/>
        <v>DNS/DNF ()</v>
      </c>
      <c r="X308" s="53" t="str">
        <f t="shared" si="151"/>
        <v>DNS/DNF ()</v>
      </c>
      <c r="Y308" s="53" t="str">
        <f t="shared" si="152"/>
        <v>DNS/DNF ()</v>
      </c>
      <c r="Z308" s="53" t="str">
        <f t="shared" si="153"/>
        <v>DNS/DNF ()</v>
      </c>
      <c r="AA308" s="53" t="str">
        <f t="shared" si="154"/>
        <v>DNS/DNF ()</v>
      </c>
      <c r="AB308" s="53" t="str">
        <f t="shared" si="155"/>
        <v>DNS/DNF ()</v>
      </c>
      <c r="AC308" s="53" t="str">
        <f t="shared" si="156"/>
        <v>DNS/DNF ()</v>
      </c>
      <c r="AD308" s="53" t="str">
        <f t="shared" si="157"/>
        <v>DNS/DNF ()</v>
      </c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62" t="str">
        <f t="shared" si="158"/>
        <v>DNS/DNF</v>
      </c>
      <c r="AV308" s="62" t="str">
        <f t="shared" si="159"/>
        <v>DNS/DNF</v>
      </c>
      <c r="AW308" s="62" t="str">
        <f t="shared" si="160"/>
        <v>DNS/DNF</v>
      </c>
      <c r="AX308" s="62" t="str">
        <f t="shared" si="161"/>
        <v>DNS/DNF</v>
      </c>
      <c r="AY308" s="62" t="str">
        <f t="shared" si="162"/>
        <v>DNS/DNF</v>
      </c>
      <c r="AZ308" s="62" t="str">
        <f t="shared" si="163"/>
        <v>DNS/DNF</v>
      </c>
      <c r="BA308" s="62" t="str">
        <f t="shared" si="164"/>
        <v>DNS/DNF</v>
      </c>
      <c r="BB308" s="62" t="str">
        <f t="shared" si="165"/>
        <v>DNS/DNF</v>
      </c>
      <c r="BC308" s="75" t="str">
        <f t="shared" si="166"/>
        <v/>
      </c>
      <c r="BD308" s="53" t="str">
        <f t="shared" si="167"/>
        <v/>
      </c>
      <c r="BE308" s="53" t="str">
        <f t="shared" si="168"/>
        <v/>
      </c>
      <c r="BF308" s="53" t="str">
        <f t="shared" si="169"/>
        <v/>
      </c>
      <c r="BG308" s="53" t="str">
        <f t="shared" si="170"/>
        <v/>
      </c>
      <c r="BH308" s="53" t="str">
        <f t="shared" si="171"/>
        <v/>
      </c>
      <c r="BI308" s="53" t="str">
        <f t="shared" si="172"/>
        <v/>
      </c>
      <c r="BJ308" s="53" t="str">
        <f t="shared" si="173"/>
        <v/>
      </c>
      <c r="BK308" s="53" t="str">
        <f t="shared" si="174"/>
        <v/>
      </c>
    </row>
    <row r="309" spans="2:63">
      <c r="B309" s="89" t="str">
        <f>IFERROR(VLOOKUP($A309,EntryList!$A$3:$N$645,2,FALSE),"")</f>
        <v/>
      </c>
      <c r="D309" s="53">
        <f t="shared" si="148"/>
        <v>0</v>
      </c>
      <c r="N309" s="62">
        <f t="shared" si="149"/>
        <v>0</v>
      </c>
      <c r="O309" s="53" t="str">
        <f t="shared" si="175"/>
        <v/>
      </c>
      <c r="P309" s="53" t="str">
        <f t="shared" si="176"/>
        <v/>
      </c>
      <c r="Q309" s="53" t="str">
        <f t="shared" si="177"/>
        <v/>
      </c>
      <c r="R309" s="53" t="str">
        <f t="shared" si="178"/>
        <v/>
      </c>
      <c r="S309" s="53" t="str">
        <f t="shared" si="179"/>
        <v/>
      </c>
      <c r="T309" s="53" t="str">
        <f t="shared" si="180"/>
        <v/>
      </c>
      <c r="U309" s="53" t="str">
        <f t="shared" si="181"/>
        <v/>
      </c>
      <c r="V309" s="53" t="str">
        <f t="shared" si="182"/>
        <v/>
      </c>
      <c r="W309" s="53" t="str">
        <f t="shared" si="150"/>
        <v>DNS/DNF ()</v>
      </c>
      <c r="X309" s="53" t="str">
        <f t="shared" si="151"/>
        <v>DNS/DNF ()</v>
      </c>
      <c r="Y309" s="53" t="str">
        <f t="shared" si="152"/>
        <v>DNS/DNF ()</v>
      </c>
      <c r="Z309" s="53" t="str">
        <f t="shared" si="153"/>
        <v>DNS/DNF ()</v>
      </c>
      <c r="AA309" s="53" t="str">
        <f t="shared" si="154"/>
        <v>DNS/DNF ()</v>
      </c>
      <c r="AB309" s="53" t="str">
        <f t="shared" si="155"/>
        <v>DNS/DNF ()</v>
      </c>
      <c r="AC309" s="53" t="str">
        <f t="shared" si="156"/>
        <v>DNS/DNF ()</v>
      </c>
      <c r="AD309" s="53" t="str">
        <f t="shared" si="157"/>
        <v>DNS/DNF ()</v>
      </c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62" t="str">
        <f t="shared" si="158"/>
        <v>DNS/DNF</v>
      </c>
      <c r="AV309" s="62" t="str">
        <f t="shared" si="159"/>
        <v>DNS/DNF</v>
      </c>
      <c r="AW309" s="62" t="str">
        <f t="shared" si="160"/>
        <v>DNS/DNF</v>
      </c>
      <c r="AX309" s="62" t="str">
        <f t="shared" si="161"/>
        <v>DNS/DNF</v>
      </c>
      <c r="AY309" s="62" t="str">
        <f t="shared" si="162"/>
        <v>DNS/DNF</v>
      </c>
      <c r="AZ309" s="62" t="str">
        <f t="shared" si="163"/>
        <v>DNS/DNF</v>
      </c>
      <c r="BA309" s="62" t="str">
        <f t="shared" si="164"/>
        <v>DNS/DNF</v>
      </c>
      <c r="BB309" s="62" t="str">
        <f t="shared" si="165"/>
        <v>DNS/DNF</v>
      </c>
      <c r="BC309" s="75" t="str">
        <f t="shared" si="166"/>
        <v/>
      </c>
      <c r="BD309" s="53" t="str">
        <f t="shared" si="167"/>
        <v/>
      </c>
      <c r="BE309" s="53" t="str">
        <f t="shared" si="168"/>
        <v/>
      </c>
      <c r="BF309" s="53" t="str">
        <f t="shared" si="169"/>
        <v/>
      </c>
      <c r="BG309" s="53" t="str">
        <f t="shared" si="170"/>
        <v/>
      </c>
      <c r="BH309" s="53" t="str">
        <f t="shared" si="171"/>
        <v/>
      </c>
      <c r="BI309" s="53" t="str">
        <f t="shared" si="172"/>
        <v/>
      </c>
      <c r="BJ309" s="53" t="str">
        <f t="shared" si="173"/>
        <v/>
      </c>
      <c r="BK309" s="53" t="str">
        <f t="shared" si="174"/>
        <v/>
      </c>
    </row>
    <row r="310" spans="2:63">
      <c r="B310" s="89" t="str">
        <f>IFERROR(VLOOKUP($A310,EntryList!$A$3:$N$645,2,FALSE),"")</f>
        <v/>
      </c>
      <c r="D310" s="53">
        <f t="shared" si="148"/>
        <v>0</v>
      </c>
      <c r="N310" s="62">
        <f t="shared" si="149"/>
        <v>0</v>
      </c>
      <c r="O310" s="53" t="str">
        <f t="shared" si="175"/>
        <v/>
      </c>
      <c r="P310" s="53" t="str">
        <f t="shared" si="176"/>
        <v/>
      </c>
      <c r="Q310" s="53" t="str">
        <f t="shared" si="177"/>
        <v/>
      </c>
      <c r="R310" s="53" t="str">
        <f t="shared" si="178"/>
        <v/>
      </c>
      <c r="S310" s="53" t="str">
        <f t="shared" si="179"/>
        <v/>
      </c>
      <c r="T310" s="53" t="str">
        <f t="shared" si="180"/>
        <v/>
      </c>
      <c r="U310" s="53" t="str">
        <f t="shared" si="181"/>
        <v/>
      </c>
      <c r="V310" s="53" t="str">
        <f t="shared" si="182"/>
        <v/>
      </c>
      <c r="W310" s="53" t="str">
        <f t="shared" si="150"/>
        <v>DNS/DNF ()</v>
      </c>
      <c r="X310" s="53" t="str">
        <f t="shared" si="151"/>
        <v>DNS/DNF ()</v>
      </c>
      <c r="Y310" s="53" t="str">
        <f t="shared" si="152"/>
        <v>DNS/DNF ()</v>
      </c>
      <c r="Z310" s="53" t="str">
        <f t="shared" si="153"/>
        <v>DNS/DNF ()</v>
      </c>
      <c r="AA310" s="53" t="str">
        <f t="shared" si="154"/>
        <v>DNS/DNF ()</v>
      </c>
      <c r="AB310" s="53" t="str">
        <f t="shared" si="155"/>
        <v>DNS/DNF ()</v>
      </c>
      <c r="AC310" s="53" t="str">
        <f t="shared" si="156"/>
        <v>DNS/DNF ()</v>
      </c>
      <c r="AD310" s="53" t="str">
        <f t="shared" si="157"/>
        <v>DNS/DNF ()</v>
      </c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62" t="str">
        <f t="shared" si="158"/>
        <v>DNS/DNF</v>
      </c>
      <c r="AV310" s="62" t="str">
        <f t="shared" si="159"/>
        <v>DNS/DNF</v>
      </c>
      <c r="AW310" s="62" t="str">
        <f t="shared" si="160"/>
        <v>DNS/DNF</v>
      </c>
      <c r="AX310" s="62" t="str">
        <f t="shared" si="161"/>
        <v>DNS/DNF</v>
      </c>
      <c r="AY310" s="62" t="str">
        <f t="shared" si="162"/>
        <v>DNS/DNF</v>
      </c>
      <c r="AZ310" s="62" t="str">
        <f t="shared" si="163"/>
        <v>DNS/DNF</v>
      </c>
      <c r="BA310" s="62" t="str">
        <f t="shared" si="164"/>
        <v>DNS/DNF</v>
      </c>
      <c r="BB310" s="62" t="str">
        <f t="shared" si="165"/>
        <v>DNS/DNF</v>
      </c>
      <c r="BC310" s="75" t="str">
        <f t="shared" si="166"/>
        <v/>
      </c>
      <c r="BD310" s="53" t="str">
        <f t="shared" si="167"/>
        <v/>
      </c>
      <c r="BE310" s="53" t="str">
        <f t="shared" si="168"/>
        <v/>
      </c>
      <c r="BF310" s="53" t="str">
        <f t="shared" si="169"/>
        <v/>
      </c>
      <c r="BG310" s="53" t="str">
        <f t="shared" si="170"/>
        <v/>
      </c>
      <c r="BH310" s="53" t="str">
        <f t="shared" si="171"/>
        <v/>
      </c>
      <c r="BI310" s="53" t="str">
        <f t="shared" si="172"/>
        <v/>
      </c>
      <c r="BJ310" s="53" t="str">
        <f t="shared" si="173"/>
        <v/>
      </c>
      <c r="BK310" s="53" t="str">
        <f t="shared" si="174"/>
        <v/>
      </c>
    </row>
    <row r="311" spans="2:63">
      <c r="B311" s="89" t="str">
        <f>IFERROR(VLOOKUP($A311,EntryList!$A$3:$N$645,2,FALSE),"")</f>
        <v/>
      </c>
      <c r="D311" s="53">
        <f t="shared" si="148"/>
        <v>0</v>
      </c>
      <c r="N311" s="62">
        <f t="shared" si="149"/>
        <v>0</v>
      </c>
      <c r="O311" s="53" t="str">
        <f t="shared" si="175"/>
        <v/>
      </c>
      <c r="P311" s="53" t="str">
        <f t="shared" si="176"/>
        <v/>
      </c>
      <c r="Q311" s="53" t="str">
        <f t="shared" si="177"/>
        <v/>
      </c>
      <c r="R311" s="53" t="str">
        <f t="shared" si="178"/>
        <v/>
      </c>
      <c r="S311" s="53" t="str">
        <f t="shared" si="179"/>
        <v/>
      </c>
      <c r="T311" s="53" t="str">
        <f t="shared" si="180"/>
        <v/>
      </c>
      <c r="U311" s="53" t="str">
        <f t="shared" si="181"/>
        <v/>
      </c>
      <c r="V311" s="53" t="str">
        <f t="shared" si="182"/>
        <v/>
      </c>
      <c r="W311" s="53" t="str">
        <f t="shared" si="150"/>
        <v>DNS/DNF ()</v>
      </c>
      <c r="X311" s="53" t="str">
        <f t="shared" si="151"/>
        <v>DNS/DNF ()</v>
      </c>
      <c r="Y311" s="53" t="str">
        <f t="shared" si="152"/>
        <v>DNS/DNF ()</v>
      </c>
      <c r="Z311" s="53" t="str">
        <f t="shared" si="153"/>
        <v>DNS/DNF ()</v>
      </c>
      <c r="AA311" s="53" t="str">
        <f t="shared" si="154"/>
        <v>DNS/DNF ()</v>
      </c>
      <c r="AB311" s="53" t="str">
        <f t="shared" si="155"/>
        <v>DNS/DNF ()</v>
      </c>
      <c r="AC311" s="53" t="str">
        <f t="shared" si="156"/>
        <v>DNS/DNF ()</v>
      </c>
      <c r="AD311" s="53" t="str">
        <f t="shared" si="157"/>
        <v>DNS/DNF ()</v>
      </c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62" t="str">
        <f t="shared" si="158"/>
        <v>DNS/DNF</v>
      </c>
      <c r="AV311" s="62" t="str">
        <f t="shared" si="159"/>
        <v>DNS/DNF</v>
      </c>
      <c r="AW311" s="62" t="str">
        <f t="shared" si="160"/>
        <v>DNS/DNF</v>
      </c>
      <c r="AX311" s="62" t="str">
        <f t="shared" si="161"/>
        <v>DNS/DNF</v>
      </c>
      <c r="AY311" s="62" t="str">
        <f t="shared" si="162"/>
        <v>DNS/DNF</v>
      </c>
      <c r="AZ311" s="62" t="str">
        <f t="shared" si="163"/>
        <v>DNS/DNF</v>
      </c>
      <c r="BA311" s="62" t="str">
        <f t="shared" si="164"/>
        <v>DNS/DNF</v>
      </c>
      <c r="BB311" s="62" t="str">
        <f t="shared" si="165"/>
        <v>DNS/DNF</v>
      </c>
      <c r="BC311" s="75" t="str">
        <f t="shared" si="166"/>
        <v/>
      </c>
      <c r="BD311" s="53" t="str">
        <f t="shared" si="167"/>
        <v/>
      </c>
      <c r="BE311" s="53" t="str">
        <f t="shared" si="168"/>
        <v/>
      </c>
      <c r="BF311" s="53" t="str">
        <f t="shared" si="169"/>
        <v/>
      </c>
      <c r="BG311" s="53" t="str">
        <f t="shared" si="170"/>
        <v/>
      </c>
      <c r="BH311" s="53" t="str">
        <f t="shared" si="171"/>
        <v/>
      </c>
      <c r="BI311" s="53" t="str">
        <f t="shared" si="172"/>
        <v/>
      </c>
      <c r="BJ311" s="53" t="str">
        <f t="shared" si="173"/>
        <v/>
      </c>
      <c r="BK311" s="53" t="str">
        <f t="shared" si="174"/>
        <v/>
      </c>
    </row>
    <row r="312" spans="2:63">
      <c r="B312" s="89" t="str">
        <f>IFERROR(VLOOKUP($A312,EntryList!$A$3:$N$645,2,FALSE),"")</f>
        <v/>
      </c>
      <c r="D312" s="53">
        <f t="shared" si="148"/>
        <v>0</v>
      </c>
      <c r="N312" s="62">
        <f t="shared" si="149"/>
        <v>0</v>
      </c>
      <c r="O312" s="53" t="str">
        <f t="shared" si="175"/>
        <v/>
      </c>
      <c r="P312" s="53" t="str">
        <f t="shared" si="176"/>
        <v/>
      </c>
      <c r="Q312" s="53" t="str">
        <f t="shared" si="177"/>
        <v/>
      </c>
      <c r="R312" s="53" t="str">
        <f t="shared" si="178"/>
        <v/>
      </c>
      <c r="S312" s="53" t="str">
        <f t="shared" si="179"/>
        <v/>
      </c>
      <c r="T312" s="53" t="str">
        <f t="shared" si="180"/>
        <v/>
      </c>
      <c r="U312" s="53" t="str">
        <f t="shared" si="181"/>
        <v/>
      </c>
      <c r="V312" s="53" t="str">
        <f t="shared" si="182"/>
        <v/>
      </c>
      <c r="W312" s="53" t="str">
        <f t="shared" si="150"/>
        <v>DNS/DNF ()</v>
      </c>
      <c r="X312" s="53" t="str">
        <f t="shared" si="151"/>
        <v>DNS/DNF ()</v>
      </c>
      <c r="Y312" s="53" t="str">
        <f t="shared" si="152"/>
        <v>DNS/DNF ()</v>
      </c>
      <c r="Z312" s="53" t="str">
        <f t="shared" si="153"/>
        <v>DNS/DNF ()</v>
      </c>
      <c r="AA312" s="53" t="str">
        <f t="shared" si="154"/>
        <v>DNS/DNF ()</v>
      </c>
      <c r="AB312" s="53" t="str">
        <f t="shared" si="155"/>
        <v>DNS/DNF ()</v>
      </c>
      <c r="AC312" s="53" t="str">
        <f t="shared" si="156"/>
        <v>DNS/DNF ()</v>
      </c>
      <c r="AD312" s="53" t="str">
        <f t="shared" si="157"/>
        <v>DNS/DNF ()</v>
      </c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62" t="str">
        <f t="shared" si="158"/>
        <v>DNS/DNF</v>
      </c>
      <c r="AV312" s="62" t="str">
        <f t="shared" si="159"/>
        <v>DNS/DNF</v>
      </c>
      <c r="AW312" s="62" t="str">
        <f t="shared" si="160"/>
        <v>DNS/DNF</v>
      </c>
      <c r="AX312" s="62" t="str">
        <f t="shared" si="161"/>
        <v>DNS/DNF</v>
      </c>
      <c r="AY312" s="62" t="str">
        <f t="shared" si="162"/>
        <v>DNS/DNF</v>
      </c>
      <c r="AZ312" s="62" t="str">
        <f t="shared" si="163"/>
        <v>DNS/DNF</v>
      </c>
      <c r="BA312" s="62" t="str">
        <f t="shared" si="164"/>
        <v>DNS/DNF</v>
      </c>
      <c r="BB312" s="62" t="str">
        <f t="shared" si="165"/>
        <v>DNS/DNF</v>
      </c>
      <c r="BC312" s="75" t="str">
        <f t="shared" si="166"/>
        <v/>
      </c>
      <c r="BD312" s="53" t="str">
        <f t="shared" si="167"/>
        <v/>
      </c>
      <c r="BE312" s="53" t="str">
        <f t="shared" si="168"/>
        <v/>
      </c>
      <c r="BF312" s="53" t="str">
        <f t="shared" si="169"/>
        <v/>
      </c>
      <c r="BG312" s="53" t="str">
        <f t="shared" si="170"/>
        <v/>
      </c>
      <c r="BH312" s="53" t="str">
        <f t="shared" si="171"/>
        <v/>
      </c>
      <c r="BI312" s="53" t="str">
        <f t="shared" si="172"/>
        <v/>
      </c>
      <c r="BJ312" s="53" t="str">
        <f t="shared" si="173"/>
        <v/>
      </c>
      <c r="BK312" s="53" t="str">
        <f t="shared" si="174"/>
        <v/>
      </c>
    </row>
    <row r="313" spans="2:63">
      <c r="B313" s="89" t="str">
        <f>IFERROR(VLOOKUP($A313,EntryList!$A$3:$N$645,2,FALSE),"")</f>
        <v/>
      </c>
      <c r="D313" s="53">
        <f t="shared" si="148"/>
        <v>0</v>
      </c>
      <c r="N313" s="62">
        <f t="shared" si="149"/>
        <v>0</v>
      </c>
      <c r="O313" s="53" t="str">
        <f t="shared" si="175"/>
        <v/>
      </c>
      <c r="P313" s="53" t="str">
        <f t="shared" si="176"/>
        <v/>
      </c>
      <c r="Q313" s="53" t="str">
        <f t="shared" si="177"/>
        <v/>
      </c>
      <c r="R313" s="53" t="str">
        <f t="shared" si="178"/>
        <v/>
      </c>
      <c r="S313" s="53" t="str">
        <f t="shared" si="179"/>
        <v/>
      </c>
      <c r="T313" s="53" t="str">
        <f t="shared" si="180"/>
        <v/>
      </c>
      <c r="U313" s="53" t="str">
        <f t="shared" si="181"/>
        <v/>
      </c>
      <c r="V313" s="53" t="str">
        <f t="shared" si="182"/>
        <v/>
      </c>
      <c r="W313" s="53" t="str">
        <f t="shared" si="150"/>
        <v>DNS/DNF ()</v>
      </c>
      <c r="X313" s="53" t="str">
        <f t="shared" si="151"/>
        <v>DNS/DNF ()</v>
      </c>
      <c r="Y313" s="53" t="str">
        <f t="shared" si="152"/>
        <v>DNS/DNF ()</v>
      </c>
      <c r="Z313" s="53" t="str">
        <f t="shared" si="153"/>
        <v>DNS/DNF ()</v>
      </c>
      <c r="AA313" s="53" t="str">
        <f t="shared" si="154"/>
        <v>DNS/DNF ()</v>
      </c>
      <c r="AB313" s="53" t="str">
        <f t="shared" si="155"/>
        <v>DNS/DNF ()</v>
      </c>
      <c r="AC313" s="53" t="str">
        <f t="shared" si="156"/>
        <v>DNS/DNF ()</v>
      </c>
      <c r="AD313" s="53" t="str">
        <f t="shared" si="157"/>
        <v>DNS/DNF ()</v>
      </c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62" t="str">
        <f t="shared" si="158"/>
        <v>DNS/DNF</v>
      </c>
      <c r="AV313" s="62" t="str">
        <f t="shared" si="159"/>
        <v>DNS/DNF</v>
      </c>
      <c r="AW313" s="62" t="str">
        <f t="shared" si="160"/>
        <v>DNS/DNF</v>
      </c>
      <c r="AX313" s="62" t="str">
        <f t="shared" si="161"/>
        <v>DNS/DNF</v>
      </c>
      <c r="AY313" s="62" t="str">
        <f t="shared" si="162"/>
        <v>DNS/DNF</v>
      </c>
      <c r="AZ313" s="62" t="str">
        <f t="shared" si="163"/>
        <v>DNS/DNF</v>
      </c>
      <c r="BA313" s="62" t="str">
        <f t="shared" si="164"/>
        <v>DNS/DNF</v>
      </c>
      <c r="BB313" s="62" t="str">
        <f t="shared" si="165"/>
        <v>DNS/DNF</v>
      </c>
      <c r="BC313" s="75" t="str">
        <f t="shared" si="166"/>
        <v/>
      </c>
      <c r="BD313" s="53" t="str">
        <f t="shared" si="167"/>
        <v/>
      </c>
      <c r="BE313" s="53" t="str">
        <f t="shared" si="168"/>
        <v/>
      </c>
      <c r="BF313" s="53" t="str">
        <f t="shared" si="169"/>
        <v/>
      </c>
      <c r="BG313" s="53" t="str">
        <f t="shared" si="170"/>
        <v/>
      </c>
      <c r="BH313" s="53" t="str">
        <f t="shared" si="171"/>
        <v/>
      </c>
      <c r="BI313" s="53" t="str">
        <f t="shared" si="172"/>
        <v/>
      </c>
      <c r="BJ313" s="53" t="str">
        <f t="shared" si="173"/>
        <v/>
      </c>
      <c r="BK313" s="53" t="str">
        <f t="shared" si="174"/>
        <v/>
      </c>
    </row>
    <row r="314" spans="2:63">
      <c r="B314" s="89" t="str">
        <f>IFERROR(VLOOKUP($A314,EntryList!$A$3:$N$645,2,FALSE),"")</f>
        <v/>
      </c>
      <c r="D314" s="53">
        <f t="shared" si="148"/>
        <v>0</v>
      </c>
      <c r="N314" s="62">
        <f t="shared" si="149"/>
        <v>0</v>
      </c>
      <c r="O314" s="53" t="str">
        <f t="shared" si="175"/>
        <v/>
      </c>
      <c r="P314" s="53" t="str">
        <f t="shared" si="176"/>
        <v/>
      </c>
      <c r="Q314" s="53" t="str">
        <f t="shared" si="177"/>
        <v/>
      </c>
      <c r="R314" s="53" t="str">
        <f t="shared" si="178"/>
        <v/>
      </c>
      <c r="S314" s="53" t="str">
        <f t="shared" si="179"/>
        <v/>
      </c>
      <c r="T314" s="53" t="str">
        <f t="shared" si="180"/>
        <v/>
      </c>
      <c r="U314" s="53" t="str">
        <f t="shared" si="181"/>
        <v/>
      </c>
      <c r="V314" s="53" t="str">
        <f t="shared" si="182"/>
        <v/>
      </c>
      <c r="W314" s="53" t="str">
        <f t="shared" si="150"/>
        <v>DNS/DNF ()</v>
      </c>
      <c r="X314" s="53" t="str">
        <f t="shared" si="151"/>
        <v>DNS/DNF ()</v>
      </c>
      <c r="Y314" s="53" t="str">
        <f t="shared" si="152"/>
        <v>DNS/DNF ()</v>
      </c>
      <c r="Z314" s="53" t="str">
        <f t="shared" si="153"/>
        <v>DNS/DNF ()</v>
      </c>
      <c r="AA314" s="53" t="str">
        <f t="shared" si="154"/>
        <v>DNS/DNF ()</v>
      </c>
      <c r="AB314" s="53" t="str">
        <f t="shared" si="155"/>
        <v>DNS/DNF ()</v>
      </c>
      <c r="AC314" s="53" t="str">
        <f t="shared" si="156"/>
        <v>DNS/DNF ()</v>
      </c>
      <c r="AD314" s="53" t="str">
        <f t="shared" si="157"/>
        <v>DNS/DNF ()</v>
      </c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62" t="str">
        <f t="shared" si="158"/>
        <v>DNS/DNF</v>
      </c>
      <c r="AV314" s="62" t="str">
        <f t="shared" si="159"/>
        <v>DNS/DNF</v>
      </c>
      <c r="AW314" s="62" t="str">
        <f t="shared" si="160"/>
        <v>DNS/DNF</v>
      </c>
      <c r="AX314" s="62" t="str">
        <f t="shared" si="161"/>
        <v>DNS/DNF</v>
      </c>
      <c r="AY314" s="62" t="str">
        <f t="shared" si="162"/>
        <v>DNS/DNF</v>
      </c>
      <c r="AZ314" s="62" t="str">
        <f t="shared" si="163"/>
        <v>DNS/DNF</v>
      </c>
      <c r="BA314" s="62" t="str">
        <f t="shared" si="164"/>
        <v>DNS/DNF</v>
      </c>
      <c r="BB314" s="62" t="str">
        <f t="shared" si="165"/>
        <v>DNS/DNF</v>
      </c>
      <c r="BC314" s="75" t="str">
        <f t="shared" si="166"/>
        <v/>
      </c>
      <c r="BD314" s="53" t="str">
        <f t="shared" si="167"/>
        <v/>
      </c>
      <c r="BE314" s="53" t="str">
        <f t="shared" si="168"/>
        <v/>
      </c>
      <c r="BF314" s="53" t="str">
        <f t="shared" si="169"/>
        <v/>
      </c>
      <c r="BG314" s="53" t="str">
        <f t="shared" si="170"/>
        <v/>
      </c>
      <c r="BH314" s="53" t="str">
        <f t="shared" si="171"/>
        <v/>
      </c>
      <c r="BI314" s="53" t="str">
        <f t="shared" si="172"/>
        <v/>
      </c>
      <c r="BJ314" s="53" t="str">
        <f t="shared" si="173"/>
        <v/>
      </c>
      <c r="BK314" s="53" t="str">
        <f t="shared" si="174"/>
        <v/>
      </c>
    </row>
    <row r="315" spans="2:63">
      <c r="B315" s="89" t="str">
        <f>IFERROR(VLOOKUP($A315,EntryList!$A$3:$N$645,2,FALSE),"")</f>
        <v/>
      </c>
      <c r="D315" s="53">
        <f t="shared" si="148"/>
        <v>0</v>
      </c>
      <c r="N315" s="62">
        <f t="shared" si="149"/>
        <v>0</v>
      </c>
      <c r="O315" s="53" t="str">
        <f t="shared" si="175"/>
        <v/>
      </c>
      <c r="P315" s="53" t="str">
        <f t="shared" si="176"/>
        <v/>
      </c>
      <c r="Q315" s="53" t="str">
        <f t="shared" si="177"/>
        <v/>
      </c>
      <c r="R315" s="53" t="str">
        <f t="shared" si="178"/>
        <v/>
      </c>
      <c r="S315" s="53" t="str">
        <f t="shared" si="179"/>
        <v/>
      </c>
      <c r="T315" s="53" t="str">
        <f t="shared" si="180"/>
        <v/>
      </c>
      <c r="U315" s="53" t="str">
        <f t="shared" si="181"/>
        <v/>
      </c>
      <c r="V315" s="53" t="str">
        <f t="shared" si="182"/>
        <v/>
      </c>
      <c r="W315" s="53" t="str">
        <f t="shared" si="150"/>
        <v>DNS/DNF ()</v>
      </c>
      <c r="X315" s="53" t="str">
        <f t="shared" si="151"/>
        <v>DNS/DNF ()</v>
      </c>
      <c r="Y315" s="53" t="str">
        <f t="shared" si="152"/>
        <v>DNS/DNF ()</v>
      </c>
      <c r="Z315" s="53" t="str">
        <f t="shared" si="153"/>
        <v>DNS/DNF ()</v>
      </c>
      <c r="AA315" s="53" t="str">
        <f t="shared" si="154"/>
        <v>DNS/DNF ()</v>
      </c>
      <c r="AB315" s="53" t="str">
        <f t="shared" si="155"/>
        <v>DNS/DNF ()</v>
      </c>
      <c r="AC315" s="53" t="str">
        <f t="shared" si="156"/>
        <v>DNS/DNF ()</v>
      </c>
      <c r="AD315" s="53" t="str">
        <f t="shared" si="157"/>
        <v>DNS/DNF ()</v>
      </c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62" t="str">
        <f t="shared" si="158"/>
        <v>DNS/DNF</v>
      </c>
      <c r="AV315" s="62" t="str">
        <f t="shared" si="159"/>
        <v>DNS/DNF</v>
      </c>
      <c r="AW315" s="62" t="str">
        <f t="shared" si="160"/>
        <v>DNS/DNF</v>
      </c>
      <c r="AX315" s="62" t="str">
        <f t="shared" si="161"/>
        <v>DNS/DNF</v>
      </c>
      <c r="AY315" s="62" t="str">
        <f t="shared" si="162"/>
        <v>DNS/DNF</v>
      </c>
      <c r="AZ315" s="62" t="str">
        <f t="shared" si="163"/>
        <v>DNS/DNF</v>
      </c>
      <c r="BA315" s="62" t="str">
        <f t="shared" si="164"/>
        <v>DNS/DNF</v>
      </c>
      <c r="BB315" s="62" t="str">
        <f t="shared" si="165"/>
        <v>DNS/DNF</v>
      </c>
      <c r="BC315" s="75" t="str">
        <f t="shared" si="166"/>
        <v/>
      </c>
      <c r="BD315" s="53" t="str">
        <f t="shared" si="167"/>
        <v/>
      </c>
      <c r="BE315" s="53" t="str">
        <f t="shared" si="168"/>
        <v/>
      </c>
      <c r="BF315" s="53" t="str">
        <f t="shared" si="169"/>
        <v/>
      </c>
      <c r="BG315" s="53" t="str">
        <f t="shared" si="170"/>
        <v/>
      </c>
      <c r="BH315" s="53" t="str">
        <f t="shared" si="171"/>
        <v/>
      </c>
      <c r="BI315" s="53" t="str">
        <f t="shared" si="172"/>
        <v/>
      </c>
      <c r="BJ315" s="53" t="str">
        <f t="shared" si="173"/>
        <v/>
      </c>
      <c r="BK315" s="53" t="str">
        <f t="shared" si="174"/>
        <v/>
      </c>
    </row>
    <row r="316" spans="2:63">
      <c r="B316" s="89" t="str">
        <f>IFERROR(VLOOKUP($A316,EntryList!$A$3:$N$645,2,FALSE),"")</f>
        <v/>
      </c>
      <c r="D316" s="53">
        <f t="shared" si="148"/>
        <v>0</v>
      </c>
      <c r="N316" s="62">
        <f t="shared" si="149"/>
        <v>0</v>
      </c>
      <c r="O316" s="53" t="str">
        <f t="shared" si="175"/>
        <v/>
      </c>
      <c r="P316" s="53" t="str">
        <f t="shared" si="176"/>
        <v/>
      </c>
      <c r="Q316" s="53" t="str">
        <f t="shared" si="177"/>
        <v/>
      </c>
      <c r="R316" s="53" t="str">
        <f t="shared" si="178"/>
        <v/>
      </c>
      <c r="S316" s="53" t="str">
        <f t="shared" si="179"/>
        <v/>
      </c>
      <c r="T316" s="53" t="str">
        <f t="shared" si="180"/>
        <v/>
      </c>
      <c r="U316" s="53" t="str">
        <f t="shared" si="181"/>
        <v/>
      </c>
      <c r="V316" s="53" t="str">
        <f t="shared" si="182"/>
        <v/>
      </c>
      <c r="W316" s="53" t="str">
        <f t="shared" si="150"/>
        <v>DNS/DNF ()</v>
      </c>
      <c r="X316" s="53" t="str">
        <f t="shared" si="151"/>
        <v>DNS/DNF ()</v>
      </c>
      <c r="Y316" s="53" t="str">
        <f t="shared" si="152"/>
        <v>DNS/DNF ()</v>
      </c>
      <c r="Z316" s="53" t="str">
        <f t="shared" si="153"/>
        <v>DNS/DNF ()</v>
      </c>
      <c r="AA316" s="53" t="str">
        <f t="shared" si="154"/>
        <v>DNS/DNF ()</v>
      </c>
      <c r="AB316" s="53" t="str">
        <f t="shared" si="155"/>
        <v>DNS/DNF ()</v>
      </c>
      <c r="AC316" s="53" t="str">
        <f t="shared" si="156"/>
        <v>DNS/DNF ()</v>
      </c>
      <c r="AD316" s="53" t="str">
        <f t="shared" si="157"/>
        <v>DNS/DNF ()</v>
      </c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62" t="str">
        <f t="shared" si="158"/>
        <v>DNS/DNF</v>
      </c>
      <c r="AV316" s="62" t="str">
        <f t="shared" si="159"/>
        <v>DNS/DNF</v>
      </c>
      <c r="AW316" s="62" t="str">
        <f t="shared" si="160"/>
        <v>DNS/DNF</v>
      </c>
      <c r="AX316" s="62" t="str">
        <f t="shared" si="161"/>
        <v>DNS/DNF</v>
      </c>
      <c r="AY316" s="62" t="str">
        <f t="shared" si="162"/>
        <v>DNS/DNF</v>
      </c>
      <c r="AZ316" s="62" t="str">
        <f t="shared" si="163"/>
        <v>DNS/DNF</v>
      </c>
      <c r="BA316" s="62" t="str">
        <f t="shared" si="164"/>
        <v>DNS/DNF</v>
      </c>
      <c r="BB316" s="62" t="str">
        <f t="shared" si="165"/>
        <v>DNS/DNF</v>
      </c>
      <c r="BC316" s="75" t="str">
        <f t="shared" si="166"/>
        <v/>
      </c>
      <c r="BD316" s="53" t="str">
        <f t="shared" si="167"/>
        <v/>
      </c>
      <c r="BE316" s="53" t="str">
        <f t="shared" si="168"/>
        <v/>
      </c>
      <c r="BF316" s="53" t="str">
        <f t="shared" si="169"/>
        <v/>
      </c>
      <c r="BG316" s="53" t="str">
        <f t="shared" si="170"/>
        <v/>
      </c>
      <c r="BH316" s="53" t="str">
        <f t="shared" si="171"/>
        <v/>
      </c>
      <c r="BI316" s="53" t="str">
        <f t="shared" si="172"/>
        <v/>
      </c>
      <c r="BJ316" s="53" t="str">
        <f t="shared" si="173"/>
        <v/>
      </c>
      <c r="BK316" s="53" t="str">
        <f t="shared" si="174"/>
        <v/>
      </c>
    </row>
    <row r="317" spans="2:63">
      <c r="B317" s="89" t="str">
        <f>IFERROR(VLOOKUP($A317,EntryList!$A$3:$N$645,2,FALSE),"")</f>
        <v/>
      </c>
      <c r="D317" s="53">
        <f t="shared" si="148"/>
        <v>0</v>
      </c>
      <c r="N317" s="62">
        <f t="shared" si="149"/>
        <v>0</v>
      </c>
      <c r="O317" s="53" t="str">
        <f t="shared" si="175"/>
        <v/>
      </c>
      <c r="P317" s="53" t="str">
        <f t="shared" si="176"/>
        <v/>
      </c>
      <c r="Q317" s="53" t="str">
        <f t="shared" si="177"/>
        <v/>
      </c>
      <c r="R317" s="53" t="str">
        <f t="shared" si="178"/>
        <v/>
      </c>
      <c r="S317" s="53" t="str">
        <f t="shared" si="179"/>
        <v/>
      </c>
      <c r="T317" s="53" t="str">
        <f t="shared" si="180"/>
        <v/>
      </c>
      <c r="U317" s="53" t="str">
        <f t="shared" si="181"/>
        <v/>
      </c>
      <c r="V317" s="53" t="str">
        <f t="shared" si="182"/>
        <v/>
      </c>
      <c r="W317" s="53" t="str">
        <f t="shared" si="150"/>
        <v>DNS/DNF ()</v>
      </c>
      <c r="X317" s="53" t="str">
        <f t="shared" si="151"/>
        <v>DNS/DNF ()</v>
      </c>
      <c r="Y317" s="53" t="str">
        <f t="shared" si="152"/>
        <v>DNS/DNF ()</v>
      </c>
      <c r="Z317" s="53" t="str">
        <f t="shared" si="153"/>
        <v>DNS/DNF ()</v>
      </c>
      <c r="AA317" s="53" t="str">
        <f t="shared" si="154"/>
        <v>DNS/DNF ()</v>
      </c>
      <c r="AB317" s="53" t="str">
        <f t="shared" si="155"/>
        <v>DNS/DNF ()</v>
      </c>
      <c r="AC317" s="53" t="str">
        <f t="shared" si="156"/>
        <v>DNS/DNF ()</v>
      </c>
      <c r="AD317" s="53" t="str">
        <f t="shared" si="157"/>
        <v>DNS/DNF ()</v>
      </c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62" t="str">
        <f t="shared" si="158"/>
        <v>DNS/DNF</v>
      </c>
      <c r="AV317" s="62" t="str">
        <f t="shared" si="159"/>
        <v>DNS/DNF</v>
      </c>
      <c r="AW317" s="62" t="str">
        <f t="shared" si="160"/>
        <v>DNS/DNF</v>
      </c>
      <c r="AX317" s="62" t="str">
        <f t="shared" si="161"/>
        <v>DNS/DNF</v>
      </c>
      <c r="AY317" s="62" t="str">
        <f t="shared" si="162"/>
        <v>DNS/DNF</v>
      </c>
      <c r="AZ317" s="62" t="str">
        <f t="shared" si="163"/>
        <v>DNS/DNF</v>
      </c>
      <c r="BA317" s="62" t="str">
        <f t="shared" si="164"/>
        <v>DNS/DNF</v>
      </c>
      <c r="BB317" s="62" t="str">
        <f t="shared" si="165"/>
        <v>DNS/DNF</v>
      </c>
      <c r="BC317" s="75" t="str">
        <f t="shared" si="166"/>
        <v/>
      </c>
      <c r="BD317" s="53" t="str">
        <f t="shared" si="167"/>
        <v/>
      </c>
      <c r="BE317" s="53" t="str">
        <f t="shared" si="168"/>
        <v/>
      </c>
      <c r="BF317" s="53" t="str">
        <f t="shared" si="169"/>
        <v/>
      </c>
      <c r="BG317" s="53" t="str">
        <f t="shared" si="170"/>
        <v/>
      </c>
      <c r="BH317" s="53" t="str">
        <f t="shared" si="171"/>
        <v/>
      </c>
      <c r="BI317" s="53" t="str">
        <f t="shared" si="172"/>
        <v/>
      </c>
      <c r="BJ317" s="53" t="str">
        <f t="shared" si="173"/>
        <v/>
      </c>
      <c r="BK317" s="53" t="str">
        <f t="shared" si="174"/>
        <v/>
      </c>
    </row>
    <row r="318" spans="2:63">
      <c r="B318" s="89" t="str">
        <f>IFERROR(VLOOKUP($A318,EntryList!$A$3:$N$645,2,FALSE),"")</f>
        <v/>
      </c>
      <c r="D318" s="53">
        <f t="shared" ref="D318:D381" si="183">COUNT($AU318:$BB318)</f>
        <v>0</v>
      </c>
      <c r="N318" s="62">
        <f t="shared" ref="N318:N381" si="184">SUM($AU318:$BB318)</f>
        <v>0</v>
      </c>
      <c r="O318" s="53" t="str">
        <f t="shared" si="175"/>
        <v/>
      </c>
      <c r="P318" s="53" t="str">
        <f t="shared" si="176"/>
        <v/>
      </c>
      <c r="Q318" s="53" t="str">
        <f t="shared" si="177"/>
        <v/>
      </c>
      <c r="R318" s="53" t="str">
        <f t="shared" si="178"/>
        <v/>
      </c>
      <c r="S318" s="53" t="str">
        <f t="shared" si="179"/>
        <v/>
      </c>
      <c r="T318" s="53" t="str">
        <f t="shared" si="180"/>
        <v/>
      </c>
      <c r="U318" s="53" t="str">
        <f t="shared" si="181"/>
        <v/>
      </c>
      <c r="V318" s="53" t="str">
        <f t="shared" si="182"/>
        <v/>
      </c>
      <c r="W318" s="53" t="str">
        <f t="shared" si="150"/>
        <v>DNS/DNF ()</v>
      </c>
      <c r="X318" s="53" t="str">
        <f t="shared" si="151"/>
        <v>DNS/DNF ()</v>
      </c>
      <c r="Y318" s="53" t="str">
        <f t="shared" si="152"/>
        <v>DNS/DNF ()</v>
      </c>
      <c r="Z318" s="53" t="str">
        <f t="shared" si="153"/>
        <v>DNS/DNF ()</v>
      </c>
      <c r="AA318" s="53" t="str">
        <f t="shared" si="154"/>
        <v>DNS/DNF ()</v>
      </c>
      <c r="AB318" s="53" t="str">
        <f t="shared" si="155"/>
        <v>DNS/DNF ()</v>
      </c>
      <c r="AC318" s="53" t="str">
        <f t="shared" si="156"/>
        <v>DNS/DNF ()</v>
      </c>
      <c r="AD318" s="53" t="str">
        <f t="shared" si="157"/>
        <v>DNS/DNF ()</v>
      </c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62" t="str">
        <f t="shared" si="158"/>
        <v>DNS/DNF</v>
      </c>
      <c r="AV318" s="62" t="str">
        <f t="shared" si="159"/>
        <v>DNS/DNF</v>
      </c>
      <c r="AW318" s="62" t="str">
        <f t="shared" si="160"/>
        <v>DNS/DNF</v>
      </c>
      <c r="AX318" s="62" t="str">
        <f t="shared" si="161"/>
        <v>DNS/DNF</v>
      </c>
      <c r="AY318" s="62" t="str">
        <f t="shared" si="162"/>
        <v>DNS/DNF</v>
      </c>
      <c r="AZ318" s="62" t="str">
        <f t="shared" si="163"/>
        <v>DNS/DNF</v>
      </c>
      <c r="BA318" s="62" t="str">
        <f t="shared" si="164"/>
        <v>DNS/DNF</v>
      </c>
      <c r="BB318" s="62" t="str">
        <f t="shared" si="165"/>
        <v>DNS/DNF</v>
      </c>
      <c r="BC318" s="75" t="str">
        <f t="shared" si="166"/>
        <v/>
      </c>
      <c r="BD318" s="53" t="str">
        <f t="shared" si="167"/>
        <v/>
      </c>
      <c r="BE318" s="53" t="str">
        <f t="shared" si="168"/>
        <v/>
      </c>
      <c r="BF318" s="53" t="str">
        <f t="shared" si="169"/>
        <v/>
      </c>
      <c r="BG318" s="53" t="str">
        <f t="shared" si="170"/>
        <v/>
      </c>
      <c r="BH318" s="53" t="str">
        <f t="shared" si="171"/>
        <v/>
      </c>
      <c r="BI318" s="53" t="str">
        <f t="shared" si="172"/>
        <v/>
      </c>
      <c r="BJ318" s="53" t="str">
        <f t="shared" si="173"/>
        <v/>
      </c>
      <c r="BK318" s="53" t="str">
        <f t="shared" si="174"/>
        <v/>
      </c>
    </row>
    <row r="319" spans="2:63">
      <c r="B319" s="89" t="str">
        <f>IFERROR(VLOOKUP($A319,EntryList!$A$3:$N$645,2,FALSE),"")</f>
        <v/>
      </c>
      <c r="D319" s="53">
        <f t="shared" si="183"/>
        <v>0</v>
      </c>
      <c r="N319" s="62">
        <f t="shared" si="184"/>
        <v>0</v>
      </c>
      <c r="O319" s="53" t="str">
        <f t="shared" si="175"/>
        <v/>
      </c>
      <c r="P319" s="53" t="str">
        <f t="shared" si="176"/>
        <v/>
      </c>
      <c r="Q319" s="53" t="str">
        <f t="shared" si="177"/>
        <v/>
      </c>
      <c r="R319" s="53" t="str">
        <f t="shared" si="178"/>
        <v/>
      </c>
      <c r="S319" s="53" t="str">
        <f t="shared" si="179"/>
        <v/>
      </c>
      <c r="T319" s="53" t="str">
        <f t="shared" si="180"/>
        <v/>
      </c>
      <c r="U319" s="53" t="str">
        <f t="shared" si="181"/>
        <v/>
      </c>
      <c r="V319" s="53" t="str">
        <f t="shared" si="182"/>
        <v/>
      </c>
      <c r="W319" s="53" t="str">
        <f t="shared" si="150"/>
        <v>DNS/DNF ()</v>
      </c>
      <c r="X319" s="53" t="str">
        <f t="shared" si="151"/>
        <v>DNS/DNF ()</v>
      </c>
      <c r="Y319" s="53" t="str">
        <f t="shared" si="152"/>
        <v>DNS/DNF ()</v>
      </c>
      <c r="Z319" s="53" t="str">
        <f t="shared" si="153"/>
        <v>DNS/DNF ()</v>
      </c>
      <c r="AA319" s="53" t="str">
        <f t="shared" si="154"/>
        <v>DNS/DNF ()</v>
      </c>
      <c r="AB319" s="53" t="str">
        <f t="shared" si="155"/>
        <v>DNS/DNF ()</v>
      </c>
      <c r="AC319" s="53" t="str">
        <f t="shared" si="156"/>
        <v>DNS/DNF ()</v>
      </c>
      <c r="AD319" s="53" t="str">
        <f t="shared" si="157"/>
        <v>DNS/DNF ()</v>
      </c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62" t="str">
        <f t="shared" si="158"/>
        <v>DNS/DNF</v>
      </c>
      <c r="AV319" s="62" t="str">
        <f t="shared" si="159"/>
        <v>DNS/DNF</v>
      </c>
      <c r="AW319" s="62" t="str">
        <f t="shared" si="160"/>
        <v>DNS/DNF</v>
      </c>
      <c r="AX319" s="62" t="str">
        <f t="shared" si="161"/>
        <v>DNS/DNF</v>
      </c>
      <c r="AY319" s="62" t="str">
        <f t="shared" si="162"/>
        <v>DNS/DNF</v>
      </c>
      <c r="AZ319" s="62" t="str">
        <f t="shared" si="163"/>
        <v>DNS/DNF</v>
      </c>
      <c r="BA319" s="62" t="str">
        <f t="shared" si="164"/>
        <v>DNS/DNF</v>
      </c>
      <c r="BB319" s="62" t="str">
        <f t="shared" si="165"/>
        <v>DNS/DNF</v>
      </c>
      <c r="BC319" s="75" t="str">
        <f t="shared" si="166"/>
        <v/>
      </c>
      <c r="BD319" s="53" t="str">
        <f t="shared" si="167"/>
        <v/>
      </c>
      <c r="BE319" s="53" t="str">
        <f t="shared" si="168"/>
        <v/>
      </c>
      <c r="BF319" s="53" t="str">
        <f t="shared" si="169"/>
        <v/>
      </c>
      <c r="BG319" s="53" t="str">
        <f t="shared" si="170"/>
        <v/>
      </c>
      <c r="BH319" s="53" t="str">
        <f t="shared" si="171"/>
        <v/>
      </c>
      <c r="BI319" s="53" t="str">
        <f t="shared" si="172"/>
        <v/>
      </c>
      <c r="BJ319" s="53" t="str">
        <f t="shared" si="173"/>
        <v/>
      </c>
      <c r="BK319" s="53" t="str">
        <f t="shared" si="174"/>
        <v/>
      </c>
    </row>
    <row r="320" spans="2:63">
      <c r="B320" s="89" t="str">
        <f>IFERROR(VLOOKUP($A320,EntryList!$A$3:$N$645,2,FALSE),"")</f>
        <v/>
      </c>
      <c r="D320" s="53">
        <f t="shared" si="183"/>
        <v>0</v>
      </c>
      <c r="N320" s="62">
        <f t="shared" si="184"/>
        <v>0</v>
      </c>
      <c r="O320" s="53" t="str">
        <f t="shared" si="175"/>
        <v/>
      </c>
      <c r="P320" s="53" t="str">
        <f t="shared" si="176"/>
        <v/>
      </c>
      <c r="Q320" s="53" t="str">
        <f t="shared" si="177"/>
        <v/>
      </c>
      <c r="R320" s="53" t="str">
        <f t="shared" si="178"/>
        <v/>
      </c>
      <c r="S320" s="53" t="str">
        <f t="shared" si="179"/>
        <v/>
      </c>
      <c r="T320" s="53" t="str">
        <f t="shared" si="180"/>
        <v/>
      </c>
      <c r="U320" s="53" t="str">
        <f t="shared" si="181"/>
        <v/>
      </c>
      <c r="V320" s="53" t="str">
        <f t="shared" si="182"/>
        <v/>
      </c>
      <c r="W320" s="53" t="str">
        <f t="shared" si="150"/>
        <v>DNS/DNF ()</v>
      </c>
      <c r="X320" s="53" t="str">
        <f t="shared" si="151"/>
        <v>DNS/DNF ()</v>
      </c>
      <c r="Y320" s="53" t="str">
        <f t="shared" si="152"/>
        <v>DNS/DNF ()</v>
      </c>
      <c r="Z320" s="53" t="str">
        <f t="shared" si="153"/>
        <v>DNS/DNF ()</v>
      </c>
      <c r="AA320" s="53" t="str">
        <f t="shared" si="154"/>
        <v>DNS/DNF ()</v>
      </c>
      <c r="AB320" s="53" t="str">
        <f t="shared" si="155"/>
        <v>DNS/DNF ()</v>
      </c>
      <c r="AC320" s="53" t="str">
        <f t="shared" si="156"/>
        <v>DNS/DNF ()</v>
      </c>
      <c r="AD320" s="53" t="str">
        <f t="shared" si="157"/>
        <v>DNS/DNF ()</v>
      </c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62" t="str">
        <f t="shared" si="158"/>
        <v>DNS/DNF</v>
      </c>
      <c r="AV320" s="62" t="str">
        <f t="shared" si="159"/>
        <v>DNS/DNF</v>
      </c>
      <c r="AW320" s="62" t="str">
        <f t="shared" si="160"/>
        <v>DNS/DNF</v>
      </c>
      <c r="AX320" s="62" t="str">
        <f t="shared" si="161"/>
        <v>DNS/DNF</v>
      </c>
      <c r="AY320" s="62" t="str">
        <f t="shared" si="162"/>
        <v>DNS/DNF</v>
      </c>
      <c r="AZ320" s="62" t="str">
        <f t="shared" si="163"/>
        <v>DNS/DNF</v>
      </c>
      <c r="BA320" s="62" t="str">
        <f t="shared" si="164"/>
        <v>DNS/DNF</v>
      </c>
      <c r="BB320" s="62" t="str">
        <f t="shared" si="165"/>
        <v>DNS/DNF</v>
      </c>
      <c r="BC320" s="75" t="str">
        <f t="shared" si="166"/>
        <v/>
      </c>
      <c r="BD320" s="53" t="str">
        <f t="shared" si="167"/>
        <v/>
      </c>
      <c r="BE320" s="53" t="str">
        <f t="shared" si="168"/>
        <v/>
      </c>
      <c r="BF320" s="53" t="str">
        <f t="shared" si="169"/>
        <v/>
      </c>
      <c r="BG320" s="53" t="str">
        <f t="shared" si="170"/>
        <v/>
      </c>
      <c r="BH320" s="53" t="str">
        <f t="shared" si="171"/>
        <v/>
      </c>
      <c r="BI320" s="53" t="str">
        <f t="shared" si="172"/>
        <v/>
      </c>
      <c r="BJ320" s="53" t="str">
        <f t="shared" si="173"/>
        <v/>
      </c>
      <c r="BK320" s="53" t="str">
        <f t="shared" si="174"/>
        <v/>
      </c>
    </row>
    <row r="321" spans="2:63">
      <c r="B321" s="89" t="str">
        <f>IFERROR(VLOOKUP($A321,EntryList!$A$3:$N$645,2,FALSE),"")</f>
        <v/>
      </c>
      <c r="D321" s="53">
        <f t="shared" si="183"/>
        <v>0</v>
      </c>
      <c r="N321" s="62">
        <f t="shared" si="184"/>
        <v>0</v>
      </c>
      <c r="O321" s="53" t="str">
        <f t="shared" si="175"/>
        <v/>
      </c>
      <c r="P321" s="53" t="str">
        <f t="shared" si="176"/>
        <v/>
      </c>
      <c r="Q321" s="53" t="str">
        <f t="shared" si="177"/>
        <v/>
      </c>
      <c r="R321" s="53" t="str">
        <f t="shared" si="178"/>
        <v/>
      </c>
      <c r="S321" s="53" t="str">
        <f t="shared" si="179"/>
        <v/>
      </c>
      <c r="T321" s="53" t="str">
        <f t="shared" si="180"/>
        <v/>
      </c>
      <c r="U321" s="53" t="str">
        <f t="shared" si="181"/>
        <v/>
      </c>
      <c r="V321" s="53" t="str">
        <f t="shared" si="182"/>
        <v/>
      </c>
      <c r="W321" s="53" t="str">
        <f t="shared" si="150"/>
        <v>DNS/DNF ()</v>
      </c>
      <c r="X321" s="53" t="str">
        <f t="shared" si="151"/>
        <v>DNS/DNF ()</v>
      </c>
      <c r="Y321" s="53" t="str">
        <f t="shared" si="152"/>
        <v>DNS/DNF ()</v>
      </c>
      <c r="Z321" s="53" t="str">
        <f t="shared" si="153"/>
        <v>DNS/DNF ()</v>
      </c>
      <c r="AA321" s="53" t="str">
        <f t="shared" si="154"/>
        <v>DNS/DNF ()</v>
      </c>
      <c r="AB321" s="53" t="str">
        <f t="shared" si="155"/>
        <v>DNS/DNF ()</v>
      </c>
      <c r="AC321" s="53" t="str">
        <f t="shared" si="156"/>
        <v>DNS/DNF ()</v>
      </c>
      <c r="AD321" s="53" t="str">
        <f t="shared" si="157"/>
        <v>DNS/DNF ()</v>
      </c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62" t="str">
        <f t="shared" si="158"/>
        <v>DNS/DNF</v>
      </c>
      <c r="AV321" s="62" t="str">
        <f t="shared" si="159"/>
        <v>DNS/DNF</v>
      </c>
      <c r="AW321" s="62" t="str">
        <f t="shared" si="160"/>
        <v>DNS/DNF</v>
      </c>
      <c r="AX321" s="62" t="str">
        <f t="shared" si="161"/>
        <v>DNS/DNF</v>
      </c>
      <c r="AY321" s="62" t="str">
        <f t="shared" si="162"/>
        <v>DNS/DNF</v>
      </c>
      <c r="AZ321" s="62" t="str">
        <f t="shared" si="163"/>
        <v>DNS/DNF</v>
      </c>
      <c r="BA321" s="62" t="str">
        <f t="shared" si="164"/>
        <v>DNS/DNF</v>
      </c>
      <c r="BB321" s="62" t="str">
        <f t="shared" si="165"/>
        <v>DNS/DNF</v>
      </c>
      <c r="BC321" s="75" t="str">
        <f t="shared" si="166"/>
        <v/>
      </c>
      <c r="BD321" s="53" t="str">
        <f t="shared" si="167"/>
        <v/>
      </c>
      <c r="BE321" s="53" t="str">
        <f t="shared" si="168"/>
        <v/>
      </c>
      <c r="BF321" s="53" t="str">
        <f t="shared" si="169"/>
        <v/>
      </c>
      <c r="BG321" s="53" t="str">
        <f t="shared" si="170"/>
        <v/>
      </c>
      <c r="BH321" s="53" t="str">
        <f t="shared" si="171"/>
        <v/>
      </c>
      <c r="BI321" s="53" t="str">
        <f t="shared" si="172"/>
        <v/>
      </c>
      <c r="BJ321" s="53" t="str">
        <f t="shared" si="173"/>
        <v/>
      </c>
      <c r="BK321" s="53" t="str">
        <f t="shared" si="174"/>
        <v/>
      </c>
    </row>
    <row r="322" spans="2:63">
      <c r="B322" s="89" t="str">
        <f>IFERROR(VLOOKUP($A322,EntryList!$A$3:$N$645,2,FALSE),"")</f>
        <v/>
      </c>
      <c r="D322" s="53">
        <f t="shared" si="183"/>
        <v>0</v>
      </c>
      <c r="N322" s="62">
        <f t="shared" si="184"/>
        <v>0</v>
      </c>
      <c r="O322" s="53" t="str">
        <f t="shared" si="175"/>
        <v/>
      </c>
      <c r="P322" s="53" t="str">
        <f t="shared" si="176"/>
        <v/>
      </c>
      <c r="Q322" s="53" t="str">
        <f t="shared" si="177"/>
        <v/>
      </c>
      <c r="R322" s="53" t="str">
        <f t="shared" si="178"/>
        <v/>
      </c>
      <c r="S322" s="53" t="str">
        <f t="shared" si="179"/>
        <v/>
      </c>
      <c r="T322" s="53" t="str">
        <f t="shared" si="180"/>
        <v/>
      </c>
      <c r="U322" s="53" t="str">
        <f t="shared" si="181"/>
        <v/>
      </c>
      <c r="V322" s="53" t="str">
        <f t="shared" si="182"/>
        <v/>
      </c>
      <c r="W322" s="53" t="str">
        <f t="shared" si="150"/>
        <v>DNS/DNF ()</v>
      </c>
      <c r="X322" s="53" t="str">
        <f t="shared" si="151"/>
        <v>DNS/DNF ()</v>
      </c>
      <c r="Y322" s="53" t="str">
        <f t="shared" si="152"/>
        <v>DNS/DNF ()</v>
      </c>
      <c r="Z322" s="53" t="str">
        <f t="shared" si="153"/>
        <v>DNS/DNF ()</v>
      </c>
      <c r="AA322" s="53" t="str">
        <f t="shared" si="154"/>
        <v>DNS/DNF ()</v>
      </c>
      <c r="AB322" s="53" t="str">
        <f t="shared" si="155"/>
        <v>DNS/DNF ()</v>
      </c>
      <c r="AC322" s="53" t="str">
        <f t="shared" si="156"/>
        <v>DNS/DNF ()</v>
      </c>
      <c r="AD322" s="53" t="str">
        <f t="shared" si="157"/>
        <v>DNS/DNF ()</v>
      </c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62" t="str">
        <f t="shared" si="158"/>
        <v>DNS/DNF</v>
      </c>
      <c r="AV322" s="62" t="str">
        <f t="shared" si="159"/>
        <v>DNS/DNF</v>
      </c>
      <c r="AW322" s="62" t="str">
        <f t="shared" si="160"/>
        <v>DNS/DNF</v>
      </c>
      <c r="AX322" s="62" t="str">
        <f t="shared" si="161"/>
        <v>DNS/DNF</v>
      </c>
      <c r="AY322" s="62" t="str">
        <f t="shared" si="162"/>
        <v>DNS/DNF</v>
      </c>
      <c r="AZ322" s="62" t="str">
        <f t="shared" si="163"/>
        <v>DNS/DNF</v>
      </c>
      <c r="BA322" s="62" t="str">
        <f t="shared" si="164"/>
        <v>DNS/DNF</v>
      </c>
      <c r="BB322" s="62" t="str">
        <f t="shared" si="165"/>
        <v>DNS/DNF</v>
      </c>
      <c r="BC322" s="75" t="str">
        <f t="shared" si="166"/>
        <v/>
      </c>
      <c r="BD322" s="53" t="str">
        <f t="shared" si="167"/>
        <v/>
      </c>
      <c r="BE322" s="53" t="str">
        <f t="shared" si="168"/>
        <v/>
      </c>
      <c r="BF322" s="53" t="str">
        <f t="shared" si="169"/>
        <v/>
      </c>
      <c r="BG322" s="53" t="str">
        <f t="shared" si="170"/>
        <v/>
      </c>
      <c r="BH322" s="53" t="str">
        <f t="shared" si="171"/>
        <v/>
      </c>
      <c r="BI322" s="53" t="str">
        <f t="shared" si="172"/>
        <v/>
      </c>
      <c r="BJ322" s="53" t="str">
        <f t="shared" si="173"/>
        <v/>
      </c>
      <c r="BK322" s="53" t="str">
        <f t="shared" si="174"/>
        <v/>
      </c>
    </row>
    <row r="323" spans="2:63">
      <c r="B323" s="89" t="str">
        <f>IFERROR(VLOOKUP($A323,EntryList!$A$3:$N$645,2,FALSE),"")</f>
        <v/>
      </c>
      <c r="D323" s="53">
        <f t="shared" si="183"/>
        <v>0</v>
      </c>
      <c r="N323" s="62">
        <f t="shared" si="184"/>
        <v>0</v>
      </c>
      <c r="O323" s="53" t="str">
        <f t="shared" si="175"/>
        <v/>
      </c>
      <c r="P323" s="53" t="str">
        <f t="shared" si="176"/>
        <v/>
      </c>
      <c r="Q323" s="53" t="str">
        <f t="shared" si="177"/>
        <v/>
      </c>
      <c r="R323" s="53" t="str">
        <f t="shared" si="178"/>
        <v/>
      </c>
      <c r="S323" s="53" t="str">
        <f t="shared" si="179"/>
        <v/>
      </c>
      <c r="T323" s="53" t="str">
        <f t="shared" si="180"/>
        <v/>
      </c>
      <c r="U323" s="53" t="str">
        <f t="shared" si="181"/>
        <v/>
      </c>
      <c r="V323" s="53" t="str">
        <f t="shared" si="182"/>
        <v/>
      </c>
      <c r="W323" s="53" t="str">
        <f t="shared" si="150"/>
        <v>DNS/DNF ()</v>
      </c>
      <c r="X323" s="53" t="str">
        <f t="shared" si="151"/>
        <v>DNS/DNF ()</v>
      </c>
      <c r="Y323" s="53" t="str">
        <f t="shared" si="152"/>
        <v>DNS/DNF ()</v>
      </c>
      <c r="Z323" s="53" t="str">
        <f t="shared" si="153"/>
        <v>DNS/DNF ()</v>
      </c>
      <c r="AA323" s="53" t="str">
        <f t="shared" si="154"/>
        <v>DNS/DNF ()</v>
      </c>
      <c r="AB323" s="53" t="str">
        <f t="shared" si="155"/>
        <v>DNS/DNF ()</v>
      </c>
      <c r="AC323" s="53" t="str">
        <f t="shared" si="156"/>
        <v>DNS/DNF ()</v>
      </c>
      <c r="AD323" s="53" t="str">
        <f t="shared" si="157"/>
        <v>DNS/DNF ()</v>
      </c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62" t="str">
        <f t="shared" si="158"/>
        <v>DNS/DNF</v>
      </c>
      <c r="AV323" s="62" t="str">
        <f t="shared" si="159"/>
        <v>DNS/DNF</v>
      </c>
      <c r="AW323" s="62" t="str">
        <f t="shared" si="160"/>
        <v>DNS/DNF</v>
      </c>
      <c r="AX323" s="62" t="str">
        <f t="shared" si="161"/>
        <v>DNS/DNF</v>
      </c>
      <c r="AY323" s="62" t="str">
        <f t="shared" si="162"/>
        <v>DNS/DNF</v>
      </c>
      <c r="AZ323" s="62" t="str">
        <f t="shared" si="163"/>
        <v>DNS/DNF</v>
      </c>
      <c r="BA323" s="62" t="str">
        <f t="shared" si="164"/>
        <v>DNS/DNF</v>
      </c>
      <c r="BB323" s="62" t="str">
        <f t="shared" si="165"/>
        <v>DNS/DNF</v>
      </c>
      <c r="BC323" s="75" t="str">
        <f t="shared" si="166"/>
        <v/>
      </c>
      <c r="BD323" s="53" t="str">
        <f t="shared" si="167"/>
        <v/>
      </c>
      <c r="BE323" s="53" t="str">
        <f t="shared" si="168"/>
        <v/>
      </c>
      <c r="BF323" s="53" t="str">
        <f t="shared" si="169"/>
        <v/>
      </c>
      <c r="BG323" s="53" t="str">
        <f t="shared" si="170"/>
        <v/>
      </c>
      <c r="BH323" s="53" t="str">
        <f t="shared" si="171"/>
        <v/>
      </c>
      <c r="BI323" s="53" t="str">
        <f t="shared" si="172"/>
        <v/>
      </c>
      <c r="BJ323" s="53" t="str">
        <f t="shared" si="173"/>
        <v/>
      </c>
      <c r="BK323" s="53" t="str">
        <f t="shared" si="174"/>
        <v/>
      </c>
    </row>
    <row r="324" spans="2:63">
      <c r="B324" s="89" t="str">
        <f>IFERROR(VLOOKUP($A324,EntryList!$A$3:$N$645,2,FALSE),"")</f>
        <v/>
      </c>
      <c r="D324" s="53">
        <f t="shared" si="183"/>
        <v>0</v>
      </c>
      <c r="N324" s="62">
        <f t="shared" si="184"/>
        <v>0</v>
      </c>
      <c r="O324" s="53" t="str">
        <f t="shared" si="175"/>
        <v/>
      </c>
      <c r="P324" s="53" t="str">
        <f t="shared" si="176"/>
        <v/>
      </c>
      <c r="Q324" s="53" t="str">
        <f t="shared" si="177"/>
        <v/>
      </c>
      <c r="R324" s="53" t="str">
        <f t="shared" si="178"/>
        <v/>
      </c>
      <c r="S324" s="53" t="str">
        <f t="shared" si="179"/>
        <v/>
      </c>
      <c r="T324" s="53" t="str">
        <f t="shared" si="180"/>
        <v/>
      </c>
      <c r="U324" s="53" t="str">
        <f t="shared" si="181"/>
        <v/>
      </c>
      <c r="V324" s="53" t="str">
        <f t="shared" si="182"/>
        <v/>
      </c>
      <c r="W324" s="53" t="str">
        <f t="shared" ref="W324:W387" si="185">CONCATENATE(TEXT($AU324,"[hh]:mm:ss.0")," ","(",$O324,")")</f>
        <v>DNS/DNF ()</v>
      </c>
      <c r="X324" s="53" t="str">
        <f t="shared" ref="X324:X387" si="186">CONCATENATE(TEXT($AV324,"[hh]:mm:ss.0")," ","(",$P324,")")</f>
        <v>DNS/DNF ()</v>
      </c>
      <c r="Y324" s="53" t="str">
        <f t="shared" ref="Y324:Y387" si="187">CONCATENATE(TEXT($AW324,"[hh]:mm:ss.0")," ","(",$Q324,")")</f>
        <v>DNS/DNF ()</v>
      </c>
      <c r="Z324" s="53" t="str">
        <f t="shared" ref="Z324:Z387" si="188">CONCATENATE(TEXT($AX324,"[hh]:mm:ss.0")," ","(",$R324,")")</f>
        <v>DNS/DNF ()</v>
      </c>
      <c r="AA324" s="53" t="str">
        <f t="shared" ref="AA324:AA387" si="189">CONCATENATE(TEXT($AY324,"[hh]:mm:ss.0")," ","(",$S324,")")</f>
        <v>DNS/DNF ()</v>
      </c>
      <c r="AB324" s="53" t="str">
        <f t="shared" ref="AB324:AB387" si="190">CONCATENATE(TEXT($AZ324,"[hh]:mm:ss.0")," ","(",$T324,")")</f>
        <v>DNS/DNF ()</v>
      </c>
      <c r="AC324" s="53" t="str">
        <f t="shared" ref="AC324:AC387" si="191">CONCATENATE(TEXT($BA324,"[hh]:mm:ss.0")," ","(",$U324,")")</f>
        <v>DNS/DNF ()</v>
      </c>
      <c r="AD324" s="53" t="str">
        <f t="shared" ref="AD324:AD387" si="192">CONCATENATE(TEXT($BB324,"[hh]:mm:ss.0")," ","(",$V324,")")</f>
        <v>DNS/DNF ()</v>
      </c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62" t="str">
        <f t="shared" ref="AU324:AU387" si="193">IF((OR($AE324=0,$AF324=0,$AF324-$AE324&lt;0)),"DNS/DNF",($AF324-$AE324)/86400000)</f>
        <v>DNS/DNF</v>
      </c>
      <c r="AV324" s="62" t="str">
        <f t="shared" ref="AV324:AV387" si="194">IF((OR($AG324=0,$AH324=0,$AH324-$AG324&lt;0)),"DNS/DNF",($AH324-$AG324)/86400000)</f>
        <v>DNS/DNF</v>
      </c>
      <c r="AW324" s="62" t="str">
        <f t="shared" ref="AW324:AW387" si="195">IF((OR($AI324=0,$AJ324=0,$AJ324-$AI324&lt;0)),"DNS/DNF",($AJ324-$AI324)/86400000)</f>
        <v>DNS/DNF</v>
      </c>
      <c r="AX324" s="62" t="str">
        <f t="shared" ref="AX324:AX387" si="196">IF((OR($AK324=0,$AL324=0,$AL324-$AK324&lt;0)),"DNS/DNF",($AL324-$AK324)/86400000)</f>
        <v>DNS/DNF</v>
      </c>
      <c r="AY324" s="62" t="str">
        <f t="shared" ref="AY324:AY387" si="197">IF((OR($AM324=0,$AM324=0,$AN324-$AM324&lt;0)),"DNS/DNF",($AN324-$AM324)/86400000)</f>
        <v>DNS/DNF</v>
      </c>
      <c r="AZ324" s="62" t="str">
        <f t="shared" ref="AZ324:AZ387" si="198">IF((OR($AO324=0,$AP324=0,$AP324-$AO324&lt;0)),"DNS/DNF",($AP324-$AO324)/86400000)</f>
        <v>DNS/DNF</v>
      </c>
      <c r="BA324" s="62" t="str">
        <f t="shared" ref="BA324:BA387" si="199">IF((OR($AQ324=0,$AR324=0,$AR324-$AQ324&lt;0)),"DNS/DNF",($AR324-$AQ324)/86400000)</f>
        <v>DNS/DNF</v>
      </c>
      <c r="BB324" s="62" t="str">
        <f t="shared" ref="BB324:BB387" si="200">IF((OR($AS324=0,$AT324=0,$AT324-$AS324&lt;0)),"DNS/DNF",($AT324-$AS324)/86400000)</f>
        <v>DNS/DNF</v>
      </c>
      <c r="BC324" s="75" t="str">
        <f t="shared" ref="BC324:BC387" si="201">IFERROR(ROUND(AVERAGE(O324:V324),0),"")</f>
        <v/>
      </c>
      <c r="BD324" s="53" t="str">
        <f t="shared" ref="BD324:BD387" si="202">IFERROR((INDEX(($AU$3:$AU$500)*86400000,MATCH(BC324,$O$3:$O$500,0))),"")</f>
        <v/>
      </c>
      <c r="BE324" s="53" t="str">
        <f t="shared" ref="BE324:BE387" si="203">IFERROR((INDEX(($AV$3:$AV$500)*86400000,MATCH(BC324,$P$3:$P$500,0))),"")</f>
        <v/>
      </c>
      <c r="BF324" s="53" t="str">
        <f t="shared" ref="BF324:BF387" si="204">IFERROR((INDEX(($AW$3:$AW$500)*86400000,MATCH(BC324,$Q$3:$Q$500,0))),"")</f>
        <v/>
      </c>
      <c r="BG324" s="53" t="str">
        <f t="shared" ref="BG324:BG387" si="205">IFERROR((INDEX(($AX$3:$AX$500)*86400000,MATCH(BC324,$R$3:$R$500,0))),"")</f>
        <v/>
      </c>
      <c r="BH324" s="53" t="str">
        <f t="shared" ref="BH324:BH387" si="206">IFERROR((INDEX(($AY$3:$AY$500)*86400000,MATCH(BC324,$S$3:$S$500,0))),"")</f>
        <v/>
      </c>
      <c r="BI324" s="53" t="str">
        <f t="shared" ref="BI324:BI387" si="207">IFERROR((INDEX(($AZ$3:$AZ$500)*86400000,MATCH(BC324,$T$3:$T$500,0))),"")</f>
        <v/>
      </c>
      <c r="BJ324" s="53" t="str">
        <f t="shared" ref="BJ324:BJ387" si="208">IFERROR((INDEX(($BA$3:$BA$500)*86400000,MATCH(BC324,$U$3:$U$500,0))),"")</f>
        <v/>
      </c>
      <c r="BK324" s="53" t="str">
        <f t="shared" ref="BK324:BK387" si="209">IFERROR((INDEX(($BB$3:$BB$500)*86400000,MATCH(BC324,$V$3:$V$500,0))),"")</f>
        <v/>
      </c>
    </row>
    <row r="325" spans="2:63">
      <c r="B325" s="89" t="str">
        <f>IFERROR(VLOOKUP($A325,EntryList!$A$3:$N$645,2,FALSE),"")</f>
        <v/>
      </c>
      <c r="D325" s="53">
        <f t="shared" si="183"/>
        <v>0</v>
      </c>
      <c r="N325" s="62">
        <f t="shared" si="184"/>
        <v>0</v>
      </c>
      <c r="O325" s="53" t="str">
        <f t="shared" si="175"/>
        <v/>
      </c>
      <c r="P325" s="53" t="str">
        <f t="shared" si="176"/>
        <v/>
      </c>
      <c r="Q325" s="53" t="str">
        <f t="shared" si="177"/>
        <v/>
      </c>
      <c r="R325" s="53" t="str">
        <f t="shared" si="178"/>
        <v/>
      </c>
      <c r="S325" s="53" t="str">
        <f t="shared" si="179"/>
        <v/>
      </c>
      <c r="T325" s="53" t="str">
        <f t="shared" si="180"/>
        <v/>
      </c>
      <c r="U325" s="53" t="str">
        <f t="shared" si="181"/>
        <v/>
      </c>
      <c r="V325" s="53" t="str">
        <f t="shared" si="182"/>
        <v/>
      </c>
      <c r="W325" s="53" t="str">
        <f t="shared" si="185"/>
        <v>DNS/DNF ()</v>
      </c>
      <c r="X325" s="53" t="str">
        <f t="shared" si="186"/>
        <v>DNS/DNF ()</v>
      </c>
      <c r="Y325" s="53" t="str">
        <f t="shared" si="187"/>
        <v>DNS/DNF ()</v>
      </c>
      <c r="Z325" s="53" t="str">
        <f t="shared" si="188"/>
        <v>DNS/DNF ()</v>
      </c>
      <c r="AA325" s="53" t="str">
        <f t="shared" si="189"/>
        <v>DNS/DNF ()</v>
      </c>
      <c r="AB325" s="53" t="str">
        <f t="shared" si="190"/>
        <v>DNS/DNF ()</v>
      </c>
      <c r="AC325" s="53" t="str">
        <f t="shared" si="191"/>
        <v>DNS/DNF ()</v>
      </c>
      <c r="AD325" s="53" t="str">
        <f t="shared" si="192"/>
        <v>DNS/DNF ()</v>
      </c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62" t="str">
        <f t="shared" si="193"/>
        <v>DNS/DNF</v>
      </c>
      <c r="AV325" s="62" t="str">
        <f t="shared" si="194"/>
        <v>DNS/DNF</v>
      </c>
      <c r="AW325" s="62" t="str">
        <f t="shared" si="195"/>
        <v>DNS/DNF</v>
      </c>
      <c r="AX325" s="62" t="str">
        <f t="shared" si="196"/>
        <v>DNS/DNF</v>
      </c>
      <c r="AY325" s="62" t="str">
        <f t="shared" si="197"/>
        <v>DNS/DNF</v>
      </c>
      <c r="AZ325" s="62" t="str">
        <f t="shared" si="198"/>
        <v>DNS/DNF</v>
      </c>
      <c r="BA325" s="62" t="str">
        <f t="shared" si="199"/>
        <v>DNS/DNF</v>
      </c>
      <c r="BB325" s="62" t="str">
        <f t="shared" si="200"/>
        <v>DNS/DNF</v>
      </c>
      <c r="BC325" s="75" t="str">
        <f t="shared" si="201"/>
        <v/>
      </c>
      <c r="BD325" s="53" t="str">
        <f t="shared" si="202"/>
        <v/>
      </c>
      <c r="BE325" s="53" t="str">
        <f t="shared" si="203"/>
        <v/>
      </c>
      <c r="BF325" s="53" t="str">
        <f t="shared" si="204"/>
        <v/>
      </c>
      <c r="BG325" s="53" t="str">
        <f t="shared" si="205"/>
        <v/>
      </c>
      <c r="BH325" s="53" t="str">
        <f t="shared" si="206"/>
        <v/>
      </c>
      <c r="BI325" s="53" t="str">
        <f t="shared" si="207"/>
        <v/>
      </c>
      <c r="BJ325" s="53" t="str">
        <f t="shared" si="208"/>
        <v/>
      </c>
      <c r="BK325" s="53" t="str">
        <f t="shared" si="209"/>
        <v/>
      </c>
    </row>
    <row r="326" spans="2:63">
      <c r="B326" s="89" t="str">
        <f>IFERROR(VLOOKUP($A326,EntryList!$A$3:$N$645,2,FALSE),"")</f>
        <v/>
      </c>
      <c r="D326" s="53">
        <f t="shared" si="183"/>
        <v>0</v>
      </c>
      <c r="N326" s="62">
        <f t="shared" si="184"/>
        <v>0</v>
      </c>
      <c r="O326" s="53" t="str">
        <f t="shared" si="175"/>
        <v/>
      </c>
      <c r="P326" s="53" t="str">
        <f t="shared" si="176"/>
        <v/>
      </c>
      <c r="Q326" s="53" t="str">
        <f t="shared" si="177"/>
        <v/>
      </c>
      <c r="R326" s="53" t="str">
        <f t="shared" si="178"/>
        <v/>
      </c>
      <c r="S326" s="53" t="str">
        <f t="shared" si="179"/>
        <v/>
      </c>
      <c r="T326" s="53" t="str">
        <f t="shared" si="180"/>
        <v/>
      </c>
      <c r="U326" s="53" t="str">
        <f t="shared" si="181"/>
        <v/>
      </c>
      <c r="V326" s="53" t="str">
        <f t="shared" si="182"/>
        <v/>
      </c>
      <c r="W326" s="53" t="str">
        <f t="shared" si="185"/>
        <v>DNS/DNF ()</v>
      </c>
      <c r="X326" s="53" t="str">
        <f t="shared" si="186"/>
        <v>DNS/DNF ()</v>
      </c>
      <c r="Y326" s="53" t="str">
        <f t="shared" si="187"/>
        <v>DNS/DNF ()</v>
      </c>
      <c r="Z326" s="53" t="str">
        <f t="shared" si="188"/>
        <v>DNS/DNF ()</v>
      </c>
      <c r="AA326" s="53" t="str">
        <f t="shared" si="189"/>
        <v>DNS/DNF ()</v>
      </c>
      <c r="AB326" s="53" t="str">
        <f t="shared" si="190"/>
        <v>DNS/DNF ()</v>
      </c>
      <c r="AC326" s="53" t="str">
        <f t="shared" si="191"/>
        <v>DNS/DNF ()</v>
      </c>
      <c r="AD326" s="53" t="str">
        <f t="shared" si="192"/>
        <v>DNS/DNF ()</v>
      </c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62" t="str">
        <f t="shared" si="193"/>
        <v>DNS/DNF</v>
      </c>
      <c r="AV326" s="62" t="str">
        <f t="shared" si="194"/>
        <v>DNS/DNF</v>
      </c>
      <c r="AW326" s="62" t="str">
        <f t="shared" si="195"/>
        <v>DNS/DNF</v>
      </c>
      <c r="AX326" s="62" t="str">
        <f t="shared" si="196"/>
        <v>DNS/DNF</v>
      </c>
      <c r="AY326" s="62" t="str">
        <f t="shared" si="197"/>
        <v>DNS/DNF</v>
      </c>
      <c r="AZ326" s="62" t="str">
        <f t="shared" si="198"/>
        <v>DNS/DNF</v>
      </c>
      <c r="BA326" s="62" t="str">
        <f t="shared" si="199"/>
        <v>DNS/DNF</v>
      </c>
      <c r="BB326" s="62" t="str">
        <f t="shared" si="200"/>
        <v>DNS/DNF</v>
      </c>
      <c r="BC326" s="75" t="str">
        <f t="shared" si="201"/>
        <v/>
      </c>
      <c r="BD326" s="53" t="str">
        <f t="shared" si="202"/>
        <v/>
      </c>
      <c r="BE326" s="53" t="str">
        <f t="shared" si="203"/>
        <v/>
      </c>
      <c r="BF326" s="53" t="str">
        <f t="shared" si="204"/>
        <v/>
      </c>
      <c r="BG326" s="53" t="str">
        <f t="shared" si="205"/>
        <v/>
      </c>
      <c r="BH326" s="53" t="str">
        <f t="shared" si="206"/>
        <v/>
      </c>
      <c r="BI326" s="53" t="str">
        <f t="shared" si="207"/>
        <v/>
      </c>
      <c r="BJ326" s="53" t="str">
        <f t="shared" si="208"/>
        <v/>
      </c>
      <c r="BK326" s="53" t="str">
        <f t="shared" si="209"/>
        <v/>
      </c>
    </row>
    <row r="327" spans="2:63">
      <c r="B327" s="89" t="str">
        <f>IFERROR(VLOOKUP($A327,EntryList!$A$3:$N$645,2,FALSE),"")</f>
        <v/>
      </c>
      <c r="D327" s="53">
        <f t="shared" si="183"/>
        <v>0</v>
      </c>
      <c r="N327" s="62">
        <f t="shared" si="184"/>
        <v>0</v>
      </c>
      <c r="O327" s="53" t="str">
        <f t="shared" si="175"/>
        <v/>
      </c>
      <c r="P327" s="53" t="str">
        <f t="shared" si="176"/>
        <v/>
      </c>
      <c r="Q327" s="53" t="str">
        <f t="shared" si="177"/>
        <v/>
      </c>
      <c r="R327" s="53" t="str">
        <f t="shared" si="178"/>
        <v/>
      </c>
      <c r="S327" s="53" t="str">
        <f t="shared" si="179"/>
        <v/>
      </c>
      <c r="T327" s="53" t="str">
        <f t="shared" si="180"/>
        <v/>
      </c>
      <c r="U327" s="53" t="str">
        <f t="shared" si="181"/>
        <v/>
      </c>
      <c r="V327" s="53" t="str">
        <f t="shared" si="182"/>
        <v/>
      </c>
      <c r="W327" s="53" t="str">
        <f t="shared" si="185"/>
        <v>DNS/DNF ()</v>
      </c>
      <c r="X327" s="53" t="str">
        <f t="shared" si="186"/>
        <v>DNS/DNF ()</v>
      </c>
      <c r="Y327" s="53" t="str">
        <f t="shared" si="187"/>
        <v>DNS/DNF ()</v>
      </c>
      <c r="Z327" s="53" t="str">
        <f t="shared" si="188"/>
        <v>DNS/DNF ()</v>
      </c>
      <c r="AA327" s="53" t="str">
        <f t="shared" si="189"/>
        <v>DNS/DNF ()</v>
      </c>
      <c r="AB327" s="53" t="str">
        <f t="shared" si="190"/>
        <v>DNS/DNF ()</v>
      </c>
      <c r="AC327" s="53" t="str">
        <f t="shared" si="191"/>
        <v>DNS/DNF ()</v>
      </c>
      <c r="AD327" s="53" t="str">
        <f t="shared" si="192"/>
        <v>DNS/DNF ()</v>
      </c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62" t="str">
        <f t="shared" si="193"/>
        <v>DNS/DNF</v>
      </c>
      <c r="AV327" s="62" t="str">
        <f t="shared" si="194"/>
        <v>DNS/DNF</v>
      </c>
      <c r="AW327" s="62" t="str">
        <f t="shared" si="195"/>
        <v>DNS/DNF</v>
      </c>
      <c r="AX327" s="62" t="str">
        <f t="shared" si="196"/>
        <v>DNS/DNF</v>
      </c>
      <c r="AY327" s="62" t="str">
        <f t="shared" si="197"/>
        <v>DNS/DNF</v>
      </c>
      <c r="AZ327" s="62" t="str">
        <f t="shared" si="198"/>
        <v>DNS/DNF</v>
      </c>
      <c r="BA327" s="62" t="str">
        <f t="shared" si="199"/>
        <v>DNS/DNF</v>
      </c>
      <c r="BB327" s="62" t="str">
        <f t="shared" si="200"/>
        <v>DNS/DNF</v>
      </c>
      <c r="BC327" s="75" t="str">
        <f t="shared" si="201"/>
        <v/>
      </c>
      <c r="BD327" s="53" t="str">
        <f t="shared" si="202"/>
        <v/>
      </c>
      <c r="BE327" s="53" t="str">
        <f t="shared" si="203"/>
        <v/>
      </c>
      <c r="BF327" s="53" t="str">
        <f t="shared" si="204"/>
        <v/>
      </c>
      <c r="BG327" s="53" t="str">
        <f t="shared" si="205"/>
        <v/>
      </c>
      <c r="BH327" s="53" t="str">
        <f t="shared" si="206"/>
        <v/>
      </c>
      <c r="BI327" s="53" t="str">
        <f t="shared" si="207"/>
        <v/>
      </c>
      <c r="BJ327" s="53" t="str">
        <f t="shared" si="208"/>
        <v/>
      </c>
      <c r="BK327" s="53" t="str">
        <f t="shared" si="209"/>
        <v/>
      </c>
    </row>
    <row r="328" spans="2:63">
      <c r="B328" s="89" t="str">
        <f>IFERROR(VLOOKUP($A328,EntryList!$A$3:$N$645,2,FALSE),"")</f>
        <v/>
      </c>
      <c r="D328" s="53">
        <f t="shared" si="183"/>
        <v>0</v>
      </c>
      <c r="N328" s="62">
        <f t="shared" si="184"/>
        <v>0</v>
      </c>
      <c r="O328" s="53" t="str">
        <f t="shared" si="175"/>
        <v/>
      </c>
      <c r="P328" s="53" t="str">
        <f t="shared" si="176"/>
        <v/>
      </c>
      <c r="Q328" s="53" t="str">
        <f t="shared" si="177"/>
        <v/>
      </c>
      <c r="R328" s="53" t="str">
        <f t="shared" si="178"/>
        <v/>
      </c>
      <c r="S328" s="53" t="str">
        <f t="shared" si="179"/>
        <v/>
      </c>
      <c r="T328" s="53" t="str">
        <f t="shared" si="180"/>
        <v/>
      </c>
      <c r="U328" s="53" t="str">
        <f t="shared" si="181"/>
        <v/>
      </c>
      <c r="V328" s="53" t="str">
        <f t="shared" si="182"/>
        <v/>
      </c>
      <c r="W328" s="53" t="str">
        <f t="shared" si="185"/>
        <v>DNS/DNF ()</v>
      </c>
      <c r="X328" s="53" t="str">
        <f t="shared" si="186"/>
        <v>DNS/DNF ()</v>
      </c>
      <c r="Y328" s="53" t="str">
        <f t="shared" si="187"/>
        <v>DNS/DNF ()</v>
      </c>
      <c r="Z328" s="53" t="str">
        <f t="shared" si="188"/>
        <v>DNS/DNF ()</v>
      </c>
      <c r="AA328" s="53" t="str">
        <f t="shared" si="189"/>
        <v>DNS/DNF ()</v>
      </c>
      <c r="AB328" s="53" t="str">
        <f t="shared" si="190"/>
        <v>DNS/DNF ()</v>
      </c>
      <c r="AC328" s="53" t="str">
        <f t="shared" si="191"/>
        <v>DNS/DNF ()</v>
      </c>
      <c r="AD328" s="53" t="str">
        <f t="shared" si="192"/>
        <v>DNS/DNF ()</v>
      </c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62" t="str">
        <f t="shared" si="193"/>
        <v>DNS/DNF</v>
      </c>
      <c r="AV328" s="62" t="str">
        <f t="shared" si="194"/>
        <v>DNS/DNF</v>
      </c>
      <c r="AW328" s="62" t="str">
        <f t="shared" si="195"/>
        <v>DNS/DNF</v>
      </c>
      <c r="AX328" s="62" t="str">
        <f t="shared" si="196"/>
        <v>DNS/DNF</v>
      </c>
      <c r="AY328" s="62" t="str">
        <f t="shared" si="197"/>
        <v>DNS/DNF</v>
      </c>
      <c r="AZ328" s="62" t="str">
        <f t="shared" si="198"/>
        <v>DNS/DNF</v>
      </c>
      <c r="BA328" s="62" t="str">
        <f t="shared" si="199"/>
        <v>DNS/DNF</v>
      </c>
      <c r="BB328" s="62" t="str">
        <f t="shared" si="200"/>
        <v>DNS/DNF</v>
      </c>
      <c r="BC328" s="75" t="str">
        <f t="shared" si="201"/>
        <v/>
      </c>
      <c r="BD328" s="53" t="str">
        <f t="shared" si="202"/>
        <v/>
      </c>
      <c r="BE328" s="53" t="str">
        <f t="shared" si="203"/>
        <v/>
      </c>
      <c r="BF328" s="53" t="str">
        <f t="shared" si="204"/>
        <v/>
      </c>
      <c r="BG328" s="53" t="str">
        <f t="shared" si="205"/>
        <v/>
      </c>
      <c r="BH328" s="53" t="str">
        <f t="shared" si="206"/>
        <v/>
      </c>
      <c r="BI328" s="53" t="str">
        <f t="shared" si="207"/>
        <v/>
      </c>
      <c r="BJ328" s="53" t="str">
        <f t="shared" si="208"/>
        <v/>
      </c>
      <c r="BK328" s="53" t="str">
        <f t="shared" si="209"/>
        <v/>
      </c>
    </row>
    <row r="329" spans="2:63">
      <c r="B329" s="89" t="str">
        <f>IFERROR(VLOOKUP($A329,EntryList!$A$3:$N$645,2,FALSE),"")</f>
        <v/>
      </c>
      <c r="D329" s="53">
        <f t="shared" si="183"/>
        <v>0</v>
      </c>
      <c r="N329" s="62">
        <f t="shared" si="184"/>
        <v>0</v>
      </c>
      <c r="O329" s="53" t="str">
        <f t="shared" si="175"/>
        <v/>
      </c>
      <c r="P329" s="53" t="str">
        <f t="shared" si="176"/>
        <v/>
      </c>
      <c r="Q329" s="53" t="str">
        <f t="shared" si="177"/>
        <v/>
      </c>
      <c r="R329" s="53" t="str">
        <f t="shared" si="178"/>
        <v/>
      </c>
      <c r="S329" s="53" t="str">
        <f t="shared" si="179"/>
        <v/>
      </c>
      <c r="T329" s="53" t="str">
        <f t="shared" si="180"/>
        <v/>
      </c>
      <c r="U329" s="53" t="str">
        <f t="shared" si="181"/>
        <v/>
      </c>
      <c r="V329" s="53" t="str">
        <f t="shared" si="182"/>
        <v/>
      </c>
      <c r="W329" s="53" t="str">
        <f t="shared" si="185"/>
        <v>DNS/DNF ()</v>
      </c>
      <c r="X329" s="53" t="str">
        <f t="shared" si="186"/>
        <v>DNS/DNF ()</v>
      </c>
      <c r="Y329" s="53" t="str">
        <f t="shared" si="187"/>
        <v>DNS/DNF ()</v>
      </c>
      <c r="Z329" s="53" t="str">
        <f t="shared" si="188"/>
        <v>DNS/DNF ()</v>
      </c>
      <c r="AA329" s="53" t="str">
        <f t="shared" si="189"/>
        <v>DNS/DNF ()</v>
      </c>
      <c r="AB329" s="53" t="str">
        <f t="shared" si="190"/>
        <v>DNS/DNF ()</v>
      </c>
      <c r="AC329" s="53" t="str">
        <f t="shared" si="191"/>
        <v>DNS/DNF ()</v>
      </c>
      <c r="AD329" s="53" t="str">
        <f t="shared" si="192"/>
        <v>DNS/DNF ()</v>
      </c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62" t="str">
        <f t="shared" si="193"/>
        <v>DNS/DNF</v>
      </c>
      <c r="AV329" s="62" t="str">
        <f t="shared" si="194"/>
        <v>DNS/DNF</v>
      </c>
      <c r="AW329" s="62" t="str">
        <f t="shared" si="195"/>
        <v>DNS/DNF</v>
      </c>
      <c r="AX329" s="62" t="str">
        <f t="shared" si="196"/>
        <v>DNS/DNF</v>
      </c>
      <c r="AY329" s="62" t="str">
        <f t="shared" si="197"/>
        <v>DNS/DNF</v>
      </c>
      <c r="AZ329" s="62" t="str">
        <f t="shared" si="198"/>
        <v>DNS/DNF</v>
      </c>
      <c r="BA329" s="62" t="str">
        <f t="shared" si="199"/>
        <v>DNS/DNF</v>
      </c>
      <c r="BB329" s="62" t="str">
        <f t="shared" si="200"/>
        <v>DNS/DNF</v>
      </c>
      <c r="BC329" s="75" t="str">
        <f t="shared" si="201"/>
        <v/>
      </c>
      <c r="BD329" s="53" t="str">
        <f t="shared" si="202"/>
        <v/>
      </c>
      <c r="BE329" s="53" t="str">
        <f t="shared" si="203"/>
        <v/>
      </c>
      <c r="BF329" s="53" t="str">
        <f t="shared" si="204"/>
        <v/>
      </c>
      <c r="BG329" s="53" t="str">
        <f t="shared" si="205"/>
        <v/>
      </c>
      <c r="BH329" s="53" t="str">
        <f t="shared" si="206"/>
        <v/>
      </c>
      <c r="BI329" s="53" t="str">
        <f t="shared" si="207"/>
        <v/>
      </c>
      <c r="BJ329" s="53" t="str">
        <f t="shared" si="208"/>
        <v/>
      </c>
      <c r="BK329" s="53" t="str">
        <f t="shared" si="209"/>
        <v/>
      </c>
    </row>
    <row r="330" spans="2:63">
      <c r="B330" s="89" t="str">
        <f>IFERROR(VLOOKUP($A330,EntryList!$A$3:$N$645,2,FALSE),"")</f>
        <v/>
      </c>
      <c r="D330" s="53">
        <f t="shared" si="183"/>
        <v>0</v>
      </c>
      <c r="N330" s="62">
        <f t="shared" si="184"/>
        <v>0</v>
      </c>
      <c r="O330" s="53" t="str">
        <f t="shared" si="175"/>
        <v/>
      </c>
      <c r="P330" s="53" t="str">
        <f t="shared" si="176"/>
        <v/>
      </c>
      <c r="Q330" s="53" t="str">
        <f t="shared" si="177"/>
        <v/>
      </c>
      <c r="R330" s="53" t="str">
        <f t="shared" si="178"/>
        <v/>
      </c>
      <c r="S330" s="53" t="str">
        <f t="shared" si="179"/>
        <v/>
      </c>
      <c r="T330" s="53" t="str">
        <f t="shared" si="180"/>
        <v/>
      </c>
      <c r="U330" s="53" t="str">
        <f t="shared" si="181"/>
        <v/>
      </c>
      <c r="V330" s="53" t="str">
        <f t="shared" si="182"/>
        <v/>
      </c>
      <c r="W330" s="53" t="str">
        <f t="shared" si="185"/>
        <v>DNS/DNF ()</v>
      </c>
      <c r="X330" s="53" t="str">
        <f t="shared" si="186"/>
        <v>DNS/DNF ()</v>
      </c>
      <c r="Y330" s="53" t="str">
        <f t="shared" si="187"/>
        <v>DNS/DNF ()</v>
      </c>
      <c r="Z330" s="53" t="str">
        <f t="shared" si="188"/>
        <v>DNS/DNF ()</v>
      </c>
      <c r="AA330" s="53" t="str">
        <f t="shared" si="189"/>
        <v>DNS/DNF ()</v>
      </c>
      <c r="AB330" s="53" t="str">
        <f t="shared" si="190"/>
        <v>DNS/DNF ()</v>
      </c>
      <c r="AC330" s="53" t="str">
        <f t="shared" si="191"/>
        <v>DNS/DNF ()</v>
      </c>
      <c r="AD330" s="53" t="str">
        <f t="shared" si="192"/>
        <v>DNS/DNF ()</v>
      </c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62" t="str">
        <f t="shared" si="193"/>
        <v>DNS/DNF</v>
      </c>
      <c r="AV330" s="62" t="str">
        <f t="shared" si="194"/>
        <v>DNS/DNF</v>
      </c>
      <c r="AW330" s="62" t="str">
        <f t="shared" si="195"/>
        <v>DNS/DNF</v>
      </c>
      <c r="AX330" s="62" t="str">
        <f t="shared" si="196"/>
        <v>DNS/DNF</v>
      </c>
      <c r="AY330" s="62" t="str">
        <f t="shared" si="197"/>
        <v>DNS/DNF</v>
      </c>
      <c r="AZ330" s="62" t="str">
        <f t="shared" si="198"/>
        <v>DNS/DNF</v>
      </c>
      <c r="BA330" s="62" t="str">
        <f t="shared" si="199"/>
        <v>DNS/DNF</v>
      </c>
      <c r="BB330" s="62" t="str">
        <f t="shared" si="200"/>
        <v>DNS/DNF</v>
      </c>
      <c r="BC330" s="75" t="str">
        <f t="shared" si="201"/>
        <v/>
      </c>
      <c r="BD330" s="53" t="str">
        <f t="shared" si="202"/>
        <v/>
      </c>
      <c r="BE330" s="53" t="str">
        <f t="shared" si="203"/>
        <v/>
      </c>
      <c r="BF330" s="53" t="str">
        <f t="shared" si="204"/>
        <v/>
      </c>
      <c r="BG330" s="53" t="str">
        <f t="shared" si="205"/>
        <v/>
      </c>
      <c r="BH330" s="53" t="str">
        <f t="shared" si="206"/>
        <v/>
      </c>
      <c r="BI330" s="53" t="str">
        <f t="shared" si="207"/>
        <v/>
      </c>
      <c r="BJ330" s="53" t="str">
        <f t="shared" si="208"/>
        <v/>
      </c>
      <c r="BK330" s="53" t="str">
        <f t="shared" si="209"/>
        <v/>
      </c>
    </row>
    <row r="331" spans="2:63">
      <c r="B331" s="89" t="str">
        <f>IFERROR(VLOOKUP($A331,EntryList!$A$3:$N$645,2,FALSE),"")</f>
        <v/>
      </c>
      <c r="D331" s="53">
        <f t="shared" si="183"/>
        <v>0</v>
      </c>
      <c r="N331" s="62">
        <f t="shared" si="184"/>
        <v>0</v>
      </c>
      <c r="O331" s="53" t="str">
        <f t="shared" si="175"/>
        <v/>
      </c>
      <c r="P331" s="53" t="str">
        <f t="shared" si="176"/>
        <v/>
      </c>
      <c r="Q331" s="53" t="str">
        <f t="shared" si="177"/>
        <v/>
      </c>
      <c r="R331" s="53" t="str">
        <f t="shared" si="178"/>
        <v/>
      </c>
      <c r="S331" s="53" t="str">
        <f t="shared" si="179"/>
        <v/>
      </c>
      <c r="T331" s="53" t="str">
        <f t="shared" si="180"/>
        <v/>
      </c>
      <c r="U331" s="53" t="str">
        <f t="shared" si="181"/>
        <v/>
      </c>
      <c r="V331" s="53" t="str">
        <f t="shared" si="182"/>
        <v/>
      </c>
      <c r="W331" s="53" t="str">
        <f t="shared" si="185"/>
        <v>DNS/DNF ()</v>
      </c>
      <c r="X331" s="53" t="str">
        <f t="shared" si="186"/>
        <v>DNS/DNF ()</v>
      </c>
      <c r="Y331" s="53" t="str">
        <f t="shared" si="187"/>
        <v>DNS/DNF ()</v>
      </c>
      <c r="Z331" s="53" t="str">
        <f t="shared" si="188"/>
        <v>DNS/DNF ()</v>
      </c>
      <c r="AA331" s="53" t="str">
        <f t="shared" si="189"/>
        <v>DNS/DNF ()</v>
      </c>
      <c r="AB331" s="53" t="str">
        <f t="shared" si="190"/>
        <v>DNS/DNF ()</v>
      </c>
      <c r="AC331" s="53" t="str">
        <f t="shared" si="191"/>
        <v>DNS/DNF ()</v>
      </c>
      <c r="AD331" s="53" t="str">
        <f t="shared" si="192"/>
        <v>DNS/DNF ()</v>
      </c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62" t="str">
        <f t="shared" si="193"/>
        <v>DNS/DNF</v>
      </c>
      <c r="AV331" s="62" t="str">
        <f t="shared" si="194"/>
        <v>DNS/DNF</v>
      </c>
      <c r="AW331" s="62" t="str">
        <f t="shared" si="195"/>
        <v>DNS/DNF</v>
      </c>
      <c r="AX331" s="62" t="str">
        <f t="shared" si="196"/>
        <v>DNS/DNF</v>
      </c>
      <c r="AY331" s="62" t="str">
        <f t="shared" si="197"/>
        <v>DNS/DNF</v>
      </c>
      <c r="AZ331" s="62" t="str">
        <f t="shared" si="198"/>
        <v>DNS/DNF</v>
      </c>
      <c r="BA331" s="62" t="str">
        <f t="shared" si="199"/>
        <v>DNS/DNF</v>
      </c>
      <c r="BB331" s="62" t="str">
        <f t="shared" si="200"/>
        <v>DNS/DNF</v>
      </c>
      <c r="BC331" s="75" t="str">
        <f t="shared" si="201"/>
        <v/>
      </c>
      <c r="BD331" s="53" t="str">
        <f t="shared" si="202"/>
        <v/>
      </c>
      <c r="BE331" s="53" t="str">
        <f t="shared" si="203"/>
        <v/>
      </c>
      <c r="BF331" s="53" t="str">
        <f t="shared" si="204"/>
        <v/>
      </c>
      <c r="BG331" s="53" t="str">
        <f t="shared" si="205"/>
        <v/>
      </c>
      <c r="BH331" s="53" t="str">
        <f t="shared" si="206"/>
        <v/>
      </c>
      <c r="BI331" s="53" t="str">
        <f t="shared" si="207"/>
        <v/>
      </c>
      <c r="BJ331" s="53" t="str">
        <f t="shared" si="208"/>
        <v/>
      </c>
      <c r="BK331" s="53" t="str">
        <f t="shared" si="209"/>
        <v/>
      </c>
    </row>
    <row r="332" spans="2:63">
      <c r="B332" s="89" t="str">
        <f>IFERROR(VLOOKUP($A332,EntryList!$A$3:$N$645,2,FALSE),"")</f>
        <v/>
      </c>
      <c r="D332" s="53">
        <f t="shared" si="183"/>
        <v>0</v>
      </c>
      <c r="N332" s="62">
        <f t="shared" si="184"/>
        <v>0</v>
      </c>
      <c r="O332" s="53" t="str">
        <f t="shared" si="175"/>
        <v/>
      </c>
      <c r="P332" s="53" t="str">
        <f t="shared" si="176"/>
        <v/>
      </c>
      <c r="Q332" s="53" t="str">
        <f t="shared" si="177"/>
        <v/>
      </c>
      <c r="R332" s="53" t="str">
        <f t="shared" si="178"/>
        <v/>
      </c>
      <c r="S332" s="53" t="str">
        <f t="shared" si="179"/>
        <v/>
      </c>
      <c r="T332" s="53" t="str">
        <f t="shared" si="180"/>
        <v/>
      </c>
      <c r="U332" s="53" t="str">
        <f t="shared" si="181"/>
        <v/>
      </c>
      <c r="V332" s="53" t="str">
        <f t="shared" si="182"/>
        <v/>
      </c>
      <c r="W332" s="53" t="str">
        <f t="shared" si="185"/>
        <v>DNS/DNF ()</v>
      </c>
      <c r="X332" s="53" t="str">
        <f t="shared" si="186"/>
        <v>DNS/DNF ()</v>
      </c>
      <c r="Y332" s="53" t="str">
        <f t="shared" si="187"/>
        <v>DNS/DNF ()</v>
      </c>
      <c r="Z332" s="53" t="str">
        <f t="shared" si="188"/>
        <v>DNS/DNF ()</v>
      </c>
      <c r="AA332" s="53" t="str">
        <f t="shared" si="189"/>
        <v>DNS/DNF ()</v>
      </c>
      <c r="AB332" s="53" t="str">
        <f t="shared" si="190"/>
        <v>DNS/DNF ()</v>
      </c>
      <c r="AC332" s="53" t="str">
        <f t="shared" si="191"/>
        <v>DNS/DNF ()</v>
      </c>
      <c r="AD332" s="53" t="str">
        <f t="shared" si="192"/>
        <v>DNS/DNF ()</v>
      </c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62" t="str">
        <f t="shared" si="193"/>
        <v>DNS/DNF</v>
      </c>
      <c r="AV332" s="62" t="str">
        <f t="shared" si="194"/>
        <v>DNS/DNF</v>
      </c>
      <c r="AW332" s="62" t="str">
        <f t="shared" si="195"/>
        <v>DNS/DNF</v>
      </c>
      <c r="AX332" s="62" t="str">
        <f t="shared" si="196"/>
        <v>DNS/DNF</v>
      </c>
      <c r="AY332" s="62" t="str">
        <f t="shared" si="197"/>
        <v>DNS/DNF</v>
      </c>
      <c r="AZ332" s="62" t="str">
        <f t="shared" si="198"/>
        <v>DNS/DNF</v>
      </c>
      <c r="BA332" s="62" t="str">
        <f t="shared" si="199"/>
        <v>DNS/DNF</v>
      </c>
      <c r="BB332" s="62" t="str">
        <f t="shared" si="200"/>
        <v>DNS/DNF</v>
      </c>
      <c r="BC332" s="75" t="str">
        <f t="shared" si="201"/>
        <v/>
      </c>
      <c r="BD332" s="53" t="str">
        <f t="shared" si="202"/>
        <v/>
      </c>
      <c r="BE332" s="53" t="str">
        <f t="shared" si="203"/>
        <v/>
      </c>
      <c r="BF332" s="53" t="str">
        <f t="shared" si="204"/>
        <v/>
      </c>
      <c r="BG332" s="53" t="str">
        <f t="shared" si="205"/>
        <v/>
      </c>
      <c r="BH332" s="53" t="str">
        <f t="shared" si="206"/>
        <v/>
      </c>
      <c r="BI332" s="53" t="str">
        <f t="shared" si="207"/>
        <v/>
      </c>
      <c r="BJ332" s="53" t="str">
        <f t="shared" si="208"/>
        <v/>
      </c>
      <c r="BK332" s="53" t="str">
        <f t="shared" si="209"/>
        <v/>
      </c>
    </row>
    <row r="333" spans="2:63">
      <c r="B333" s="89" t="str">
        <f>IFERROR(VLOOKUP($A333,EntryList!$A$3:$N$645,2,FALSE),"")</f>
        <v/>
      </c>
      <c r="D333" s="53">
        <f t="shared" si="183"/>
        <v>0</v>
      </c>
      <c r="N333" s="62">
        <f t="shared" si="184"/>
        <v>0</v>
      </c>
      <c r="O333" s="53" t="str">
        <f t="shared" si="175"/>
        <v/>
      </c>
      <c r="P333" s="53" t="str">
        <f t="shared" si="176"/>
        <v/>
      </c>
      <c r="Q333" s="53" t="str">
        <f t="shared" si="177"/>
        <v/>
      </c>
      <c r="R333" s="53" t="str">
        <f t="shared" si="178"/>
        <v/>
      </c>
      <c r="S333" s="53" t="str">
        <f t="shared" si="179"/>
        <v/>
      </c>
      <c r="T333" s="53" t="str">
        <f t="shared" si="180"/>
        <v/>
      </c>
      <c r="U333" s="53" t="str">
        <f t="shared" si="181"/>
        <v/>
      </c>
      <c r="V333" s="53" t="str">
        <f t="shared" si="182"/>
        <v/>
      </c>
      <c r="W333" s="53" t="str">
        <f t="shared" si="185"/>
        <v>DNS/DNF ()</v>
      </c>
      <c r="X333" s="53" t="str">
        <f t="shared" si="186"/>
        <v>DNS/DNF ()</v>
      </c>
      <c r="Y333" s="53" t="str">
        <f t="shared" si="187"/>
        <v>DNS/DNF ()</v>
      </c>
      <c r="Z333" s="53" t="str">
        <f t="shared" si="188"/>
        <v>DNS/DNF ()</v>
      </c>
      <c r="AA333" s="53" t="str">
        <f t="shared" si="189"/>
        <v>DNS/DNF ()</v>
      </c>
      <c r="AB333" s="53" t="str">
        <f t="shared" si="190"/>
        <v>DNS/DNF ()</v>
      </c>
      <c r="AC333" s="53" t="str">
        <f t="shared" si="191"/>
        <v>DNS/DNF ()</v>
      </c>
      <c r="AD333" s="53" t="str">
        <f t="shared" si="192"/>
        <v>DNS/DNF ()</v>
      </c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62" t="str">
        <f t="shared" si="193"/>
        <v>DNS/DNF</v>
      </c>
      <c r="AV333" s="62" t="str">
        <f t="shared" si="194"/>
        <v>DNS/DNF</v>
      </c>
      <c r="AW333" s="62" t="str">
        <f t="shared" si="195"/>
        <v>DNS/DNF</v>
      </c>
      <c r="AX333" s="62" t="str">
        <f t="shared" si="196"/>
        <v>DNS/DNF</v>
      </c>
      <c r="AY333" s="62" t="str">
        <f t="shared" si="197"/>
        <v>DNS/DNF</v>
      </c>
      <c r="AZ333" s="62" t="str">
        <f t="shared" si="198"/>
        <v>DNS/DNF</v>
      </c>
      <c r="BA333" s="62" t="str">
        <f t="shared" si="199"/>
        <v>DNS/DNF</v>
      </c>
      <c r="BB333" s="62" t="str">
        <f t="shared" si="200"/>
        <v>DNS/DNF</v>
      </c>
      <c r="BC333" s="75" t="str">
        <f t="shared" si="201"/>
        <v/>
      </c>
      <c r="BD333" s="53" t="str">
        <f t="shared" si="202"/>
        <v/>
      </c>
      <c r="BE333" s="53" t="str">
        <f t="shared" si="203"/>
        <v/>
      </c>
      <c r="BF333" s="53" t="str">
        <f t="shared" si="204"/>
        <v/>
      </c>
      <c r="BG333" s="53" t="str">
        <f t="shared" si="205"/>
        <v/>
      </c>
      <c r="BH333" s="53" t="str">
        <f t="shared" si="206"/>
        <v/>
      </c>
      <c r="BI333" s="53" t="str">
        <f t="shared" si="207"/>
        <v/>
      </c>
      <c r="BJ333" s="53" t="str">
        <f t="shared" si="208"/>
        <v/>
      </c>
      <c r="BK333" s="53" t="str">
        <f t="shared" si="209"/>
        <v/>
      </c>
    </row>
    <row r="334" spans="2:63">
      <c r="B334" s="89" t="str">
        <f>IFERROR(VLOOKUP($A334,EntryList!$A$3:$N$645,2,FALSE),"")</f>
        <v/>
      </c>
      <c r="D334" s="53">
        <f t="shared" si="183"/>
        <v>0</v>
      </c>
      <c r="N334" s="62">
        <f t="shared" si="184"/>
        <v>0</v>
      </c>
      <c r="O334" s="53" t="str">
        <f t="shared" si="175"/>
        <v/>
      </c>
      <c r="P334" s="53" t="str">
        <f t="shared" si="176"/>
        <v/>
      </c>
      <c r="Q334" s="53" t="str">
        <f t="shared" si="177"/>
        <v/>
      </c>
      <c r="R334" s="53" t="str">
        <f t="shared" si="178"/>
        <v/>
      </c>
      <c r="S334" s="53" t="str">
        <f t="shared" si="179"/>
        <v/>
      </c>
      <c r="T334" s="53" t="str">
        <f t="shared" si="180"/>
        <v/>
      </c>
      <c r="U334" s="53" t="str">
        <f t="shared" si="181"/>
        <v/>
      </c>
      <c r="V334" s="53" t="str">
        <f t="shared" si="182"/>
        <v/>
      </c>
      <c r="W334" s="53" t="str">
        <f t="shared" si="185"/>
        <v>DNS/DNF ()</v>
      </c>
      <c r="X334" s="53" t="str">
        <f t="shared" si="186"/>
        <v>DNS/DNF ()</v>
      </c>
      <c r="Y334" s="53" t="str">
        <f t="shared" si="187"/>
        <v>DNS/DNF ()</v>
      </c>
      <c r="Z334" s="53" t="str">
        <f t="shared" si="188"/>
        <v>DNS/DNF ()</v>
      </c>
      <c r="AA334" s="53" t="str">
        <f t="shared" si="189"/>
        <v>DNS/DNF ()</v>
      </c>
      <c r="AB334" s="53" t="str">
        <f t="shared" si="190"/>
        <v>DNS/DNF ()</v>
      </c>
      <c r="AC334" s="53" t="str">
        <f t="shared" si="191"/>
        <v>DNS/DNF ()</v>
      </c>
      <c r="AD334" s="53" t="str">
        <f t="shared" si="192"/>
        <v>DNS/DNF ()</v>
      </c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62" t="str">
        <f t="shared" si="193"/>
        <v>DNS/DNF</v>
      </c>
      <c r="AV334" s="62" t="str">
        <f t="shared" si="194"/>
        <v>DNS/DNF</v>
      </c>
      <c r="AW334" s="62" t="str">
        <f t="shared" si="195"/>
        <v>DNS/DNF</v>
      </c>
      <c r="AX334" s="62" t="str">
        <f t="shared" si="196"/>
        <v>DNS/DNF</v>
      </c>
      <c r="AY334" s="62" t="str">
        <f t="shared" si="197"/>
        <v>DNS/DNF</v>
      </c>
      <c r="AZ334" s="62" t="str">
        <f t="shared" si="198"/>
        <v>DNS/DNF</v>
      </c>
      <c r="BA334" s="62" t="str">
        <f t="shared" si="199"/>
        <v>DNS/DNF</v>
      </c>
      <c r="BB334" s="62" t="str">
        <f t="shared" si="200"/>
        <v>DNS/DNF</v>
      </c>
      <c r="BC334" s="75" t="str">
        <f t="shared" si="201"/>
        <v/>
      </c>
      <c r="BD334" s="53" t="str">
        <f t="shared" si="202"/>
        <v/>
      </c>
      <c r="BE334" s="53" t="str">
        <f t="shared" si="203"/>
        <v/>
      </c>
      <c r="BF334" s="53" t="str">
        <f t="shared" si="204"/>
        <v/>
      </c>
      <c r="BG334" s="53" t="str">
        <f t="shared" si="205"/>
        <v/>
      </c>
      <c r="BH334" s="53" t="str">
        <f t="shared" si="206"/>
        <v/>
      </c>
      <c r="BI334" s="53" t="str">
        <f t="shared" si="207"/>
        <v/>
      </c>
      <c r="BJ334" s="53" t="str">
        <f t="shared" si="208"/>
        <v/>
      </c>
      <c r="BK334" s="53" t="str">
        <f t="shared" si="209"/>
        <v/>
      </c>
    </row>
    <row r="335" spans="2:63">
      <c r="B335" s="89" t="str">
        <f>IFERROR(VLOOKUP($A335,EntryList!$A$3:$N$645,2,FALSE),"")</f>
        <v/>
      </c>
      <c r="D335" s="53">
        <f t="shared" si="183"/>
        <v>0</v>
      </c>
      <c r="N335" s="62">
        <f t="shared" si="184"/>
        <v>0</v>
      </c>
      <c r="O335" s="53" t="str">
        <f t="shared" si="175"/>
        <v/>
      </c>
      <c r="P335" s="53" t="str">
        <f t="shared" si="176"/>
        <v/>
      </c>
      <c r="Q335" s="53" t="str">
        <f t="shared" si="177"/>
        <v/>
      </c>
      <c r="R335" s="53" t="str">
        <f t="shared" si="178"/>
        <v/>
      </c>
      <c r="S335" s="53" t="str">
        <f t="shared" si="179"/>
        <v/>
      </c>
      <c r="T335" s="53" t="str">
        <f t="shared" si="180"/>
        <v/>
      </c>
      <c r="U335" s="53" t="str">
        <f t="shared" si="181"/>
        <v/>
      </c>
      <c r="V335" s="53" t="str">
        <f t="shared" si="182"/>
        <v/>
      </c>
      <c r="W335" s="53" t="str">
        <f t="shared" si="185"/>
        <v>DNS/DNF ()</v>
      </c>
      <c r="X335" s="53" t="str">
        <f t="shared" si="186"/>
        <v>DNS/DNF ()</v>
      </c>
      <c r="Y335" s="53" t="str">
        <f t="shared" si="187"/>
        <v>DNS/DNF ()</v>
      </c>
      <c r="Z335" s="53" t="str">
        <f t="shared" si="188"/>
        <v>DNS/DNF ()</v>
      </c>
      <c r="AA335" s="53" t="str">
        <f t="shared" si="189"/>
        <v>DNS/DNF ()</v>
      </c>
      <c r="AB335" s="53" t="str">
        <f t="shared" si="190"/>
        <v>DNS/DNF ()</v>
      </c>
      <c r="AC335" s="53" t="str">
        <f t="shared" si="191"/>
        <v>DNS/DNF ()</v>
      </c>
      <c r="AD335" s="53" t="str">
        <f t="shared" si="192"/>
        <v>DNS/DNF ()</v>
      </c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62" t="str">
        <f t="shared" si="193"/>
        <v>DNS/DNF</v>
      </c>
      <c r="AV335" s="62" t="str">
        <f t="shared" si="194"/>
        <v>DNS/DNF</v>
      </c>
      <c r="AW335" s="62" t="str">
        <f t="shared" si="195"/>
        <v>DNS/DNF</v>
      </c>
      <c r="AX335" s="62" t="str">
        <f t="shared" si="196"/>
        <v>DNS/DNF</v>
      </c>
      <c r="AY335" s="62" t="str">
        <f t="shared" si="197"/>
        <v>DNS/DNF</v>
      </c>
      <c r="AZ335" s="62" t="str">
        <f t="shared" si="198"/>
        <v>DNS/DNF</v>
      </c>
      <c r="BA335" s="62" t="str">
        <f t="shared" si="199"/>
        <v>DNS/DNF</v>
      </c>
      <c r="BB335" s="62" t="str">
        <f t="shared" si="200"/>
        <v>DNS/DNF</v>
      </c>
      <c r="BC335" s="75" t="str">
        <f t="shared" si="201"/>
        <v/>
      </c>
      <c r="BD335" s="53" t="str">
        <f t="shared" si="202"/>
        <v/>
      </c>
      <c r="BE335" s="53" t="str">
        <f t="shared" si="203"/>
        <v/>
      </c>
      <c r="BF335" s="53" t="str">
        <f t="shared" si="204"/>
        <v/>
      </c>
      <c r="BG335" s="53" t="str">
        <f t="shared" si="205"/>
        <v/>
      </c>
      <c r="BH335" s="53" t="str">
        <f t="shared" si="206"/>
        <v/>
      </c>
      <c r="BI335" s="53" t="str">
        <f t="shared" si="207"/>
        <v/>
      </c>
      <c r="BJ335" s="53" t="str">
        <f t="shared" si="208"/>
        <v/>
      </c>
      <c r="BK335" s="53" t="str">
        <f t="shared" si="209"/>
        <v/>
      </c>
    </row>
    <row r="336" spans="2:63">
      <c r="B336" s="89" t="str">
        <f>IFERROR(VLOOKUP($A336,EntryList!$A$3:$N$645,2,FALSE),"")</f>
        <v/>
      </c>
      <c r="D336" s="53">
        <f t="shared" si="183"/>
        <v>0</v>
      </c>
      <c r="N336" s="62">
        <f t="shared" si="184"/>
        <v>0</v>
      </c>
      <c r="O336" s="53" t="str">
        <f t="shared" si="175"/>
        <v/>
      </c>
      <c r="P336" s="53" t="str">
        <f t="shared" si="176"/>
        <v/>
      </c>
      <c r="Q336" s="53" t="str">
        <f t="shared" si="177"/>
        <v/>
      </c>
      <c r="R336" s="53" t="str">
        <f t="shared" si="178"/>
        <v/>
      </c>
      <c r="S336" s="53" t="str">
        <f t="shared" si="179"/>
        <v/>
      </c>
      <c r="T336" s="53" t="str">
        <f t="shared" si="180"/>
        <v/>
      </c>
      <c r="U336" s="53" t="str">
        <f t="shared" si="181"/>
        <v/>
      </c>
      <c r="V336" s="53" t="str">
        <f t="shared" si="182"/>
        <v/>
      </c>
      <c r="W336" s="53" t="str">
        <f t="shared" si="185"/>
        <v>DNS/DNF ()</v>
      </c>
      <c r="X336" s="53" t="str">
        <f t="shared" si="186"/>
        <v>DNS/DNF ()</v>
      </c>
      <c r="Y336" s="53" t="str">
        <f t="shared" si="187"/>
        <v>DNS/DNF ()</v>
      </c>
      <c r="Z336" s="53" t="str">
        <f t="shared" si="188"/>
        <v>DNS/DNF ()</v>
      </c>
      <c r="AA336" s="53" t="str">
        <f t="shared" si="189"/>
        <v>DNS/DNF ()</v>
      </c>
      <c r="AB336" s="53" t="str">
        <f t="shared" si="190"/>
        <v>DNS/DNF ()</v>
      </c>
      <c r="AC336" s="53" t="str">
        <f t="shared" si="191"/>
        <v>DNS/DNF ()</v>
      </c>
      <c r="AD336" s="53" t="str">
        <f t="shared" si="192"/>
        <v>DNS/DNF ()</v>
      </c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62" t="str">
        <f t="shared" si="193"/>
        <v>DNS/DNF</v>
      </c>
      <c r="AV336" s="62" t="str">
        <f t="shared" si="194"/>
        <v>DNS/DNF</v>
      </c>
      <c r="AW336" s="62" t="str">
        <f t="shared" si="195"/>
        <v>DNS/DNF</v>
      </c>
      <c r="AX336" s="62" t="str">
        <f t="shared" si="196"/>
        <v>DNS/DNF</v>
      </c>
      <c r="AY336" s="62" t="str">
        <f t="shared" si="197"/>
        <v>DNS/DNF</v>
      </c>
      <c r="AZ336" s="62" t="str">
        <f t="shared" si="198"/>
        <v>DNS/DNF</v>
      </c>
      <c r="BA336" s="62" t="str">
        <f t="shared" si="199"/>
        <v>DNS/DNF</v>
      </c>
      <c r="BB336" s="62" t="str">
        <f t="shared" si="200"/>
        <v>DNS/DNF</v>
      </c>
      <c r="BC336" s="75" t="str">
        <f t="shared" si="201"/>
        <v/>
      </c>
      <c r="BD336" s="53" t="str">
        <f t="shared" si="202"/>
        <v/>
      </c>
      <c r="BE336" s="53" t="str">
        <f t="shared" si="203"/>
        <v/>
      </c>
      <c r="BF336" s="53" t="str">
        <f t="shared" si="204"/>
        <v/>
      </c>
      <c r="BG336" s="53" t="str">
        <f t="shared" si="205"/>
        <v/>
      </c>
      <c r="BH336" s="53" t="str">
        <f t="shared" si="206"/>
        <v/>
      </c>
      <c r="BI336" s="53" t="str">
        <f t="shared" si="207"/>
        <v/>
      </c>
      <c r="BJ336" s="53" t="str">
        <f t="shared" si="208"/>
        <v/>
      </c>
      <c r="BK336" s="53" t="str">
        <f t="shared" si="209"/>
        <v/>
      </c>
    </row>
    <row r="337" spans="2:63">
      <c r="B337" s="89" t="str">
        <f>IFERROR(VLOOKUP($A337,EntryList!$A$3:$N$645,2,FALSE),"")</f>
        <v/>
      </c>
      <c r="D337" s="53">
        <f t="shared" si="183"/>
        <v>0</v>
      </c>
      <c r="N337" s="62">
        <f t="shared" si="184"/>
        <v>0</v>
      </c>
      <c r="O337" s="53" t="str">
        <f t="shared" si="175"/>
        <v/>
      </c>
      <c r="P337" s="53" t="str">
        <f t="shared" si="176"/>
        <v/>
      </c>
      <c r="Q337" s="53" t="str">
        <f t="shared" si="177"/>
        <v/>
      </c>
      <c r="R337" s="53" t="str">
        <f t="shared" si="178"/>
        <v/>
      </c>
      <c r="S337" s="53" t="str">
        <f t="shared" si="179"/>
        <v/>
      </c>
      <c r="T337" s="53" t="str">
        <f t="shared" si="180"/>
        <v/>
      </c>
      <c r="U337" s="53" t="str">
        <f t="shared" si="181"/>
        <v/>
      </c>
      <c r="V337" s="53" t="str">
        <f t="shared" si="182"/>
        <v/>
      </c>
      <c r="W337" s="53" t="str">
        <f t="shared" si="185"/>
        <v>DNS/DNF ()</v>
      </c>
      <c r="X337" s="53" t="str">
        <f t="shared" si="186"/>
        <v>DNS/DNF ()</v>
      </c>
      <c r="Y337" s="53" t="str">
        <f t="shared" si="187"/>
        <v>DNS/DNF ()</v>
      </c>
      <c r="Z337" s="53" t="str">
        <f t="shared" si="188"/>
        <v>DNS/DNF ()</v>
      </c>
      <c r="AA337" s="53" t="str">
        <f t="shared" si="189"/>
        <v>DNS/DNF ()</v>
      </c>
      <c r="AB337" s="53" t="str">
        <f t="shared" si="190"/>
        <v>DNS/DNF ()</v>
      </c>
      <c r="AC337" s="53" t="str">
        <f t="shared" si="191"/>
        <v>DNS/DNF ()</v>
      </c>
      <c r="AD337" s="53" t="str">
        <f t="shared" si="192"/>
        <v>DNS/DNF ()</v>
      </c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62" t="str">
        <f t="shared" si="193"/>
        <v>DNS/DNF</v>
      </c>
      <c r="AV337" s="62" t="str">
        <f t="shared" si="194"/>
        <v>DNS/DNF</v>
      </c>
      <c r="AW337" s="62" t="str">
        <f t="shared" si="195"/>
        <v>DNS/DNF</v>
      </c>
      <c r="AX337" s="62" t="str">
        <f t="shared" si="196"/>
        <v>DNS/DNF</v>
      </c>
      <c r="AY337" s="62" t="str">
        <f t="shared" si="197"/>
        <v>DNS/DNF</v>
      </c>
      <c r="AZ337" s="62" t="str">
        <f t="shared" si="198"/>
        <v>DNS/DNF</v>
      </c>
      <c r="BA337" s="62" t="str">
        <f t="shared" si="199"/>
        <v>DNS/DNF</v>
      </c>
      <c r="BB337" s="62" t="str">
        <f t="shared" si="200"/>
        <v>DNS/DNF</v>
      </c>
      <c r="BC337" s="75" t="str">
        <f t="shared" si="201"/>
        <v/>
      </c>
      <c r="BD337" s="53" t="str">
        <f t="shared" si="202"/>
        <v/>
      </c>
      <c r="BE337" s="53" t="str">
        <f t="shared" si="203"/>
        <v/>
      </c>
      <c r="BF337" s="53" t="str">
        <f t="shared" si="204"/>
        <v/>
      </c>
      <c r="BG337" s="53" t="str">
        <f t="shared" si="205"/>
        <v/>
      </c>
      <c r="BH337" s="53" t="str">
        <f t="shared" si="206"/>
        <v/>
      </c>
      <c r="BI337" s="53" t="str">
        <f t="shared" si="207"/>
        <v/>
      </c>
      <c r="BJ337" s="53" t="str">
        <f t="shared" si="208"/>
        <v/>
      </c>
      <c r="BK337" s="53" t="str">
        <f t="shared" si="209"/>
        <v/>
      </c>
    </row>
    <row r="338" spans="2:63">
      <c r="B338" s="89" t="str">
        <f>IFERROR(VLOOKUP($A338,EntryList!$A$3:$N$645,2,FALSE),"")</f>
        <v/>
      </c>
      <c r="D338" s="53">
        <f t="shared" si="183"/>
        <v>0</v>
      </c>
      <c r="N338" s="62">
        <f t="shared" si="184"/>
        <v>0</v>
      </c>
      <c r="O338" s="53" t="str">
        <f t="shared" ref="O338:O401" si="210">IFERROR(RANK($AU338,AU$3:AU$500,1),"")</f>
        <v/>
      </c>
      <c r="P338" s="53" t="str">
        <f t="shared" ref="P338:P401" si="211">IFERROR(RANK($AV338,AV$3:AV$500,1),"")</f>
        <v/>
      </c>
      <c r="Q338" s="53" t="str">
        <f t="shared" ref="Q338:Q401" si="212">IFERROR(RANK($AW338,AW$3:AW$500,1),"")</f>
        <v/>
      </c>
      <c r="R338" s="53" t="str">
        <f t="shared" ref="R338:R401" si="213">IFERROR(RANK($AX338,AX$3:AX$500,1),"")</f>
        <v/>
      </c>
      <c r="S338" s="53" t="str">
        <f t="shared" ref="S338:S401" si="214">IFERROR(RANK($AY338,AY$3:AY$500,1),"")</f>
        <v/>
      </c>
      <c r="T338" s="53" t="str">
        <f t="shared" ref="T338:T401" si="215">IFERROR(RANK($AZ338,AZ$3:AZ$500,1),"")</f>
        <v/>
      </c>
      <c r="U338" s="53" t="str">
        <f t="shared" ref="U338:U401" si="216">IFERROR(RANK($BA338,BA$3:BA$500,1),"")</f>
        <v/>
      </c>
      <c r="V338" s="53" t="str">
        <f t="shared" ref="V338:V401" si="217">IFERROR(RANK($BB338,BB$3:BB$500,1),"")</f>
        <v/>
      </c>
      <c r="W338" s="53" t="str">
        <f t="shared" si="185"/>
        <v>DNS/DNF ()</v>
      </c>
      <c r="X338" s="53" t="str">
        <f t="shared" si="186"/>
        <v>DNS/DNF ()</v>
      </c>
      <c r="Y338" s="53" t="str">
        <f t="shared" si="187"/>
        <v>DNS/DNF ()</v>
      </c>
      <c r="Z338" s="53" t="str">
        <f t="shared" si="188"/>
        <v>DNS/DNF ()</v>
      </c>
      <c r="AA338" s="53" t="str">
        <f t="shared" si="189"/>
        <v>DNS/DNF ()</v>
      </c>
      <c r="AB338" s="53" t="str">
        <f t="shared" si="190"/>
        <v>DNS/DNF ()</v>
      </c>
      <c r="AC338" s="53" t="str">
        <f t="shared" si="191"/>
        <v>DNS/DNF ()</v>
      </c>
      <c r="AD338" s="53" t="str">
        <f t="shared" si="192"/>
        <v>DNS/DNF ()</v>
      </c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62" t="str">
        <f t="shared" si="193"/>
        <v>DNS/DNF</v>
      </c>
      <c r="AV338" s="62" t="str">
        <f t="shared" si="194"/>
        <v>DNS/DNF</v>
      </c>
      <c r="AW338" s="62" t="str">
        <f t="shared" si="195"/>
        <v>DNS/DNF</v>
      </c>
      <c r="AX338" s="62" t="str">
        <f t="shared" si="196"/>
        <v>DNS/DNF</v>
      </c>
      <c r="AY338" s="62" t="str">
        <f t="shared" si="197"/>
        <v>DNS/DNF</v>
      </c>
      <c r="AZ338" s="62" t="str">
        <f t="shared" si="198"/>
        <v>DNS/DNF</v>
      </c>
      <c r="BA338" s="62" t="str">
        <f t="shared" si="199"/>
        <v>DNS/DNF</v>
      </c>
      <c r="BB338" s="62" t="str">
        <f t="shared" si="200"/>
        <v>DNS/DNF</v>
      </c>
      <c r="BC338" s="75" t="str">
        <f t="shared" si="201"/>
        <v/>
      </c>
      <c r="BD338" s="53" t="str">
        <f t="shared" si="202"/>
        <v/>
      </c>
      <c r="BE338" s="53" t="str">
        <f t="shared" si="203"/>
        <v/>
      </c>
      <c r="BF338" s="53" t="str">
        <f t="shared" si="204"/>
        <v/>
      </c>
      <c r="BG338" s="53" t="str">
        <f t="shared" si="205"/>
        <v/>
      </c>
      <c r="BH338" s="53" t="str">
        <f t="shared" si="206"/>
        <v/>
      </c>
      <c r="BI338" s="53" t="str">
        <f t="shared" si="207"/>
        <v/>
      </c>
      <c r="BJ338" s="53" t="str">
        <f t="shared" si="208"/>
        <v/>
      </c>
      <c r="BK338" s="53" t="str">
        <f t="shared" si="209"/>
        <v/>
      </c>
    </row>
    <row r="339" spans="2:63">
      <c r="B339" s="89" t="str">
        <f>IFERROR(VLOOKUP($A339,EntryList!$A$3:$N$645,2,FALSE),"")</f>
        <v/>
      </c>
      <c r="D339" s="53">
        <f t="shared" si="183"/>
        <v>0</v>
      </c>
      <c r="N339" s="62">
        <f t="shared" si="184"/>
        <v>0</v>
      </c>
      <c r="O339" s="53" t="str">
        <f t="shared" si="210"/>
        <v/>
      </c>
      <c r="P339" s="53" t="str">
        <f t="shared" si="211"/>
        <v/>
      </c>
      <c r="Q339" s="53" t="str">
        <f t="shared" si="212"/>
        <v/>
      </c>
      <c r="R339" s="53" t="str">
        <f t="shared" si="213"/>
        <v/>
      </c>
      <c r="S339" s="53" t="str">
        <f t="shared" si="214"/>
        <v/>
      </c>
      <c r="T339" s="53" t="str">
        <f t="shared" si="215"/>
        <v/>
      </c>
      <c r="U339" s="53" t="str">
        <f t="shared" si="216"/>
        <v/>
      </c>
      <c r="V339" s="53" t="str">
        <f t="shared" si="217"/>
        <v/>
      </c>
      <c r="W339" s="53" t="str">
        <f t="shared" si="185"/>
        <v>DNS/DNF ()</v>
      </c>
      <c r="X339" s="53" t="str">
        <f t="shared" si="186"/>
        <v>DNS/DNF ()</v>
      </c>
      <c r="Y339" s="53" t="str">
        <f t="shared" si="187"/>
        <v>DNS/DNF ()</v>
      </c>
      <c r="Z339" s="53" t="str">
        <f t="shared" si="188"/>
        <v>DNS/DNF ()</v>
      </c>
      <c r="AA339" s="53" t="str">
        <f t="shared" si="189"/>
        <v>DNS/DNF ()</v>
      </c>
      <c r="AB339" s="53" t="str">
        <f t="shared" si="190"/>
        <v>DNS/DNF ()</v>
      </c>
      <c r="AC339" s="53" t="str">
        <f t="shared" si="191"/>
        <v>DNS/DNF ()</v>
      </c>
      <c r="AD339" s="53" t="str">
        <f t="shared" si="192"/>
        <v>DNS/DNF ()</v>
      </c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62" t="str">
        <f t="shared" si="193"/>
        <v>DNS/DNF</v>
      </c>
      <c r="AV339" s="62" t="str">
        <f t="shared" si="194"/>
        <v>DNS/DNF</v>
      </c>
      <c r="AW339" s="62" t="str">
        <f t="shared" si="195"/>
        <v>DNS/DNF</v>
      </c>
      <c r="AX339" s="62" t="str">
        <f t="shared" si="196"/>
        <v>DNS/DNF</v>
      </c>
      <c r="AY339" s="62" t="str">
        <f t="shared" si="197"/>
        <v>DNS/DNF</v>
      </c>
      <c r="AZ339" s="62" t="str">
        <f t="shared" si="198"/>
        <v>DNS/DNF</v>
      </c>
      <c r="BA339" s="62" t="str">
        <f t="shared" si="199"/>
        <v>DNS/DNF</v>
      </c>
      <c r="BB339" s="62" t="str">
        <f t="shared" si="200"/>
        <v>DNS/DNF</v>
      </c>
      <c r="BC339" s="75" t="str">
        <f t="shared" si="201"/>
        <v/>
      </c>
      <c r="BD339" s="53" t="str">
        <f t="shared" si="202"/>
        <v/>
      </c>
      <c r="BE339" s="53" t="str">
        <f t="shared" si="203"/>
        <v/>
      </c>
      <c r="BF339" s="53" t="str">
        <f t="shared" si="204"/>
        <v/>
      </c>
      <c r="BG339" s="53" t="str">
        <f t="shared" si="205"/>
        <v/>
      </c>
      <c r="BH339" s="53" t="str">
        <f t="shared" si="206"/>
        <v/>
      </c>
      <c r="BI339" s="53" t="str">
        <f t="shared" si="207"/>
        <v/>
      </c>
      <c r="BJ339" s="53" t="str">
        <f t="shared" si="208"/>
        <v/>
      </c>
      <c r="BK339" s="53" t="str">
        <f t="shared" si="209"/>
        <v/>
      </c>
    </row>
    <row r="340" spans="2:63">
      <c r="B340" s="89" t="str">
        <f>IFERROR(VLOOKUP($A340,EntryList!$A$3:$N$645,2,FALSE),"")</f>
        <v/>
      </c>
      <c r="D340" s="53">
        <f t="shared" si="183"/>
        <v>0</v>
      </c>
      <c r="N340" s="62">
        <f t="shared" si="184"/>
        <v>0</v>
      </c>
      <c r="O340" s="53" t="str">
        <f t="shared" si="210"/>
        <v/>
      </c>
      <c r="P340" s="53" t="str">
        <f t="shared" si="211"/>
        <v/>
      </c>
      <c r="Q340" s="53" t="str">
        <f t="shared" si="212"/>
        <v/>
      </c>
      <c r="R340" s="53" t="str">
        <f t="shared" si="213"/>
        <v/>
      </c>
      <c r="S340" s="53" t="str">
        <f t="shared" si="214"/>
        <v/>
      </c>
      <c r="T340" s="53" t="str">
        <f t="shared" si="215"/>
        <v/>
      </c>
      <c r="U340" s="53" t="str">
        <f t="shared" si="216"/>
        <v/>
      </c>
      <c r="V340" s="53" t="str">
        <f t="shared" si="217"/>
        <v/>
      </c>
      <c r="W340" s="53" t="str">
        <f t="shared" si="185"/>
        <v>DNS/DNF ()</v>
      </c>
      <c r="X340" s="53" t="str">
        <f t="shared" si="186"/>
        <v>DNS/DNF ()</v>
      </c>
      <c r="Y340" s="53" t="str">
        <f t="shared" si="187"/>
        <v>DNS/DNF ()</v>
      </c>
      <c r="Z340" s="53" t="str">
        <f t="shared" si="188"/>
        <v>DNS/DNF ()</v>
      </c>
      <c r="AA340" s="53" t="str">
        <f t="shared" si="189"/>
        <v>DNS/DNF ()</v>
      </c>
      <c r="AB340" s="53" t="str">
        <f t="shared" si="190"/>
        <v>DNS/DNF ()</v>
      </c>
      <c r="AC340" s="53" t="str">
        <f t="shared" si="191"/>
        <v>DNS/DNF ()</v>
      </c>
      <c r="AD340" s="53" t="str">
        <f t="shared" si="192"/>
        <v>DNS/DNF ()</v>
      </c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62" t="str">
        <f t="shared" si="193"/>
        <v>DNS/DNF</v>
      </c>
      <c r="AV340" s="62" t="str">
        <f t="shared" si="194"/>
        <v>DNS/DNF</v>
      </c>
      <c r="AW340" s="62" t="str">
        <f t="shared" si="195"/>
        <v>DNS/DNF</v>
      </c>
      <c r="AX340" s="62" t="str">
        <f t="shared" si="196"/>
        <v>DNS/DNF</v>
      </c>
      <c r="AY340" s="62" t="str">
        <f t="shared" si="197"/>
        <v>DNS/DNF</v>
      </c>
      <c r="AZ340" s="62" t="str">
        <f t="shared" si="198"/>
        <v>DNS/DNF</v>
      </c>
      <c r="BA340" s="62" t="str">
        <f t="shared" si="199"/>
        <v>DNS/DNF</v>
      </c>
      <c r="BB340" s="62" t="str">
        <f t="shared" si="200"/>
        <v>DNS/DNF</v>
      </c>
      <c r="BC340" s="75" t="str">
        <f t="shared" si="201"/>
        <v/>
      </c>
      <c r="BD340" s="53" t="str">
        <f t="shared" si="202"/>
        <v/>
      </c>
      <c r="BE340" s="53" t="str">
        <f t="shared" si="203"/>
        <v/>
      </c>
      <c r="BF340" s="53" t="str">
        <f t="shared" si="204"/>
        <v/>
      </c>
      <c r="BG340" s="53" t="str">
        <f t="shared" si="205"/>
        <v/>
      </c>
      <c r="BH340" s="53" t="str">
        <f t="shared" si="206"/>
        <v/>
      </c>
      <c r="BI340" s="53" t="str">
        <f t="shared" si="207"/>
        <v/>
      </c>
      <c r="BJ340" s="53" t="str">
        <f t="shared" si="208"/>
        <v/>
      </c>
      <c r="BK340" s="53" t="str">
        <f t="shared" si="209"/>
        <v/>
      </c>
    </row>
    <row r="341" spans="2:63">
      <c r="B341" s="89" t="str">
        <f>IFERROR(VLOOKUP($A341,EntryList!$A$3:$N$645,2,FALSE),"")</f>
        <v/>
      </c>
      <c r="D341" s="53">
        <f t="shared" si="183"/>
        <v>0</v>
      </c>
      <c r="N341" s="62">
        <f t="shared" si="184"/>
        <v>0</v>
      </c>
      <c r="O341" s="53" t="str">
        <f t="shared" si="210"/>
        <v/>
      </c>
      <c r="P341" s="53" t="str">
        <f t="shared" si="211"/>
        <v/>
      </c>
      <c r="Q341" s="53" t="str">
        <f t="shared" si="212"/>
        <v/>
      </c>
      <c r="R341" s="53" t="str">
        <f t="shared" si="213"/>
        <v/>
      </c>
      <c r="S341" s="53" t="str">
        <f t="shared" si="214"/>
        <v/>
      </c>
      <c r="T341" s="53" t="str">
        <f t="shared" si="215"/>
        <v/>
      </c>
      <c r="U341" s="53" t="str">
        <f t="shared" si="216"/>
        <v/>
      </c>
      <c r="V341" s="53" t="str">
        <f t="shared" si="217"/>
        <v/>
      </c>
      <c r="W341" s="53" t="str">
        <f t="shared" si="185"/>
        <v>DNS/DNF ()</v>
      </c>
      <c r="X341" s="53" t="str">
        <f t="shared" si="186"/>
        <v>DNS/DNF ()</v>
      </c>
      <c r="Y341" s="53" t="str">
        <f t="shared" si="187"/>
        <v>DNS/DNF ()</v>
      </c>
      <c r="Z341" s="53" t="str">
        <f t="shared" si="188"/>
        <v>DNS/DNF ()</v>
      </c>
      <c r="AA341" s="53" t="str">
        <f t="shared" si="189"/>
        <v>DNS/DNF ()</v>
      </c>
      <c r="AB341" s="53" t="str">
        <f t="shared" si="190"/>
        <v>DNS/DNF ()</v>
      </c>
      <c r="AC341" s="53" t="str">
        <f t="shared" si="191"/>
        <v>DNS/DNF ()</v>
      </c>
      <c r="AD341" s="53" t="str">
        <f t="shared" si="192"/>
        <v>DNS/DNF ()</v>
      </c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62" t="str">
        <f t="shared" si="193"/>
        <v>DNS/DNF</v>
      </c>
      <c r="AV341" s="62" t="str">
        <f t="shared" si="194"/>
        <v>DNS/DNF</v>
      </c>
      <c r="AW341" s="62" t="str">
        <f t="shared" si="195"/>
        <v>DNS/DNF</v>
      </c>
      <c r="AX341" s="62" t="str">
        <f t="shared" si="196"/>
        <v>DNS/DNF</v>
      </c>
      <c r="AY341" s="62" t="str">
        <f t="shared" si="197"/>
        <v>DNS/DNF</v>
      </c>
      <c r="AZ341" s="62" t="str">
        <f t="shared" si="198"/>
        <v>DNS/DNF</v>
      </c>
      <c r="BA341" s="62" t="str">
        <f t="shared" si="199"/>
        <v>DNS/DNF</v>
      </c>
      <c r="BB341" s="62" t="str">
        <f t="shared" si="200"/>
        <v>DNS/DNF</v>
      </c>
      <c r="BC341" s="75" t="str">
        <f t="shared" si="201"/>
        <v/>
      </c>
      <c r="BD341" s="53" t="str">
        <f t="shared" si="202"/>
        <v/>
      </c>
      <c r="BE341" s="53" t="str">
        <f t="shared" si="203"/>
        <v/>
      </c>
      <c r="BF341" s="53" t="str">
        <f t="shared" si="204"/>
        <v/>
      </c>
      <c r="BG341" s="53" t="str">
        <f t="shared" si="205"/>
        <v/>
      </c>
      <c r="BH341" s="53" t="str">
        <f t="shared" si="206"/>
        <v/>
      </c>
      <c r="BI341" s="53" t="str">
        <f t="shared" si="207"/>
        <v/>
      </c>
      <c r="BJ341" s="53" t="str">
        <f t="shared" si="208"/>
        <v/>
      </c>
      <c r="BK341" s="53" t="str">
        <f t="shared" si="209"/>
        <v/>
      </c>
    </row>
    <row r="342" spans="2:63">
      <c r="B342" s="89" t="str">
        <f>IFERROR(VLOOKUP($A342,EntryList!$A$3:$N$645,2,FALSE),"")</f>
        <v/>
      </c>
      <c r="D342" s="53">
        <f t="shared" si="183"/>
        <v>0</v>
      </c>
      <c r="N342" s="62">
        <f t="shared" si="184"/>
        <v>0</v>
      </c>
      <c r="O342" s="53" t="str">
        <f t="shared" si="210"/>
        <v/>
      </c>
      <c r="P342" s="53" t="str">
        <f t="shared" si="211"/>
        <v/>
      </c>
      <c r="Q342" s="53" t="str">
        <f t="shared" si="212"/>
        <v/>
      </c>
      <c r="R342" s="53" t="str">
        <f t="shared" si="213"/>
        <v/>
      </c>
      <c r="S342" s="53" t="str">
        <f t="shared" si="214"/>
        <v/>
      </c>
      <c r="T342" s="53" t="str">
        <f t="shared" si="215"/>
        <v/>
      </c>
      <c r="U342" s="53" t="str">
        <f t="shared" si="216"/>
        <v/>
      </c>
      <c r="V342" s="53" t="str">
        <f t="shared" si="217"/>
        <v/>
      </c>
      <c r="W342" s="53" t="str">
        <f t="shared" si="185"/>
        <v>DNS/DNF ()</v>
      </c>
      <c r="X342" s="53" t="str">
        <f t="shared" si="186"/>
        <v>DNS/DNF ()</v>
      </c>
      <c r="Y342" s="53" t="str">
        <f t="shared" si="187"/>
        <v>DNS/DNF ()</v>
      </c>
      <c r="Z342" s="53" t="str">
        <f t="shared" si="188"/>
        <v>DNS/DNF ()</v>
      </c>
      <c r="AA342" s="53" t="str">
        <f t="shared" si="189"/>
        <v>DNS/DNF ()</v>
      </c>
      <c r="AB342" s="53" t="str">
        <f t="shared" si="190"/>
        <v>DNS/DNF ()</v>
      </c>
      <c r="AC342" s="53" t="str">
        <f t="shared" si="191"/>
        <v>DNS/DNF ()</v>
      </c>
      <c r="AD342" s="53" t="str">
        <f t="shared" si="192"/>
        <v>DNS/DNF ()</v>
      </c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62" t="str">
        <f t="shared" si="193"/>
        <v>DNS/DNF</v>
      </c>
      <c r="AV342" s="62" t="str">
        <f t="shared" si="194"/>
        <v>DNS/DNF</v>
      </c>
      <c r="AW342" s="62" t="str">
        <f t="shared" si="195"/>
        <v>DNS/DNF</v>
      </c>
      <c r="AX342" s="62" t="str">
        <f t="shared" si="196"/>
        <v>DNS/DNF</v>
      </c>
      <c r="AY342" s="62" t="str">
        <f t="shared" si="197"/>
        <v>DNS/DNF</v>
      </c>
      <c r="AZ342" s="62" t="str">
        <f t="shared" si="198"/>
        <v>DNS/DNF</v>
      </c>
      <c r="BA342" s="62" t="str">
        <f t="shared" si="199"/>
        <v>DNS/DNF</v>
      </c>
      <c r="BB342" s="62" t="str">
        <f t="shared" si="200"/>
        <v>DNS/DNF</v>
      </c>
      <c r="BC342" s="75" t="str">
        <f t="shared" si="201"/>
        <v/>
      </c>
      <c r="BD342" s="53" t="str">
        <f t="shared" si="202"/>
        <v/>
      </c>
      <c r="BE342" s="53" t="str">
        <f t="shared" si="203"/>
        <v/>
      </c>
      <c r="BF342" s="53" t="str">
        <f t="shared" si="204"/>
        <v/>
      </c>
      <c r="BG342" s="53" t="str">
        <f t="shared" si="205"/>
        <v/>
      </c>
      <c r="BH342" s="53" t="str">
        <f t="shared" si="206"/>
        <v/>
      </c>
      <c r="BI342" s="53" t="str">
        <f t="shared" si="207"/>
        <v/>
      </c>
      <c r="BJ342" s="53" t="str">
        <f t="shared" si="208"/>
        <v/>
      </c>
      <c r="BK342" s="53" t="str">
        <f t="shared" si="209"/>
        <v/>
      </c>
    </row>
    <row r="343" spans="2:63">
      <c r="B343" s="89" t="str">
        <f>IFERROR(VLOOKUP($A343,EntryList!$A$3:$N$645,2,FALSE),"")</f>
        <v/>
      </c>
      <c r="D343" s="53">
        <f t="shared" si="183"/>
        <v>0</v>
      </c>
      <c r="N343" s="62">
        <f t="shared" si="184"/>
        <v>0</v>
      </c>
      <c r="O343" s="53" t="str">
        <f t="shared" si="210"/>
        <v/>
      </c>
      <c r="P343" s="53" t="str">
        <f t="shared" si="211"/>
        <v/>
      </c>
      <c r="Q343" s="53" t="str">
        <f t="shared" si="212"/>
        <v/>
      </c>
      <c r="R343" s="53" t="str">
        <f t="shared" si="213"/>
        <v/>
      </c>
      <c r="S343" s="53" t="str">
        <f t="shared" si="214"/>
        <v/>
      </c>
      <c r="T343" s="53" t="str">
        <f t="shared" si="215"/>
        <v/>
      </c>
      <c r="U343" s="53" t="str">
        <f t="shared" si="216"/>
        <v/>
      </c>
      <c r="V343" s="53" t="str">
        <f t="shared" si="217"/>
        <v/>
      </c>
      <c r="W343" s="53" t="str">
        <f t="shared" si="185"/>
        <v>DNS/DNF ()</v>
      </c>
      <c r="X343" s="53" t="str">
        <f t="shared" si="186"/>
        <v>DNS/DNF ()</v>
      </c>
      <c r="Y343" s="53" t="str">
        <f t="shared" si="187"/>
        <v>DNS/DNF ()</v>
      </c>
      <c r="Z343" s="53" t="str">
        <f t="shared" si="188"/>
        <v>DNS/DNF ()</v>
      </c>
      <c r="AA343" s="53" t="str">
        <f t="shared" si="189"/>
        <v>DNS/DNF ()</v>
      </c>
      <c r="AB343" s="53" t="str">
        <f t="shared" si="190"/>
        <v>DNS/DNF ()</v>
      </c>
      <c r="AC343" s="53" t="str">
        <f t="shared" si="191"/>
        <v>DNS/DNF ()</v>
      </c>
      <c r="AD343" s="53" t="str">
        <f t="shared" si="192"/>
        <v>DNS/DNF ()</v>
      </c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62" t="str">
        <f t="shared" si="193"/>
        <v>DNS/DNF</v>
      </c>
      <c r="AV343" s="62" t="str">
        <f t="shared" si="194"/>
        <v>DNS/DNF</v>
      </c>
      <c r="AW343" s="62" t="str">
        <f t="shared" si="195"/>
        <v>DNS/DNF</v>
      </c>
      <c r="AX343" s="62" t="str">
        <f t="shared" si="196"/>
        <v>DNS/DNF</v>
      </c>
      <c r="AY343" s="62" t="str">
        <f t="shared" si="197"/>
        <v>DNS/DNF</v>
      </c>
      <c r="AZ343" s="62" t="str">
        <f t="shared" si="198"/>
        <v>DNS/DNF</v>
      </c>
      <c r="BA343" s="62" t="str">
        <f t="shared" si="199"/>
        <v>DNS/DNF</v>
      </c>
      <c r="BB343" s="62" t="str">
        <f t="shared" si="200"/>
        <v>DNS/DNF</v>
      </c>
      <c r="BC343" s="75" t="str">
        <f t="shared" si="201"/>
        <v/>
      </c>
      <c r="BD343" s="53" t="str">
        <f t="shared" si="202"/>
        <v/>
      </c>
      <c r="BE343" s="53" t="str">
        <f t="shared" si="203"/>
        <v/>
      </c>
      <c r="BF343" s="53" t="str">
        <f t="shared" si="204"/>
        <v/>
      </c>
      <c r="BG343" s="53" t="str">
        <f t="shared" si="205"/>
        <v/>
      </c>
      <c r="BH343" s="53" t="str">
        <f t="shared" si="206"/>
        <v/>
      </c>
      <c r="BI343" s="53" t="str">
        <f t="shared" si="207"/>
        <v/>
      </c>
      <c r="BJ343" s="53" t="str">
        <f t="shared" si="208"/>
        <v/>
      </c>
      <c r="BK343" s="53" t="str">
        <f t="shared" si="209"/>
        <v/>
      </c>
    </row>
    <row r="344" spans="2:63">
      <c r="B344" s="89" t="str">
        <f>IFERROR(VLOOKUP($A344,EntryList!$A$3:$N$645,2,FALSE),"")</f>
        <v/>
      </c>
      <c r="D344" s="53">
        <f t="shared" si="183"/>
        <v>0</v>
      </c>
      <c r="N344" s="62">
        <f t="shared" si="184"/>
        <v>0</v>
      </c>
      <c r="O344" s="53" t="str">
        <f t="shared" si="210"/>
        <v/>
      </c>
      <c r="P344" s="53" t="str">
        <f t="shared" si="211"/>
        <v/>
      </c>
      <c r="Q344" s="53" t="str">
        <f t="shared" si="212"/>
        <v/>
      </c>
      <c r="R344" s="53" t="str">
        <f t="shared" si="213"/>
        <v/>
      </c>
      <c r="S344" s="53" t="str">
        <f t="shared" si="214"/>
        <v/>
      </c>
      <c r="T344" s="53" t="str">
        <f t="shared" si="215"/>
        <v/>
      </c>
      <c r="U344" s="53" t="str">
        <f t="shared" si="216"/>
        <v/>
      </c>
      <c r="V344" s="53" t="str">
        <f t="shared" si="217"/>
        <v/>
      </c>
      <c r="W344" s="53" t="str">
        <f t="shared" si="185"/>
        <v>DNS/DNF ()</v>
      </c>
      <c r="X344" s="53" t="str">
        <f t="shared" si="186"/>
        <v>DNS/DNF ()</v>
      </c>
      <c r="Y344" s="53" t="str">
        <f t="shared" si="187"/>
        <v>DNS/DNF ()</v>
      </c>
      <c r="Z344" s="53" t="str">
        <f t="shared" si="188"/>
        <v>DNS/DNF ()</v>
      </c>
      <c r="AA344" s="53" t="str">
        <f t="shared" si="189"/>
        <v>DNS/DNF ()</v>
      </c>
      <c r="AB344" s="53" t="str">
        <f t="shared" si="190"/>
        <v>DNS/DNF ()</v>
      </c>
      <c r="AC344" s="53" t="str">
        <f t="shared" si="191"/>
        <v>DNS/DNF ()</v>
      </c>
      <c r="AD344" s="53" t="str">
        <f t="shared" si="192"/>
        <v>DNS/DNF ()</v>
      </c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62" t="str">
        <f t="shared" si="193"/>
        <v>DNS/DNF</v>
      </c>
      <c r="AV344" s="62" t="str">
        <f t="shared" si="194"/>
        <v>DNS/DNF</v>
      </c>
      <c r="AW344" s="62" t="str">
        <f t="shared" si="195"/>
        <v>DNS/DNF</v>
      </c>
      <c r="AX344" s="62" t="str">
        <f t="shared" si="196"/>
        <v>DNS/DNF</v>
      </c>
      <c r="AY344" s="62" t="str">
        <f t="shared" si="197"/>
        <v>DNS/DNF</v>
      </c>
      <c r="AZ344" s="62" t="str">
        <f t="shared" si="198"/>
        <v>DNS/DNF</v>
      </c>
      <c r="BA344" s="62" t="str">
        <f t="shared" si="199"/>
        <v>DNS/DNF</v>
      </c>
      <c r="BB344" s="62" t="str">
        <f t="shared" si="200"/>
        <v>DNS/DNF</v>
      </c>
      <c r="BC344" s="75" t="str">
        <f t="shared" si="201"/>
        <v/>
      </c>
      <c r="BD344" s="53" t="str">
        <f t="shared" si="202"/>
        <v/>
      </c>
      <c r="BE344" s="53" t="str">
        <f t="shared" si="203"/>
        <v/>
      </c>
      <c r="BF344" s="53" t="str">
        <f t="shared" si="204"/>
        <v/>
      </c>
      <c r="BG344" s="53" t="str">
        <f t="shared" si="205"/>
        <v/>
      </c>
      <c r="BH344" s="53" t="str">
        <f t="shared" si="206"/>
        <v/>
      </c>
      <c r="BI344" s="53" t="str">
        <f t="shared" si="207"/>
        <v/>
      </c>
      <c r="BJ344" s="53" t="str">
        <f t="shared" si="208"/>
        <v/>
      </c>
      <c r="BK344" s="53" t="str">
        <f t="shared" si="209"/>
        <v/>
      </c>
    </row>
    <row r="345" spans="2:63">
      <c r="B345" s="89" t="str">
        <f>IFERROR(VLOOKUP($A345,EntryList!$A$3:$N$645,2,FALSE),"")</f>
        <v/>
      </c>
      <c r="D345" s="53">
        <f t="shared" si="183"/>
        <v>0</v>
      </c>
      <c r="N345" s="62">
        <f t="shared" si="184"/>
        <v>0</v>
      </c>
      <c r="O345" s="53" t="str">
        <f t="shared" si="210"/>
        <v/>
      </c>
      <c r="P345" s="53" t="str">
        <f t="shared" si="211"/>
        <v/>
      </c>
      <c r="Q345" s="53" t="str">
        <f t="shared" si="212"/>
        <v/>
      </c>
      <c r="R345" s="53" t="str">
        <f t="shared" si="213"/>
        <v/>
      </c>
      <c r="S345" s="53" t="str">
        <f t="shared" si="214"/>
        <v/>
      </c>
      <c r="T345" s="53" t="str">
        <f t="shared" si="215"/>
        <v/>
      </c>
      <c r="U345" s="53" t="str">
        <f t="shared" si="216"/>
        <v/>
      </c>
      <c r="V345" s="53" t="str">
        <f t="shared" si="217"/>
        <v/>
      </c>
      <c r="W345" s="53" t="str">
        <f t="shared" si="185"/>
        <v>DNS/DNF ()</v>
      </c>
      <c r="X345" s="53" t="str">
        <f t="shared" si="186"/>
        <v>DNS/DNF ()</v>
      </c>
      <c r="Y345" s="53" t="str">
        <f t="shared" si="187"/>
        <v>DNS/DNF ()</v>
      </c>
      <c r="Z345" s="53" t="str">
        <f t="shared" si="188"/>
        <v>DNS/DNF ()</v>
      </c>
      <c r="AA345" s="53" t="str">
        <f t="shared" si="189"/>
        <v>DNS/DNF ()</v>
      </c>
      <c r="AB345" s="53" t="str">
        <f t="shared" si="190"/>
        <v>DNS/DNF ()</v>
      </c>
      <c r="AC345" s="53" t="str">
        <f t="shared" si="191"/>
        <v>DNS/DNF ()</v>
      </c>
      <c r="AD345" s="53" t="str">
        <f t="shared" si="192"/>
        <v>DNS/DNF ()</v>
      </c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62" t="str">
        <f t="shared" si="193"/>
        <v>DNS/DNF</v>
      </c>
      <c r="AV345" s="62" t="str">
        <f t="shared" si="194"/>
        <v>DNS/DNF</v>
      </c>
      <c r="AW345" s="62" t="str">
        <f t="shared" si="195"/>
        <v>DNS/DNF</v>
      </c>
      <c r="AX345" s="62" t="str">
        <f t="shared" si="196"/>
        <v>DNS/DNF</v>
      </c>
      <c r="AY345" s="62" t="str">
        <f t="shared" si="197"/>
        <v>DNS/DNF</v>
      </c>
      <c r="AZ345" s="62" t="str">
        <f t="shared" si="198"/>
        <v>DNS/DNF</v>
      </c>
      <c r="BA345" s="62" t="str">
        <f t="shared" si="199"/>
        <v>DNS/DNF</v>
      </c>
      <c r="BB345" s="62" t="str">
        <f t="shared" si="200"/>
        <v>DNS/DNF</v>
      </c>
      <c r="BC345" s="75" t="str">
        <f t="shared" si="201"/>
        <v/>
      </c>
      <c r="BD345" s="53" t="str">
        <f t="shared" si="202"/>
        <v/>
      </c>
      <c r="BE345" s="53" t="str">
        <f t="shared" si="203"/>
        <v/>
      </c>
      <c r="BF345" s="53" t="str">
        <f t="shared" si="204"/>
        <v/>
      </c>
      <c r="BG345" s="53" t="str">
        <f t="shared" si="205"/>
        <v/>
      </c>
      <c r="BH345" s="53" t="str">
        <f t="shared" si="206"/>
        <v/>
      </c>
      <c r="BI345" s="53" t="str">
        <f t="shared" si="207"/>
        <v/>
      </c>
      <c r="BJ345" s="53" t="str">
        <f t="shared" si="208"/>
        <v/>
      </c>
      <c r="BK345" s="53" t="str">
        <f t="shared" si="209"/>
        <v/>
      </c>
    </row>
    <row r="346" spans="2:63">
      <c r="B346" s="89" t="str">
        <f>IFERROR(VLOOKUP($A346,EntryList!$A$3:$N$645,2,FALSE),"")</f>
        <v/>
      </c>
      <c r="D346" s="53">
        <f t="shared" si="183"/>
        <v>0</v>
      </c>
      <c r="N346" s="62">
        <f t="shared" si="184"/>
        <v>0</v>
      </c>
      <c r="O346" s="53" t="str">
        <f t="shared" si="210"/>
        <v/>
      </c>
      <c r="P346" s="53" t="str">
        <f t="shared" si="211"/>
        <v/>
      </c>
      <c r="Q346" s="53" t="str">
        <f t="shared" si="212"/>
        <v/>
      </c>
      <c r="R346" s="53" t="str">
        <f t="shared" si="213"/>
        <v/>
      </c>
      <c r="S346" s="53" t="str">
        <f t="shared" si="214"/>
        <v/>
      </c>
      <c r="T346" s="53" t="str">
        <f t="shared" si="215"/>
        <v/>
      </c>
      <c r="U346" s="53" t="str">
        <f t="shared" si="216"/>
        <v/>
      </c>
      <c r="V346" s="53" t="str">
        <f t="shared" si="217"/>
        <v/>
      </c>
      <c r="W346" s="53" t="str">
        <f t="shared" si="185"/>
        <v>DNS/DNF ()</v>
      </c>
      <c r="X346" s="53" t="str">
        <f t="shared" si="186"/>
        <v>DNS/DNF ()</v>
      </c>
      <c r="Y346" s="53" t="str">
        <f t="shared" si="187"/>
        <v>DNS/DNF ()</v>
      </c>
      <c r="Z346" s="53" t="str">
        <f t="shared" si="188"/>
        <v>DNS/DNF ()</v>
      </c>
      <c r="AA346" s="53" t="str">
        <f t="shared" si="189"/>
        <v>DNS/DNF ()</v>
      </c>
      <c r="AB346" s="53" t="str">
        <f t="shared" si="190"/>
        <v>DNS/DNF ()</v>
      </c>
      <c r="AC346" s="53" t="str">
        <f t="shared" si="191"/>
        <v>DNS/DNF ()</v>
      </c>
      <c r="AD346" s="53" t="str">
        <f t="shared" si="192"/>
        <v>DNS/DNF ()</v>
      </c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62" t="str">
        <f t="shared" si="193"/>
        <v>DNS/DNF</v>
      </c>
      <c r="AV346" s="62" t="str">
        <f t="shared" si="194"/>
        <v>DNS/DNF</v>
      </c>
      <c r="AW346" s="62" t="str">
        <f t="shared" si="195"/>
        <v>DNS/DNF</v>
      </c>
      <c r="AX346" s="62" t="str">
        <f t="shared" si="196"/>
        <v>DNS/DNF</v>
      </c>
      <c r="AY346" s="62" t="str">
        <f t="shared" si="197"/>
        <v>DNS/DNF</v>
      </c>
      <c r="AZ346" s="62" t="str">
        <f t="shared" si="198"/>
        <v>DNS/DNF</v>
      </c>
      <c r="BA346" s="62" t="str">
        <f t="shared" si="199"/>
        <v>DNS/DNF</v>
      </c>
      <c r="BB346" s="62" t="str">
        <f t="shared" si="200"/>
        <v>DNS/DNF</v>
      </c>
      <c r="BC346" s="75" t="str">
        <f t="shared" si="201"/>
        <v/>
      </c>
      <c r="BD346" s="53" t="str">
        <f t="shared" si="202"/>
        <v/>
      </c>
      <c r="BE346" s="53" t="str">
        <f t="shared" si="203"/>
        <v/>
      </c>
      <c r="BF346" s="53" t="str">
        <f t="shared" si="204"/>
        <v/>
      </c>
      <c r="BG346" s="53" t="str">
        <f t="shared" si="205"/>
        <v/>
      </c>
      <c r="BH346" s="53" t="str">
        <f t="shared" si="206"/>
        <v/>
      </c>
      <c r="BI346" s="53" t="str">
        <f t="shared" si="207"/>
        <v/>
      </c>
      <c r="BJ346" s="53" t="str">
        <f t="shared" si="208"/>
        <v/>
      </c>
      <c r="BK346" s="53" t="str">
        <f t="shared" si="209"/>
        <v/>
      </c>
    </row>
    <row r="347" spans="2:63">
      <c r="B347" s="89" t="str">
        <f>IFERROR(VLOOKUP($A347,EntryList!$A$3:$N$645,2,FALSE),"")</f>
        <v/>
      </c>
      <c r="D347" s="53">
        <f t="shared" si="183"/>
        <v>0</v>
      </c>
      <c r="N347" s="62">
        <f t="shared" si="184"/>
        <v>0</v>
      </c>
      <c r="O347" s="53" t="str">
        <f t="shared" si="210"/>
        <v/>
      </c>
      <c r="P347" s="53" t="str">
        <f t="shared" si="211"/>
        <v/>
      </c>
      <c r="Q347" s="53" t="str">
        <f t="shared" si="212"/>
        <v/>
      </c>
      <c r="R347" s="53" t="str">
        <f t="shared" si="213"/>
        <v/>
      </c>
      <c r="S347" s="53" t="str">
        <f t="shared" si="214"/>
        <v/>
      </c>
      <c r="T347" s="53" t="str">
        <f t="shared" si="215"/>
        <v/>
      </c>
      <c r="U347" s="53" t="str">
        <f t="shared" si="216"/>
        <v/>
      </c>
      <c r="V347" s="53" t="str">
        <f t="shared" si="217"/>
        <v/>
      </c>
      <c r="W347" s="53" t="str">
        <f t="shared" si="185"/>
        <v>DNS/DNF ()</v>
      </c>
      <c r="X347" s="53" t="str">
        <f t="shared" si="186"/>
        <v>DNS/DNF ()</v>
      </c>
      <c r="Y347" s="53" t="str">
        <f t="shared" si="187"/>
        <v>DNS/DNF ()</v>
      </c>
      <c r="Z347" s="53" t="str">
        <f t="shared" si="188"/>
        <v>DNS/DNF ()</v>
      </c>
      <c r="AA347" s="53" t="str">
        <f t="shared" si="189"/>
        <v>DNS/DNF ()</v>
      </c>
      <c r="AB347" s="53" t="str">
        <f t="shared" si="190"/>
        <v>DNS/DNF ()</v>
      </c>
      <c r="AC347" s="53" t="str">
        <f t="shared" si="191"/>
        <v>DNS/DNF ()</v>
      </c>
      <c r="AD347" s="53" t="str">
        <f t="shared" si="192"/>
        <v>DNS/DNF ()</v>
      </c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62" t="str">
        <f t="shared" si="193"/>
        <v>DNS/DNF</v>
      </c>
      <c r="AV347" s="62" t="str">
        <f t="shared" si="194"/>
        <v>DNS/DNF</v>
      </c>
      <c r="AW347" s="62" t="str">
        <f t="shared" si="195"/>
        <v>DNS/DNF</v>
      </c>
      <c r="AX347" s="62" t="str">
        <f t="shared" si="196"/>
        <v>DNS/DNF</v>
      </c>
      <c r="AY347" s="62" t="str">
        <f t="shared" si="197"/>
        <v>DNS/DNF</v>
      </c>
      <c r="AZ347" s="62" t="str">
        <f t="shared" si="198"/>
        <v>DNS/DNF</v>
      </c>
      <c r="BA347" s="62" t="str">
        <f t="shared" si="199"/>
        <v>DNS/DNF</v>
      </c>
      <c r="BB347" s="62" t="str">
        <f t="shared" si="200"/>
        <v>DNS/DNF</v>
      </c>
      <c r="BC347" s="75" t="str">
        <f t="shared" si="201"/>
        <v/>
      </c>
      <c r="BD347" s="53" t="str">
        <f t="shared" si="202"/>
        <v/>
      </c>
      <c r="BE347" s="53" t="str">
        <f t="shared" si="203"/>
        <v/>
      </c>
      <c r="BF347" s="53" t="str">
        <f t="shared" si="204"/>
        <v/>
      </c>
      <c r="BG347" s="53" t="str">
        <f t="shared" si="205"/>
        <v/>
      </c>
      <c r="BH347" s="53" t="str">
        <f t="shared" si="206"/>
        <v/>
      </c>
      <c r="BI347" s="53" t="str">
        <f t="shared" si="207"/>
        <v/>
      </c>
      <c r="BJ347" s="53" t="str">
        <f t="shared" si="208"/>
        <v/>
      </c>
      <c r="BK347" s="53" t="str">
        <f t="shared" si="209"/>
        <v/>
      </c>
    </row>
    <row r="348" spans="2:63">
      <c r="B348" s="89" t="str">
        <f>IFERROR(VLOOKUP($A348,EntryList!$A$3:$N$645,2,FALSE),"")</f>
        <v/>
      </c>
      <c r="D348" s="53">
        <f t="shared" si="183"/>
        <v>0</v>
      </c>
      <c r="N348" s="62">
        <f t="shared" si="184"/>
        <v>0</v>
      </c>
      <c r="O348" s="53" t="str">
        <f t="shared" si="210"/>
        <v/>
      </c>
      <c r="P348" s="53" t="str">
        <f t="shared" si="211"/>
        <v/>
      </c>
      <c r="Q348" s="53" t="str">
        <f t="shared" si="212"/>
        <v/>
      </c>
      <c r="R348" s="53" t="str">
        <f t="shared" si="213"/>
        <v/>
      </c>
      <c r="S348" s="53" t="str">
        <f t="shared" si="214"/>
        <v/>
      </c>
      <c r="T348" s="53" t="str">
        <f t="shared" si="215"/>
        <v/>
      </c>
      <c r="U348" s="53" t="str">
        <f t="shared" si="216"/>
        <v/>
      </c>
      <c r="V348" s="53" t="str">
        <f t="shared" si="217"/>
        <v/>
      </c>
      <c r="W348" s="53" t="str">
        <f t="shared" si="185"/>
        <v>DNS/DNF ()</v>
      </c>
      <c r="X348" s="53" t="str">
        <f t="shared" si="186"/>
        <v>DNS/DNF ()</v>
      </c>
      <c r="Y348" s="53" t="str">
        <f t="shared" si="187"/>
        <v>DNS/DNF ()</v>
      </c>
      <c r="Z348" s="53" t="str">
        <f t="shared" si="188"/>
        <v>DNS/DNF ()</v>
      </c>
      <c r="AA348" s="53" t="str">
        <f t="shared" si="189"/>
        <v>DNS/DNF ()</v>
      </c>
      <c r="AB348" s="53" t="str">
        <f t="shared" si="190"/>
        <v>DNS/DNF ()</v>
      </c>
      <c r="AC348" s="53" t="str">
        <f t="shared" si="191"/>
        <v>DNS/DNF ()</v>
      </c>
      <c r="AD348" s="53" t="str">
        <f t="shared" si="192"/>
        <v>DNS/DNF ()</v>
      </c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62" t="str">
        <f t="shared" si="193"/>
        <v>DNS/DNF</v>
      </c>
      <c r="AV348" s="62" t="str">
        <f t="shared" si="194"/>
        <v>DNS/DNF</v>
      </c>
      <c r="AW348" s="62" t="str">
        <f t="shared" si="195"/>
        <v>DNS/DNF</v>
      </c>
      <c r="AX348" s="62" t="str">
        <f t="shared" si="196"/>
        <v>DNS/DNF</v>
      </c>
      <c r="AY348" s="62" t="str">
        <f t="shared" si="197"/>
        <v>DNS/DNF</v>
      </c>
      <c r="AZ348" s="62" t="str">
        <f t="shared" si="198"/>
        <v>DNS/DNF</v>
      </c>
      <c r="BA348" s="62" t="str">
        <f t="shared" si="199"/>
        <v>DNS/DNF</v>
      </c>
      <c r="BB348" s="62" t="str">
        <f t="shared" si="200"/>
        <v>DNS/DNF</v>
      </c>
      <c r="BC348" s="75" t="str">
        <f t="shared" si="201"/>
        <v/>
      </c>
      <c r="BD348" s="53" t="str">
        <f t="shared" si="202"/>
        <v/>
      </c>
      <c r="BE348" s="53" t="str">
        <f t="shared" si="203"/>
        <v/>
      </c>
      <c r="BF348" s="53" t="str">
        <f t="shared" si="204"/>
        <v/>
      </c>
      <c r="BG348" s="53" t="str">
        <f t="shared" si="205"/>
        <v/>
      </c>
      <c r="BH348" s="53" t="str">
        <f t="shared" si="206"/>
        <v/>
      </c>
      <c r="BI348" s="53" t="str">
        <f t="shared" si="207"/>
        <v/>
      </c>
      <c r="BJ348" s="53" t="str">
        <f t="shared" si="208"/>
        <v/>
      </c>
      <c r="BK348" s="53" t="str">
        <f t="shared" si="209"/>
        <v/>
      </c>
    </row>
    <row r="349" spans="2:63">
      <c r="B349" s="89" t="str">
        <f>IFERROR(VLOOKUP($A349,EntryList!$A$3:$N$645,2,FALSE),"")</f>
        <v/>
      </c>
      <c r="D349" s="53">
        <f t="shared" si="183"/>
        <v>0</v>
      </c>
      <c r="N349" s="62">
        <f t="shared" si="184"/>
        <v>0</v>
      </c>
      <c r="O349" s="53" t="str">
        <f t="shared" si="210"/>
        <v/>
      </c>
      <c r="P349" s="53" t="str">
        <f t="shared" si="211"/>
        <v/>
      </c>
      <c r="Q349" s="53" t="str">
        <f t="shared" si="212"/>
        <v/>
      </c>
      <c r="R349" s="53" t="str">
        <f t="shared" si="213"/>
        <v/>
      </c>
      <c r="S349" s="53" t="str">
        <f t="shared" si="214"/>
        <v/>
      </c>
      <c r="T349" s="53" t="str">
        <f t="shared" si="215"/>
        <v/>
      </c>
      <c r="U349" s="53" t="str">
        <f t="shared" si="216"/>
        <v/>
      </c>
      <c r="V349" s="53" t="str">
        <f t="shared" si="217"/>
        <v/>
      </c>
      <c r="W349" s="53" t="str">
        <f t="shared" si="185"/>
        <v>DNS/DNF ()</v>
      </c>
      <c r="X349" s="53" t="str">
        <f t="shared" si="186"/>
        <v>DNS/DNF ()</v>
      </c>
      <c r="Y349" s="53" t="str">
        <f t="shared" si="187"/>
        <v>DNS/DNF ()</v>
      </c>
      <c r="Z349" s="53" t="str">
        <f t="shared" si="188"/>
        <v>DNS/DNF ()</v>
      </c>
      <c r="AA349" s="53" t="str">
        <f t="shared" si="189"/>
        <v>DNS/DNF ()</v>
      </c>
      <c r="AB349" s="53" t="str">
        <f t="shared" si="190"/>
        <v>DNS/DNF ()</v>
      </c>
      <c r="AC349" s="53" t="str">
        <f t="shared" si="191"/>
        <v>DNS/DNF ()</v>
      </c>
      <c r="AD349" s="53" t="str">
        <f t="shared" si="192"/>
        <v>DNS/DNF ()</v>
      </c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62" t="str">
        <f t="shared" si="193"/>
        <v>DNS/DNF</v>
      </c>
      <c r="AV349" s="62" t="str">
        <f t="shared" si="194"/>
        <v>DNS/DNF</v>
      </c>
      <c r="AW349" s="62" t="str">
        <f t="shared" si="195"/>
        <v>DNS/DNF</v>
      </c>
      <c r="AX349" s="62" t="str">
        <f t="shared" si="196"/>
        <v>DNS/DNF</v>
      </c>
      <c r="AY349" s="62" t="str">
        <f t="shared" si="197"/>
        <v>DNS/DNF</v>
      </c>
      <c r="AZ349" s="62" t="str">
        <f t="shared" si="198"/>
        <v>DNS/DNF</v>
      </c>
      <c r="BA349" s="62" t="str">
        <f t="shared" si="199"/>
        <v>DNS/DNF</v>
      </c>
      <c r="BB349" s="62" t="str">
        <f t="shared" si="200"/>
        <v>DNS/DNF</v>
      </c>
      <c r="BC349" s="75" t="str">
        <f t="shared" si="201"/>
        <v/>
      </c>
      <c r="BD349" s="53" t="str">
        <f t="shared" si="202"/>
        <v/>
      </c>
      <c r="BE349" s="53" t="str">
        <f t="shared" si="203"/>
        <v/>
      </c>
      <c r="BF349" s="53" t="str">
        <f t="shared" si="204"/>
        <v/>
      </c>
      <c r="BG349" s="53" t="str">
        <f t="shared" si="205"/>
        <v/>
      </c>
      <c r="BH349" s="53" t="str">
        <f t="shared" si="206"/>
        <v/>
      </c>
      <c r="BI349" s="53" t="str">
        <f t="shared" si="207"/>
        <v/>
      </c>
      <c r="BJ349" s="53" t="str">
        <f t="shared" si="208"/>
        <v/>
      </c>
      <c r="BK349" s="53" t="str">
        <f t="shared" si="209"/>
        <v/>
      </c>
    </row>
    <row r="350" spans="2:63">
      <c r="B350" s="89" t="str">
        <f>IFERROR(VLOOKUP($A350,EntryList!$A$3:$N$645,2,FALSE),"")</f>
        <v/>
      </c>
      <c r="D350" s="53">
        <f t="shared" si="183"/>
        <v>0</v>
      </c>
      <c r="N350" s="62">
        <f t="shared" si="184"/>
        <v>0</v>
      </c>
      <c r="O350" s="53" t="str">
        <f t="shared" si="210"/>
        <v/>
      </c>
      <c r="P350" s="53" t="str">
        <f t="shared" si="211"/>
        <v/>
      </c>
      <c r="Q350" s="53" t="str">
        <f t="shared" si="212"/>
        <v/>
      </c>
      <c r="R350" s="53" t="str">
        <f t="shared" si="213"/>
        <v/>
      </c>
      <c r="S350" s="53" t="str">
        <f t="shared" si="214"/>
        <v/>
      </c>
      <c r="T350" s="53" t="str">
        <f t="shared" si="215"/>
        <v/>
      </c>
      <c r="U350" s="53" t="str">
        <f t="shared" si="216"/>
        <v/>
      </c>
      <c r="V350" s="53" t="str">
        <f t="shared" si="217"/>
        <v/>
      </c>
      <c r="W350" s="53" t="str">
        <f t="shared" si="185"/>
        <v>DNS/DNF ()</v>
      </c>
      <c r="X350" s="53" t="str">
        <f t="shared" si="186"/>
        <v>DNS/DNF ()</v>
      </c>
      <c r="Y350" s="53" t="str">
        <f t="shared" si="187"/>
        <v>DNS/DNF ()</v>
      </c>
      <c r="Z350" s="53" t="str">
        <f t="shared" si="188"/>
        <v>DNS/DNF ()</v>
      </c>
      <c r="AA350" s="53" t="str">
        <f t="shared" si="189"/>
        <v>DNS/DNF ()</v>
      </c>
      <c r="AB350" s="53" t="str">
        <f t="shared" si="190"/>
        <v>DNS/DNF ()</v>
      </c>
      <c r="AC350" s="53" t="str">
        <f t="shared" si="191"/>
        <v>DNS/DNF ()</v>
      </c>
      <c r="AD350" s="53" t="str">
        <f t="shared" si="192"/>
        <v>DNS/DNF ()</v>
      </c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62" t="str">
        <f t="shared" si="193"/>
        <v>DNS/DNF</v>
      </c>
      <c r="AV350" s="62" t="str">
        <f t="shared" si="194"/>
        <v>DNS/DNF</v>
      </c>
      <c r="AW350" s="62" t="str">
        <f t="shared" si="195"/>
        <v>DNS/DNF</v>
      </c>
      <c r="AX350" s="62" t="str">
        <f t="shared" si="196"/>
        <v>DNS/DNF</v>
      </c>
      <c r="AY350" s="62" t="str">
        <f t="shared" si="197"/>
        <v>DNS/DNF</v>
      </c>
      <c r="AZ350" s="62" t="str">
        <f t="shared" si="198"/>
        <v>DNS/DNF</v>
      </c>
      <c r="BA350" s="62" t="str">
        <f t="shared" si="199"/>
        <v>DNS/DNF</v>
      </c>
      <c r="BB350" s="62" t="str">
        <f t="shared" si="200"/>
        <v>DNS/DNF</v>
      </c>
      <c r="BC350" s="75" t="str">
        <f t="shared" si="201"/>
        <v/>
      </c>
      <c r="BD350" s="53" t="str">
        <f t="shared" si="202"/>
        <v/>
      </c>
      <c r="BE350" s="53" t="str">
        <f t="shared" si="203"/>
        <v/>
      </c>
      <c r="BF350" s="53" t="str">
        <f t="shared" si="204"/>
        <v/>
      </c>
      <c r="BG350" s="53" t="str">
        <f t="shared" si="205"/>
        <v/>
      </c>
      <c r="BH350" s="53" t="str">
        <f t="shared" si="206"/>
        <v/>
      </c>
      <c r="BI350" s="53" t="str">
        <f t="shared" si="207"/>
        <v/>
      </c>
      <c r="BJ350" s="53" t="str">
        <f t="shared" si="208"/>
        <v/>
      </c>
      <c r="BK350" s="53" t="str">
        <f t="shared" si="209"/>
        <v/>
      </c>
    </row>
    <row r="351" spans="2:63">
      <c r="B351" s="89" t="str">
        <f>IFERROR(VLOOKUP($A351,EntryList!$A$3:$N$645,2,FALSE),"")</f>
        <v/>
      </c>
      <c r="D351" s="53">
        <f t="shared" si="183"/>
        <v>0</v>
      </c>
      <c r="N351" s="62">
        <f t="shared" si="184"/>
        <v>0</v>
      </c>
      <c r="O351" s="53" t="str">
        <f t="shared" si="210"/>
        <v/>
      </c>
      <c r="P351" s="53" t="str">
        <f t="shared" si="211"/>
        <v/>
      </c>
      <c r="Q351" s="53" t="str">
        <f t="shared" si="212"/>
        <v/>
      </c>
      <c r="R351" s="53" t="str">
        <f t="shared" si="213"/>
        <v/>
      </c>
      <c r="S351" s="53" t="str">
        <f t="shared" si="214"/>
        <v/>
      </c>
      <c r="T351" s="53" t="str">
        <f t="shared" si="215"/>
        <v/>
      </c>
      <c r="U351" s="53" t="str">
        <f t="shared" si="216"/>
        <v/>
      </c>
      <c r="V351" s="53" t="str">
        <f t="shared" si="217"/>
        <v/>
      </c>
      <c r="W351" s="53" t="str">
        <f t="shared" si="185"/>
        <v>DNS/DNF ()</v>
      </c>
      <c r="X351" s="53" t="str">
        <f t="shared" si="186"/>
        <v>DNS/DNF ()</v>
      </c>
      <c r="Y351" s="53" t="str">
        <f t="shared" si="187"/>
        <v>DNS/DNF ()</v>
      </c>
      <c r="Z351" s="53" t="str">
        <f t="shared" si="188"/>
        <v>DNS/DNF ()</v>
      </c>
      <c r="AA351" s="53" t="str">
        <f t="shared" si="189"/>
        <v>DNS/DNF ()</v>
      </c>
      <c r="AB351" s="53" t="str">
        <f t="shared" si="190"/>
        <v>DNS/DNF ()</v>
      </c>
      <c r="AC351" s="53" t="str">
        <f t="shared" si="191"/>
        <v>DNS/DNF ()</v>
      </c>
      <c r="AD351" s="53" t="str">
        <f t="shared" si="192"/>
        <v>DNS/DNF ()</v>
      </c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62" t="str">
        <f t="shared" si="193"/>
        <v>DNS/DNF</v>
      </c>
      <c r="AV351" s="62" t="str">
        <f t="shared" si="194"/>
        <v>DNS/DNF</v>
      </c>
      <c r="AW351" s="62" t="str">
        <f t="shared" si="195"/>
        <v>DNS/DNF</v>
      </c>
      <c r="AX351" s="62" t="str">
        <f t="shared" si="196"/>
        <v>DNS/DNF</v>
      </c>
      <c r="AY351" s="62" t="str">
        <f t="shared" si="197"/>
        <v>DNS/DNF</v>
      </c>
      <c r="AZ351" s="62" t="str">
        <f t="shared" si="198"/>
        <v>DNS/DNF</v>
      </c>
      <c r="BA351" s="62" t="str">
        <f t="shared" si="199"/>
        <v>DNS/DNF</v>
      </c>
      <c r="BB351" s="62" t="str">
        <f t="shared" si="200"/>
        <v>DNS/DNF</v>
      </c>
      <c r="BC351" s="75" t="str">
        <f t="shared" si="201"/>
        <v/>
      </c>
      <c r="BD351" s="53" t="str">
        <f t="shared" si="202"/>
        <v/>
      </c>
      <c r="BE351" s="53" t="str">
        <f t="shared" si="203"/>
        <v/>
      </c>
      <c r="BF351" s="53" t="str">
        <f t="shared" si="204"/>
        <v/>
      </c>
      <c r="BG351" s="53" t="str">
        <f t="shared" si="205"/>
        <v/>
      </c>
      <c r="BH351" s="53" t="str">
        <f t="shared" si="206"/>
        <v/>
      </c>
      <c r="BI351" s="53" t="str">
        <f t="shared" si="207"/>
        <v/>
      </c>
      <c r="BJ351" s="53" t="str">
        <f t="shared" si="208"/>
        <v/>
      </c>
      <c r="BK351" s="53" t="str">
        <f t="shared" si="209"/>
        <v/>
      </c>
    </row>
    <row r="352" spans="2:63">
      <c r="B352" s="89" t="str">
        <f>IFERROR(VLOOKUP($A352,EntryList!$A$3:$N$645,2,FALSE),"")</f>
        <v/>
      </c>
      <c r="D352" s="53">
        <f t="shared" si="183"/>
        <v>0</v>
      </c>
      <c r="N352" s="62">
        <f t="shared" si="184"/>
        <v>0</v>
      </c>
      <c r="O352" s="53" t="str">
        <f t="shared" si="210"/>
        <v/>
      </c>
      <c r="P352" s="53" t="str">
        <f t="shared" si="211"/>
        <v/>
      </c>
      <c r="Q352" s="53" t="str">
        <f t="shared" si="212"/>
        <v/>
      </c>
      <c r="R352" s="53" t="str">
        <f t="shared" si="213"/>
        <v/>
      </c>
      <c r="S352" s="53" t="str">
        <f t="shared" si="214"/>
        <v/>
      </c>
      <c r="T352" s="53" t="str">
        <f t="shared" si="215"/>
        <v/>
      </c>
      <c r="U352" s="53" t="str">
        <f t="shared" si="216"/>
        <v/>
      </c>
      <c r="V352" s="53" t="str">
        <f t="shared" si="217"/>
        <v/>
      </c>
      <c r="W352" s="53" t="str">
        <f t="shared" si="185"/>
        <v>DNS/DNF ()</v>
      </c>
      <c r="X352" s="53" t="str">
        <f t="shared" si="186"/>
        <v>DNS/DNF ()</v>
      </c>
      <c r="Y352" s="53" t="str">
        <f t="shared" si="187"/>
        <v>DNS/DNF ()</v>
      </c>
      <c r="Z352" s="53" t="str">
        <f t="shared" si="188"/>
        <v>DNS/DNF ()</v>
      </c>
      <c r="AA352" s="53" t="str">
        <f t="shared" si="189"/>
        <v>DNS/DNF ()</v>
      </c>
      <c r="AB352" s="53" t="str">
        <f t="shared" si="190"/>
        <v>DNS/DNF ()</v>
      </c>
      <c r="AC352" s="53" t="str">
        <f t="shared" si="191"/>
        <v>DNS/DNF ()</v>
      </c>
      <c r="AD352" s="53" t="str">
        <f t="shared" si="192"/>
        <v>DNS/DNF ()</v>
      </c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62" t="str">
        <f t="shared" si="193"/>
        <v>DNS/DNF</v>
      </c>
      <c r="AV352" s="62" t="str">
        <f t="shared" si="194"/>
        <v>DNS/DNF</v>
      </c>
      <c r="AW352" s="62" t="str">
        <f t="shared" si="195"/>
        <v>DNS/DNF</v>
      </c>
      <c r="AX352" s="62" t="str">
        <f t="shared" si="196"/>
        <v>DNS/DNF</v>
      </c>
      <c r="AY352" s="62" t="str">
        <f t="shared" si="197"/>
        <v>DNS/DNF</v>
      </c>
      <c r="AZ352" s="62" t="str">
        <f t="shared" si="198"/>
        <v>DNS/DNF</v>
      </c>
      <c r="BA352" s="62" t="str">
        <f t="shared" si="199"/>
        <v>DNS/DNF</v>
      </c>
      <c r="BB352" s="62" t="str">
        <f t="shared" si="200"/>
        <v>DNS/DNF</v>
      </c>
      <c r="BC352" s="75" t="str">
        <f t="shared" si="201"/>
        <v/>
      </c>
      <c r="BD352" s="53" t="str">
        <f t="shared" si="202"/>
        <v/>
      </c>
      <c r="BE352" s="53" t="str">
        <f t="shared" si="203"/>
        <v/>
      </c>
      <c r="BF352" s="53" t="str">
        <f t="shared" si="204"/>
        <v/>
      </c>
      <c r="BG352" s="53" t="str">
        <f t="shared" si="205"/>
        <v/>
      </c>
      <c r="BH352" s="53" t="str">
        <f t="shared" si="206"/>
        <v/>
      </c>
      <c r="BI352" s="53" t="str">
        <f t="shared" si="207"/>
        <v/>
      </c>
      <c r="BJ352" s="53" t="str">
        <f t="shared" si="208"/>
        <v/>
      </c>
      <c r="BK352" s="53" t="str">
        <f t="shared" si="209"/>
        <v/>
      </c>
    </row>
    <row r="353" spans="2:63">
      <c r="B353" s="89" t="str">
        <f>IFERROR(VLOOKUP($A353,EntryList!$A$3:$N$645,2,FALSE),"")</f>
        <v/>
      </c>
      <c r="D353" s="53">
        <f t="shared" si="183"/>
        <v>0</v>
      </c>
      <c r="N353" s="62">
        <f t="shared" si="184"/>
        <v>0</v>
      </c>
      <c r="O353" s="53" t="str">
        <f t="shared" si="210"/>
        <v/>
      </c>
      <c r="P353" s="53" t="str">
        <f t="shared" si="211"/>
        <v/>
      </c>
      <c r="Q353" s="53" t="str">
        <f t="shared" si="212"/>
        <v/>
      </c>
      <c r="R353" s="53" t="str">
        <f t="shared" si="213"/>
        <v/>
      </c>
      <c r="S353" s="53" t="str">
        <f t="shared" si="214"/>
        <v/>
      </c>
      <c r="T353" s="53" t="str">
        <f t="shared" si="215"/>
        <v/>
      </c>
      <c r="U353" s="53" t="str">
        <f t="shared" si="216"/>
        <v/>
      </c>
      <c r="V353" s="53" t="str">
        <f t="shared" si="217"/>
        <v/>
      </c>
      <c r="W353" s="53" t="str">
        <f t="shared" si="185"/>
        <v>DNS/DNF ()</v>
      </c>
      <c r="X353" s="53" t="str">
        <f t="shared" si="186"/>
        <v>DNS/DNF ()</v>
      </c>
      <c r="Y353" s="53" t="str">
        <f t="shared" si="187"/>
        <v>DNS/DNF ()</v>
      </c>
      <c r="Z353" s="53" t="str">
        <f t="shared" si="188"/>
        <v>DNS/DNF ()</v>
      </c>
      <c r="AA353" s="53" t="str">
        <f t="shared" si="189"/>
        <v>DNS/DNF ()</v>
      </c>
      <c r="AB353" s="53" t="str">
        <f t="shared" si="190"/>
        <v>DNS/DNF ()</v>
      </c>
      <c r="AC353" s="53" t="str">
        <f t="shared" si="191"/>
        <v>DNS/DNF ()</v>
      </c>
      <c r="AD353" s="53" t="str">
        <f t="shared" si="192"/>
        <v>DNS/DNF ()</v>
      </c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62" t="str">
        <f t="shared" si="193"/>
        <v>DNS/DNF</v>
      </c>
      <c r="AV353" s="62" t="str">
        <f t="shared" si="194"/>
        <v>DNS/DNF</v>
      </c>
      <c r="AW353" s="62" t="str">
        <f t="shared" si="195"/>
        <v>DNS/DNF</v>
      </c>
      <c r="AX353" s="62" t="str">
        <f t="shared" si="196"/>
        <v>DNS/DNF</v>
      </c>
      <c r="AY353" s="62" t="str">
        <f t="shared" si="197"/>
        <v>DNS/DNF</v>
      </c>
      <c r="AZ353" s="62" t="str">
        <f t="shared" si="198"/>
        <v>DNS/DNF</v>
      </c>
      <c r="BA353" s="62" t="str">
        <f t="shared" si="199"/>
        <v>DNS/DNF</v>
      </c>
      <c r="BB353" s="62" t="str">
        <f t="shared" si="200"/>
        <v>DNS/DNF</v>
      </c>
      <c r="BC353" s="75" t="str">
        <f t="shared" si="201"/>
        <v/>
      </c>
      <c r="BD353" s="53" t="str">
        <f t="shared" si="202"/>
        <v/>
      </c>
      <c r="BE353" s="53" t="str">
        <f t="shared" si="203"/>
        <v/>
      </c>
      <c r="BF353" s="53" t="str">
        <f t="shared" si="204"/>
        <v/>
      </c>
      <c r="BG353" s="53" t="str">
        <f t="shared" si="205"/>
        <v/>
      </c>
      <c r="BH353" s="53" t="str">
        <f t="shared" si="206"/>
        <v/>
      </c>
      <c r="BI353" s="53" t="str">
        <f t="shared" si="207"/>
        <v/>
      </c>
      <c r="BJ353" s="53" t="str">
        <f t="shared" si="208"/>
        <v/>
      </c>
      <c r="BK353" s="53" t="str">
        <f t="shared" si="209"/>
        <v/>
      </c>
    </row>
    <row r="354" spans="2:63">
      <c r="B354" s="89" t="str">
        <f>IFERROR(VLOOKUP($A354,EntryList!$A$3:$N$645,2,FALSE),"")</f>
        <v/>
      </c>
      <c r="D354" s="53">
        <f t="shared" si="183"/>
        <v>0</v>
      </c>
      <c r="N354" s="62">
        <f t="shared" si="184"/>
        <v>0</v>
      </c>
      <c r="O354" s="53" t="str">
        <f t="shared" si="210"/>
        <v/>
      </c>
      <c r="P354" s="53" t="str">
        <f t="shared" si="211"/>
        <v/>
      </c>
      <c r="Q354" s="53" t="str">
        <f t="shared" si="212"/>
        <v/>
      </c>
      <c r="R354" s="53" t="str">
        <f t="shared" si="213"/>
        <v/>
      </c>
      <c r="S354" s="53" t="str">
        <f t="shared" si="214"/>
        <v/>
      </c>
      <c r="T354" s="53" t="str">
        <f t="shared" si="215"/>
        <v/>
      </c>
      <c r="U354" s="53" t="str">
        <f t="shared" si="216"/>
        <v/>
      </c>
      <c r="V354" s="53" t="str">
        <f t="shared" si="217"/>
        <v/>
      </c>
      <c r="W354" s="53" t="str">
        <f t="shared" si="185"/>
        <v>DNS/DNF ()</v>
      </c>
      <c r="X354" s="53" t="str">
        <f t="shared" si="186"/>
        <v>DNS/DNF ()</v>
      </c>
      <c r="Y354" s="53" t="str">
        <f t="shared" si="187"/>
        <v>DNS/DNF ()</v>
      </c>
      <c r="Z354" s="53" t="str">
        <f t="shared" si="188"/>
        <v>DNS/DNF ()</v>
      </c>
      <c r="AA354" s="53" t="str">
        <f t="shared" si="189"/>
        <v>DNS/DNF ()</v>
      </c>
      <c r="AB354" s="53" t="str">
        <f t="shared" si="190"/>
        <v>DNS/DNF ()</v>
      </c>
      <c r="AC354" s="53" t="str">
        <f t="shared" si="191"/>
        <v>DNS/DNF ()</v>
      </c>
      <c r="AD354" s="53" t="str">
        <f t="shared" si="192"/>
        <v>DNS/DNF ()</v>
      </c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62" t="str">
        <f t="shared" si="193"/>
        <v>DNS/DNF</v>
      </c>
      <c r="AV354" s="62" t="str">
        <f t="shared" si="194"/>
        <v>DNS/DNF</v>
      </c>
      <c r="AW354" s="62" t="str">
        <f t="shared" si="195"/>
        <v>DNS/DNF</v>
      </c>
      <c r="AX354" s="62" t="str">
        <f t="shared" si="196"/>
        <v>DNS/DNF</v>
      </c>
      <c r="AY354" s="62" t="str">
        <f t="shared" si="197"/>
        <v>DNS/DNF</v>
      </c>
      <c r="AZ354" s="62" t="str">
        <f t="shared" si="198"/>
        <v>DNS/DNF</v>
      </c>
      <c r="BA354" s="62" t="str">
        <f t="shared" si="199"/>
        <v>DNS/DNF</v>
      </c>
      <c r="BB354" s="62" t="str">
        <f t="shared" si="200"/>
        <v>DNS/DNF</v>
      </c>
      <c r="BC354" s="75" t="str">
        <f t="shared" si="201"/>
        <v/>
      </c>
      <c r="BD354" s="53" t="str">
        <f t="shared" si="202"/>
        <v/>
      </c>
      <c r="BE354" s="53" t="str">
        <f t="shared" si="203"/>
        <v/>
      </c>
      <c r="BF354" s="53" t="str">
        <f t="shared" si="204"/>
        <v/>
      </c>
      <c r="BG354" s="53" t="str">
        <f t="shared" si="205"/>
        <v/>
      </c>
      <c r="BH354" s="53" t="str">
        <f t="shared" si="206"/>
        <v/>
      </c>
      <c r="BI354" s="53" t="str">
        <f t="shared" si="207"/>
        <v/>
      </c>
      <c r="BJ354" s="53" t="str">
        <f t="shared" si="208"/>
        <v/>
      </c>
      <c r="BK354" s="53" t="str">
        <f t="shared" si="209"/>
        <v/>
      </c>
    </row>
    <row r="355" spans="2:63">
      <c r="B355" s="89" t="str">
        <f>IFERROR(VLOOKUP($A355,EntryList!$A$3:$N$645,2,FALSE),"")</f>
        <v/>
      </c>
      <c r="D355" s="53">
        <f t="shared" si="183"/>
        <v>0</v>
      </c>
      <c r="N355" s="62">
        <f t="shared" si="184"/>
        <v>0</v>
      </c>
      <c r="O355" s="53" t="str">
        <f t="shared" si="210"/>
        <v/>
      </c>
      <c r="P355" s="53" t="str">
        <f t="shared" si="211"/>
        <v/>
      </c>
      <c r="Q355" s="53" t="str">
        <f t="shared" si="212"/>
        <v/>
      </c>
      <c r="R355" s="53" t="str">
        <f t="shared" si="213"/>
        <v/>
      </c>
      <c r="S355" s="53" t="str">
        <f t="shared" si="214"/>
        <v/>
      </c>
      <c r="T355" s="53" t="str">
        <f t="shared" si="215"/>
        <v/>
      </c>
      <c r="U355" s="53" t="str">
        <f t="shared" si="216"/>
        <v/>
      </c>
      <c r="V355" s="53" t="str">
        <f t="shared" si="217"/>
        <v/>
      </c>
      <c r="W355" s="53" t="str">
        <f t="shared" si="185"/>
        <v>DNS/DNF ()</v>
      </c>
      <c r="X355" s="53" t="str">
        <f t="shared" si="186"/>
        <v>DNS/DNF ()</v>
      </c>
      <c r="Y355" s="53" t="str">
        <f t="shared" si="187"/>
        <v>DNS/DNF ()</v>
      </c>
      <c r="Z355" s="53" t="str">
        <f t="shared" si="188"/>
        <v>DNS/DNF ()</v>
      </c>
      <c r="AA355" s="53" t="str">
        <f t="shared" si="189"/>
        <v>DNS/DNF ()</v>
      </c>
      <c r="AB355" s="53" t="str">
        <f t="shared" si="190"/>
        <v>DNS/DNF ()</v>
      </c>
      <c r="AC355" s="53" t="str">
        <f t="shared" si="191"/>
        <v>DNS/DNF ()</v>
      </c>
      <c r="AD355" s="53" t="str">
        <f t="shared" si="192"/>
        <v>DNS/DNF ()</v>
      </c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62" t="str">
        <f t="shared" si="193"/>
        <v>DNS/DNF</v>
      </c>
      <c r="AV355" s="62" t="str">
        <f t="shared" si="194"/>
        <v>DNS/DNF</v>
      </c>
      <c r="AW355" s="62" t="str">
        <f t="shared" si="195"/>
        <v>DNS/DNF</v>
      </c>
      <c r="AX355" s="62" t="str">
        <f t="shared" si="196"/>
        <v>DNS/DNF</v>
      </c>
      <c r="AY355" s="62" t="str">
        <f t="shared" si="197"/>
        <v>DNS/DNF</v>
      </c>
      <c r="AZ355" s="62" t="str">
        <f t="shared" si="198"/>
        <v>DNS/DNF</v>
      </c>
      <c r="BA355" s="62" t="str">
        <f t="shared" si="199"/>
        <v>DNS/DNF</v>
      </c>
      <c r="BB355" s="62" t="str">
        <f t="shared" si="200"/>
        <v>DNS/DNF</v>
      </c>
      <c r="BC355" s="75" t="str">
        <f t="shared" si="201"/>
        <v/>
      </c>
      <c r="BD355" s="53" t="str">
        <f t="shared" si="202"/>
        <v/>
      </c>
      <c r="BE355" s="53" t="str">
        <f t="shared" si="203"/>
        <v/>
      </c>
      <c r="BF355" s="53" t="str">
        <f t="shared" si="204"/>
        <v/>
      </c>
      <c r="BG355" s="53" t="str">
        <f t="shared" si="205"/>
        <v/>
      </c>
      <c r="BH355" s="53" t="str">
        <f t="shared" si="206"/>
        <v/>
      </c>
      <c r="BI355" s="53" t="str">
        <f t="shared" si="207"/>
        <v/>
      </c>
      <c r="BJ355" s="53" t="str">
        <f t="shared" si="208"/>
        <v/>
      </c>
      <c r="BK355" s="53" t="str">
        <f t="shared" si="209"/>
        <v/>
      </c>
    </row>
    <row r="356" spans="2:63">
      <c r="B356" s="89" t="str">
        <f>IFERROR(VLOOKUP($A356,EntryList!$A$3:$N$645,2,FALSE),"")</f>
        <v/>
      </c>
      <c r="D356" s="53">
        <f t="shared" si="183"/>
        <v>0</v>
      </c>
      <c r="N356" s="62">
        <f t="shared" si="184"/>
        <v>0</v>
      </c>
      <c r="O356" s="53" t="str">
        <f t="shared" si="210"/>
        <v/>
      </c>
      <c r="P356" s="53" t="str">
        <f t="shared" si="211"/>
        <v/>
      </c>
      <c r="Q356" s="53" t="str">
        <f t="shared" si="212"/>
        <v/>
      </c>
      <c r="R356" s="53" t="str">
        <f t="shared" si="213"/>
        <v/>
      </c>
      <c r="S356" s="53" t="str">
        <f t="shared" si="214"/>
        <v/>
      </c>
      <c r="T356" s="53" t="str">
        <f t="shared" si="215"/>
        <v/>
      </c>
      <c r="U356" s="53" t="str">
        <f t="shared" si="216"/>
        <v/>
      </c>
      <c r="V356" s="53" t="str">
        <f t="shared" si="217"/>
        <v/>
      </c>
      <c r="W356" s="53" t="str">
        <f t="shared" si="185"/>
        <v>DNS/DNF ()</v>
      </c>
      <c r="X356" s="53" t="str">
        <f t="shared" si="186"/>
        <v>DNS/DNF ()</v>
      </c>
      <c r="Y356" s="53" t="str">
        <f t="shared" si="187"/>
        <v>DNS/DNF ()</v>
      </c>
      <c r="Z356" s="53" t="str">
        <f t="shared" si="188"/>
        <v>DNS/DNF ()</v>
      </c>
      <c r="AA356" s="53" t="str">
        <f t="shared" si="189"/>
        <v>DNS/DNF ()</v>
      </c>
      <c r="AB356" s="53" t="str">
        <f t="shared" si="190"/>
        <v>DNS/DNF ()</v>
      </c>
      <c r="AC356" s="53" t="str">
        <f t="shared" si="191"/>
        <v>DNS/DNF ()</v>
      </c>
      <c r="AD356" s="53" t="str">
        <f t="shared" si="192"/>
        <v>DNS/DNF ()</v>
      </c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62" t="str">
        <f t="shared" si="193"/>
        <v>DNS/DNF</v>
      </c>
      <c r="AV356" s="62" t="str">
        <f t="shared" si="194"/>
        <v>DNS/DNF</v>
      </c>
      <c r="AW356" s="62" t="str">
        <f t="shared" si="195"/>
        <v>DNS/DNF</v>
      </c>
      <c r="AX356" s="62" t="str">
        <f t="shared" si="196"/>
        <v>DNS/DNF</v>
      </c>
      <c r="AY356" s="62" t="str">
        <f t="shared" si="197"/>
        <v>DNS/DNF</v>
      </c>
      <c r="AZ356" s="62" t="str">
        <f t="shared" si="198"/>
        <v>DNS/DNF</v>
      </c>
      <c r="BA356" s="62" t="str">
        <f t="shared" si="199"/>
        <v>DNS/DNF</v>
      </c>
      <c r="BB356" s="62" t="str">
        <f t="shared" si="200"/>
        <v>DNS/DNF</v>
      </c>
      <c r="BC356" s="75" t="str">
        <f t="shared" si="201"/>
        <v/>
      </c>
      <c r="BD356" s="53" t="str">
        <f t="shared" si="202"/>
        <v/>
      </c>
      <c r="BE356" s="53" t="str">
        <f t="shared" si="203"/>
        <v/>
      </c>
      <c r="BF356" s="53" t="str">
        <f t="shared" si="204"/>
        <v/>
      </c>
      <c r="BG356" s="53" t="str">
        <f t="shared" si="205"/>
        <v/>
      </c>
      <c r="BH356" s="53" t="str">
        <f t="shared" si="206"/>
        <v/>
      </c>
      <c r="BI356" s="53" t="str">
        <f t="shared" si="207"/>
        <v/>
      </c>
      <c r="BJ356" s="53" t="str">
        <f t="shared" si="208"/>
        <v/>
      </c>
      <c r="BK356" s="53" t="str">
        <f t="shared" si="209"/>
        <v/>
      </c>
    </row>
    <row r="357" spans="2:63">
      <c r="B357" s="89" t="str">
        <f>IFERROR(VLOOKUP($A357,EntryList!$A$3:$N$645,2,FALSE),"")</f>
        <v/>
      </c>
      <c r="D357" s="53">
        <f t="shared" si="183"/>
        <v>0</v>
      </c>
      <c r="N357" s="62">
        <f t="shared" si="184"/>
        <v>0</v>
      </c>
      <c r="O357" s="53" t="str">
        <f t="shared" si="210"/>
        <v/>
      </c>
      <c r="P357" s="53" t="str">
        <f t="shared" si="211"/>
        <v/>
      </c>
      <c r="Q357" s="53" t="str">
        <f t="shared" si="212"/>
        <v/>
      </c>
      <c r="R357" s="53" t="str">
        <f t="shared" si="213"/>
        <v/>
      </c>
      <c r="S357" s="53" t="str">
        <f t="shared" si="214"/>
        <v/>
      </c>
      <c r="T357" s="53" t="str">
        <f t="shared" si="215"/>
        <v/>
      </c>
      <c r="U357" s="53" t="str">
        <f t="shared" si="216"/>
        <v/>
      </c>
      <c r="V357" s="53" t="str">
        <f t="shared" si="217"/>
        <v/>
      </c>
      <c r="W357" s="53" t="str">
        <f t="shared" si="185"/>
        <v>DNS/DNF ()</v>
      </c>
      <c r="X357" s="53" t="str">
        <f t="shared" si="186"/>
        <v>DNS/DNF ()</v>
      </c>
      <c r="Y357" s="53" t="str">
        <f t="shared" si="187"/>
        <v>DNS/DNF ()</v>
      </c>
      <c r="Z357" s="53" t="str">
        <f t="shared" si="188"/>
        <v>DNS/DNF ()</v>
      </c>
      <c r="AA357" s="53" t="str">
        <f t="shared" si="189"/>
        <v>DNS/DNF ()</v>
      </c>
      <c r="AB357" s="53" t="str">
        <f t="shared" si="190"/>
        <v>DNS/DNF ()</v>
      </c>
      <c r="AC357" s="53" t="str">
        <f t="shared" si="191"/>
        <v>DNS/DNF ()</v>
      </c>
      <c r="AD357" s="53" t="str">
        <f t="shared" si="192"/>
        <v>DNS/DNF ()</v>
      </c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62" t="str">
        <f t="shared" si="193"/>
        <v>DNS/DNF</v>
      </c>
      <c r="AV357" s="62" t="str">
        <f t="shared" si="194"/>
        <v>DNS/DNF</v>
      </c>
      <c r="AW357" s="62" t="str">
        <f t="shared" si="195"/>
        <v>DNS/DNF</v>
      </c>
      <c r="AX357" s="62" t="str">
        <f t="shared" si="196"/>
        <v>DNS/DNF</v>
      </c>
      <c r="AY357" s="62" t="str">
        <f t="shared" si="197"/>
        <v>DNS/DNF</v>
      </c>
      <c r="AZ357" s="62" t="str">
        <f t="shared" si="198"/>
        <v>DNS/DNF</v>
      </c>
      <c r="BA357" s="62" t="str">
        <f t="shared" si="199"/>
        <v>DNS/DNF</v>
      </c>
      <c r="BB357" s="62" t="str">
        <f t="shared" si="200"/>
        <v>DNS/DNF</v>
      </c>
      <c r="BC357" s="75" t="str">
        <f t="shared" si="201"/>
        <v/>
      </c>
      <c r="BD357" s="53" t="str">
        <f t="shared" si="202"/>
        <v/>
      </c>
      <c r="BE357" s="53" t="str">
        <f t="shared" si="203"/>
        <v/>
      </c>
      <c r="BF357" s="53" t="str">
        <f t="shared" si="204"/>
        <v/>
      </c>
      <c r="BG357" s="53" t="str">
        <f t="shared" si="205"/>
        <v/>
      </c>
      <c r="BH357" s="53" t="str">
        <f t="shared" si="206"/>
        <v/>
      </c>
      <c r="BI357" s="53" t="str">
        <f t="shared" si="207"/>
        <v/>
      </c>
      <c r="BJ357" s="53" t="str">
        <f t="shared" si="208"/>
        <v/>
      </c>
      <c r="BK357" s="53" t="str">
        <f t="shared" si="209"/>
        <v/>
      </c>
    </row>
    <row r="358" spans="2:63">
      <c r="B358" s="89" t="str">
        <f>IFERROR(VLOOKUP($A358,EntryList!$A$3:$N$645,2,FALSE),"")</f>
        <v/>
      </c>
      <c r="D358" s="53">
        <f t="shared" si="183"/>
        <v>0</v>
      </c>
      <c r="N358" s="62">
        <f t="shared" si="184"/>
        <v>0</v>
      </c>
      <c r="O358" s="53" t="str">
        <f t="shared" si="210"/>
        <v/>
      </c>
      <c r="P358" s="53" t="str">
        <f t="shared" si="211"/>
        <v/>
      </c>
      <c r="Q358" s="53" t="str">
        <f t="shared" si="212"/>
        <v/>
      </c>
      <c r="R358" s="53" t="str">
        <f t="shared" si="213"/>
        <v/>
      </c>
      <c r="S358" s="53" t="str">
        <f t="shared" si="214"/>
        <v/>
      </c>
      <c r="T358" s="53" t="str">
        <f t="shared" si="215"/>
        <v/>
      </c>
      <c r="U358" s="53" t="str">
        <f t="shared" si="216"/>
        <v/>
      </c>
      <c r="V358" s="53" t="str">
        <f t="shared" si="217"/>
        <v/>
      </c>
      <c r="W358" s="53" t="str">
        <f t="shared" si="185"/>
        <v>DNS/DNF ()</v>
      </c>
      <c r="X358" s="53" t="str">
        <f t="shared" si="186"/>
        <v>DNS/DNF ()</v>
      </c>
      <c r="Y358" s="53" t="str">
        <f t="shared" si="187"/>
        <v>DNS/DNF ()</v>
      </c>
      <c r="Z358" s="53" t="str">
        <f t="shared" si="188"/>
        <v>DNS/DNF ()</v>
      </c>
      <c r="AA358" s="53" t="str">
        <f t="shared" si="189"/>
        <v>DNS/DNF ()</v>
      </c>
      <c r="AB358" s="53" t="str">
        <f t="shared" si="190"/>
        <v>DNS/DNF ()</v>
      </c>
      <c r="AC358" s="53" t="str">
        <f t="shared" si="191"/>
        <v>DNS/DNF ()</v>
      </c>
      <c r="AD358" s="53" t="str">
        <f t="shared" si="192"/>
        <v>DNS/DNF ()</v>
      </c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62" t="str">
        <f t="shared" si="193"/>
        <v>DNS/DNF</v>
      </c>
      <c r="AV358" s="62" t="str">
        <f t="shared" si="194"/>
        <v>DNS/DNF</v>
      </c>
      <c r="AW358" s="62" t="str">
        <f t="shared" si="195"/>
        <v>DNS/DNF</v>
      </c>
      <c r="AX358" s="62" t="str">
        <f t="shared" si="196"/>
        <v>DNS/DNF</v>
      </c>
      <c r="AY358" s="62" t="str">
        <f t="shared" si="197"/>
        <v>DNS/DNF</v>
      </c>
      <c r="AZ358" s="62" t="str">
        <f t="shared" si="198"/>
        <v>DNS/DNF</v>
      </c>
      <c r="BA358" s="62" t="str">
        <f t="shared" si="199"/>
        <v>DNS/DNF</v>
      </c>
      <c r="BB358" s="62" t="str">
        <f t="shared" si="200"/>
        <v>DNS/DNF</v>
      </c>
      <c r="BC358" s="75" t="str">
        <f t="shared" si="201"/>
        <v/>
      </c>
      <c r="BD358" s="53" t="str">
        <f t="shared" si="202"/>
        <v/>
      </c>
      <c r="BE358" s="53" t="str">
        <f t="shared" si="203"/>
        <v/>
      </c>
      <c r="BF358" s="53" t="str">
        <f t="shared" si="204"/>
        <v/>
      </c>
      <c r="BG358" s="53" t="str">
        <f t="shared" si="205"/>
        <v/>
      </c>
      <c r="BH358" s="53" t="str">
        <f t="shared" si="206"/>
        <v/>
      </c>
      <c r="BI358" s="53" t="str">
        <f t="shared" si="207"/>
        <v/>
      </c>
      <c r="BJ358" s="53" t="str">
        <f t="shared" si="208"/>
        <v/>
      </c>
      <c r="BK358" s="53" t="str">
        <f t="shared" si="209"/>
        <v/>
      </c>
    </row>
    <row r="359" spans="2:63">
      <c r="B359" s="89" t="str">
        <f>IFERROR(VLOOKUP($A359,EntryList!$A$3:$N$645,2,FALSE),"")</f>
        <v/>
      </c>
      <c r="D359" s="53">
        <f t="shared" si="183"/>
        <v>0</v>
      </c>
      <c r="N359" s="62">
        <f t="shared" si="184"/>
        <v>0</v>
      </c>
      <c r="O359" s="53" t="str">
        <f t="shared" si="210"/>
        <v/>
      </c>
      <c r="P359" s="53" t="str">
        <f t="shared" si="211"/>
        <v/>
      </c>
      <c r="Q359" s="53" t="str">
        <f t="shared" si="212"/>
        <v/>
      </c>
      <c r="R359" s="53" t="str">
        <f t="shared" si="213"/>
        <v/>
      </c>
      <c r="S359" s="53" t="str">
        <f t="shared" si="214"/>
        <v/>
      </c>
      <c r="T359" s="53" t="str">
        <f t="shared" si="215"/>
        <v/>
      </c>
      <c r="U359" s="53" t="str">
        <f t="shared" si="216"/>
        <v/>
      </c>
      <c r="V359" s="53" t="str">
        <f t="shared" si="217"/>
        <v/>
      </c>
      <c r="W359" s="53" t="str">
        <f t="shared" si="185"/>
        <v>DNS/DNF ()</v>
      </c>
      <c r="X359" s="53" t="str">
        <f t="shared" si="186"/>
        <v>DNS/DNF ()</v>
      </c>
      <c r="Y359" s="53" t="str">
        <f t="shared" si="187"/>
        <v>DNS/DNF ()</v>
      </c>
      <c r="Z359" s="53" t="str">
        <f t="shared" si="188"/>
        <v>DNS/DNF ()</v>
      </c>
      <c r="AA359" s="53" t="str">
        <f t="shared" si="189"/>
        <v>DNS/DNF ()</v>
      </c>
      <c r="AB359" s="53" t="str">
        <f t="shared" si="190"/>
        <v>DNS/DNF ()</v>
      </c>
      <c r="AC359" s="53" t="str">
        <f t="shared" si="191"/>
        <v>DNS/DNF ()</v>
      </c>
      <c r="AD359" s="53" t="str">
        <f t="shared" si="192"/>
        <v>DNS/DNF ()</v>
      </c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62" t="str">
        <f t="shared" si="193"/>
        <v>DNS/DNF</v>
      </c>
      <c r="AV359" s="62" t="str">
        <f t="shared" si="194"/>
        <v>DNS/DNF</v>
      </c>
      <c r="AW359" s="62" t="str">
        <f t="shared" si="195"/>
        <v>DNS/DNF</v>
      </c>
      <c r="AX359" s="62" t="str">
        <f t="shared" si="196"/>
        <v>DNS/DNF</v>
      </c>
      <c r="AY359" s="62" t="str">
        <f t="shared" si="197"/>
        <v>DNS/DNF</v>
      </c>
      <c r="AZ359" s="62" t="str">
        <f t="shared" si="198"/>
        <v>DNS/DNF</v>
      </c>
      <c r="BA359" s="62" t="str">
        <f t="shared" si="199"/>
        <v>DNS/DNF</v>
      </c>
      <c r="BB359" s="62" t="str">
        <f t="shared" si="200"/>
        <v>DNS/DNF</v>
      </c>
      <c r="BC359" s="75" t="str">
        <f t="shared" si="201"/>
        <v/>
      </c>
      <c r="BD359" s="53" t="str">
        <f t="shared" si="202"/>
        <v/>
      </c>
      <c r="BE359" s="53" t="str">
        <f t="shared" si="203"/>
        <v/>
      </c>
      <c r="BF359" s="53" t="str">
        <f t="shared" si="204"/>
        <v/>
      </c>
      <c r="BG359" s="53" t="str">
        <f t="shared" si="205"/>
        <v/>
      </c>
      <c r="BH359" s="53" t="str">
        <f t="shared" si="206"/>
        <v/>
      </c>
      <c r="BI359" s="53" t="str">
        <f t="shared" si="207"/>
        <v/>
      </c>
      <c r="BJ359" s="53" t="str">
        <f t="shared" si="208"/>
        <v/>
      </c>
      <c r="BK359" s="53" t="str">
        <f t="shared" si="209"/>
        <v/>
      </c>
    </row>
    <row r="360" spans="2:63">
      <c r="B360" s="89" t="str">
        <f>IFERROR(VLOOKUP($A360,EntryList!$A$3:$N$645,2,FALSE),"")</f>
        <v/>
      </c>
      <c r="D360" s="53">
        <f t="shared" si="183"/>
        <v>0</v>
      </c>
      <c r="N360" s="62">
        <f t="shared" si="184"/>
        <v>0</v>
      </c>
      <c r="O360" s="53" t="str">
        <f t="shared" si="210"/>
        <v/>
      </c>
      <c r="P360" s="53" t="str">
        <f t="shared" si="211"/>
        <v/>
      </c>
      <c r="Q360" s="53" t="str">
        <f t="shared" si="212"/>
        <v/>
      </c>
      <c r="R360" s="53" t="str">
        <f t="shared" si="213"/>
        <v/>
      </c>
      <c r="S360" s="53" t="str">
        <f t="shared" si="214"/>
        <v/>
      </c>
      <c r="T360" s="53" t="str">
        <f t="shared" si="215"/>
        <v/>
      </c>
      <c r="U360" s="53" t="str">
        <f t="shared" si="216"/>
        <v/>
      </c>
      <c r="V360" s="53" t="str">
        <f t="shared" si="217"/>
        <v/>
      </c>
      <c r="W360" s="53" t="str">
        <f t="shared" si="185"/>
        <v>DNS/DNF ()</v>
      </c>
      <c r="X360" s="53" t="str">
        <f t="shared" si="186"/>
        <v>DNS/DNF ()</v>
      </c>
      <c r="Y360" s="53" t="str">
        <f t="shared" si="187"/>
        <v>DNS/DNF ()</v>
      </c>
      <c r="Z360" s="53" t="str">
        <f t="shared" si="188"/>
        <v>DNS/DNF ()</v>
      </c>
      <c r="AA360" s="53" t="str">
        <f t="shared" si="189"/>
        <v>DNS/DNF ()</v>
      </c>
      <c r="AB360" s="53" t="str">
        <f t="shared" si="190"/>
        <v>DNS/DNF ()</v>
      </c>
      <c r="AC360" s="53" t="str">
        <f t="shared" si="191"/>
        <v>DNS/DNF ()</v>
      </c>
      <c r="AD360" s="53" t="str">
        <f t="shared" si="192"/>
        <v>DNS/DNF ()</v>
      </c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62" t="str">
        <f t="shared" si="193"/>
        <v>DNS/DNF</v>
      </c>
      <c r="AV360" s="62" t="str">
        <f t="shared" si="194"/>
        <v>DNS/DNF</v>
      </c>
      <c r="AW360" s="62" t="str">
        <f t="shared" si="195"/>
        <v>DNS/DNF</v>
      </c>
      <c r="AX360" s="62" t="str">
        <f t="shared" si="196"/>
        <v>DNS/DNF</v>
      </c>
      <c r="AY360" s="62" t="str">
        <f t="shared" si="197"/>
        <v>DNS/DNF</v>
      </c>
      <c r="AZ360" s="62" t="str">
        <f t="shared" si="198"/>
        <v>DNS/DNF</v>
      </c>
      <c r="BA360" s="62" t="str">
        <f t="shared" si="199"/>
        <v>DNS/DNF</v>
      </c>
      <c r="BB360" s="62" t="str">
        <f t="shared" si="200"/>
        <v>DNS/DNF</v>
      </c>
      <c r="BC360" s="75" t="str">
        <f t="shared" si="201"/>
        <v/>
      </c>
      <c r="BD360" s="53" t="str">
        <f t="shared" si="202"/>
        <v/>
      </c>
      <c r="BE360" s="53" t="str">
        <f t="shared" si="203"/>
        <v/>
      </c>
      <c r="BF360" s="53" t="str">
        <f t="shared" si="204"/>
        <v/>
      </c>
      <c r="BG360" s="53" t="str">
        <f t="shared" si="205"/>
        <v/>
      </c>
      <c r="BH360" s="53" t="str">
        <f t="shared" si="206"/>
        <v/>
      </c>
      <c r="BI360" s="53" t="str">
        <f t="shared" si="207"/>
        <v/>
      </c>
      <c r="BJ360" s="53" t="str">
        <f t="shared" si="208"/>
        <v/>
      </c>
      <c r="BK360" s="53" t="str">
        <f t="shared" si="209"/>
        <v/>
      </c>
    </row>
    <row r="361" spans="2:63">
      <c r="B361" s="89" t="str">
        <f>IFERROR(VLOOKUP($A361,EntryList!$A$3:$N$645,2,FALSE),"")</f>
        <v/>
      </c>
      <c r="D361" s="53">
        <f t="shared" si="183"/>
        <v>0</v>
      </c>
      <c r="N361" s="62">
        <f t="shared" si="184"/>
        <v>0</v>
      </c>
      <c r="O361" s="53" t="str">
        <f t="shared" si="210"/>
        <v/>
      </c>
      <c r="P361" s="53" t="str">
        <f t="shared" si="211"/>
        <v/>
      </c>
      <c r="Q361" s="53" t="str">
        <f t="shared" si="212"/>
        <v/>
      </c>
      <c r="R361" s="53" t="str">
        <f t="shared" si="213"/>
        <v/>
      </c>
      <c r="S361" s="53" t="str">
        <f t="shared" si="214"/>
        <v/>
      </c>
      <c r="T361" s="53" t="str">
        <f t="shared" si="215"/>
        <v/>
      </c>
      <c r="U361" s="53" t="str">
        <f t="shared" si="216"/>
        <v/>
      </c>
      <c r="V361" s="53" t="str">
        <f t="shared" si="217"/>
        <v/>
      </c>
      <c r="W361" s="53" t="str">
        <f t="shared" si="185"/>
        <v>DNS/DNF ()</v>
      </c>
      <c r="X361" s="53" t="str">
        <f t="shared" si="186"/>
        <v>DNS/DNF ()</v>
      </c>
      <c r="Y361" s="53" t="str">
        <f t="shared" si="187"/>
        <v>DNS/DNF ()</v>
      </c>
      <c r="Z361" s="53" t="str">
        <f t="shared" si="188"/>
        <v>DNS/DNF ()</v>
      </c>
      <c r="AA361" s="53" t="str">
        <f t="shared" si="189"/>
        <v>DNS/DNF ()</v>
      </c>
      <c r="AB361" s="53" t="str">
        <f t="shared" si="190"/>
        <v>DNS/DNF ()</v>
      </c>
      <c r="AC361" s="53" t="str">
        <f t="shared" si="191"/>
        <v>DNS/DNF ()</v>
      </c>
      <c r="AD361" s="53" t="str">
        <f t="shared" si="192"/>
        <v>DNS/DNF ()</v>
      </c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62" t="str">
        <f t="shared" si="193"/>
        <v>DNS/DNF</v>
      </c>
      <c r="AV361" s="62" t="str">
        <f t="shared" si="194"/>
        <v>DNS/DNF</v>
      </c>
      <c r="AW361" s="62" t="str">
        <f t="shared" si="195"/>
        <v>DNS/DNF</v>
      </c>
      <c r="AX361" s="62" t="str">
        <f t="shared" si="196"/>
        <v>DNS/DNF</v>
      </c>
      <c r="AY361" s="62" t="str">
        <f t="shared" si="197"/>
        <v>DNS/DNF</v>
      </c>
      <c r="AZ361" s="62" t="str">
        <f t="shared" si="198"/>
        <v>DNS/DNF</v>
      </c>
      <c r="BA361" s="62" t="str">
        <f t="shared" si="199"/>
        <v>DNS/DNF</v>
      </c>
      <c r="BB361" s="62" t="str">
        <f t="shared" si="200"/>
        <v>DNS/DNF</v>
      </c>
      <c r="BC361" s="75" t="str">
        <f t="shared" si="201"/>
        <v/>
      </c>
      <c r="BD361" s="53" t="str">
        <f t="shared" si="202"/>
        <v/>
      </c>
      <c r="BE361" s="53" t="str">
        <f t="shared" si="203"/>
        <v/>
      </c>
      <c r="BF361" s="53" t="str">
        <f t="shared" si="204"/>
        <v/>
      </c>
      <c r="BG361" s="53" t="str">
        <f t="shared" si="205"/>
        <v/>
      </c>
      <c r="BH361" s="53" t="str">
        <f t="shared" si="206"/>
        <v/>
      </c>
      <c r="BI361" s="53" t="str">
        <f t="shared" si="207"/>
        <v/>
      </c>
      <c r="BJ361" s="53" t="str">
        <f t="shared" si="208"/>
        <v/>
      </c>
      <c r="BK361" s="53" t="str">
        <f t="shared" si="209"/>
        <v/>
      </c>
    </row>
    <row r="362" spans="2:63">
      <c r="B362" s="89" t="str">
        <f>IFERROR(VLOOKUP($A362,EntryList!$A$3:$N$645,2,FALSE),"")</f>
        <v/>
      </c>
      <c r="D362" s="53">
        <f t="shared" si="183"/>
        <v>0</v>
      </c>
      <c r="N362" s="62">
        <f t="shared" si="184"/>
        <v>0</v>
      </c>
      <c r="O362" s="53" t="str">
        <f t="shared" si="210"/>
        <v/>
      </c>
      <c r="P362" s="53" t="str">
        <f t="shared" si="211"/>
        <v/>
      </c>
      <c r="Q362" s="53" t="str">
        <f t="shared" si="212"/>
        <v/>
      </c>
      <c r="R362" s="53" t="str">
        <f t="shared" si="213"/>
        <v/>
      </c>
      <c r="S362" s="53" t="str">
        <f t="shared" si="214"/>
        <v/>
      </c>
      <c r="T362" s="53" t="str">
        <f t="shared" si="215"/>
        <v/>
      </c>
      <c r="U362" s="53" t="str">
        <f t="shared" si="216"/>
        <v/>
      </c>
      <c r="V362" s="53" t="str">
        <f t="shared" si="217"/>
        <v/>
      </c>
      <c r="W362" s="53" t="str">
        <f t="shared" si="185"/>
        <v>DNS/DNF ()</v>
      </c>
      <c r="X362" s="53" t="str">
        <f t="shared" si="186"/>
        <v>DNS/DNF ()</v>
      </c>
      <c r="Y362" s="53" t="str">
        <f t="shared" si="187"/>
        <v>DNS/DNF ()</v>
      </c>
      <c r="Z362" s="53" t="str">
        <f t="shared" si="188"/>
        <v>DNS/DNF ()</v>
      </c>
      <c r="AA362" s="53" t="str">
        <f t="shared" si="189"/>
        <v>DNS/DNF ()</v>
      </c>
      <c r="AB362" s="53" t="str">
        <f t="shared" si="190"/>
        <v>DNS/DNF ()</v>
      </c>
      <c r="AC362" s="53" t="str">
        <f t="shared" si="191"/>
        <v>DNS/DNF ()</v>
      </c>
      <c r="AD362" s="53" t="str">
        <f t="shared" si="192"/>
        <v>DNS/DNF ()</v>
      </c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62" t="str">
        <f t="shared" si="193"/>
        <v>DNS/DNF</v>
      </c>
      <c r="AV362" s="62" t="str">
        <f t="shared" si="194"/>
        <v>DNS/DNF</v>
      </c>
      <c r="AW362" s="62" t="str">
        <f t="shared" si="195"/>
        <v>DNS/DNF</v>
      </c>
      <c r="AX362" s="62" t="str">
        <f t="shared" si="196"/>
        <v>DNS/DNF</v>
      </c>
      <c r="AY362" s="62" t="str">
        <f t="shared" si="197"/>
        <v>DNS/DNF</v>
      </c>
      <c r="AZ362" s="62" t="str">
        <f t="shared" si="198"/>
        <v>DNS/DNF</v>
      </c>
      <c r="BA362" s="62" t="str">
        <f t="shared" si="199"/>
        <v>DNS/DNF</v>
      </c>
      <c r="BB362" s="62" t="str">
        <f t="shared" si="200"/>
        <v>DNS/DNF</v>
      </c>
      <c r="BC362" s="75" t="str">
        <f t="shared" si="201"/>
        <v/>
      </c>
      <c r="BD362" s="53" t="str">
        <f t="shared" si="202"/>
        <v/>
      </c>
      <c r="BE362" s="53" t="str">
        <f t="shared" si="203"/>
        <v/>
      </c>
      <c r="BF362" s="53" t="str">
        <f t="shared" si="204"/>
        <v/>
      </c>
      <c r="BG362" s="53" t="str">
        <f t="shared" si="205"/>
        <v/>
      </c>
      <c r="BH362" s="53" t="str">
        <f t="shared" si="206"/>
        <v/>
      </c>
      <c r="BI362" s="53" t="str">
        <f t="shared" si="207"/>
        <v/>
      </c>
      <c r="BJ362" s="53" t="str">
        <f t="shared" si="208"/>
        <v/>
      </c>
      <c r="BK362" s="53" t="str">
        <f t="shared" si="209"/>
        <v/>
      </c>
    </row>
    <row r="363" spans="2:63">
      <c r="B363" s="89" t="str">
        <f>IFERROR(VLOOKUP($A363,EntryList!$A$3:$N$645,2,FALSE),"")</f>
        <v/>
      </c>
      <c r="D363" s="53">
        <f t="shared" si="183"/>
        <v>0</v>
      </c>
      <c r="N363" s="62">
        <f t="shared" si="184"/>
        <v>0</v>
      </c>
      <c r="O363" s="53" t="str">
        <f t="shared" si="210"/>
        <v/>
      </c>
      <c r="P363" s="53" t="str">
        <f t="shared" si="211"/>
        <v/>
      </c>
      <c r="Q363" s="53" t="str">
        <f t="shared" si="212"/>
        <v/>
      </c>
      <c r="R363" s="53" t="str">
        <f t="shared" si="213"/>
        <v/>
      </c>
      <c r="S363" s="53" t="str">
        <f t="shared" si="214"/>
        <v/>
      </c>
      <c r="T363" s="53" t="str">
        <f t="shared" si="215"/>
        <v/>
      </c>
      <c r="U363" s="53" t="str">
        <f t="shared" si="216"/>
        <v/>
      </c>
      <c r="V363" s="53" t="str">
        <f t="shared" si="217"/>
        <v/>
      </c>
      <c r="W363" s="53" t="str">
        <f t="shared" si="185"/>
        <v>DNS/DNF ()</v>
      </c>
      <c r="X363" s="53" t="str">
        <f t="shared" si="186"/>
        <v>DNS/DNF ()</v>
      </c>
      <c r="Y363" s="53" t="str">
        <f t="shared" si="187"/>
        <v>DNS/DNF ()</v>
      </c>
      <c r="Z363" s="53" t="str">
        <f t="shared" si="188"/>
        <v>DNS/DNF ()</v>
      </c>
      <c r="AA363" s="53" t="str">
        <f t="shared" si="189"/>
        <v>DNS/DNF ()</v>
      </c>
      <c r="AB363" s="53" t="str">
        <f t="shared" si="190"/>
        <v>DNS/DNF ()</v>
      </c>
      <c r="AC363" s="53" t="str">
        <f t="shared" si="191"/>
        <v>DNS/DNF ()</v>
      </c>
      <c r="AD363" s="53" t="str">
        <f t="shared" si="192"/>
        <v>DNS/DNF ()</v>
      </c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62" t="str">
        <f t="shared" si="193"/>
        <v>DNS/DNF</v>
      </c>
      <c r="AV363" s="62" t="str">
        <f t="shared" si="194"/>
        <v>DNS/DNF</v>
      </c>
      <c r="AW363" s="62" t="str">
        <f t="shared" si="195"/>
        <v>DNS/DNF</v>
      </c>
      <c r="AX363" s="62" t="str">
        <f t="shared" si="196"/>
        <v>DNS/DNF</v>
      </c>
      <c r="AY363" s="62" t="str">
        <f t="shared" si="197"/>
        <v>DNS/DNF</v>
      </c>
      <c r="AZ363" s="62" t="str">
        <f t="shared" si="198"/>
        <v>DNS/DNF</v>
      </c>
      <c r="BA363" s="62" t="str">
        <f t="shared" si="199"/>
        <v>DNS/DNF</v>
      </c>
      <c r="BB363" s="62" t="str">
        <f t="shared" si="200"/>
        <v>DNS/DNF</v>
      </c>
      <c r="BC363" s="75" t="str">
        <f t="shared" si="201"/>
        <v/>
      </c>
      <c r="BD363" s="53" t="str">
        <f t="shared" si="202"/>
        <v/>
      </c>
      <c r="BE363" s="53" t="str">
        <f t="shared" si="203"/>
        <v/>
      </c>
      <c r="BF363" s="53" t="str">
        <f t="shared" si="204"/>
        <v/>
      </c>
      <c r="BG363" s="53" t="str">
        <f t="shared" si="205"/>
        <v/>
      </c>
      <c r="BH363" s="53" t="str">
        <f t="shared" si="206"/>
        <v/>
      </c>
      <c r="BI363" s="53" t="str">
        <f t="shared" si="207"/>
        <v/>
      </c>
      <c r="BJ363" s="53" t="str">
        <f t="shared" si="208"/>
        <v/>
      </c>
      <c r="BK363" s="53" t="str">
        <f t="shared" si="209"/>
        <v/>
      </c>
    </row>
    <row r="364" spans="2:63">
      <c r="B364" s="89" t="str">
        <f>IFERROR(VLOOKUP($A364,EntryList!$A$3:$N$645,2,FALSE),"")</f>
        <v/>
      </c>
      <c r="D364" s="53">
        <f t="shared" si="183"/>
        <v>0</v>
      </c>
      <c r="N364" s="62">
        <f t="shared" si="184"/>
        <v>0</v>
      </c>
      <c r="O364" s="53" t="str">
        <f t="shared" si="210"/>
        <v/>
      </c>
      <c r="P364" s="53" t="str">
        <f t="shared" si="211"/>
        <v/>
      </c>
      <c r="Q364" s="53" t="str">
        <f t="shared" si="212"/>
        <v/>
      </c>
      <c r="R364" s="53" t="str">
        <f t="shared" si="213"/>
        <v/>
      </c>
      <c r="S364" s="53" t="str">
        <f t="shared" si="214"/>
        <v/>
      </c>
      <c r="T364" s="53" t="str">
        <f t="shared" si="215"/>
        <v/>
      </c>
      <c r="U364" s="53" t="str">
        <f t="shared" si="216"/>
        <v/>
      </c>
      <c r="V364" s="53" t="str">
        <f t="shared" si="217"/>
        <v/>
      </c>
      <c r="W364" s="53" t="str">
        <f t="shared" si="185"/>
        <v>DNS/DNF ()</v>
      </c>
      <c r="X364" s="53" t="str">
        <f t="shared" si="186"/>
        <v>DNS/DNF ()</v>
      </c>
      <c r="Y364" s="53" t="str">
        <f t="shared" si="187"/>
        <v>DNS/DNF ()</v>
      </c>
      <c r="Z364" s="53" t="str">
        <f t="shared" si="188"/>
        <v>DNS/DNF ()</v>
      </c>
      <c r="AA364" s="53" t="str">
        <f t="shared" si="189"/>
        <v>DNS/DNF ()</v>
      </c>
      <c r="AB364" s="53" t="str">
        <f t="shared" si="190"/>
        <v>DNS/DNF ()</v>
      </c>
      <c r="AC364" s="53" t="str">
        <f t="shared" si="191"/>
        <v>DNS/DNF ()</v>
      </c>
      <c r="AD364" s="53" t="str">
        <f t="shared" si="192"/>
        <v>DNS/DNF ()</v>
      </c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62" t="str">
        <f t="shared" si="193"/>
        <v>DNS/DNF</v>
      </c>
      <c r="AV364" s="62" t="str">
        <f t="shared" si="194"/>
        <v>DNS/DNF</v>
      </c>
      <c r="AW364" s="62" t="str">
        <f t="shared" si="195"/>
        <v>DNS/DNF</v>
      </c>
      <c r="AX364" s="62" t="str">
        <f t="shared" si="196"/>
        <v>DNS/DNF</v>
      </c>
      <c r="AY364" s="62" t="str">
        <f t="shared" si="197"/>
        <v>DNS/DNF</v>
      </c>
      <c r="AZ364" s="62" t="str">
        <f t="shared" si="198"/>
        <v>DNS/DNF</v>
      </c>
      <c r="BA364" s="62" t="str">
        <f t="shared" si="199"/>
        <v>DNS/DNF</v>
      </c>
      <c r="BB364" s="62" t="str">
        <f t="shared" si="200"/>
        <v>DNS/DNF</v>
      </c>
      <c r="BC364" s="75" t="str">
        <f t="shared" si="201"/>
        <v/>
      </c>
      <c r="BD364" s="53" t="str">
        <f t="shared" si="202"/>
        <v/>
      </c>
      <c r="BE364" s="53" t="str">
        <f t="shared" si="203"/>
        <v/>
      </c>
      <c r="BF364" s="53" t="str">
        <f t="shared" si="204"/>
        <v/>
      </c>
      <c r="BG364" s="53" t="str">
        <f t="shared" si="205"/>
        <v/>
      </c>
      <c r="BH364" s="53" t="str">
        <f t="shared" si="206"/>
        <v/>
      </c>
      <c r="BI364" s="53" t="str">
        <f t="shared" si="207"/>
        <v/>
      </c>
      <c r="BJ364" s="53" t="str">
        <f t="shared" si="208"/>
        <v/>
      </c>
      <c r="BK364" s="53" t="str">
        <f t="shared" si="209"/>
        <v/>
      </c>
    </row>
    <row r="365" spans="2:63">
      <c r="B365" s="89" t="str">
        <f>IFERROR(VLOOKUP($A365,EntryList!$A$3:$N$645,2,FALSE),"")</f>
        <v/>
      </c>
      <c r="D365" s="53">
        <f t="shared" si="183"/>
        <v>0</v>
      </c>
      <c r="N365" s="62">
        <f t="shared" si="184"/>
        <v>0</v>
      </c>
      <c r="O365" s="53" t="str">
        <f t="shared" si="210"/>
        <v/>
      </c>
      <c r="P365" s="53" t="str">
        <f t="shared" si="211"/>
        <v/>
      </c>
      <c r="Q365" s="53" t="str">
        <f t="shared" si="212"/>
        <v/>
      </c>
      <c r="R365" s="53" t="str">
        <f t="shared" si="213"/>
        <v/>
      </c>
      <c r="S365" s="53" t="str">
        <f t="shared" si="214"/>
        <v/>
      </c>
      <c r="T365" s="53" t="str">
        <f t="shared" si="215"/>
        <v/>
      </c>
      <c r="U365" s="53" t="str">
        <f t="shared" si="216"/>
        <v/>
      </c>
      <c r="V365" s="53" t="str">
        <f t="shared" si="217"/>
        <v/>
      </c>
      <c r="W365" s="53" t="str">
        <f t="shared" si="185"/>
        <v>DNS/DNF ()</v>
      </c>
      <c r="X365" s="53" t="str">
        <f t="shared" si="186"/>
        <v>DNS/DNF ()</v>
      </c>
      <c r="Y365" s="53" t="str">
        <f t="shared" si="187"/>
        <v>DNS/DNF ()</v>
      </c>
      <c r="Z365" s="53" t="str">
        <f t="shared" si="188"/>
        <v>DNS/DNF ()</v>
      </c>
      <c r="AA365" s="53" t="str">
        <f t="shared" si="189"/>
        <v>DNS/DNF ()</v>
      </c>
      <c r="AB365" s="53" t="str">
        <f t="shared" si="190"/>
        <v>DNS/DNF ()</v>
      </c>
      <c r="AC365" s="53" t="str">
        <f t="shared" si="191"/>
        <v>DNS/DNF ()</v>
      </c>
      <c r="AD365" s="53" t="str">
        <f t="shared" si="192"/>
        <v>DNS/DNF ()</v>
      </c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62" t="str">
        <f t="shared" si="193"/>
        <v>DNS/DNF</v>
      </c>
      <c r="AV365" s="62" t="str">
        <f t="shared" si="194"/>
        <v>DNS/DNF</v>
      </c>
      <c r="AW365" s="62" t="str">
        <f t="shared" si="195"/>
        <v>DNS/DNF</v>
      </c>
      <c r="AX365" s="62" t="str">
        <f t="shared" si="196"/>
        <v>DNS/DNF</v>
      </c>
      <c r="AY365" s="62" t="str">
        <f t="shared" si="197"/>
        <v>DNS/DNF</v>
      </c>
      <c r="AZ365" s="62" t="str">
        <f t="shared" si="198"/>
        <v>DNS/DNF</v>
      </c>
      <c r="BA365" s="62" t="str">
        <f t="shared" si="199"/>
        <v>DNS/DNF</v>
      </c>
      <c r="BB365" s="62" t="str">
        <f t="shared" si="200"/>
        <v>DNS/DNF</v>
      </c>
      <c r="BC365" s="75" t="str">
        <f t="shared" si="201"/>
        <v/>
      </c>
      <c r="BD365" s="53" t="str">
        <f t="shared" si="202"/>
        <v/>
      </c>
      <c r="BE365" s="53" t="str">
        <f t="shared" si="203"/>
        <v/>
      </c>
      <c r="BF365" s="53" t="str">
        <f t="shared" si="204"/>
        <v/>
      </c>
      <c r="BG365" s="53" t="str">
        <f t="shared" si="205"/>
        <v/>
      </c>
      <c r="BH365" s="53" t="str">
        <f t="shared" si="206"/>
        <v/>
      </c>
      <c r="BI365" s="53" t="str">
        <f t="shared" si="207"/>
        <v/>
      </c>
      <c r="BJ365" s="53" t="str">
        <f t="shared" si="208"/>
        <v/>
      </c>
      <c r="BK365" s="53" t="str">
        <f t="shared" si="209"/>
        <v/>
      </c>
    </row>
    <row r="366" spans="2:63">
      <c r="B366" s="89" t="str">
        <f>IFERROR(VLOOKUP($A366,EntryList!$A$3:$N$645,2,FALSE),"")</f>
        <v/>
      </c>
      <c r="D366" s="53">
        <f t="shared" si="183"/>
        <v>0</v>
      </c>
      <c r="N366" s="62">
        <f t="shared" si="184"/>
        <v>0</v>
      </c>
      <c r="O366" s="53" t="str">
        <f t="shared" si="210"/>
        <v/>
      </c>
      <c r="P366" s="53" t="str">
        <f t="shared" si="211"/>
        <v/>
      </c>
      <c r="Q366" s="53" t="str">
        <f t="shared" si="212"/>
        <v/>
      </c>
      <c r="R366" s="53" t="str">
        <f t="shared" si="213"/>
        <v/>
      </c>
      <c r="S366" s="53" t="str">
        <f t="shared" si="214"/>
        <v/>
      </c>
      <c r="T366" s="53" t="str">
        <f t="shared" si="215"/>
        <v/>
      </c>
      <c r="U366" s="53" t="str">
        <f t="shared" si="216"/>
        <v/>
      </c>
      <c r="V366" s="53" t="str">
        <f t="shared" si="217"/>
        <v/>
      </c>
      <c r="W366" s="53" t="str">
        <f t="shared" si="185"/>
        <v>DNS/DNF ()</v>
      </c>
      <c r="X366" s="53" t="str">
        <f t="shared" si="186"/>
        <v>DNS/DNF ()</v>
      </c>
      <c r="Y366" s="53" t="str">
        <f t="shared" si="187"/>
        <v>DNS/DNF ()</v>
      </c>
      <c r="Z366" s="53" t="str">
        <f t="shared" si="188"/>
        <v>DNS/DNF ()</v>
      </c>
      <c r="AA366" s="53" t="str">
        <f t="shared" si="189"/>
        <v>DNS/DNF ()</v>
      </c>
      <c r="AB366" s="53" t="str">
        <f t="shared" si="190"/>
        <v>DNS/DNF ()</v>
      </c>
      <c r="AC366" s="53" t="str">
        <f t="shared" si="191"/>
        <v>DNS/DNF ()</v>
      </c>
      <c r="AD366" s="53" t="str">
        <f t="shared" si="192"/>
        <v>DNS/DNF ()</v>
      </c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62" t="str">
        <f t="shared" si="193"/>
        <v>DNS/DNF</v>
      </c>
      <c r="AV366" s="62" t="str">
        <f t="shared" si="194"/>
        <v>DNS/DNF</v>
      </c>
      <c r="AW366" s="62" t="str">
        <f t="shared" si="195"/>
        <v>DNS/DNF</v>
      </c>
      <c r="AX366" s="62" t="str">
        <f t="shared" si="196"/>
        <v>DNS/DNF</v>
      </c>
      <c r="AY366" s="62" t="str">
        <f t="shared" si="197"/>
        <v>DNS/DNF</v>
      </c>
      <c r="AZ366" s="62" t="str">
        <f t="shared" si="198"/>
        <v>DNS/DNF</v>
      </c>
      <c r="BA366" s="62" t="str">
        <f t="shared" si="199"/>
        <v>DNS/DNF</v>
      </c>
      <c r="BB366" s="62" t="str">
        <f t="shared" si="200"/>
        <v>DNS/DNF</v>
      </c>
      <c r="BC366" s="75" t="str">
        <f t="shared" si="201"/>
        <v/>
      </c>
      <c r="BD366" s="53" t="str">
        <f t="shared" si="202"/>
        <v/>
      </c>
      <c r="BE366" s="53" t="str">
        <f t="shared" si="203"/>
        <v/>
      </c>
      <c r="BF366" s="53" t="str">
        <f t="shared" si="204"/>
        <v/>
      </c>
      <c r="BG366" s="53" t="str">
        <f t="shared" si="205"/>
        <v/>
      </c>
      <c r="BH366" s="53" t="str">
        <f t="shared" si="206"/>
        <v/>
      </c>
      <c r="BI366" s="53" t="str">
        <f t="shared" si="207"/>
        <v/>
      </c>
      <c r="BJ366" s="53" t="str">
        <f t="shared" si="208"/>
        <v/>
      </c>
      <c r="BK366" s="53" t="str">
        <f t="shared" si="209"/>
        <v/>
      </c>
    </row>
    <row r="367" spans="2:63">
      <c r="B367" s="89" t="str">
        <f>IFERROR(VLOOKUP($A367,EntryList!$A$3:$N$645,2,FALSE),"")</f>
        <v/>
      </c>
      <c r="D367" s="53">
        <f t="shared" si="183"/>
        <v>0</v>
      </c>
      <c r="N367" s="62">
        <f t="shared" si="184"/>
        <v>0</v>
      </c>
      <c r="O367" s="53" t="str">
        <f t="shared" si="210"/>
        <v/>
      </c>
      <c r="P367" s="53" t="str">
        <f t="shared" si="211"/>
        <v/>
      </c>
      <c r="Q367" s="53" t="str">
        <f t="shared" si="212"/>
        <v/>
      </c>
      <c r="R367" s="53" t="str">
        <f t="shared" si="213"/>
        <v/>
      </c>
      <c r="S367" s="53" t="str">
        <f t="shared" si="214"/>
        <v/>
      </c>
      <c r="T367" s="53" t="str">
        <f t="shared" si="215"/>
        <v/>
      </c>
      <c r="U367" s="53" t="str">
        <f t="shared" si="216"/>
        <v/>
      </c>
      <c r="V367" s="53" t="str">
        <f t="shared" si="217"/>
        <v/>
      </c>
      <c r="W367" s="53" t="str">
        <f t="shared" si="185"/>
        <v>DNS/DNF ()</v>
      </c>
      <c r="X367" s="53" t="str">
        <f t="shared" si="186"/>
        <v>DNS/DNF ()</v>
      </c>
      <c r="Y367" s="53" t="str">
        <f t="shared" si="187"/>
        <v>DNS/DNF ()</v>
      </c>
      <c r="Z367" s="53" t="str">
        <f t="shared" si="188"/>
        <v>DNS/DNF ()</v>
      </c>
      <c r="AA367" s="53" t="str">
        <f t="shared" si="189"/>
        <v>DNS/DNF ()</v>
      </c>
      <c r="AB367" s="53" t="str">
        <f t="shared" si="190"/>
        <v>DNS/DNF ()</v>
      </c>
      <c r="AC367" s="53" t="str">
        <f t="shared" si="191"/>
        <v>DNS/DNF ()</v>
      </c>
      <c r="AD367" s="53" t="str">
        <f t="shared" si="192"/>
        <v>DNS/DNF ()</v>
      </c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62" t="str">
        <f t="shared" si="193"/>
        <v>DNS/DNF</v>
      </c>
      <c r="AV367" s="62" t="str">
        <f t="shared" si="194"/>
        <v>DNS/DNF</v>
      </c>
      <c r="AW367" s="62" t="str">
        <f t="shared" si="195"/>
        <v>DNS/DNF</v>
      </c>
      <c r="AX367" s="62" t="str">
        <f t="shared" si="196"/>
        <v>DNS/DNF</v>
      </c>
      <c r="AY367" s="62" t="str">
        <f t="shared" si="197"/>
        <v>DNS/DNF</v>
      </c>
      <c r="AZ367" s="62" t="str">
        <f t="shared" si="198"/>
        <v>DNS/DNF</v>
      </c>
      <c r="BA367" s="62" t="str">
        <f t="shared" si="199"/>
        <v>DNS/DNF</v>
      </c>
      <c r="BB367" s="62" t="str">
        <f t="shared" si="200"/>
        <v>DNS/DNF</v>
      </c>
      <c r="BC367" s="75" t="str">
        <f t="shared" si="201"/>
        <v/>
      </c>
      <c r="BD367" s="53" t="str">
        <f t="shared" si="202"/>
        <v/>
      </c>
      <c r="BE367" s="53" t="str">
        <f t="shared" si="203"/>
        <v/>
      </c>
      <c r="BF367" s="53" t="str">
        <f t="shared" si="204"/>
        <v/>
      </c>
      <c r="BG367" s="53" t="str">
        <f t="shared" si="205"/>
        <v/>
      </c>
      <c r="BH367" s="53" t="str">
        <f t="shared" si="206"/>
        <v/>
      </c>
      <c r="BI367" s="53" t="str">
        <f t="shared" si="207"/>
        <v/>
      </c>
      <c r="BJ367" s="53" t="str">
        <f t="shared" si="208"/>
        <v/>
      </c>
      <c r="BK367" s="53" t="str">
        <f t="shared" si="209"/>
        <v/>
      </c>
    </row>
    <row r="368" spans="2:63">
      <c r="B368" s="89" t="str">
        <f>IFERROR(VLOOKUP($A368,EntryList!$A$3:$N$645,2,FALSE),"")</f>
        <v/>
      </c>
      <c r="D368" s="53">
        <f t="shared" si="183"/>
        <v>0</v>
      </c>
      <c r="N368" s="62">
        <f t="shared" si="184"/>
        <v>0</v>
      </c>
      <c r="O368" s="53" t="str">
        <f t="shared" si="210"/>
        <v/>
      </c>
      <c r="P368" s="53" t="str">
        <f t="shared" si="211"/>
        <v/>
      </c>
      <c r="Q368" s="53" t="str">
        <f t="shared" si="212"/>
        <v/>
      </c>
      <c r="R368" s="53" t="str">
        <f t="shared" si="213"/>
        <v/>
      </c>
      <c r="S368" s="53" t="str">
        <f t="shared" si="214"/>
        <v/>
      </c>
      <c r="T368" s="53" t="str">
        <f t="shared" si="215"/>
        <v/>
      </c>
      <c r="U368" s="53" t="str">
        <f t="shared" si="216"/>
        <v/>
      </c>
      <c r="V368" s="53" t="str">
        <f t="shared" si="217"/>
        <v/>
      </c>
      <c r="W368" s="53" t="str">
        <f t="shared" si="185"/>
        <v>DNS/DNF ()</v>
      </c>
      <c r="X368" s="53" t="str">
        <f t="shared" si="186"/>
        <v>DNS/DNF ()</v>
      </c>
      <c r="Y368" s="53" t="str">
        <f t="shared" si="187"/>
        <v>DNS/DNF ()</v>
      </c>
      <c r="Z368" s="53" t="str">
        <f t="shared" si="188"/>
        <v>DNS/DNF ()</v>
      </c>
      <c r="AA368" s="53" t="str">
        <f t="shared" si="189"/>
        <v>DNS/DNF ()</v>
      </c>
      <c r="AB368" s="53" t="str">
        <f t="shared" si="190"/>
        <v>DNS/DNF ()</v>
      </c>
      <c r="AC368" s="53" t="str">
        <f t="shared" si="191"/>
        <v>DNS/DNF ()</v>
      </c>
      <c r="AD368" s="53" t="str">
        <f t="shared" si="192"/>
        <v>DNS/DNF ()</v>
      </c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62" t="str">
        <f t="shared" si="193"/>
        <v>DNS/DNF</v>
      </c>
      <c r="AV368" s="62" t="str">
        <f t="shared" si="194"/>
        <v>DNS/DNF</v>
      </c>
      <c r="AW368" s="62" t="str">
        <f t="shared" si="195"/>
        <v>DNS/DNF</v>
      </c>
      <c r="AX368" s="62" t="str">
        <f t="shared" si="196"/>
        <v>DNS/DNF</v>
      </c>
      <c r="AY368" s="62" t="str">
        <f t="shared" si="197"/>
        <v>DNS/DNF</v>
      </c>
      <c r="AZ368" s="62" t="str">
        <f t="shared" si="198"/>
        <v>DNS/DNF</v>
      </c>
      <c r="BA368" s="62" t="str">
        <f t="shared" si="199"/>
        <v>DNS/DNF</v>
      </c>
      <c r="BB368" s="62" t="str">
        <f t="shared" si="200"/>
        <v>DNS/DNF</v>
      </c>
      <c r="BC368" s="75" t="str">
        <f t="shared" si="201"/>
        <v/>
      </c>
      <c r="BD368" s="53" t="str">
        <f t="shared" si="202"/>
        <v/>
      </c>
      <c r="BE368" s="53" t="str">
        <f t="shared" si="203"/>
        <v/>
      </c>
      <c r="BF368" s="53" t="str">
        <f t="shared" si="204"/>
        <v/>
      </c>
      <c r="BG368" s="53" t="str">
        <f t="shared" si="205"/>
        <v/>
      </c>
      <c r="BH368" s="53" t="str">
        <f t="shared" si="206"/>
        <v/>
      </c>
      <c r="BI368" s="53" t="str">
        <f t="shared" si="207"/>
        <v/>
      </c>
      <c r="BJ368" s="53" t="str">
        <f t="shared" si="208"/>
        <v/>
      </c>
      <c r="BK368" s="53" t="str">
        <f t="shared" si="209"/>
        <v/>
      </c>
    </row>
    <row r="369" spans="2:63">
      <c r="B369" s="89" t="str">
        <f>IFERROR(VLOOKUP($A369,EntryList!$A$3:$N$645,2,FALSE),"")</f>
        <v/>
      </c>
      <c r="D369" s="53">
        <f t="shared" si="183"/>
        <v>0</v>
      </c>
      <c r="N369" s="62">
        <f t="shared" si="184"/>
        <v>0</v>
      </c>
      <c r="O369" s="53" t="str">
        <f t="shared" si="210"/>
        <v/>
      </c>
      <c r="P369" s="53" t="str">
        <f t="shared" si="211"/>
        <v/>
      </c>
      <c r="Q369" s="53" t="str">
        <f t="shared" si="212"/>
        <v/>
      </c>
      <c r="R369" s="53" t="str">
        <f t="shared" si="213"/>
        <v/>
      </c>
      <c r="S369" s="53" t="str">
        <f t="shared" si="214"/>
        <v/>
      </c>
      <c r="T369" s="53" t="str">
        <f t="shared" si="215"/>
        <v/>
      </c>
      <c r="U369" s="53" t="str">
        <f t="shared" si="216"/>
        <v/>
      </c>
      <c r="V369" s="53" t="str">
        <f t="shared" si="217"/>
        <v/>
      </c>
      <c r="W369" s="53" t="str">
        <f t="shared" si="185"/>
        <v>DNS/DNF ()</v>
      </c>
      <c r="X369" s="53" t="str">
        <f t="shared" si="186"/>
        <v>DNS/DNF ()</v>
      </c>
      <c r="Y369" s="53" t="str">
        <f t="shared" si="187"/>
        <v>DNS/DNF ()</v>
      </c>
      <c r="Z369" s="53" t="str">
        <f t="shared" si="188"/>
        <v>DNS/DNF ()</v>
      </c>
      <c r="AA369" s="53" t="str">
        <f t="shared" si="189"/>
        <v>DNS/DNF ()</v>
      </c>
      <c r="AB369" s="53" t="str">
        <f t="shared" si="190"/>
        <v>DNS/DNF ()</v>
      </c>
      <c r="AC369" s="53" t="str">
        <f t="shared" si="191"/>
        <v>DNS/DNF ()</v>
      </c>
      <c r="AD369" s="53" t="str">
        <f t="shared" si="192"/>
        <v>DNS/DNF ()</v>
      </c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62" t="str">
        <f t="shared" si="193"/>
        <v>DNS/DNF</v>
      </c>
      <c r="AV369" s="62" t="str">
        <f t="shared" si="194"/>
        <v>DNS/DNF</v>
      </c>
      <c r="AW369" s="62" t="str">
        <f t="shared" si="195"/>
        <v>DNS/DNF</v>
      </c>
      <c r="AX369" s="62" t="str">
        <f t="shared" si="196"/>
        <v>DNS/DNF</v>
      </c>
      <c r="AY369" s="62" t="str">
        <f t="shared" si="197"/>
        <v>DNS/DNF</v>
      </c>
      <c r="AZ369" s="62" t="str">
        <f t="shared" si="198"/>
        <v>DNS/DNF</v>
      </c>
      <c r="BA369" s="62" t="str">
        <f t="shared" si="199"/>
        <v>DNS/DNF</v>
      </c>
      <c r="BB369" s="62" t="str">
        <f t="shared" si="200"/>
        <v>DNS/DNF</v>
      </c>
      <c r="BC369" s="75" t="str">
        <f t="shared" si="201"/>
        <v/>
      </c>
      <c r="BD369" s="53" t="str">
        <f t="shared" si="202"/>
        <v/>
      </c>
      <c r="BE369" s="53" t="str">
        <f t="shared" si="203"/>
        <v/>
      </c>
      <c r="BF369" s="53" t="str">
        <f t="shared" si="204"/>
        <v/>
      </c>
      <c r="BG369" s="53" t="str">
        <f t="shared" si="205"/>
        <v/>
      </c>
      <c r="BH369" s="53" t="str">
        <f t="shared" si="206"/>
        <v/>
      </c>
      <c r="BI369" s="53" t="str">
        <f t="shared" si="207"/>
        <v/>
      </c>
      <c r="BJ369" s="53" t="str">
        <f t="shared" si="208"/>
        <v/>
      </c>
      <c r="BK369" s="53" t="str">
        <f t="shared" si="209"/>
        <v/>
      </c>
    </row>
    <row r="370" spans="2:63">
      <c r="B370" s="89" t="str">
        <f>IFERROR(VLOOKUP($A370,EntryList!$A$3:$N$645,2,FALSE),"")</f>
        <v/>
      </c>
      <c r="D370" s="53">
        <f t="shared" si="183"/>
        <v>0</v>
      </c>
      <c r="N370" s="62">
        <f t="shared" si="184"/>
        <v>0</v>
      </c>
      <c r="O370" s="53" t="str">
        <f t="shared" si="210"/>
        <v/>
      </c>
      <c r="P370" s="53" t="str">
        <f t="shared" si="211"/>
        <v/>
      </c>
      <c r="Q370" s="53" t="str">
        <f t="shared" si="212"/>
        <v/>
      </c>
      <c r="R370" s="53" t="str">
        <f t="shared" si="213"/>
        <v/>
      </c>
      <c r="S370" s="53" t="str">
        <f t="shared" si="214"/>
        <v/>
      </c>
      <c r="T370" s="53" t="str">
        <f t="shared" si="215"/>
        <v/>
      </c>
      <c r="U370" s="53" t="str">
        <f t="shared" si="216"/>
        <v/>
      </c>
      <c r="V370" s="53" t="str">
        <f t="shared" si="217"/>
        <v/>
      </c>
      <c r="W370" s="53" t="str">
        <f t="shared" si="185"/>
        <v>DNS/DNF ()</v>
      </c>
      <c r="X370" s="53" t="str">
        <f t="shared" si="186"/>
        <v>DNS/DNF ()</v>
      </c>
      <c r="Y370" s="53" t="str">
        <f t="shared" si="187"/>
        <v>DNS/DNF ()</v>
      </c>
      <c r="Z370" s="53" t="str">
        <f t="shared" si="188"/>
        <v>DNS/DNF ()</v>
      </c>
      <c r="AA370" s="53" t="str">
        <f t="shared" si="189"/>
        <v>DNS/DNF ()</v>
      </c>
      <c r="AB370" s="53" t="str">
        <f t="shared" si="190"/>
        <v>DNS/DNF ()</v>
      </c>
      <c r="AC370" s="53" t="str">
        <f t="shared" si="191"/>
        <v>DNS/DNF ()</v>
      </c>
      <c r="AD370" s="53" t="str">
        <f t="shared" si="192"/>
        <v>DNS/DNF ()</v>
      </c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62" t="str">
        <f t="shared" si="193"/>
        <v>DNS/DNF</v>
      </c>
      <c r="AV370" s="62" t="str">
        <f t="shared" si="194"/>
        <v>DNS/DNF</v>
      </c>
      <c r="AW370" s="62" t="str">
        <f t="shared" si="195"/>
        <v>DNS/DNF</v>
      </c>
      <c r="AX370" s="62" t="str">
        <f t="shared" si="196"/>
        <v>DNS/DNF</v>
      </c>
      <c r="AY370" s="62" t="str">
        <f t="shared" si="197"/>
        <v>DNS/DNF</v>
      </c>
      <c r="AZ370" s="62" t="str">
        <f t="shared" si="198"/>
        <v>DNS/DNF</v>
      </c>
      <c r="BA370" s="62" t="str">
        <f t="shared" si="199"/>
        <v>DNS/DNF</v>
      </c>
      <c r="BB370" s="62" t="str">
        <f t="shared" si="200"/>
        <v>DNS/DNF</v>
      </c>
      <c r="BC370" s="75" t="str">
        <f t="shared" si="201"/>
        <v/>
      </c>
      <c r="BD370" s="53" t="str">
        <f t="shared" si="202"/>
        <v/>
      </c>
      <c r="BE370" s="53" t="str">
        <f t="shared" si="203"/>
        <v/>
      </c>
      <c r="BF370" s="53" t="str">
        <f t="shared" si="204"/>
        <v/>
      </c>
      <c r="BG370" s="53" t="str">
        <f t="shared" si="205"/>
        <v/>
      </c>
      <c r="BH370" s="53" t="str">
        <f t="shared" si="206"/>
        <v/>
      </c>
      <c r="BI370" s="53" t="str">
        <f t="shared" si="207"/>
        <v/>
      </c>
      <c r="BJ370" s="53" t="str">
        <f t="shared" si="208"/>
        <v/>
      </c>
      <c r="BK370" s="53" t="str">
        <f t="shared" si="209"/>
        <v/>
      </c>
    </row>
    <row r="371" spans="2:63">
      <c r="B371" s="89" t="str">
        <f>IFERROR(VLOOKUP($A371,EntryList!$A$3:$N$645,2,FALSE),"")</f>
        <v/>
      </c>
      <c r="D371" s="53">
        <f t="shared" si="183"/>
        <v>0</v>
      </c>
      <c r="N371" s="62">
        <f t="shared" si="184"/>
        <v>0</v>
      </c>
      <c r="O371" s="53" t="str">
        <f t="shared" si="210"/>
        <v/>
      </c>
      <c r="P371" s="53" t="str">
        <f t="shared" si="211"/>
        <v/>
      </c>
      <c r="Q371" s="53" t="str">
        <f t="shared" si="212"/>
        <v/>
      </c>
      <c r="R371" s="53" t="str">
        <f t="shared" si="213"/>
        <v/>
      </c>
      <c r="S371" s="53" t="str">
        <f t="shared" si="214"/>
        <v/>
      </c>
      <c r="T371" s="53" t="str">
        <f t="shared" si="215"/>
        <v/>
      </c>
      <c r="U371" s="53" t="str">
        <f t="shared" si="216"/>
        <v/>
      </c>
      <c r="V371" s="53" t="str">
        <f t="shared" si="217"/>
        <v/>
      </c>
      <c r="W371" s="53" t="str">
        <f t="shared" si="185"/>
        <v>DNS/DNF ()</v>
      </c>
      <c r="X371" s="53" t="str">
        <f t="shared" si="186"/>
        <v>DNS/DNF ()</v>
      </c>
      <c r="Y371" s="53" t="str">
        <f t="shared" si="187"/>
        <v>DNS/DNF ()</v>
      </c>
      <c r="Z371" s="53" t="str">
        <f t="shared" si="188"/>
        <v>DNS/DNF ()</v>
      </c>
      <c r="AA371" s="53" t="str">
        <f t="shared" si="189"/>
        <v>DNS/DNF ()</v>
      </c>
      <c r="AB371" s="53" t="str">
        <f t="shared" si="190"/>
        <v>DNS/DNF ()</v>
      </c>
      <c r="AC371" s="53" t="str">
        <f t="shared" si="191"/>
        <v>DNS/DNF ()</v>
      </c>
      <c r="AD371" s="53" t="str">
        <f t="shared" si="192"/>
        <v>DNS/DNF ()</v>
      </c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62" t="str">
        <f t="shared" si="193"/>
        <v>DNS/DNF</v>
      </c>
      <c r="AV371" s="62" t="str">
        <f t="shared" si="194"/>
        <v>DNS/DNF</v>
      </c>
      <c r="AW371" s="62" t="str">
        <f t="shared" si="195"/>
        <v>DNS/DNF</v>
      </c>
      <c r="AX371" s="62" t="str">
        <f t="shared" si="196"/>
        <v>DNS/DNF</v>
      </c>
      <c r="AY371" s="62" t="str">
        <f t="shared" si="197"/>
        <v>DNS/DNF</v>
      </c>
      <c r="AZ371" s="62" t="str">
        <f t="shared" si="198"/>
        <v>DNS/DNF</v>
      </c>
      <c r="BA371" s="62" t="str">
        <f t="shared" si="199"/>
        <v>DNS/DNF</v>
      </c>
      <c r="BB371" s="62" t="str">
        <f t="shared" si="200"/>
        <v>DNS/DNF</v>
      </c>
      <c r="BC371" s="75" t="str">
        <f t="shared" si="201"/>
        <v/>
      </c>
      <c r="BD371" s="53" t="str">
        <f t="shared" si="202"/>
        <v/>
      </c>
      <c r="BE371" s="53" t="str">
        <f t="shared" si="203"/>
        <v/>
      </c>
      <c r="BF371" s="53" t="str">
        <f t="shared" si="204"/>
        <v/>
      </c>
      <c r="BG371" s="53" t="str">
        <f t="shared" si="205"/>
        <v/>
      </c>
      <c r="BH371" s="53" t="str">
        <f t="shared" si="206"/>
        <v/>
      </c>
      <c r="BI371" s="53" t="str">
        <f t="shared" si="207"/>
        <v/>
      </c>
      <c r="BJ371" s="53" t="str">
        <f t="shared" si="208"/>
        <v/>
      </c>
      <c r="BK371" s="53" t="str">
        <f t="shared" si="209"/>
        <v/>
      </c>
    </row>
    <row r="372" spans="2:63">
      <c r="B372" s="89" t="str">
        <f>IFERROR(VLOOKUP($A372,EntryList!$A$3:$N$645,2,FALSE),"")</f>
        <v/>
      </c>
      <c r="D372" s="53">
        <f t="shared" si="183"/>
        <v>0</v>
      </c>
      <c r="N372" s="62">
        <f t="shared" si="184"/>
        <v>0</v>
      </c>
      <c r="O372" s="53" t="str">
        <f t="shared" si="210"/>
        <v/>
      </c>
      <c r="P372" s="53" t="str">
        <f t="shared" si="211"/>
        <v/>
      </c>
      <c r="Q372" s="53" t="str">
        <f t="shared" si="212"/>
        <v/>
      </c>
      <c r="R372" s="53" t="str">
        <f t="shared" si="213"/>
        <v/>
      </c>
      <c r="S372" s="53" t="str">
        <f t="shared" si="214"/>
        <v/>
      </c>
      <c r="T372" s="53" t="str">
        <f t="shared" si="215"/>
        <v/>
      </c>
      <c r="U372" s="53" t="str">
        <f t="shared" si="216"/>
        <v/>
      </c>
      <c r="V372" s="53" t="str">
        <f t="shared" si="217"/>
        <v/>
      </c>
      <c r="W372" s="53" t="str">
        <f t="shared" si="185"/>
        <v>DNS/DNF ()</v>
      </c>
      <c r="X372" s="53" t="str">
        <f t="shared" si="186"/>
        <v>DNS/DNF ()</v>
      </c>
      <c r="Y372" s="53" t="str">
        <f t="shared" si="187"/>
        <v>DNS/DNF ()</v>
      </c>
      <c r="Z372" s="53" t="str">
        <f t="shared" si="188"/>
        <v>DNS/DNF ()</v>
      </c>
      <c r="AA372" s="53" t="str">
        <f t="shared" si="189"/>
        <v>DNS/DNF ()</v>
      </c>
      <c r="AB372" s="53" t="str">
        <f t="shared" si="190"/>
        <v>DNS/DNF ()</v>
      </c>
      <c r="AC372" s="53" t="str">
        <f t="shared" si="191"/>
        <v>DNS/DNF ()</v>
      </c>
      <c r="AD372" s="53" t="str">
        <f t="shared" si="192"/>
        <v>DNS/DNF ()</v>
      </c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62" t="str">
        <f t="shared" si="193"/>
        <v>DNS/DNF</v>
      </c>
      <c r="AV372" s="62" t="str">
        <f t="shared" si="194"/>
        <v>DNS/DNF</v>
      </c>
      <c r="AW372" s="62" t="str">
        <f t="shared" si="195"/>
        <v>DNS/DNF</v>
      </c>
      <c r="AX372" s="62" t="str">
        <f t="shared" si="196"/>
        <v>DNS/DNF</v>
      </c>
      <c r="AY372" s="62" t="str">
        <f t="shared" si="197"/>
        <v>DNS/DNF</v>
      </c>
      <c r="AZ372" s="62" t="str">
        <f t="shared" si="198"/>
        <v>DNS/DNF</v>
      </c>
      <c r="BA372" s="62" t="str">
        <f t="shared" si="199"/>
        <v>DNS/DNF</v>
      </c>
      <c r="BB372" s="62" t="str">
        <f t="shared" si="200"/>
        <v>DNS/DNF</v>
      </c>
      <c r="BC372" s="75" t="str">
        <f t="shared" si="201"/>
        <v/>
      </c>
      <c r="BD372" s="53" t="str">
        <f t="shared" si="202"/>
        <v/>
      </c>
      <c r="BE372" s="53" t="str">
        <f t="shared" si="203"/>
        <v/>
      </c>
      <c r="BF372" s="53" t="str">
        <f t="shared" si="204"/>
        <v/>
      </c>
      <c r="BG372" s="53" t="str">
        <f t="shared" si="205"/>
        <v/>
      </c>
      <c r="BH372" s="53" t="str">
        <f t="shared" si="206"/>
        <v/>
      </c>
      <c r="BI372" s="53" t="str">
        <f t="shared" si="207"/>
        <v/>
      </c>
      <c r="BJ372" s="53" t="str">
        <f t="shared" si="208"/>
        <v/>
      </c>
      <c r="BK372" s="53" t="str">
        <f t="shared" si="209"/>
        <v/>
      </c>
    </row>
    <row r="373" spans="2:63">
      <c r="B373" s="89" t="str">
        <f>IFERROR(VLOOKUP($A373,EntryList!$A$3:$N$645,2,FALSE),"")</f>
        <v/>
      </c>
      <c r="D373" s="53">
        <f t="shared" si="183"/>
        <v>0</v>
      </c>
      <c r="N373" s="62">
        <f t="shared" si="184"/>
        <v>0</v>
      </c>
      <c r="O373" s="53" t="str">
        <f t="shared" si="210"/>
        <v/>
      </c>
      <c r="P373" s="53" t="str">
        <f t="shared" si="211"/>
        <v/>
      </c>
      <c r="Q373" s="53" t="str">
        <f t="shared" si="212"/>
        <v/>
      </c>
      <c r="R373" s="53" t="str">
        <f t="shared" si="213"/>
        <v/>
      </c>
      <c r="S373" s="53" t="str">
        <f t="shared" si="214"/>
        <v/>
      </c>
      <c r="T373" s="53" t="str">
        <f t="shared" si="215"/>
        <v/>
      </c>
      <c r="U373" s="53" t="str">
        <f t="shared" si="216"/>
        <v/>
      </c>
      <c r="V373" s="53" t="str">
        <f t="shared" si="217"/>
        <v/>
      </c>
      <c r="W373" s="53" t="str">
        <f t="shared" si="185"/>
        <v>DNS/DNF ()</v>
      </c>
      <c r="X373" s="53" t="str">
        <f t="shared" si="186"/>
        <v>DNS/DNF ()</v>
      </c>
      <c r="Y373" s="53" t="str">
        <f t="shared" si="187"/>
        <v>DNS/DNF ()</v>
      </c>
      <c r="Z373" s="53" t="str">
        <f t="shared" si="188"/>
        <v>DNS/DNF ()</v>
      </c>
      <c r="AA373" s="53" t="str">
        <f t="shared" si="189"/>
        <v>DNS/DNF ()</v>
      </c>
      <c r="AB373" s="53" t="str">
        <f t="shared" si="190"/>
        <v>DNS/DNF ()</v>
      </c>
      <c r="AC373" s="53" t="str">
        <f t="shared" si="191"/>
        <v>DNS/DNF ()</v>
      </c>
      <c r="AD373" s="53" t="str">
        <f t="shared" si="192"/>
        <v>DNS/DNF ()</v>
      </c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62" t="str">
        <f t="shared" si="193"/>
        <v>DNS/DNF</v>
      </c>
      <c r="AV373" s="62" t="str">
        <f t="shared" si="194"/>
        <v>DNS/DNF</v>
      </c>
      <c r="AW373" s="62" t="str">
        <f t="shared" si="195"/>
        <v>DNS/DNF</v>
      </c>
      <c r="AX373" s="62" t="str">
        <f t="shared" si="196"/>
        <v>DNS/DNF</v>
      </c>
      <c r="AY373" s="62" t="str">
        <f t="shared" si="197"/>
        <v>DNS/DNF</v>
      </c>
      <c r="AZ373" s="62" t="str">
        <f t="shared" si="198"/>
        <v>DNS/DNF</v>
      </c>
      <c r="BA373" s="62" t="str">
        <f t="shared" si="199"/>
        <v>DNS/DNF</v>
      </c>
      <c r="BB373" s="62" t="str">
        <f t="shared" si="200"/>
        <v>DNS/DNF</v>
      </c>
      <c r="BC373" s="75" t="str">
        <f t="shared" si="201"/>
        <v/>
      </c>
      <c r="BD373" s="53" t="str">
        <f t="shared" si="202"/>
        <v/>
      </c>
      <c r="BE373" s="53" t="str">
        <f t="shared" si="203"/>
        <v/>
      </c>
      <c r="BF373" s="53" t="str">
        <f t="shared" si="204"/>
        <v/>
      </c>
      <c r="BG373" s="53" t="str">
        <f t="shared" si="205"/>
        <v/>
      </c>
      <c r="BH373" s="53" t="str">
        <f t="shared" si="206"/>
        <v/>
      </c>
      <c r="BI373" s="53" t="str">
        <f t="shared" si="207"/>
        <v/>
      </c>
      <c r="BJ373" s="53" t="str">
        <f t="shared" si="208"/>
        <v/>
      </c>
      <c r="BK373" s="53" t="str">
        <f t="shared" si="209"/>
        <v/>
      </c>
    </row>
    <row r="374" spans="2:63">
      <c r="B374" s="89" t="str">
        <f>IFERROR(VLOOKUP($A374,EntryList!$A$3:$N$645,2,FALSE),"")</f>
        <v/>
      </c>
      <c r="D374" s="53">
        <f t="shared" si="183"/>
        <v>0</v>
      </c>
      <c r="N374" s="62">
        <f t="shared" si="184"/>
        <v>0</v>
      </c>
      <c r="O374" s="53" t="str">
        <f t="shared" si="210"/>
        <v/>
      </c>
      <c r="P374" s="53" t="str">
        <f t="shared" si="211"/>
        <v/>
      </c>
      <c r="Q374" s="53" t="str">
        <f t="shared" si="212"/>
        <v/>
      </c>
      <c r="R374" s="53" t="str">
        <f t="shared" si="213"/>
        <v/>
      </c>
      <c r="S374" s="53" t="str">
        <f t="shared" si="214"/>
        <v/>
      </c>
      <c r="T374" s="53" t="str">
        <f t="shared" si="215"/>
        <v/>
      </c>
      <c r="U374" s="53" t="str">
        <f t="shared" si="216"/>
        <v/>
      </c>
      <c r="V374" s="53" t="str">
        <f t="shared" si="217"/>
        <v/>
      </c>
      <c r="W374" s="53" t="str">
        <f t="shared" si="185"/>
        <v>DNS/DNF ()</v>
      </c>
      <c r="X374" s="53" t="str">
        <f t="shared" si="186"/>
        <v>DNS/DNF ()</v>
      </c>
      <c r="Y374" s="53" t="str">
        <f t="shared" si="187"/>
        <v>DNS/DNF ()</v>
      </c>
      <c r="Z374" s="53" t="str">
        <f t="shared" si="188"/>
        <v>DNS/DNF ()</v>
      </c>
      <c r="AA374" s="53" t="str">
        <f t="shared" si="189"/>
        <v>DNS/DNF ()</v>
      </c>
      <c r="AB374" s="53" t="str">
        <f t="shared" si="190"/>
        <v>DNS/DNF ()</v>
      </c>
      <c r="AC374" s="53" t="str">
        <f t="shared" si="191"/>
        <v>DNS/DNF ()</v>
      </c>
      <c r="AD374" s="53" t="str">
        <f t="shared" si="192"/>
        <v>DNS/DNF ()</v>
      </c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62" t="str">
        <f t="shared" si="193"/>
        <v>DNS/DNF</v>
      </c>
      <c r="AV374" s="62" t="str">
        <f t="shared" si="194"/>
        <v>DNS/DNF</v>
      </c>
      <c r="AW374" s="62" t="str">
        <f t="shared" si="195"/>
        <v>DNS/DNF</v>
      </c>
      <c r="AX374" s="62" t="str">
        <f t="shared" si="196"/>
        <v>DNS/DNF</v>
      </c>
      <c r="AY374" s="62" t="str">
        <f t="shared" si="197"/>
        <v>DNS/DNF</v>
      </c>
      <c r="AZ374" s="62" t="str">
        <f t="shared" si="198"/>
        <v>DNS/DNF</v>
      </c>
      <c r="BA374" s="62" t="str">
        <f t="shared" si="199"/>
        <v>DNS/DNF</v>
      </c>
      <c r="BB374" s="62" t="str">
        <f t="shared" si="200"/>
        <v>DNS/DNF</v>
      </c>
      <c r="BC374" s="75" t="str">
        <f t="shared" si="201"/>
        <v/>
      </c>
      <c r="BD374" s="53" t="str">
        <f t="shared" si="202"/>
        <v/>
      </c>
      <c r="BE374" s="53" t="str">
        <f t="shared" si="203"/>
        <v/>
      </c>
      <c r="BF374" s="53" t="str">
        <f t="shared" si="204"/>
        <v/>
      </c>
      <c r="BG374" s="53" t="str">
        <f t="shared" si="205"/>
        <v/>
      </c>
      <c r="BH374" s="53" t="str">
        <f t="shared" si="206"/>
        <v/>
      </c>
      <c r="BI374" s="53" t="str">
        <f t="shared" si="207"/>
        <v/>
      </c>
      <c r="BJ374" s="53" t="str">
        <f t="shared" si="208"/>
        <v/>
      </c>
      <c r="BK374" s="53" t="str">
        <f t="shared" si="209"/>
        <v/>
      </c>
    </row>
    <row r="375" spans="2:63">
      <c r="B375" s="89" t="str">
        <f>IFERROR(VLOOKUP($A375,EntryList!$A$3:$N$645,2,FALSE),"")</f>
        <v/>
      </c>
      <c r="D375" s="53">
        <f t="shared" si="183"/>
        <v>0</v>
      </c>
      <c r="N375" s="62">
        <f t="shared" si="184"/>
        <v>0</v>
      </c>
      <c r="O375" s="53" t="str">
        <f t="shared" si="210"/>
        <v/>
      </c>
      <c r="P375" s="53" t="str">
        <f t="shared" si="211"/>
        <v/>
      </c>
      <c r="Q375" s="53" t="str">
        <f t="shared" si="212"/>
        <v/>
      </c>
      <c r="R375" s="53" t="str">
        <f t="shared" si="213"/>
        <v/>
      </c>
      <c r="S375" s="53" t="str">
        <f t="shared" si="214"/>
        <v/>
      </c>
      <c r="T375" s="53" t="str">
        <f t="shared" si="215"/>
        <v/>
      </c>
      <c r="U375" s="53" t="str">
        <f t="shared" si="216"/>
        <v/>
      </c>
      <c r="V375" s="53" t="str">
        <f t="shared" si="217"/>
        <v/>
      </c>
      <c r="W375" s="53" t="str">
        <f t="shared" si="185"/>
        <v>DNS/DNF ()</v>
      </c>
      <c r="X375" s="53" t="str">
        <f t="shared" si="186"/>
        <v>DNS/DNF ()</v>
      </c>
      <c r="Y375" s="53" t="str">
        <f t="shared" si="187"/>
        <v>DNS/DNF ()</v>
      </c>
      <c r="Z375" s="53" t="str">
        <f t="shared" si="188"/>
        <v>DNS/DNF ()</v>
      </c>
      <c r="AA375" s="53" t="str">
        <f t="shared" si="189"/>
        <v>DNS/DNF ()</v>
      </c>
      <c r="AB375" s="53" t="str">
        <f t="shared" si="190"/>
        <v>DNS/DNF ()</v>
      </c>
      <c r="AC375" s="53" t="str">
        <f t="shared" si="191"/>
        <v>DNS/DNF ()</v>
      </c>
      <c r="AD375" s="53" t="str">
        <f t="shared" si="192"/>
        <v>DNS/DNF ()</v>
      </c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62" t="str">
        <f t="shared" si="193"/>
        <v>DNS/DNF</v>
      </c>
      <c r="AV375" s="62" t="str">
        <f t="shared" si="194"/>
        <v>DNS/DNF</v>
      </c>
      <c r="AW375" s="62" t="str">
        <f t="shared" si="195"/>
        <v>DNS/DNF</v>
      </c>
      <c r="AX375" s="62" t="str">
        <f t="shared" si="196"/>
        <v>DNS/DNF</v>
      </c>
      <c r="AY375" s="62" t="str">
        <f t="shared" si="197"/>
        <v>DNS/DNF</v>
      </c>
      <c r="AZ375" s="62" t="str">
        <f t="shared" si="198"/>
        <v>DNS/DNF</v>
      </c>
      <c r="BA375" s="62" t="str">
        <f t="shared" si="199"/>
        <v>DNS/DNF</v>
      </c>
      <c r="BB375" s="62" t="str">
        <f t="shared" si="200"/>
        <v>DNS/DNF</v>
      </c>
      <c r="BC375" s="75" t="str">
        <f t="shared" si="201"/>
        <v/>
      </c>
      <c r="BD375" s="53" t="str">
        <f t="shared" si="202"/>
        <v/>
      </c>
      <c r="BE375" s="53" t="str">
        <f t="shared" si="203"/>
        <v/>
      </c>
      <c r="BF375" s="53" t="str">
        <f t="shared" si="204"/>
        <v/>
      </c>
      <c r="BG375" s="53" t="str">
        <f t="shared" si="205"/>
        <v/>
      </c>
      <c r="BH375" s="53" t="str">
        <f t="shared" si="206"/>
        <v/>
      </c>
      <c r="BI375" s="53" t="str">
        <f t="shared" si="207"/>
        <v/>
      </c>
      <c r="BJ375" s="53" t="str">
        <f t="shared" si="208"/>
        <v/>
      </c>
      <c r="BK375" s="53" t="str">
        <f t="shared" si="209"/>
        <v/>
      </c>
    </row>
    <row r="376" spans="2:63">
      <c r="B376" s="89" t="str">
        <f>IFERROR(VLOOKUP($A376,EntryList!$A$3:$N$645,2,FALSE),"")</f>
        <v/>
      </c>
      <c r="D376" s="53">
        <f t="shared" si="183"/>
        <v>0</v>
      </c>
      <c r="N376" s="62">
        <f t="shared" si="184"/>
        <v>0</v>
      </c>
      <c r="O376" s="53" t="str">
        <f t="shared" si="210"/>
        <v/>
      </c>
      <c r="P376" s="53" t="str">
        <f t="shared" si="211"/>
        <v/>
      </c>
      <c r="Q376" s="53" t="str">
        <f t="shared" si="212"/>
        <v/>
      </c>
      <c r="R376" s="53" t="str">
        <f t="shared" si="213"/>
        <v/>
      </c>
      <c r="S376" s="53" t="str">
        <f t="shared" si="214"/>
        <v/>
      </c>
      <c r="T376" s="53" t="str">
        <f t="shared" si="215"/>
        <v/>
      </c>
      <c r="U376" s="53" t="str">
        <f t="shared" si="216"/>
        <v/>
      </c>
      <c r="V376" s="53" t="str">
        <f t="shared" si="217"/>
        <v/>
      </c>
      <c r="W376" s="53" t="str">
        <f t="shared" si="185"/>
        <v>DNS/DNF ()</v>
      </c>
      <c r="X376" s="53" t="str">
        <f t="shared" si="186"/>
        <v>DNS/DNF ()</v>
      </c>
      <c r="Y376" s="53" t="str">
        <f t="shared" si="187"/>
        <v>DNS/DNF ()</v>
      </c>
      <c r="Z376" s="53" t="str">
        <f t="shared" si="188"/>
        <v>DNS/DNF ()</v>
      </c>
      <c r="AA376" s="53" t="str">
        <f t="shared" si="189"/>
        <v>DNS/DNF ()</v>
      </c>
      <c r="AB376" s="53" t="str">
        <f t="shared" si="190"/>
        <v>DNS/DNF ()</v>
      </c>
      <c r="AC376" s="53" t="str">
        <f t="shared" si="191"/>
        <v>DNS/DNF ()</v>
      </c>
      <c r="AD376" s="53" t="str">
        <f t="shared" si="192"/>
        <v>DNS/DNF ()</v>
      </c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62" t="str">
        <f t="shared" si="193"/>
        <v>DNS/DNF</v>
      </c>
      <c r="AV376" s="62" t="str">
        <f t="shared" si="194"/>
        <v>DNS/DNF</v>
      </c>
      <c r="AW376" s="62" t="str">
        <f t="shared" si="195"/>
        <v>DNS/DNF</v>
      </c>
      <c r="AX376" s="62" t="str">
        <f t="shared" si="196"/>
        <v>DNS/DNF</v>
      </c>
      <c r="AY376" s="62" t="str">
        <f t="shared" si="197"/>
        <v>DNS/DNF</v>
      </c>
      <c r="AZ376" s="62" t="str">
        <f t="shared" si="198"/>
        <v>DNS/DNF</v>
      </c>
      <c r="BA376" s="62" t="str">
        <f t="shared" si="199"/>
        <v>DNS/DNF</v>
      </c>
      <c r="BB376" s="62" t="str">
        <f t="shared" si="200"/>
        <v>DNS/DNF</v>
      </c>
      <c r="BC376" s="75" t="str">
        <f t="shared" si="201"/>
        <v/>
      </c>
      <c r="BD376" s="53" t="str">
        <f t="shared" si="202"/>
        <v/>
      </c>
      <c r="BE376" s="53" t="str">
        <f t="shared" si="203"/>
        <v/>
      </c>
      <c r="BF376" s="53" t="str">
        <f t="shared" si="204"/>
        <v/>
      </c>
      <c r="BG376" s="53" t="str">
        <f t="shared" si="205"/>
        <v/>
      </c>
      <c r="BH376" s="53" t="str">
        <f t="shared" si="206"/>
        <v/>
      </c>
      <c r="BI376" s="53" t="str">
        <f t="shared" si="207"/>
        <v/>
      </c>
      <c r="BJ376" s="53" t="str">
        <f t="shared" si="208"/>
        <v/>
      </c>
      <c r="BK376" s="53" t="str">
        <f t="shared" si="209"/>
        <v/>
      </c>
    </row>
    <row r="377" spans="2:63">
      <c r="B377" s="89" t="str">
        <f>IFERROR(VLOOKUP($A377,EntryList!$A$3:$N$645,2,FALSE),"")</f>
        <v/>
      </c>
      <c r="D377" s="53">
        <f t="shared" si="183"/>
        <v>0</v>
      </c>
      <c r="N377" s="62">
        <f t="shared" si="184"/>
        <v>0</v>
      </c>
      <c r="O377" s="53" t="str">
        <f t="shared" si="210"/>
        <v/>
      </c>
      <c r="P377" s="53" t="str">
        <f t="shared" si="211"/>
        <v/>
      </c>
      <c r="Q377" s="53" t="str">
        <f t="shared" si="212"/>
        <v/>
      </c>
      <c r="R377" s="53" t="str">
        <f t="shared" si="213"/>
        <v/>
      </c>
      <c r="S377" s="53" t="str">
        <f t="shared" si="214"/>
        <v/>
      </c>
      <c r="T377" s="53" t="str">
        <f t="shared" si="215"/>
        <v/>
      </c>
      <c r="U377" s="53" t="str">
        <f t="shared" si="216"/>
        <v/>
      </c>
      <c r="V377" s="53" t="str">
        <f t="shared" si="217"/>
        <v/>
      </c>
      <c r="W377" s="53" t="str">
        <f t="shared" si="185"/>
        <v>DNS/DNF ()</v>
      </c>
      <c r="X377" s="53" t="str">
        <f t="shared" si="186"/>
        <v>DNS/DNF ()</v>
      </c>
      <c r="Y377" s="53" t="str">
        <f t="shared" si="187"/>
        <v>DNS/DNF ()</v>
      </c>
      <c r="Z377" s="53" t="str">
        <f t="shared" si="188"/>
        <v>DNS/DNF ()</v>
      </c>
      <c r="AA377" s="53" t="str">
        <f t="shared" si="189"/>
        <v>DNS/DNF ()</v>
      </c>
      <c r="AB377" s="53" t="str">
        <f t="shared" si="190"/>
        <v>DNS/DNF ()</v>
      </c>
      <c r="AC377" s="53" t="str">
        <f t="shared" si="191"/>
        <v>DNS/DNF ()</v>
      </c>
      <c r="AD377" s="53" t="str">
        <f t="shared" si="192"/>
        <v>DNS/DNF ()</v>
      </c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62" t="str">
        <f t="shared" si="193"/>
        <v>DNS/DNF</v>
      </c>
      <c r="AV377" s="62" t="str">
        <f t="shared" si="194"/>
        <v>DNS/DNF</v>
      </c>
      <c r="AW377" s="62" t="str">
        <f t="shared" si="195"/>
        <v>DNS/DNF</v>
      </c>
      <c r="AX377" s="62" t="str">
        <f t="shared" si="196"/>
        <v>DNS/DNF</v>
      </c>
      <c r="AY377" s="62" t="str">
        <f t="shared" si="197"/>
        <v>DNS/DNF</v>
      </c>
      <c r="AZ377" s="62" t="str">
        <f t="shared" si="198"/>
        <v>DNS/DNF</v>
      </c>
      <c r="BA377" s="62" t="str">
        <f t="shared" si="199"/>
        <v>DNS/DNF</v>
      </c>
      <c r="BB377" s="62" t="str">
        <f t="shared" si="200"/>
        <v>DNS/DNF</v>
      </c>
      <c r="BC377" s="75" t="str">
        <f t="shared" si="201"/>
        <v/>
      </c>
      <c r="BD377" s="53" t="str">
        <f t="shared" si="202"/>
        <v/>
      </c>
      <c r="BE377" s="53" t="str">
        <f t="shared" si="203"/>
        <v/>
      </c>
      <c r="BF377" s="53" t="str">
        <f t="shared" si="204"/>
        <v/>
      </c>
      <c r="BG377" s="53" t="str">
        <f t="shared" si="205"/>
        <v/>
      </c>
      <c r="BH377" s="53" t="str">
        <f t="shared" si="206"/>
        <v/>
      </c>
      <c r="BI377" s="53" t="str">
        <f t="shared" si="207"/>
        <v/>
      </c>
      <c r="BJ377" s="53" t="str">
        <f t="shared" si="208"/>
        <v/>
      </c>
      <c r="BK377" s="53" t="str">
        <f t="shared" si="209"/>
        <v/>
      </c>
    </row>
    <row r="378" spans="2:63">
      <c r="B378" s="89" t="str">
        <f>IFERROR(VLOOKUP($A378,EntryList!$A$3:$N$645,2,FALSE),"")</f>
        <v/>
      </c>
      <c r="D378" s="53">
        <f t="shared" si="183"/>
        <v>0</v>
      </c>
      <c r="N378" s="62">
        <f t="shared" si="184"/>
        <v>0</v>
      </c>
      <c r="O378" s="53" t="str">
        <f t="shared" si="210"/>
        <v/>
      </c>
      <c r="P378" s="53" t="str">
        <f t="shared" si="211"/>
        <v/>
      </c>
      <c r="Q378" s="53" t="str">
        <f t="shared" si="212"/>
        <v/>
      </c>
      <c r="R378" s="53" t="str">
        <f t="shared" si="213"/>
        <v/>
      </c>
      <c r="S378" s="53" t="str">
        <f t="shared" si="214"/>
        <v/>
      </c>
      <c r="T378" s="53" t="str">
        <f t="shared" si="215"/>
        <v/>
      </c>
      <c r="U378" s="53" t="str">
        <f t="shared" si="216"/>
        <v/>
      </c>
      <c r="V378" s="53" t="str">
        <f t="shared" si="217"/>
        <v/>
      </c>
      <c r="W378" s="53" t="str">
        <f t="shared" si="185"/>
        <v>DNS/DNF ()</v>
      </c>
      <c r="X378" s="53" t="str">
        <f t="shared" si="186"/>
        <v>DNS/DNF ()</v>
      </c>
      <c r="Y378" s="53" t="str">
        <f t="shared" si="187"/>
        <v>DNS/DNF ()</v>
      </c>
      <c r="Z378" s="53" t="str">
        <f t="shared" si="188"/>
        <v>DNS/DNF ()</v>
      </c>
      <c r="AA378" s="53" t="str">
        <f t="shared" si="189"/>
        <v>DNS/DNF ()</v>
      </c>
      <c r="AB378" s="53" t="str">
        <f t="shared" si="190"/>
        <v>DNS/DNF ()</v>
      </c>
      <c r="AC378" s="53" t="str">
        <f t="shared" si="191"/>
        <v>DNS/DNF ()</v>
      </c>
      <c r="AD378" s="53" t="str">
        <f t="shared" si="192"/>
        <v>DNS/DNF ()</v>
      </c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62" t="str">
        <f t="shared" si="193"/>
        <v>DNS/DNF</v>
      </c>
      <c r="AV378" s="62" t="str">
        <f t="shared" si="194"/>
        <v>DNS/DNF</v>
      </c>
      <c r="AW378" s="62" t="str">
        <f t="shared" si="195"/>
        <v>DNS/DNF</v>
      </c>
      <c r="AX378" s="62" t="str">
        <f t="shared" si="196"/>
        <v>DNS/DNF</v>
      </c>
      <c r="AY378" s="62" t="str">
        <f t="shared" si="197"/>
        <v>DNS/DNF</v>
      </c>
      <c r="AZ378" s="62" t="str">
        <f t="shared" si="198"/>
        <v>DNS/DNF</v>
      </c>
      <c r="BA378" s="62" t="str">
        <f t="shared" si="199"/>
        <v>DNS/DNF</v>
      </c>
      <c r="BB378" s="62" t="str">
        <f t="shared" si="200"/>
        <v>DNS/DNF</v>
      </c>
      <c r="BC378" s="75" t="str">
        <f t="shared" si="201"/>
        <v/>
      </c>
      <c r="BD378" s="53" t="str">
        <f t="shared" si="202"/>
        <v/>
      </c>
      <c r="BE378" s="53" t="str">
        <f t="shared" si="203"/>
        <v/>
      </c>
      <c r="BF378" s="53" t="str">
        <f t="shared" si="204"/>
        <v/>
      </c>
      <c r="BG378" s="53" t="str">
        <f t="shared" si="205"/>
        <v/>
      </c>
      <c r="BH378" s="53" t="str">
        <f t="shared" si="206"/>
        <v/>
      </c>
      <c r="BI378" s="53" t="str">
        <f t="shared" si="207"/>
        <v/>
      </c>
      <c r="BJ378" s="53" t="str">
        <f t="shared" si="208"/>
        <v/>
      </c>
      <c r="BK378" s="53" t="str">
        <f t="shared" si="209"/>
        <v/>
      </c>
    </row>
    <row r="379" spans="2:63">
      <c r="B379" s="89" t="str">
        <f>IFERROR(VLOOKUP($A379,EntryList!$A$3:$N$645,2,FALSE),"")</f>
        <v/>
      </c>
      <c r="D379" s="53">
        <f t="shared" si="183"/>
        <v>0</v>
      </c>
      <c r="N379" s="62">
        <f t="shared" si="184"/>
        <v>0</v>
      </c>
      <c r="O379" s="53" t="str">
        <f t="shared" si="210"/>
        <v/>
      </c>
      <c r="P379" s="53" t="str">
        <f t="shared" si="211"/>
        <v/>
      </c>
      <c r="Q379" s="53" t="str">
        <f t="shared" si="212"/>
        <v/>
      </c>
      <c r="R379" s="53" t="str">
        <f t="shared" si="213"/>
        <v/>
      </c>
      <c r="S379" s="53" t="str">
        <f t="shared" si="214"/>
        <v/>
      </c>
      <c r="T379" s="53" t="str">
        <f t="shared" si="215"/>
        <v/>
      </c>
      <c r="U379" s="53" t="str">
        <f t="shared" si="216"/>
        <v/>
      </c>
      <c r="V379" s="53" t="str">
        <f t="shared" si="217"/>
        <v/>
      </c>
      <c r="W379" s="53" t="str">
        <f t="shared" si="185"/>
        <v>DNS/DNF ()</v>
      </c>
      <c r="X379" s="53" t="str">
        <f t="shared" si="186"/>
        <v>DNS/DNF ()</v>
      </c>
      <c r="Y379" s="53" t="str">
        <f t="shared" si="187"/>
        <v>DNS/DNF ()</v>
      </c>
      <c r="Z379" s="53" t="str">
        <f t="shared" si="188"/>
        <v>DNS/DNF ()</v>
      </c>
      <c r="AA379" s="53" t="str">
        <f t="shared" si="189"/>
        <v>DNS/DNF ()</v>
      </c>
      <c r="AB379" s="53" t="str">
        <f t="shared" si="190"/>
        <v>DNS/DNF ()</v>
      </c>
      <c r="AC379" s="53" t="str">
        <f t="shared" si="191"/>
        <v>DNS/DNF ()</v>
      </c>
      <c r="AD379" s="53" t="str">
        <f t="shared" si="192"/>
        <v>DNS/DNF ()</v>
      </c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62" t="str">
        <f t="shared" si="193"/>
        <v>DNS/DNF</v>
      </c>
      <c r="AV379" s="62" t="str">
        <f t="shared" si="194"/>
        <v>DNS/DNF</v>
      </c>
      <c r="AW379" s="62" t="str">
        <f t="shared" si="195"/>
        <v>DNS/DNF</v>
      </c>
      <c r="AX379" s="62" t="str">
        <f t="shared" si="196"/>
        <v>DNS/DNF</v>
      </c>
      <c r="AY379" s="62" t="str">
        <f t="shared" si="197"/>
        <v>DNS/DNF</v>
      </c>
      <c r="AZ379" s="62" t="str">
        <f t="shared" si="198"/>
        <v>DNS/DNF</v>
      </c>
      <c r="BA379" s="62" t="str">
        <f t="shared" si="199"/>
        <v>DNS/DNF</v>
      </c>
      <c r="BB379" s="62" t="str">
        <f t="shared" si="200"/>
        <v>DNS/DNF</v>
      </c>
      <c r="BC379" s="75" t="str">
        <f t="shared" si="201"/>
        <v/>
      </c>
      <c r="BD379" s="53" t="str">
        <f t="shared" si="202"/>
        <v/>
      </c>
      <c r="BE379" s="53" t="str">
        <f t="shared" si="203"/>
        <v/>
      </c>
      <c r="BF379" s="53" t="str">
        <f t="shared" si="204"/>
        <v/>
      </c>
      <c r="BG379" s="53" t="str">
        <f t="shared" si="205"/>
        <v/>
      </c>
      <c r="BH379" s="53" t="str">
        <f t="shared" si="206"/>
        <v/>
      </c>
      <c r="BI379" s="53" t="str">
        <f t="shared" si="207"/>
        <v/>
      </c>
      <c r="BJ379" s="53" t="str">
        <f t="shared" si="208"/>
        <v/>
      </c>
      <c r="BK379" s="53" t="str">
        <f t="shared" si="209"/>
        <v/>
      </c>
    </row>
    <row r="380" spans="2:63">
      <c r="B380" s="89" t="str">
        <f>IFERROR(VLOOKUP($A380,EntryList!$A$3:$N$645,2,FALSE),"")</f>
        <v/>
      </c>
      <c r="D380" s="53">
        <f t="shared" si="183"/>
        <v>0</v>
      </c>
      <c r="N380" s="62">
        <f t="shared" si="184"/>
        <v>0</v>
      </c>
      <c r="O380" s="53" t="str">
        <f t="shared" si="210"/>
        <v/>
      </c>
      <c r="P380" s="53" t="str">
        <f t="shared" si="211"/>
        <v/>
      </c>
      <c r="Q380" s="53" t="str">
        <f t="shared" si="212"/>
        <v/>
      </c>
      <c r="R380" s="53" t="str">
        <f t="shared" si="213"/>
        <v/>
      </c>
      <c r="S380" s="53" t="str">
        <f t="shared" si="214"/>
        <v/>
      </c>
      <c r="T380" s="53" t="str">
        <f t="shared" si="215"/>
        <v/>
      </c>
      <c r="U380" s="53" t="str">
        <f t="shared" si="216"/>
        <v/>
      </c>
      <c r="V380" s="53" t="str">
        <f t="shared" si="217"/>
        <v/>
      </c>
      <c r="W380" s="53" t="str">
        <f t="shared" si="185"/>
        <v>DNS/DNF ()</v>
      </c>
      <c r="X380" s="53" t="str">
        <f t="shared" si="186"/>
        <v>DNS/DNF ()</v>
      </c>
      <c r="Y380" s="53" t="str">
        <f t="shared" si="187"/>
        <v>DNS/DNF ()</v>
      </c>
      <c r="Z380" s="53" t="str">
        <f t="shared" si="188"/>
        <v>DNS/DNF ()</v>
      </c>
      <c r="AA380" s="53" t="str">
        <f t="shared" si="189"/>
        <v>DNS/DNF ()</v>
      </c>
      <c r="AB380" s="53" t="str">
        <f t="shared" si="190"/>
        <v>DNS/DNF ()</v>
      </c>
      <c r="AC380" s="53" t="str">
        <f t="shared" si="191"/>
        <v>DNS/DNF ()</v>
      </c>
      <c r="AD380" s="53" t="str">
        <f t="shared" si="192"/>
        <v>DNS/DNF ()</v>
      </c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62" t="str">
        <f t="shared" si="193"/>
        <v>DNS/DNF</v>
      </c>
      <c r="AV380" s="62" t="str">
        <f t="shared" si="194"/>
        <v>DNS/DNF</v>
      </c>
      <c r="AW380" s="62" t="str">
        <f t="shared" si="195"/>
        <v>DNS/DNF</v>
      </c>
      <c r="AX380" s="62" t="str">
        <f t="shared" si="196"/>
        <v>DNS/DNF</v>
      </c>
      <c r="AY380" s="62" t="str">
        <f t="shared" si="197"/>
        <v>DNS/DNF</v>
      </c>
      <c r="AZ380" s="62" t="str">
        <f t="shared" si="198"/>
        <v>DNS/DNF</v>
      </c>
      <c r="BA380" s="62" t="str">
        <f t="shared" si="199"/>
        <v>DNS/DNF</v>
      </c>
      <c r="BB380" s="62" t="str">
        <f t="shared" si="200"/>
        <v>DNS/DNF</v>
      </c>
      <c r="BC380" s="75" t="str">
        <f t="shared" si="201"/>
        <v/>
      </c>
      <c r="BD380" s="53" t="str">
        <f t="shared" si="202"/>
        <v/>
      </c>
      <c r="BE380" s="53" t="str">
        <f t="shared" si="203"/>
        <v/>
      </c>
      <c r="BF380" s="53" t="str">
        <f t="shared" si="204"/>
        <v/>
      </c>
      <c r="BG380" s="53" t="str">
        <f t="shared" si="205"/>
        <v/>
      </c>
      <c r="BH380" s="53" t="str">
        <f t="shared" si="206"/>
        <v/>
      </c>
      <c r="BI380" s="53" t="str">
        <f t="shared" si="207"/>
        <v/>
      </c>
      <c r="BJ380" s="53" t="str">
        <f t="shared" si="208"/>
        <v/>
      </c>
      <c r="BK380" s="53" t="str">
        <f t="shared" si="209"/>
        <v/>
      </c>
    </row>
    <row r="381" spans="2:63">
      <c r="B381" s="89" t="str">
        <f>IFERROR(VLOOKUP($A381,EntryList!$A$3:$N$645,2,FALSE),"")</f>
        <v/>
      </c>
      <c r="D381" s="53">
        <f t="shared" si="183"/>
        <v>0</v>
      </c>
      <c r="N381" s="62">
        <f t="shared" si="184"/>
        <v>0</v>
      </c>
      <c r="O381" s="53" t="str">
        <f t="shared" si="210"/>
        <v/>
      </c>
      <c r="P381" s="53" t="str">
        <f t="shared" si="211"/>
        <v/>
      </c>
      <c r="Q381" s="53" t="str">
        <f t="shared" si="212"/>
        <v/>
      </c>
      <c r="R381" s="53" t="str">
        <f t="shared" si="213"/>
        <v/>
      </c>
      <c r="S381" s="53" t="str">
        <f t="shared" si="214"/>
        <v/>
      </c>
      <c r="T381" s="53" t="str">
        <f t="shared" si="215"/>
        <v/>
      </c>
      <c r="U381" s="53" t="str">
        <f t="shared" si="216"/>
        <v/>
      </c>
      <c r="V381" s="53" t="str">
        <f t="shared" si="217"/>
        <v/>
      </c>
      <c r="W381" s="53" t="str">
        <f t="shared" si="185"/>
        <v>DNS/DNF ()</v>
      </c>
      <c r="X381" s="53" t="str">
        <f t="shared" si="186"/>
        <v>DNS/DNF ()</v>
      </c>
      <c r="Y381" s="53" t="str">
        <f t="shared" si="187"/>
        <v>DNS/DNF ()</v>
      </c>
      <c r="Z381" s="53" t="str">
        <f t="shared" si="188"/>
        <v>DNS/DNF ()</v>
      </c>
      <c r="AA381" s="53" t="str">
        <f t="shared" si="189"/>
        <v>DNS/DNF ()</v>
      </c>
      <c r="AB381" s="53" t="str">
        <f t="shared" si="190"/>
        <v>DNS/DNF ()</v>
      </c>
      <c r="AC381" s="53" t="str">
        <f t="shared" si="191"/>
        <v>DNS/DNF ()</v>
      </c>
      <c r="AD381" s="53" t="str">
        <f t="shared" si="192"/>
        <v>DNS/DNF ()</v>
      </c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62" t="str">
        <f t="shared" si="193"/>
        <v>DNS/DNF</v>
      </c>
      <c r="AV381" s="62" t="str">
        <f t="shared" si="194"/>
        <v>DNS/DNF</v>
      </c>
      <c r="AW381" s="62" t="str">
        <f t="shared" si="195"/>
        <v>DNS/DNF</v>
      </c>
      <c r="AX381" s="62" t="str">
        <f t="shared" si="196"/>
        <v>DNS/DNF</v>
      </c>
      <c r="AY381" s="62" t="str">
        <f t="shared" si="197"/>
        <v>DNS/DNF</v>
      </c>
      <c r="AZ381" s="62" t="str">
        <f t="shared" si="198"/>
        <v>DNS/DNF</v>
      </c>
      <c r="BA381" s="62" t="str">
        <f t="shared" si="199"/>
        <v>DNS/DNF</v>
      </c>
      <c r="BB381" s="62" t="str">
        <f t="shared" si="200"/>
        <v>DNS/DNF</v>
      </c>
      <c r="BC381" s="75" t="str">
        <f t="shared" si="201"/>
        <v/>
      </c>
      <c r="BD381" s="53" t="str">
        <f t="shared" si="202"/>
        <v/>
      </c>
      <c r="BE381" s="53" t="str">
        <f t="shared" si="203"/>
        <v/>
      </c>
      <c r="BF381" s="53" t="str">
        <f t="shared" si="204"/>
        <v/>
      </c>
      <c r="BG381" s="53" t="str">
        <f t="shared" si="205"/>
        <v/>
      </c>
      <c r="BH381" s="53" t="str">
        <f t="shared" si="206"/>
        <v/>
      </c>
      <c r="BI381" s="53" t="str">
        <f t="shared" si="207"/>
        <v/>
      </c>
      <c r="BJ381" s="53" t="str">
        <f t="shared" si="208"/>
        <v/>
      </c>
      <c r="BK381" s="53" t="str">
        <f t="shared" si="209"/>
        <v/>
      </c>
    </row>
    <row r="382" spans="2:63">
      <c r="B382" s="89" t="str">
        <f>IFERROR(VLOOKUP($A382,EntryList!$A$3:$N$645,2,FALSE),"")</f>
        <v/>
      </c>
      <c r="D382" s="53">
        <f t="shared" ref="D382:D445" si="218">COUNT($AU382:$BB382)</f>
        <v>0</v>
      </c>
      <c r="N382" s="62">
        <f t="shared" ref="N382:N445" si="219">SUM($AU382:$BB382)</f>
        <v>0</v>
      </c>
      <c r="O382" s="53" t="str">
        <f t="shared" si="210"/>
        <v/>
      </c>
      <c r="P382" s="53" t="str">
        <f t="shared" si="211"/>
        <v/>
      </c>
      <c r="Q382" s="53" t="str">
        <f t="shared" si="212"/>
        <v/>
      </c>
      <c r="R382" s="53" t="str">
        <f t="shared" si="213"/>
        <v/>
      </c>
      <c r="S382" s="53" t="str">
        <f t="shared" si="214"/>
        <v/>
      </c>
      <c r="T382" s="53" t="str">
        <f t="shared" si="215"/>
        <v/>
      </c>
      <c r="U382" s="53" t="str">
        <f t="shared" si="216"/>
        <v/>
      </c>
      <c r="V382" s="53" t="str">
        <f t="shared" si="217"/>
        <v/>
      </c>
      <c r="W382" s="53" t="str">
        <f t="shared" si="185"/>
        <v>DNS/DNF ()</v>
      </c>
      <c r="X382" s="53" t="str">
        <f t="shared" si="186"/>
        <v>DNS/DNF ()</v>
      </c>
      <c r="Y382" s="53" t="str">
        <f t="shared" si="187"/>
        <v>DNS/DNF ()</v>
      </c>
      <c r="Z382" s="53" t="str">
        <f t="shared" si="188"/>
        <v>DNS/DNF ()</v>
      </c>
      <c r="AA382" s="53" t="str">
        <f t="shared" si="189"/>
        <v>DNS/DNF ()</v>
      </c>
      <c r="AB382" s="53" t="str">
        <f t="shared" si="190"/>
        <v>DNS/DNF ()</v>
      </c>
      <c r="AC382" s="53" t="str">
        <f t="shared" si="191"/>
        <v>DNS/DNF ()</v>
      </c>
      <c r="AD382" s="53" t="str">
        <f t="shared" si="192"/>
        <v>DNS/DNF ()</v>
      </c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62" t="str">
        <f t="shared" si="193"/>
        <v>DNS/DNF</v>
      </c>
      <c r="AV382" s="62" t="str">
        <f t="shared" si="194"/>
        <v>DNS/DNF</v>
      </c>
      <c r="AW382" s="62" t="str">
        <f t="shared" si="195"/>
        <v>DNS/DNF</v>
      </c>
      <c r="AX382" s="62" t="str">
        <f t="shared" si="196"/>
        <v>DNS/DNF</v>
      </c>
      <c r="AY382" s="62" t="str">
        <f t="shared" si="197"/>
        <v>DNS/DNF</v>
      </c>
      <c r="AZ382" s="62" t="str">
        <f t="shared" si="198"/>
        <v>DNS/DNF</v>
      </c>
      <c r="BA382" s="62" t="str">
        <f t="shared" si="199"/>
        <v>DNS/DNF</v>
      </c>
      <c r="BB382" s="62" t="str">
        <f t="shared" si="200"/>
        <v>DNS/DNF</v>
      </c>
      <c r="BC382" s="75" t="str">
        <f t="shared" si="201"/>
        <v/>
      </c>
      <c r="BD382" s="53" t="str">
        <f t="shared" si="202"/>
        <v/>
      </c>
      <c r="BE382" s="53" t="str">
        <f t="shared" si="203"/>
        <v/>
      </c>
      <c r="BF382" s="53" t="str">
        <f t="shared" si="204"/>
        <v/>
      </c>
      <c r="BG382" s="53" t="str">
        <f t="shared" si="205"/>
        <v/>
      </c>
      <c r="BH382" s="53" t="str">
        <f t="shared" si="206"/>
        <v/>
      </c>
      <c r="BI382" s="53" t="str">
        <f t="shared" si="207"/>
        <v/>
      </c>
      <c r="BJ382" s="53" t="str">
        <f t="shared" si="208"/>
        <v/>
      </c>
      <c r="BK382" s="53" t="str">
        <f t="shared" si="209"/>
        <v/>
      </c>
    </row>
    <row r="383" spans="2:63">
      <c r="B383" s="89" t="str">
        <f>IFERROR(VLOOKUP($A383,EntryList!$A$3:$N$645,2,FALSE),"")</f>
        <v/>
      </c>
      <c r="D383" s="53">
        <f t="shared" si="218"/>
        <v>0</v>
      </c>
      <c r="N383" s="62">
        <f t="shared" si="219"/>
        <v>0</v>
      </c>
      <c r="O383" s="53" t="str">
        <f t="shared" si="210"/>
        <v/>
      </c>
      <c r="P383" s="53" t="str">
        <f t="shared" si="211"/>
        <v/>
      </c>
      <c r="Q383" s="53" t="str">
        <f t="shared" si="212"/>
        <v/>
      </c>
      <c r="R383" s="53" t="str">
        <f t="shared" si="213"/>
        <v/>
      </c>
      <c r="S383" s="53" t="str">
        <f t="shared" si="214"/>
        <v/>
      </c>
      <c r="T383" s="53" t="str">
        <f t="shared" si="215"/>
        <v/>
      </c>
      <c r="U383" s="53" t="str">
        <f t="shared" si="216"/>
        <v/>
      </c>
      <c r="V383" s="53" t="str">
        <f t="shared" si="217"/>
        <v/>
      </c>
      <c r="W383" s="53" t="str">
        <f t="shared" si="185"/>
        <v>DNS/DNF ()</v>
      </c>
      <c r="X383" s="53" t="str">
        <f t="shared" si="186"/>
        <v>DNS/DNF ()</v>
      </c>
      <c r="Y383" s="53" t="str">
        <f t="shared" si="187"/>
        <v>DNS/DNF ()</v>
      </c>
      <c r="Z383" s="53" t="str">
        <f t="shared" si="188"/>
        <v>DNS/DNF ()</v>
      </c>
      <c r="AA383" s="53" t="str">
        <f t="shared" si="189"/>
        <v>DNS/DNF ()</v>
      </c>
      <c r="AB383" s="53" t="str">
        <f t="shared" si="190"/>
        <v>DNS/DNF ()</v>
      </c>
      <c r="AC383" s="53" t="str">
        <f t="shared" si="191"/>
        <v>DNS/DNF ()</v>
      </c>
      <c r="AD383" s="53" t="str">
        <f t="shared" si="192"/>
        <v>DNS/DNF ()</v>
      </c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62" t="str">
        <f t="shared" si="193"/>
        <v>DNS/DNF</v>
      </c>
      <c r="AV383" s="62" t="str">
        <f t="shared" si="194"/>
        <v>DNS/DNF</v>
      </c>
      <c r="AW383" s="62" t="str">
        <f t="shared" si="195"/>
        <v>DNS/DNF</v>
      </c>
      <c r="AX383" s="62" t="str">
        <f t="shared" si="196"/>
        <v>DNS/DNF</v>
      </c>
      <c r="AY383" s="62" t="str">
        <f t="shared" si="197"/>
        <v>DNS/DNF</v>
      </c>
      <c r="AZ383" s="62" t="str">
        <f t="shared" si="198"/>
        <v>DNS/DNF</v>
      </c>
      <c r="BA383" s="62" t="str">
        <f t="shared" si="199"/>
        <v>DNS/DNF</v>
      </c>
      <c r="BB383" s="62" t="str">
        <f t="shared" si="200"/>
        <v>DNS/DNF</v>
      </c>
      <c r="BC383" s="75" t="str">
        <f t="shared" si="201"/>
        <v/>
      </c>
      <c r="BD383" s="53" t="str">
        <f t="shared" si="202"/>
        <v/>
      </c>
      <c r="BE383" s="53" t="str">
        <f t="shared" si="203"/>
        <v/>
      </c>
      <c r="BF383" s="53" t="str">
        <f t="shared" si="204"/>
        <v/>
      </c>
      <c r="BG383" s="53" t="str">
        <f t="shared" si="205"/>
        <v/>
      </c>
      <c r="BH383" s="53" t="str">
        <f t="shared" si="206"/>
        <v/>
      </c>
      <c r="BI383" s="53" t="str">
        <f t="shared" si="207"/>
        <v/>
      </c>
      <c r="BJ383" s="53" t="str">
        <f t="shared" si="208"/>
        <v/>
      </c>
      <c r="BK383" s="53" t="str">
        <f t="shared" si="209"/>
        <v/>
      </c>
    </row>
    <row r="384" spans="2:63">
      <c r="B384" s="89" t="str">
        <f>IFERROR(VLOOKUP($A384,EntryList!$A$3:$N$645,2,FALSE),"")</f>
        <v/>
      </c>
      <c r="D384" s="53">
        <f t="shared" si="218"/>
        <v>0</v>
      </c>
      <c r="N384" s="62">
        <f t="shared" si="219"/>
        <v>0</v>
      </c>
      <c r="O384" s="53" t="str">
        <f t="shared" si="210"/>
        <v/>
      </c>
      <c r="P384" s="53" t="str">
        <f t="shared" si="211"/>
        <v/>
      </c>
      <c r="Q384" s="53" t="str">
        <f t="shared" si="212"/>
        <v/>
      </c>
      <c r="R384" s="53" t="str">
        <f t="shared" si="213"/>
        <v/>
      </c>
      <c r="S384" s="53" t="str">
        <f t="shared" si="214"/>
        <v/>
      </c>
      <c r="T384" s="53" t="str">
        <f t="shared" si="215"/>
        <v/>
      </c>
      <c r="U384" s="53" t="str">
        <f t="shared" si="216"/>
        <v/>
      </c>
      <c r="V384" s="53" t="str">
        <f t="shared" si="217"/>
        <v/>
      </c>
      <c r="W384" s="53" t="str">
        <f t="shared" si="185"/>
        <v>DNS/DNF ()</v>
      </c>
      <c r="X384" s="53" t="str">
        <f t="shared" si="186"/>
        <v>DNS/DNF ()</v>
      </c>
      <c r="Y384" s="53" t="str">
        <f t="shared" si="187"/>
        <v>DNS/DNF ()</v>
      </c>
      <c r="Z384" s="53" t="str">
        <f t="shared" si="188"/>
        <v>DNS/DNF ()</v>
      </c>
      <c r="AA384" s="53" t="str">
        <f t="shared" si="189"/>
        <v>DNS/DNF ()</v>
      </c>
      <c r="AB384" s="53" t="str">
        <f t="shared" si="190"/>
        <v>DNS/DNF ()</v>
      </c>
      <c r="AC384" s="53" t="str">
        <f t="shared" si="191"/>
        <v>DNS/DNF ()</v>
      </c>
      <c r="AD384" s="53" t="str">
        <f t="shared" si="192"/>
        <v>DNS/DNF ()</v>
      </c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62" t="str">
        <f t="shared" si="193"/>
        <v>DNS/DNF</v>
      </c>
      <c r="AV384" s="62" t="str">
        <f t="shared" si="194"/>
        <v>DNS/DNF</v>
      </c>
      <c r="AW384" s="62" t="str">
        <f t="shared" si="195"/>
        <v>DNS/DNF</v>
      </c>
      <c r="AX384" s="62" t="str">
        <f t="shared" si="196"/>
        <v>DNS/DNF</v>
      </c>
      <c r="AY384" s="62" t="str">
        <f t="shared" si="197"/>
        <v>DNS/DNF</v>
      </c>
      <c r="AZ384" s="62" t="str">
        <f t="shared" si="198"/>
        <v>DNS/DNF</v>
      </c>
      <c r="BA384" s="62" t="str">
        <f t="shared" si="199"/>
        <v>DNS/DNF</v>
      </c>
      <c r="BB384" s="62" t="str">
        <f t="shared" si="200"/>
        <v>DNS/DNF</v>
      </c>
      <c r="BC384" s="75" t="str">
        <f t="shared" si="201"/>
        <v/>
      </c>
      <c r="BD384" s="53" t="str">
        <f t="shared" si="202"/>
        <v/>
      </c>
      <c r="BE384" s="53" t="str">
        <f t="shared" si="203"/>
        <v/>
      </c>
      <c r="BF384" s="53" t="str">
        <f t="shared" si="204"/>
        <v/>
      </c>
      <c r="BG384" s="53" t="str">
        <f t="shared" si="205"/>
        <v/>
      </c>
      <c r="BH384" s="53" t="str">
        <f t="shared" si="206"/>
        <v/>
      </c>
      <c r="BI384" s="53" t="str">
        <f t="shared" si="207"/>
        <v/>
      </c>
      <c r="BJ384" s="53" t="str">
        <f t="shared" si="208"/>
        <v/>
      </c>
      <c r="BK384" s="53" t="str">
        <f t="shared" si="209"/>
        <v/>
      </c>
    </row>
    <row r="385" spans="2:63">
      <c r="B385" s="89" t="str">
        <f>IFERROR(VLOOKUP($A385,EntryList!$A$3:$N$645,2,FALSE),"")</f>
        <v/>
      </c>
      <c r="D385" s="53">
        <f t="shared" si="218"/>
        <v>0</v>
      </c>
      <c r="N385" s="62">
        <f t="shared" si="219"/>
        <v>0</v>
      </c>
      <c r="O385" s="53" t="str">
        <f t="shared" si="210"/>
        <v/>
      </c>
      <c r="P385" s="53" t="str">
        <f t="shared" si="211"/>
        <v/>
      </c>
      <c r="Q385" s="53" t="str">
        <f t="shared" si="212"/>
        <v/>
      </c>
      <c r="R385" s="53" t="str">
        <f t="shared" si="213"/>
        <v/>
      </c>
      <c r="S385" s="53" t="str">
        <f t="shared" si="214"/>
        <v/>
      </c>
      <c r="T385" s="53" t="str">
        <f t="shared" si="215"/>
        <v/>
      </c>
      <c r="U385" s="53" t="str">
        <f t="shared" si="216"/>
        <v/>
      </c>
      <c r="V385" s="53" t="str">
        <f t="shared" si="217"/>
        <v/>
      </c>
      <c r="W385" s="53" t="str">
        <f t="shared" si="185"/>
        <v>DNS/DNF ()</v>
      </c>
      <c r="X385" s="53" t="str">
        <f t="shared" si="186"/>
        <v>DNS/DNF ()</v>
      </c>
      <c r="Y385" s="53" t="str">
        <f t="shared" si="187"/>
        <v>DNS/DNF ()</v>
      </c>
      <c r="Z385" s="53" t="str">
        <f t="shared" si="188"/>
        <v>DNS/DNF ()</v>
      </c>
      <c r="AA385" s="53" t="str">
        <f t="shared" si="189"/>
        <v>DNS/DNF ()</v>
      </c>
      <c r="AB385" s="53" t="str">
        <f t="shared" si="190"/>
        <v>DNS/DNF ()</v>
      </c>
      <c r="AC385" s="53" t="str">
        <f t="shared" si="191"/>
        <v>DNS/DNF ()</v>
      </c>
      <c r="AD385" s="53" t="str">
        <f t="shared" si="192"/>
        <v>DNS/DNF ()</v>
      </c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62" t="str">
        <f t="shared" si="193"/>
        <v>DNS/DNF</v>
      </c>
      <c r="AV385" s="62" t="str">
        <f t="shared" si="194"/>
        <v>DNS/DNF</v>
      </c>
      <c r="AW385" s="62" t="str">
        <f t="shared" si="195"/>
        <v>DNS/DNF</v>
      </c>
      <c r="AX385" s="62" t="str">
        <f t="shared" si="196"/>
        <v>DNS/DNF</v>
      </c>
      <c r="AY385" s="62" t="str">
        <f t="shared" si="197"/>
        <v>DNS/DNF</v>
      </c>
      <c r="AZ385" s="62" t="str">
        <f t="shared" si="198"/>
        <v>DNS/DNF</v>
      </c>
      <c r="BA385" s="62" t="str">
        <f t="shared" si="199"/>
        <v>DNS/DNF</v>
      </c>
      <c r="BB385" s="62" t="str">
        <f t="shared" si="200"/>
        <v>DNS/DNF</v>
      </c>
      <c r="BC385" s="75" t="str">
        <f t="shared" si="201"/>
        <v/>
      </c>
      <c r="BD385" s="53" t="str">
        <f t="shared" si="202"/>
        <v/>
      </c>
      <c r="BE385" s="53" t="str">
        <f t="shared" si="203"/>
        <v/>
      </c>
      <c r="BF385" s="53" t="str">
        <f t="shared" si="204"/>
        <v/>
      </c>
      <c r="BG385" s="53" t="str">
        <f t="shared" si="205"/>
        <v/>
      </c>
      <c r="BH385" s="53" t="str">
        <f t="shared" si="206"/>
        <v/>
      </c>
      <c r="BI385" s="53" t="str">
        <f t="shared" si="207"/>
        <v/>
      </c>
      <c r="BJ385" s="53" t="str">
        <f t="shared" si="208"/>
        <v/>
      </c>
      <c r="BK385" s="53" t="str">
        <f t="shared" si="209"/>
        <v/>
      </c>
    </row>
    <row r="386" spans="2:63">
      <c r="B386" s="89" t="str">
        <f>IFERROR(VLOOKUP($A386,EntryList!$A$3:$N$645,2,FALSE),"")</f>
        <v/>
      </c>
      <c r="D386" s="53">
        <f t="shared" si="218"/>
        <v>0</v>
      </c>
      <c r="N386" s="62">
        <f t="shared" si="219"/>
        <v>0</v>
      </c>
      <c r="O386" s="53" t="str">
        <f t="shared" si="210"/>
        <v/>
      </c>
      <c r="P386" s="53" t="str">
        <f t="shared" si="211"/>
        <v/>
      </c>
      <c r="Q386" s="53" t="str">
        <f t="shared" si="212"/>
        <v/>
      </c>
      <c r="R386" s="53" t="str">
        <f t="shared" si="213"/>
        <v/>
      </c>
      <c r="S386" s="53" t="str">
        <f t="shared" si="214"/>
        <v/>
      </c>
      <c r="T386" s="53" t="str">
        <f t="shared" si="215"/>
        <v/>
      </c>
      <c r="U386" s="53" t="str">
        <f t="shared" si="216"/>
        <v/>
      </c>
      <c r="V386" s="53" t="str">
        <f t="shared" si="217"/>
        <v/>
      </c>
      <c r="W386" s="53" t="str">
        <f t="shared" si="185"/>
        <v>DNS/DNF ()</v>
      </c>
      <c r="X386" s="53" t="str">
        <f t="shared" si="186"/>
        <v>DNS/DNF ()</v>
      </c>
      <c r="Y386" s="53" t="str">
        <f t="shared" si="187"/>
        <v>DNS/DNF ()</v>
      </c>
      <c r="Z386" s="53" t="str">
        <f t="shared" si="188"/>
        <v>DNS/DNF ()</v>
      </c>
      <c r="AA386" s="53" t="str">
        <f t="shared" si="189"/>
        <v>DNS/DNF ()</v>
      </c>
      <c r="AB386" s="53" t="str">
        <f t="shared" si="190"/>
        <v>DNS/DNF ()</v>
      </c>
      <c r="AC386" s="53" t="str">
        <f t="shared" si="191"/>
        <v>DNS/DNF ()</v>
      </c>
      <c r="AD386" s="53" t="str">
        <f t="shared" si="192"/>
        <v>DNS/DNF ()</v>
      </c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62" t="str">
        <f t="shared" si="193"/>
        <v>DNS/DNF</v>
      </c>
      <c r="AV386" s="62" t="str">
        <f t="shared" si="194"/>
        <v>DNS/DNF</v>
      </c>
      <c r="AW386" s="62" t="str">
        <f t="shared" si="195"/>
        <v>DNS/DNF</v>
      </c>
      <c r="AX386" s="62" t="str">
        <f t="shared" si="196"/>
        <v>DNS/DNF</v>
      </c>
      <c r="AY386" s="62" t="str">
        <f t="shared" si="197"/>
        <v>DNS/DNF</v>
      </c>
      <c r="AZ386" s="62" t="str">
        <f t="shared" si="198"/>
        <v>DNS/DNF</v>
      </c>
      <c r="BA386" s="62" t="str">
        <f t="shared" si="199"/>
        <v>DNS/DNF</v>
      </c>
      <c r="BB386" s="62" t="str">
        <f t="shared" si="200"/>
        <v>DNS/DNF</v>
      </c>
      <c r="BC386" s="75" t="str">
        <f t="shared" si="201"/>
        <v/>
      </c>
      <c r="BD386" s="53" t="str">
        <f t="shared" si="202"/>
        <v/>
      </c>
      <c r="BE386" s="53" t="str">
        <f t="shared" si="203"/>
        <v/>
      </c>
      <c r="BF386" s="53" t="str">
        <f t="shared" si="204"/>
        <v/>
      </c>
      <c r="BG386" s="53" t="str">
        <f t="shared" si="205"/>
        <v/>
      </c>
      <c r="BH386" s="53" t="str">
        <f t="shared" si="206"/>
        <v/>
      </c>
      <c r="BI386" s="53" t="str">
        <f t="shared" si="207"/>
        <v/>
      </c>
      <c r="BJ386" s="53" t="str">
        <f t="shared" si="208"/>
        <v/>
      </c>
      <c r="BK386" s="53" t="str">
        <f t="shared" si="209"/>
        <v/>
      </c>
    </row>
    <row r="387" spans="2:63">
      <c r="B387" s="89" t="str">
        <f>IFERROR(VLOOKUP($A387,EntryList!$A$3:$N$645,2,FALSE),"")</f>
        <v/>
      </c>
      <c r="D387" s="53">
        <f t="shared" si="218"/>
        <v>0</v>
      </c>
      <c r="N387" s="62">
        <f t="shared" si="219"/>
        <v>0</v>
      </c>
      <c r="O387" s="53" t="str">
        <f t="shared" si="210"/>
        <v/>
      </c>
      <c r="P387" s="53" t="str">
        <f t="shared" si="211"/>
        <v/>
      </c>
      <c r="Q387" s="53" t="str">
        <f t="shared" si="212"/>
        <v/>
      </c>
      <c r="R387" s="53" t="str">
        <f t="shared" si="213"/>
        <v/>
      </c>
      <c r="S387" s="53" t="str">
        <f t="shared" si="214"/>
        <v/>
      </c>
      <c r="T387" s="53" t="str">
        <f t="shared" si="215"/>
        <v/>
      </c>
      <c r="U387" s="53" t="str">
        <f t="shared" si="216"/>
        <v/>
      </c>
      <c r="V387" s="53" t="str">
        <f t="shared" si="217"/>
        <v/>
      </c>
      <c r="W387" s="53" t="str">
        <f t="shared" si="185"/>
        <v>DNS/DNF ()</v>
      </c>
      <c r="X387" s="53" t="str">
        <f t="shared" si="186"/>
        <v>DNS/DNF ()</v>
      </c>
      <c r="Y387" s="53" t="str">
        <f t="shared" si="187"/>
        <v>DNS/DNF ()</v>
      </c>
      <c r="Z387" s="53" t="str">
        <f t="shared" si="188"/>
        <v>DNS/DNF ()</v>
      </c>
      <c r="AA387" s="53" t="str">
        <f t="shared" si="189"/>
        <v>DNS/DNF ()</v>
      </c>
      <c r="AB387" s="53" t="str">
        <f t="shared" si="190"/>
        <v>DNS/DNF ()</v>
      </c>
      <c r="AC387" s="53" t="str">
        <f t="shared" si="191"/>
        <v>DNS/DNF ()</v>
      </c>
      <c r="AD387" s="53" t="str">
        <f t="shared" si="192"/>
        <v>DNS/DNF ()</v>
      </c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62" t="str">
        <f t="shared" si="193"/>
        <v>DNS/DNF</v>
      </c>
      <c r="AV387" s="62" t="str">
        <f t="shared" si="194"/>
        <v>DNS/DNF</v>
      </c>
      <c r="AW387" s="62" t="str">
        <f t="shared" si="195"/>
        <v>DNS/DNF</v>
      </c>
      <c r="AX387" s="62" t="str">
        <f t="shared" si="196"/>
        <v>DNS/DNF</v>
      </c>
      <c r="AY387" s="62" t="str">
        <f t="shared" si="197"/>
        <v>DNS/DNF</v>
      </c>
      <c r="AZ387" s="62" t="str">
        <f t="shared" si="198"/>
        <v>DNS/DNF</v>
      </c>
      <c r="BA387" s="62" t="str">
        <f t="shared" si="199"/>
        <v>DNS/DNF</v>
      </c>
      <c r="BB387" s="62" t="str">
        <f t="shared" si="200"/>
        <v>DNS/DNF</v>
      </c>
      <c r="BC387" s="75" t="str">
        <f t="shared" si="201"/>
        <v/>
      </c>
      <c r="BD387" s="53" t="str">
        <f t="shared" si="202"/>
        <v/>
      </c>
      <c r="BE387" s="53" t="str">
        <f t="shared" si="203"/>
        <v/>
      </c>
      <c r="BF387" s="53" t="str">
        <f t="shared" si="204"/>
        <v/>
      </c>
      <c r="BG387" s="53" t="str">
        <f t="shared" si="205"/>
        <v/>
      </c>
      <c r="BH387" s="53" t="str">
        <f t="shared" si="206"/>
        <v/>
      </c>
      <c r="BI387" s="53" t="str">
        <f t="shared" si="207"/>
        <v/>
      </c>
      <c r="BJ387" s="53" t="str">
        <f t="shared" si="208"/>
        <v/>
      </c>
      <c r="BK387" s="53" t="str">
        <f t="shared" si="209"/>
        <v/>
      </c>
    </row>
    <row r="388" spans="2:63">
      <c r="B388" s="89" t="str">
        <f>IFERROR(VLOOKUP($A388,EntryList!$A$3:$N$645,2,FALSE),"")</f>
        <v/>
      </c>
      <c r="D388" s="53">
        <f t="shared" si="218"/>
        <v>0</v>
      </c>
      <c r="N388" s="62">
        <f t="shared" si="219"/>
        <v>0</v>
      </c>
      <c r="O388" s="53" t="str">
        <f t="shared" si="210"/>
        <v/>
      </c>
      <c r="P388" s="53" t="str">
        <f t="shared" si="211"/>
        <v/>
      </c>
      <c r="Q388" s="53" t="str">
        <f t="shared" si="212"/>
        <v/>
      </c>
      <c r="R388" s="53" t="str">
        <f t="shared" si="213"/>
        <v/>
      </c>
      <c r="S388" s="53" t="str">
        <f t="shared" si="214"/>
        <v/>
      </c>
      <c r="T388" s="53" t="str">
        <f t="shared" si="215"/>
        <v/>
      </c>
      <c r="U388" s="53" t="str">
        <f t="shared" si="216"/>
        <v/>
      </c>
      <c r="V388" s="53" t="str">
        <f t="shared" si="217"/>
        <v/>
      </c>
      <c r="W388" s="53" t="str">
        <f t="shared" ref="W388:W451" si="220">CONCATENATE(TEXT($AU388,"[hh]:mm:ss.0")," ","(",$O388,")")</f>
        <v>DNS/DNF ()</v>
      </c>
      <c r="X388" s="53" t="str">
        <f t="shared" ref="X388:X451" si="221">CONCATENATE(TEXT($AV388,"[hh]:mm:ss.0")," ","(",$P388,")")</f>
        <v>DNS/DNF ()</v>
      </c>
      <c r="Y388" s="53" t="str">
        <f t="shared" ref="Y388:Y451" si="222">CONCATENATE(TEXT($AW388,"[hh]:mm:ss.0")," ","(",$Q388,")")</f>
        <v>DNS/DNF ()</v>
      </c>
      <c r="Z388" s="53" t="str">
        <f t="shared" ref="Z388:Z451" si="223">CONCATENATE(TEXT($AX388,"[hh]:mm:ss.0")," ","(",$R388,")")</f>
        <v>DNS/DNF ()</v>
      </c>
      <c r="AA388" s="53" t="str">
        <f t="shared" ref="AA388:AA451" si="224">CONCATENATE(TEXT($AY388,"[hh]:mm:ss.0")," ","(",$S388,")")</f>
        <v>DNS/DNF ()</v>
      </c>
      <c r="AB388" s="53" t="str">
        <f t="shared" ref="AB388:AB451" si="225">CONCATENATE(TEXT($AZ388,"[hh]:mm:ss.0")," ","(",$T388,")")</f>
        <v>DNS/DNF ()</v>
      </c>
      <c r="AC388" s="53" t="str">
        <f t="shared" ref="AC388:AC451" si="226">CONCATENATE(TEXT($BA388,"[hh]:mm:ss.0")," ","(",$U388,")")</f>
        <v>DNS/DNF ()</v>
      </c>
      <c r="AD388" s="53" t="str">
        <f t="shared" ref="AD388:AD451" si="227">CONCATENATE(TEXT($BB388,"[hh]:mm:ss.0")," ","(",$V388,")")</f>
        <v>DNS/DNF ()</v>
      </c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62" t="str">
        <f t="shared" ref="AU388:AU451" si="228">IF((OR($AE388=0,$AF388=0,$AF388-$AE388&lt;0)),"DNS/DNF",($AF388-$AE388)/86400000)</f>
        <v>DNS/DNF</v>
      </c>
      <c r="AV388" s="62" t="str">
        <f t="shared" ref="AV388:AV451" si="229">IF((OR($AG388=0,$AH388=0,$AH388-$AG388&lt;0)),"DNS/DNF",($AH388-$AG388)/86400000)</f>
        <v>DNS/DNF</v>
      </c>
      <c r="AW388" s="62" t="str">
        <f t="shared" ref="AW388:AW451" si="230">IF((OR($AI388=0,$AJ388=0,$AJ388-$AI388&lt;0)),"DNS/DNF",($AJ388-$AI388)/86400000)</f>
        <v>DNS/DNF</v>
      </c>
      <c r="AX388" s="62" t="str">
        <f t="shared" ref="AX388:AX451" si="231">IF((OR($AK388=0,$AL388=0,$AL388-$AK388&lt;0)),"DNS/DNF",($AL388-$AK388)/86400000)</f>
        <v>DNS/DNF</v>
      </c>
      <c r="AY388" s="62" t="str">
        <f t="shared" ref="AY388:AY451" si="232">IF((OR($AM388=0,$AM388=0,$AN388-$AM388&lt;0)),"DNS/DNF",($AN388-$AM388)/86400000)</f>
        <v>DNS/DNF</v>
      </c>
      <c r="AZ388" s="62" t="str">
        <f t="shared" ref="AZ388:AZ451" si="233">IF((OR($AO388=0,$AP388=0,$AP388-$AO388&lt;0)),"DNS/DNF",($AP388-$AO388)/86400000)</f>
        <v>DNS/DNF</v>
      </c>
      <c r="BA388" s="62" t="str">
        <f t="shared" ref="BA388:BA451" si="234">IF((OR($AQ388=0,$AR388=0,$AR388-$AQ388&lt;0)),"DNS/DNF",($AR388-$AQ388)/86400000)</f>
        <v>DNS/DNF</v>
      </c>
      <c r="BB388" s="62" t="str">
        <f t="shared" ref="BB388:BB451" si="235">IF((OR($AS388=0,$AT388=0,$AT388-$AS388&lt;0)),"DNS/DNF",($AT388-$AS388)/86400000)</f>
        <v>DNS/DNF</v>
      </c>
      <c r="BC388" s="75" t="str">
        <f t="shared" ref="BC388:BC451" si="236">IFERROR(ROUND(AVERAGE(O388:V388),0),"")</f>
        <v/>
      </c>
      <c r="BD388" s="53" t="str">
        <f t="shared" ref="BD388:BD451" si="237">IFERROR((INDEX(($AU$3:$AU$500)*86400000,MATCH(BC388,$O$3:$O$500,0))),"")</f>
        <v/>
      </c>
      <c r="BE388" s="53" t="str">
        <f t="shared" ref="BE388:BE451" si="238">IFERROR((INDEX(($AV$3:$AV$500)*86400000,MATCH(BC388,$P$3:$P$500,0))),"")</f>
        <v/>
      </c>
      <c r="BF388" s="53" t="str">
        <f t="shared" ref="BF388:BF451" si="239">IFERROR((INDEX(($AW$3:$AW$500)*86400000,MATCH(BC388,$Q$3:$Q$500,0))),"")</f>
        <v/>
      </c>
      <c r="BG388" s="53" t="str">
        <f t="shared" ref="BG388:BG451" si="240">IFERROR((INDEX(($AX$3:$AX$500)*86400000,MATCH(BC388,$R$3:$R$500,0))),"")</f>
        <v/>
      </c>
      <c r="BH388" s="53" t="str">
        <f t="shared" ref="BH388:BH451" si="241">IFERROR((INDEX(($AY$3:$AY$500)*86400000,MATCH(BC388,$S$3:$S$500,0))),"")</f>
        <v/>
      </c>
      <c r="BI388" s="53" t="str">
        <f t="shared" ref="BI388:BI451" si="242">IFERROR((INDEX(($AZ$3:$AZ$500)*86400000,MATCH(BC388,$T$3:$T$500,0))),"")</f>
        <v/>
      </c>
      <c r="BJ388" s="53" t="str">
        <f t="shared" ref="BJ388:BJ451" si="243">IFERROR((INDEX(($BA$3:$BA$500)*86400000,MATCH(BC388,$U$3:$U$500,0))),"")</f>
        <v/>
      </c>
      <c r="BK388" s="53" t="str">
        <f t="shared" ref="BK388:BK451" si="244">IFERROR((INDEX(($BB$3:$BB$500)*86400000,MATCH(BC388,$V$3:$V$500,0))),"")</f>
        <v/>
      </c>
    </row>
    <row r="389" spans="2:63">
      <c r="B389" s="89" t="str">
        <f>IFERROR(VLOOKUP($A389,EntryList!$A$3:$N$645,2,FALSE),"")</f>
        <v/>
      </c>
      <c r="D389" s="53">
        <f t="shared" si="218"/>
        <v>0</v>
      </c>
      <c r="N389" s="62">
        <f t="shared" si="219"/>
        <v>0</v>
      </c>
      <c r="O389" s="53" t="str">
        <f t="shared" si="210"/>
        <v/>
      </c>
      <c r="P389" s="53" t="str">
        <f t="shared" si="211"/>
        <v/>
      </c>
      <c r="Q389" s="53" t="str">
        <f t="shared" si="212"/>
        <v/>
      </c>
      <c r="R389" s="53" t="str">
        <f t="shared" si="213"/>
        <v/>
      </c>
      <c r="S389" s="53" t="str">
        <f t="shared" si="214"/>
        <v/>
      </c>
      <c r="T389" s="53" t="str">
        <f t="shared" si="215"/>
        <v/>
      </c>
      <c r="U389" s="53" t="str">
        <f t="shared" si="216"/>
        <v/>
      </c>
      <c r="V389" s="53" t="str">
        <f t="shared" si="217"/>
        <v/>
      </c>
      <c r="W389" s="53" t="str">
        <f t="shared" si="220"/>
        <v>DNS/DNF ()</v>
      </c>
      <c r="X389" s="53" t="str">
        <f t="shared" si="221"/>
        <v>DNS/DNF ()</v>
      </c>
      <c r="Y389" s="53" t="str">
        <f t="shared" si="222"/>
        <v>DNS/DNF ()</v>
      </c>
      <c r="Z389" s="53" t="str">
        <f t="shared" si="223"/>
        <v>DNS/DNF ()</v>
      </c>
      <c r="AA389" s="53" t="str">
        <f t="shared" si="224"/>
        <v>DNS/DNF ()</v>
      </c>
      <c r="AB389" s="53" t="str">
        <f t="shared" si="225"/>
        <v>DNS/DNF ()</v>
      </c>
      <c r="AC389" s="53" t="str">
        <f t="shared" si="226"/>
        <v>DNS/DNF ()</v>
      </c>
      <c r="AD389" s="53" t="str">
        <f t="shared" si="227"/>
        <v>DNS/DNF ()</v>
      </c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62" t="str">
        <f t="shared" si="228"/>
        <v>DNS/DNF</v>
      </c>
      <c r="AV389" s="62" t="str">
        <f t="shared" si="229"/>
        <v>DNS/DNF</v>
      </c>
      <c r="AW389" s="62" t="str">
        <f t="shared" si="230"/>
        <v>DNS/DNF</v>
      </c>
      <c r="AX389" s="62" t="str">
        <f t="shared" si="231"/>
        <v>DNS/DNF</v>
      </c>
      <c r="AY389" s="62" t="str">
        <f t="shared" si="232"/>
        <v>DNS/DNF</v>
      </c>
      <c r="AZ389" s="62" t="str">
        <f t="shared" si="233"/>
        <v>DNS/DNF</v>
      </c>
      <c r="BA389" s="62" t="str">
        <f t="shared" si="234"/>
        <v>DNS/DNF</v>
      </c>
      <c r="BB389" s="62" t="str">
        <f t="shared" si="235"/>
        <v>DNS/DNF</v>
      </c>
      <c r="BC389" s="75" t="str">
        <f t="shared" si="236"/>
        <v/>
      </c>
      <c r="BD389" s="53" t="str">
        <f t="shared" si="237"/>
        <v/>
      </c>
      <c r="BE389" s="53" t="str">
        <f t="shared" si="238"/>
        <v/>
      </c>
      <c r="BF389" s="53" t="str">
        <f t="shared" si="239"/>
        <v/>
      </c>
      <c r="BG389" s="53" t="str">
        <f t="shared" si="240"/>
        <v/>
      </c>
      <c r="BH389" s="53" t="str">
        <f t="shared" si="241"/>
        <v/>
      </c>
      <c r="BI389" s="53" t="str">
        <f t="shared" si="242"/>
        <v/>
      </c>
      <c r="BJ389" s="53" t="str">
        <f t="shared" si="243"/>
        <v/>
      </c>
      <c r="BK389" s="53" t="str">
        <f t="shared" si="244"/>
        <v/>
      </c>
    </row>
    <row r="390" spans="2:63">
      <c r="B390" s="89" t="str">
        <f>IFERROR(VLOOKUP($A390,EntryList!$A$3:$N$645,2,FALSE),"")</f>
        <v/>
      </c>
      <c r="D390" s="53">
        <f t="shared" si="218"/>
        <v>0</v>
      </c>
      <c r="N390" s="62">
        <f t="shared" si="219"/>
        <v>0</v>
      </c>
      <c r="O390" s="53" t="str">
        <f t="shared" si="210"/>
        <v/>
      </c>
      <c r="P390" s="53" t="str">
        <f t="shared" si="211"/>
        <v/>
      </c>
      <c r="Q390" s="53" t="str">
        <f t="shared" si="212"/>
        <v/>
      </c>
      <c r="R390" s="53" t="str">
        <f t="shared" si="213"/>
        <v/>
      </c>
      <c r="S390" s="53" t="str">
        <f t="shared" si="214"/>
        <v/>
      </c>
      <c r="T390" s="53" t="str">
        <f t="shared" si="215"/>
        <v/>
      </c>
      <c r="U390" s="53" t="str">
        <f t="shared" si="216"/>
        <v/>
      </c>
      <c r="V390" s="53" t="str">
        <f t="shared" si="217"/>
        <v/>
      </c>
      <c r="W390" s="53" t="str">
        <f t="shared" si="220"/>
        <v>DNS/DNF ()</v>
      </c>
      <c r="X390" s="53" t="str">
        <f t="shared" si="221"/>
        <v>DNS/DNF ()</v>
      </c>
      <c r="Y390" s="53" t="str">
        <f t="shared" si="222"/>
        <v>DNS/DNF ()</v>
      </c>
      <c r="Z390" s="53" t="str">
        <f t="shared" si="223"/>
        <v>DNS/DNF ()</v>
      </c>
      <c r="AA390" s="53" t="str">
        <f t="shared" si="224"/>
        <v>DNS/DNF ()</v>
      </c>
      <c r="AB390" s="53" t="str">
        <f t="shared" si="225"/>
        <v>DNS/DNF ()</v>
      </c>
      <c r="AC390" s="53" t="str">
        <f t="shared" si="226"/>
        <v>DNS/DNF ()</v>
      </c>
      <c r="AD390" s="53" t="str">
        <f t="shared" si="227"/>
        <v>DNS/DNF ()</v>
      </c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62" t="str">
        <f t="shared" si="228"/>
        <v>DNS/DNF</v>
      </c>
      <c r="AV390" s="62" t="str">
        <f t="shared" si="229"/>
        <v>DNS/DNF</v>
      </c>
      <c r="AW390" s="62" t="str">
        <f t="shared" si="230"/>
        <v>DNS/DNF</v>
      </c>
      <c r="AX390" s="62" t="str">
        <f t="shared" si="231"/>
        <v>DNS/DNF</v>
      </c>
      <c r="AY390" s="62" t="str">
        <f t="shared" si="232"/>
        <v>DNS/DNF</v>
      </c>
      <c r="AZ390" s="62" t="str">
        <f t="shared" si="233"/>
        <v>DNS/DNF</v>
      </c>
      <c r="BA390" s="62" t="str">
        <f t="shared" si="234"/>
        <v>DNS/DNF</v>
      </c>
      <c r="BB390" s="62" t="str">
        <f t="shared" si="235"/>
        <v>DNS/DNF</v>
      </c>
      <c r="BC390" s="75" t="str">
        <f t="shared" si="236"/>
        <v/>
      </c>
      <c r="BD390" s="53" t="str">
        <f t="shared" si="237"/>
        <v/>
      </c>
      <c r="BE390" s="53" t="str">
        <f t="shared" si="238"/>
        <v/>
      </c>
      <c r="BF390" s="53" t="str">
        <f t="shared" si="239"/>
        <v/>
      </c>
      <c r="BG390" s="53" t="str">
        <f t="shared" si="240"/>
        <v/>
      </c>
      <c r="BH390" s="53" t="str">
        <f t="shared" si="241"/>
        <v/>
      </c>
      <c r="BI390" s="53" t="str">
        <f t="shared" si="242"/>
        <v/>
      </c>
      <c r="BJ390" s="53" t="str">
        <f t="shared" si="243"/>
        <v/>
      </c>
      <c r="BK390" s="53" t="str">
        <f t="shared" si="244"/>
        <v/>
      </c>
    </row>
    <row r="391" spans="2:63">
      <c r="B391" s="89" t="str">
        <f>IFERROR(VLOOKUP($A391,EntryList!$A$3:$N$645,2,FALSE),"")</f>
        <v/>
      </c>
      <c r="D391" s="53">
        <f t="shared" si="218"/>
        <v>0</v>
      </c>
      <c r="N391" s="62">
        <f t="shared" si="219"/>
        <v>0</v>
      </c>
      <c r="O391" s="53" t="str">
        <f t="shared" si="210"/>
        <v/>
      </c>
      <c r="P391" s="53" t="str">
        <f t="shared" si="211"/>
        <v/>
      </c>
      <c r="Q391" s="53" t="str">
        <f t="shared" si="212"/>
        <v/>
      </c>
      <c r="R391" s="53" t="str">
        <f t="shared" si="213"/>
        <v/>
      </c>
      <c r="S391" s="53" t="str">
        <f t="shared" si="214"/>
        <v/>
      </c>
      <c r="T391" s="53" t="str">
        <f t="shared" si="215"/>
        <v/>
      </c>
      <c r="U391" s="53" t="str">
        <f t="shared" si="216"/>
        <v/>
      </c>
      <c r="V391" s="53" t="str">
        <f t="shared" si="217"/>
        <v/>
      </c>
      <c r="W391" s="53" t="str">
        <f t="shared" si="220"/>
        <v>DNS/DNF ()</v>
      </c>
      <c r="X391" s="53" t="str">
        <f t="shared" si="221"/>
        <v>DNS/DNF ()</v>
      </c>
      <c r="Y391" s="53" t="str">
        <f t="shared" si="222"/>
        <v>DNS/DNF ()</v>
      </c>
      <c r="Z391" s="53" t="str">
        <f t="shared" si="223"/>
        <v>DNS/DNF ()</v>
      </c>
      <c r="AA391" s="53" t="str">
        <f t="shared" si="224"/>
        <v>DNS/DNF ()</v>
      </c>
      <c r="AB391" s="53" t="str">
        <f t="shared" si="225"/>
        <v>DNS/DNF ()</v>
      </c>
      <c r="AC391" s="53" t="str">
        <f t="shared" si="226"/>
        <v>DNS/DNF ()</v>
      </c>
      <c r="AD391" s="53" t="str">
        <f t="shared" si="227"/>
        <v>DNS/DNF ()</v>
      </c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62" t="str">
        <f t="shared" si="228"/>
        <v>DNS/DNF</v>
      </c>
      <c r="AV391" s="62" t="str">
        <f t="shared" si="229"/>
        <v>DNS/DNF</v>
      </c>
      <c r="AW391" s="62" t="str">
        <f t="shared" si="230"/>
        <v>DNS/DNF</v>
      </c>
      <c r="AX391" s="62" t="str">
        <f t="shared" si="231"/>
        <v>DNS/DNF</v>
      </c>
      <c r="AY391" s="62" t="str">
        <f t="shared" si="232"/>
        <v>DNS/DNF</v>
      </c>
      <c r="AZ391" s="62" t="str">
        <f t="shared" si="233"/>
        <v>DNS/DNF</v>
      </c>
      <c r="BA391" s="62" t="str">
        <f t="shared" si="234"/>
        <v>DNS/DNF</v>
      </c>
      <c r="BB391" s="62" t="str">
        <f t="shared" si="235"/>
        <v>DNS/DNF</v>
      </c>
      <c r="BC391" s="75" t="str">
        <f t="shared" si="236"/>
        <v/>
      </c>
      <c r="BD391" s="53" t="str">
        <f t="shared" si="237"/>
        <v/>
      </c>
      <c r="BE391" s="53" t="str">
        <f t="shared" si="238"/>
        <v/>
      </c>
      <c r="BF391" s="53" t="str">
        <f t="shared" si="239"/>
        <v/>
      </c>
      <c r="BG391" s="53" t="str">
        <f t="shared" si="240"/>
        <v/>
      </c>
      <c r="BH391" s="53" t="str">
        <f t="shared" si="241"/>
        <v/>
      </c>
      <c r="BI391" s="53" t="str">
        <f t="shared" si="242"/>
        <v/>
      </c>
      <c r="BJ391" s="53" t="str">
        <f t="shared" si="243"/>
        <v/>
      </c>
      <c r="BK391" s="53" t="str">
        <f t="shared" si="244"/>
        <v/>
      </c>
    </row>
    <row r="392" spans="2:63">
      <c r="B392" s="89" t="str">
        <f>IFERROR(VLOOKUP($A392,EntryList!$A$3:$N$645,2,FALSE),"")</f>
        <v/>
      </c>
      <c r="D392" s="53">
        <f t="shared" si="218"/>
        <v>0</v>
      </c>
      <c r="N392" s="62">
        <f t="shared" si="219"/>
        <v>0</v>
      </c>
      <c r="O392" s="53" t="str">
        <f t="shared" si="210"/>
        <v/>
      </c>
      <c r="P392" s="53" t="str">
        <f t="shared" si="211"/>
        <v/>
      </c>
      <c r="Q392" s="53" t="str">
        <f t="shared" si="212"/>
        <v/>
      </c>
      <c r="R392" s="53" t="str">
        <f t="shared" si="213"/>
        <v/>
      </c>
      <c r="S392" s="53" t="str">
        <f t="shared" si="214"/>
        <v/>
      </c>
      <c r="T392" s="53" t="str">
        <f t="shared" si="215"/>
        <v/>
      </c>
      <c r="U392" s="53" t="str">
        <f t="shared" si="216"/>
        <v/>
      </c>
      <c r="V392" s="53" t="str">
        <f t="shared" si="217"/>
        <v/>
      </c>
      <c r="W392" s="53" t="str">
        <f t="shared" si="220"/>
        <v>DNS/DNF ()</v>
      </c>
      <c r="X392" s="53" t="str">
        <f t="shared" si="221"/>
        <v>DNS/DNF ()</v>
      </c>
      <c r="Y392" s="53" t="str">
        <f t="shared" si="222"/>
        <v>DNS/DNF ()</v>
      </c>
      <c r="Z392" s="53" t="str">
        <f t="shared" si="223"/>
        <v>DNS/DNF ()</v>
      </c>
      <c r="AA392" s="53" t="str">
        <f t="shared" si="224"/>
        <v>DNS/DNF ()</v>
      </c>
      <c r="AB392" s="53" t="str">
        <f t="shared" si="225"/>
        <v>DNS/DNF ()</v>
      </c>
      <c r="AC392" s="53" t="str">
        <f t="shared" si="226"/>
        <v>DNS/DNF ()</v>
      </c>
      <c r="AD392" s="53" t="str">
        <f t="shared" si="227"/>
        <v>DNS/DNF ()</v>
      </c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62" t="str">
        <f t="shared" si="228"/>
        <v>DNS/DNF</v>
      </c>
      <c r="AV392" s="62" t="str">
        <f t="shared" si="229"/>
        <v>DNS/DNF</v>
      </c>
      <c r="AW392" s="62" t="str">
        <f t="shared" si="230"/>
        <v>DNS/DNF</v>
      </c>
      <c r="AX392" s="62" t="str">
        <f t="shared" si="231"/>
        <v>DNS/DNF</v>
      </c>
      <c r="AY392" s="62" t="str">
        <f t="shared" si="232"/>
        <v>DNS/DNF</v>
      </c>
      <c r="AZ392" s="62" t="str">
        <f t="shared" si="233"/>
        <v>DNS/DNF</v>
      </c>
      <c r="BA392" s="62" t="str">
        <f t="shared" si="234"/>
        <v>DNS/DNF</v>
      </c>
      <c r="BB392" s="62" t="str">
        <f t="shared" si="235"/>
        <v>DNS/DNF</v>
      </c>
      <c r="BC392" s="75" t="str">
        <f t="shared" si="236"/>
        <v/>
      </c>
      <c r="BD392" s="53" t="str">
        <f t="shared" si="237"/>
        <v/>
      </c>
      <c r="BE392" s="53" t="str">
        <f t="shared" si="238"/>
        <v/>
      </c>
      <c r="BF392" s="53" t="str">
        <f t="shared" si="239"/>
        <v/>
      </c>
      <c r="BG392" s="53" t="str">
        <f t="shared" si="240"/>
        <v/>
      </c>
      <c r="BH392" s="53" t="str">
        <f t="shared" si="241"/>
        <v/>
      </c>
      <c r="BI392" s="53" t="str">
        <f t="shared" si="242"/>
        <v/>
      </c>
      <c r="BJ392" s="53" t="str">
        <f t="shared" si="243"/>
        <v/>
      </c>
      <c r="BK392" s="53" t="str">
        <f t="shared" si="244"/>
        <v/>
      </c>
    </row>
    <row r="393" spans="2:63">
      <c r="B393" s="89" t="str">
        <f>IFERROR(VLOOKUP($A393,EntryList!$A$3:$N$645,2,FALSE),"")</f>
        <v/>
      </c>
      <c r="D393" s="53">
        <f t="shared" si="218"/>
        <v>0</v>
      </c>
      <c r="N393" s="62">
        <f t="shared" si="219"/>
        <v>0</v>
      </c>
      <c r="O393" s="53" t="str">
        <f t="shared" si="210"/>
        <v/>
      </c>
      <c r="P393" s="53" t="str">
        <f t="shared" si="211"/>
        <v/>
      </c>
      <c r="Q393" s="53" t="str">
        <f t="shared" si="212"/>
        <v/>
      </c>
      <c r="R393" s="53" t="str">
        <f t="shared" si="213"/>
        <v/>
      </c>
      <c r="S393" s="53" t="str">
        <f t="shared" si="214"/>
        <v/>
      </c>
      <c r="T393" s="53" t="str">
        <f t="shared" si="215"/>
        <v/>
      </c>
      <c r="U393" s="53" t="str">
        <f t="shared" si="216"/>
        <v/>
      </c>
      <c r="V393" s="53" t="str">
        <f t="shared" si="217"/>
        <v/>
      </c>
      <c r="W393" s="53" t="str">
        <f t="shared" si="220"/>
        <v>DNS/DNF ()</v>
      </c>
      <c r="X393" s="53" t="str">
        <f t="shared" si="221"/>
        <v>DNS/DNF ()</v>
      </c>
      <c r="Y393" s="53" t="str">
        <f t="shared" si="222"/>
        <v>DNS/DNF ()</v>
      </c>
      <c r="Z393" s="53" t="str">
        <f t="shared" si="223"/>
        <v>DNS/DNF ()</v>
      </c>
      <c r="AA393" s="53" t="str">
        <f t="shared" si="224"/>
        <v>DNS/DNF ()</v>
      </c>
      <c r="AB393" s="53" t="str">
        <f t="shared" si="225"/>
        <v>DNS/DNF ()</v>
      </c>
      <c r="AC393" s="53" t="str">
        <f t="shared" si="226"/>
        <v>DNS/DNF ()</v>
      </c>
      <c r="AD393" s="53" t="str">
        <f t="shared" si="227"/>
        <v>DNS/DNF ()</v>
      </c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62" t="str">
        <f t="shared" si="228"/>
        <v>DNS/DNF</v>
      </c>
      <c r="AV393" s="62" t="str">
        <f t="shared" si="229"/>
        <v>DNS/DNF</v>
      </c>
      <c r="AW393" s="62" t="str">
        <f t="shared" si="230"/>
        <v>DNS/DNF</v>
      </c>
      <c r="AX393" s="62" t="str">
        <f t="shared" si="231"/>
        <v>DNS/DNF</v>
      </c>
      <c r="AY393" s="62" t="str">
        <f t="shared" si="232"/>
        <v>DNS/DNF</v>
      </c>
      <c r="AZ393" s="62" t="str">
        <f t="shared" si="233"/>
        <v>DNS/DNF</v>
      </c>
      <c r="BA393" s="62" t="str">
        <f t="shared" si="234"/>
        <v>DNS/DNF</v>
      </c>
      <c r="BB393" s="62" t="str">
        <f t="shared" si="235"/>
        <v>DNS/DNF</v>
      </c>
      <c r="BC393" s="75" t="str">
        <f t="shared" si="236"/>
        <v/>
      </c>
      <c r="BD393" s="53" t="str">
        <f t="shared" si="237"/>
        <v/>
      </c>
      <c r="BE393" s="53" t="str">
        <f t="shared" si="238"/>
        <v/>
      </c>
      <c r="BF393" s="53" t="str">
        <f t="shared" si="239"/>
        <v/>
      </c>
      <c r="BG393" s="53" t="str">
        <f t="shared" si="240"/>
        <v/>
      </c>
      <c r="BH393" s="53" t="str">
        <f t="shared" si="241"/>
        <v/>
      </c>
      <c r="BI393" s="53" t="str">
        <f t="shared" si="242"/>
        <v/>
      </c>
      <c r="BJ393" s="53" t="str">
        <f t="shared" si="243"/>
        <v/>
      </c>
      <c r="BK393" s="53" t="str">
        <f t="shared" si="244"/>
        <v/>
      </c>
    </row>
    <row r="394" spans="2:63">
      <c r="B394" s="89" t="str">
        <f>IFERROR(VLOOKUP($A394,EntryList!$A$3:$N$645,2,FALSE),"")</f>
        <v/>
      </c>
      <c r="D394" s="53">
        <f t="shared" si="218"/>
        <v>0</v>
      </c>
      <c r="N394" s="62">
        <f t="shared" si="219"/>
        <v>0</v>
      </c>
      <c r="O394" s="53" t="str">
        <f t="shared" si="210"/>
        <v/>
      </c>
      <c r="P394" s="53" t="str">
        <f t="shared" si="211"/>
        <v/>
      </c>
      <c r="Q394" s="53" t="str">
        <f t="shared" si="212"/>
        <v/>
      </c>
      <c r="R394" s="53" t="str">
        <f t="shared" si="213"/>
        <v/>
      </c>
      <c r="S394" s="53" t="str">
        <f t="shared" si="214"/>
        <v/>
      </c>
      <c r="T394" s="53" t="str">
        <f t="shared" si="215"/>
        <v/>
      </c>
      <c r="U394" s="53" t="str">
        <f t="shared" si="216"/>
        <v/>
      </c>
      <c r="V394" s="53" t="str">
        <f t="shared" si="217"/>
        <v/>
      </c>
      <c r="W394" s="53" t="str">
        <f t="shared" si="220"/>
        <v>DNS/DNF ()</v>
      </c>
      <c r="X394" s="53" t="str">
        <f t="shared" si="221"/>
        <v>DNS/DNF ()</v>
      </c>
      <c r="Y394" s="53" t="str">
        <f t="shared" si="222"/>
        <v>DNS/DNF ()</v>
      </c>
      <c r="Z394" s="53" t="str">
        <f t="shared" si="223"/>
        <v>DNS/DNF ()</v>
      </c>
      <c r="AA394" s="53" t="str">
        <f t="shared" si="224"/>
        <v>DNS/DNF ()</v>
      </c>
      <c r="AB394" s="53" t="str">
        <f t="shared" si="225"/>
        <v>DNS/DNF ()</v>
      </c>
      <c r="AC394" s="53" t="str">
        <f t="shared" si="226"/>
        <v>DNS/DNF ()</v>
      </c>
      <c r="AD394" s="53" t="str">
        <f t="shared" si="227"/>
        <v>DNS/DNF ()</v>
      </c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62" t="str">
        <f t="shared" si="228"/>
        <v>DNS/DNF</v>
      </c>
      <c r="AV394" s="62" t="str">
        <f t="shared" si="229"/>
        <v>DNS/DNF</v>
      </c>
      <c r="AW394" s="62" t="str">
        <f t="shared" si="230"/>
        <v>DNS/DNF</v>
      </c>
      <c r="AX394" s="62" t="str">
        <f t="shared" si="231"/>
        <v>DNS/DNF</v>
      </c>
      <c r="AY394" s="62" t="str">
        <f t="shared" si="232"/>
        <v>DNS/DNF</v>
      </c>
      <c r="AZ394" s="62" t="str">
        <f t="shared" si="233"/>
        <v>DNS/DNF</v>
      </c>
      <c r="BA394" s="62" t="str">
        <f t="shared" si="234"/>
        <v>DNS/DNF</v>
      </c>
      <c r="BB394" s="62" t="str">
        <f t="shared" si="235"/>
        <v>DNS/DNF</v>
      </c>
      <c r="BC394" s="75" t="str">
        <f t="shared" si="236"/>
        <v/>
      </c>
      <c r="BD394" s="53" t="str">
        <f t="shared" si="237"/>
        <v/>
      </c>
      <c r="BE394" s="53" t="str">
        <f t="shared" si="238"/>
        <v/>
      </c>
      <c r="BF394" s="53" t="str">
        <f t="shared" si="239"/>
        <v/>
      </c>
      <c r="BG394" s="53" t="str">
        <f t="shared" si="240"/>
        <v/>
      </c>
      <c r="BH394" s="53" t="str">
        <f t="shared" si="241"/>
        <v/>
      </c>
      <c r="BI394" s="53" t="str">
        <f t="shared" si="242"/>
        <v/>
      </c>
      <c r="BJ394" s="53" t="str">
        <f t="shared" si="243"/>
        <v/>
      </c>
      <c r="BK394" s="53" t="str">
        <f t="shared" si="244"/>
        <v/>
      </c>
    </row>
    <row r="395" spans="2:63">
      <c r="B395" s="89" t="str">
        <f>IFERROR(VLOOKUP($A395,EntryList!$A$3:$N$645,2,FALSE),"")</f>
        <v/>
      </c>
      <c r="D395" s="53">
        <f t="shared" si="218"/>
        <v>0</v>
      </c>
      <c r="N395" s="62">
        <f t="shared" si="219"/>
        <v>0</v>
      </c>
      <c r="O395" s="53" t="str">
        <f t="shared" si="210"/>
        <v/>
      </c>
      <c r="P395" s="53" t="str">
        <f t="shared" si="211"/>
        <v/>
      </c>
      <c r="Q395" s="53" t="str">
        <f t="shared" si="212"/>
        <v/>
      </c>
      <c r="R395" s="53" t="str">
        <f t="shared" si="213"/>
        <v/>
      </c>
      <c r="S395" s="53" t="str">
        <f t="shared" si="214"/>
        <v/>
      </c>
      <c r="T395" s="53" t="str">
        <f t="shared" si="215"/>
        <v/>
      </c>
      <c r="U395" s="53" t="str">
        <f t="shared" si="216"/>
        <v/>
      </c>
      <c r="V395" s="53" t="str">
        <f t="shared" si="217"/>
        <v/>
      </c>
      <c r="W395" s="53" t="str">
        <f t="shared" si="220"/>
        <v>DNS/DNF ()</v>
      </c>
      <c r="X395" s="53" t="str">
        <f t="shared" si="221"/>
        <v>DNS/DNF ()</v>
      </c>
      <c r="Y395" s="53" t="str">
        <f t="shared" si="222"/>
        <v>DNS/DNF ()</v>
      </c>
      <c r="Z395" s="53" t="str">
        <f t="shared" si="223"/>
        <v>DNS/DNF ()</v>
      </c>
      <c r="AA395" s="53" t="str">
        <f t="shared" si="224"/>
        <v>DNS/DNF ()</v>
      </c>
      <c r="AB395" s="53" t="str">
        <f t="shared" si="225"/>
        <v>DNS/DNF ()</v>
      </c>
      <c r="AC395" s="53" t="str">
        <f t="shared" si="226"/>
        <v>DNS/DNF ()</v>
      </c>
      <c r="AD395" s="53" t="str">
        <f t="shared" si="227"/>
        <v>DNS/DNF ()</v>
      </c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62" t="str">
        <f t="shared" si="228"/>
        <v>DNS/DNF</v>
      </c>
      <c r="AV395" s="62" t="str">
        <f t="shared" si="229"/>
        <v>DNS/DNF</v>
      </c>
      <c r="AW395" s="62" t="str">
        <f t="shared" si="230"/>
        <v>DNS/DNF</v>
      </c>
      <c r="AX395" s="62" t="str">
        <f t="shared" si="231"/>
        <v>DNS/DNF</v>
      </c>
      <c r="AY395" s="62" t="str">
        <f t="shared" si="232"/>
        <v>DNS/DNF</v>
      </c>
      <c r="AZ395" s="62" t="str">
        <f t="shared" si="233"/>
        <v>DNS/DNF</v>
      </c>
      <c r="BA395" s="62" t="str">
        <f t="shared" si="234"/>
        <v>DNS/DNF</v>
      </c>
      <c r="BB395" s="62" t="str">
        <f t="shared" si="235"/>
        <v>DNS/DNF</v>
      </c>
      <c r="BC395" s="75" t="str">
        <f t="shared" si="236"/>
        <v/>
      </c>
      <c r="BD395" s="53" t="str">
        <f t="shared" si="237"/>
        <v/>
      </c>
      <c r="BE395" s="53" t="str">
        <f t="shared" si="238"/>
        <v/>
      </c>
      <c r="BF395" s="53" t="str">
        <f t="shared" si="239"/>
        <v/>
      </c>
      <c r="BG395" s="53" t="str">
        <f t="shared" si="240"/>
        <v/>
      </c>
      <c r="BH395" s="53" t="str">
        <f t="shared" si="241"/>
        <v/>
      </c>
      <c r="BI395" s="53" t="str">
        <f t="shared" si="242"/>
        <v/>
      </c>
      <c r="BJ395" s="53" t="str">
        <f t="shared" si="243"/>
        <v/>
      </c>
      <c r="BK395" s="53" t="str">
        <f t="shared" si="244"/>
        <v/>
      </c>
    </row>
    <row r="396" spans="2:63">
      <c r="B396" s="89" t="str">
        <f>IFERROR(VLOOKUP($A396,EntryList!$A$3:$N$645,2,FALSE),"")</f>
        <v/>
      </c>
      <c r="D396" s="53">
        <f t="shared" si="218"/>
        <v>0</v>
      </c>
      <c r="N396" s="62">
        <f t="shared" si="219"/>
        <v>0</v>
      </c>
      <c r="O396" s="53" t="str">
        <f t="shared" si="210"/>
        <v/>
      </c>
      <c r="P396" s="53" t="str">
        <f t="shared" si="211"/>
        <v/>
      </c>
      <c r="Q396" s="53" t="str">
        <f t="shared" si="212"/>
        <v/>
      </c>
      <c r="R396" s="53" t="str">
        <f t="shared" si="213"/>
        <v/>
      </c>
      <c r="S396" s="53" t="str">
        <f t="shared" si="214"/>
        <v/>
      </c>
      <c r="T396" s="53" t="str">
        <f t="shared" si="215"/>
        <v/>
      </c>
      <c r="U396" s="53" t="str">
        <f t="shared" si="216"/>
        <v/>
      </c>
      <c r="V396" s="53" t="str">
        <f t="shared" si="217"/>
        <v/>
      </c>
      <c r="W396" s="53" t="str">
        <f t="shared" si="220"/>
        <v>DNS/DNF ()</v>
      </c>
      <c r="X396" s="53" t="str">
        <f t="shared" si="221"/>
        <v>DNS/DNF ()</v>
      </c>
      <c r="Y396" s="53" t="str">
        <f t="shared" si="222"/>
        <v>DNS/DNF ()</v>
      </c>
      <c r="Z396" s="53" t="str">
        <f t="shared" si="223"/>
        <v>DNS/DNF ()</v>
      </c>
      <c r="AA396" s="53" t="str">
        <f t="shared" si="224"/>
        <v>DNS/DNF ()</v>
      </c>
      <c r="AB396" s="53" t="str">
        <f t="shared" si="225"/>
        <v>DNS/DNF ()</v>
      </c>
      <c r="AC396" s="53" t="str">
        <f t="shared" si="226"/>
        <v>DNS/DNF ()</v>
      </c>
      <c r="AD396" s="53" t="str">
        <f t="shared" si="227"/>
        <v>DNS/DNF ()</v>
      </c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62" t="str">
        <f t="shared" si="228"/>
        <v>DNS/DNF</v>
      </c>
      <c r="AV396" s="62" t="str">
        <f t="shared" si="229"/>
        <v>DNS/DNF</v>
      </c>
      <c r="AW396" s="62" t="str">
        <f t="shared" si="230"/>
        <v>DNS/DNF</v>
      </c>
      <c r="AX396" s="62" t="str">
        <f t="shared" si="231"/>
        <v>DNS/DNF</v>
      </c>
      <c r="AY396" s="62" t="str">
        <f t="shared" si="232"/>
        <v>DNS/DNF</v>
      </c>
      <c r="AZ396" s="62" t="str">
        <f t="shared" si="233"/>
        <v>DNS/DNF</v>
      </c>
      <c r="BA396" s="62" t="str">
        <f t="shared" si="234"/>
        <v>DNS/DNF</v>
      </c>
      <c r="BB396" s="62" t="str">
        <f t="shared" si="235"/>
        <v>DNS/DNF</v>
      </c>
      <c r="BC396" s="75" t="str">
        <f t="shared" si="236"/>
        <v/>
      </c>
      <c r="BD396" s="53" t="str">
        <f t="shared" si="237"/>
        <v/>
      </c>
      <c r="BE396" s="53" t="str">
        <f t="shared" si="238"/>
        <v/>
      </c>
      <c r="BF396" s="53" t="str">
        <f t="shared" si="239"/>
        <v/>
      </c>
      <c r="BG396" s="53" t="str">
        <f t="shared" si="240"/>
        <v/>
      </c>
      <c r="BH396" s="53" t="str">
        <f t="shared" si="241"/>
        <v/>
      </c>
      <c r="BI396" s="53" t="str">
        <f t="shared" si="242"/>
        <v/>
      </c>
      <c r="BJ396" s="53" t="str">
        <f t="shared" si="243"/>
        <v/>
      </c>
      <c r="BK396" s="53" t="str">
        <f t="shared" si="244"/>
        <v/>
      </c>
    </row>
    <row r="397" spans="2:63">
      <c r="B397" s="89" t="str">
        <f>IFERROR(VLOOKUP($A397,EntryList!$A$3:$N$645,2,FALSE),"")</f>
        <v/>
      </c>
      <c r="D397" s="53">
        <f t="shared" si="218"/>
        <v>0</v>
      </c>
      <c r="N397" s="62">
        <f t="shared" si="219"/>
        <v>0</v>
      </c>
      <c r="O397" s="53" t="str">
        <f t="shared" si="210"/>
        <v/>
      </c>
      <c r="P397" s="53" t="str">
        <f t="shared" si="211"/>
        <v/>
      </c>
      <c r="Q397" s="53" t="str">
        <f t="shared" si="212"/>
        <v/>
      </c>
      <c r="R397" s="53" t="str">
        <f t="shared" si="213"/>
        <v/>
      </c>
      <c r="S397" s="53" t="str">
        <f t="shared" si="214"/>
        <v/>
      </c>
      <c r="T397" s="53" t="str">
        <f t="shared" si="215"/>
        <v/>
      </c>
      <c r="U397" s="53" t="str">
        <f t="shared" si="216"/>
        <v/>
      </c>
      <c r="V397" s="53" t="str">
        <f t="shared" si="217"/>
        <v/>
      </c>
      <c r="W397" s="53" t="str">
        <f t="shared" si="220"/>
        <v>DNS/DNF ()</v>
      </c>
      <c r="X397" s="53" t="str">
        <f t="shared" si="221"/>
        <v>DNS/DNF ()</v>
      </c>
      <c r="Y397" s="53" t="str">
        <f t="shared" si="222"/>
        <v>DNS/DNF ()</v>
      </c>
      <c r="Z397" s="53" t="str">
        <f t="shared" si="223"/>
        <v>DNS/DNF ()</v>
      </c>
      <c r="AA397" s="53" t="str">
        <f t="shared" si="224"/>
        <v>DNS/DNF ()</v>
      </c>
      <c r="AB397" s="53" t="str">
        <f t="shared" si="225"/>
        <v>DNS/DNF ()</v>
      </c>
      <c r="AC397" s="53" t="str">
        <f t="shared" si="226"/>
        <v>DNS/DNF ()</v>
      </c>
      <c r="AD397" s="53" t="str">
        <f t="shared" si="227"/>
        <v>DNS/DNF ()</v>
      </c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62" t="str">
        <f t="shared" si="228"/>
        <v>DNS/DNF</v>
      </c>
      <c r="AV397" s="62" t="str">
        <f t="shared" si="229"/>
        <v>DNS/DNF</v>
      </c>
      <c r="AW397" s="62" t="str">
        <f t="shared" si="230"/>
        <v>DNS/DNF</v>
      </c>
      <c r="AX397" s="62" t="str">
        <f t="shared" si="231"/>
        <v>DNS/DNF</v>
      </c>
      <c r="AY397" s="62" t="str">
        <f t="shared" si="232"/>
        <v>DNS/DNF</v>
      </c>
      <c r="AZ397" s="62" t="str">
        <f t="shared" si="233"/>
        <v>DNS/DNF</v>
      </c>
      <c r="BA397" s="62" t="str">
        <f t="shared" si="234"/>
        <v>DNS/DNF</v>
      </c>
      <c r="BB397" s="62" t="str">
        <f t="shared" si="235"/>
        <v>DNS/DNF</v>
      </c>
      <c r="BC397" s="75" t="str">
        <f t="shared" si="236"/>
        <v/>
      </c>
      <c r="BD397" s="53" t="str">
        <f t="shared" si="237"/>
        <v/>
      </c>
      <c r="BE397" s="53" t="str">
        <f t="shared" si="238"/>
        <v/>
      </c>
      <c r="BF397" s="53" t="str">
        <f t="shared" si="239"/>
        <v/>
      </c>
      <c r="BG397" s="53" t="str">
        <f t="shared" si="240"/>
        <v/>
      </c>
      <c r="BH397" s="53" t="str">
        <f t="shared" si="241"/>
        <v/>
      </c>
      <c r="BI397" s="53" t="str">
        <f t="shared" si="242"/>
        <v/>
      </c>
      <c r="BJ397" s="53" t="str">
        <f t="shared" si="243"/>
        <v/>
      </c>
      <c r="BK397" s="53" t="str">
        <f t="shared" si="244"/>
        <v/>
      </c>
    </row>
    <row r="398" spans="2:63">
      <c r="B398" s="89" t="str">
        <f>IFERROR(VLOOKUP($A398,EntryList!$A$3:$N$645,2,FALSE),"")</f>
        <v/>
      </c>
      <c r="D398" s="53">
        <f t="shared" si="218"/>
        <v>0</v>
      </c>
      <c r="N398" s="62">
        <f t="shared" si="219"/>
        <v>0</v>
      </c>
      <c r="O398" s="53" t="str">
        <f t="shared" si="210"/>
        <v/>
      </c>
      <c r="P398" s="53" t="str">
        <f t="shared" si="211"/>
        <v/>
      </c>
      <c r="Q398" s="53" t="str">
        <f t="shared" si="212"/>
        <v/>
      </c>
      <c r="R398" s="53" t="str">
        <f t="shared" si="213"/>
        <v/>
      </c>
      <c r="S398" s="53" t="str">
        <f t="shared" si="214"/>
        <v/>
      </c>
      <c r="T398" s="53" t="str">
        <f t="shared" si="215"/>
        <v/>
      </c>
      <c r="U398" s="53" t="str">
        <f t="shared" si="216"/>
        <v/>
      </c>
      <c r="V398" s="53" t="str">
        <f t="shared" si="217"/>
        <v/>
      </c>
      <c r="W398" s="53" t="str">
        <f t="shared" si="220"/>
        <v>DNS/DNF ()</v>
      </c>
      <c r="X398" s="53" t="str">
        <f t="shared" si="221"/>
        <v>DNS/DNF ()</v>
      </c>
      <c r="Y398" s="53" t="str">
        <f t="shared" si="222"/>
        <v>DNS/DNF ()</v>
      </c>
      <c r="Z398" s="53" t="str">
        <f t="shared" si="223"/>
        <v>DNS/DNF ()</v>
      </c>
      <c r="AA398" s="53" t="str">
        <f t="shared" si="224"/>
        <v>DNS/DNF ()</v>
      </c>
      <c r="AB398" s="53" t="str">
        <f t="shared" si="225"/>
        <v>DNS/DNF ()</v>
      </c>
      <c r="AC398" s="53" t="str">
        <f t="shared" si="226"/>
        <v>DNS/DNF ()</v>
      </c>
      <c r="AD398" s="53" t="str">
        <f t="shared" si="227"/>
        <v>DNS/DNF ()</v>
      </c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62" t="str">
        <f t="shared" si="228"/>
        <v>DNS/DNF</v>
      </c>
      <c r="AV398" s="62" t="str">
        <f t="shared" si="229"/>
        <v>DNS/DNF</v>
      </c>
      <c r="AW398" s="62" t="str">
        <f t="shared" si="230"/>
        <v>DNS/DNF</v>
      </c>
      <c r="AX398" s="62" t="str">
        <f t="shared" si="231"/>
        <v>DNS/DNF</v>
      </c>
      <c r="AY398" s="62" t="str">
        <f t="shared" si="232"/>
        <v>DNS/DNF</v>
      </c>
      <c r="AZ398" s="62" t="str">
        <f t="shared" si="233"/>
        <v>DNS/DNF</v>
      </c>
      <c r="BA398" s="62" t="str">
        <f t="shared" si="234"/>
        <v>DNS/DNF</v>
      </c>
      <c r="BB398" s="62" t="str">
        <f t="shared" si="235"/>
        <v>DNS/DNF</v>
      </c>
      <c r="BC398" s="75" t="str">
        <f t="shared" si="236"/>
        <v/>
      </c>
      <c r="BD398" s="53" t="str">
        <f t="shared" si="237"/>
        <v/>
      </c>
      <c r="BE398" s="53" t="str">
        <f t="shared" si="238"/>
        <v/>
      </c>
      <c r="BF398" s="53" t="str">
        <f t="shared" si="239"/>
        <v/>
      </c>
      <c r="BG398" s="53" t="str">
        <f t="shared" si="240"/>
        <v/>
      </c>
      <c r="BH398" s="53" t="str">
        <f t="shared" si="241"/>
        <v/>
      </c>
      <c r="BI398" s="53" t="str">
        <f t="shared" si="242"/>
        <v/>
      </c>
      <c r="BJ398" s="53" t="str">
        <f t="shared" si="243"/>
        <v/>
      </c>
      <c r="BK398" s="53" t="str">
        <f t="shared" si="244"/>
        <v/>
      </c>
    </row>
    <row r="399" spans="2:63">
      <c r="B399" s="89" t="str">
        <f>IFERROR(VLOOKUP($A399,EntryList!$A$3:$N$645,2,FALSE),"")</f>
        <v/>
      </c>
      <c r="D399" s="53">
        <f t="shared" si="218"/>
        <v>0</v>
      </c>
      <c r="N399" s="62">
        <f t="shared" si="219"/>
        <v>0</v>
      </c>
      <c r="O399" s="53" t="str">
        <f t="shared" si="210"/>
        <v/>
      </c>
      <c r="P399" s="53" t="str">
        <f t="shared" si="211"/>
        <v/>
      </c>
      <c r="Q399" s="53" t="str">
        <f t="shared" si="212"/>
        <v/>
      </c>
      <c r="R399" s="53" t="str">
        <f t="shared" si="213"/>
        <v/>
      </c>
      <c r="S399" s="53" t="str">
        <f t="shared" si="214"/>
        <v/>
      </c>
      <c r="T399" s="53" t="str">
        <f t="shared" si="215"/>
        <v/>
      </c>
      <c r="U399" s="53" t="str">
        <f t="shared" si="216"/>
        <v/>
      </c>
      <c r="V399" s="53" t="str">
        <f t="shared" si="217"/>
        <v/>
      </c>
      <c r="W399" s="53" t="str">
        <f t="shared" si="220"/>
        <v>DNS/DNF ()</v>
      </c>
      <c r="X399" s="53" t="str">
        <f t="shared" si="221"/>
        <v>DNS/DNF ()</v>
      </c>
      <c r="Y399" s="53" t="str">
        <f t="shared" si="222"/>
        <v>DNS/DNF ()</v>
      </c>
      <c r="Z399" s="53" t="str">
        <f t="shared" si="223"/>
        <v>DNS/DNF ()</v>
      </c>
      <c r="AA399" s="53" t="str">
        <f t="shared" si="224"/>
        <v>DNS/DNF ()</v>
      </c>
      <c r="AB399" s="53" t="str">
        <f t="shared" si="225"/>
        <v>DNS/DNF ()</v>
      </c>
      <c r="AC399" s="53" t="str">
        <f t="shared" si="226"/>
        <v>DNS/DNF ()</v>
      </c>
      <c r="AD399" s="53" t="str">
        <f t="shared" si="227"/>
        <v>DNS/DNF ()</v>
      </c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62" t="str">
        <f t="shared" si="228"/>
        <v>DNS/DNF</v>
      </c>
      <c r="AV399" s="62" t="str">
        <f t="shared" si="229"/>
        <v>DNS/DNF</v>
      </c>
      <c r="AW399" s="62" t="str">
        <f t="shared" si="230"/>
        <v>DNS/DNF</v>
      </c>
      <c r="AX399" s="62" t="str">
        <f t="shared" si="231"/>
        <v>DNS/DNF</v>
      </c>
      <c r="AY399" s="62" t="str">
        <f t="shared" si="232"/>
        <v>DNS/DNF</v>
      </c>
      <c r="AZ399" s="62" t="str">
        <f t="shared" si="233"/>
        <v>DNS/DNF</v>
      </c>
      <c r="BA399" s="62" t="str">
        <f t="shared" si="234"/>
        <v>DNS/DNF</v>
      </c>
      <c r="BB399" s="62" t="str">
        <f t="shared" si="235"/>
        <v>DNS/DNF</v>
      </c>
      <c r="BC399" s="75" t="str">
        <f t="shared" si="236"/>
        <v/>
      </c>
      <c r="BD399" s="53" t="str">
        <f t="shared" si="237"/>
        <v/>
      </c>
      <c r="BE399" s="53" t="str">
        <f t="shared" si="238"/>
        <v/>
      </c>
      <c r="BF399" s="53" t="str">
        <f t="shared" si="239"/>
        <v/>
      </c>
      <c r="BG399" s="53" t="str">
        <f t="shared" si="240"/>
        <v/>
      </c>
      <c r="BH399" s="53" t="str">
        <f t="shared" si="241"/>
        <v/>
      </c>
      <c r="BI399" s="53" t="str">
        <f t="shared" si="242"/>
        <v/>
      </c>
      <c r="BJ399" s="53" t="str">
        <f t="shared" si="243"/>
        <v/>
      </c>
      <c r="BK399" s="53" t="str">
        <f t="shared" si="244"/>
        <v/>
      </c>
    </row>
    <row r="400" spans="2:63">
      <c r="B400" s="89" t="str">
        <f>IFERROR(VLOOKUP($A400,EntryList!$A$3:$N$645,2,FALSE),"")</f>
        <v/>
      </c>
      <c r="D400" s="53">
        <f t="shared" si="218"/>
        <v>0</v>
      </c>
      <c r="N400" s="62">
        <f t="shared" si="219"/>
        <v>0</v>
      </c>
      <c r="O400" s="53" t="str">
        <f t="shared" si="210"/>
        <v/>
      </c>
      <c r="P400" s="53" t="str">
        <f t="shared" si="211"/>
        <v/>
      </c>
      <c r="Q400" s="53" t="str">
        <f t="shared" si="212"/>
        <v/>
      </c>
      <c r="R400" s="53" t="str">
        <f t="shared" si="213"/>
        <v/>
      </c>
      <c r="S400" s="53" t="str">
        <f t="shared" si="214"/>
        <v/>
      </c>
      <c r="T400" s="53" t="str">
        <f t="shared" si="215"/>
        <v/>
      </c>
      <c r="U400" s="53" t="str">
        <f t="shared" si="216"/>
        <v/>
      </c>
      <c r="V400" s="53" t="str">
        <f t="shared" si="217"/>
        <v/>
      </c>
      <c r="W400" s="53" t="str">
        <f t="shared" si="220"/>
        <v>DNS/DNF ()</v>
      </c>
      <c r="X400" s="53" t="str">
        <f t="shared" si="221"/>
        <v>DNS/DNF ()</v>
      </c>
      <c r="Y400" s="53" t="str">
        <f t="shared" si="222"/>
        <v>DNS/DNF ()</v>
      </c>
      <c r="Z400" s="53" t="str">
        <f t="shared" si="223"/>
        <v>DNS/DNF ()</v>
      </c>
      <c r="AA400" s="53" t="str">
        <f t="shared" si="224"/>
        <v>DNS/DNF ()</v>
      </c>
      <c r="AB400" s="53" t="str">
        <f t="shared" si="225"/>
        <v>DNS/DNF ()</v>
      </c>
      <c r="AC400" s="53" t="str">
        <f t="shared" si="226"/>
        <v>DNS/DNF ()</v>
      </c>
      <c r="AD400" s="53" t="str">
        <f t="shared" si="227"/>
        <v>DNS/DNF ()</v>
      </c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62" t="str">
        <f t="shared" si="228"/>
        <v>DNS/DNF</v>
      </c>
      <c r="AV400" s="62" t="str">
        <f t="shared" si="229"/>
        <v>DNS/DNF</v>
      </c>
      <c r="AW400" s="62" t="str">
        <f t="shared" si="230"/>
        <v>DNS/DNF</v>
      </c>
      <c r="AX400" s="62" t="str">
        <f t="shared" si="231"/>
        <v>DNS/DNF</v>
      </c>
      <c r="AY400" s="62" t="str">
        <f t="shared" si="232"/>
        <v>DNS/DNF</v>
      </c>
      <c r="AZ400" s="62" t="str">
        <f t="shared" si="233"/>
        <v>DNS/DNF</v>
      </c>
      <c r="BA400" s="62" t="str">
        <f t="shared" si="234"/>
        <v>DNS/DNF</v>
      </c>
      <c r="BB400" s="62" t="str">
        <f t="shared" si="235"/>
        <v>DNS/DNF</v>
      </c>
      <c r="BC400" s="75" t="str">
        <f t="shared" si="236"/>
        <v/>
      </c>
      <c r="BD400" s="53" t="str">
        <f t="shared" si="237"/>
        <v/>
      </c>
      <c r="BE400" s="53" t="str">
        <f t="shared" si="238"/>
        <v/>
      </c>
      <c r="BF400" s="53" t="str">
        <f t="shared" si="239"/>
        <v/>
      </c>
      <c r="BG400" s="53" t="str">
        <f t="shared" si="240"/>
        <v/>
      </c>
      <c r="BH400" s="53" t="str">
        <f t="shared" si="241"/>
        <v/>
      </c>
      <c r="BI400" s="53" t="str">
        <f t="shared" si="242"/>
        <v/>
      </c>
      <c r="BJ400" s="53" t="str">
        <f t="shared" si="243"/>
        <v/>
      </c>
      <c r="BK400" s="53" t="str">
        <f t="shared" si="244"/>
        <v/>
      </c>
    </row>
    <row r="401" spans="2:63">
      <c r="B401" s="89" t="str">
        <f>IFERROR(VLOOKUP($A401,EntryList!$A$3:$N$645,2,FALSE),"")</f>
        <v/>
      </c>
      <c r="D401" s="53">
        <f t="shared" si="218"/>
        <v>0</v>
      </c>
      <c r="N401" s="62">
        <f t="shared" si="219"/>
        <v>0</v>
      </c>
      <c r="O401" s="53" t="str">
        <f t="shared" si="210"/>
        <v/>
      </c>
      <c r="P401" s="53" t="str">
        <f t="shared" si="211"/>
        <v/>
      </c>
      <c r="Q401" s="53" t="str">
        <f t="shared" si="212"/>
        <v/>
      </c>
      <c r="R401" s="53" t="str">
        <f t="shared" si="213"/>
        <v/>
      </c>
      <c r="S401" s="53" t="str">
        <f t="shared" si="214"/>
        <v/>
      </c>
      <c r="T401" s="53" t="str">
        <f t="shared" si="215"/>
        <v/>
      </c>
      <c r="U401" s="53" t="str">
        <f t="shared" si="216"/>
        <v/>
      </c>
      <c r="V401" s="53" t="str">
        <f t="shared" si="217"/>
        <v/>
      </c>
      <c r="W401" s="53" t="str">
        <f t="shared" si="220"/>
        <v>DNS/DNF ()</v>
      </c>
      <c r="X401" s="53" t="str">
        <f t="shared" si="221"/>
        <v>DNS/DNF ()</v>
      </c>
      <c r="Y401" s="53" t="str">
        <f t="shared" si="222"/>
        <v>DNS/DNF ()</v>
      </c>
      <c r="Z401" s="53" t="str">
        <f t="shared" si="223"/>
        <v>DNS/DNF ()</v>
      </c>
      <c r="AA401" s="53" t="str">
        <f t="shared" si="224"/>
        <v>DNS/DNF ()</v>
      </c>
      <c r="AB401" s="53" t="str">
        <f t="shared" si="225"/>
        <v>DNS/DNF ()</v>
      </c>
      <c r="AC401" s="53" t="str">
        <f t="shared" si="226"/>
        <v>DNS/DNF ()</v>
      </c>
      <c r="AD401" s="53" t="str">
        <f t="shared" si="227"/>
        <v>DNS/DNF ()</v>
      </c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62" t="str">
        <f t="shared" si="228"/>
        <v>DNS/DNF</v>
      </c>
      <c r="AV401" s="62" t="str">
        <f t="shared" si="229"/>
        <v>DNS/DNF</v>
      </c>
      <c r="AW401" s="62" t="str">
        <f t="shared" si="230"/>
        <v>DNS/DNF</v>
      </c>
      <c r="AX401" s="62" t="str">
        <f t="shared" si="231"/>
        <v>DNS/DNF</v>
      </c>
      <c r="AY401" s="62" t="str">
        <f t="shared" si="232"/>
        <v>DNS/DNF</v>
      </c>
      <c r="AZ401" s="62" t="str">
        <f t="shared" si="233"/>
        <v>DNS/DNF</v>
      </c>
      <c r="BA401" s="62" t="str">
        <f t="shared" si="234"/>
        <v>DNS/DNF</v>
      </c>
      <c r="BB401" s="62" t="str">
        <f t="shared" si="235"/>
        <v>DNS/DNF</v>
      </c>
      <c r="BC401" s="75" t="str">
        <f t="shared" si="236"/>
        <v/>
      </c>
      <c r="BD401" s="53" t="str">
        <f t="shared" si="237"/>
        <v/>
      </c>
      <c r="BE401" s="53" t="str">
        <f t="shared" si="238"/>
        <v/>
      </c>
      <c r="BF401" s="53" t="str">
        <f t="shared" si="239"/>
        <v/>
      </c>
      <c r="BG401" s="53" t="str">
        <f t="shared" si="240"/>
        <v/>
      </c>
      <c r="BH401" s="53" t="str">
        <f t="shared" si="241"/>
        <v/>
      </c>
      <c r="BI401" s="53" t="str">
        <f t="shared" si="242"/>
        <v/>
      </c>
      <c r="BJ401" s="53" t="str">
        <f t="shared" si="243"/>
        <v/>
      </c>
      <c r="BK401" s="53" t="str">
        <f t="shared" si="244"/>
        <v/>
      </c>
    </row>
    <row r="402" spans="2:63">
      <c r="B402" s="89" t="str">
        <f>IFERROR(VLOOKUP($A402,EntryList!$A$3:$N$645,2,FALSE),"")</f>
        <v/>
      </c>
      <c r="D402" s="53">
        <f t="shared" si="218"/>
        <v>0</v>
      </c>
      <c r="N402" s="62">
        <f t="shared" si="219"/>
        <v>0</v>
      </c>
      <c r="O402" s="53" t="str">
        <f t="shared" ref="O402:O465" si="245">IFERROR(RANK($AU402,AU$3:AU$500,1),"")</f>
        <v/>
      </c>
      <c r="P402" s="53" t="str">
        <f t="shared" ref="P402:P465" si="246">IFERROR(RANK($AV402,AV$3:AV$500,1),"")</f>
        <v/>
      </c>
      <c r="Q402" s="53" t="str">
        <f t="shared" ref="Q402:Q465" si="247">IFERROR(RANK($AW402,AW$3:AW$500,1),"")</f>
        <v/>
      </c>
      <c r="R402" s="53" t="str">
        <f t="shared" ref="R402:R465" si="248">IFERROR(RANK($AX402,AX$3:AX$500,1),"")</f>
        <v/>
      </c>
      <c r="S402" s="53" t="str">
        <f t="shared" ref="S402:S465" si="249">IFERROR(RANK($AY402,AY$3:AY$500,1),"")</f>
        <v/>
      </c>
      <c r="T402" s="53" t="str">
        <f t="shared" ref="T402:T465" si="250">IFERROR(RANK($AZ402,AZ$3:AZ$500,1),"")</f>
        <v/>
      </c>
      <c r="U402" s="53" t="str">
        <f t="shared" ref="U402:U465" si="251">IFERROR(RANK($BA402,BA$3:BA$500,1),"")</f>
        <v/>
      </c>
      <c r="V402" s="53" t="str">
        <f t="shared" ref="V402:V465" si="252">IFERROR(RANK($BB402,BB$3:BB$500,1),"")</f>
        <v/>
      </c>
      <c r="W402" s="53" t="str">
        <f t="shared" si="220"/>
        <v>DNS/DNF ()</v>
      </c>
      <c r="X402" s="53" t="str">
        <f t="shared" si="221"/>
        <v>DNS/DNF ()</v>
      </c>
      <c r="Y402" s="53" t="str">
        <f t="shared" si="222"/>
        <v>DNS/DNF ()</v>
      </c>
      <c r="Z402" s="53" t="str">
        <f t="shared" si="223"/>
        <v>DNS/DNF ()</v>
      </c>
      <c r="AA402" s="53" t="str">
        <f t="shared" si="224"/>
        <v>DNS/DNF ()</v>
      </c>
      <c r="AB402" s="53" t="str">
        <f t="shared" si="225"/>
        <v>DNS/DNF ()</v>
      </c>
      <c r="AC402" s="53" t="str">
        <f t="shared" si="226"/>
        <v>DNS/DNF ()</v>
      </c>
      <c r="AD402" s="53" t="str">
        <f t="shared" si="227"/>
        <v>DNS/DNF ()</v>
      </c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62" t="str">
        <f t="shared" si="228"/>
        <v>DNS/DNF</v>
      </c>
      <c r="AV402" s="62" t="str">
        <f t="shared" si="229"/>
        <v>DNS/DNF</v>
      </c>
      <c r="AW402" s="62" t="str">
        <f t="shared" si="230"/>
        <v>DNS/DNF</v>
      </c>
      <c r="AX402" s="62" t="str">
        <f t="shared" si="231"/>
        <v>DNS/DNF</v>
      </c>
      <c r="AY402" s="62" t="str">
        <f t="shared" si="232"/>
        <v>DNS/DNF</v>
      </c>
      <c r="AZ402" s="62" t="str">
        <f t="shared" si="233"/>
        <v>DNS/DNF</v>
      </c>
      <c r="BA402" s="62" t="str">
        <f t="shared" si="234"/>
        <v>DNS/DNF</v>
      </c>
      <c r="BB402" s="62" t="str">
        <f t="shared" si="235"/>
        <v>DNS/DNF</v>
      </c>
      <c r="BC402" s="75" t="str">
        <f t="shared" si="236"/>
        <v/>
      </c>
      <c r="BD402" s="53" t="str">
        <f t="shared" si="237"/>
        <v/>
      </c>
      <c r="BE402" s="53" t="str">
        <f t="shared" si="238"/>
        <v/>
      </c>
      <c r="BF402" s="53" t="str">
        <f t="shared" si="239"/>
        <v/>
      </c>
      <c r="BG402" s="53" t="str">
        <f t="shared" si="240"/>
        <v/>
      </c>
      <c r="BH402" s="53" t="str">
        <f t="shared" si="241"/>
        <v/>
      </c>
      <c r="BI402" s="53" t="str">
        <f t="shared" si="242"/>
        <v/>
      </c>
      <c r="BJ402" s="53" t="str">
        <f t="shared" si="243"/>
        <v/>
      </c>
      <c r="BK402" s="53" t="str">
        <f t="shared" si="244"/>
        <v/>
      </c>
    </row>
    <row r="403" spans="2:63">
      <c r="B403" s="89" t="str">
        <f>IFERROR(VLOOKUP($A403,EntryList!$A$3:$N$645,2,FALSE),"")</f>
        <v/>
      </c>
      <c r="D403" s="53">
        <f t="shared" si="218"/>
        <v>0</v>
      </c>
      <c r="N403" s="62">
        <f t="shared" si="219"/>
        <v>0</v>
      </c>
      <c r="O403" s="53" t="str">
        <f t="shared" si="245"/>
        <v/>
      </c>
      <c r="P403" s="53" t="str">
        <f t="shared" si="246"/>
        <v/>
      </c>
      <c r="Q403" s="53" t="str">
        <f t="shared" si="247"/>
        <v/>
      </c>
      <c r="R403" s="53" t="str">
        <f t="shared" si="248"/>
        <v/>
      </c>
      <c r="S403" s="53" t="str">
        <f t="shared" si="249"/>
        <v/>
      </c>
      <c r="T403" s="53" t="str">
        <f t="shared" si="250"/>
        <v/>
      </c>
      <c r="U403" s="53" t="str">
        <f t="shared" si="251"/>
        <v/>
      </c>
      <c r="V403" s="53" t="str">
        <f t="shared" si="252"/>
        <v/>
      </c>
      <c r="W403" s="53" t="str">
        <f t="shared" si="220"/>
        <v>DNS/DNF ()</v>
      </c>
      <c r="X403" s="53" t="str">
        <f t="shared" si="221"/>
        <v>DNS/DNF ()</v>
      </c>
      <c r="Y403" s="53" t="str">
        <f t="shared" si="222"/>
        <v>DNS/DNF ()</v>
      </c>
      <c r="Z403" s="53" t="str">
        <f t="shared" si="223"/>
        <v>DNS/DNF ()</v>
      </c>
      <c r="AA403" s="53" t="str">
        <f t="shared" si="224"/>
        <v>DNS/DNF ()</v>
      </c>
      <c r="AB403" s="53" t="str">
        <f t="shared" si="225"/>
        <v>DNS/DNF ()</v>
      </c>
      <c r="AC403" s="53" t="str">
        <f t="shared" si="226"/>
        <v>DNS/DNF ()</v>
      </c>
      <c r="AD403" s="53" t="str">
        <f t="shared" si="227"/>
        <v>DNS/DNF ()</v>
      </c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62" t="str">
        <f t="shared" si="228"/>
        <v>DNS/DNF</v>
      </c>
      <c r="AV403" s="62" t="str">
        <f t="shared" si="229"/>
        <v>DNS/DNF</v>
      </c>
      <c r="AW403" s="62" t="str">
        <f t="shared" si="230"/>
        <v>DNS/DNF</v>
      </c>
      <c r="AX403" s="62" t="str">
        <f t="shared" si="231"/>
        <v>DNS/DNF</v>
      </c>
      <c r="AY403" s="62" t="str">
        <f t="shared" si="232"/>
        <v>DNS/DNF</v>
      </c>
      <c r="AZ403" s="62" t="str">
        <f t="shared" si="233"/>
        <v>DNS/DNF</v>
      </c>
      <c r="BA403" s="62" t="str">
        <f t="shared" si="234"/>
        <v>DNS/DNF</v>
      </c>
      <c r="BB403" s="62" t="str">
        <f t="shared" si="235"/>
        <v>DNS/DNF</v>
      </c>
      <c r="BC403" s="75" t="str">
        <f t="shared" si="236"/>
        <v/>
      </c>
      <c r="BD403" s="53" t="str">
        <f t="shared" si="237"/>
        <v/>
      </c>
      <c r="BE403" s="53" t="str">
        <f t="shared" si="238"/>
        <v/>
      </c>
      <c r="BF403" s="53" t="str">
        <f t="shared" si="239"/>
        <v/>
      </c>
      <c r="BG403" s="53" t="str">
        <f t="shared" si="240"/>
        <v/>
      </c>
      <c r="BH403" s="53" t="str">
        <f t="shared" si="241"/>
        <v/>
      </c>
      <c r="BI403" s="53" t="str">
        <f t="shared" si="242"/>
        <v/>
      </c>
      <c r="BJ403" s="53" t="str">
        <f t="shared" si="243"/>
        <v/>
      </c>
      <c r="BK403" s="53" t="str">
        <f t="shared" si="244"/>
        <v/>
      </c>
    </row>
    <row r="404" spans="2:63">
      <c r="B404" s="89" t="str">
        <f>IFERROR(VLOOKUP($A404,EntryList!$A$3:$N$645,2,FALSE),"")</f>
        <v/>
      </c>
      <c r="D404" s="53">
        <f t="shared" si="218"/>
        <v>0</v>
      </c>
      <c r="N404" s="62">
        <f t="shared" si="219"/>
        <v>0</v>
      </c>
      <c r="O404" s="53" t="str">
        <f t="shared" si="245"/>
        <v/>
      </c>
      <c r="P404" s="53" t="str">
        <f t="shared" si="246"/>
        <v/>
      </c>
      <c r="Q404" s="53" t="str">
        <f t="shared" si="247"/>
        <v/>
      </c>
      <c r="R404" s="53" t="str">
        <f t="shared" si="248"/>
        <v/>
      </c>
      <c r="S404" s="53" t="str">
        <f t="shared" si="249"/>
        <v/>
      </c>
      <c r="T404" s="53" t="str">
        <f t="shared" si="250"/>
        <v/>
      </c>
      <c r="U404" s="53" t="str">
        <f t="shared" si="251"/>
        <v/>
      </c>
      <c r="V404" s="53" t="str">
        <f t="shared" si="252"/>
        <v/>
      </c>
      <c r="W404" s="53" t="str">
        <f t="shared" si="220"/>
        <v>DNS/DNF ()</v>
      </c>
      <c r="X404" s="53" t="str">
        <f t="shared" si="221"/>
        <v>DNS/DNF ()</v>
      </c>
      <c r="Y404" s="53" t="str">
        <f t="shared" si="222"/>
        <v>DNS/DNF ()</v>
      </c>
      <c r="Z404" s="53" t="str">
        <f t="shared" si="223"/>
        <v>DNS/DNF ()</v>
      </c>
      <c r="AA404" s="53" t="str">
        <f t="shared" si="224"/>
        <v>DNS/DNF ()</v>
      </c>
      <c r="AB404" s="53" t="str">
        <f t="shared" si="225"/>
        <v>DNS/DNF ()</v>
      </c>
      <c r="AC404" s="53" t="str">
        <f t="shared" si="226"/>
        <v>DNS/DNF ()</v>
      </c>
      <c r="AD404" s="53" t="str">
        <f t="shared" si="227"/>
        <v>DNS/DNF ()</v>
      </c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62" t="str">
        <f t="shared" si="228"/>
        <v>DNS/DNF</v>
      </c>
      <c r="AV404" s="62" t="str">
        <f t="shared" si="229"/>
        <v>DNS/DNF</v>
      </c>
      <c r="AW404" s="62" t="str">
        <f t="shared" si="230"/>
        <v>DNS/DNF</v>
      </c>
      <c r="AX404" s="62" t="str">
        <f t="shared" si="231"/>
        <v>DNS/DNF</v>
      </c>
      <c r="AY404" s="62" t="str">
        <f t="shared" si="232"/>
        <v>DNS/DNF</v>
      </c>
      <c r="AZ404" s="62" t="str">
        <f t="shared" si="233"/>
        <v>DNS/DNF</v>
      </c>
      <c r="BA404" s="62" t="str">
        <f t="shared" si="234"/>
        <v>DNS/DNF</v>
      </c>
      <c r="BB404" s="62" t="str">
        <f t="shared" si="235"/>
        <v>DNS/DNF</v>
      </c>
      <c r="BC404" s="75" t="str">
        <f t="shared" si="236"/>
        <v/>
      </c>
      <c r="BD404" s="53" t="str">
        <f t="shared" si="237"/>
        <v/>
      </c>
      <c r="BE404" s="53" t="str">
        <f t="shared" si="238"/>
        <v/>
      </c>
      <c r="BF404" s="53" t="str">
        <f t="shared" si="239"/>
        <v/>
      </c>
      <c r="BG404" s="53" t="str">
        <f t="shared" si="240"/>
        <v/>
      </c>
      <c r="BH404" s="53" t="str">
        <f t="shared" si="241"/>
        <v/>
      </c>
      <c r="BI404" s="53" t="str">
        <f t="shared" si="242"/>
        <v/>
      </c>
      <c r="BJ404" s="53" t="str">
        <f t="shared" si="243"/>
        <v/>
      </c>
      <c r="BK404" s="53" t="str">
        <f t="shared" si="244"/>
        <v/>
      </c>
    </row>
    <row r="405" spans="2:63">
      <c r="B405" s="89" t="str">
        <f>IFERROR(VLOOKUP($A405,EntryList!$A$3:$N$645,2,FALSE),"")</f>
        <v/>
      </c>
      <c r="D405" s="53">
        <f t="shared" si="218"/>
        <v>0</v>
      </c>
      <c r="N405" s="62">
        <f t="shared" si="219"/>
        <v>0</v>
      </c>
      <c r="O405" s="53" t="str">
        <f t="shared" si="245"/>
        <v/>
      </c>
      <c r="P405" s="53" t="str">
        <f t="shared" si="246"/>
        <v/>
      </c>
      <c r="Q405" s="53" t="str">
        <f t="shared" si="247"/>
        <v/>
      </c>
      <c r="R405" s="53" t="str">
        <f t="shared" si="248"/>
        <v/>
      </c>
      <c r="S405" s="53" t="str">
        <f t="shared" si="249"/>
        <v/>
      </c>
      <c r="T405" s="53" t="str">
        <f t="shared" si="250"/>
        <v/>
      </c>
      <c r="U405" s="53" t="str">
        <f t="shared" si="251"/>
        <v/>
      </c>
      <c r="V405" s="53" t="str">
        <f t="shared" si="252"/>
        <v/>
      </c>
      <c r="W405" s="53" t="str">
        <f t="shared" si="220"/>
        <v>DNS/DNF ()</v>
      </c>
      <c r="X405" s="53" t="str">
        <f t="shared" si="221"/>
        <v>DNS/DNF ()</v>
      </c>
      <c r="Y405" s="53" t="str">
        <f t="shared" si="222"/>
        <v>DNS/DNF ()</v>
      </c>
      <c r="Z405" s="53" t="str">
        <f t="shared" si="223"/>
        <v>DNS/DNF ()</v>
      </c>
      <c r="AA405" s="53" t="str">
        <f t="shared" si="224"/>
        <v>DNS/DNF ()</v>
      </c>
      <c r="AB405" s="53" t="str">
        <f t="shared" si="225"/>
        <v>DNS/DNF ()</v>
      </c>
      <c r="AC405" s="53" t="str">
        <f t="shared" si="226"/>
        <v>DNS/DNF ()</v>
      </c>
      <c r="AD405" s="53" t="str">
        <f t="shared" si="227"/>
        <v>DNS/DNF ()</v>
      </c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62" t="str">
        <f t="shared" si="228"/>
        <v>DNS/DNF</v>
      </c>
      <c r="AV405" s="62" t="str">
        <f t="shared" si="229"/>
        <v>DNS/DNF</v>
      </c>
      <c r="AW405" s="62" t="str">
        <f t="shared" si="230"/>
        <v>DNS/DNF</v>
      </c>
      <c r="AX405" s="62" t="str">
        <f t="shared" si="231"/>
        <v>DNS/DNF</v>
      </c>
      <c r="AY405" s="62" t="str">
        <f t="shared" si="232"/>
        <v>DNS/DNF</v>
      </c>
      <c r="AZ405" s="62" t="str">
        <f t="shared" si="233"/>
        <v>DNS/DNF</v>
      </c>
      <c r="BA405" s="62" t="str">
        <f t="shared" si="234"/>
        <v>DNS/DNF</v>
      </c>
      <c r="BB405" s="62" t="str">
        <f t="shared" si="235"/>
        <v>DNS/DNF</v>
      </c>
      <c r="BC405" s="75" t="str">
        <f t="shared" si="236"/>
        <v/>
      </c>
      <c r="BD405" s="53" t="str">
        <f t="shared" si="237"/>
        <v/>
      </c>
      <c r="BE405" s="53" t="str">
        <f t="shared" si="238"/>
        <v/>
      </c>
      <c r="BF405" s="53" t="str">
        <f t="shared" si="239"/>
        <v/>
      </c>
      <c r="BG405" s="53" t="str">
        <f t="shared" si="240"/>
        <v/>
      </c>
      <c r="BH405" s="53" t="str">
        <f t="shared" si="241"/>
        <v/>
      </c>
      <c r="BI405" s="53" t="str">
        <f t="shared" si="242"/>
        <v/>
      </c>
      <c r="BJ405" s="53" t="str">
        <f t="shared" si="243"/>
        <v/>
      </c>
      <c r="BK405" s="53" t="str">
        <f t="shared" si="244"/>
        <v/>
      </c>
    </row>
    <row r="406" spans="2:63">
      <c r="B406" s="89" t="str">
        <f>IFERROR(VLOOKUP($A406,EntryList!$A$3:$N$645,2,FALSE),"")</f>
        <v/>
      </c>
      <c r="D406" s="53">
        <f t="shared" si="218"/>
        <v>0</v>
      </c>
      <c r="N406" s="62">
        <f t="shared" si="219"/>
        <v>0</v>
      </c>
      <c r="O406" s="53" t="str">
        <f t="shared" si="245"/>
        <v/>
      </c>
      <c r="P406" s="53" t="str">
        <f t="shared" si="246"/>
        <v/>
      </c>
      <c r="Q406" s="53" t="str">
        <f t="shared" si="247"/>
        <v/>
      </c>
      <c r="R406" s="53" t="str">
        <f t="shared" si="248"/>
        <v/>
      </c>
      <c r="S406" s="53" t="str">
        <f t="shared" si="249"/>
        <v/>
      </c>
      <c r="T406" s="53" t="str">
        <f t="shared" si="250"/>
        <v/>
      </c>
      <c r="U406" s="53" t="str">
        <f t="shared" si="251"/>
        <v/>
      </c>
      <c r="V406" s="53" t="str">
        <f t="shared" si="252"/>
        <v/>
      </c>
      <c r="W406" s="53" t="str">
        <f t="shared" si="220"/>
        <v>DNS/DNF ()</v>
      </c>
      <c r="X406" s="53" t="str">
        <f t="shared" si="221"/>
        <v>DNS/DNF ()</v>
      </c>
      <c r="Y406" s="53" t="str">
        <f t="shared" si="222"/>
        <v>DNS/DNF ()</v>
      </c>
      <c r="Z406" s="53" t="str">
        <f t="shared" si="223"/>
        <v>DNS/DNF ()</v>
      </c>
      <c r="AA406" s="53" t="str">
        <f t="shared" si="224"/>
        <v>DNS/DNF ()</v>
      </c>
      <c r="AB406" s="53" t="str">
        <f t="shared" si="225"/>
        <v>DNS/DNF ()</v>
      </c>
      <c r="AC406" s="53" t="str">
        <f t="shared" si="226"/>
        <v>DNS/DNF ()</v>
      </c>
      <c r="AD406" s="53" t="str">
        <f t="shared" si="227"/>
        <v>DNS/DNF ()</v>
      </c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62" t="str">
        <f t="shared" si="228"/>
        <v>DNS/DNF</v>
      </c>
      <c r="AV406" s="62" t="str">
        <f t="shared" si="229"/>
        <v>DNS/DNF</v>
      </c>
      <c r="AW406" s="62" t="str">
        <f t="shared" si="230"/>
        <v>DNS/DNF</v>
      </c>
      <c r="AX406" s="62" t="str">
        <f t="shared" si="231"/>
        <v>DNS/DNF</v>
      </c>
      <c r="AY406" s="62" t="str">
        <f t="shared" si="232"/>
        <v>DNS/DNF</v>
      </c>
      <c r="AZ406" s="62" t="str">
        <f t="shared" si="233"/>
        <v>DNS/DNF</v>
      </c>
      <c r="BA406" s="62" t="str">
        <f t="shared" si="234"/>
        <v>DNS/DNF</v>
      </c>
      <c r="BB406" s="62" t="str">
        <f t="shared" si="235"/>
        <v>DNS/DNF</v>
      </c>
      <c r="BC406" s="75" t="str">
        <f t="shared" si="236"/>
        <v/>
      </c>
      <c r="BD406" s="53" t="str">
        <f t="shared" si="237"/>
        <v/>
      </c>
      <c r="BE406" s="53" t="str">
        <f t="shared" si="238"/>
        <v/>
      </c>
      <c r="BF406" s="53" t="str">
        <f t="shared" si="239"/>
        <v/>
      </c>
      <c r="BG406" s="53" t="str">
        <f t="shared" si="240"/>
        <v/>
      </c>
      <c r="BH406" s="53" t="str">
        <f t="shared" si="241"/>
        <v/>
      </c>
      <c r="BI406" s="53" t="str">
        <f t="shared" si="242"/>
        <v/>
      </c>
      <c r="BJ406" s="53" t="str">
        <f t="shared" si="243"/>
        <v/>
      </c>
      <c r="BK406" s="53" t="str">
        <f t="shared" si="244"/>
        <v/>
      </c>
    </row>
    <row r="407" spans="2:63">
      <c r="B407" s="89" t="str">
        <f>IFERROR(VLOOKUP($A407,EntryList!$A$3:$N$645,2,FALSE),"")</f>
        <v/>
      </c>
      <c r="D407" s="53">
        <f t="shared" si="218"/>
        <v>0</v>
      </c>
      <c r="N407" s="62">
        <f t="shared" si="219"/>
        <v>0</v>
      </c>
      <c r="O407" s="53" t="str">
        <f t="shared" si="245"/>
        <v/>
      </c>
      <c r="P407" s="53" t="str">
        <f t="shared" si="246"/>
        <v/>
      </c>
      <c r="Q407" s="53" t="str">
        <f t="shared" si="247"/>
        <v/>
      </c>
      <c r="R407" s="53" t="str">
        <f t="shared" si="248"/>
        <v/>
      </c>
      <c r="S407" s="53" t="str">
        <f t="shared" si="249"/>
        <v/>
      </c>
      <c r="T407" s="53" t="str">
        <f t="shared" si="250"/>
        <v/>
      </c>
      <c r="U407" s="53" t="str">
        <f t="shared" si="251"/>
        <v/>
      </c>
      <c r="V407" s="53" t="str">
        <f t="shared" si="252"/>
        <v/>
      </c>
      <c r="W407" s="53" t="str">
        <f t="shared" si="220"/>
        <v>DNS/DNF ()</v>
      </c>
      <c r="X407" s="53" t="str">
        <f t="shared" si="221"/>
        <v>DNS/DNF ()</v>
      </c>
      <c r="Y407" s="53" t="str">
        <f t="shared" si="222"/>
        <v>DNS/DNF ()</v>
      </c>
      <c r="Z407" s="53" t="str">
        <f t="shared" si="223"/>
        <v>DNS/DNF ()</v>
      </c>
      <c r="AA407" s="53" t="str">
        <f t="shared" si="224"/>
        <v>DNS/DNF ()</v>
      </c>
      <c r="AB407" s="53" t="str">
        <f t="shared" si="225"/>
        <v>DNS/DNF ()</v>
      </c>
      <c r="AC407" s="53" t="str">
        <f t="shared" si="226"/>
        <v>DNS/DNF ()</v>
      </c>
      <c r="AD407" s="53" t="str">
        <f t="shared" si="227"/>
        <v>DNS/DNF ()</v>
      </c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62" t="str">
        <f t="shared" si="228"/>
        <v>DNS/DNF</v>
      </c>
      <c r="AV407" s="62" t="str">
        <f t="shared" si="229"/>
        <v>DNS/DNF</v>
      </c>
      <c r="AW407" s="62" t="str">
        <f t="shared" si="230"/>
        <v>DNS/DNF</v>
      </c>
      <c r="AX407" s="62" t="str">
        <f t="shared" si="231"/>
        <v>DNS/DNF</v>
      </c>
      <c r="AY407" s="62" t="str">
        <f t="shared" si="232"/>
        <v>DNS/DNF</v>
      </c>
      <c r="AZ407" s="62" t="str">
        <f t="shared" si="233"/>
        <v>DNS/DNF</v>
      </c>
      <c r="BA407" s="62" t="str">
        <f t="shared" si="234"/>
        <v>DNS/DNF</v>
      </c>
      <c r="BB407" s="62" t="str">
        <f t="shared" si="235"/>
        <v>DNS/DNF</v>
      </c>
      <c r="BC407" s="75" t="str">
        <f t="shared" si="236"/>
        <v/>
      </c>
      <c r="BD407" s="53" t="str">
        <f t="shared" si="237"/>
        <v/>
      </c>
      <c r="BE407" s="53" t="str">
        <f t="shared" si="238"/>
        <v/>
      </c>
      <c r="BF407" s="53" t="str">
        <f t="shared" si="239"/>
        <v/>
      </c>
      <c r="BG407" s="53" t="str">
        <f t="shared" si="240"/>
        <v/>
      </c>
      <c r="BH407" s="53" t="str">
        <f t="shared" si="241"/>
        <v/>
      </c>
      <c r="BI407" s="53" t="str">
        <f t="shared" si="242"/>
        <v/>
      </c>
      <c r="BJ407" s="53" t="str">
        <f t="shared" si="243"/>
        <v/>
      </c>
      <c r="BK407" s="53" t="str">
        <f t="shared" si="244"/>
        <v/>
      </c>
    </row>
    <row r="408" spans="2:63">
      <c r="B408" s="89" t="str">
        <f>IFERROR(VLOOKUP($A408,EntryList!$A$3:$N$645,2,FALSE),"")</f>
        <v/>
      </c>
      <c r="D408" s="53">
        <f t="shared" si="218"/>
        <v>0</v>
      </c>
      <c r="N408" s="62">
        <f t="shared" si="219"/>
        <v>0</v>
      </c>
      <c r="O408" s="53" t="str">
        <f t="shared" si="245"/>
        <v/>
      </c>
      <c r="P408" s="53" t="str">
        <f t="shared" si="246"/>
        <v/>
      </c>
      <c r="Q408" s="53" t="str">
        <f t="shared" si="247"/>
        <v/>
      </c>
      <c r="R408" s="53" t="str">
        <f t="shared" si="248"/>
        <v/>
      </c>
      <c r="S408" s="53" t="str">
        <f t="shared" si="249"/>
        <v/>
      </c>
      <c r="T408" s="53" t="str">
        <f t="shared" si="250"/>
        <v/>
      </c>
      <c r="U408" s="53" t="str">
        <f t="shared" si="251"/>
        <v/>
      </c>
      <c r="V408" s="53" t="str">
        <f t="shared" si="252"/>
        <v/>
      </c>
      <c r="W408" s="53" t="str">
        <f t="shared" si="220"/>
        <v>DNS/DNF ()</v>
      </c>
      <c r="X408" s="53" t="str">
        <f t="shared" si="221"/>
        <v>DNS/DNF ()</v>
      </c>
      <c r="Y408" s="53" t="str">
        <f t="shared" si="222"/>
        <v>DNS/DNF ()</v>
      </c>
      <c r="Z408" s="53" t="str">
        <f t="shared" si="223"/>
        <v>DNS/DNF ()</v>
      </c>
      <c r="AA408" s="53" t="str">
        <f t="shared" si="224"/>
        <v>DNS/DNF ()</v>
      </c>
      <c r="AB408" s="53" t="str">
        <f t="shared" si="225"/>
        <v>DNS/DNF ()</v>
      </c>
      <c r="AC408" s="53" t="str">
        <f t="shared" si="226"/>
        <v>DNS/DNF ()</v>
      </c>
      <c r="AD408" s="53" t="str">
        <f t="shared" si="227"/>
        <v>DNS/DNF ()</v>
      </c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62" t="str">
        <f t="shared" si="228"/>
        <v>DNS/DNF</v>
      </c>
      <c r="AV408" s="62" t="str">
        <f t="shared" si="229"/>
        <v>DNS/DNF</v>
      </c>
      <c r="AW408" s="62" t="str">
        <f t="shared" si="230"/>
        <v>DNS/DNF</v>
      </c>
      <c r="AX408" s="62" t="str">
        <f t="shared" si="231"/>
        <v>DNS/DNF</v>
      </c>
      <c r="AY408" s="62" t="str">
        <f t="shared" si="232"/>
        <v>DNS/DNF</v>
      </c>
      <c r="AZ408" s="62" t="str">
        <f t="shared" si="233"/>
        <v>DNS/DNF</v>
      </c>
      <c r="BA408" s="62" t="str">
        <f t="shared" si="234"/>
        <v>DNS/DNF</v>
      </c>
      <c r="BB408" s="62" t="str">
        <f t="shared" si="235"/>
        <v>DNS/DNF</v>
      </c>
      <c r="BC408" s="75" t="str">
        <f t="shared" si="236"/>
        <v/>
      </c>
      <c r="BD408" s="53" t="str">
        <f t="shared" si="237"/>
        <v/>
      </c>
      <c r="BE408" s="53" t="str">
        <f t="shared" si="238"/>
        <v/>
      </c>
      <c r="BF408" s="53" t="str">
        <f t="shared" si="239"/>
        <v/>
      </c>
      <c r="BG408" s="53" t="str">
        <f t="shared" si="240"/>
        <v/>
      </c>
      <c r="BH408" s="53" t="str">
        <f t="shared" si="241"/>
        <v/>
      </c>
      <c r="BI408" s="53" t="str">
        <f t="shared" si="242"/>
        <v/>
      </c>
      <c r="BJ408" s="53" t="str">
        <f t="shared" si="243"/>
        <v/>
      </c>
      <c r="BK408" s="53" t="str">
        <f t="shared" si="244"/>
        <v/>
      </c>
    </row>
    <row r="409" spans="2:63">
      <c r="B409" s="89" t="str">
        <f>IFERROR(VLOOKUP($A409,EntryList!$A$3:$N$645,2,FALSE),"")</f>
        <v/>
      </c>
      <c r="D409" s="53">
        <f t="shared" si="218"/>
        <v>0</v>
      </c>
      <c r="N409" s="62">
        <f t="shared" si="219"/>
        <v>0</v>
      </c>
      <c r="O409" s="53" t="str">
        <f t="shared" si="245"/>
        <v/>
      </c>
      <c r="P409" s="53" t="str">
        <f t="shared" si="246"/>
        <v/>
      </c>
      <c r="Q409" s="53" t="str">
        <f t="shared" si="247"/>
        <v/>
      </c>
      <c r="R409" s="53" t="str">
        <f t="shared" si="248"/>
        <v/>
      </c>
      <c r="S409" s="53" t="str">
        <f t="shared" si="249"/>
        <v/>
      </c>
      <c r="T409" s="53" t="str">
        <f t="shared" si="250"/>
        <v/>
      </c>
      <c r="U409" s="53" t="str">
        <f t="shared" si="251"/>
        <v/>
      </c>
      <c r="V409" s="53" t="str">
        <f t="shared" si="252"/>
        <v/>
      </c>
      <c r="W409" s="53" t="str">
        <f t="shared" si="220"/>
        <v>DNS/DNF ()</v>
      </c>
      <c r="X409" s="53" t="str">
        <f t="shared" si="221"/>
        <v>DNS/DNF ()</v>
      </c>
      <c r="Y409" s="53" t="str">
        <f t="shared" si="222"/>
        <v>DNS/DNF ()</v>
      </c>
      <c r="Z409" s="53" t="str">
        <f t="shared" si="223"/>
        <v>DNS/DNF ()</v>
      </c>
      <c r="AA409" s="53" t="str">
        <f t="shared" si="224"/>
        <v>DNS/DNF ()</v>
      </c>
      <c r="AB409" s="53" t="str">
        <f t="shared" si="225"/>
        <v>DNS/DNF ()</v>
      </c>
      <c r="AC409" s="53" t="str">
        <f t="shared" si="226"/>
        <v>DNS/DNF ()</v>
      </c>
      <c r="AD409" s="53" t="str">
        <f t="shared" si="227"/>
        <v>DNS/DNF ()</v>
      </c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62" t="str">
        <f t="shared" si="228"/>
        <v>DNS/DNF</v>
      </c>
      <c r="AV409" s="62" t="str">
        <f t="shared" si="229"/>
        <v>DNS/DNF</v>
      </c>
      <c r="AW409" s="62" t="str">
        <f t="shared" si="230"/>
        <v>DNS/DNF</v>
      </c>
      <c r="AX409" s="62" t="str">
        <f t="shared" si="231"/>
        <v>DNS/DNF</v>
      </c>
      <c r="AY409" s="62" t="str">
        <f t="shared" si="232"/>
        <v>DNS/DNF</v>
      </c>
      <c r="AZ409" s="62" t="str">
        <f t="shared" si="233"/>
        <v>DNS/DNF</v>
      </c>
      <c r="BA409" s="62" t="str">
        <f t="shared" si="234"/>
        <v>DNS/DNF</v>
      </c>
      <c r="BB409" s="62" t="str">
        <f t="shared" si="235"/>
        <v>DNS/DNF</v>
      </c>
      <c r="BC409" s="75" t="str">
        <f t="shared" si="236"/>
        <v/>
      </c>
      <c r="BD409" s="53" t="str">
        <f t="shared" si="237"/>
        <v/>
      </c>
      <c r="BE409" s="53" t="str">
        <f t="shared" si="238"/>
        <v/>
      </c>
      <c r="BF409" s="53" t="str">
        <f t="shared" si="239"/>
        <v/>
      </c>
      <c r="BG409" s="53" t="str">
        <f t="shared" si="240"/>
        <v/>
      </c>
      <c r="BH409" s="53" t="str">
        <f t="shared" si="241"/>
        <v/>
      </c>
      <c r="BI409" s="53" t="str">
        <f t="shared" si="242"/>
        <v/>
      </c>
      <c r="BJ409" s="53" t="str">
        <f t="shared" si="243"/>
        <v/>
      </c>
      <c r="BK409" s="53" t="str">
        <f t="shared" si="244"/>
        <v/>
      </c>
    </row>
    <row r="410" spans="2:63">
      <c r="B410" s="89" t="str">
        <f>IFERROR(VLOOKUP($A410,EntryList!$A$3:$N$645,2,FALSE),"")</f>
        <v/>
      </c>
      <c r="D410" s="53">
        <f t="shared" si="218"/>
        <v>0</v>
      </c>
      <c r="N410" s="62">
        <f t="shared" si="219"/>
        <v>0</v>
      </c>
      <c r="O410" s="53" t="str">
        <f t="shared" si="245"/>
        <v/>
      </c>
      <c r="P410" s="53" t="str">
        <f t="shared" si="246"/>
        <v/>
      </c>
      <c r="Q410" s="53" t="str">
        <f t="shared" si="247"/>
        <v/>
      </c>
      <c r="R410" s="53" t="str">
        <f t="shared" si="248"/>
        <v/>
      </c>
      <c r="S410" s="53" t="str">
        <f t="shared" si="249"/>
        <v/>
      </c>
      <c r="T410" s="53" t="str">
        <f t="shared" si="250"/>
        <v/>
      </c>
      <c r="U410" s="53" t="str">
        <f t="shared" si="251"/>
        <v/>
      </c>
      <c r="V410" s="53" t="str">
        <f t="shared" si="252"/>
        <v/>
      </c>
      <c r="W410" s="53" t="str">
        <f t="shared" si="220"/>
        <v>DNS/DNF ()</v>
      </c>
      <c r="X410" s="53" t="str">
        <f t="shared" si="221"/>
        <v>DNS/DNF ()</v>
      </c>
      <c r="Y410" s="53" t="str">
        <f t="shared" si="222"/>
        <v>DNS/DNF ()</v>
      </c>
      <c r="Z410" s="53" t="str">
        <f t="shared" si="223"/>
        <v>DNS/DNF ()</v>
      </c>
      <c r="AA410" s="53" t="str">
        <f t="shared" si="224"/>
        <v>DNS/DNF ()</v>
      </c>
      <c r="AB410" s="53" t="str">
        <f t="shared" si="225"/>
        <v>DNS/DNF ()</v>
      </c>
      <c r="AC410" s="53" t="str">
        <f t="shared" si="226"/>
        <v>DNS/DNF ()</v>
      </c>
      <c r="AD410" s="53" t="str">
        <f t="shared" si="227"/>
        <v>DNS/DNF ()</v>
      </c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62" t="str">
        <f t="shared" si="228"/>
        <v>DNS/DNF</v>
      </c>
      <c r="AV410" s="62" t="str">
        <f t="shared" si="229"/>
        <v>DNS/DNF</v>
      </c>
      <c r="AW410" s="62" t="str">
        <f t="shared" si="230"/>
        <v>DNS/DNF</v>
      </c>
      <c r="AX410" s="62" t="str">
        <f t="shared" si="231"/>
        <v>DNS/DNF</v>
      </c>
      <c r="AY410" s="62" t="str">
        <f t="shared" si="232"/>
        <v>DNS/DNF</v>
      </c>
      <c r="AZ410" s="62" t="str">
        <f t="shared" si="233"/>
        <v>DNS/DNF</v>
      </c>
      <c r="BA410" s="62" t="str">
        <f t="shared" si="234"/>
        <v>DNS/DNF</v>
      </c>
      <c r="BB410" s="62" t="str">
        <f t="shared" si="235"/>
        <v>DNS/DNF</v>
      </c>
      <c r="BC410" s="75" t="str">
        <f t="shared" si="236"/>
        <v/>
      </c>
      <c r="BD410" s="53" t="str">
        <f t="shared" si="237"/>
        <v/>
      </c>
      <c r="BE410" s="53" t="str">
        <f t="shared" si="238"/>
        <v/>
      </c>
      <c r="BF410" s="53" t="str">
        <f t="shared" si="239"/>
        <v/>
      </c>
      <c r="BG410" s="53" t="str">
        <f t="shared" si="240"/>
        <v/>
      </c>
      <c r="BH410" s="53" t="str">
        <f t="shared" si="241"/>
        <v/>
      </c>
      <c r="BI410" s="53" t="str">
        <f t="shared" si="242"/>
        <v/>
      </c>
      <c r="BJ410" s="53" t="str">
        <f t="shared" si="243"/>
        <v/>
      </c>
      <c r="BK410" s="53" t="str">
        <f t="shared" si="244"/>
        <v/>
      </c>
    </row>
    <row r="411" spans="2:63">
      <c r="B411" s="89" t="str">
        <f>IFERROR(VLOOKUP($A411,EntryList!$A$3:$N$645,2,FALSE),"")</f>
        <v/>
      </c>
      <c r="D411" s="53">
        <f t="shared" si="218"/>
        <v>0</v>
      </c>
      <c r="N411" s="62">
        <f t="shared" si="219"/>
        <v>0</v>
      </c>
      <c r="O411" s="53" t="str">
        <f t="shared" si="245"/>
        <v/>
      </c>
      <c r="P411" s="53" t="str">
        <f t="shared" si="246"/>
        <v/>
      </c>
      <c r="Q411" s="53" t="str">
        <f t="shared" si="247"/>
        <v/>
      </c>
      <c r="R411" s="53" t="str">
        <f t="shared" si="248"/>
        <v/>
      </c>
      <c r="S411" s="53" t="str">
        <f t="shared" si="249"/>
        <v/>
      </c>
      <c r="T411" s="53" t="str">
        <f t="shared" si="250"/>
        <v/>
      </c>
      <c r="U411" s="53" t="str">
        <f t="shared" si="251"/>
        <v/>
      </c>
      <c r="V411" s="53" t="str">
        <f t="shared" si="252"/>
        <v/>
      </c>
      <c r="W411" s="53" t="str">
        <f t="shared" si="220"/>
        <v>DNS/DNF ()</v>
      </c>
      <c r="X411" s="53" t="str">
        <f t="shared" si="221"/>
        <v>DNS/DNF ()</v>
      </c>
      <c r="Y411" s="53" t="str">
        <f t="shared" si="222"/>
        <v>DNS/DNF ()</v>
      </c>
      <c r="Z411" s="53" t="str">
        <f t="shared" si="223"/>
        <v>DNS/DNF ()</v>
      </c>
      <c r="AA411" s="53" t="str">
        <f t="shared" si="224"/>
        <v>DNS/DNF ()</v>
      </c>
      <c r="AB411" s="53" t="str">
        <f t="shared" si="225"/>
        <v>DNS/DNF ()</v>
      </c>
      <c r="AC411" s="53" t="str">
        <f t="shared" si="226"/>
        <v>DNS/DNF ()</v>
      </c>
      <c r="AD411" s="53" t="str">
        <f t="shared" si="227"/>
        <v>DNS/DNF ()</v>
      </c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62" t="str">
        <f t="shared" si="228"/>
        <v>DNS/DNF</v>
      </c>
      <c r="AV411" s="62" t="str">
        <f t="shared" si="229"/>
        <v>DNS/DNF</v>
      </c>
      <c r="AW411" s="62" t="str">
        <f t="shared" si="230"/>
        <v>DNS/DNF</v>
      </c>
      <c r="AX411" s="62" t="str">
        <f t="shared" si="231"/>
        <v>DNS/DNF</v>
      </c>
      <c r="AY411" s="62" t="str">
        <f t="shared" si="232"/>
        <v>DNS/DNF</v>
      </c>
      <c r="AZ411" s="62" t="str">
        <f t="shared" si="233"/>
        <v>DNS/DNF</v>
      </c>
      <c r="BA411" s="62" t="str">
        <f t="shared" si="234"/>
        <v>DNS/DNF</v>
      </c>
      <c r="BB411" s="62" t="str">
        <f t="shared" si="235"/>
        <v>DNS/DNF</v>
      </c>
      <c r="BC411" s="75" t="str">
        <f t="shared" si="236"/>
        <v/>
      </c>
      <c r="BD411" s="53" t="str">
        <f t="shared" si="237"/>
        <v/>
      </c>
      <c r="BE411" s="53" t="str">
        <f t="shared" si="238"/>
        <v/>
      </c>
      <c r="BF411" s="53" t="str">
        <f t="shared" si="239"/>
        <v/>
      </c>
      <c r="BG411" s="53" t="str">
        <f t="shared" si="240"/>
        <v/>
      </c>
      <c r="BH411" s="53" t="str">
        <f t="shared" si="241"/>
        <v/>
      </c>
      <c r="BI411" s="53" t="str">
        <f t="shared" si="242"/>
        <v/>
      </c>
      <c r="BJ411" s="53" t="str">
        <f t="shared" si="243"/>
        <v/>
      </c>
      <c r="BK411" s="53" t="str">
        <f t="shared" si="244"/>
        <v/>
      </c>
    </row>
    <row r="412" spans="2:63">
      <c r="B412" s="89" t="str">
        <f>IFERROR(VLOOKUP($A412,EntryList!$A$3:$N$645,2,FALSE),"")</f>
        <v/>
      </c>
      <c r="D412" s="53">
        <f t="shared" si="218"/>
        <v>0</v>
      </c>
      <c r="N412" s="62">
        <f t="shared" si="219"/>
        <v>0</v>
      </c>
      <c r="O412" s="53" t="str">
        <f t="shared" si="245"/>
        <v/>
      </c>
      <c r="P412" s="53" t="str">
        <f t="shared" si="246"/>
        <v/>
      </c>
      <c r="Q412" s="53" t="str">
        <f t="shared" si="247"/>
        <v/>
      </c>
      <c r="R412" s="53" t="str">
        <f t="shared" si="248"/>
        <v/>
      </c>
      <c r="S412" s="53" t="str">
        <f t="shared" si="249"/>
        <v/>
      </c>
      <c r="T412" s="53" t="str">
        <f t="shared" si="250"/>
        <v/>
      </c>
      <c r="U412" s="53" t="str">
        <f t="shared" si="251"/>
        <v/>
      </c>
      <c r="V412" s="53" t="str">
        <f t="shared" si="252"/>
        <v/>
      </c>
      <c r="W412" s="53" t="str">
        <f t="shared" si="220"/>
        <v>DNS/DNF ()</v>
      </c>
      <c r="X412" s="53" t="str">
        <f t="shared" si="221"/>
        <v>DNS/DNF ()</v>
      </c>
      <c r="Y412" s="53" t="str">
        <f t="shared" si="222"/>
        <v>DNS/DNF ()</v>
      </c>
      <c r="Z412" s="53" t="str">
        <f t="shared" si="223"/>
        <v>DNS/DNF ()</v>
      </c>
      <c r="AA412" s="53" t="str">
        <f t="shared" si="224"/>
        <v>DNS/DNF ()</v>
      </c>
      <c r="AB412" s="53" t="str">
        <f t="shared" si="225"/>
        <v>DNS/DNF ()</v>
      </c>
      <c r="AC412" s="53" t="str">
        <f t="shared" si="226"/>
        <v>DNS/DNF ()</v>
      </c>
      <c r="AD412" s="53" t="str">
        <f t="shared" si="227"/>
        <v>DNS/DNF ()</v>
      </c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62" t="str">
        <f t="shared" si="228"/>
        <v>DNS/DNF</v>
      </c>
      <c r="AV412" s="62" t="str">
        <f t="shared" si="229"/>
        <v>DNS/DNF</v>
      </c>
      <c r="AW412" s="62" t="str">
        <f t="shared" si="230"/>
        <v>DNS/DNF</v>
      </c>
      <c r="AX412" s="62" t="str">
        <f t="shared" si="231"/>
        <v>DNS/DNF</v>
      </c>
      <c r="AY412" s="62" t="str">
        <f t="shared" si="232"/>
        <v>DNS/DNF</v>
      </c>
      <c r="AZ412" s="62" t="str">
        <f t="shared" si="233"/>
        <v>DNS/DNF</v>
      </c>
      <c r="BA412" s="62" t="str">
        <f t="shared" si="234"/>
        <v>DNS/DNF</v>
      </c>
      <c r="BB412" s="62" t="str">
        <f t="shared" si="235"/>
        <v>DNS/DNF</v>
      </c>
      <c r="BC412" s="75" t="str">
        <f t="shared" si="236"/>
        <v/>
      </c>
      <c r="BD412" s="53" t="str">
        <f t="shared" si="237"/>
        <v/>
      </c>
      <c r="BE412" s="53" t="str">
        <f t="shared" si="238"/>
        <v/>
      </c>
      <c r="BF412" s="53" t="str">
        <f t="shared" si="239"/>
        <v/>
      </c>
      <c r="BG412" s="53" t="str">
        <f t="shared" si="240"/>
        <v/>
      </c>
      <c r="BH412" s="53" t="str">
        <f t="shared" si="241"/>
        <v/>
      </c>
      <c r="BI412" s="53" t="str">
        <f t="shared" si="242"/>
        <v/>
      </c>
      <c r="BJ412" s="53" t="str">
        <f t="shared" si="243"/>
        <v/>
      </c>
      <c r="BK412" s="53" t="str">
        <f t="shared" si="244"/>
        <v/>
      </c>
    </row>
    <row r="413" spans="2:63">
      <c r="B413" s="89" t="str">
        <f>IFERROR(VLOOKUP($A413,EntryList!$A$3:$N$645,2,FALSE),"")</f>
        <v/>
      </c>
      <c r="D413" s="53">
        <f t="shared" si="218"/>
        <v>0</v>
      </c>
      <c r="N413" s="62">
        <f t="shared" si="219"/>
        <v>0</v>
      </c>
      <c r="O413" s="53" t="str">
        <f t="shared" si="245"/>
        <v/>
      </c>
      <c r="P413" s="53" t="str">
        <f t="shared" si="246"/>
        <v/>
      </c>
      <c r="Q413" s="53" t="str">
        <f t="shared" si="247"/>
        <v/>
      </c>
      <c r="R413" s="53" t="str">
        <f t="shared" si="248"/>
        <v/>
      </c>
      <c r="S413" s="53" t="str">
        <f t="shared" si="249"/>
        <v/>
      </c>
      <c r="T413" s="53" t="str">
        <f t="shared" si="250"/>
        <v/>
      </c>
      <c r="U413" s="53" t="str">
        <f t="shared" si="251"/>
        <v/>
      </c>
      <c r="V413" s="53" t="str">
        <f t="shared" si="252"/>
        <v/>
      </c>
      <c r="W413" s="53" t="str">
        <f t="shared" si="220"/>
        <v>DNS/DNF ()</v>
      </c>
      <c r="X413" s="53" t="str">
        <f t="shared" si="221"/>
        <v>DNS/DNF ()</v>
      </c>
      <c r="Y413" s="53" t="str">
        <f t="shared" si="222"/>
        <v>DNS/DNF ()</v>
      </c>
      <c r="Z413" s="53" t="str">
        <f t="shared" si="223"/>
        <v>DNS/DNF ()</v>
      </c>
      <c r="AA413" s="53" t="str">
        <f t="shared" si="224"/>
        <v>DNS/DNF ()</v>
      </c>
      <c r="AB413" s="53" t="str">
        <f t="shared" si="225"/>
        <v>DNS/DNF ()</v>
      </c>
      <c r="AC413" s="53" t="str">
        <f t="shared" si="226"/>
        <v>DNS/DNF ()</v>
      </c>
      <c r="AD413" s="53" t="str">
        <f t="shared" si="227"/>
        <v>DNS/DNF ()</v>
      </c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62" t="str">
        <f t="shared" si="228"/>
        <v>DNS/DNF</v>
      </c>
      <c r="AV413" s="62" t="str">
        <f t="shared" si="229"/>
        <v>DNS/DNF</v>
      </c>
      <c r="AW413" s="62" t="str">
        <f t="shared" si="230"/>
        <v>DNS/DNF</v>
      </c>
      <c r="AX413" s="62" t="str">
        <f t="shared" si="231"/>
        <v>DNS/DNF</v>
      </c>
      <c r="AY413" s="62" t="str">
        <f t="shared" si="232"/>
        <v>DNS/DNF</v>
      </c>
      <c r="AZ413" s="62" t="str">
        <f t="shared" si="233"/>
        <v>DNS/DNF</v>
      </c>
      <c r="BA413" s="62" t="str">
        <f t="shared" si="234"/>
        <v>DNS/DNF</v>
      </c>
      <c r="BB413" s="62" t="str">
        <f t="shared" si="235"/>
        <v>DNS/DNF</v>
      </c>
      <c r="BC413" s="75" t="str">
        <f t="shared" si="236"/>
        <v/>
      </c>
      <c r="BD413" s="53" t="str">
        <f t="shared" si="237"/>
        <v/>
      </c>
      <c r="BE413" s="53" t="str">
        <f t="shared" si="238"/>
        <v/>
      </c>
      <c r="BF413" s="53" t="str">
        <f t="shared" si="239"/>
        <v/>
      </c>
      <c r="BG413" s="53" t="str">
        <f t="shared" si="240"/>
        <v/>
      </c>
      <c r="BH413" s="53" t="str">
        <f t="shared" si="241"/>
        <v/>
      </c>
      <c r="BI413" s="53" t="str">
        <f t="shared" si="242"/>
        <v/>
      </c>
      <c r="BJ413" s="53" t="str">
        <f t="shared" si="243"/>
        <v/>
      </c>
      <c r="BK413" s="53" t="str">
        <f t="shared" si="244"/>
        <v/>
      </c>
    </row>
    <row r="414" spans="2:63">
      <c r="B414" s="89" t="str">
        <f>IFERROR(VLOOKUP($A414,EntryList!$A$3:$N$645,2,FALSE),"")</f>
        <v/>
      </c>
      <c r="D414" s="53">
        <f t="shared" si="218"/>
        <v>0</v>
      </c>
      <c r="N414" s="62">
        <f t="shared" si="219"/>
        <v>0</v>
      </c>
      <c r="O414" s="53" t="str">
        <f t="shared" si="245"/>
        <v/>
      </c>
      <c r="P414" s="53" t="str">
        <f t="shared" si="246"/>
        <v/>
      </c>
      <c r="Q414" s="53" t="str">
        <f t="shared" si="247"/>
        <v/>
      </c>
      <c r="R414" s="53" t="str">
        <f t="shared" si="248"/>
        <v/>
      </c>
      <c r="S414" s="53" t="str">
        <f t="shared" si="249"/>
        <v/>
      </c>
      <c r="T414" s="53" t="str">
        <f t="shared" si="250"/>
        <v/>
      </c>
      <c r="U414" s="53" t="str">
        <f t="shared" si="251"/>
        <v/>
      </c>
      <c r="V414" s="53" t="str">
        <f t="shared" si="252"/>
        <v/>
      </c>
      <c r="W414" s="53" t="str">
        <f t="shared" si="220"/>
        <v>DNS/DNF ()</v>
      </c>
      <c r="X414" s="53" t="str">
        <f t="shared" si="221"/>
        <v>DNS/DNF ()</v>
      </c>
      <c r="Y414" s="53" t="str">
        <f t="shared" si="222"/>
        <v>DNS/DNF ()</v>
      </c>
      <c r="Z414" s="53" t="str">
        <f t="shared" si="223"/>
        <v>DNS/DNF ()</v>
      </c>
      <c r="AA414" s="53" t="str">
        <f t="shared" si="224"/>
        <v>DNS/DNF ()</v>
      </c>
      <c r="AB414" s="53" t="str">
        <f t="shared" si="225"/>
        <v>DNS/DNF ()</v>
      </c>
      <c r="AC414" s="53" t="str">
        <f t="shared" si="226"/>
        <v>DNS/DNF ()</v>
      </c>
      <c r="AD414" s="53" t="str">
        <f t="shared" si="227"/>
        <v>DNS/DNF ()</v>
      </c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62" t="str">
        <f t="shared" si="228"/>
        <v>DNS/DNF</v>
      </c>
      <c r="AV414" s="62" t="str">
        <f t="shared" si="229"/>
        <v>DNS/DNF</v>
      </c>
      <c r="AW414" s="62" t="str">
        <f t="shared" si="230"/>
        <v>DNS/DNF</v>
      </c>
      <c r="AX414" s="62" t="str">
        <f t="shared" si="231"/>
        <v>DNS/DNF</v>
      </c>
      <c r="AY414" s="62" t="str">
        <f t="shared" si="232"/>
        <v>DNS/DNF</v>
      </c>
      <c r="AZ414" s="62" t="str">
        <f t="shared" si="233"/>
        <v>DNS/DNF</v>
      </c>
      <c r="BA414" s="62" t="str">
        <f t="shared" si="234"/>
        <v>DNS/DNF</v>
      </c>
      <c r="BB414" s="62" t="str">
        <f t="shared" si="235"/>
        <v>DNS/DNF</v>
      </c>
      <c r="BC414" s="75" t="str">
        <f t="shared" si="236"/>
        <v/>
      </c>
      <c r="BD414" s="53" t="str">
        <f t="shared" si="237"/>
        <v/>
      </c>
      <c r="BE414" s="53" t="str">
        <f t="shared" si="238"/>
        <v/>
      </c>
      <c r="BF414" s="53" t="str">
        <f t="shared" si="239"/>
        <v/>
      </c>
      <c r="BG414" s="53" t="str">
        <f t="shared" si="240"/>
        <v/>
      </c>
      <c r="BH414" s="53" t="str">
        <f t="shared" si="241"/>
        <v/>
      </c>
      <c r="BI414" s="53" t="str">
        <f t="shared" si="242"/>
        <v/>
      </c>
      <c r="BJ414" s="53" t="str">
        <f t="shared" si="243"/>
        <v/>
      </c>
      <c r="BK414" s="53" t="str">
        <f t="shared" si="244"/>
        <v/>
      </c>
    </row>
    <row r="415" spans="2:63">
      <c r="B415" s="89" t="str">
        <f>IFERROR(VLOOKUP($A415,EntryList!$A$3:$N$645,2,FALSE),"")</f>
        <v/>
      </c>
      <c r="D415" s="53">
        <f t="shared" si="218"/>
        <v>0</v>
      </c>
      <c r="N415" s="62">
        <f t="shared" si="219"/>
        <v>0</v>
      </c>
      <c r="O415" s="53" t="str">
        <f t="shared" si="245"/>
        <v/>
      </c>
      <c r="P415" s="53" t="str">
        <f t="shared" si="246"/>
        <v/>
      </c>
      <c r="Q415" s="53" t="str">
        <f t="shared" si="247"/>
        <v/>
      </c>
      <c r="R415" s="53" t="str">
        <f t="shared" si="248"/>
        <v/>
      </c>
      <c r="S415" s="53" t="str">
        <f t="shared" si="249"/>
        <v/>
      </c>
      <c r="T415" s="53" t="str">
        <f t="shared" si="250"/>
        <v/>
      </c>
      <c r="U415" s="53" t="str">
        <f t="shared" si="251"/>
        <v/>
      </c>
      <c r="V415" s="53" t="str">
        <f t="shared" si="252"/>
        <v/>
      </c>
      <c r="W415" s="53" t="str">
        <f t="shared" si="220"/>
        <v>DNS/DNF ()</v>
      </c>
      <c r="X415" s="53" t="str">
        <f t="shared" si="221"/>
        <v>DNS/DNF ()</v>
      </c>
      <c r="Y415" s="53" t="str">
        <f t="shared" si="222"/>
        <v>DNS/DNF ()</v>
      </c>
      <c r="Z415" s="53" t="str">
        <f t="shared" si="223"/>
        <v>DNS/DNF ()</v>
      </c>
      <c r="AA415" s="53" t="str">
        <f t="shared" si="224"/>
        <v>DNS/DNF ()</v>
      </c>
      <c r="AB415" s="53" t="str">
        <f t="shared" si="225"/>
        <v>DNS/DNF ()</v>
      </c>
      <c r="AC415" s="53" t="str">
        <f t="shared" si="226"/>
        <v>DNS/DNF ()</v>
      </c>
      <c r="AD415" s="53" t="str">
        <f t="shared" si="227"/>
        <v>DNS/DNF ()</v>
      </c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62" t="str">
        <f t="shared" si="228"/>
        <v>DNS/DNF</v>
      </c>
      <c r="AV415" s="62" t="str">
        <f t="shared" si="229"/>
        <v>DNS/DNF</v>
      </c>
      <c r="AW415" s="62" t="str">
        <f t="shared" si="230"/>
        <v>DNS/DNF</v>
      </c>
      <c r="AX415" s="62" t="str">
        <f t="shared" si="231"/>
        <v>DNS/DNF</v>
      </c>
      <c r="AY415" s="62" t="str">
        <f t="shared" si="232"/>
        <v>DNS/DNF</v>
      </c>
      <c r="AZ415" s="62" t="str">
        <f t="shared" si="233"/>
        <v>DNS/DNF</v>
      </c>
      <c r="BA415" s="62" t="str">
        <f t="shared" si="234"/>
        <v>DNS/DNF</v>
      </c>
      <c r="BB415" s="62" t="str">
        <f t="shared" si="235"/>
        <v>DNS/DNF</v>
      </c>
      <c r="BC415" s="75" t="str">
        <f t="shared" si="236"/>
        <v/>
      </c>
      <c r="BD415" s="53" t="str">
        <f t="shared" si="237"/>
        <v/>
      </c>
      <c r="BE415" s="53" t="str">
        <f t="shared" si="238"/>
        <v/>
      </c>
      <c r="BF415" s="53" t="str">
        <f t="shared" si="239"/>
        <v/>
      </c>
      <c r="BG415" s="53" t="str">
        <f t="shared" si="240"/>
        <v/>
      </c>
      <c r="BH415" s="53" t="str">
        <f t="shared" si="241"/>
        <v/>
      </c>
      <c r="BI415" s="53" t="str">
        <f t="shared" si="242"/>
        <v/>
      </c>
      <c r="BJ415" s="53" t="str">
        <f t="shared" si="243"/>
        <v/>
      </c>
      <c r="BK415" s="53" t="str">
        <f t="shared" si="244"/>
        <v/>
      </c>
    </row>
    <row r="416" spans="2:63">
      <c r="B416" s="89" t="str">
        <f>IFERROR(VLOOKUP($A416,EntryList!$A$3:$N$645,2,FALSE),"")</f>
        <v/>
      </c>
      <c r="D416" s="53">
        <f t="shared" si="218"/>
        <v>0</v>
      </c>
      <c r="N416" s="62">
        <f t="shared" si="219"/>
        <v>0</v>
      </c>
      <c r="O416" s="53" t="str">
        <f t="shared" si="245"/>
        <v/>
      </c>
      <c r="P416" s="53" t="str">
        <f t="shared" si="246"/>
        <v/>
      </c>
      <c r="Q416" s="53" t="str">
        <f t="shared" si="247"/>
        <v/>
      </c>
      <c r="R416" s="53" t="str">
        <f t="shared" si="248"/>
        <v/>
      </c>
      <c r="S416" s="53" t="str">
        <f t="shared" si="249"/>
        <v/>
      </c>
      <c r="T416" s="53" t="str">
        <f t="shared" si="250"/>
        <v/>
      </c>
      <c r="U416" s="53" t="str">
        <f t="shared" si="251"/>
        <v/>
      </c>
      <c r="V416" s="53" t="str">
        <f t="shared" si="252"/>
        <v/>
      </c>
      <c r="W416" s="53" t="str">
        <f t="shared" si="220"/>
        <v>DNS/DNF ()</v>
      </c>
      <c r="X416" s="53" t="str">
        <f t="shared" si="221"/>
        <v>DNS/DNF ()</v>
      </c>
      <c r="Y416" s="53" t="str">
        <f t="shared" si="222"/>
        <v>DNS/DNF ()</v>
      </c>
      <c r="Z416" s="53" t="str">
        <f t="shared" si="223"/>
        <v>DNS/DNF ()</v>
      </c>
      <c r="AA416" s="53" t="str">
        <f t="shared" si="224"/>
        <v>DNS/DNF ()</v>
      </c>
      <c r="AB416" s="53" t="str">
        <f t="shared" si="225"/>
        <v>DNS/DNF ()</v>
      </c>
      <c r="AC416" s="53" t="str">
        <f t="shared" si="226"/>
        <v>DNS/DNF ()</v>
      </c>
      <c r="AD416" s="53" t="str">
        <f t="shared" si="227"/>
        <v>DNS/DNF ()</v>
      </c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62" t="str">
        <f t="shared" si="228"/>
        <v>DNS/DNF</v>
      </c>
      <c r="AV416" s="62" t="str">
        <f t="shared" si="229"/>
        <v>DNS/DNF</v>
      </c>
      <c r="AW416" s="62" t="str">
        <f t="shared" si="230"/>
        <v>DNS/DNF</v>
      </c>
      <c r="AX416" s="62" t="str">
        <f t="shared" si="231"/>
        <v>DNS/DNF</v>
      </c>
      <c r="AY416" s="62" t="str">
        <f t="shared" si="232"/>
        <v>DNS/DNF</v>
      </c>
      <c r="AZ416" s="62" t="str">
        <f t="shared" si="233"/>
        <v>DNS/DNF</v>
      </c>
      <c r="BA416" s="62" t="str">
        <f t="shared" si="234"/>
        <v>DNS/DNF</v>
      </c>
      <c r="BB416" s="62" t="str">
        <f t="shared" si="235"/>
        <v>DNS/DNF</v>
      </c>
      <c r="BC416" s="75" t="str">
        <f t="shared" si="236"/>
        <v/>
      </c>
      <c r="BD416" s="53" t="str">
        <f t="shared" si="237"/>
        <v/>
      </c>
      <c r="BE416" s="53" t="str">
        <f t="shared" si="238"/>
        <v/>
      </c>
      <c r="BF416" s="53" t="str">
        <f t="shared" si="239"/>
        <v/>
      </c>
      <c r="BG416" s="53" t="str">
        <f t="shared" si="240"/>
        <v/>
      </c>
      <c r="BH416" s="53" t="str">
        <f t="shared" si="241"/>
        <v/>
      </c>
      <c r="BI416" s="53" t="str">
        <f t="shared" si="242"/>
        <v/>
      </c>
      <c r="BJ416" s="53" t="str">
        <f t="shared" si="243"/>
        <v/>
      </c>
      <c r="BK416" s="53" t="str">
        <f t="shared" si="244"/>
        <v/>
      </c>
    </row>
    <row r="417" spans="2:63">
      <c r="B417" s="89" t="str">
        <f>IFERROR(VLOOKUP($A417,EntryList!$A$3:$N$645,2,FALSE),"")</f>
        <v/>
      </c>
      <c r="D417" s="53">
        <f t="shared" si="218"/>
        <v>0</v>
      </c>
      <c r="N417" s="62">
        <f t="shared" si="219"/>
        <v>0</v>
      </c>
      <c r="O417" s="53" t="str">
        <f t="shared" si="245"/>
        <v/>
      </c>
      <c r="P417" s="53" t="str">
        <f t="shared" si="246"/>
        <v/>
      </c>
      <c r="Q417" s="53" t="str">
        <f t="shared" si="247"/>
        <v/>
      </c>
      <c r="R417" s="53" t="str">
        <f t="shared" si="248"/>
        <v/>
      </c>
      <c r="S417" s="53" t="str">
        <f t="shared" si="249"/>
        <v/>
      </c>
      <c r="T417" s="53" t="str">
        <f t="shared" si="250"/>
        <v/>
      </c>
      <c r="U417" s="53" t="str">
        <f t="shared" si="251"/>
        <v/>
      </c>
      <c r="V417" s="53" t="str">
        <f t="shared" si="252"/>
        <v/>
      </c>
      <c r="W417" s="53" t="str">
        <f t="shared" si="220"/>
        <v>DNS/DNF ()</v>
      </c>
      <c r="X417" s="53" t="str">
        <f t="shared" si="221"/>
        <v>DNS/DNF ()</v>
      </c>
      <c r="Y417" s="53" t="str">
        <f t="shared" si="222"/>
        <v>DNS/DNF ()</v>
      </c>
      <c r="Z417" s="53" t="str">
        <f t="shared" si="223"/>
        <v>DNS/DNF ()</v>
      </c>
      <c r="AA417" s="53" t="str">
        <f t="shared" si="224"/>
        <v>DNS/DNF ()</v>
      </c>
      <c r="AB417" s="53" t="str">
        <f t="shared" si="225"/>
        <v>DNS/DNF ()</v>
      </c>
      <c r="AC417" s="53" t="str">
        <f t="shared" si="226"/>
        <v>DNS/DNF ()</v>
      </c>
      <c r="AD417" s="53" t="str">
        <f t="shared" si="227"/>
        <v>DNS/DNF ()</v>
      </c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62" t="str">
        <f t="shared" si="228"/>
        <v>DNS/DNF</v>
      </c>
      <c r="AV417" s="62" t="str">
        <f t="shared" si="229"/>
        <v>DNS/DNF</v>
      </c>
      <c r="AW417" s="62" t="str">
        <f t="shared" si="230"/>
        <v>DNS/DNF</v>
      </c>
      <c r="AX417" s="62" t="str">
        <f t="shared" si="231"/>
        <v>DNS/DNF</v>
      </c>
      <c r="AY417" s="62" t="str">
        <f t="shared" si="232"/>
        <v>DNS/DNF</v>
      </c>
      <c r="AZ417" s="62" t="str">
        <f t="shared" si="233"/>
        <v>DNS/DNF</v>
      </c>
      <c r="BA417" s="62" t="str">
        <f t="shared" si="234"/>
        <v>DNS/DNF</v>
      </c>
      <c r="BB417" s="62" t="str">
        <f t="shared" si="235"/>
        <v>DNS/DNF</v>
      </c>
      <c r="BC417" s="75" t="str">
        <f t="shared" si="236"/>
        <v/>
      </c>
      <c r="BD417" s="53" t="str">
        <f t="shared" si="237"/>
        <v/>
      </c>
      <c r="BE417" s="53" t="str">
        <f t="shared" si="238"/>
        <v/>
      </c>
      <c r="BF417" s="53" t="str">
        <f t="shared" si="239"/>
        <v/>
      </c>
      <c r="BG417" s="53" t="str">
        <f t="shared" si="240"/>
        <v/>
      </c>
      <c r="BH417" s="53" t="str">
        <f t="shared" si="241"/>
        <v/>
      </c>
      <c r="BI417" s="53" t="str">
        <f t="shared" si="242"/>
        <v/>
      </c>
      <c r="BJ417" s="53" t="str">
        <f t="shared" si="243"/>
        <v/>
      </c>
      <c r="BK417" s="53" t="str">
        <f t="shared" si="244"/>
        <v/>
      </c>
    </row>
    <row r="418" spans="2:63">
      <c r="B418" s="89" t="str">
        <f>IFERROR(VLOOKUP($A418,EntryList!$A$3:$N$645,2,FALSE),"")</f>
        <v/>
      </c>
      <c r="D418" s="53">
        <f t="shared" si="218"/>
        <v>0</v>
      </c>
      <c r="N418" s="62">
        <f t="shared" si="219"/>
        <v>0</v>
      </c>
      <c r="O418" s="53" t="str">
        <f t="shared" si="245"/>
        <v/>
      </c>
      <c r="P418" s="53" t="str">
        <f t="shared" si="246"/>
        <v/>
      </c>
      <c r="Q418" s="53" t="str">
        <f t="shared" si="247"/>
        <v/>
      </c>
      <c r="R418" s="53" t="str">
        <f t="shared" si="248"/>
        <v/>
      </c>
      <c r="S418" s="53" t="str">
        <f t="shared" si="249"/>
        <v/>
      </c>
      <c r="T418" s="53" t="str">
        <f t="shared" si="250"/>
        <v/>
      </c>
      <c r="U418" s="53" t="str">
        <f t="shared" si="251"/>
        <v/>
      </c>
      <c r="V418" s="53" t="str">
        <f t="shared" si="252"/>
        <v/>
      </c>
      <c r="W418" s="53" t="str">
        <f t="shared" si="220"/>
        <v>DNS/DNF ()</v>
      </c>
      <c r="X418" s="53" t="str">
        <f t="shared" si="221"/>
        <v>DNS/DNF ()</v>
      </c>
      <c r="Y418" s="53" t="str">
        <f t="shared" si="222"/>
        <v>DNS/DNF ()</v>
      </c>
      <c r="Z418" s="53" t="str">
        <f t="shared" si="223"/>
        <v>DNS/DNF ()</v>
      </c>
      <c r="AA418" s="53" t="str">
        <f t="shared" si="224"/>
        <v>DNS/DNF ()</v>
      </c>
      <c r="AB418" s="53" t="str">
        <f t="shared" si="225"/>
        <v>DNS/DNF ()</v>
      </c>
      <c r="AC418" s="53" t="str">
        <f t="shared" si="226"/>
        <v>DNS/DNF ()</v>
      </c>
      <c r="AD418" s="53" t="str">
        <f t="shared" si="227"/>
        <v>DNS/DNF ()</v>
      </c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62" t="str">
        <f t="shared" si="228"/>
        <v>DNS/DNF</v>
      </c>
      <c r="AV418" s="62" t="str">
        <f t="shared" si="229"/>
        <v>DNS/DNF</v>
      </c>
      <c r="AW418" s="62" t="str">
        <f t="shared" si="230"/>
        <v>DNS/DNF</v>
      </c>
      <c r="AX418" s="62" t="str">
        <f t="shared" si="231"/>
        <v>DNS/DNF</v>
      </c>
      <c r="AY418" s="62" t="str">
        <f t="shared" si="232"/>
        <v>DNS/DNF</v>
      </c>
      <c r="AZ418" s="62" t="str">
        <f t="shared" si="233"/>
        <v>DNS/DNF</v>
      </c>
      <c r="BA418" s="62" t="str">
        <f t="shared" si="234"/>
        <v>DNS/DNF</v>
      </c>
      <c r="BB418" s="62" t="str">
        <f t="shared" si="235"/>
        <v>DNS/DNF</v>
      </c>
      <c r="BC418" s="75" t="str">
        <f t="shared" si="236"/>
        <v/>
      </c>
      <c r="BD418" s="53" t="str">
        <f t="shared" si="237"/>
        <v/>
      </c>
      <c r="BE418" s="53" t="str">
        <f t="shared" si="238"/>
        <v/>
      </c>
      <c r="BF418" s="53" t="str">
        <f t="shared" si="239"/>
        <v/>
      </c>
      <c r="BG418" s="53" t="str">
        <f t="shared" si="240"/>
        <v/>
      </c>
      <c r="BH418" s="53" t="str">
        <f t="shared" si="241"/>
        <v/>
      </c>
      <c r="BI418" s="53" t="str">
        <f t="shared" si="242"/>
        <v/>
      </c>
      <c r="BJ418" s="53" t="str">
        <f t="shared" si="243"/>
        <v/>
      </c>
      <c r="BK418" s="53" t="str">
        <f t="shared" si="244"/>
        <v/>
      </c>
    </row>
    <row r="419" spans="2:63">
      <c r="B419" s="89" t="str">
        <f>IFERROR(VLOOKUP($A419,EntryList!$A$3:$N$645,2,FALSE),"")</f>
        <v/>
      </c>
      <c r="D419" s="53">
        <f t="shared" si="218"/>
        <v>0</v>
      </c>
      <c r="N419" s="62">
        <f t="shared" si="219"/>
        <v>0</v>
      </c>
      <c r="O419" s="53" t="str">
        <f t="shared" si="245"/>
        <v/>
      </c>
      <c r="P419" s="53" t="str">
        <f t="shared" si="246"/>
        <v/>
      </c>
      <c r="Q419" s="53" t="str">
        <f t="shared" si="247"/>
        <v/>
      </c>
      <c r="R419" s="53" t="str">
        <f t="shared" si="248"/>
        <v/>
      </c>
      <c r="S419" s="53" t="str">
        <f t="shared" si="249"/>
        <v/>
      </c>
      <c r="T419" s="53" t="str">
        <f t="shared" si="250"/>
        <v/>
      </c>
      <c r="U419" s="53" t="str">
        <f t="shared" si="251"/>
        <v/>
      </c>
      <c r="V419" s="53" t="str">
        <f t="shared" si="252"/>
        <v/>
      </c>
      <c r="W419" s="53" t="str">
        <f t="shared" si="220"/>
        <v>DNS/DNF ()</v>
      </c>
      <c r="X419" s="53" t="str">
        <f t="shared" si="221"/>
        <v>DNS/DNF ()</v>
      </c>
      <c r="Y419" s="53" t="str">
        <f t="shared" si="222"/>
        <v>DNS/DNF ()</v>
      </c>
      <c r="Z419" s="53" t="str">
        <f t="shared" si="223"/>
        <v>DNS/DNF ()</v>
      </c>
      <c r="AA419" s="53" t="str">
        <f t="shared" si="224"/>
        <v>DNS/DNF ()</v>
      </c>
      <c r="AB419" s="53" t="str">
        <f t="shared" si="225"/>
        <v>DNS/DNF ()</v>
      </c>
      <c r="AC419" s="53" t="str">
        <f t="shared" si="226"/>
        <v>DNS/DNF ()</v>
      </c>
      <c r="AD419" s="53" t="str">
        <f t="shared" si="227"/>
        <v>DNS/DNF ()</v>
      </c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62" t="str">
        <f t="shared" si="228"/>
        <v>DNS/DNF</v>
      </c>
      <c r="AV419" s="62" t="str">
        <f t="shared" si="229"/>
        <v>DNS/DNF</v>
      </c>
      <c r="AW419" s="62" t="str">
        <f t="shared" si="230"/>
        <v>DNS/DNF</v>
      </c>
      <c r="AX419" s="62" t="str">
        <f t="shared" si="231"/>
        <v>DNS/DNF</v>
      </c>
      <c r="AY419" s="62" t="str">
        <f t="shared" si="232"/>
        <v>DNS/DNF</v>
      </c>
      <c r="AZ419" s="62" t="str">
        <f t="shared" si="233"/>
        <v>DNS/DNF</v>
      </c>
      <c r="BA419" s="62" t="str">
        <f t="shared" si="234"/>
        <v>DNS/DNF</v>
      </c>
      <c r="BB419" s="62" t="str">
        <f t="shared" si="235"/>
        <v>DNS/DNF</v>
      </c>
      <c r="BC419" s="75" t="str">
        <f t="shared" si="236"/>
        <v/>
      </c>
      <c r="BD419" s="53" t="str">
        <f t="shared" si="237"/>
        <v/>
      </c>
      <c r="BE419" s="53" t="str">
        <f t="shared" si="238"/>
        <v/>
      </c>
      <c r="BF419" s="53" t="str">
        <f t="shared" si="239"/>
        <v/>
      </c>
      <c r="BG419" s="53" t="str">
        <f t="shared" si="240"/>
        <v/>
      </c>
      <c r="BH419" s="53" t="str">
        <f t="shared" si="241"/>
        <v/>
      </c>
      <c r="BI419" s="53" t="str">
        <f t="shared" si="242"/>
        <v/>
      </c>
      <c r="BJ419" s="53" t="str">
        <f t="shared" si="243"/>
        <v/>
      </c>
      <c r="BK419" s="53" t="str">
        <f t="shared" si="244"/>
        <v/>
      </c>
    </row>
    <row r="420" spans="2:63">
      <c r="B420" s="89" t="str">
        <f>IFERROR(VLOOKUP($A420,EntryList!$A$3:$N$645,2,FALSE),"")</f>
        <v/>
      </c>
      <c r="D420" s="53">
        <f t="shared" si="218"/>
        <v>0</v>
      </c>
      <c r="N420" s="62">
        <f t="shared" si="219"/>
        <v>0</v>
      </c>
      <c r="O420" s="53" t="str">
        <f t="shared" si="245"/>
        <v/>
      </c>
      <c r="P420" s="53" t="str">
        <f t="shared" si="246"/>
        <v/>
      </c>
      <c r="Q420" s="53" t="str">
        <f t="shared" si="247"/>
        <v/>
      </c>
      <c r="R420" s="53" t="str">
        <f t="shared" si="248"/>
        <v/>
      </c>
      <c r="S420" s="53" t="str">
        <f t="shared" si="249"/>
        <v/>
      </c>
      <c r="T420" s="53" t="str">
        <f t="shared" si="250"/>
        <v/>
      </c>
      <c r="U420" s="53" t="str">
        <f t="shared" si="251"/>
        <v/>
      </c>
      <c r="V420" s="53" t="str">
        <f t="shared" si="252"/>
        <v/>
      </c>
      <c r="W420" s="53" t="str">
        <f t="shared" si="220"/>
        <v>DNS/DNF ()</v>
      </c>
      <c r="X420" s="53" t="str">
        <f t="shared" si="221"/>
        <v>DNS/DNF ()</v>
      </c>
      <c r="Y420" s="53" t="str">
        <f t="shared" si="222"/>
        <v>DNS/DNF ()</v>
      </c>
      <c r="Z420" s="53" t="str">
        <f t="shared" si="223"/>
        <v>DNS/DNF ()</v>
      </c>
      <c r="AA420" s="53" t="str">
        <f t="shared" si="224"/>
        <v>DNS/DNF ()</v>
      </c>
      <c r="AB420" s="53" t="str">
        <f t="shared" si="225"/>
        <v>DNS/DNF ()</v>
      </c>
      <c r="AC420" s="53" t="str">
        <f t="shared" si="226"/>
        <v>DNS/DNF ()</v>
      </c>
      <c r="AD420" s="53" t="str">
        <f t="shared" si="227"/>
        <v>DNS/DNF ()</v>
      </c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62" t="str">
        <f t="shared" si="228"/>
        <v>DNS/DNF</v>
      </c>
      <c r="AV420" s="62" t="str">
        <f t="shared" si="229"/>
        <v>DNS/DNF</v>
      </c>
      <c r="AW420" s="62" t="str">
        <f t="shared" si="230"/>
        <v>DNS/DNF</v>
      </c>
      <c r="AX420" s="62" t="str">
        <f t="shared" si="231"/>
        <v>DNS/DNF</v>
      </c>
      <c r="AY420" s="62" t="str">
        <f t="shared" si="232"/>
        <v>DNS/DNF</v>
      </c>
      <c r="AZ420" s="62" t="str">
        <f t="shared" si="233"/>
        <v>DNS/DNF</v>
      </c>
      <c r="BA420" s="62" t="str">
        <f t="shared" si="234"/>
        <v>DNS/DNF</v>
      </c>
      <c r="BB420" s="62" t="str">
        <f t="shared" si="235"/>
        <v>DNS/DNF</v>
      </c>
      <c r="BC420" s="75" t="str">
        <f t="shared" si="236"/>
        <v/>
      </c>
      <c r="BD420" s="53" t="str">
        <f t="shared" si="237"/>
        <v/>
      </c>
      <c r="BE420" s="53" t="str">
        <f t="shared" si="238"/>
        <v/>
      </c>
      <c r="BF420" s="53" t="str">
        <f t="shared" si="239"/>
        <v/>
      </c>
      <c r="BG420" s="53" t="str">
        <f t="shared" si="240"/>
        <v/>
      </c>
      <c r="BH420" s="53" t="str">
        <f t="shared" si="241"/>
        <v/>
      </c>
      <c r="BI420" s="53" t="str">
        <f t="shared" si="242"/>
        <v/>
      </c>
      <c r="BJ420" s="53" t="str">
        <f t="shared" si="243"/>
        <v/>
      </c>
      <c r="BK420" s="53" t="str">
        <f t="shared" si="244"/>
        <v/>
      </c>
    </row>
    <row r="421" spans="2:63">
      <c r="B421" s="89" t="str">
        <f>IFERROR(VLOOKUP($A421,EntryList!$A$3:$N$645,2,FALSE),"")</f>
        <v/>
      </c>
      <c r="D421" s="53">
        <f t="shared" si="218"/>
        <v>0</v>
      </c>
      <c r="N421" s="62">
        <f t="shared" si="219"/>
        <v>0</v>
      </c>
      <c r="O421" s="53" t="str">
        <f t="shared" si="245"/>
        <v/>
      </c>
      <c r="P421" s="53" t="str">
        <f t="shared" si="246"/>
        <v/>
      </c>
      <c r="Q421" s="53" t="str">
        <f t="shared" si="247"/>
        <v/>
      </c>
      <c r="R421" s="53" t="str">
        <f t="shared" si="248"/>
        <v/>
      </c>
      <c r="S421" s="53" t="str">
        <f t="shared" si="249"/>
        <v/>
      </c>
      <c r="T421" s="53" t="str">
        <f t="shared" si="250"/>
        <v/>
      </c>
      <c r="U421" s="53" t="str">
        <f t="shared" si="251"/>
        <v/>
      </c>
      <c r="V421" s="53" t="str">
        <f t="shared" si="252"/>
        <v/>
      </c>
      <c r="W421" s="53" t="str">
        <f t="shared" si="220"/>
        <v>DNS/DNF ()</v>
      </c>
      <c r="X421" s="53" t="str">
        <f t="shared" si="221"/>
        <v>DNS/DNF ()</v>
      </c>
      <c r="Y421" s="53" t="str">
        <f t="shared" si="222"/>
        <v>DNS/DNF ()</v>
      </c>
      <c r="Z421" s="53" t="str">
        <f t="shared" si="223"/>
        <v>DNS/DNF ()</v>
      </c>
      <c r="AA421" s="53" t="str">
        <f t="shared" si="224"/>
        <v>DNS/DNF ()</v>
      </c>
      <c r="AB421" s="53" t="str">
        <f t="shared" si="225"/>
        <v>DNS/DNF ()</v>
      </c>
      <c r="AC421" s="53" t="str">
        <f t="shared" si="226"/>
        <v>DNS/DNF ()</v>
      </c>
      <c r="AD421" s="53" t="str">
        <f t="shared" si="227"/>
        <v>DNS/DNF ()</v>
      </c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62" t="str">
        <f t="shared" si="228"/>
        <v>DNS/DNF</v>
      </c>
      <c r="AV421" s="62" t="str">
        <f t="shared" si="229"/>
        <v>DNS/DNF</v>
      </c>
      <c r="AW421" s="62" t="str">
        <f t="shared" si="230"/>
        <v>DNS/DNF</v>
      </c>
      <c r="AX421" s="62" t="str">
        <f t="shared" si="231"/>
        <v>DNS/DNF</v>
      </c>
      <c r="AY421" s="62" t="str">
        <f t="shared" si="232"/>
        <v>DNS/DNF</v>
      </c>
      <c r="AZ421" s="62" t="str">
        <f t="shared" si="233"/>
        <v>DNS/DNF</v>
      </c>
      <c r="BA421" s="62" t="str">
        <f t="shared" si="234"/>
        <v>DNS/DNF</v>
      </c>
      <c r="BB421" s="62" t="str">
        <f t="shared" si="235"/>
        <v>DNS/DNF</v>
      </c>
      <c r="BC421" s="75" t="str">
        <f t="shared" si="236"/>
        <v/>
      </c>
      <c r="BD421" s="53" t="str">
        <f t="shared" si="237"/>
        <v/>
      </c>
      <c r="BE421" s="53" t="str">
        <f t="shared" si="238"/>
        <v/>
      </c>
      <c r="BF421" s="53" t="str">
        <f t="shared" si="239"/>
        <v/>
      </c>
      <c r="BG421" s="53" t="str">
        <f t="shared" si="240"/>
        <v/>
      </c>
      <c r="BH421" s="53" t="str">
        <f t="shared" si="241"/>
        <v/>
      </c>
      <c r="BI421" s="53" t="str">
        <f t="shared" si="242"/>
        <v/>
      </c>
      <c r="BJ421" s="53" t="str">
        <f t="shared" si="243"/>
        <v/>
      </c>
      <c r="BK421" s="53" t="str">
        <f t="shared" si="244"/>
        <v/>
      </c>
    </row>
    <row r="422" spans="2:63">
      <c r="B422" s="89" t="str">
        <f>IFERROR(VLOOKUP($A422,EntryList!$A$3:$N$645,2,FALSE),"")</f>
        <v/>
      </c>
      <c r="D422" s="53">
        <f t="shared" si="218"/>
        <v>0</v>
      </c>
      <c r="N422" s="62">
        <f t="shared" si="219"/>
        <v>0</v>
      </c>
      <c r="O422" s="53" t="str">
        <f t="shared" si="245"/>
        <v/>
      </c>
      <c r="P422" s="53" t="str">
        <f t="shared" si="246"/>
        <v/>
      </c>
      <c r="Q422" s="53" t="str">
        <f t="shared" si="247"/>
        <v/>
      </c>
      <c r="R422" s="53" t="str">
        <f t="shared" si="248"/>
        <v/>
      </c>
      <c r="S422" s="53" t="str">
        <f t="shared" si="249"/>
        <v/>
      </c>
      <c r="T422" s="53" t="str">
        <f t="shared" si="250"/>
        <v/>
      </c>
      <c r="U422" s="53" t="str">
        <f t="shared" si="251"/>
        <v/>
      </c>
      <c r="V422" s="53" t="str">
        <f t="shared" si="252"/>
        <v/>
      </c>
      <c r="W422" s="53" t="str">
        <f t="shared" si="220"/>
        <v>DNS/DNF ()</v>
      </c>
      <c r="X422" s="53" t="str">
        <f t="shared" si="221"/>
        <v>DNS/DNF ()</v>
      </c>
      <c r="Y422" s="53" t="str">
        <f t="shared" si="222"/>
        <v>DNS/DNF ()</v>
      </c>
      <c r="Z422" s="53" t="str">
        <f t="shared" si="223"/>
        <v>DNS/DNF ()</v>
      </c>
      <c r="AA422" s="53" t="str">
        <f t="shared" si="224"/>
        <v>DNS/DNF ()</v>
      </c>
      <c r="AB422" s="53" t="str">
        <f t="shared" si="225"/>
        <v>DNS/DNF ()</v>
      </c>
      <c r="AC422" s="53" t="str">
        <f t="shared" si="226"/>
        <v>DNS/DNF ()</v>
      </c>
      <c r="AD422" s="53" t="str">
        <f t="shared" si="227"/>
        <v>DNS/DNF ()</v>
      </c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62" t="str">
        <f t="shared" si="228"/>
        <v>DNS/DNF</v>
      </c>
      <c r="AV422" s="62" t="str">
        <f t="shared" si="229"/>
        <v>DNS/DNF</v>
      </c>
      <c r="AW422" s="62" t="str">
        <f t="shared" si="230"/>
        <v>DNS/DNF</v>
      </c>
      <c r="AX422" s="62" t="str">
        <f t="shared" si="231"/>
        <v>DNS/DNF</v>
      </c>
      <c r="AY422" s="62" t="str">
        <f t="shared" si="232"/>
        <v>DNS/DNF</v>
      </c>
      <c r="AZ422" s="62" t="str">
        <f t="shared" si="233"/>
        <v>DNS/DNF</v>
      </c>
      <c r="BA422" s="62" t="str">
        <f t="shared" si="234"/>
        <v>DNS/DNF</v>
      </c>
      <c r="BB422" s="62" t="str">
        <f t="shared" si="235"/>
        <v>DNS/DNF</v>
      </c>
      <c r="BC422" s="75" t="str">
        <f t="shared" si="236"/>
        <v/>
      </c>
      <c r="BD422" s="53" t="str">
        <f t="shared" si="237"/>
        <v/>
      </c>
      <c r="BE422" s="53" t="str">
        <f t="shared" si="238"/>
        <v/>
      </c>
      <c r="BF422" s="53" t="str">
        <f t="shared" si="239"/>
        <v/>
      </c>
      <c r="BG422" s="53" t="str">
        <f t="shared" si="240"/>
        <v/>
      </c>
      <c r="BH422" s="53" t="str">
        <f t="shared" si="241"/>
        <v/>
      </c>
      <c r="BI422" s="53" t="str">
        <f t="shared" si="242"/>
        <v/>
      </c>
      <c r="BJ422" s="53" t="str">
        <f t="shared" si="243"/>
        <v/>
      </c>
      <c r="BK422" s="53" t="str">
        <f t="shared" si="244"/>
        <v/>
      </c>
    </row>
    <row r="423" spans="2:63">
      <c r="B423" s="89" t="str">
        <f>IFERROR(VLOOKUP($A423,EntryList!$A$3:$N$645,2,FALSE),"")</f>
        <v/>
      </c>
      <c r="D423" s="53">
        <f t="shared" si="218"/>
        <v>0</v>
      </c>
      <c r="N423" s="62">
        <f t="shared" si="219"/>
        <v>0</v>
      </c>
      <c r="O423" s="53" t="str">
        <f t="shared" si="245"/>
        <v/>
      </c>
      <c r="P423" s="53" t="str">
        <f t="shared" si="246"/>
        <v/>
      </c>
      <c r="Q423" s="53" t="str">
        <f t="shared" si="247"/>
        <v/>
      </c>
      <c r="R423" s="53" t="str">
        <f t="shared" si="248"/>
        <v/>
      </c>
      <c r="S423" s="53" t="str">
        <f t="shared" si="249"/>
        <v/>
      </c>
      <c r="T423" s="53" t="str">
        <f t="shared" si="250"/>
        <v/>
      </c>
      <c r="U423" s="53" t="str">
        <f t="shared" si="251"/>
        <v/>
      </c>
      <c r="V423" s="53" t="str">
        <f t="shared" si="252"/>
        <v/>
      </c>
      <c r="W423" s="53" t="str">
        <f t="shared" si="220"/>
        <v>DNS/DNF ()</v>
      </c>
      <c r="X423" s="53" t="str">
        <f t="shared" si="221"/>
        <v>DNS/DNF ()</v>
      </c>
      <c r="Y423" s="53" t="str">
        <f t="shared" si="222"/>
        <v>DNS/DNF ()</v>
      </c>
      <c r="Z423" s="53" t="str">
        <f t="shared" si="223"/>
        <v>DNS/DNF ()</v>
      </c>
      <c r="AA423" s="53" t="str">
        <f t="shared" si="224"/>
        <v>DNS/DNF ()</v>
      </c>
      <c r="AB423" s="53" t="str">
        <f t="shared" si="225"/>
        <v>DNS/DNF ()</v>
      </c>
      <c r="AC423" s="53" t="str">
        <f t="shared" si="226"/>
        <v>DNS/DNF ()</v>
      </c>
      <c r="AD423" s="53" t="str">
        <f t="shared" si="227"/>
        <v>DNS/DNF ()</v>
      </c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62" t="str">
        <f t="shared" si="228"/>
        <v>DNS/DNF</v>
      </c>
      <c r="AV423" s="62" t="str">
        <f t="shared" si="229"/>
        <v>DNS/DNF</v>
      </c>
      <c r="AW423" s="62" t="str">
        <f t="shared" si="230"/>
        <v>DNS/DNF</v>
      </c>
      <c r="AX423" s="62" t="str">
        <f t="shared" si="231"/>
        <v>DNS/DNF</v>
      </c>
      <c r="AY423" s="62" t="str">
        <f t="shared" si="232"/>
        <v>DNS/DNF</v>
      </c>
      <c r="AZ423" s="62" t="str">
        <f t="shared" si="233"/>
        <v>DNS/DNF</v>
      </c>
      <c r="BA423" s="62" t="str">
        <f t="shared" si="234"/>
        <v>DNS/DNF</v>
      </c>
      <c r="BB423" s="62" t="str">
        <f t="shared" si="235"/>
        <v>DNS/DNF</v>
      </c>
      <c r="BC423" s="75" t="str">
        <f t="shared" si="236"/>
        <v/>
      </c>
      <c r="BD423" s="53" t="str">
        <f t="shared" si="237"/>
        <v/>
      </c>
      <c r="BE423" s="53" t="str">
        <f t="shared" si="238"/>
        <v/>
      </c>
      <c r="BF423" s="53" t="str">
        <f t="shared" si="239"/>
        <v/>
      </c>
      <c r="BG423" s="53" t="str">
        <f t="shared" si="240"/>
        <v/>
      </c>
      <c r="BH423" s="53" t="str">
        <f t="shared" si="241"/>
        <v/>
      </c>
      <c r="BI423" s="53" t="str">
        <f t="shared" si="242"/>
        <v/>
      </c>
      <c r="BJ423" s="53" t="str">
        <f t="shared" si="243"/>
        <v/>
      </c>
      <c r="BK423" s="53" t="str">
        <f t="shared" si="244"/>
        <v/>
      </c>
    </row>
    <row r="424" spans="2:63">
      <c r="B424" s="89" t="str">
        <f>IFERROR(VLOOKUP($A424,EntryList!$A$3:$N$645,2,FALSE),"")</f>
        <v/>
      </c>
      <c r="D424" s="53">
        <f t="shared" si="218"/>
        <v>0</v>
      </c>
      <c r="N424" s="62">
        <f t="shared" si="219"/>
        <v>0</v>
      </c>
      <c r="O424" s="53" t="str">
        <f t="shared" si="245"/>
        <v/>
      </c>
      <c r="P424" s="53" t="str">
        <f t="shared" si="246"/>
        <v/>
      </c>
      <c r="Q424" s="53" t="str">
        <f t="shared" si="247"/>
        <v/>
      </c>
      <c r="R424" s="53" t="str">
        <f t="shared" si="248"/>
        <v/>
      </c>
      <c r="S424" s="53" t="str">
        <f t="shared" si="249"/>
        <v/>
      </c>
      <c r="T424" s="53" t="str">
        <f t="shared" si="250"/>
        <v/>
      </c>
      <c r="U424" s="53" t="str">
        <f t="shared" si="251"/>
        <v/>
      </c>
      <c r="V424" s="53" t="str">
        <f t="shared" si="252"/>
        <v/>
      </c>
      <c r="W424" s="53" t="str">
        <f t="shared" si="220"/>
        <v>DNS/DNF ()</v>
      </c>
      <c r="X424" s="53" t="str">
        <f t="shared" si="221"/>
        <v>DNS/DNF ()</v>
      </c>
      <c r="Y424" s="53" t="str">
        <f t="shared" si="222"/>
        <v>DNS/DNF ()</v>
      </c>
      <c r="Z424" s="53" t="str">
        <f t="shared" si="223"/>
        <v>DNS/DNF ()</v>
      </c>
      <c r="AA424" s="53" t="str">
        <f t="shared" si="224"/>
        <v>DNS/DNF ()</v>
      </c>
      <c r="AB424" s="53" t="str">
        <f t="shared" si="225"/>
        <v>DNS/DNF ()</v>
      </c>
      <c r="AC424" s="53" t="str">
        <f t="shared" si="226"/>
        <v>DNS/DNF ()</v>
      </c>
      <c r="AD424" s="53" t="str">
        <f t="shared" si="227"/>
        <v>DNS/DNF ()</v>
      </c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62" t="str">
        <f t="shared" si="228"/>
        <v>DNS/DNF</v>
      </c>
      <c r="AV424" s="62" t="str">
        <f t="shared" si="229"/>
        <v>DNS/DNF</v>
      </c>
      <c r="AW424" s="62" t="str">
        <f t="shared" si="230"/>
        <v>DNS/DNF</v>
      </c>
      <c r="AX424" s="62" t="str">
        <f t="shared" si="231"/>
        <v>DNS/DNF</v>
      </c>
      <c r="AY424" s="62" t="str">
        <f t="shared" si="232"/>
        <v>DNS/DNF</v>
      </c>
      <c r="AZ424" s="62" t="str">
        <f t="shared" si="233"/>
        <v>DNS/DNF</v>
      </c>
      <c r="BA424" s="62" t="str">
        <f t="shared" si="234"/>
        <v>DNS/DNF</v>
      </c>
      <c r="BB424" s="62" t="str">
        <f t="shared" si="235"/>
        <v>DNS/DNF</v>
      </c>
      <c r="BC424" s="75" t="str">
        <f t="shared" si="236"/>
        <v/>
      </c>
      <c r="BD424" s="53" t="str">
        <f t="shared" si="237"/>
        <v/>
      </c>
      <c r="BE424" s="53" t="str">
        <f t="shared" si="238"/>
        <v/>
      </c>
      <c r="BF424" s="53" t="str">
        <f t="shared" si="239"/>
        <v/>
      </c>
      <c r="BG424" s="53" t="str">
        <f t="shared" si="240"/>
        <v/>
      </c>
      <c r="BH424" s="53" t="str">
        <f t="shared" si="241"/>
        <v/>
      </c>
      <c r="BI424" s="53" t="str">
        <f t="shared" si="242"/>
        <v/>
      </c>
      <c r="BJ424" s="53" t="str">
        <f t="shared" si="243"/>
        <v/>
      </c>
      <c r="BK424" s="53" t="str">
        <f t="shared" si="244"/>
        <v/>
      </c>
    </row>
    <row r="425" spans="2:63">
      <c r="B425" s="89" t="str">
        <f>IFERROR(VLOOKUP($A425,EntryList!$A$3:$N$645,2,FALSE),"")</f>
        <v/>
      </c>
      <c r="D425" s="53">
        <f t="shared" si="218"/>
        <v>0</v>
      </c>
      <c r="N425" s="62">
        <f t="shared" si="219"/>
        <v>0</v>
      </c>
      <c r="O425" s="53" t="str">
        <f t="shared" si="245"/>
        <v/>
      </c>
      <c r="P425" s="53" t="str">
        <f t="shared" si="246"/>
        <v/>
      </c>
      <c r="Q425" s="53" t="str">
        <f t="shared" si="247"/>
        <v/>
      </c>
      <c r="R425" s="53" t="str">
        <f t="shared" si="248"/>
        <v/>
      </c>
      <c r="S425" s="53" t="str">
        <f t="shared" si="249"/>
        <v/>
      </c>
      <c r="T425" s="53" t="str">
        <f t="shared" si="250"/>
        <v/>
      </c>
      <c r="U425" s="53" t="str">
        <f t="shared" si="251"/>
        <v/>
      </c>
      <c r="V425" s="53" t="str">
        <f t="shared" si="252"/>
        <v/>
      </c>
      <c r="W425" s="53" t="str">
        <f t="shared" si="220"/>
        <v>DNS/DNF ()</v>
      </c>
      <c r="X425" s="53" t="str">
        <f t="shared" si="221"/>
        <v>DNS/DNF ()</v>
      </c>
      <c r="Y425" s="53" t="str">
        <f t="shared" si="222"/>
        <v>DNS/DNF ()</v>
      </c>
      <c r="Z425" s="53" t="str">
        <f t="shared" si="223"/>
        <v>DNS/DNF ()</v>
      </c>
      <c r="AA425" s="53" t="str">
        <f t="shared" si="224"/>
        <v>DNS/DNF ()</v>
      </c>
      <c r="AB425" s="53" t="str">
        <f t="shared" si="225"/>
        <v>DNS/DNF ()</v>
      </c>
      <c r="AC425" s="53" t="str">
        <f t="shared" si="226"/>
        <v>DNS/DNF ()</v>
      </c>
      <c r="AD425" s="53" t="str">
        <f t="shared" si="227"/>
        <v>DNS/DNF ()</v>
      </c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62" t="str">
        <f t="shared" si="228"/>
        <v>DNS/DNF</v>
      </c>
      <c r="AV425" s="62" t="str">
        <f t="shared" si="229"/>
        <v>DNS/DNF</v>
      </c>
      <c r="AW425" s="62" t="str">
        <f t="shared" si="230"/>
        <v>DNS/DNF</v>
      </c>
      <c r="AX425" s="62" t="str">
        <f t="shared" si="231"/>
        <v>DNS/DNF</v>
      </c>
      <c r="AY425" s="62" t="str">
        <f t="shared" si="232"/>
        <v>DNS/DNF</v>
      </c>
      <c r="AZ425" s="62" t="str">
        <f t="shared" si="233"/>
        <v>DNS/DNF</v>
      </c>
      <c r="BA425" s="62" t="str">
        <f t="shared" si="234"/>
        <v>DNS/DNF</v>
      </c>
      <c r="BB425" s="62" t="str">
        <f t="shared" si="235"/>
        <v>DNS/DNF</v>
      </c>
      <c r="BC425" s="75" t="str">
        <f t="shared" si="236"/>
        <v/>
      </c>
      <c r="BD425" s="53" t="str">
        <f t="shared" si="237"/>
        <v/>
      </c>
      <c r="BE425" s="53" t="str">
        <f t="shared" si="238"/>
        <v/>
      </c>
      <c r="BF425" s="53" t="str">
        <f t="shared" si="239"/>
        <v/>
      </c>
      <c r="BG425" s="53" t="str">
        <f t="shared" si="240"/>
        <v/>
      </c>
      <c r="BH425" s="53" t="str">
        <f t="shared" si="241"/>
        <v/>
      </c>
      <c r="BI425" s="53" t="str">
        <f t="shared" si="242"/>
        <v/>
      </c>
      <c r="BJ425" s="53" t="str">
        <f t="shared" si="243"/>
        <v/>
      </c>
      <c r="BK425" s="53" t="str">
        <f t="shared" si="244"/>
        <v/>
      </c>
    </row>
    <row r="426" spans="2:63">
      <c r="B426" s="89" t="str">
        <f>IFERROR(VLOOKUP($A426,EntryList!$A$3:$N$645,2,FALSE),"")</f>
        <v/>
      </c>
      <c r="D426" s="53">
        <f t="shared" si="218"/>
        <v>0</v>
      </c>
      <c r="N426" s="62">
        <f t="shared" si="219"/>
        <v>0</v>
      </c>
      <c r="O426" s="53" t="str">
        <f t="shared" si="245"/>
        <v/>
      </c>
      <c r="P426" s="53" t="str">
        <f t="shared" si="246"/>
        <v/>
      </c>
      <c r="Q426" s="53" t="str">
        <f t="shared" si="247"/>
        <v/>
      </c>
      <c r="R426" s="53" t="str">
        <f t="shared" si="248"/>
        <v/>
      </c>
      <c r="S426" s="53" t="str">
        <f t="shared" si="249"/>
        <v/>
      </c>
      <c r="T426" s="53" t="str">
        <f t="shared" si="250"/>
        <v/>
      </c>
      <c r="U426" s="53" t="str">
        <f t="shared" si="251"/>
        <v/>
      </c>
      <c r="V426" s="53" t="str">
        <f t="shared" si="252"/>
        <v/>
      </c>
      <c r="W426" s="53" t="str">
        <f t="shared" si="220"/>
        <v>DNS/DNF ()</v>
      </c>
      <c r="X426" s="53" t="str">
        <f t="shared" si="221"/>
        <v>DNS/DNF ()</v>
      </c>
      <c r="Y426" s="53" t="str">
        <f t="shared" si="222"/>
        <v>DNS/DNF ()</v>
      </c>
      <c r="Z426" s="53" t="str">
        <f t="shared" si="223"/>
        <v>DNS/DNF ()</v>
      </c>
      <c r="AA426" s="53" t="str">
        <f t="shared" si="224"/>
        <v>DNS/DNF ()</v>
      </c>
      <c r="AB426" s="53" t="str">
        <f t="shared" si="225"/>
        <v>DNS/DNF ()</v>
      </c>
      <c r="AC426" s="53" t="str">
        <f t="shared" si="226"/>
        <v>DNS/DNF ()</v>
      </c>
      <c r="AD426" s="53" t="str">
        <f t="shared" si="227"/>
        <v>DNS/DNF ()</v>
      </c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62" t="str">
        <f t="shared" si="228"/>
        <v>DNS/DNF</v>
      </c>
      <c r="AV426" s="62" t="str">
        <f t="shared" si="229"/>
        <v>DNS/DNF</v>
      </c>
      <c r="AW426" s="62" t="str">
        <f t="shared" si="230"/>
        <v>DNS/DNF</v>
      </c>
      <c r="AX426" s="62" t="str">
        <f t="shared" si="231"/>
        <v>DNS/DNF</v>
      </c>
      <c r="AY426" s="62" t="str">
        <f t="shared" si="232"/>
        <v>DNS/DNF</v>
      </c>
      <c r="AZ426" s="62" t="str">
        <f t="shared" si="233"/>
        <v>DNS/DNF</v>
      </c>
      <c r="BA426" s="62" t="str">
        <f t="shared" si="234"/>
        <v>DNS/DNF</v>
      </c>
      <c r="BB426" s="62" t="str">
        <f t="shared" si="235"/>
        <v>DNS/DNF</v>
      </c>
      <c r="BC426" s="75" t="str">
        <f t="shared" si="236"/>
        <v/>
      </c>
      <c r="BD426" s="53" t="str">
        <f t="shared" si="237"/>
        <v/>
      </c>
      <c r="BE426" s="53" t="str">
        <f t="shared" si="238"/>
        <v/>
      </c>
      <c r="BF426" s="53" t="str">
        <f t="shared" si="239"/>
        <v/>
      </c>
      <c r="BG426" s="53" t="str">
        <f t="shared" si="240"/>
        <v/>
      </c>
      <c r="BH426" s="53" t="str">
        <f t="shared" si="241"/>
        <v/>
      </c>
      <c r="BI426" s="53" t="str">
        <f t="shared" si="242"/>
        <v/>
      </c>
      <c r="BJ426" s="53" t="str">
        <f t="shared" si="243"/>
        <v/>
      </c>
      <c r="BK426" s="53" t="str">
        <f t="shared" si="244"/>
        <v/>
      </c>
    </row>
    <row r="427" spans="2:63">
      <c r="B427" s="89" t="str">
        <f>IFERROR(VLOOKUP($A427,EntryList!$A$3:$N$645,2,FALSE),"")</f>
        <v/>
      </c>
      <c r="D427" s="53">
        <f t="shared" si="218"/>
        <v>0</v>
      </c>
      <c r="N427" s="62">
        <f t="shared" si="219"/>
        <v>0</v>
      </c>
      <c r="O427" s="53" t="str">
        <f t="shared" si="245"/>
        <v/>
      </c>
      <c r="P427" s="53" t="str">
        <f t="shared" si="246"/>
        <v/>
      </c>
      <c r="Q427" s="53" t="str">
        <f t="shared" si="247"/>
        <v/>
      </c>
      <c r="R427" s="53" t="str">
        <f t="shared" si="248"/>
        <v/>
      </c>
      <c r="S427" s="53" t="str">
        <f t="shared" si="249"/>
        <v/>
      </c>
      <c r="T427" s="53" t="str">
        <f t="shared" si="250"/>
        <v/>
      </c>
      <c r="U427" s="53" t="str">
        <f t="shared" si="251"/>
        <v/>
      </c>
      <c r="V427" s="53" t="str">
        <f t="shared" si="252"/>
        <v/>
      </c>
      <c r="W427" s="53" t="str">
        <f t="shared" si="220"/>
        <v>DNS/DNF ()</v>
      </c>
      <c r="X427" s="53" t="str">
        <f t="shared" si="221"/>
        <v>DNS/DNF ()</v>
      </c>
      <c r="Y427" s="53" t="str">
        <f t="shared" si="222"/>
        <v>DNS/DNF ()</v>
      </c>
      <c r="Z427" s="53" t="str">
        <f t="shared" si="223"/>
        <v>DNS/DNF ()</v>
      </c>
      <c r="AA427" s="53" t="str">
        <f t="shared" si="224"/>
        <v>DNS/DNF ()</v>
      </c>
      <c r="AB427" s="53" t="str">
        <f t="shared" si="225"/>
        <v>DNS/DNF ()</v>
      </c>
      <c r="AC427" s="53" t="str">
        <f t="shared" si="226"/>
        <v>DNS/DNF ()</v>
      </c>
      <c r="AD427" s="53" t="str">
        <f t="shared" si="227"/>
        <v>DNS/DNF ()</v>
      </c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62" t="str">
        <f t="shared" si="228"/>
        <v>DNS/DNF</v>
      </c>
      <c r="AV427" s="62" t="str">
        <f t="shared" si="229"/>
        <v>DNS/DNF</v>
      </c>
      <c r="AW427" s="62" t="str">
        <f t="shared" si="230"/>
        <v>DNS/DNF</v>
      </c>
      <c r="AX427" s="62" t="str">
        <f t="shared" si="231"/>
        <v>DNS/DNF</v>
      </c>
      <c r="AY427" s="62" t="str">
        <f t="shared" si="232"/>
        <v>DNS/DNF</v>
      </c>
      <c r="AZ427" s="62" t="str">
        <f t="shared" si="233"/>
        <v>DNS/DNF</v>
      </c>
      <c r="BA427" s="62" t="str">
        <f t="shared" si="234"/>
        <v>DNS/DNF</v>
      </c>
      <c r="BB427" s="62" t="str">
        <f t="shared" si="235"/>
        <v>DNS/DNF</v>
      </c>
      <c r="BC427" s="75" t="str">
        <f t="shared" si="236"/>
        <v/>
      </c>
      <c r="BD427" s="53" t="str">
        <f t="shared" si="237"/>
        <v/>
      </c>
      <c r="BE427" s="53" t="str">
        <f t="shared" si="238"/>
        <v/>
      </c>
      <c r="BF427" s="53" t="str">
        <f t="shared" si="239"/>
        <v/>
      </c>
      <c r="BG427" s="53" t="str">
        <f t="shared" si="240"/>
        <v/>
      </c>
      <c r="BH427" s="53" t="str">
        <f t="shared" si="241"/>
        <v/>
      </c>
      <c r="BI427" s="53" t="str">
        <f t="shared" si="242"/>
        <v/>
      </c>
      <c r="BJ427" s="53" t="str">
        <f t="shared" si="243"/>
        <v/>
      </c>
      <c r="BK427" s="53" t="str">
        <f t="shared" si="244"/>
        <v/>
      </c>
    </row>
    <row r="428" spans="2:63">
      <c r="B428" s="89" t="str">
        <f>IFERROR(VLOOKUP($A428,EntryList!$A$3:$N$645,2,FALSE),"")</f>
        <v/>
      </c>
      <c r="D428" s="53">
        <f t="shared" si="218"/>
        <v>0</v>
      </c>
      <c r="N428" s="62">
        <f t="shared" si="219"/>
        <v>0</v>
      </c>
      <c r="O428" s="53" t="str">
        <f t="shared" si="245"/>
        <v/>
      </c>
      <c r="P428" s="53" t="str">
        <f t="shared" si="246"/>
        <v/>
      </c>
      <c r="Q428" s="53" t="str">
        <f t="shared" si="247"/>
        <v/>
      </c>
      <c r="R428" s="53" t="str">
        <f t="shared" si="248"/>
        <v/>
      </c>
      <c r="S428" s="53" t="str">
        <f t="shared" si="249"/>
        <v/>
      </c>
      <c r="T428" s="53" t="str">
        <f t="shared" si="250"/>
        <v/>
      </c>
      <c r="U428" s="53" t="str">
        <f t="shared" si="251"/>
        <v/>
      </c>
      <c r="V428" s="53" t="str">
        <f t="shared" si="252"/>
        <v/>
      </c>
      <c r="W428" s="53" t="str">
        <f t="shared" si="220"/>
        <v>DNS/DNF ()</v>
      </c>
      <c r="X428" s="53" t="str">
        <f t="shared" si="221"/>
        <v>DNS/DNF ()</v>
      </c>
      <c r="Y428" s="53" t="str">
        <f t="shared" si="222"/>
        <v>DNS/DNF ()</v>
      </c>
      <c r="Z428" s="53" t="str">
        <f t="shared" si="223"/>
        <v>DNS/DNF ()</v>
      </c>
      <c r="AA428" s="53" t="str">
        <f t="shared" si="224"/>
        <v>DNS/DNF ()</v>
      </c>
      <c r="AB428" s="53" t="str">
        <f t="shared" si="225"/>
        <v>DNS/DNF ()</v>
      </c>
      <c r="AC428" s="53" t="str">
        <f t="shared" si="226"/>
        <v>DNS/DNF ()</v>
      </c>
      <c r="AD428" s="53" t="str">
        <f t="shared" si="227"/>
        <v>DNS/DNF ()</v>
      </c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62" t="str">
        <f t="shared" si="228"/>
        <v>DNS/DNF</v>
      </c>
      <c r="AV428" s="62" t="str">
        <f t="shared" si="229"/>
        <v>DNS/DNF</v>
      </c>
      <c r="AW428" s="62" t="str">
        <f t="shared" si="230"/>
        <v>DNS/DNF</v>
      </c>
      <c r="AX428" s="62" t="str">
        <f t="shared" si="231"/>
        <v>DNS/DNF</v>
      </c>
      <c r="AY428" s="62" t="str">
        <f t="shared" si="232"/>
        <v>DNS/DNF</v>
      </c>
      <c r="AZ428" s="62" t="str">
        <f t="shared" si="233"/>
        <v>DNS/DNF</v>
      </c>
      <c r="BA428" s="62" t="str">
        <f t="shared" si="234"/>
        <v>DNS/DNF</v>
      </c>
      <c r="BB428" s="62" t="str">
        <f t="shared" si="235"/>
        <v>DNS/DNF</v>
      </c>
      <c r="BC428" s="75" t="str">
        <f t="shared" si="236"/>
        <v/>
      </c>
      <c r="BD428" s="53" t="str">
        <f t="shared" si="237"/>
        <v/>
      </c>
      <c r="BE428" s="53" t="str">
        <f t="shared" si="238"/>
        <v/>
      </c>
      <c r="BF428" s="53" t="str">
        <f t="shared" si="239"/>
        <v/>
      </c>
      <c r="BG428" s="53" t="str">
        <f t="shared" si="240"/>
        <v/>
      </c>
      <c r="BH428" s="53" t="str">
        <f t="shared" si="241"/>
        <v/>
      </c>
      <c r="BI428" s="53" t="str">
        <f t="shared" si="242"/>
        <v/>
      </c>
      <c r="BJ428" s="53" t="str">
        <f t="shared" si="243"/>
        <v/>
      </c>
      <c r="BK428" s="53" t="str">
        <f t="shared" si="244"/>
        <v/>
      </c>
    </row>
    <row r="429" spans="2:63">
      <c r="B429" s="89" t="str">
        <f>IFERROR(VLOOKUP($A429,EntryList!$A$3:$N$645,2,FALSE),"")</f>
        <v/>
      </c>
      <c r="D429" s="53">
        <f t="shared" si="218"/>
        <v>0</v>
      </c>
      <c r="N429" s="62">
        <f t="shared" si="219"/>
        <v>0</v>
      </c>
      <c r="O429" s="53" t="str">
        <f t="shared" si="245"/>
        <v/>
      </c>
      <c r="P429" s="53" t="str">
        <f t="shared" si="246"/>
        <v/>
      </c>
      <c r="Q429" s="53" t="str">
        <f t="shared" si="247"/>
        <v/>
      </c>
      <c r="R429" s="53" t="str">
        <f t="shared" si="248"/>
        <v/>
      </c>
      <c r="S429" s="53" t="str">
        <f t="shared" si="249"/>
        <v/>
      </c>
      <c r="T429" s="53" t="str">
        <f t="shared" si="250"/>
        <v/>
      </c>
      <c r="U429" s="53" t="str">
        <f t="shared" si="251"/>
        <v/>
      </c>
      <c r="V429" s="53" t="str">
        <f t="shared" si="252"/>
        <v/>
      </c>
      <c r="W429" s="53" t="str">
        <f t="shared" si="220"/>
        <v>DNS/DNF ()</v>
      </c>
      <c r="X429" s="53" t="str">
        <f t="shared" si="221"/>
        <v>DNS/DNF ()</v>
      </c>
      <c r="Y429" s="53" t="str">
        <f t="shared" si="222"/>
        <v>DNS/DNF ()</v>
      </c>
      <c r="Z429" s="53" t="str">
        <f t="shared" si="223"/>
        <v>DNS/DNF ()</v>
      </c>
      <c r="AA429" s="53" t="str">
        <f t="shared" si="224"/>
        <v>DNS/DNF ()</v>
      </c>
      <c r="AB429" s="53" t="str">
        <f t="shared" si="225"/>
        <v>DNS/DNF ()</v>
      </c>
      <c r="AC429" s="53" t="str">
        <f t="shared" si="226"/>
        <v>DNS/DNF ()</v>
      </c>
      <c r="AD429" s="53" t="str">
        <f t="shared" si="227"/>
        <v>DNS/DNF ()</v>
      </c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62" t="str">
        <f t="shared" si="228"/>
        <v>DNS/DNF</v>
      </c>
      <c r="AV429" s="62" t="str">
        <f t="shared" si="229"/>
        <v>DNS/DNF</v>
      </c>
      <c r="AW429" s="62" t="str">
        <f t="shared" si="230"/>
        <v>DNS/DNF</v>
      </c>
      <c r="AX429" s="62" t="str">
        <f t="shared" si="231"/>
        <v>DNS/DNF</v>
      </c>
      <c r="AY429" s="62" t="str">
        <f t="shared" si="232"/>
        <v>DNS/DNF</v>
      </c>
      <c r="AZ429" s="62" t="str">
        <f t="shared" si="233"/>
        <v>DNS/DNF</v>
      </c>
      <c r="BA429" s="62" t="str">
        <f t="shared" si="234"/>
        <v>DNS/DNF</v>
      </c>
      <c r="BB429" s="62" t="str">
        <f t="shared" si="235"/>
        <v>DNS/DNF</v>
      </c>
      <c r="BC429" s="75" t="str">
        <f t="shared" si="236"/>
        <v/>
      </c>
      <c r="BD429" s="53" t="str">
        <f t="shared" si="237"/>
        <v/>
      </c>
      <c r="BE429" s="53" t="str">
        <f t="shared" si="238"/>
        <v/>
      </c>
      <c r="BF429" s="53" t="str">
        <f t="shared" si="239"/>
        <v/>
      </c>
      <c r="BG429" s="53" t="str">
        <f t="shared" si="240"/>
        <v/>
      </c>
      <c r="BH429" s="53" t="str">
        <f t="shared" si="241"/>
        <v/>
      </c>
      <c r="BI429" s="53" t="str">
        <f t="shared" si="242"/>
        <v/>
      </c>
      <c r="BJ429" s="53" t="str">
        <f t="shared" si="243"/>
        <v/>
      </c>
      <c r="BK429" s="53" t="str">
        <f t="shared" si="244"/>
        <v/>
      </c>
    </row>
    <row r="430" spans="2:63">
      <c r="B430" s="89" t="str">
        <f>IFERROR(VLOOKUP($A430,EntryList!$A$3:$N$645,2,FALSE),"")</f>
        <v/>
      </c>
      <c r="D430" s="53">
        <f t="shared" si="218"/>
        <v>0</v>
      </c>
      <c r="N430" s="62">
        <f t="shared" si="219"/>
        <v>0</v>
      </c>
      <c r="O430" s="53" t="str">
        <f t="shared" si="245"/>
        <v/>
      </c>
      <c r="P430" s="53" t="str">
        <f t="shared" si="246"/>
        <v/>
      </c>
      <c r="Q430" s="53" t="str">
        <f t="shared" si="247"/>
        <v/>
      </c>
      <c r="R430" s="53" t="str">
        <f t="shared" si="248"/>
        <v/>
      </c>
      <c r="S430" s="53" t="str">
        <f t="shared" si="249"/>
        <v/>
      </c>
      <c r="T430" s="53" t="str">
        <f t="shared" si="250"/>
        <v/>
      </c>
      <c r="U430" s="53" t="str">
        <f t="shared" si="251"/>
        <v/>
      </c>
      <c r="V430" s="53" t="str">
        <f t="shared" si="252"/>
        <v/>
      </c>
      <c r="W430" s="53" t="str">
        <f t="shared" si="220"/>
        <v>DNS/DNF ()</v>
      </c>
      <c r="X430" s="53" t="str">
        <f t="shared" si="221"/>
        <v>DNS/DNF ()</v>
      </c>
      <c r="Y430" s="53" t="str">
        <f t="shared" si="222"/>
        <v>DNS/DNF ()</v>
      </c>
      <c r="Z430" s="53" t="str">
        <f t="shared" si="223"/>
        <v>DNS/DNF ()</v>
      </c>
      <c r="AA430" s="53" t="str">
        <f t="shared" si="224"/>
        <v>DNS/DNF ()</v>
      </c>
      <c r="AB430" s="53" t="str">
        <f t="shared" si="225"/>
        <v>DNS/DNF ()</v>
      </c>
      <c r="AC430" s="53" t="str">
        <f t="shared" si="226"/>
        <v>DNS/DNF ()</v>
      </c>
      <c r="AD430" s="53" t="str">
        <f t="shared" si="227"/>
        <v>DNS/DNF ()</v>
      </c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62" t="str">
        <f t="shared" si="228"/>
        <v>DNS/DNF</v>
      </c>
      <c r="AV430" s="62" t="str">
        <f t="shared" si="229"/>
        <v>DNS/DNF</v>
      </c>
      <c r="AW430" s="62" t="str">
        <f t="shared" si="230"/>
        <v>DNS/DNF</v>
      </c>
      <c r="AX430" s="62" t="str">
        <f t="shared" si="231"/>
        <v>DNS/DNF</v>
      </c>
      <c r="AY430" s="62" t="str">
        <f t="shared" si="232"/>
        <v>DNS/DNF</v>
      </c>
      <c r="AZ430" s="62" t="str">
        <f t="shared" si="233"/>
        <v>DNS/DNF</v>
      </c>
      <c r="BA430" s="62" t="str">
        <f t="shared" si="234"/>
        <v>DNS/DNF</v>
      </c>
      <c r="BB430" s="62" t="str">
        <f t="shared" si="235"/>
        <v>DNS/DNF</v>
      </c>
      <c r="BC430" s="75" t="str">
        <f t="shared" si="236"/>
        <v/>
      </c>
      <c r="BD430" s="53" t="str">
        <f t="shared" si="237"/>
        <v/>
      </c>
      <c r="BE430" s="53" t="str">
        <f t="shared" si="238"/>
        <v/>
      </c>
      <c r="BF430" s="53" t="str">
        <f t="shared" si="239"/>
        <v/>
      </c>
      <c r="BG430" s="53" t="str">
        <f t="shared" si="240"/>
        <v/>
      </c>
      <c r="BH430" s="53" t="str">
        <f t="shared" si="241"/>
        <v/>
      </c>
      <c r="BI430" s="53" t="str">
        <f t="shared" si="242"/>
        <v/>
      </c>
      <c r="BJ430" s="53" t="str">
        <f t="shared" si="243"/>
        <v/>
      </c>
      <c r="BK430" s="53" t="str">
        <f t="shared" si="244"/>
        <v/>
      </c>
    </row>
    <row r="431" spans="2:63">
      <c r="B431" s="89" t="str">
        <f>IFERROR(VLOOKUP($A431,EntryList!$A$3:$N$645,2,FALSE),"")</f>
        <v/>
      </c>
      <c r="D431" s="53">
        <f t="shared" si="218"/>
        <v>0</v>
      </c>
      <c r="N431" s="62">
        <f t="shared" si="219"/>
        <v>0</v>
      </c>
      <c r="O431" s="53" t="str">
        <f t="shared" si="245"/>
        <v/>
      </c>
      <c r="P431" s="53" t="str">
        <f t="shared" si="246"/>
        <v/>
      </c>
      <c r="Q431" s="53" t="str">
        <f t="shared" si="247"/>
        <v/>
      </c>
      <c r="R431" s="53" t="str">
        <f t="shared" si="248"/>
        <v/>
      </c>
      <c r="S431" s="53" t="str">
        <f t="shared" si="249"/>
        <v/>
      </c>
      <c r="T431" s="53" t="str">
        <f t="shared" si="250"/>
        <v/>
      </c>
      <c r="U431" s="53" t="str">
        <f t="shared" si="251"/>
        <v/>
      </c>
      <c r="V431" s="53" t="str">
        <f t="shared" si="252"/>
        <v/>
      </c>
      <c r="W431" s="53" t="str">
        <f t="shared" si="220"/>
        <v>DNS/DNF ()</v>
      </c>
      <c r="X431" s="53" t="str">
        <f t="shared" si="221"/>
        <v>DNS/DNF ()</v>
      </c>
      <c r="Y431" s="53" t="str">
        <f t="shared" si="222"/>
        <v>DNS/DNF ()</v>
      </c>
      <c r="Z431" s="53" t="str">
        <f t="shared" si="223"/>
        <v>DNS/DNF ()</v>
      </c>
      <c r="AA431" s="53" t="str">
        <f t="shared" si="224"/>
        <v>DNS/DNF ()</v>
      </c>
      <c r="AB431" s="53" t="str">
        <f t="shared" si="225"/>
        <v>DNS/DNF ()</v>
      </c>
      <c r="AC431" s="53" t="str">
        <f t="shared" si="226"/>
        <v>DNS/DNF ()</v>
      </c>
      <c r="AD431" s="53" t="str">
        <f t="shared" si="227"/>
        <v>DNS/DNF ()</v>
      </c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62" t="str">
        <f t="shared" si="228"/>
        <v>DNS/DNF</v>
      </c>
      <c r="AV431" s="62" t="str">
        <f t="shared" si="229"/>
        <v>DNS/DNF</v>
      </c>
      <c r="AW431" s="62" t="str">
        <f t="shared" si="230"/>
        <v>DNS/DNF</v>
      </c>
      <c r="AX431" s="62" t="str">
        <f t="shared" si="231"/>
        <v>DNS/DNF</v>
      </c>
      <c r="AY431" s="62" t="str">
        <f t="shared" si="232"/>
        <v>DNS/DNF</v>
      </c>
      <c r="AZ431" s="62" t="str">
        <f t="shared" si="233"/>
        <v>DNS/DNF</v>
      </c>
      <c r="BA431" s="62" t="str">
        <f t="shared" si="234"/>
        <v>DNS/DNF</v>
      </c>
      <c r="BB431" s="62" t="str">
        <f t="shared" si="235"/>
        <v>DNS/DNF</v>
      </c>
      <c r="BC431" s="75" t="str">
        <f t="shared" si="236"/>
        <v/>
      </c>
      <c r="BD431" s="53" t="str">
        <f t="shared" si="237"/>
        <v/>
      </c>
      <c r="BE431" s="53" t="str">
        <f t="shared" si="238"/>
        <v/>
      </c>
      <c r="BF431" s="53" t="str">
        <f t="shared" si="239"/>
        <v/>
      </c>
      <c r="BG431" s="53" t="str">
        <f t="shared" si="240"/>
        <v/>
      </c>
      <c r="BH431" s="53" t="str">
        <f t="shared" si="241"/>
        <v/>
      </c>
      <c r="BI431" s="53" t="str">
        <f t="shared" si="242"/>
        <v/>
      </c>
      <c r="BJ431" s="53" t="str">
        <f t="shared" si="243"/>
        <v/>
      </c>
      <c r="BK431" s="53" t="str">
        <f t="shared" si="244"/>
        <v/>
      </c>
    </row>
    <row r="432" spans="2:63">
      <c r="B432" s="89" t="str">
        <f>IFERROR(VLOOKUP($A432,EntryList!$A$3:$N$645,2,FALSE),"")</f>
        <v/>
      </c>
      <c r="D432" s="53">
        <f t="shared" si="218"/>
        <v>0</v>
      </c>
      <c r="N432" s="62">
        <f t="shared" si="219"/>
        <v>0</v>
      </c>
      <c r="O432" s="53" t="str">
        <f t="shared" si="245"/>
        <v/>
      </c>
      <c r="P432" s="53" t="str">
        <f t="shared" si="246"/>
        <v/>
      </c>
      <c r="Q432" s="53" t="str">
        <f t="shared" si="247"/>
        <v/>
      </c>
      <c r="R432" s="53" t="str">
        <f t="shared" si="248"/>
        <v/>
      </c>
      <c r="S432" s="53" t="str">
        <f t="shared" si="249"/>
        <v/>
      </c>
      <c r="T432" s="53" t="str">
        <f t="shared" si="250"/>
        <v/>
      </c>
      <c r="U432" s="53" t="str">
        <f t="shared" si="251"/>
        <v/>
      </c>
      <c r="V432" s="53" t="str">
        <f t="shared" si="252"/>
        <v/>
      </c>
      <c r="W432" s="53" t="str">
        <f t="shared" si="220"/>
        <v>DNS/DNF ()</v>
      </c>
      <c r="X432" s="53" t="str">
        <f t="shared" si="221"/>
        <v>DNS/DNF ()</v>
      </c>
      <c r="Y432" s="53" t="str">
        <f t="shared" si="222"/>
        <v>DNS/DNF ()</v>
      </c>
      <c r="Z432" s="53" t="str">
        <f t="shared" si="223"/>
        <v>DNS/DNF ()</v>
      </c>
      <c r="AA432" s="53" t="str">
        <f t="shared" si="224"/>
        <v>DNS/DNF ()</v>
      </c>
      <c r="AB432" s="53" t="str">
        <f t="shared" si="225"/>
        <v>DNS/DNF ()</v>
      </c>
      <c r="AC432" s="53" t="str">
        <f t="shared" si="226"/>
        <v>DNS/DNF ()</v>
      </c>
      <c r="AD432" s="53" t="str">
        <f t="shared" si="227"/>
        <v>DNS/DNF ()</v>
      </c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62" t="str">
        <f t="shared" si="228"/>
        <v>DNS/DNF</v>
      </c>
      <c r="AV432" s="62" t="str">
        <f t="shared" si="229"/>
        <v>DNS/DNF</v>
      </c>
      <c r="AW432" s="62" t="str">
        <f t="shared" si="230"/>
        <v>DNS/DNF</v>
      </c>
      <c r="AX432" s="62" t="str">
        <f t="shared" si="231"/>
        <v>DNS/DNF</v>
      </c>
      <c r="AY432" s="62" t="str">
        <f t="shared" si="232"/>
        <v>DNS/DNF</v>
      </c>
      <c r="AZ432" s="62" t="str">
        <f t="shared" si="233"/>
        <v>DNS/DNF</v>
      </c>
      <c r="BA432" s="62" t="str">
        <f t="shared" si="234"/>
        <v>DNS/DNF</v>
      </c>
      <c r="BB432" s="62" t="str">
        <f t="shared" si="235"/>
        <v>DNS/DNF</v>
      </c>
      <c r="BC432" s="75" t="str">
        <f t="shared" si="236"/>
        <v/>
      </c>
      <c r="BD432" s="53" t="str">
        <f t="shared" si="237"/>
        <v/>
      </c>
      <c r="BE432" s="53" t="str">
        <f t="shared" si="238"/>
        <v/>
      </c>
      <c r="BF432" s="53" t="str">
        <f t="shared" si="239"/>
        <v/>
      </c>
      <c r="BG432" s="53" t="str">
        <f t="shared" si="240"/>
        <v/>
      </c>
      <c r="BH432" s="53" t="str">
        <f t="shared" si="241"/>
        <v/>
      </c>
      <c r="BI432" s="53" t="str">
        <f t="shared" si="242"/>
        <v/>
      </c>
      <c r="BJ432" s="53" t="str">
        <f t="shared" si="243"/>
        <v/>
      </c>
      <c r="BK432" s="53" t="str">
        <f t="shared" si="244"/>
        <v/>
      </c>
    </row>
    <row r="433" spans="2:63">
      <c r="B433" s="89" t="str">
        <f>IFERROR(VLOOKUP($A433,EntryList!$A$3:$N$645,2,FALSE),"")</f>
        <v/>
      </c>
      <c r="D433" s="53">
        <f t="shared" si="218"/>
        <v>0</v>
      </c>
      <c r="N433" s="62">
        <f t="shared" si="219"/>
        <v>0</v>
      </c>
      <c r="O433" s="53" t="str">
        <f t="shared" si="245"/>
        <v/>
      </c>
      <c r="P433" s="53" t="str">
        <f t="shared" si="246"/>
        <v/>
      </c>
      <c r="Q433" s="53" t="str">
        <f t="shared" si="247"/>
        <v/>
      </c>
      <c r="R433" s="53" t="str">
        <f t="shared" si="248"/>
        <v/>
      </c>
      <c r="S433" s="53" t="str">
        <f t="shared" si="249"/>
        <v/>
      </c>
      <c r="T433" s="53" t="str">
        <f t="shared" si="250"/>
        <v/>
      </c>
      <c r="U433" s="53" t="str">
        <f t="shared" si="251"/>
        <v/>
      </c>
      <c r="V433" s="53" t="str">
        <f t="shared" si="252"/>
        <v/>
      </c>
      <c r="W433" s="53" t="str">
        <f t="shared" si="220"/>
        <v>DNS/DNF ()</v>
      </c>
      <c r="X433" s="53" t="str">
        <f t="shared" si="221"/>
        <v>DNS/DNF ()</v>
      </c>
      <c r="Y433" s="53" t="str">
        <f t="shared" si="222"/>
        <v>DNS/DNF ()</v>
      </c>
      <c r="Z433" s="53" t="str">
        <f t="shared" si="223"/>
        <v>DNS/DNF ()</v>
      </c>
      <c r="AA433" s="53" t="str">
        <f t="shared" si="224"/>
        <v>DNS/DNF ()</v>
      </c>
      <c r="AB433" s="53" t="str">
        <f t="shared" si="225"/>
        <v>DNS/DNF ()</v>
      </c>
      <c r="AC433" s="53" t="str">
        <f t="shared" si="226"/>
        <v>DNS/DNF ()</v>
      </c>
      <c r="AD433" s="53" t="str">
        <f t="shared" si="227"/>
        <v>DNS/DNF ()</v>
      </c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62" t="str">
        <f t="shared" si="228"/>
        <v>DNS/DNF</v>
      </c>
      <c r="AV433" s="62" t="str">
        <f t="shared" si="229"/>
        <v>DNS/DNF</v>
      </c>
      <c r="AW433" s="62" t="str">
        <f t="shared" si="230"/>
        <v>DNS/DNF</v>
      </c>
      <c r="AX433" s="62" t="str">
        <f t="shared" si="231"/>
        <v>DNS/DNF</v>
      </c>
      <c r="AY433" s="62" t="str">
        <f t="shared" si="232"/>
        <v>DNS/DNF</v>
      </c>
      <c r="AZ433" s="62" t="str">
        <f t="shared" si="233"/>
        <v>DNS/DNF</v>
      </c>
      <c r="BA433" s="62" t="str">
        <f t="shared" si="234"/>
        <v>DNS/DNF</v>
      </c>
      <c r="BB433" s="62" t="str">
        <f t="shared" si="235"/>
        <v>DNS/DNF</v>
      </c>
      <c r="BC433" s="75" t="str">
        <f t="shared" si="236"/>
        <v/>
      </c>
      <c r="BD433" s="53" t="str">
        <f t="shared" si="237"/>
        <v/>
      </c>
      <c r="BE433" s="53" t="str">
        <f t="shared" si="238"/>
        <v/>
      </c>
      <c r="BF433" s="53" t="str">
        <f t="shared" si="239"/>
        <v/>
      </c>
      <c r="BG433" s="53" t="str">
        <f t="shared" si="240"/>
        <v/>
      </c>
      <c r="BH433" s="53" t="str">
        <f t="shared" si="241"/>
        <v/>
      </c>
      <c r="BI433" s="53" t="str">
        <f t="shared" si="242"/>
        <v/>
      </c>
      <c r="BJ433" s="53" t="str">
        <f t="shared" si="243"/>
        <v/>
      </c>
      <c r="BK433" s="53" t="str">
        <f t="shared" si="244"/>
        <v/>
      </c>
    </row>
    <row r="434" spans="2:63">
      <c r="B434" s="89" t="str">
        <f>IFERROR(VLOOKUP($A434,EntryList!$A$3:$N$645,2,FALSE),"")</f>
        <v/>
      </c>
      <c r="D434" s="53">
        <f t="shared" si="218"/>
        <v>0</v>
      </c>
      <c r="N434" s="62">
        <f t="shared" si="219"/>
        <v>0</v>
      </c>
      <c r="O434" s="53" t="str">
        <f t="shared" si="245"/>
        <v/>
      </c>
      <c r="P434" s="53" t="str">
        <f t="shared" si="246"/>
        <v/>
      </c>
      <c r="Q434" s="53" t="str">
        <f t="shared" si="247"/>
        <v/>
      </c>
      <c r="R434" s="53" t="str">
        <f t="shared" si="248"/>
        <v/>
      </c>
      <c r="S434" s="53" t="str">
        <f t="shared" si="249"/>
        <v/>
      </c>
      <c r="T434" s="53" t="str">
        <f t="shared" si="250"/>
        <v/>
      </c>
      <c r="U434" s="53" t="str">
        <f t="shared" si="251"/>
        <v/>
      </c>
      <c r="V434" s="53" t="str">
        <f t="shared" si="252"/>
        <v/>
      </c>
      <c r="W434" s="53" t="str">
        <f t="shared" si="220"/>
        <v>DNS/DNF ()</v>
      </c>
      <c r="X434" s="53" t="str">
        <f t="shared" si="221"/>
        <v>DNS/DNF ()</v>
      </c>
      <c r="Y434" s="53" t="str">
        <f t="shared" si="222"/>
        <v>DNS/DNF ()</v>
      </c>
      <c r="Z434" s="53" t="str">
        <f t="shared" si="223"/>
        <v>DNS/DNF ()</v>
      </c>
      <c r="AA434" s="53" t="str">
        <f t="shared" si="224"/>
        <v>DNS/DNF ()</v>
      </c>
      <c r="AB434" s="53" t="str">
        <f t="shared" si="225"/>
        <v>DNS/DNF ()</v>
      </c>
      <c r="AC434" s="53" t="str">
        <f t="shared" si="226"/>
        <v>DNS/DNF ()</v>
      </c>
      <c r="AD434" s="53" t="str">
        <f t="shared" si="227"/>
        <v>DNS/DNF ()</v>
      </c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62" t="str">
        <f t="shared" si="228"/>
        <v>DNS/DNF</v>
      </c>
      <c r="AV434" s="62" t="str">
        <f t="shared" si="229"/>
        <v>DNS/DNF</v>
      </c>
      <c r="AW434" s="62" t="str">
        <f t="shared" si="230"/>
        <v>DNS/DNF</v>
      </c>
      <c r="AX434" s="62" t="str">
        <f t="shared" si="231"/>
        <v>DNS/DNF</v>
      </c>
      <c r="AY434" s="62" t="str">
        <f t="shared" si="232"/>
        <v>DNS/DNF</v>
      </c>
      <c r="AZ434" s="62" t="str">
        <f t="shared" si="233"/>
        <v>DNS/DNF</v>
      </c>
      <c r="BA434" s="62" t="str">
        <f t="shared" si="234"/>
        <v>DNS/DNF</v>
      </c>
      <c r="BB434" s="62" t="str">
        <f t="shared" si="235"/>
        <v>DNS/DNF</v>
      </c>
      <c r="BC434" s="75" t="str">
        <f t="shared" si="236"/>
        <v/>
      </c>
      <c r="BD434" s="53" t="str">
        <f t="shared" si="237"/>
        <v/>
      </c>
      <c r="BE434" s="53" t="str">
        <f t="shared" si="238"/>
        <v/>
      </c>
      <c r="BF434" s="53" t="str">
        <f t="shared" si="239"/>
        <v/>
      </c>
      <c r="BG434" s="53" t="str">
        <f t="shared" si="240"/>
        <v/>
      </c>
      <c r="BH434" s="53" t="str">
        <f t="shared" si="241"/>
        <v/>
      </c>
      <c r="BI434" s="53" t="str">
        <f t="shared" si="242"/>
        <v/>
      </c>
      <c r="BJ434" s="53" t="str">
        <f t="shared" si="243"/>
        <v/>
      </c>
      <c r="BK434" s="53" t="str">
        <f t="shared" si="244"/>
        <v/>
      </c>
    </row>
    <row r="435" spans="2:63">
      <c r="B435" s="89" t="str">
        <f>IFERROR(VLOOKUP($A435,EntryList!$A$3:$N$645,2,FALSE),"")</f>
        <v/>
      </c>
      <c r="D435" s="53">
        <f t="shared" si="218"/>
        <v>0</v>
      </c>
      <c r="N435" s="62">
        <f t="shared" si="219"/>
        <v>0</v>
      </c>
      <c r="O435" s="53" t="str">
        <f t="shared" si="245"/>
        <v/>
      </c>
      <c r="P435" s="53" t="str">
        <f t="shared" si="246"/>
        <v/>
      </c>
      <c r="Q435" s="53" t="str">
        <f t="shared" si="247"/>
        <v/>
      </c>
      <c r="R435" s="53" t="str">
        <f t="shared" si="248"/>
        <v/>
      </c>
      <c r="S435" s="53" t="str">
        <f t="shared" si="249"/>
        <v/>
      </c>
      <c r="T435" s="53" t="str">
        <f t="shared" si="250"/>
        <v/>
      </c>
      <c r="U435" s="53" t="str">
        <f t="shared" si="251"/>
        <v/>
      </c>
      <c r="V435" s="53" t="str">
        <f t="shared" si="252"/>
        <v/>
      </c>
      <c r="W435" s="53" t="str">
        <f t="shared" si="220"/>
        <v>DNS/DNF ()</v>
      </c>
      <c r="X435" s="53" t="str">
        <f t="shared" si="221"/>
        <v>DNS/DNF ()</v>
      </c>
      <c r="Y435" s="53" t="str">
        <f t="shared" si="222"/>
        <v>DNS/DNF ()</v>
      </c>
      <c r="Z435" s="53" t="str">
        <f t="shared" si="223"/>
        <v>DNS/DNF ()</v>
      </c>
      <c r="AA435" s="53" t="str">
        <f t="shared" si="224"/>
        <v>DNS/DNF ()</v>
      </c>
      <c r="AB435" s="53" t="str">
        <f t="shared" si="225"/>
        <v>DNS/DNF ()</v>
      </c>
      <c r="AC435" s="53" t="str">
        <f t="shared" si="226"/>
        <v>DNS/DNF ()</v>
      </c>
      <c r="AD435" s="53" t="str">
        <f t="shared" si="227"/>
        <v>DNS/DNF ()</v>
      </c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62" t="str">
        <f t="shared" si="228"/>
        <v>DNS/DNF</v>
      </c>
      <c r="AV435" s="62" t="str">
        <f t="shared" si="229"/>
        <v>DNS/DNF</v>
      </c>
      <c r="AW435" s="62" t="str">
        <f t="shared" si="230"/>
        <v>DNS/DNF</v>
      </c>
      <c r="AX435" s="62" t="str">
        <f t="shared" si="231"/>
        <v>DNS/DNF</v>
      </c>
      <c r="AY435" s="62" t="str">
        <f t="shared" si="232"/>
        <v>DNS/DNF</v>
      </c>
      <c r="AZ435" s="62" t="str">
        <f t="shared" si="233"/>
        <v>DNS/DNF</v>
      </c>
      <c r="BA435" s="62" t="str">
        <f t="shared" si="234"/>
        <v>DNS/DNF</v>
      </c>
      <c r="BB435" s="62" t="str">
        <f t="shared" si="235"/>
        <v>DNS/DNF</v>
      </c>
      <c r="BC435" s="75" t="str">
        <f t="shared" si="236"/>
        <v/>
      </c>
      <c r="BD435" s="53" t="str">
        <f t="shared" si="237"/>
        <v/>
      </c>
      <c r="BE435" s="53" t="str">
        <f t="shared" si="238"/>
        <v/>
      </c>
      <c r="BF435" s="53" t="str">
        <f t="shared" si="239"/>
        <v/>
      </c>
      <c r="BG435" s="53" t="str">
        <f t="shared" si="240"/>
        <v/>
      </c>
      <c r="BH435" s="53" t="str">
        <f t="shared" si="241"/>
        <v/>
      </c>
      <c r="BI435" s="53" t="str">
        <f t="shared" si="242"/>
        <v/>
      </c>
      <c r="BJ435" s="53" t="str">
        <f t="shared" si="243"/>
        <v/>
      </c>
      <c r="BK435" s="53" t="str">
        <f t="shared" si="244"/>
        <v/>
      </c>
    </row>
    <row r="436" spans="2:63">
      <c r="B436" s="89" t="str">
        <f>IFERROR(VLOOKUP($A436,EntryList!$A$3:$N$645,2,FALSE),"")</f>
        <v/>
      </c>
      <c r="D436" s="53">
        <f t="shared" si="218"/>
        <v>0</v>
      </c>
      <c r="N436" s="62">
        <f t="shared" si="219"/>
        <v>0</v>
      </c>
      <c r="O436" s="53" t="str">
        <f t="shared" si="245"/>
        <v/>
      </c>
      <c r="P436" s="53" t="str">
        <f t="shared" si="246"/>
        <v/>
      </c>
      <c r="Q436" s="53" t="str">
        <f t="shared" si="247"/>
        <v/>
      </c>
      <c r="R436" s="53" t="str">
        <f t="shared" si="248"/>
        <v/>
      </c>
      <c r="S436" s="53" t="str">
        <f t="shared" si="249"/>
        <v/>
      </c>
      <c r="T436" s="53" t="str">
        <f t="shared" si="250"/>
        <v/>
      </c>
      <c r="U436" s="53" t="str">
        <f t="shared" si="251"/>
        <v/>
      </c>
      <c r="V436" s="53" t="str">
        <f t="shared" si="252"/>
        <v/>
      </c>
      <c r="W436" s="53" t="str">
        <f t="shared" si="220"/>
        <v>DNS/DNF ()</v>
      </c>
      <c r="X436" s="53" t="str">
        <f t="shared" si="221"/>
        <v>DNS/DNF ()</v>
      </c>
      <c r="Y436" s="53" t="str">
        <f t="shared" si="222"/>
        <v>DNS/DNF ()</v>
      </c>
      <c r="Z436" s="53" t="str">
        <f t="shared" si="223"/>
        <v>DNS/DNF ()</v>
      </c>
      <c r="AA436" s="53" t="str">
        <f t="shared" si="224"/>
        <v>DNS/DNF ()</v>
      </c>
      <c r="AB436" s="53" t="str">
        <f t="shared" si="225"/>
        <v>DNS/DNF ()</v>
      </c>
      <c r="AC436" s="53" t="str">
        <f t="shared" si="226"/>
        <v>DNS/DNF ()</v>
      </c>
      <c r="AD436" s="53" t="str">
        <f t="shared" si="227"/>
        <v>DNS/DNF ()</v>
      </c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62" t="str">
        <f t="shared" si="228"/>
        <v>DNS/DNF</v>
      </c>
      <c r="AV436" s="62" t="str">
        <f t="shared" si="229"/>
        <v>DNS/DNF</v>
      </c>
      <c r="AW436" s="62" t="str">
        <f t="shared" si="230"/>
        <v>DNS/DNF</v>
      </c>
      <c r="AX436" s="62" t="str">
        <f t="shared" si="231"/>
        <v>DNS/DNF</v>
      </c>
      <c r="AY436" s="62" t="str">
        <f t="shared" si="232"/>
        <v>DNS/DNF</v>
      </c>
      <c r="AZ436" s="62" t="str">
        <f t="shared" si="233"/>
        <v>DNS/DNF</v>
      </c>
      <c r="BA436" s="62" t="str">
        <f t="shared" si="234"/>
        <v>DNS/DNF</v>
      </c>
      <c r="BB436" s="62" t="str">
        <f t="shared" si="235"/>
        <v>DNS/DNF</v>
      </c>
      <c r="BC436" s="75" t="str">
        <f t="shared" si="236"/>
        <v/>
      </c>
      <c r="BD436" s="53" t="str">
        <f t="shared" si="237"/>
        <v/>
      </c>
      <c r="BE436" s="53" t="str">
        <f t="shared" si="238"/>
        <v/>
      </c>
      <c r="BF436" s="53" t="str">
        <f t="shared" si="239"/>
        <v/>
      </c>
      <c r="BG436" s="53" t="str">
        <f t="shared" si="240"/>
        <v/>
      </c>
      <c r="BH436" s="53" t="str">
        <f t="shared" si="241"/>
        <v/>
      </c>
      <c r="BI436" s="53" t="str">
        <f t="shared" si="242"/>
        <v/>
      </c>
      <c r="BJ436" s="53" t="str">
        <f t="shared" si="243"/>
        <v/>
      </c>
      <c r="BK436" s="53" t="str">
        <f t="shared" si="244"/>
        <v/>
      </c>
    </row>
    <row r="437" spans="2:63">
      <c r="B437" s="89" t="str">
        <f>IFERROR(VLOOKUP($A437,EntryList!$A$3:$N$645,2,FALSE),"")</f>
        <v/>
      </c>
      <c r="D437" s="53">
        <f t="shared" si="218"/>
        <v>0</v>
      </c>
      <c r="N437" s="62">
        <f t="shared" si="219"/>
        <v>0</v>
      </c>
      <c r="O437" s="53" t="str">
        <f t="shared" si="245"/>
        <v/>
      </c>
      <c r="P437" s="53" t="str">
        <f t="shared" si="246"/>
        <v/>
      </c>
      <c r="Q437" s="53" t="str">
        <f t="shared" si="247"/>
        <v/>
      </c>
      <c r="R437" s="53" t="str">
        <f t="shared" si="248"/>
        <v/>
      </c>
      <c r="S437" s="53" t="str">
        <f t="shared" si="249"/>
        <v/>
      </c>
      <c r="T437" s="53" t="str">
        <f t="shared" si="250"/>
        <v/>
      </c>
      <c r="U437" s="53" t="str">
        <f t="shared" si="251"/>
        <v/>
      </c>
      <c r="V437" s="53" t="str">
        <f t="shared" si="252"/>
        <v/>
      </c>
      <c r="W437" s="53" t="str">
        <f t="shared" si="220"/>
        <v>DNS/DNF ()</v>
      </c>
      <c r="X437" s="53" t="str">
        <f t="shared" si="221"/>
        <v>DNS/DNF ()</v>
      </c>
      <c r="Y437" s="53" t="str">
        <f t="shared" si="222"/>
        <v>DNS/DNF ()</v>
      </c>
      <c r="Z437" s="53" t="str">
        <f t="shared" si="223"/>
        <v>DNS/DNF ()</v>
      </c>
      <c r="AA437" s="53" t="str">
        <f t="shared" si="224"/>
        <v>DNS/DNF ()</v>
      </c>
      <c r="AB437" s="53" t="str">
        <f t="shared" si="225"/>
        <v>DNS/DNF ()</v>
      </c>
      <c r="AC437" s="53" t="str">
        <f t="shared" si="226"/>
        <v>DNS/DNF ()</v>
      </c>
      <c r="AD437" s="53" t="str">
        <f t="shared" si="227"/>
        <v>DNS/DNF ()</v>
      </c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62" t="str">
        <f t="shared" si="228"/>
        <v>DNS/DNF</v>
      </c>
      <c r="AV437" s="62" t="str">
        <f t="shared" si="229"/>
        <v>DNS/DNF</v>
      </c>
      <c r="AW437" s="62" t="str">
        <f t="shared" si="230"/>
        <v>DNS/DNF</v>
      </c>
      <c r="AX437" s="62" t="str">
        <f t="shared" si="231"/>
        <v>DNS/DNF</v>
      </c>
      <c r="AY437" s="62" t="str">
        <f t="shared" si="232"/>
        <v>DNS/DNF</v>
      </c>
      <c r="AZ437" s="62" t="str">
        <f t="shared" si="233"/>
        <v>DNS/DNF</v>
      </c>
      <c r="BA437" s="62" t="str">
        <f t="shared" si="234"/>
        <v>DNS/DNF</v>
      </c>
      <c r="BB437" s="62" t="str">
        <f t="shared" si="235"/>
        <v>DNS/DNF</v>
      </c>
      <c r="BC437" s="75" t="str">
        <f t="shared" si="236"/>
        <v/>
      </c>
      <c r="BD437" s="53" t="str">
        <f t="shared" si="237"/>
        <v/>
      </c>
      <c r="BE437" s="53" t="str">
        <f t="shared" si="238"/>
        <v/>
      </c>
      <c r="BF437" s="53" t="str">
        <f t="shared" si="239"/>
        <v/>
      </c>
      <c r="BG437" s="53" t="str">
        <f t="shared" si="240"/>
        <v/>
      </c>
      <c r="BH437" s="53" t="str">
        <f t="shared" si="241"/>
        <v/>
      </c>
      <c r="BI437" s="53" t="str">
        <f t="shared" si="242"/>
        <v/>
      </c>
      <c r="BJ437" s="53" t="str">
        <f t="shared" si="243"/>
        <v/>
      </c>
      <c r="BK437" s="53" t="str">
        <f t="shared" si="244"/>
        <v/>
      </c>
    </row>
    <row r="438" spans="2:63">
      <c r="B438" s="89" t="str">
        <f>IFERROR(VLOOKUP($A438,EntryList!$A$3:$N$645,2,FALSE),"")</f>
        <v/>
      </c>
      <c r="D438" s="53">
        <f t="shared" si="218"/>
        <v>0</v>
      </c>
      <c r="N438" s="62">
        <f t="shared" si="219"/>
        <v>0</v>
      </c>
      <c r="O438" s="53" t="str">
        <f t="shared" si="245"/>
        <v/>
      </c>
      <c r="P438" s="53" t="str">
        <f t="shared" si="246"/>
        <v/>
      </c>
      <c r="Q438" s="53" t="str">
        <f t="shared" si="247"/>
        <v/>
      </c>
      <c r="R438" s="53" t="str">
        <f t="shared" si="248"/>
        <v/>
      </c>
      <c r="S438" s="53" t="str">
        <f t="shared" si="249"/>
        <v/>
      </c>
      <c r="T438" s="53" t="str">
        <f t="shared" si="250"/>
        <v/>
      </c>
      <c r="U438" s="53" t="str">
        <f t="shared" si="251"/>
        <v/>
      </c>
      <c r="V438" s="53" t="str">
        <f t="shared" si="252"/>
        <v/>
      </c>
      <c r="W438" s="53" t="str">
        <f t="shared" si="220"/>
        <v>DNS/DNF ()</v>
      </c>
      <c r="X438" s="53" t="str">
        <f t="shared" si="221"/>
        <v>DNS/DNF ()</v>
      </c>
      <c r="Y438" s="53" t="str">
        <f t="shared" si="222"/>
        <v>DNS/DNF ()</v>
      </c>
      <c r="Z438" s="53" t="str">
        <f t="shared" si="223"/>
        <v>DNS/DNF ()</v>
      </c>
      <c r="AA438" s="53" t="str">
        <f t="shared" si="224"/>
        <v>DNS/DNF ()</v>
      </c>
      <c r="AB438" s="53" t="str">
        <f t="shared" si="225"/>
        <v>DNS/DNF ()</v>
      </c>
      <c r="AC438" s="53" t="str">
        <f t="shared" si="226"/>
        <v>DNS/DNF ()</v>
      </c>
      <c r="AD438" s="53" t="str">
        <f t="shared" si="227"/>
        <v>DNS/DNF ()</v>
      </c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62" t="str">
        <f t="shared" si="228"/>
        <v>DNS/DNF</v>
      </c>
      <c r="AV438" s="62" t="str">
        <f t="shared" si="229"/>
        <v>DNS/DNF</v>
      </c>
      <c r="AW438" s="62" t="str">
        <f t="shared" si="230"/>
        <v>DNS/DNF</v>
      </c>
      <c r="AX438" s="62" t="str">
        <f t="shared" si="231"/>
        <v>DNS/DNF</v>
      </c>
      <c r="AY438" s="62" t="str">
        <f t="shared" si="232"/>
        <v>DNS/DNF</v>
      </c>
      <c r="AZ438" s="62" t="str">
        <f t="shared" si="233"/>
        <v>DNS/DNF</v>
      </c>
      <c r="BA438" s="62" t="str">
        <f t="shared" si="234"/>
        <v>DNS/DNF</v>
      </c>
      <c r="BB438" s="62" t="str">
        <f t="shared" si="235"/>
        <v>DNS/DNF</v>
      </c>
      <c r="BC438" s="75" t="str">
        <f t="shared" si="236"/>
        <v/>
      </c>
      <c r="BD438" s="53" t="str">
        <f t="shared" si="237"/>
        <v/>
      </c>
      <c r="BE438" s="53" t="str">
        <f t="shared" si="238"/>
        <v/>
      </c>
      <c r="BF438" s="53" t="str">
        <f t="shared" si="239"/>
        <v/>
      </c>
      <c r="BG438" s="53" t="str">
        <f t="shared" si="240"/>
        <v/>
      </c>
      <c r="BH438" s="53" t="str">
        <f t="shared" si="241"/>
        <v/>
      </c>
      <c r="BI438" s="53" t="str">
        <f t="shared" si="242"/>
        <v/>
      </c>
      <c r="BJ438" s="53" t="str">
        <f t="shared" si="243"/>
        <v/>
      </c>
      <c r="BK438" s="53" t="str">
        <f t="shared" si="244"/>
        <v/>
      </c>
    </row>
    <row r="439" spans="2:63">
      <c r="B439" s="89" t="str">
        <f>IFERROR(VLOOKUP($A439,EntryList!$A$3:$N$645,2,FALSE),"")</f>
        <v/>
      </c>
      <c r="D439" s="53">
        <f t="shared" si="218"/>
        <v>0</v>
      </c>
      <c r="N439" s="62">
        <f t="shared" si="219"/>
        <v>0</v>
      </c>
      <c r="O439" s="53" t="str">
        <f t="shared" si="245"/>
        <v/>
      </c>
      <c r="P439" s="53" t="str">
        <f t="shared" si="246"/>
        <v/>
      </c>
      <c r="Q439" s="53" t="str">
        <f t="shared" si="247"/>
        <v/>
      </c>
      <c r="R439" s="53" t="str">
        <f t="shared" si="248"/>
        <v/>
      </c>
      <c r="S439" s="53" t="str">
        <f t="shared" si="249"/>
        <v/>
      </c>
      <c r="T439" s="53" t="str">
        <f t="shared" si="250"/>
        <v/>
      </c>
      <c r="U439" s="53" t="str">
        <f t="shared" si="251"/>
        <v/>
      </c>
      <c r="V439" s="53" t="str">
        <f t="shared" si="252"/>
        <v/>
      </c>
      <c r="W439" s="53" t="str">
        <f t="shared" si="220"/>
        <v>DNS/DNF ()</v>
      </c>
      <c r="X439" s="53" t="str">
        <f t="shared" si="221"/>
        <v>DNS/DNF ()</v>
      </c>
      <c r="Y439" s="53" t="str">
        <f t="shared" si="222"/>
        <v>DNS/DNF ()</v>
      </c>
      <c r="Z439" s="53" t="str">
        <f t="shared" si="223"/>
        <v>DNS/DNF ()</v>
      </c>
      <c r="AA439" s="53" t="str">
        <f t="shared" si="224"/>
        <v>DNS/DNF ()</v>
      </c>
      <c r="AB439" s="53" t="str">
        <f t="shared" si="225"/>
        <v>DNS/DNF ()</v>
      </c>
      <c r="AC439" s="53" t="str">
        <f t="shared" si="226"/>
        <v>DNS/DNF ()</v>
      </c>
      <c r="AD439" s="53" t="str">
        <f t="shared" si="227"/>
        <v>DNS/DNF ()</v>
      </c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62" t="str">
        <f t="shared" si="228"/>
        <v>DNS/DNF</v>
      </c>
      <c r="AV439" s="62" t="str">
        <f t="shared" si="229"/>
        <v>DNS/DNF</v>
      </c>
      <c r="AW439" s="62" t="str">
        <f t="shared" si="230"/>
        <v>DNS/DNF</v>
      </c>
      <c r="AX439" s="62" t="str">
        <f t="shared" si="231"/>
        <v>DNS/DNF</v>
      </c>
      <c r="AY439" s="62" t="str">
        <f t="shared" si="232"/>
        <v>DNS/DNF</v>
      </c>
      <c r="AZ439" s="62" t="str">
        <f t="shared" si="233"/>
        <v>DNS/DNF</v>
      </c>
      <c r="BA439" s="62" t="str">
        <f t="shared" si="234"/>
        <v>DNS/DNF</v>
      </c>
      <c r="BB439" s="62" t="str">
        <f t="shared" si="235"/>
        <v>DNS/DNF</v>
      </c>
      <c r="BC439" s="75" t="str">
        <f t="shared" si="236"/>
        <v/>
      </c>
      <c r="BD439" s="53" t="str">
        <f t="shared" si="237"/>
        <v/>
      </c>
      <c r="BE439" s="53" t="str">
        <f t="shared" si="238"/>
        <v/>
      </c>
      <c r="BF439" s="53" t="str">
        <f t="shared" si="239"/>
        <v/>
      </c>
      <c r="BG439" s="53" t="str">
        <f t="shared" si="240"/>
        <v/>
      </c>
      <c r="BH439" s="53" t="str">
        <f t="shared" si="241"/>
        <v/>
      </c>
      <c r="BI439" s="53" t="str">
        <f t="shared" si="242"/>
        <v/>
      </c>
      <c r="BJ439" s="53" t="str">
        <f t="shared" si="243"/>
        <v/>
      </c>
      <c r="BK439" s="53" t="str">
        <f t="shared" si="244"/>
        <v/>
      </c>
    </row>
    <row r="440" spans="2:63">
      <c r="B440" s="89" t="str">
        <f>IFERROR(VLOOKUP($A440,EntryList!$A$3:$N$645,2,FALSE),"")</f>
        <v/>
      </c>
      <c r="D440" s="53">
        <f t="shared" si="218"/>
        <v>0</v>
      </c>
      <c r="N440" s="62">
        <f t="shared" si="219"/>
        <v>0</v>
      </c>
      <c r="O440" s="53" t="str">
        <f t="shared" si="245"/>
        <v/>
      </c>
      <c r="P440" s="53" t="str">
        <f t="shared" si="246"/>
        <v/>
      </c>
      <c r="Q440" s="53" t="str">
        <f t="shared" si="247"/>
        <v/>
      </c>
      <c r="R440" s="53" t="str">
        <f t="shared" si="248"/>
        <v/>
      </c>
      <c r="S440" s="53" t="str">
        <f t="shared" si="249"/>
        <v/>
      </c>
      <c r="T440" s="53" t="str">
        <f t="shared" si="250"/>
        <v/>
      </c>
      <c r="U440" s="53" t="str">
        <f t="shared" si="251"/>
        <v/>
      </c>
      <c r="V440" s="53" t="str">
        <f t="shared" si="252"/>
        <v/>
      </c>
      <c r="W440" s="53" t="str">
        <f t="shared" si="220"/>
        <v>DNS/DNF ()</v>
      </c>
      <c r="X440" s="53" t="str">
        <f t="shared" si="221"/>
        <v>DNS/DNF ()</v>
      </c>
      <c r="Y440" s="53" t="str">
        <f t="shared" si="222"/>
        <v>DNS/DNF ()</v>
      </c>
      <c r="Z440" s="53" t="str">
        <f t="shared" si="223"/>
        <v>DNS/DNF ()</v>
      </c>
      <c r="AA440" s="53" t="str">
        <f t="shared" si="224"/>
        <v>DNS/DNF ()</v>
      </c>
      <c r="AB440" s="53" t="str">
        <f t="shared" si="225"/>
        <v>DNS/DNF ()</v>
      </c>
      <c r="AC440" s="53" t="str">
        <f t="shared" si="226"/>
        <v>DNS/DNF ()</v>
      </c>
      <c r="AD440" s="53" t="str">
        <f t="shared" si="227"/>
        <v>DNS/DNF ()</v>
      </c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62" t="str">
        <f t="shared" si="228"/>
        <v>DNS/DNF</v>
      </c>
      <c r="AV440" s="62" t="str">
        <f t="shared" si="229"/>
        <v>DNS/DNF</v>
      </c>
      <c r="AW440" s="62" t="str">
        <f t="shared" si="230"/>
        <v>DNS/DNF</v>
      </c>
      <c r="AX440" s="62" t="str">
        <f t="shared" si="231"/>
        <v>DNS/DNF</v>
      </c>
      <c r="AY440" s="62" t="str">
        <f t="shared" si="232"/>
        <v>DNS/DNF</v>
      </c>
      <c r="AZ440" s="62" t="str">
        <f t="shared" si="233"/>
        <v>DNS/DNF</v>
      </c>
      <c r="BA440" s="62" t="str">
        <f t="shared" si="234"/>
        <v>DNS/DNF</v>
      </c>
      <c r="BB440" s="62" t="str">
        <f t="shared" si="235"/>
        <v>DNS/DNF</v>
      </c>
      <c r="BC440" s="75" t="str">
        <f t="shared" si="236"/>
        <v/>
      </c>
      <c r="BD440" s="53" t="str">
        <f t="shared" si="237"/>
        <v/>
      </c>
      <c r="BE440" s="53" t="str">
        <f t="shared" si="238"/>
        <v/>
      </c>
      <c r="BF440" s="53" t="str">
        <f t="shared" si="239"/>
        <v/>
      </c>
      <c r="BG440" s="53" t="str">
        <f t="shared" si="240"/>
        <v/>
      </c>
      <c r="BH440" s="53" t="str">
        <f t="shared" si="241"/>
        <v/>
      </c>
      <c r="BI440" s="53" t="str">
        <f t="shared" si="242"/>
        <v/>
      </c>
      <c r="BJ440" s="53" t="str">
        <f t="shared" si="243"/>
        <v/>
      </c>
      <c r="BK440" s="53" t="str">
        <f t="shared" si="244"/>
        <v/>
      </c>
    </row>
    <row r="441" spans="2:63">
      <c r="B441" s="89" t="str">
        <f>IFERROR(VLOOKUP($A441,EntryList!$A$3:$N$645,2,FALSE),"")</f>
        <v/>
      </c>
      <c r="D441" s="53">
        <f t="shared" si="218"/>
        <v>0</v>
      </c>
      <c r="N441" s="62">
        <f t="shared" si="219"/>
        <v>0</v>
      </c>
      <c r="O441" s="53" t="str">
        <f t="shared" si="245"/>
        <v/>
      </c>
      <c r="P441" s="53" t="str">
        <f t="shared" si="246"/>
        <v/>
      </c>
      <c r="Q441" s="53" t="str">
        <f t="shared" si="247"/>
        <v/>
      </c>
      <c r="R441" s="53" t="str">
        <f t="shared" si="248"/>
        <v/>
      </c>
      <c r="S441" s="53" t="str">
        <f t="shared" si="249"/>
        <v/>
      </c>
      <c r="T441" s="53" t="str">
        <f t="shared" si="250"/>
        <v/>
      </c>
      <c r="U441" s="53" t="str">
        <f t="shared" si="251"/>
        <v/>
      </c>
      <c r="V441" s="53" t="str">
        <f t="shared" si="252"/>
        <v/>
      </c>
      <c r="W441" s="53" t="str">
        <f t="shared" si="220"/>
        <v>DNS/DNF ()</v>
      </c>
      <c r="X441" s="53" t="str">
        <f t="shared" si="221"/>
        <v>DNS/DNF ()</v>
      </c>
      <c r="Y441" s="53" t="str">
        <f t="shared" si="222"/>
        <v>DNS/DNF ()</v>
      </c>
      <c r="Z441" s="53" t="str">
        <f t="shared" si="223"/>
        <v>DNS/DNF ()</v>
      </c>
      <c r="AA441" s="53" t="str">
        <f t="shared" si="224"/>
        <v>DNS/DNF ()</v>
      </c>
      <c r="AB441" s="53" t="str">
        <f t="shared" si="225"/>
        <v>DNS/DNF ()</v>
      </c>
      <c r="AC441" s="53" t="str">
        <f t="shared" si="226"/>
        <v>DNS/DNF ()</v>
      </c>
      <c r="AD441" s="53" t="str">
        <f t="shared" si="227"/>
        <v>DNS/DNF ()</v>
      </c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62" t="str">
        <f t="shared" si="228"/>
        <v>DNS/DNF</v>
      </c>
      <c r="AV441" s="62" t="str">
        <f t="shared" si="229"/>
        <v>DNS/DNF</v>
      </c>
      <c r="AW441" s="62" t="str">
        <f t="shared" si="230"/>
        <v>DNS/DNF</v>
      </c>
      <c r="AX441" s="62" t="str">
        <f t="shared" si="231"/>
        <v>DNS/DNF</v>
      </c>
      <c r="AY441" s="62" t="str">
        <f t="shared" si="232"/>
        <v>DNS/DNF</v>
      </c>
      <c r="AZ441" s="62" t="str">
        <f t="shared" si="233"/>
        <v>DNS/DNF</v>
      </c>
      <c r="BA441" s="62" t="str">
        <f t="shared" si="234"/>
        <v>DNS/DNF</v>
      </c>
      <c r="BB441" s="62" t="str">
        <f t="shared" si="235"/>
        <v>DNS/DNF</v>
      </c>
      <c r="BC441" s="75" t="str">
        <f t="shared" si="236"/>
        <v/>
      </c>
      <c r="BD441" s="53" t="str">
        <f t="shared" si="237"/>
        <v/>
      </c>
      <c r="BE441" s="53" t="str">
        <f t="shared" si="238"/>
        <v/>
      </c>
      <c r="BF441" s="53" t="str">
        <f t="shared" si="239"/>
        <v/>
      </c>
      <c r="BG441" s="53" t="str">
        <f t="shared" si="240"/>
        <v/>
      </c>
      <c r="BH441" s="53" t="str">
        <f t="shared" si="241"/>
        <v/>
      </c>
      <c r="BI441" s="53" t="str">
        <f t="shared" si="242"/>
        <v/>
      </c>
      <c r="BJ441" s="53" t="str">
        <f t="shared" si="243"/>
        <v/>
      </c>
      <c r="BK441" s="53" t="str">
        <f t="shared" si="244"/>
        <v/>
      </c>
    </row>
    <row r="442" spans="2:63">
      <c r="B442" s="89" t="str">
        <f>IFERROR(VLOOKUP($A442,EntryList!$A$3:$N$645,2,FALSE),"")</f>
        <v/>
      </c>
      <c r="D442" s="53">
        <f t="shared" si="218"/>
        <v>0</v>
      </c>
      <c r="N442" s="62">
        <f t="shared" si="219"/>
        <v>0</v>
      </c>
      <c r="O442" s="53" t="str">
        <f t="shared" si="245"/>
        <v/>
      </c>
      <c r="P442" s="53" t="str">
        <f t="shared" si="246"/>
        <v/>
      </c>
      <c r="Q442" s="53" t="str">
        <f t="shared" si="247"/>
        <v/>
      </c>
      <c r="R442" s="53" t="str">
        <f t="shared" si="248"/>
        <v/>
      </c>
      <c r="S442" s="53" t="str">
        <f t="shared" si="249"/>
        <v/>
      </c>
      <c r="T442" s="53" t="str">
        <f t="shared" si="250"/>
        <v/>
      </c>
      <c r="U442" s="53" t="str">
        <f t="shared" si="251"/>
        <v/>
      </c>
      <c r="V442" s="53" t="str">
        <f t="shared" si="252"/>
        <v/>
      </c>
      <c r="W442" s="53" t="str">
        <f t="shared" si="220"/>
        <v>DNS/DNF ()</v>
      </c>
      <c r="X442" s="53" t="str">
        <f t="shared" si="221"/>
        <v>DNS/DNF ()</v>
      </c>
      <c r="Y442" s="53" t="str">
        <f t="shared" si="222"/>
        <v>DNS/DNF ()</v>
      </c>
      <c r="Z442" s="53" t="str">
        <f t="shared" si="223"/>
        <v>DNS/DNF ()</v>
      </c>
      <c r="AA442" s="53" t="str">
        <f t="shared" si="224"/>
        <v>DNS/DNF ()</v>
      </c>
      <c r="AB442" s="53" t="str">
        <f t="shared" si="225"/>
        <v>DNS/DNF ()</v>
      </c>
      <c r="AC442" s="53" t="str">
        <f t="shared" si="226"/>
        <v>DNS/DNF ()</v>
      </c>
      <c r="AD442" s="53" t="str">
        <f t="shared" si="227"/>
        <v>DNS/DNF ()</v>
      </c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62" t="str">
        <f t="shared" si="228"/>
        <v>DNS/DNF</v>
      </c>
      <c r="AV442" s="62" t="str">
        <f t="shared" si="229"/>
        <v>DNS/DNF</v>
      </c>
      <c r="AW442" s="62" t="str">
        <f t="shared" si="230"/>
        <v>DNS/DNF</v>
      </c>
      <c r="AX442" s="62" t="str">
        <f t="shared" si="231"/>
        <v>DNS/DNF</v>
      </c>
      <c r="AY442" s="62" t="str">
        <f t="shared" si="232"/>
        <v>DNS/DNF</v>
      </c>
      <c r="AZ442" s="62" t="str">
        <f t="shared" si="233"/>
        <v>DNS/DNF</v>
      </c>
      <c r="BA442" s="62" t="str">
        <f t="shared" si="234"/>
        <v>DNS/DNF</v>
      </c>
      <c r="BB442" s="62" t="str">
        <f t="shared" si="235"/>
        <v>DNS/DNF</v>
      </c>
      <c r="BC442" s="75" t="str">
        <f t="shared" si="236"/>
        <v/>
      </c>
      <c r="BD442" s="53" t="str">
        <f t="shared" si="237"/>
        <v/>
      </c>
      <c r="BE442" s="53" t="str">
        <f t="shared" si="238"/>
        <v/>
      </c>
      <c r="BF442" s="53" t="str">
        <f t="shared" si="239"/>
        <v/>
      </c>
      <c r="BG442" s="53" t="str">
        <f t="shared" si="240"/>
        <v/>
      </c>
      <c r="BH442" s="53" t="str">
        <f t="shared" si="241"/>
        <v/>
      </c>
      <c r="BI442" s="53" t="str">
        <f t="shared" si="242"/>
        <v/>
      </c>
      <c r="BJ442" s="53" t="str">
        <f t="shared" si="243"/>
        <v/>
      </c>
      <c r="BK442" s="53" t="str">
        <f t="shared" si="244"/>
        <v/>
      </c>
    </row>
    <row r="443" spans="2:63">
      <c r="B443" s="89" t="str">
        <f>IFERROR(VLOOKUP($A443,EntryList!$A$3:$N$645,2,FALSE),"")</f>
        <v/>
      </c>
      <c r="D443" s="53">
        <f t="shared" si="218"/>
        <v>0</v>
      </c>
      <c r="N443" s="62">
        <f t="shared" si="219"/>
        <v>0</v>
      </c>
      <c r="O443" s="53" t="str">
        <f t="shared" si="245"/>
        <v/>
      </c>
      <c r="P443" s="53" t="str">
        <f t="shared" si="246"/>
        <v/>
      </c>
      <c r="Q443" s="53" t="str">
        <f t="shared" si="247"/>
        <v/>
      </c>
      <c r="R443" s="53" t="str">
        <f t="shared" si="248"/>
        <v/>
      </c>
      <c r="S443" s="53" t="str">
        <f t="shared" si="249"/>
        <v/>
      </c>
      <c r="T443" s="53" t="str">
        <f t="shared" si="250"/>
        <v/>
      </c>
      <c r="U443" s="53" t="str">
        <f t="shared" si="251"/>
        <v/>
      </c>
      <c r="V443" s="53" t="str">
        <f t="shared" si="252"/>
        <v/>
      </c>
      <c r="W443" s="53" t="str">
        <f t="shared" si="220"/>
        <v>DNS/DNF ()</v>
      </c>
      <c r="X443" s="53" t="str">
        <f t="shared" si="221"/>
        <v>DNS/DNF ()</v>
      </c>
      <c r="Y443" s="53" t="str">
        <f t="shared" si="222"/>
        <v>DNS/DNF ()</v>
      </c>
      <c r="Z443" s="53" t="str">
        <f t="shared" si="223"/>
        <v>DNS/DNF ()</v>
      </c>
      <c r="AA443" s="53" t="str">
        <f t="shared" si="224"/>
        <v>DNS/DNF ()</v>
      </c>
      <c r="AB443" s="53" t="str">
        <f t="shared" si="225"/>
        <v>DNS/DNF ()</v>
      </c>
      <c r="AC443" s="53" t="str">
        <f t="shared" si="226"/>
        <v>DNS/DNF ()</v>
      </c>
      <c r="AD443" s="53" t="str">
        <f t="shared" si="227"/>
        <v>DNS/DNF ()</v>
      </c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62" t="str">
        <f t="shared" si="228"/>
        <v>DNS/DNF</v>
      </c>
      <c r="AV443" s="62" t="str">
        <f t="shared" si="229"/>
        <v>DNS/DNF</v>
      </c>
      <c r="AW443" s="62" t="str">
        <f t="shared" si="230"/>
        <v>DNS/DNF</v>
      </c>
      <c r="AX443" s="62" t="str">
        <f t="shared" si="231"/>
        <v>DNS/DNF</v>
      </c>
      <c r="AY443" s="62" t="str">
        <f t="shared" si="232"/>
        <v>DNS/DNF</v>
      </c>
      <c r="AZ443" s="62" t="str">
        <f t="shared" si="233"/>
        <v>DNS/DNF</v>
      </c>
      <c r="BA443" s="62" t="str">
        <f t="shared" si="234"/>
        <v>DNS/DNF</v>
      </c>
      <c r="BB443" s="62" t="str">
        <f t="shared" si="235"/>
        <v>DNS/DNF</v>
      </c>
      <c r="BC443" s="75" t="str">
        <f t="shared" si="236"/>
        <v/>
      </c>
      <c r="BD443" s="53" t="str">
        <f t="shared" si="237"/>
        <v/>
      </c>
      <c r="BE443" s="53" t="str">
        <f t="shared" si="238"/>
        <v/>
      </c>
      <c r="BF443" s="53" t="str">
        <f t="shared" si="239"/>
        <v/>
      </c>
      <c r="BG443" s="53" t="str">
        <f t="shared" si="240"/>
        <v/>
      </c>
      <c r="BH443" s="53" t="str">
        <f t="shared" si="241"/>
        <v/>
      </c>
      <c r="BI443" s="53" t="str">
        <f t="shared" si="242"/>
        <v/>
      </c>
      <c r="BJ443" s="53" t="str">
        <f t="shared" si="243"/>
        <v/>
      </c>
      <c r="BK443" s="53" t="str">
        <f t="shared" si="244"/>
        <v/>
      </c>
    </row>
    <row r="444" spans="2:63">
      <c r="B444" s="89" t="str">
        <f>IFERROR(VLOOKUP($A444,EntryList!$A$3:$N$645,2,FALSE),"")</f>
        <v/>
      </c>
      <c r="D444" s="53">
        <f t="shared" si="218"/>
        <v>0</v>
      </c>
      <c r="N444" s="62">
        <f t="shared" si="219"/>
        <v>0</v>
      </c>
      <c r="O444" s="53" t="str">
        <f t="shared" si="245"/>
        <v/>
      </c>
      <c r="P444" s="53" t="str">
        <f t="shared" si="246"/>
        <v/>
      </c>
      <c r="Q444" s="53" t="str">
        <f t="shared" si="247"/>
        <v/>
      </c>
      <c r="R444" s="53" t="str">
        <f t="shared" si="248"/>
        <v/>
      </c>
      <c r="S444" s="53" t="str">
        <f t="shared" si="249"/>
        <v/>
      </c>
      <c r="T444" s="53" t="str">
        <f t="shared" si="250"/>
        <v/>
      </c>
      <c r="U444" s="53" t="str">
        <f t="shared" si="251"/>
        <v/>
      </c>
      <c r="V444" s="53" t="str">
        <f t="shared" si="252"/>
        <v/>
      </c>
      <c r="W444" s="53" t="str">
        <f t="shared" si="220"/>
        <v>DNS/DNF ()</v>
      </c>
      <c r="X444" s="53" t="str">
        <f t="shared" si="221"/>
        <v>DNS/DNF ()</v>
      </c>
      <c r="Y444" s="53" t="str">
        <f t="shared" si="222"/>
        <v>DNS/DNF ()</v>
      </c>
      <c r="Z444" s="53" t="str">
        <f t="shared" si="223"/>
        <v>DNS/DNF ()</v>
      </c>
      <c r="AA444" s="53" t="str">
        <f t="shared" si="224"/>
        <v>DNS/DNF ()</v>
      </c>
      <c r="AB444" s="53" t="str">
        <f t="shared" si="225"/>
        <v>DNS/DNF ()</v>
      </c>
      <c r="AC444" s="53" t="str">
        <f t="shared" si="226"/>
        <v>DNS/DNF ()</v>
      </c>
      <c r="AD444" s="53" t="str">
        <f t="shared" si="227"/>
        <v>DNS/DNF ()</v>
      </c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62" t="str">
        <f t="shared" si="228"/>
        <v>DNS/DNF</v>
      </c>
      <c r="AV444" s="62" t="str">
        <f t="shared" si="229"/>
        <v>DNS/DNF</v>
      </c>
      <c r="AW444" s="62" t="str">
        <f t="shared" si="230"/>
        <v>DNS/DNF</v>
      </c>
      <c r="AX444" s="62" t="str">
        <f t="shared" si="231"/>
        <v>DNS/DNF</v>
      </c>
      <c r="AY444" s="62" t="str">
        <f t="shared" si="232"/>
        <v>DNS/DNF</v>
      </c>
      <c r="AZ444" s="62" t="str">
        <f t="shared" si="233"/>
        <v>DNS/DNF</v>
      </c>
      <c r="BA444" s="62" t="str">
        <f t="shared" si="234"/>
        <v>DNS/DNF</v>
      </c>
      <c r="BB444" s="62" t="str">
        <f t="shared" si="235"/>
        <v>DNS/DNF</v>
      </c>
      <c r="BC444" s="75" t="str">
        <f t="shared" si="236"/>
        <v/>
      </c>
      <c r="BD444" s="53" t="str">
        <f t="shared" si="237"/>
        <v/>
      </c>
      <c r="BE444" s="53" t="str">
        <f t="shared" si="238"/>
        <v/>
      </c>
      <c r="BF444" s="53" t="str">
        <f t="shared" si="239"/>
        <v/>
      </c>
      <c r="BG444" s="53" t="str">
        <f t="shared" si="240"/>
        <v/>
      </c>
      <c r="BH444" s="53" t="str">
        <f t="shared" si="241"/>
        <v/>
      </c>
      <c r="BI444" s="53" t="str">
        <f t="shared" si="242"/>
        <v/>
      </c>
      <c r="BJ444" s="53" t="str">
        <f t="shared" si="243"/>
        <v/>
      </c>
      <c r="BK444" s="53" t="str">
        <f t="shared" si="244"/>
        <v/>
      </c>
    </row>
    <row r="445" spans="2:63">
      <c r="B445" s="89" t="str">
        <f>IFERROR(VLOOKUP($A445,EntryList!$A$3:$N$645,2,FALSE),"")</f>
        <v/>
      </c>
      <c r="D445" s="53">
        <f t="shared" si="218"/>
        <v>0</v>
      </c>
      <c r="N445" s="62">
        <f t="shared" si="219"/>
        <v>0</v>
      </c>
      <c r="O445" s="53" t="str">
        <f t="shared" si="245"/>
        <v/>
      </c>
      <c r="P445" s="53" t="str">
        <f t="shared" si="246"/>
        <v/>
      </c>
      <c r="Q445" s="53" t="str">
        <f t="shared" si="247"/>
        <v/>
      </c>
      <c r="R445" s="53" t="str">
        <f t="shared" si="248"/>
        <v/>
      </c>
      <c r="S445" s="53" t="str">
        <f t="shared" si="249"/>
        <v/>
      </c>
      <c r="T445" s="53" t="str">
        <f t="shared" si="250"/>
        <v/>
      </c>
      <c r="U445" s="53" t="str">
        <f t="shared" si="251"/>
        <v/>
      </c>
      <c r="V445" s="53" t="str">
        <f t="shared" si="252"/>
        <v/>
      </c>
      <c r="W445" s="53" t="str">
        <f t="shared" si="220"/>
        <v>DNS/DNF ()</v>
      </c>
      <c r="X445" s="53" t="str">
        <f t="shared" si="221"/>
        <v>DNS/DNF ()</v>
      </c>
      <c r="Y445" s="53" t="str">
        <f t="shared" si="222"/>
        <v>DNS/DNF ()</v>
      </c>
      <c r="Z445" s="53" t="str">
        <f t="shared" si="223"/>
        <v>DNS/DNF ()</v>
      </c>
      <c r="AA445" s="53" t="str">
        <f t="shared" si="224"/>
        <v>DNS/DNF ()</v>
      </c>
      <c r="AB445" s="53" t="str">
        <f t="shared" si="225"/>
        <v>DNS/DNF ()</v>
      </c>
      <c r="AC445" s="53" t="str">
        <f t="shared" si="226"/>
        <v>DNS/DNF ()</v>
      </c>
      <c r="AD445" s="53" t="str">
        <f t="shared" si="227"/>
        <v>DNS/DNF ()</v>
      </c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62" t="str">
        <f t="shared" si="228"/>
        <v>DNS/DNF</v>
      </c>
      <c r="AV445" s="62" t="str">
        <f t="shared" si="229"/>
        <v>DNS/DNF</v>
      </c>
      <c r="AW445" s="62" t="str">
        <f t="shared" si="230"/>
        <v>DNS/DNF</v>
      </c>
      <c r="AX445" s="62" t="str">
        <f t="shared" si="231"/>
        <v>DNS/DNF</v>
      </c>
      <c r="AY445" s="62" t="str">
        <f t="shared" si="232"/>
        <v>DNS/DNF</v>
      </c>
      <c r="AZ445" s="62" t="str">
        <f t="shared" si="233"/>
        <v>DNS/DNF</v>
      </c>
      <c r="BA445" s="62" t="str">
        <f t="shared" si="234"/>
        <v>DNS/DNF</v>
      </c>
      <c r="BB445" s="62" t="str">
        <f t="shared" si="235"/>
        <v>DNS/DNF</v>
      </c>
      <c r="BC445" s="75" t="str">
        <f t="shared" si="236"/>
        <v/>
      </c>
      <c r="BD445" s="53" t="str">
        <f t="shared" si="237"/>
        <v/>
      </c>
      <c r="BE445" s="53" t="str">
        <f t="shared" si="238"/>
        <v/>
      </c>
      <c r="BF445" s="53" t="str">
        <f t="shared" si="239"/>
        <v/>
      </c>
      <c r="BG445" s="53" t="str">
        <f t="shared" si="240"/>
        <v/>
      </c>
      <c r="BH445" s="53" t="str">
        <f t="shared" si="241"/>
        <v/>
      </c>
      <c r="BI445" s="53" t="str">
        <f t="shared" si="242"/>
        <v/>
      </c>
      <c r="BJ445" s="53" t="str">
        <f t="shared" si="243"/>
        <v/>
      </c>
      <c r="BK445" s="53" t="str">
        <f t="shared" si="244"/>
        <v/>
      </c>
    </row>
    <row r="446" spans="2:63">
      <c r="B446" s="89" t="str">
        <f>IFERROR(VLOOKUP($A446,EntryList!$A$3:$N$645,2,FALSE),"")</f>
        <v/>
      </c>
      <c r="D446" s="53">
        <f t="shared" ref="D446:D500" si="253">COUNT($AU446:$BB446)</f>
        <v>0</v>
      </c>
      <c r="N446" s="62">
        <f t="shared" ref="N446:N500" si="254">SUM($AU446:$BB446)</f>
        <v>0</v>
      </c>
      <c r="O446" s="53" t="str">
        <f t="shared" si="245"/>
        <v/>
      </c>
      <c r="P446" s="53" t="str">
        <f t="shared" si="246"/>
        <v/>
      </c>
      <c r="Q446" s="53" t="str">
        <f t="shared" si="247"/>
        <v/>
      </c>
      <c r="R446" s="53" t="str">
        <f t="shared" si="248"/>
        <v/>
      </c>
      <c r="S446" s="53" t="str">
        <f t="shared" si="249"/>
        <v/>
      </c>
      <c r="T446" s="53" t="str">
        <f t="shared" si="250"/>
        <v/>
      </c>
      <c r="U446" s="53" t="str">
        <f t="shared" si="251"/>
        <v/>
      </c>
      <c r="V446" s="53" t="str">
        <f t="shared" si="252"/>
        <v/>
      </c>
      <c r="W446" s="53" t="str">
        <f t="shared" si="220"/>
        <v>DNS/DNF ()</v>
      </c>
      <c r="X446" s="53" t="str">
        <f t="shared" si="221"/>
        <v>DNS/DNF ()</v>
      </c>
      <c r="Y446" s="53" t="str">
        <f t="shared" si="222"/>
        <v>DNS/DNF ()</v>
      </c>
      <c r="Z446" s="53" t="str">
        <f t="shared" si="223"/>
        <v>DNS/DNF ()</v>
      </c>
      <c r="AA446" s="53" t="str">
        <f t="shared" si="224"/>
        <v>DNS/DNF ()</v>
      </c>
      <c r="AB446" s="53" t="str">
        <f t="shared" si="225"/>
        <v>DNS/DNF ()</v>
      </c>
      <c r="AC446" s="53" t="str">
        <f t="shared" si="226"/>
        <v>DNS/DNF ()</v>
      </c>
      <c r="AD446" s="53" t="str">
        <f t="shared" si="227"/>
        <v>DNS/DNF ()</v>
      </c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62" t="str">
        <f t="shared" si="228"/>
        <v>DNS/DNF</v>
      </c>
      <c r="AV446" s="62" t="str">
        <f t="shared" si="229"/>
        <v>DNS/DNF</v>
      </c>
      <c r="AW446" s="62" t="str">
        <f t="shared" si="230"/>
        <v>DNS/DNF</v>
      </c>
      <c r="AX446" s="62" t="str">
        <f t="shared" si="231"/>
        <v>DNS/DNF</v>
      </c>
      <c r="AY446" s="62" t="str">
        <f t="shared" si="232"/>
        <v>DNS/DNF</v>
      </c>
      <c r="AZ446" s="62" t="str">
        <f t="shared" si="233"/>
        <v>DNS/DNF</v>
      </c>
      <c r="BA446" s="62" t="str">
        <f t="shared" si="234"/>
        <v>DNS/DNF</v>
      </c>
      <c r="BB446" s="62" t="str">
        <f t="shared" si="235"/>
        <v>DNS/DNF</v>
      </c>
      <c r="BC446" s="75" t="str">
        <f t="shared" si="236"/>
        <v/>
      </c>
      <c r="BD446" s="53" t="str">
        <f t="shared" si="237"/>
        <v/>
      </c>
      <c r="BE446" s="53" t="str">
        <f t="shared" si="238"/>
        <v/>
      </c>
      <c r="BF446" s="53" t="str">
        <f t="shared" si="239"/>
        <v/>
      </c>
      <c r="BG446" s="53" t="str">
        <f t="shared" si="240"/>
        <v/>
      </c>
      <c r="BH446" s="53" t="str">
        <f t="shared" si="241"/>
        <v/>
      </c>
      <c r="BI446" s="53" t="str">
        <f t="shared" si="242"/>
        <v/>
      </c>
      <c r="BJ446" s="53" t="str">
        <f t="shared" si="243"/>
        <v/>
      </c>
      <c r="BK446" s="53" t="str">
        <f t="shared" si="244"/>
        <v/>
      </c>
    </row>
    <row r="447" spans="2:63">
      <c r="B447" s="89" t="str">
        <f>IFERROR(VLOOKUP($A447,EntryList!$A$3:$N$645,2,FALSE),"")</f>
        <v/>
      </c>
      <c r="D447" s="53">
        <f t="shared" si="253"/>
        <v>0</v>
      </c>
      <c r="N447" s="62">
        <f t="shared" si="254"/>
        <v>0</v>
      </c>
      <c r="O447" s="53" t="str">
        <f t="shared" si="245"/>
        <v/>
      </c>
      <c r="P447" s="53" t="str">
        <f t="shared" si="246"/>
        <v/>
      </c>
      <c r="Q447" s="53" t="str">
        <f t="shared" si="247"/>
        <v/>
      </c>
      <c r="R447" s="53" t="str">
        <f t="shared" si="248"/>
        <v/>
      </c>
      <c r="S447" s="53" t="str">
        <f t="shared" si="249"/>
        <v/>
      </c>
      <c r="T447" s="53" t="str">
        <f t="shared" si="250"/>
        <v/>
      </c>
      <c r="U447" s="53" t="str">
        <f t="shared" si="251"/>
        <v/>
      </c>
      <c r="V447" s="53" t="str">
        <f t="shared" si="252"/>
        <v/>
      </c>
      <c r="W447" s="53" t="str">
        <f t="shared" si="220"/>
        <v>DNS/DNF ()</v>
      </c>
      <c r="X447" s="53" t="str">
        <f t="shared" si="221"/>
        <v>DNS/DNF ()</v>
      </c>
      <c r="Y447" s="53" t="str">
        <f t="shared" si="222"/>
        <v>DNS/DNF ()</v>
      </c>
      <c r="Z447" s="53" t="str">
        <f t="shared" si="223"/>
        <v>DNS/DNF ()</v>
      </c>
      <c r="AA447" s="53" t="str">
        <f t="shared" si="224"/>
        <v>DNS/DNF ()</v>
      </c>
      <c r="AB447" s="53" t="str">
        <f t="shared" si="225"/>
        <v>DNS/DNF ()</v>
      </c>
      <c r="AC447" s="53" t="str">
        <f t="shared" si="226"/>
        <v>DNS/DNF ()</v>
      </c>
      <c r="AD447" s="53" t="str">
        <f t="shared" si="227"/>
        <v>DNS/DNF ()</v>
      </c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62" t="str">
        <f t="shared" si="228"/>
        <v>DNS/DNF</v>
      </c>
      <c r="AV447" s="62" t="str">
        <f t="shared" si="229"/>
        <v>DNS/DNF</v>
      </c>
      <c r="AW447" s="62" t="str">
        <f t="shared" si="230"/>
        <v>DNS/DNF</v>
      </c>
      <c r="AX447" s="62" t="str">
        <f t="shared" si="231"/>
        <v>DNS/DNF</v>
      </c>
      <c r="AY447" s="62" t="str">
        <f t="shared" si="232"/>
        <v>DNS/DNF</v>
      </c>
      <c r="AZ447" s="62" t="str">
        <f t="shared" si="233"/>
        <v>DNS/DNF</v>
      </c>
      <c r="BA447" s="62" t="str">
        <f t="shared" si="234"/>
        <v>DNS/DNF</v>
      </c>
      <c r="BB447" s="62" t="str">
        <f t="shared" si="235"/>
        <v>DNS/DNF</v>
      </c>
      <c r="BC447" s="75" t="str">
        <f t="shared" si="236"/>
        <v/>
      </c>
      <c r="BD447" s="53" t="str">
        <f t="shared" si="237"/>
        <v/>
      </c>
      <c r="BE447" s="53" t="str">
        <f t="shared" si="238"/>
        <v/>
      </c>
      <c r="BF447" s="53" t="str">
        <f t="shared" si="239"/>
        <v/>
      </c>
      <c r="BG447" s="53" t="str">
        <f t="shared" si="240"/>
        <v/>
      </c>
      <c r="BH447" s="53" t="str">
        <f t="shared" si="241"/>
        <v/>
      </c>
      <c r="BI447" s="53" t="str">
        <f t="shared" si="242"/>
        <v/>
      </c>
      <c r="BJ447" s="53" t="str">
        <f t="shared" si="243"/>
        <v/>
      </c>
      <c r="BK447" s="53" t="str">
        <f t="shared" si="244"/>
        <v/>
      </c>
    </row>
    <row r="448" spans="2:63">
      <c r="B448" s="89" t="str">
        <f>IFERROR(VLOOKUP($A448,EntryList!$A$3:$N$645,2,FALSE),"")</f>
        <v/>
      </c>
      <c r="D448" s="53">
        <f t="shared" si="253"/>
        <v>0</v>
      </c>
      <c r="N448" s="62">
        <f t="shared" si="254"/>
        <v>0</v>
      </c>
      <c r="O448" s="53" t="str">
        <f t="shared" si="245"/>
        <v/>
      </c>
      <c r="P448" s="53" t="str">
        <f t="shared" si="246"/>
        <v/>
      </c>
      <c r="Q448" s="53" t="str">
        <f t="shared" si="247"/>
        <v/>
      </c>
      <c r="R448" s="53" t="str">
        <f t="shared" si="248"/>
        <v/>
      </c>
      <c r="S448" s="53" t="str">
        <f t="shared" si="249"/>
        <v/>
      </c>
      <c r="T448" s="53" t="str">
        <f t="shared" si="250"/>
        <v/>
      </c>
      <c r="U448" s="53" t="str">
        <f t="shared" si="251"/>
        <v/>
      </c>
      <c r="V448" s="53" t="str">
        <f t="shared" si="252"/>
        <v/>
      </c>
      <c r="W448" s="53" t="str">
        <f t="shared" si="220"/>
        <v>DNS/DNF ()</v>
      </c>
      <c r="X448" s="53" t="str">
        <f t="shared" si="221"/>
        <v>DNS/DNF ()</v>
      </c>
      <c r="Y448" s="53" t="str">
        <f t="shared" si="222"/>
        <v>DNS/DNF ()</v>
      </c>
      <c r="Z448" s="53" t="str">
        <f t="shared" si="223"/>
        <v>DNS/DNF ()</v>
      </c>
      <c r="AA448" s="53" t="str">
        <f t="shared" si="224"/>
        <v>DNS/DNF ()</v>
      </c>
      <c r="AB448" s="53" t="str">
        <f t="shared" si="225"/>
        <v>DNS/DNF ()</v>
      </c>
      <c r="AC448" s="53" t="str">
        <f t="shared" si="226"/>
        <v>DNS/DNF ()</v>
      </c>
      <c r="AD448" s="53" t="str">
        <f t="shared" si="227"/>
        <v>DNS/DNF ()</v>
      </c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62" t="str">
        <f t="shared" si="228"/>
        <v>DNS/DNF</v>
      </c>
      <c r="AV448" s="62" t="str">
        <f t="shared" si="229"/>
        <v>DNS/DNF</v>
      </c>
      <c r="AW448" s="62" t="str">
        <f t="shared" si="230"/>
        <v>DNS/DNF</v>
      </c>
      <c r="AX448" s="62" t="str">
        <f t="shared" si="231"/>
        <v>DNS/DNF</v>
      </c>
      <c r="AY448" s="62" t="str">
        <f t="shared" si="232"/>
        <v>DNS/DNF</v>
      </c>
      <c r="AZ448" s="62" t="str">
        <f t="shared" si="233"/>
        <v>DNS/DNF</v>
      </c>
      <c r="BA448" s="62" t="str">
        <f t="shared" si="234"/>
        <v>DNS/DNF</v>
      </c>
      <c r="BB448" s="62" t="str">
        <f t="shared" si="235"/>
        <v>DNS/DNF</v>
      </c>
      <c r="BC448" s="75" t="str">
        <f t="shared" si="236"/>
        <v/>
      </c>
      <c r="BD448" s="53" t="str">
        <f t="shared" si="237"/>
        <v/>
      </c>
      <c r="BE448" s="53" t="str">
        <f t="shared" si="238"/>
        <v/>
      </c>
      <c r="BF448" s="53" t="str">
        <f t="shared" si="239"/>
        <v/>
      </c>
      <c r="BG448" s="53" t="str">
        <f t="shared" si="240"/>
        <v/>
      </c>
      <c r="BH448" s="53" t="str">
        <f t="shared" si="241"/>
        <v/>
      </c>
      <c r="BI448" s="53" t="str">
        <f t="shared" si="242"/>
        <v/>
      </c>
      <c r="BJ448" s="53" t="str">
        <f t="shared" si="243"/>
        <v/>
      </c>
      <c r="BK448" s="53" t="str">
        <f t="shared" si="244"/>
        <v/>
      </c>
    </row>
    <row r="449" spans="2:63">
      <c r="B449" s="89" t="str">
        <f>IFERROR(VLOOKUP($A449,EntryList!$A$3:$N$645,2,FALSE),"")</f>
        <v/>
      </c>
      <c r="D449" s="53">
        <f t="shared" si="253"/>
        <v>0</v>
      </c>
      <c r="N449" s="62">
        <f t="shared" si="254"/>
        <v>0</v>
      </c>
      <c r="O449" s="53" t="str">
        <f t="shared" si="245"/>
        <v/>
      </c>
      <c r="P449" s="53" t="str">
        <f t="shared" si="246"/>
        <v/>
      </c>
      <c r="Q449" s="53" t="str">
        <f t="shared" si="247"/>
        <v/>
      </c>
      <c r="R449" s="53" t="str">
        <f t="shared" si="248"/>
        <v/>
      </c>
      <c r="S449" s="53" t="str">
        <f t="shared" si="249"/>
        <v/>
      </c>
      <c r="T449" s="53" t="str">
        <f t="shared" si="250"/>
        <v/>
      </c>
      <c r="U449" s="53" t="str">
        <f t="shared" si="251"/>
        <v/>
      </c>
      <c r="V449" s="53" t="str">
        <f t="shared" si="252"/>
        <v/>
      </c>
      <c r="W449" s="53" t="str">
        <f t="shared" si="220"/>
        <v>DNS/DNF ()</v>
      </c>
      <c r="X449" s="53" t="str">
        <f t="shared" si="221"/>
        <v>DNS/DNF ()</v>
      </c>
      <c r="Y449" s="53" t="str">
        <f t="shared" si="222"/>
        <v>DNS/DNF ()</v>
      </c>
      <c r="Z449" s="53" t="str">
        <f t="shared" si="223"/>
        <v>DNS/DNF ()</v>
      </c>
      <c r="AA449" s="53" t="str">
        <f t="shared" si="224"/>
        <v>DNS/DNF ()</v>
      </c>
      <c r="AB449" s="53" t="str">
        <f t="shared" si="225"/>
        <v>DNS/DNF ()</v>
      </c>
      <c r="AC449" s="53" t="str">
        <f t="shared" si="226"/>
        <v>DNS/DNF ()</v>
      </c>
      <c r="AD449" s="53" t="str">
        <f t="shared" si="227"/>
        <v>DNS/DNF ()</v>
      </c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62" t="str">
        <f t="shared" si="228"/>
        <v>DNS/DNF</v>
      </c>
      <c r="AV449" s="62" t="str">
        <f t="shared" si="229"/>
        <v>DNS/DNF</v>
      </c>
      <c r="AW449" s="62" t="str">
        <f t="shared" si="230"/>
        <v>DNS/DNF</v>
      </c>
      <c r="AX449" s="62" t="str">
        <f t="shared" si="231"/>
        <v>DNS/DNF</v>
      </c>
      <c r="AY449" s="62" t="str">
        <f t="shared" si="232"/>
        <v>DNS/DNF</v>
      </c>
      <c r="AZ449" s="62" t="str">
        <f t="shared" si="233"/>
        <v>DNS/DNF</v>
      </c>
      <c r="BA449" s="62" t="str">
        <f t="shared" si="234"/>
        <v>DNS/DNF</v>
      </c>
      <c r="BB449" s="62" t="str">
        <f t="shared" si="235"/>
        <v>DNS/DNF</v>
      </c>
      <c r="BC449" s="75" t="str">
        <f t="shared" si="236"/>
        <v/>
      </c>
      <c r="BD449" s="53" t="str">
        <f t="shared" si="237"/>
        <v/>
      </c>
      <c r="BE449" s="53" t="str">
        <f t="shared" si="238"/>
        <v/>
      </c>
      <c r="BF449" s="53" t="str">
        <f t="shared" si="239"/>
        <v/>
      </c>
      <c r="BG449" s="53" t="str">
        <f t="shared" si="240"/>
        <v/>
      </c>
      <c r="BH449" s="53" t="str">
        <f t="shared" si="241"/>
        <v/>
      </c>
      <c r="BI449" s="53" t="str">
        <f t="shared" si="242"/>
        <v/>
      </c>
      <c r="BJ449" s="53" t="str">
        <f t="shared" si="243"/>
        <v/>
      </c>
      <c r="BK449" s="53" t="str">
        <f t="shared" si="244"/>
        <v/>
      </c>
    </row>
    <row r="450" spans="2:63">
      <c r="B450" s="89" t="str">
        <f>IFERROR(VLOOKUP($A450,EntryList!$A$3:$N$645,2,FALSE),"")</f>
        <v/>
      </c>
      <c r="D450" s="53">
        <f t="shared" si="253"/>
        <v>0</v>
      </c>
      <c r="N450" s="62">
        <f t="shared" si="254"/>
        <v>0</v>
      </c>
      <c r="O450" s="53" t="str">
        <f t="shared" si="245"/>
        <v/>
      </c>
      <c r="P450" s="53" t="str">
        <f t="shared" si="246"/>
        <v/>
      </c>
      <c r="Q450" s="53" t="str">
        <f t="shared" si="247"/>
        <v/>
      </c>
      <c r="R450" s="53" t="str">
        <f t="shared" si="248"/>
        <v/>
      </c>
      <c r="S450" s="53" t="str">
        <f t="shared" si="249"/>
        <v/>
      </c>
      <c r="T450" s="53" t="str">
        <f t="shared" si="250"/>
        <v/>
      </c>
      <c r="U450" s="53" t="str">
        <f t="shared" si="251"/>
        <v/>
      </c>
      <c r="V450" s="53" t="str">
        <f t="shared" si="252"/>
        <v/>
      </c>
      <c r="W450" s="53" t="str">
        <f t="shared" si="220"/>
        <v>DNS/DNF ()</v>
      </c>
      <c r="X450" s="53" t="str">
        <f t="shared" si="221"/>
        <v>DNS/DNF ()</v>
      </c>
      <c r="Y450" s="53" t="str">
        <f t="shared" si="222"/>
        <v>DNS/DNF ()</v>
      </c>
      <c r="Z450" s="53" t="str">
        <f t="shared" si="223"/>
        <v>DNS/DNF ()</v>
      </c>
      <c r="AA450" s="53" t="str">
        <f t="shared" si="224"/>
        <v>DNS/DNF ()</v>
      </c>
      <c r="AB450" s="53" t="str">
        <f t="shared" si="225"/>
        <v>DNS/DNF ()</v>
      </c>
      <c r="AC450" s="53" t="str">
        <f t="shared" si="226"/>
        <v>DNS/DNF ()</v>
      </c>
      <c r="AD450" s="53" t="str">
        <f t="shared" si="227"/>
        <v>DNS/DNF ()</v>
      </c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62" t="str">
        <f t="shared" si="228"/>
        <v>DNS/DNF</v>
      </c>
      <c r="AV450" s="62" t="str">
        <f t="shared" si="229"/>
        <v>DNS/DNF</v>
      </c>
      <c r="AW450" s="62" t="str">
        <f t="shared" si="230"/>
        <v>DNS/DNF</v>
      </c>
      <c r="AX450" s="62" t="str">
        <f t="shared" si="231"/>
        <v>DNS/DNF</v>
      </c>
      <c r="AY450" s="62" t="str">
        <f t="shared" si="232"/>
        <v>DNS/DNF</v>
      </c>
      <c r="AZ450" s="62" t="str">
        <f t="shared" si="233"/>
        <v>DNS/DNF</v>
      </c>
      <c r="BA450" s="62" t="str">
        <f t="shared" si="234"/>
        <v>DNS/DNF</v>
      </c>
      <c r="BB450" s="62" t="str">
        <f t="shared" si="235"/>
        <v>DNS/DNF</v>
      </c>
      <c r="BC450" s="75" t="str">
        <f t="shared" si="236"/>
        <v/>
      </c>
      <c r="BD450" s="53" t="str">
        <f t="shared" si="237"/>
        <v/>
      </c>
      <c r="BE450" s="53" t="str">
        <f t="shared" si="238"/>
        <v/>
      </c>
      <c r="BF450" s="53" t="str">
        <f t="shared" si="239"/>
        <v/>
      </c>
      <c r="BG450" s="53" t="str">
        <f t="shared" si="240"/>
        <v/>
      </c>
      <c r="BH450" s="53" t="str">
        <f t="shared" si="241"/>
        <v/>
      </c>
      <c r="BI450" s="53" t="str">
        <f t="shared" si="242"/>
        <v/>
      </c>
      <c r="BJ450" s="53" t="str">
        <f t="shared" si="243"/>
        <v/>
      </c>
      <c r="BK450" s="53" t="str">
        <f t="shared" si="244"/>
        <v/>
      </c>
    </row>
    <row r="451" spans="2:63">
      <c r="B451" s="89" t="str">
        <f>IFERROR(VLOOKUP($A451,EntryList!$A$3:$N$645,2,FALSE),"")</f>
        <v/>
      </c>
      <c r="D451" s="53">
        <f t="shared" si="253"/>
        <v>0</v>
      </c>
      <c r="N451" s="62">
        <f t="shared" si="254"/>
        <v>0</v>
      </c>
      <c r="O451" s="53" t="str">
        <f t="shared" si="245"/>
        <v/>
      </c>
      <c r="P451" s="53" t="str">
        <f t="shared" si="246"/>
        <v/>
      </c>
      <c r="Q451" s="53" t="str">
        <f t="shared" si="247"/>
        <v/>
      </c>
      <c r="R451" s="53" t="str">
        <f t="shared" si="248"/>
        <v/>
      </c>
      <c r="S451" s="53" t="str">
        <f t="shared" si="249"/>
        <v/>
      </c>
      <c r="T451" s="53" t="str">
        <f t="shared" si="250"/>
        <v/>
      </c>
      <c r="U451" s="53" t="str">
        <f t="shared" si="251"/>
        <v/>
      </c>
      <c r="V451" s="53" t="str">
        <f t="shared" si="252"/>
        <v/>
      </c>
      <c r="W451" s="53" t="str">
        <f t="shared" si="220"/>
        <v>DNS/DNF ()</v>
      </c>
      <c r="X451" s="53" t="str">
        <f t="shared" si="221"/>
        <v>DNS/DNF ()</v>
      </c>
      <c r="Y451" s="53" t="str">
        <f t="shared" si="222"/>
        <v>DNS/DNF ()</v>
      </c>
      <c r="Z451" s="53" t="str">
        <f t="shared" si="223"/>
        <v>DNS/DNF ()</v>
      </c>
      <c r="AA451" s="53" t="str">
        <f t="shared" si="224"/>
        <v>DNS/DNF ()</v>
      </c>
      <c r="AB451" s="53" t="str">
        <f t="shared" si="225"/>
        <v>DNS/DNF ()</v>
      </c>
      <c r="AC451" s="53" t="str">
        <f t="shared" si="226"/>
        <v>DNS/DNF ()</v>
      </c>
      <c r="AD451" s="53" t="str">
        <f t="shared" si="227"/>
        <v>DNS/DNF ()</v>
      </c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62" t="str">
        <f t="shared" si="228"/>
        <v>DNS/DNF</v>
      </c>
      <c r="AV451" s="62" t="str">
        <f t="shared" si="229"/>
        <v>DNS/DNF</v>
      </c>
      <c r="AW451" s="62" t="str">
        <f t="shared" si="230"/>
        <v>DNS/DNF</v>
      </c>
      <c r="AX451" s="62" t="str">
        <f t="shared" si="231"/>
        <v>DNS/DNF</v>
      </c>
      <c r="AY451" s="62" t="str">
        <f t="shared" si="232"/>
        <v>DNS/DNF</v>
      </c>
      <c r="AZ451" s="62" t="str">
        <f t="shared" si="233"/>
        <v>DNS/DNF</v>
      </c>
      <c r="BA451" s="62" t="str">
        <f t="shared" si="234"/>
        <v>DNS/DNF</v>
      </c>
      <c r="BB451" s="62" t="str">
        <f t="shared" si="235"/>
        <v>DNS/DNF</v>
      </c>
      <c r="BC451" s="75" t="str">
        <f t="shared" si="236"/>
        <v/>
      </c>
      <c r="BD451" s="53" t="str">
        <f t="shared" si="237"/>
        <v/>
      </c>
      <c r="BE451" s="53" t="str">
        <f t="shared" si="238"/>
        <v/>
      </c>
      <c r="BF451" s="53" t="str">
        <f t="shared" si="239"/>
        <v/>
      </c>
      <c r="BG451" s="53" t="str">
        <f t="shared" si="240"/>
        <v/>
      </c>
      <c r="BH451" s="53" t="str">
        <f t="shared" si="241"/>
        <v/>
      </c>
      <c r="BI451" s="53" t="str">
        <f t="shared" si="242"/>
        <v/>
      </c>
      <c r="BJ451" s="53" t="str">
        <f t="shared" si="243"/>
        <v/>
      </c>
      <c r="BK451" s="53" t="str">
        <f t="shared" si="244"/>
        <v/>
      </c>
    </row>
    <row r="452" spans="2:63">
      <c r="B452" s="89" t="str">
        <f>IFERROR(VLOOKUP($A452,EntryList!$A$3:$N$645,2,FALSE),"")</f>
        <v/>
      </c>
      <c r="D452" s="53">
        <f t="shared" si="253"/>
        <v>0</v>
      </c>
      <c r="N452" s="62">
        <f t="shared" si="254"/>
        <v>0</v>
      </c>
      <c r="O452" s="53" t="str">
        <f t="shared" si="245"/>
        <v/>
      </c>
      <c r="P452" s="53" t="str">
        <f t="shared" si="246"/>
        <v/>
      </c>
      <c r="Q452" s="53" t="str">
        <f t="shared" si="247"/>
        <v/>
      </c>
      <c r="R452" s="53" t="str">
        <f t="shared" si="248"/>
        <v/>
      </c>
      <c r="S452" s="53" t="str">
        <f t="shared" si="249"/>
        <v/>
      </c>
      <c r="T452" s="53" t="str">
        <f t="shared" si="250"/>
        <v/>
      </c>
      <c r="U452" s="53" t="str">
        <f t="shared" si="251"/>
        <v/>
      </c>
      <c r="V452" s="53" t="str">
        <f t="shared" si="252"/>
        <v/>
      </c>
      <c r="W452" s="53" t="str">
        <f t="shared" ref="W452:W500" si="255">CONCATENATE(TEXT($AU452,"[hh]:mm:ss.0")," ","(",$O452,")")</f>
        <v>DNS/DNF ()</v>
      </c>
      <c r="X452" s="53" t="str">
        <f t="shared" ref="X452:X500" si="256">CONCATENATE(TEXT($AV452,"[hh]:mm:ss.0")," ","(",$P452,")")</f>
        <v>DNS/DNF ()</v>
      </c>
      <c r="Y452" s="53" t="str">
        <f t="shared" ref="Y452:Y500" si="257">CONCATENATE(TEXT($AW452,"[hh]:mm:ss.0")," ","(",$Q452,")")</f>
        <v>DNS/DNF ()</v>
      </c>
      <c r="Z452" s="53" t="str">
        <f t="shared" ref="Z452:Z500" si="258">CONCATENATE(TEXT($AX452,"[hh]:mm:ss.0")," ","(",$R452,")")</f>
        <v>DNS/DNF ()</v>
      </c>
      <c r="AA452" s="53" t="str">
        <f t="shared" ref="AA452:AA500" si="259">CONCATENATE(TEXT($AY452,"[hh]:mm:ss.0")," ","(",$S452,")")</f>
        <v>DNS/DNF ()</v>
      </c>
      <c r="AB452" s="53" t="str">
        <f t="shared" ref="AB452:AB500" si="260">CONCATENATE(TEXT($AZ452,"[hh]:mm:ss.0")," ","(",$T452,")")</f>
        <v>DNS/DNF ()</v>
      </c>
      <c r="AC452" s="53" t="str">
        <f t="shared" ref="AC452:AC500" si="261">CONCATENATE(TEXT($BA452,"[hh]:mm:ss.0")," ","(",$U452,")")</f>
        <v>DNS/DNF ()</v>
      </c>
      <c r="AD452" s="53" t="str">
        <f t="shared" ref="AD452:AD500" si="262">CONCATENATE(TEXT($BB452,"[hh]:mm:ss.0")," ","(",$V452,")")</f>
        <v>DNS/DNF ()</v>
      </c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62" t="str">
        <f t="shared" ref="AU452:AU500" si="263">IF((OR($AE452=0,$AF452=0,$AF452-$AE452&lt;0)),"DNS/DNF",($AF452-$AE452)/86400000)</f>
        <v>DNS/DNF</v>
      </c>
      <c r="AV452" s="62" t="str">
        <f t="shared" ref="AV452:AV500" si="264">IF((OR($AG452=0,$AH452=0,$AH452-$AG452&lt;0)),"DNS/DNF",($AH452-$AG452)/86400000)</f>
        <v>DNS/DNF</v>
      </c>
      <c r="AW452" s="62" t="str">
        <f t="shared" ref="AW452:AW500" si="265">IF((OR($AI452=0,$AJ452=0,$AJ452-$AI452&lt;0)),"DNS/DNF",($AJ452-$AI452)/86400000)</f>
        <v>DNS/DNF</v>
      </c>
      <c r="AX452" s="62" t="str">
        <f t="shared" ref="AX452:AX500" si="266">IF((OR($AK452=0,$AL452=0,$AL452-$AK452&lt;0)),"DNS/DNF",($AL452-$AK452)/86400000)</f>
        <v>DNS/DNF</v>
      </c>
      <c r="AY452" s="62" t="str">
        <f t="shared" ref="AY452:AY500" si="267">IF((OR($AM452=0,$AM452=0,$AN452-$AM452&lt;0)),"DNS/DNF",($AN452-$AM452)/86400000)</f>
        <v>DNS/DNF</v>
      </c>
      <c r="AZ452" s="62" t="str">
        <f t="shared" ref="AZ452:AZ500" si="268">IF((OR($AO452=0,$AP452=0,$AP452-$AO452&lt;0)),"DNS/DNF",($AP452-$AO452)/86400000)</f>
        <v>DNS/DNF</v>
      </c>
      <c r="BA452" s="62" t="str">
        <f t="shared" ref="BA452:BA500" si="269">IF((OR($AQ452=0,$AR452=0,$AR452-$AQ452&lt;0)),"DNS/DNF",($AR452-$AQ452)/86400000)</f>
        <v>DNS/DNF</v>
      </c>
      <c r="BB452" s="62" t="str">
        <f t="shared" ref="BB452:BB500" si="270">IF((OR($AS452=0,$AT452=0,$AT452-$AS452&lt;0)),"DNS/DNF",($AT452-$AS452)/86400000)</f>
        <v>DNS/DNF</v>
      </c>
      <c r="BC452" s="75" t="str">
        <f t="shared" ref="BC452:BC500" si="271">IFERROR(ROUND(AVERAGE(O452:V452),0),"")</f>
        <v/>
      </c>
      <c r="BD452" s="53" t="str">
        <f t="shared" ref="BD452:BD500" si="272">IFERROR((INDEX(($AU$3:$AU$500)*86400000,MATCH(BC452,$O$3:$O$500,0))),"")</f>
        <v/>
      </c>
      <c r="BE452" s="53" t="str">
        <f t="shared" ref="BE452:BE500" si="273">IFERROR((INDEX(($AV$3:$AV$500)*86400000,MATCH(BC452,$P$3:$P$500,0))),"")</f>
        <v/>
      </c>
      <c r="BF452" s="53" t="str">
        <f t="shared" ref="BF452:BF500" si="274">IFERROR((INDEX(($AW$3:$AW$500)*86400000,MATCH(BC452,$Q$3:$Q$500,0))),"")</f>
        <v/>
      </c>
      <c r="BG452" s="53" t="str">
        <f t="shared" ref="BG452:BG500" si="275">IFERROR((INDEX(($AX$3:$AX$500)*86400000,MATCH(BC452,$R$3:$R$500,0))),"")</f>
        <v/>
      </c>
      <c r="BH452" s="53" t="str">
        <f t="shared" ref="BH452:BH500" si="276">IFERROR((INDEX(($AY$3:$AY$500)*86400000,MATCH(BC452,$S$3:$S$500,0))),"")</f>
        <v/>
      </c>
      <c r="BI452" s="53" t="str">
        <f t="shared" ref="BI452:BI500" si="277">IFERROR((INDEX(($AZ$3:$AZ$500)*86400000,MATCH(BC452,$T$3:$T$500,0))),"")</f>
        <v/>
      </c>
      <c r="BJ452" s="53" t="str">
        <f t="shared" ref="BJ452:BJ500" si="278">IFERROR((INDEX(($BA$3:$BA$500)*86400000,MATCH(BC452,$U$3:$U$500,0))),"")</f>
        <v/>
      </c>
      <c r="BK452" s="53" t="str">
        <f t="shared" ref="BK452:BK500" si="279">IFERROR((INDEX(($BB$3:$BB$500)*86400000,MATCH(BC452,$V$3:$V$500,0))),"")</f>
        <v/>
      </c>
    </row>
    <row r="453" spans="2:63">
      <c r="B453" s="89" t="str">
        <f>IFERROR(VLOOKUP($A453,EntryList!$A$3:$N$645,2,FALSE),"")</f>
        <v/>
      </c>
      <c r="D453" s="53">
        <f t="shared" si="253"/>
        <v>0</v>
      </c>
      <c r="N453" s="62">
        <f t="shared" si="254"/>
        <v>0</v>
      </c>
      <c r="O453" s="53" t="str">
        <f t="shared" si="245"/>
        <v/>
      </c>
      <c r="P453" s="53" t="str">
        <f t="shared" si="246"/>
        <v/>
      </c>
      <c r="Q453" s="53" t="str">
        <f t="shared" si="247"/>
        <v/>
      </c>
      <c r="R453" s="53" t="str">
        <f t="shared" si="248"/>
        <v/>
      </c>
      <c r="S453" s="53" t="str">
        <f t="shared" si="249"/>
        <v/>
      </c>
      <c r="T453" s="53" t="str">
        <f t="shared" si="250"/>
        <v/>
      </c>
      <c r="U453" s="53" t="str">
        <f t="shared" si="251"/>
        <v/>
      </c>
      <c r="V453" s="53" t="str">
        <f t="shared" si="252"/>
        <v/>
      </c>
      <c r="W453" s="53" t="str">
        <f t="shared" si="255"/>
        <v>DNS/DNF ()</v>
      </c>
      <c r="X453" s="53" t="str">
        <f t="shared" si="256"/>
        <v>DNS/DNF ()</v>
      </c>
      <c r="Y453" s="53" t="str">
        <f t="shared" si="257"/>
        <v>DNS/DNF ()</v>
      </c>
      <c r="Z453" s="53" t="str">
        <f t="shared" si="258"/>
        <v>DNS/DNF ()</v>
      </c>
      <c r="AA453" s="53" t="str">
        <f t="shared" si="259"/>
        <v>DNS/DNF ()</v>
      </c>
      <c r="AB453" s="53" t="str">
        <f t="shared" si="260"/>
        <v>DNS/DNF ()</v>
      </c>
      <c r="AC453" s="53" t="str">
        <f t="shared" si="261"/>
        <v>DNS/DNF ()</v>
      </c>
      <c r="AD453" s="53" t="str">
        <f t="shared" si="262"/>
        <v>DNS/DNF ()</v>
      </c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62" t="str">
        <f t="shared" si="263"/>
        <v>DNS/DNF</v>
      </c>
      <c r="AV453" s="62" t="str">
        <f t="shared" si="264"/>
        <v>DNS/DNF</v>
      </c>
      <c r="AW453" s="62" t="str">
        <f t="shared" si="265"/>
        <v>DNS/DNF</v>
      </c>
      <c r="AX453" s="62" t="str">
        <f t="shared" si="266"/>
        <v>DNS/DNF</v>
      </c>
      <c r="AY453" s="62" t="str">
        <f t="shared" si="267"/>
        <v>DNS/DNF</v>
      </c>
      <c r="AZ453" s="62" t="str">
        <f t="shared" si="268"/>
        <v>DNS/DNF</v>
      </c>
      <c r="BA453" s="62" t="str">
        <f t="shared" si="269"/>
        <v>DNS/DNF</v>
      </c>
      <c r="BB453" s="62" t="str">
        <f t="shared" si="270"/>
        <v>DNS/DNF</v>
      </c>
      <c r="BC453" s="75" t="str">
        <f t="shared" si="271"/>
        <v/>
      </c>
      <c r="BD453" s="53" t="str">
        <f t="shared" si="272"/>
        <v/>
      </c>
      <c r="BE453" s="53" t="str">
        <f t="shared" si="273"/>
        <v/>
      </c>
      <c r="BF453" s="53" t="str">
        <f t="shared" si="274"/>
        <v/>
      </c>
      <c r="BG453" s="53" t="str">
        <f t="shared" si="275"/>
        <v/>
      </c>
      <c r="BH453" s="53" t="str">
        <f t="shared" si="276"/>
        <v/>
      </c>
      <c r="BI453" s="53" t="str">
        <f t="shared" si="277"/>
        <v/>
      </c>
      <c r="BJ453" s="53" t="str">
        <f t="shared" si="278"/>
        <v/>
      </c>
      <c r="BK453" s="53" t="str">
        <f t="shared" si="279"/>
        <v/>
      </c>
    </row>
    <row r="454" spans="2:63">
      <c r="B454" s="89" t="str">
        <f>IFERROR(VLOOKUP($A454,EntryList!$A$3:$N$645,2,FALSE),"")</f>
        <v/>
      </c>
      <c r="D454" s="53">
        <f t="shared" si="253"/>
        <v>0</v>
      </c>
      <c r="N454" s="62">
        <f t="shared" si="254"/>
        <v>0</v>
      </c>
      <c r="O454" s="53" t="str">
        <f t="shared" si="245"/>
        <v/>
      </c>
      <c r="P454" s="53" t="str">
        <f t="shared" si="246"/>
        <v/>
      </c>
      <c r="Q454" s="53" t="str">
        <f t="shared" si="247"/>
        <v/>
      </c>
      <c r="R454" s="53" t="str">
        <f t="shared" si="248"/>
        <v/>
      </c>
      <c r="S454" s="53" t="str">
        <f t="shared" si="249"/>
        <v/>
      </c>
      <c r="T454" s="53" t="str">
        <f t="shared" si="250"/>
        <v/>
      </c>
      <c r="U454" s="53" t="str">
        <f t="shared" si="251"/>
        <v/>
      </c>
      <c r="V454" s="53" t="str">
        <f t="shared" si="252"/>
        <v/>
      </c>
      <c r="W454" s="53" t="str">
        <f t="shared" si="255"/>
        <v>DNS/DNF ()</v>
      </c>
      <c r="X454" s="53" t="str">
        <f t="shared" si="256"/>
        <v>DNS/DNF ()</v>
      </c>
      <c r="Y454" s="53" t="str">
        <f t="shared" si="257"/>
        <v>DNS/DNF ()</v>
      </c>
      <c r="Z454" s="53" t="str">
        <f t="shared" si="258"/>
        <v>DNS/DNF ()</v>
      </c>
      <c r="AA454" s="53" t="str">
        <f t="shared" si="259"/>
        <v>DNS/DNF ()</v>
      </c>
      <c r="AB454" s="53" t="str">
        <f t="shared" si="260"/>
        <v>DNS/DNF ()</v>
      </c>
      <c r="AC454" s="53" t="str">
        <f t="shared" si="261"/>
        <v>DNS/DNF ()</v>
      </c>
      <c r="AD454" s="53" t="str">
        <f t="shared" si="262"/>
        <v>DNS/DNF ()</v>
      </c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62" t="str">
        <f t="shared" si="263"/>
        <v>DNS/DNF</v>
      </c>
      <c r="AV454" s="62" t="str">
        <f t="shared" si="264"/>
        <v>DNS/DNF</v>
      </c>
      <c r="AW454" s="62" t="str">
        <f t="shared" si="265"/>
        <v>DNS/DNF</v>
      </c>
      <c r="AX454" s="62" t="str">
        <f t="shared" si="266"/>
        <v>DNS/DNF</v>
      </c>
      <c r="AY454" s="62" t="str">
        <f t="shared" si="267"/>
        <v>DNS/DNF</v>
      </c>
      <c r="AZ454" s="62" t="str">
        <f t="shared" si="268"/>
        <v>DNS/DNF</v>
      </c>
      <c r="BA454" s="62" t="str">
        <f t="shared" si="269"/>
        <v>DNS/DNF</v>
      </c>
      <c r="BB454" s="62" t="str">
        <f t="shared" si="270"/>
        <v>DNS/DNF</v>
      </c>
      <c r="BC454" s="75" t="str">
        <f t="shared" si="271"/>
        <v/>
      </c>
      <c r="BD454" s="53" t="str">
        <f t="shared" si="272"/>
        <v/>
      </c>
      <c r="BE454" s="53" t="str">
        <f t="shared" si="273"/>
        <v/>
      </c>
      <c r="BF454" s="53" t="str">
        <f t="shared" si="274"/>
        <v/>
      </c>
      <c r="BG454" s="53" t="str">
        <f t="shared" si="275"/>
        <v/>
      </c>
      <c r="BH454" s="53" t="str">
        <f t="shared" si="276"/>
        <v/>
      </c>
      <c r="BI454" s="53" t="str">
        <f t="shared" si="277"/>
        <v/>
      </c>
      <c r="BJ454" s="53" t="str">
        <f t="shared" si="278"/>
        <v/>
      </c>
      <c r="BK454" s="53" t="str">
        <f t="shared" si="279"/>
        <v/>
      </c>
    </row>
    <row r="455" spans="2:63">
      <c r="B455" s="89" t="str">
        <f>IFERROR(VLOOKUP($A455,EntryList!$A$3:$N$645,2,FALSE),"")</f>
        <v/>
      </c>
      <c r="D455" s="53">
        <f t="shared" si="253"/>
        <v>0</v>
      </c>
      <c r="N455" s="62">
        <f t="shared" si="254"/>
        <v>0</v>
      </c>
      <c r="O455" s="53" t="str">
        <f t="shared" si="245"/>
        <v/>
      </c>
      <c r="P455" s="53" t="str">
        <f t="shared" si="246"/>
        <v/>
      </c>
      <c r="Q455" s="53" t="str">
        <f t="shared" si="247"/>
        <v/>
      </c>
      <c r="R455" s="53" t="str">
        <f t="shared" si="248"/>
        <v/>
      </c>
      <c r="S455" s="53" t="str">
        <f t="shared" si="249"/>
        <v/>
      </c>
      <c r="T455" s="53" t="str">
        <f t="shared" si="250"/>
        <v/>
      </c>
      <c r="U455" s="53" t="str">
        <f t="shared" si="251"/>
        <v/>
      </c>
      <c r="V455" s="53" t="str">
        <f t="shared" si="252"/>
        <v/>
      </c>
      <c r="W455" s="53" t="str">
        <f t="shared" si="255"/>
        <v>DNS/DNF ()</v>
      </c>
      <c r="X455" s="53" t="str">
        <f t="shared" si="256"/>
        <v>DNS/DNF ()</v>
      </c>
      <c r="Y455" s="53" t="str">
        <f t="shared" si="257"/>
        <v>DNS/DNF ()</v>
      </c>
      <c r="Z455" s="53" t="str">
        <f t="shared" si="258"/>
        <v>DNS/DNF ()</v>
      </c>
      <c r="AA455" s="53" t="str">
        <f t="shared" si="259"/>
        <v>DNS/DNF ()</v>
      </c>
      <c r="AB455" s="53" t="str">
        <f t="shared" si="260"/>
        <v>DNS/DNF ()</v>
      </c>
      <c r="AC455" s="53" t="str">
        <f t="shared" si="261"/>
        <v>DNS/DNF ()</v>
      </c>
      <c r="AD455" s="53" t="str">
        <f t="shared" si="262"/>
        <v>DNS/DNF ()</v>
      </c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62" t="str">
        <f t="shared" si="263"/>
        <v>DNS/DNF</v>
      </c>
      <c r="AV455" s="62" t="str">
        <f t="shared" si="264"/>
        <v>DNS/DNF</v>
      </c>
      <c r="AW455" s="62" t="str">
        <f t="shared" si="265"/>
        <v>DNS/DNF</v>
      </c>
      <c r="AX455" s="62" t="str">
        <f t="shared" si="266"/>
        <v>DNS/DNF</v>
      </c>
      <c r="AY455" s="62" t="str">
        <f t="shared" si="267"/>
        <v>DNS/DNF</v>
      </c>
      <c r="AZ455" s="62" t="str">
        <f t="shared" si="268"/>
        <v>DNS/DNF</v>
      </c>
      <c r="BA455" s="62" t="str">
        <f t="shared" si="269"/>
        <v>DNS/DNF</v>
      </c>
      <c r="BB455" s="62" t="str">
        <f t="shared" si="270"/>
        <v>DNS/DNF</v>
      </c>
      <c r="BC455" s="75" t="str">
        <f t="shared" si="271"/>
        <v/>
      </c>
      <c r="BD455" s="53" t="str">
        <f t="shared" si="272"/>
        <v/>
      </c>
      <c r="BE455" s="53" t="str">
        <f t="shared" si="273"/>
        <v/>
      </c>
      <c r="BF455" s="53" t="str">
        <f t="shared" si="274"/>
        <v/>
      </c>
      <c r="BG455" s="53" t="str">
        <f t="shared" si="275"/>
        <v/>
      </c>
      <c r="BH455" s="53" t="str">
        <f t="shared" si="276"/>
        <v/>
      </c>
      <c r="BI455" s="53" t="str">
        <f t="shared" si="277"/>
        <v/>
      </c>
      <c r="BJ455" s="53" t="str">
        <f t="shared" si="278"/>
        <v/>
      </c>
      <c r="BK455" s="53" t="str">
        <f t="shared" si="279"/>
        <v/>
      </c>
    </row>
    <row r="456" spans="2:63">
      <c r="B456" s="89" t="str">
        <f>IFERROR(VLOOKUP($A456,EntryList!$A$3:$N$645,2,FALSE),"")</f>
        <v/>
      </c>
      <c r="D456" s="53">
        <f t="shared" si="253"/>
        <v>0</v>
      </c>
      <c r="N456" s="62">
        <f t="shared" si="254"/>
        <v>0</v>
      </c>
      <c r="O456" s="53" t="str">
        <f t="shared" si="245"/>
        <v/>
      </c>
      <c r="P456" s="53" t="str">
        <f t="shared" si="246"/>
        <v/>
      </c>
      <c r="Q456" s="53" t="str">
        <f t="shared" si="247"/>
        <v/>
      </c>
      <c r="R456" s="53" t="str">
        <f t="shared" si="248"/>
        <v/>
      </c>
      <c r="S456" s="53" t="str">
        <f t="shared" si="249"/>
        <v/>
      </c>
      <c r="T456" s="53" t="str">
        <f t="shared" si="250"/>
        <v/>
      </c>
      <c r="U456" s="53" t="str">
        <f t="shared" si="251"/>
        <v/>
      </c>
      <c r="V456" s="53" t="str">
        <f t="shared" si="252"/>
        <v/>
      </c>
      <c r="W456" s="53" t="str">
        <f t="shared" si="255"/>
        <v>DNS/DNF ()</v>
      </c>
      <c r="X456" s="53" t="str">
        <f t="shared" si="256"/>
        <v>DNS/DNF ()</v>
      </c>
      <c r="Y456" s="53" t="str">
        <f t="shared" si="257"/>
        <v>DNS/DNF ()</v>
      </c>
      <c r="Z456" s="53" t="str">
        <f t="shared" si="258"/>
        <v>DNS/DNF ()</v>
      </c>
      <c r="AA456" s="53" t="str">
        <f t="shared" si="259"/>
        <v>DNS/DNF ()</v>
      </c>
      <c r="AB456" s="53" t="str">
        <f t="shared" si="260"/>
        <v>DNS/DNF ()</v>
      </c>
      <c r="AC456" s="53" t="str">
        <f t="shared" si="261"/>
        <v>DNS/DNF ()</v>
      </c>
      <c r="AD456" s="53" t="str">
        <f t="shared" si="262"/>
        <v>DNS/DNF ()</v>
      </c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62" t="str">
        <f t="shared" si="263"/>
        <v>DNS/DNF</v>
      </c>
      <c r="AV456" s="62" t="str">
        <f t="shared" si="264"/>
        <v>DNS/DNF</v>
      </c>
      <c r="AW456" s="62" t="str">
        <f t="shared" si="265"/>
        <v>DNS/DNF</v>
      </c>
      <c r="AX456" s="62" t="str">
        <f t="shared" si="266"/>
        <v>DNS/DNF</v>
      </c>
      <c r="AY456" s="62" t="str">
        <f t="shared" si="267"/>
        <v>DNS/DNF</v>
      </c>
      <c r="AZ456" s="62" t="str">
        <f t="shared" si="268"/>
        <v>DNS/DNF</v>
      </c>
      <c r="BA456" s="62" t="str">
        <f t="shared" si="269"/>
        <v>DNS/DNF</v>
      </c>
      <c r="BB456" s="62" t="str">
        <f t="shared" si="270"/>
        <v>DNS/DNF</v>
      </c>
      <c r="BC456" s="75" t="str">
        <f t="shared" si="271"/>
        <v/>
      </c>
      <c r="BD456" s="53" t="str">
        <f t="shared" si="272"/>
        <v/>
      </c>
      <c r="BE456" s="53" t="str">
        <f t="shared" si="273"/>
        <v/>
      </c>
      <c r="BF456" s="53" t="str">
        <f t="shared" si="274"/>
        <v/>
      </c>
      <c r="BG456" s="53" t="str">
        <f t="shared" si="275"/>
        <v/>
      </c>
      <c r="BH456" s="53" t="str">
        <f t="shared" si="276"/>
        <v/>
      </c>
      <c r="BI456" s="53" t="str">
        <f t="shared" si="277"/>
        <v/>
      </c>
      <c r="BJ456" s="53" t="str">
        <f t="shared" si="278"/>
        <v/>
      </c>
      <c r="BK456" s="53" t="str">
        <f t="shared" si="279"/>
        <v/>
      </c>
    </row>
    <row r="457" spans="2:63">
      <c r="B457" s="89" t="str">
        <f>IFERROR(VLOOKUP($A457,EntryList!$A$3:$N$645,2,FALSE),"")</f>
        <v/>
      </c>
      <c r="D457" s="53">
        <f t="shared" si="253"/>
        <v>0</v>
      </c>
      <c r="N457" s="62">
        <f t="shared" si="254"/>
        <v>0</v>
      </c>
      <c r="O457" s="53" t="str">
        <f t="shared" si="245"/>
        <v/>
      </c>
      <c r="P457" s="53" t="str">
        <f t="shared" si="246"/>
        <v/>
      </c>
      <c r="Q457" s="53" t="str">
        <f t="shared" si="247"/>
        <v/>
      </c>
      <c r="R457" s="53" t="str">
        <f t="shared" si="248"/>
        <v/>
      </c>
      <c r="S457" s="53" t="str">
        <f t="shared" si="249"/>
        <v/>
      </c>
      <c r="T457" s="53" t="str">
        <f t="shared" si="250"/>
        <v/>
      </c>
      <c r="U457" s="53" t="str">
        <f t="shared" si="251"/>
        <v/>
      </c>
      <c r="V457" s="53" t="str">
        <f t="shared" si="252"/>
        <v/>
      </c>
      <c r="W457" s="53" t="str">
        <f t="shared" si="255"/>
        <v>DNS/DNF ()</v>
      </c>
      <c r="X457" s="53" t="str">
        <f t="shared" si="256"/>
        <v>DNS/DNF ()</v>
      </c>
      <c r="Y457" s="53" t="str">
        <f t="shared" si="257"/>
        <v>DNS/DNF ()</v>
      </c>
      <c r="Z457" s="53" t="str">
        <f t="shared" si="258"/>
        <v>DNS/DNF ()</v>
      </c>
      <c r="AA457" s="53" t="str">
        <f t="shared" si="259"/>
        <v>DNS/DNF ()</v>
      </c>
      <c r="AB457" s="53" t="str">
        <f t="shared" si="260"/>
        <v>DNS/DNF ()</v>
      </c>
      <c r="AC457" s="53" t="str">
        <f t="shared" si="261"/>
        <v>DNS/DNF ()</v>
      </c>
      <c r="AD457" s="53" t="str">
        <f t="shared" si="262"/>
        <v>DNS/DNF ()</v>
      </c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62" t="str">
        <f t="shared" si="263"/>
        <v>DNS/DNF</v>
      </c>
      <c r="AV457" s="62" t="str">
        <f t="shared" si="264"/>
        <v>DNS/DNF</v>
      </c>
      <c r="AW457" s="62" t="str">
        <f t="shared" si="265"/>
        <v>DNS/DNF</v>
      </c>
      <c r="AX457" s="62" t="str">
        <f t="shared" si="266"/>
        <v>DNS/DNF</v>
      </c>
      <c r="AY457" s="62" t="str">
        <f t="shared" si="267"/>
        <v>DNS/DNF</v>
      </c>
      <c r="AZ457" s="62" t="str">
        <f t="shared" si="268"/>
        <v>DNS/DNF</v>
      </c>
      <c r="BA457" s="62" t="str">
        <f t="shared" si="269"/>
        <v>DNS/DNF</v>
      </c>
      <c r="BB457" s="62" t="str">
        <f t="shared" si="270"/>
        <v>DNS/DNF</v>
      </c>
      <c r="BC457" s="75" t="str">
        <f t="shared" si="271"/>
        <v/>
      </c>
      <c r="BD457" s="53" t="str">
        <f t="shared" si="272"/>
        <v/>
      </c>
      <c r="BE457" s="53" t="str">
        <f t="shared" si="273"/>
        <v/>
      </c>
      <c r="BF457" s="53" t="str">
        <f t="shared" si="274"/>
        <v/>
      </c>
      <c r="BG457" s="53" t="str">
        <f t="shared" si="275"/>
        <v/>
      </c>
      <c r="BH457" s="53" t="str">
        <f t="shared" si="276"/>
        <v/>
      </c>
      <c r="BI457" s="53" t="str">
        <f t="shared" si="277"/>
        <v/>
      </c>
      <c r="BJ457" s="53" t="str">
        <f t="shared" si="278"/>
        <v/>
      </c>
      <c r="BK457" s="53" t="str">
        <f t="shared" si="279"/>
        <v/>
      </c>
    </row>
    <row r="458" spans="2:63">
      <c r="B458" s="89" t="str">
        <f>IFERROR(VLOOKUP($A458,EntryList!$A$3:$N$645,2,FALSE),"")</f>
        <v/>
      </c>
      <c r="D458" s="53">
        <f t="shared" si="253"/>
        <v>0</v>
      </c>
      <c r="N458" s="62">
        <f t="shared" si="254"/>
        <v>0</v>
      </c>
      <c r="O458" s="53" t="str">
        <f t="shared" si="245"/>
        <v/>
      </c>
      <c r="P458" s="53" t="str">
        <f t="shared" si="246"/>
        <v/>
      </c>
      <c r="Q458" s="53" t="str">
        <f t="shared" si="247"/>
        <v/>
      </c>
      <c r="R458" s="53" t="str">
        <f t="shared" si="248"/>
        <v/>
      </c>
      <c r="S458" s="53" t="str">
        <f t="shared" si="249"/>
        <v/>
      </c>
      <c r="T458" s="53" t="str">
        <f t="shared" si="250"/>
        <v/>
      </c>
      <c r="U458" s="53" t="str">
        <f t="shared" si="251"/>
        <v/>
      </c>
      <c r="V458" s="53" t="str">
        <f t="shared" si="252"/>
        <v/>
      </c>
      <c r="W458" s="53" t="str">
        <f t="shared" si="255"/>
        <v>DNS/DNF ()</v>
      </c>
      <c r="X458" s="53" t="str">
        <f t="shared" si="256"/>
        <v>DNS/DNF ()</v>
      </c>
      <c r="Y458" s="53" t="str">
        <f t="shared" si="257"/>
        <v>DNS/DNF ()</v>
      </c>
      <c r="Z458" s="53" t="str">
        <f t="shared" si="258"/>
        <v>DNS/DNF ()</v>
      </c>
      <c r="AA458" s="53" t="str">
        <f t="shared" si="259"/>
        <v>DNS/DNF ()</v>
      </c>
      <c r="AB458" s="53" t="str">
        <f t="shared" si="260"/>
        <v>DNS/DNF ()</v>
      </c>
      <c r="AC458" s="53" t="str">
        <f t="shared" si="261"/>
        <v>DNS/DNF ()</v>
      </c>
      <c r="AD458" s="53" t="str">
        <f t="shared" si="262"/>
        <v>DNS/DNF ()</v>
      </c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62" t="str">
        <f t="shared" si="263"/>
        <v>DNS/DNF</v>
      </c>
      <c r="AV458" s="62" t="str">
        <f t="shared" si="264"/>
        <v>DNS/DNF</v>
      </c>
      <c r="AW458" s="62" t="str">
        <f t="shared" si="265"/>
        <v>DNS/DNF</v>
      </c>
      <c r="AX458" s="62" t="str">
        <f t="shared" si="266"/>
        <v>DNS/DNF</v>
      </c>
      <c r="AY458" s="62" t="str">
        <f t="shared" si="267"/>
        <v>DNS/DNF</v>
      </c>
      <c r="AZ458" s="62" t="str">
        <f t="shared" si="268"/>
        <v>DNS/DNF</v>
      </c>
      <c r="BA458" s="62" t="str">
        <f t="shared" si="269"/>
        <v>DNS/DNF</v>
      </c>
      <c r="BB458" s="62" t="str">
        <f t="shared" si="270"/>
        <v>DNS/DNF</v>
      </c>
      <c r="BC458" s="75" t="str">
        <f t="shared" si="271"/>
        <v/>
      </c>
      <c r="BD458" s="53" t="str">
        <f t="shared" si="272"/>
        <v/>
      </c>
      <c r="BE458" s="53" t="str">
        <f t="shared" si="273"/>
        <v/>
      </c>
      <c r="BF458" s="53" t="str">
        <f t="shared" si="274"/>
        <v/>
      </c>
      <c r="BG458" s="53" t="str">
        <f t="shared" si="275"/>
        <v/>
      </c>
      <c r="BH458" s="53" t="str">
        <f t="shared" si="276"/>
        <v/>
      </c>
      <c r="BI458" s="53" t="str">
        <f t="shared" si="277"/>
        <v/>
      </c>
      <c r="BJ458" s="53" t="str">
        <f t="shared" si="278"/>
        <v/>
      </c>
      <c r="BK458" s="53" t="str">
        <f t="shared" si="279"/>
        <v/>
      </c>
    </row>
    <row r="459" spans="2:63">
      <c r="B459" s="89" t="str">
        <f>IFERROR(VLOOKUP($A459,EntryList!$A$3:$N$645,2,FALSE),"")</f>
        <v/>
      </c>
      <c r="D459" s="53">
        <f t="shared" si="253"/>
        <v>0</v>
      </c>
      <c r="N459" s="62">
        <f t="shared" si="254"/>
        <v>0</v>
      </c>
      <c r="O459" s="53" t="str">
        <f t="shared" si="245"/>
        <v/>
      </c>
      <c r="P459" s="53" t="str">
        <f t="shared" si="246"/>
        <v/>
      </c>
      <c r="Q459" s="53" t="str">
        <f t="shared" si="247"/>
        <v/>
      </c>
      <c r="R459" s="53" t="str">
        <f t="shared" si="248"/>
        <v/>
      </c>
      <c r="S459" s="53" t="str">
        <f t="shared" si="249"/>
        <v/>
      </c>
      <c r="T459" s="53" t="str">
        <f t="shared" si="250"/>
        <v/>
      </c>
      <c r="U459" s="53" t="str">
        <f t="shared" si="251"/>
        <v/>
      </c>
      <c r="V459" s="53" t="str">
        <f t="shared" si="252"/>
        <v/>
      </c>
      <c r="W459" s="53" t="str">
        <f t="shared" si="255"/>
        <v>DNS/DNF ()</v>
      </c>
      <c r="X459" s="53" t="str">
        <f t="shared" si="256"/>
        <v>DNS/DNF ()</v>
      </c>
      <c r="Y459" s="53" t="str">
        <f t="shared" si="257"/>
        <v>DNS/DNF ()</v>
      </c>
      <c r="Z459" s="53" t="str">
        <f t="shared" si="258"/>
        <v>DNS/DNF ()</v>
      </c>
      <c r="AA459" s="53" t="str">
        <f t="shared" si="259"/>
        <v>DNS/DNF ()</v>
      </c>
      <c r="AB459" s="53" t="str">
        <f t="shared" si="260"/>
        <v>DNS/DNF ()</v>
      </c>
      <c r="AC459" s="53" t="str">
        <f t="shared" si="261"/>
        <v>DNS/DNF ()</v>
      </c>
      <c r="AD459" s="53" t="str">
        <f t="shared" si="262"/>
        <v>DNS/DNF ()</v>
      </c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62" t="str">
        <f t="shared" si="263"/>
        <v>DNS/DNF</v>
      </c>
      <c r="AV459" s="62" t="str">
        <f t="shared" si="264"/>
        <v>DNS/DNF</v>
      </c>
      <c r="AW459" s="62" t="str">
        <f t="shared" si="265"/>
        <v>DNS/DNF</v>
      </c>
      <c r="AX459" s="62" t="str">
        <f t="shared" si="266"/>
        <v>DNS/DNF</v>
      </c>
      <c r="AY459" s="62" t="str">
        <f t="shared" si="267"/>
        <v>DNS/DNF</v>
      </c>
      <c r="AZ459" s="62" t="str">
        <f t="shared" si="268"/>
        <v>DNS/DNF</v>
      </c>
      <c r="BA459" s="62" t="str">
        <f t="shared" si="269"/>
        <v>DNS/DNF</v>
      </c>
      <c r="BB459" s="62" t="str">
        <f t="shared" si="270"/>
        <v>DNS/DNF</v>
      </c>
      <c r="BC459" s="75" t="str">
        <f t="shared" si="271"/>
        <v/>
      </c>
      <c r="BD459" s="53" t="str">
        <f t="shared" si="272"/>
        <v/>
      </c>
      <c r="BE459" s="53" t="str">
        <f t="shared" si="273"/>
        <v/>
      </c>
      <c r="BF459" s="53" t="str">
        <f t="shared" si="274"/>
        <v/>
      </c>
      <c r="BG459" s="53" t="str">
        <f t="shared" si="275"/>
        <v/>
      </c>
      <c r="BH459" s="53" t="str">
        <f t="shared" si="276"/>
        <v/>
      </c>
      <c r="BI459" s="53" t="str">
        <f t="shared" si="277"/>
        <v/>
      </c>
      <c r="BJ459" s="53" t="str">
        <f t="shared" si="278"/>
        <v/>
      </c>
      <c r="BK459" s="53" t="str">
        <f t="shared" si="279"/>
        <v/>
      </c>
    </row>
    <row r="460" spans="2:63">
      <c r="B460" s="89" t="str">
        <f>IFERROR(VLOOKUP($A460,EntryList!$A$3:$N$645,2,FALSE),"")</f>
        <v/>
      </c>
      <c r="D460" s="53">
        <f t="shared" si="253"/>
        <v>0</v>
      </c>
      <c r="N460" s="62">
        <f t="shared" si="254"/>
        <v>0</v>
      </c>
      <c r="O460" s="53" t="str">
        <f t="shared" si="245"/>
        <v/>
      </c>
      <c r="P460" s="53" t="str">
        <f t="shared" si="246"/>
        <v/>
      </c>
      <c r="Q460" s="53" t="str">
        <f t="shared" si="247"/>
        <v/>
      </c>
      <c r="R460" s="53" t="str">
        <f t="shared" si="248"/>
        <v/>
      </c>
      <c r="S460" s="53" t="str">
        <f t="shared" si="249"/>
        <v/>
      </c>
      <c r="T460" s="53" t="str">
        <f t="shared" si="250"/>
        <v/>
      </c>
      <c r="U460" s="53" t="str">
        <f t="shared" si="251"/>
        <v/>
      </c>
      <c r="V460" s="53" t="str">
        <f t="shared" si="252"/>
        <v/>
      </c>
      <c r="W460" s="53" t="str">
        <f t="shared" si="255"/>
        <v>DNS/DNF ()</v>
      </c>
      <c r="X460" s="53" t="str">
        <f t="shared" si="256"/>
        <v>DNS/DNF ()</v>
      </c>
      <c r="Y460" s="53" t="str">
        <f t="shared" si="257"/>
        <v>DNS/DNF ()</v>
      </c>
      <c r="Z460" s="53" t="str">
        <f t="shared" si="258"/>
        <v>DNS/DNF ()</v>
      </c>
      <c r="AA460" s="53" t="str">
        <f t="shared" si="259"/>
        <v>DNS/DNF ()</v>
      </c>
      <c r="AB460" s="53" t="str">
        <f t="shared" si="260"/>
        <v>DNS/DNF ()</v>
      </c>
      <c r="AC460" s="53" t="str">
        <f t="shared" si="261"/>
        <v>DNS/DNF ()</v>
      </c>
      <c r="AD460" s="53" t="str">
        <f t="shared" si="262"/>
        <v>DNS/DNF ()</v>
      </c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62" t="str">
        <f t="shared" si="263"/>
        <v>DNS/DNF</v>
      </c>
      <c r="AV460" s="62" t="str">
        <f t="shared" si="264"/>
        <v>DNS/DNF</v>
      </c>
      <c r="AW460" s="62" t="str">
        <f t="shared" si="265"/>
        <v>DNS/DNF</v>
      </c>
      <c r="AX460" s="62" t="str">
        <f t="shared" si="266"/>
        <v>DNS/DNF</v>
      </c>
      <c r="AY460" s="62" t="str">
        <f t="shared" si="267"/>
        <v>DNS/DNF</v>
      </c>
      <c r="AZ460" s="62" t="str">
        <f t="shared" si="268"/>
        <v>DNS/DNF</v>
      </c>
      <c r="BA460" s="62" t="str">
        <f t="shared" si="269"/>
        <v>DNS/DNF</v>
      </c>
      <c r="BB460" s="62" t="str">
        <f t="shared" si="270"/>
        <v>DNS/DNF</v>
      </c>
      <c r="BC460" s="75" t="str">
        <f t="shared" si="271"/>
        <v/>
      </c>
      <c r="BD460" s="53" t="str">
        <f t="shared" si="272"/>
        <v/>
      </c>
      <c r="BE460" s="53" t="str">
        <f t="shared" si="273"/>
        <v/>
      </c>
      <c r="BF460" s="53" t="str">
        <f t="shared" si="274"/>
        <v/>
      </c>
      <c r="BG460" s="53" t="str">
        <f t="shared" si="275"/>
        <v/>
      </c>
      <c r="BH460" s="53" t="str">
        <f t="shared" si="276"/>
        <v/>
      </c>
      <c r="BI460" s="53" t="str">
        <f t="shared" si="277"/>
        <v/>
      </c>
      <c r="BJ460" s="53" t="str">
        <f t="shared" si="278"/>
        <v/>
      </c>
      <c r="BK460" s="53" t="str">
        <f t="shared" si="279"/>
        <v/>
      </c>
    </row>
    <row r="461" spans="2:63">
      <c r="B461" s="89" t="str">
        <f>IFERROR(VLOOKUP($A461,EntryList!$A$3:$N$645,2,FALSE),"")</f>
        <v/>
      </c>
      <c r="D461" s="53">
        <f t="shared" si="253"/>
        <v>0</v>
      </c>
      <c r="N461" s="62">
        <f t="shared" si="254"/>
        <v>0</v>
      </c>
      <c r="O461" s="53" t="str">
        <f t="shared" si="245"/>
        <v/>
      </c>
      <c r="P461" s="53" t="str">
        <f t="shared" si="246"/>
        <v/>
      </c>
      <c r="Q461" s="53" t="str">
        <f t="shared" si="247"/>
        <v/>
      </c>
      <c r="R461" s="53" t="str">
        <f t="shared" si="248"/>
        <v/>
      </c>
      <c r="S461" s="53" t="str">
        <f t="shared" si="249"/>
        <v/>
      </c>
      <c r="T461" s="53" t="str">
        <f t="shared" si="250"/>
        <v/>
      </c>
      <c r="U461" s="53" t="str">
        <f t="shared" si="251"/>
        <v/>
      </c>
      <c r="V461" s="53" t="str">
        <f t="shared" si="252"/>
        <v/>
      </c>
      <c r="W461" s="53" t="str">
        <f t="shared" si="255"/>
        <v>DNS/DNF ()</v>
      </c>
      <c r="X461" s="53" t="str">
        <f t="shared" si="256"/>
        <v>DNS/DNF ()</v>
      </c>
      <c r="Y461" s="53" t="str">
        <f t="shared" si="257"/>
        <v>DNS/DNF ()</v>
      </c>
      <c r="Z461" s="53" t="str">
        <f t="shared" si="258"/>
        <v>DNS/DNF ()</v>
      </c>
      <c r="AA461" s="53" t="str">
        <f t="shared" si="259"/>
        <v>DNS/DNF ()</v>
      </c>
      <c r="AB461" s="53" t="str">
        <f t="shared" si="260"/>
        <v>DNS/DNF ()</v>
      </c>
      <c r="AC461" s="53" t="str">
        <f t="shared" si="261"/>
        <v>DNS/DNF ()</v>
      </c>
      <c r="AD461" s="53" t="str">
        <f t="shared" si="262"/>
        <v>DNS/DNF ()</v>
      </c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62" t="str">
        <f t="shared" si="263"/>
        <v>DNS/DNF</v>
      </c>
      <c r="AV461" s="62" t="str">
        <f t="shared" si="264"/>
        <v>DNS/DNF</v>
      </c>
      <c r="AW461" s="62" t="str">
        <f t="shared" si="265"/>
        <v>DNS/DNF</v>
      </c>
      <c r="AX461" s="62" t="str">
        <f t="shared" si="266"/>
        <v>DNS/DNF</v>
      </c>
      <c r="AY461" s="62" t="str">
        <f t="shared" si="267"/>
        <v>DNS/DNF</v>
      </c>
      <c r="AZ461" s="62" t="str">
        <f t="shared" si="268"/>
        <v>DNS/DNF</v>
      </c>
      <c r="BA461" s="62" t="str">
        <f t="shared" si="269"/>
        <v>DNS/DNF</v>
      </c>
      <c r="BB461" s="62" t="str">
        <f t="shared" si="270"/>
        <v>DNS/DNF</v>
      </c>
      <c r="BC461" s="75" t="str">
        <f t="shared" si="271"/>
        <v/>
      </c>
      <c r="BD461" s="53" t="str">
        <f t="shared" si="272"/>
        <v/>
      </c>
      <c r="BE461" s="53" t="str">
        <f t="shared" si="273"/>
        <v/>
      </c>
      <c r="BF461" s="53" t="str">
        <f t="shared" si="274"/>
        <v/>
      </c>
      <c r="BG461" s="53" t="str">
        <f t="shared" si="275"/>
        <v/>
      </c>
      <c r="BH461" s="53" t="str">
        <f t="shared" si="276"/>
        <v/>
      </c>
      <c r="BI461" s="53" t="str">
        <f t="shared" si="277"/>
        <v/>
      </c>
      <c r="BJ461" s="53" t="str">
        <f t="shared" si="278"/>
        <v/>
      </c>
      <c r="BK461" s="53" t="str">
        <f t="shared" si="279"/>
        <v/>
      </c>
    </row>
    <row r="462" spans="2:63">
      <c r="B462" s="89" t="str">
        <f>IFERROR(VLOOKUP($A462,EntryList!$A$3:$N$645,2,FALSE),"")</f>
        <v/>
      </c>
      <c r="D462" s="53">
        <f t="shared" si="253"/>
        <v>0</v>
      </c>
      <c r="N462" s="62">
        <f t="shared" si="254"/>
        <v>0</v>
      </c>
      <c r="O462" s="53" t="str">
        <f t="shared" si="245"/>
        <v/>
      </c>
      <c r="P462" s="53" t="str">
        <f t="shared" si="246"/>
        <v/>
      </c>
      <c r="Q462" s="53" t="str">
        <f t="shared" si="247"/>
        <v/>
      </c>
      <c r="R462" s="53" t="str">
        <f t="shared" si="248"/>
        <v/>
      </c>
      <c r="S462" s="53" t="str">
        <f t="shared" si="249"/>
        <v/>
      </c>
      <c r="T462" s="53" t="str">
        <f t="shared" si="250"/>
        <v/>
      </c>
      <c r="U462" s="53" t="str">
        <f t="shared" si="251"/>
        <v/>
      </c>
      <c r="V462" s="53" t="str">
        <f t="shared" si="252"/>
        <v/>
      </c>
      <c r="W462" s="53" t="str">
        <f t="shared" si="255"/>
        <v>DNS/DNF ()</v>
      </c>
      <c r="X462" s="53" t="str">
        <f t="shared" si="256"/>
        <v>DNS/DNF ()</v>
      </c>
      <c r="Y462" s="53" t="str">
        <f t="shared" si="257"/>
        <v>DNS/DNF ()</v>
      </c>
      <c r="Z462" s="53" t="str">
        <f t="shared" si="258"/>
        <v>DNS/DNF ()</v>
      </c>
      <c r="AA462" s="53" t="str">
        <f t="shared" si="259"/>
        <v>DNS/DNF ()</v>
      </c>
      <c r="AB462" s="53" t="str">
        <f t="shared" si="260"/>
        <v>DNS/DNF ()</v>
      </c>
      <c r="AC462" s="53" t="str">
        <f t="shared" si="261"/>
        <v>DNS/DNF ()</v>
      </c>
      <c r="AD462" s="53" t="str">
        <f t="shared" si="262"/>
        <v>DNS/DNF ()</v>
      </c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62" t="str">
        <f t="shared" si="263"/>
        <v>DNS/DNF</v>
      </c>
      <c r="AV462" s="62" t="str">
        <f t="shared" si="264"/>
        <v>DNS/DNF</v>
      </c>
      <c r="AW462" s="62" t="str">
        <f t="shared" si="265"/>
        <v>DNS/DNF</v>
      </c>
      <c r="AX462" s="62" t="str">
        <f t="shared" si="266"/>
        <v>DNS/DNF</v>
      </c>
      <c r="AY462" s="62" t="str">
        <f t="shared" si="267"/>
        <v>DNS/DNF</v>
      </c>
      <c r="AZ462" s="62" t="str">
        <f t="shared" si="268"/>
        <v>DNS/DNF</v>
      </c>
      <c r="BA462" s="62" t="str">
        <f t="shared" si="269"/>
        <v>DNS/DNF</v>
      </c>
      <c r="BB462" s="62" t="str">
        <f t="shared" si="270"/>
        <v>DNS/DNF</v>
      </c>
      <c r="BC462" s="75" t="str">
        <f t="shared" si="271"/>
        <v/>
      </c>
      <c r="BD462" s="53" t="str">
        <f t="shared" si="272"/>
        <v/>
      </c>
      <c r="BE462" s="53" t="str">
        <f t="shared" si="273"/>
        <v/>
      </c>
      <c r="BF462" s="53" t="str">
        <f t="shared" si="274"/>
        <v/>
      </c>
      <c r="BG462" s="53" t="str">
        <f t="shared" si="275"/>
        <v/>
      </c>
      <c r="BH462" s="53" t="str">
        <f t="shared" si="276"/>
        <v/>
      </c>
      <c r="BI462" s="53" t="str">
        <f t="shared" si="277"/>
        <v/>
      </c>
      <c r="BJ462" s="53" t="str">
        <f t="shared" si="278"/>
        <v/>
      </c>
      <c r="BK462" s="53" t="str">
        <f t="shared" si="279"/>
        <v/>
      </c>
    </row>
    <row r="463" spans="2:63">
      <c r="B463" s="89" t="str">
        <f>IFERROR(VLOOKUP($A463,EntryList!$A$3:$N$645,2,FALSE),"")</f>
        <v/>
      </c>
      <c r="D463" s="53">
        <f t="shared" si="253"/>
        <v>0</v>
      </c>
      <c r="N463" s="62">
        <f t="shared" si="254"/>
        <v>0</v>
      </c>
      <c r="O463" s="53" t="str">
        <f t="shared" si="245"/>
        <v/>
      </c>
      <c r="P463" s="53" t="str">
        <f t="shared" si="246"/>
        <v/>
      </c>
      <c r="Q463" s="53" t="str">
        <f t="shared" si="247"/>
        <v/>
      </c>
      <c r="R463" s="53" t="str">
        <f t="shared" si="248"/>
        <v/>
      </c>
      <c r="S463" s="53" t="str">
        <f t="shared" si="249"/>
        <v/>
      </c>
      <c r="T463" s="53" t="str">
        <f t="shared" si="250"/>
        <v/>
      </c>
      <c r="U463" s="53" t="str">
        <f t="shared" si="251"/>
        <v/>
      </c>
      <c r="V463" s="53" t="str">
        <f t="shared" si="252"/>
        <v/>
      </c>
      <c r="W463" s="53" t="str">
        <f t="shared" si="255"/>
        <v>DNS/DNF ()</v>
      </c>
      <c r="X463" s="53" t="str">
        <f t="shared" si="256"/>
        <v>DNS/DNF ()</v>
      </c>
      <c r="Y463" s="53" t="str">
        <f t="shared" si="257"/>
        <v>DNS/DNF ()</v>
      </c>
      <c r="Z463" s="53" t="str">
        <f t="shared" si="258"/>
        <v>DNS/DNF ()</v>
      </c>
      <c r="AA463" s="53" t="str">
        <f t="shared" si="259"/>
        <v>DNS/DNF ()</v>
      </c>
      <c r="AB463" s="53" t="str">
        <f t="shared" si="260"/>
        <v>DNS/DNF ()</v>
      </c>
      <c r="AC463" s="53" t="str">
        <f t="shared" si="261"/>
        <v>DNS/DNF ()</v>
      </c>
      <c r="AD463" s="53" t="str">
        <f t="shared" si="262"/>
        <v>DNS/DNF ()</v>
      </c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62" t="str">
        <f t="shared" si="263"/>
        <v>DNS/DNF</v>
      </c>
      <c r="AV463" s="62" t="str">
        <f t="shared" si="264"/>
        <v>DNS/DNF</v>
      </c>
      <c r="AW463" s="62" t="str">
        <f t="shared" si="265"/>
        <v>DNS/DNF</v>
      </c>
      <c r="AX463" s="62" t="str">
        <f t="shared" si="266"/>
        <v>DNS/DNF</v>
      </c>
      <c r="AY463" s="62" t="str">
        <f t="shared" si="267"/>
        <v>DNS/DNF</v>
      </c>
      <c r="AZ463" s="62" t="str">
        <f t="shared" si="268"/>
        <v>DNS/DNF</v>
      </c>
      <c r="BA463" s="62" t="str">
        <f t="shared" si="269"/>
        <v>DNS/DNF</v>
      </c>
      <c r="BB463" s="62" t="str">
        <f t="shared" si="270"/>
        <v>DNS/DNF</v>
      </c>
      <c r="BC463" s="75" t="str">
        <f t="shared" si="271"/>
        <v/>
      </c>
      <c r="BD463" s="53" t="str">
        <f t="shared" si="272"/>
        <v/>
      </c>
      <c r="BE463" s="53" t="str">
        <f t="shared" si="273"/>
        <v/>
      </c>
      <c r="BF463" s="53" t="str">
        <f t="shared" si="274"/>
        <v/>
      </c>
      <c r="BG463" s="53" t="str">
        <f t="shared" si="275"/>
        <v/>
      </c>
      <c r="BH463" s="53" t="str">
        <f t="shared" si="276"/>
        <v/>
      </c>
      <c r="BI463" s="53" t="str">
        <f t="shared" si="277"/>
        <v/>
      </c>
      <c r="BJ463" s="53" t="str">
        <f t="shared" si="278"/>
        <v/>
      </c>
      <c r="BK463" s="53" t="str">
        <f t="shared" si="279"/>
        <v/>
      </c>
    </row>
    <row r="464" spans="2:63">
      <c r="B464" s="89" t="str">
        <f>IFERROR(VLOOKUP($A464,EntryList!$A$3:$N$645,2,FALSE),"")</f>
        <v/>
      </c>
      <c r="D464" s="53">
        <f t="shared" si="253"/>
        <v>0</v>
      </c>
      <c r="N464" s="62">
        <f t="shared" si="254"/>
        <v>0</v>
      </c>
      <c r="O464" s="53" t="str">
        <f t="shared" si="245"/>
        <v/>
      </c>
      <c r="P464" s="53" t="str">
        <f t="shared" si="246"/>
        <v/>
      </c>
      <c r="Q464" s="53" t="str">
        <f t="shared" si="247"/>
        <v/>
      </c>
      <c r="R464" s="53" t="str">
        <f t="shared" si="248"/>
        <v/>
      </c>
      <c r="S464" s="53" t="str">
        <f t="shared" si="249"/>
        <v/>
      </c>
      <c r="T464" s="53" t="str">
        <f t="shared" si="250"/>
        <v/>
      </c>
      <c r="U464" s="53" t="str">
        <f t="shared" si="251"/>
        <v/>
      </c>
      <c r="V464" s="53" t="str">
        <f t="shared" si="252"/>
        <v/>
      </c>
      <c r="W464" s="53" t="str">
        <f t="shared" si="255"/>
        <v>DNS/DNF ()</v>
      </c>
      <c r="X464" s="53" t="str">
        <f t="shared" si="256"/>
        <v>DNS/DNF ()</v>
      </c>
      <c r="Y464" s="53" t="str">
        <f t="shared" si="257"/>
        <v>DNS/DNF ()</v>
      </c>
      <c r="Z464" s="53" t="str">
        <f t="shared" si="258"/>
        <v>DNS/DNF ()</v>
      </c>
      <c r="AA464" s="53" t="str">
        <f t="shared" si="259"/>
        <v>DNS/DNF ()</v>
      </c>
      <c r="AB464" s="53" t="str">
        <f t="shared" si="260"/>
        <v>DNS/DNF ()</v>
      </c>
      <c r="AC464" s="53" t="str">
        <f t="shared" si="261"/>
        <v>DNS/DNF ()</v>
      </c>
      <c r="AD464" s="53" t="str">
        <f t="shared" si="262"/>
        <v>DNS/DNF ()</v>
      </c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62" t="str">
        <f t="shared" si="263"/>
        <v>DNS/DNF</v>
      </c>
      <c r="AV464" s="62" t="str">
        <f t="shared" si="264"/>
        <v>DNS/DNF</v>
      </c>
      <c r="AW464" s="62" t="str">
        <f t="shared" si="265"/>
        <v>DNS/DNF</v>
      </c>
      <c r="AX464" s="62" t="str">
        <f t="shared" si="266"/>
        <v>DNS/DNF</v>
      </c>
      <c r="AY464" s="62" t="str">
        <f t="shared" si="267"/>
        <v>DNS/DNF</v>
      </c>
      <c r="AZ464" s="62" t="str">
        <f t="shared" si="268"/>
        <v>DNS/DNF</v>
      </c>
      <c r="BA464" s="62" t="str">
        <f t="shared" si="269"/>
        <v>DNS/DNF</v>
      </c>
      <c r="BB464" s="62" t="str">
        <f t="shared" si="270"/>
        <v>DNS/DNF</v>
      </c>
      <c r="BC464" s="75" t="str">
        <f t="shared" si="271"/>
        <v/>
      </c>
      <c r="BD464" s="53" t="str">
        <f t="shared" si="272"/>
        <v/>
      </c>
      <c r="BE464" s="53" t="str">
        <f t="shared" si="273"/>
        <v/>
      </c>
      <c r="BF464" s="53" t="str">
        <f t="shared" si="274"/>
        <v/>
      </c>
      <c r="BG464" s="53" t="str">
        <f t="shared" si="275"/>
        <v/>
      </c>
      <c r="BH464" s="53" t="str">
        <f t="shared" si="276"/>
        <v/>
      </c>
      <c r="BI464" s="53" t="str">
        <f t="shared" si="277"/>
        <v/>
      </c>
      <c r="BJ464" s="53" t="str">
        <f t="shared" si="278"/>
        <v/>
      </c>
      <c r="BK464" s="53" t="str">
        <f t="shared" si="279"/>
        <v/>
      </c>
    </row>
    <row r="465" spans="2:63">
      <c r="B465" s="89" t="str">
        <f>IFERROR(VLOOKUP($A465,EntryList!$A$3:$N$645,2,FALSE),"")</f>
        <v/>
      </c>
      <c r="D465" s="53">
        <f t="shared" si="253"/>
        <v>0</v>
      </c>
      <c r="N465" s="62">
        <f t="shared" si="254"/>
        <v>0</v>
      </c>
      <c r="O465" s="53" t="str">
        <f t="shared" si="245"/>
        <v/>
      </c>
      <c r="P465" s="53" t="str">
        <f t="shared" si="246"/>
        <v/>
      </c>
      <c r="Q465" s="53" t="str">
        <f t="shared" si="247"/>
        <v/>
      </c>
      <c r="R465" s="53" t="str">
        <f t="shared" si="248"/>
        <v/>
      </c>
      <c r="S465" s="53" t="str">
        <f t="shared" si="249"/>
        <v/>
      </c>
      <c r="T465" s="53" t="str">
        <f t="shared" si="250"/>
        <v/>
      </c>
      <c r="U465" s="53" t="str">
        <f t="shared" si="251"/>
        <v/>
      </c>
      <c r="V465" s="53" t="str">
        <f t="shared" si="252"/>
        <v/>
      </c>
      <c r="W465" s="53" t="str">
        <f t="shared" si="255"/>
        <v>DNS/DNF ()</v>
      </c>
      <c r="X465" s="53" t="str">
        <f t="shared" si="256"/>
        <v>DNS/DNF ()</v>
      </c>
      <c r="Y465" s="53" t="str">
        <f t="shared" si="257"/>
        <v>DNS/DNF ()</v>
      </c>
      <c r="Z465" s="53" t="str">
        <f t="shared" si="258"/>
        <v>DNS/DNF ()</v>
      </c>
      <c r="AA465" s="53" t="str">
        <f t="shared" si="259"/>
        <v>DNS/DNF ()</v>
      </c>
      <c r="AB465" s="53" t="str">
        <f t="shared" si="260"/>
        <v>DNS/DNF ()</v>
      </c>
      <c r="AC465" s="53" t="str">
        <f t="shared" si="261"/>
        <v>DNS/DNF ()</v>
      </c>
      <c r="AD465" s="53" t="str">
        <f t="shared" si="262"/>
        <v>DNS/DNF ()</v>
      </c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62" t="str">
        <f t="shared" si="263"/>
        <v>DNS/DNF</v>
      </c>
      <c r="AV465" s="62" t="str">
        <f t="shared" si="264"/>
        <v>DNS/DNF</v>
      </c>
      <c r="AW465" s="62" t="str">
        <f t="shared" si="265"/>
        <v>DNS/DNF</v>
      </c>
      <c r="AX465" s="62" t="str">
        <f t="shared" si="266"/>
        <v>DNS/DNF</v>
      </c>
      <c r="AY465" s="62" t="str">
        <f t="shared" si="267"/>
        <v>DNS/DNF</v>
      </c>
      <c r="AZ465" s="62" t="str">
        <f t="shared" si="268"/>
        <v>DNS/DNF</v>
      </c>
      <c r="BA465" s="62" t="str">
        <f t="shared" si="269"/>
        <v>DNS/DNF</v>
      </c>
      <c r="BB465" s="62" t="str">
        <f t="shared" si="270"/>
        <v>DNS/DNF</v>
      </c>
      <c r="BC465" s="75" t="str">
        <f t="shared" si="271"/>
        <v/>
      </c>
      <c r="BD465" s="53" t="str">
        <f t="shared" si="272"/>
        <v/>
      </c>
      <c r="BE465" s="53" t="str">
        <f t="shared" si="273"/>
        <v/>
      </c>
      <c r="BF465" s="53" t="str">
        <f t="shared" si="274"/>
        <v/>
      </c>
      <c r="BG465" s="53" t="str">
        <f t="shared" si="275"/>
        <v/>
      </c>
      <c r="BH465" s="53" t="str">
        <f t="shared" si="276"/>
        <v/>
      </c>
      <c r="BI465" s="53" t="str">
        <f t="shared" si="277"/>
        <v/>
      </c>
      <c r="BJ465" s="53" t="str">
        <f t="shared" si="278"/>
        <v/>
      </c>
      <c r="BK465" s="53" t="str">
        <f t="shared" si="279"/>
        <v/>
      </c>
    </row>
    <row r="466" spans="2:63">
      <c r="B466" s="89" t="str">
        <f>IFERROR(VLOOKUP($A466,EntryList!$A$3:$N$645,2,FALSE),"")</f>
        <v/>
      </c>
      <c r="D466" s="53">
        <f t="shared" si="253"/>
        <v>0</v>
      </c>
      <c r="N466" s="62">
        <f t="shared" si="254"/>
        <v>0</v>
      </c>
      <c r="O466" s="53" t="str">
        <f t="shared" ref="O466:O500" si="280">IFERROR(RANK($AU466,AU$3:AU$500,1),"")</f>
        <v/>
      </c>
      <c r="P466" s="53" t="str">
        <f t="shared" ref="P466:P500" si="281">IFERROR(RANK($AV466,AV$3:AV$500,1),"")</f>
        <v/>
      </c>
      <c r="Q466" s="53" t="str">
        <f t="shared" ref="Q466:Q500" si="282">IFERROR(RANK($AW466,AW$3:AW$500,1),"")</f>
        <v/>
      </c>
      <c r="R466" s="53" t="str">
        <f t="shared" ref="R466:R500" si="283">IFERROR(RANK($AX466,AX$3:AX$500,1),"")</f>
        <v/>
      </c>
      <c r="S466" s="53" t="str">
        <f t="shared" ref="S466:S500" si="284">IFERROR(RANK($AY466,AY$3:AY$500,1),"")</f>
        <v/>
      </c>
      <c r="T466" s="53" t="str">
        <f t="shared" ref="T466:T500" si="285">IFERROR(RANK($AZ466,AZ$3:AZ$500,1),"")</f>
        <v/>
      </c>
      <c r="U466" s="53" t="str">
        <f t="shared" ref="U466:U500" si="286">IFERROR(RANK($BA466,BA$3:BA$500,1),"")</f>
        <v/>
      </c>
      <c r="V466" s="53" t="str">
        <f t="shared" ref="V466:V500" si="287">IFERROR(RANK($BB466,BB$3:BB$500,1),"")</f>
        <v/>
      </c>
      <c r="W466" s="53" t="str">
        <f t="shared" si="255"/>
        <v>DNS/DNF ()</v>
      </c>
      <c r="X466" s="53" t="str">
        <f t="shared" si="256"/>
        <v>DNS/DNF ()</v>
      </c>
      <c r="Y466" s="53" t="str">
        <f t="shared" si="257"/>
        <v>DNS/DNF ()</v>
      </c>
      <c r="Z466" s="53" t="str">
        <f t="shared" si="258"/>
        <v>DNS/DNF ()</v>
      </c>
      <c r="AA466" s="53" t="str">
        <f t="shared" si="259"/>
        <v>DNS/DNF ()</v>
      </c>
      <c r="AB466" s="53" t="str">
        <f t="shared" si="260"/>
        <v>DNS/DNF ()</v>
      </c>
      <c r="AC466" s="53" t="str">
        <f t="shared" si="261"/>
        <v>DNS/DNF ()</v>
      </c>
      <c r="AD466" s="53" t="str">
        <f t="shared" si="262"/>
        <v>DNS/DNF ()</v>
      </c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62" t="str">
        <f t="shared" si="263"/>
        <v>DNS/DNF</v>
      </c>
      <c r="AV466" s="62" t="str">
        <f t="shared" si="264"/>
        <v>DNS/DNF</v>
      </c>
      <c r="AW466" s="62" t="str">
        <f t="shared" si="265"/>
        <v>DNS/DNF</v>
      </c>
      <c r="AX466" s="62" t="str">
        <f t="shared" si="266"/>
        <v>DNS/DNF</v>
      </c>
      <c r="AY466" s="62" t="str">
        <f t="shared" si="267"/>
        <v>DNS/DNF</v>
      </c>
      <c r="AZ466" s="62" t="str">
        <f t="shared" si="268"/>
        <v>DNS/DNF</v>
      </c>
      <c r="BA466" s="62" t="str">
        <f t="shared" si="269"/>
        <v>DNS/DNF</v>
      </c>
      <c r="BB466" s="62" t="str">
        <f t="shared" si="270"/>
        <v>DNS/DNF</v>
      </c>
      <c r="BC466" s="75" t="str">
        <f t="shared" si="271"/>
        <v/>
      </c>
      <c r="BD466" s="53" t="str">
        <f t="shared" si="272"/>
        <v/>
      </c>
      <c r="BE466" s="53" t="str">
        <f t="shared" si="273"/>
        <v/>
      </c>
      <c r="BF466" s="53" t="str">
        <f t="shared" si="274"/>
        <v/>
      </c>
      <c r="BG466" s="53" t="str">
        <f t="shared" si="275"/>
        <v/>
      </c>
      <c r="BH466" s="53" t="str">
        <f t="shared" si="276"/>
        <v/>
      </c>
      <c r="BI466" s="53" t="str">
        <f t="shared" si="277"/>
        <v/>
      </c>
      <c r="BJ466" s="53" t="str">
        <f t="shared" si="278"/>
        <v/>
      </c>
      <c r="BK466" s="53" t="str">
        <f t="shared" si="279"/>
        <v/>
      </c>
    </row>
    <row r="467" spans="2:63">
      <c r="B467" s="89" t="str">
        <f>IFERROR(VLOOKUP($A467,EntryList!$A$3:$N$645,2,FALSE),"")</f>
        <v/>
      </c>
      <c r="D467" s="53">
        <f t="shared" si="253"/>
        <v>0</v>
      </c>
      <c r="N467" s="62">
        <f t="shared" si="254"/>
        <v>0</v>
      </c>
      <c r="O467" s="53" t="str">
        <f t="shared" si="280"/>
        <v/>
      </c>
      <c r="P467" s="53" t="str">
        <f t="shared" si="281"/>
        <v/>
      </c>
      <c r="Q467" s="53" t="str">
        <f t="shared" si="282"/>
        <v/>
      </c>
      <c r="R467" s="53" t="str">
        <f t="shared" si="283"/>
        <v/>
      </c>
      <c r="S467" s="53" t="str">
        <f t="shared" si="284"/>
        <v/>
      </c>
      <c r="T467" s="53" t="str">
        <f t="shared" si="285"/>
        <v/>
      </c>
      <c r="U467" s="53" t="str">
        <f t="shared" si="286"/>
        <v/>
      </c>
      <c r="V467" s="53" t="str">
        <f t="shared" si="287"/>
        <v/>
      </c>
      <c r="W467" s="53" t="str">
        <f t="shared" si="255"/>
        <v>DNS/DNF ()</v>
      </c>
      <c r="X467" s="53" t="str">
        <f t="shared" si="256"/>
        <v>DNS/DNF ()</v>
      </c>
      <c r="Y467" s="53" t="str">
        <f t="shared" si="257"/>
        <v>DNS/DNF ()</v>
      </c>
      <c r="Z467" s="53" t="str">
        <f t="shared" si="258"/>
        <v>DNS/DNF ()</v>
      </c>
      <c r="AA467" s="53" t="str">
        <f t="shared" si="259"/>
        <v>DNS/DNF ()</v>
      </c>
      <c r="AB467" s="53" t="str">
        <f t="shared" si="260"/>
        <v>DNS/DNF ()</v>
      </c>
      <c r="AC467" s="53" t="str">
        <f t="shared" si="261"/>
        <v>DNS/DNF ()</v>
      </c>
      <c r="AD467" s="53" t="str">
        <f t="shared" si="262"/>
        <v>DNS/DNF ()</v>
      </c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62" t="str">
        <f t="shared" si="263"/>
        <v>DNS/DNF</v>
      </c>
      <c r="AV467" s="62" t="str">
        <f t="shared" si="264"/>
        <v>DNS/DNF</v>
      </c>
      <c r="AW467" s="62" t="str">
        <f t="shared" si="265"/>
        <v>DNS/DNF</v>
      </c>
      <c r="AX467" s="62" t="str">
        <f t="shared" si="266"/>
        <v>DNS/DNF</v>
      </c>
      <c r="AY467" s="62" t="str">
        <f t="shared" si="267"/>
        <v>DNS/DNF</v>
      </c>
      <c r="AZ467" s="62" t="str">
        <f t="shared" si="268"/>
        <v>DNS/DNF</v>
      </c>
      <c r="BA467" s="62" t="str">
        <f t="shared" si="269"/>
        <v>DNS/DNF</v>
      </c>
      <c r="BB467" s="62" t="str">
        <f t="shared" si="270"/>
        <v>DNS/DNF</v>
      </c>
      <c r="BC467" s="75" t="str">
        <f t="shared" si="271"/>
        <v/>
      </c>
      <c r="BD467" s="53" t="str">
        <f t="shared" si="272"/>
        <v/>
      </c>
      <c r="BE467" s="53" t="str">
        <f t="shared" si="273"/>
        <v/>
      </c>
      <c r="BF467" s="53" t="str">
        <f t="shared" si="274"/>
        <v/>
      </c>
      <c r="BG467" s="53" t="str">
        <f t="shared" si="275"/>
        <v/>
      </c>
      <c r="BH467" s="53" t="str">
        <f t="shared" si="276"/>
        <v/>
      </c>
      <c r="BI467" s="53" t="str">
        <f t="shared" si="277"/>
        <v/>
      </c>
      <c r="BJ467" s="53" t="str">
        <f t="shared" si="278"/>
        <v/>
      </c>
      <c r="BK467" s="53" t="str">
        <f t="shared" si="279"/>
        <v/>
      </c>
    </row>
    <row r="468" spans="2:63">
      <c r="B468" s="89" t="str">
        <f>IFERROR(VLOOKUP($A468,EntryList!$A$3:$N$645,2,FALSE),"")</f>
        <v/>
      </c>
      <c r="D468" s="53">
        <f t="shared" si="253"/>
        <v>0</v>
      </c>
      <c r="N468" s="62">
        <f t="shared" si="254"/>
        <v>0</v>
      </c>
      <c r="O468" s="53" t="str">
        <f t="shared" si="280"/>
        <v/>
      </c>
      <c r="P468" s="53" t="str">
        <f t="shared" si="281"/>
        <v/>
      </c>
      <c r="Q468" s="53" t="str">
        <f t="shared" si="282"/>
        <v/>
      </c>
      <c r="R468" s="53" t="str">
        <f t="shared" si="283"/>
        <v/>
      </c>
      <c r="S468" s="53" t="str">
        <f t="shared" si="284"/>
        <v/>
      </c>
      <c r="T468" s="53" t="str">
        <f t="shared" si="285"/>
        <v/>
      </c>
      <c r="U468" s="53" t="str">
        <f t="shared" si="286"/>
        <v/>
      </c>
      <c r="V468" s="53" t="str">
        <f t="shared" si="287"/>
        <v/>
      </c>
      <c r="W468" s="53" t="str">
        <f t="shared" si="255"/>
        <v>DNS/DNF ()</v>
      </c>
      <c r="X468" s="53" t="str">
        <f t="shared" si="256"/>
        <v>DNS/DNF ()</v>
      </c>
      <c r="Y468" s="53" t="str">
        <f t="shared" si="257"/>
        <v>DNS/DNF ()</v>
      </c>
      <c r="Z468" s="53" t="str">
        <f t="shared" si="258"/>
        <v>DNS/DNF ()</v>
      </c>
      <c r="AA468" s="53" t="str">
        <f t="shared" si="259"/>
        <v>DNS/DNF ()</v>
      </c>
      <c r="AB468" s="53" t="str">
        <f t="shared" si="260"/>
        <v>DNS/DNF ()</v>
      </c>
      <c r="AC468" s="53" t="str">
        <f t="shared" si="261"/>
        <v>DNS/DNF ()</v>
      </c>
      <c r="AD468" s="53" t="str">
        <f t="shared" si="262"/>
        <v>DNS/DNF ()</v>
      </c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62" t="str">
        <f t="shared" si="263"/>
        <v>DNS/DNF</v>
      </c>
      <c r="AV468" s="62" t="str">
        <f t="shared" si="264"/>
        <v>DNS/DNF</v>
      </c>
      <c r="AW468" s="62" t="str">
        <f t="shared" si="265"/>
        <v>DNS/DNF</v>
      </c>
      <c r="AX468" s="62" t="str">
        <f t="shared" si="266"/>
        <v>DNS/DNF</v>
      </c>
      <c r="AY468" s="62" t="str">
        <f t="shared" si="267"/>
        <v>DNS/DNF</v>
      </c>
      <c r="AZ468" s="62" t="str">
        <f t="shared" si="268"/>
        <v>DNS/DNF</v>
      </c>
      <c r="BA468" s="62" t="str">
        <f t="shared" si="269"/>
        <v>DNS/DNF</v>
      </c>
      <c r="BB468" s="62" t="str">
        <f t="shared" si="270"/>
        <v>DNS/DNF</v>
      </c>
      <c r="BC468" s="75" t="str">
        <f t="shared" si="271"/>
        <v/>
      </c>
      <c r="BD468" s="53" t="str">
        <f t="shared" si="272"/>
        <v/>
      </c>
      <c r="BE468" s="53" t="str">
        <f t="shared" si="273"/>
        <v/>
      </c>
      <c r="BF468" s="53" t="str">
        <f t="shared" si="274"/>
        <v/>
      </c>
      <c r="BG468" s="53" t="str">
        <f t="shared" si="275"/>
        <v/>
      </c>
      <c r="BH468" s="53" t="str">
        <f t="shared" si="276"/>
        <v/>
      </c>
      <c r="BI468" s="53" t="str">
        <f t="shared" si="277"/>
        <v/>
      </c>
      <c r="BJ468" s="53" t="str">
        <f t="shared" si="278"/>
        <v/>
      </c>
      <c r="BK468" s="53" t="str">
        <f t="shared" si="279"/>
        <v/>
      </c>
    </row>
    <row r="469" spans="2:63">
      <c r="B469" s="89" t="str">
        <f>IFERROR(VLOOKUP($A469,EntryList!$A$3:$N$645,2,FALSE),"")</f>
        <v/>
      </c>
      <c r="D469" s="53">
        <f t="shared" si="253"/>
        <v>0</v>
      </c>
      <c r="N469" s="62">
        <f t="shared" si="254"/>
        <v>0</v>
      </c>
      <c r="O469" s="53" t="str">
        <f t="shared" si="280"/>
        <v/>
      </c>
      <c r="P469" s="53" t="str">
        <f t="shared" si="281"/>
        <v/>
      </c>
      <c r="Q469" s="53" t="str">
        <f t="shared" si="282"/>
        <v/>
      </c>
      <c r="R469" s="53" t="str">
        <f t="shared" si="283"/>
        <v/>
      </c>
      <c r="S469" s="53" t="str">
        <f t="shared" si="284"/>
        <v/>
      </c>
      <c r="T469" s="53" t="str">
        <f t="shared" si="285"/>
        <v/>
      </c>
      <c r="U469" s="53" t="str">
        <f t="shared" si="286"/>
        <v/>
      </c>
      <c r="V469" s="53" t="str">
        <f t="shared" si="287"/>
        <v/>
      </c>
      <c r="W469" s="53" t="str">
        <f t="shared" si="255"/>
        <v>DNS/DNF ()</v>
      </c>
      <c r="X469" s="53" t="str">
        <f t="shared" si="256"/>
        <v>DNS/DNF ()</v>
      </c>
      <c r="Y469" s="53" t="str">
        <f t="shared" si="257"/>
        <v>DNS/DNF ()</v>
      </c>
      <c r="Z469" s="53" t="str">
        <f t="shared" si="258"/>
        <v>DNS/DNF ()</v>
      </c>
      <c r="AA469" s="53" t="str">
        <f t="shared" si="259"/>
        <v>DNS/DNF ()</v>
      </c>
      <c r="AB469" s="53" t="str">
        <f t="shared" si="260"/>
        <v>DNS/DNF ()</v>
      </c>
      <c r="AC469" s="53" t="str">
        <f t="shared" si="261"/>
        <v>DNS/DNF ()</v>
      </c>
      <c r="AD469" s="53" t="str">
        <f t="shared" si="262"/>
        <v>DNS/DNF ()</v>
      </c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62" t="str">
        <f t="shared" si="263"/>
        <v>DNS/DNF</v>
      </c>
      <c r="AV469" s="62" t="str">
        <f t="shared" si="264"/>
        <v>DNS/DNF</v>
      </c>
      <c r="AW469" s="62" t="str">
        <f t="shared" si="265"/>
        <v>DNS/DNF</v>
      </c>
      <c r="AX469" s="62" t="str">
        <f t="shared" si="266"/>
        <v>DNS/DNF</v>
      </c>
      <c r="AY469" s="62" t="str">
        <f t="shared" si="267"/>
        <v>DNS/DNF</v>
      </c>
      <c r="AZ469" s="62" t="str">
        <f t="shared" si="268"/>
        <v>DNS/DNF</v>
      </c>
      <c r="BA469" s="62" t="str">
        <f t="shared" si="269"/>
        <v>DNS/DNF</v>
      </c>
      <c r="BB469" s="62" t="str">
        <f t="shared" si="270"/>
        <v>DNS/DNF</v>
      </c>
      <c r="BC469" s="75" t="str">
        <f t="shared" si="271"/>
        <v/>
      </c>
      <c r="BD469" s="53" t="str">
        <f t="shared" si="272"/>
        <v/>
      </c>
      <c r="BE469" s="53" t="str">
        <f t="shared" si="273"/>
        <v/>
      </c>
      <c r="BF469" s="53" t="str">
        <f t="shared" si="274"/>
        <v/>
      </c>
      <c r="BG469" s="53" t="str">
        <f t="shared" si="275"/>
        <v/>
      </c>
      <c r="BH469" s="53" t="str">
        <f t="shared" si="276"/>
        <v/>
      </c>
      <c r="BI469" s="53" t="str">
        <f t="shared" si="277"/>
        <v/>
      </c>
      <c r="BJ469" s="53" t="str">
        <f t="shared" si="278"/>
        <v/>
      </c>
      <c r="BK469" s="53" t="str">
        <f t="shared" si="279"/>
        <v/>
      </c>
    </row>
    <row r="470" spans="2:63">
      <c r="B470" s="89" t="str">
        <f>IFERROR(VLOOKUP($A470,EntryList!$A$3:$N$645,2,FALSE),"")</f>
        <v/>
      </c>
      <c r="D470" s="53">
        <f t="shared" si="253"/>
        <v>0</v>
      </c>
      <c r="N470" s="62">
        <f t="shared" si="254"/>
        <v>0</v>
      </c>
      <c r="O470" s="53" t="str">
        <f t="shared" si="280"/>
        <v/>
      </c>
      <c r="P470" s="53" t="str">
        <f t="shared" si="281"/>
        <v/>
      </c>
      <c r="Q470" s="53" t="str">
        <f t="shared" si="282"/>
        <v/>
      </c>
      <c r="R470" s="53" t="str">
        <f t="shared" si="283"/>
        <v/>
      </c>
      <c r="S470" s="53" t="str">
        <f t="shared" si="284"/>
        <v/>
      </c>
      <c r="T470" s="53" t="str">
        <f t="shared" si="285"/>
        <v/>
      </c>
      <c r="U470" s="53" t="str">
        <f t="shared" si="286"/>
        <v/>
      </c>
      <c r="V470" s="53" t="str">
        <f t="shared" si="287"/>
        <v/>
      </c>
      <c r="W470" s="53" t="str">
        <f t="shared" si="255"/>
        <v>DNS/DNF ()</v>
      </c>
      <c r="X470" s="53" t="str">
        <f t="shared" si="256"/>
        <v>DNS/DNF ()</v>
      </c>
      <c r="Y470" s="53" t="str">
        <f t="shared" si="257"/>
        <v>DNS/DNF ()</v>
      </c>
      <c r="Z470" s="53" t="str">
        <f t="shared" si="258"/>
        <v>DNS/DNF ()</v>
      </c>
      <c r="AA470" s="53" t="str">
        <f t="shared" si="259"/>
        <v>DNS/DNF ()</v>
      </c>
      <c r="AB470" s="53" t="str">
        <f t="shared" si="260"/>
        <v>DNS/DNF ()</v>
      </c>
      <c r="AC470" s="53" t="str">
        <f t="shared" si="261"/>
        <v>DNS/DNF ()</v>
      </c>
      <c r="AD470" s="53" t="str">
        <f t="shared" si="262"/>
        <v>DNS/DNF ()</v>
      </c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62" t="str">
        <f t="shared" si="263"/>
        <v>DNS/DNF</v>
      </c>
      <c r="AV470" s="62" t="str">
        <f t="shared" si="264"/>
        <v>DNS/DNF</v>
      </c>
      <c r="AW470" s="62" t="str">
        <f t="shared" si="265"/>
        <v>DNS/DNF</v>
      </c>
      <c r="AX470" s="62" t="str">
        <f t="shared" si="266"/>
        <v>DNS/DNF</v>
      </c>
      <c r="AY470" s="62" t="str">
        <f t="shared" si="267"/>
        <v>DNS/DNF</v>
      </c>
      <c r="AZ470" s="62" t="str">
        <f t="shared" si="268"/>
        <v>DNS/DNF</v>
      </c>
      <c r="BA470" s="62" t="str">
        <f t="shared" si="269"/>
        <v>DNS/DNF</v>
      </c>
      <c r="BB470" s="62" t="str">
        <f t="shared" si="270"/>
        <v>DNS/DNF</v>
      </c>
      <c r="BC470" s="75" t="str">
        <f t="shared" si="271"/>
        <v/>
      </c>
      <c r="BD470" s="53" t="str">
        <f t="shared" si="272"/>
        <v/>
      </c>
      <c r="BE470" s="53" t="str">
        <f t="shared" si="273"/>
        <v/>
      </c>
      <c r="BF470" s="53" t="str">
        <f t="shared" si="274"/>
        <v/>
      </c>
      <c r="BG470" s="53" t="str">
        <f t="shared" si="275"/>
        <v/>
      </c>
      <c r="BH470" s="53" t="str">
        <f t="shared" si="276"/>
        <v/>
      </c>
      <c r="BI470" s="53" t="str">
        <f t="shared" si="277"/>
        <v/>
      </c>
      <c r="BJ470" s="53" t="str">
        <f t="shared" si="278"/>
        <v/>
      </c>
      <c r="BK470" s="53" t="str">
        <f t="shared" si="279"/>
        <v/>
      </c>
    </row>
    <row r="471" spans="2:63">
      <c r="B471" s="89" t="str">
        <f>IFERROR(VLOOKUP($A471,EntryList!$A$3:$N$645,2,FALSE),"")</f>
        <v/>
      </c>
      <c r="D471" s="53">
        <f t="shared" si="253"/>
        <v>0</v>
      </c>
      <c r="N471" s="62">
        <f t="shared" si="254"/>
        <v>0</v>
      </c>
      <c r="O471" s="53" t="str">
        <f t="shared" si="280"/>
        <v/>
      </c>
      <c r="P471" s="53" t="str">
        <f t="shared" si="281"/>
        <v/>
      </c>
      <c r="Q471" s="53" t="str">
        <f t="shared" si="282"/>
        <v/>
      </c>
      <c r="R471" s="53" t="str">
        <f t="shared" si="283"/>
        <v/>
      </c>
      <c r="S471" s="53" t="str">
        <f t="shared" si="284"/>
        <v/>
      </c>
      <c r="T471" s="53" t="str">
        <f t="shared" si="285"/>
        <v/>
      </c>
      <c r="U471" s="53" t="str">
        <f t="shared" si="286"/>
        <v/>
      </c>
      <c r="V471" s="53" t="str">
        <f t="shared" si="287"/>
        <v/>
      </c>
      <c r="W471" s="53" t="str">
        <f t="shared" si="255"/>
        <v>DNS/DNF ()</v>
      </c>
      <c r="X471" s="53" t="str">
        <f t="shared" si="256"/>
        <v>DNS/DNF ()</v>
      </c>
      <c r="Y471" s="53" t="str">
        <f t="shared" si="257"/>
        <v>DNS/DNF ()</v>
      </c>
      <c r="Z471" s="53" t="str">
        <f t="shared" si="258"/>
        <v>DNS/DNF ()</v>
      </c>
      <c r="AA471" s="53" t="str">
        <f t="shared" si="259"/>
        <v>DNS/DNF ()</v>
      </c>
      <c r="AB471" s="53" t="str">
        <f t="shared" si="260"/>
        <v>DNS/DNF ()</v>
      </c>
      <c r="AC471" s="53" t="str">
        <f t="shared" si="261"/>
        <v>DNS/DNF ()</v>
      </c>
      <c r="AD471" s="53" t="str">
        <f t="shared" si="262"/>
        <v>DNS/DNF ()</v>
      </c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62" t="str">
        <f t="shared" si="263"/>
        <v>DNS/DNF</v>
      </c>
      <c r="AV471" s="62" t="str">
        <f t="shared" si="264"/>
        <v>DNS/DNF</v>
      </c>
      <c r="AW471" s="62" t="str">
        <f t="shared" si="265"/>
        <v>DNS/DNF</v>
      </c>
      <c r="AX471" s="62" t="str">
        <f t="shared" si="266"/>
        <v>DNS/DNF</v>
      </c>
      <c r="AY471" s="62" t="str">
        <f t="shared" si="267"/>
        <v>DNS/DNF</v>
      </c>
      <c r="AZ471" s="62" t="str">
        <f t="shared" si="268"/>
        <v>DNS/DNF</v>
      </c>
      <c r="BA471" s="62" t="str">
        <f t="shared" si="269"/>
        <v>DNS/DNF</v>
      </c>
      <c r="BB471" s="62" t="str">
        <f t="shared" si="270"/>
        <v>DNS/DNF</v>
      </c>
      <c r="BC471" s="75" t="str">
        <f t="shared" si="271"/>
        <v/>
      </c>
      <c r="BD471" s="53" t="str">
        <f t="shared" si="272"/>
        <v/>
      </c>
      <c r="BE471" s="53" t="str">
        <f t="shared" si="273"/>
        <v/>
      </c>
      <c r="BF471" s="53" t="str">
        <f t="shared" si="274"/>
        <v/>
      </c>
      <c r="BG471" s="53" t="str">
        <f t="shared" si="275"/>
        <v/>
      </c>
      <c r="BH471" s="53" t="str">
        <f t="shared" si="276"/>
        <v/>
      </c>
      <c r="BI471" s="53" t="str">
        <f t="shared" si="277"/>
        <v/>
      </c>
      <c r="BJ471" s="53" t="str">
        <f t="shared" si="278"/>
        <v/>
      </c>
      <c r="BK471" s="53" t="str">
        <f t="shared" si="279"/>
        <v/>
      </c>
    </row>
    <row r="472" spans="2:63">
      <c r="B472" s="89" t="str">
        <f>IFERROR(VLOOKUP($A472,EntryList!$A$3:$N$645,2,FALSE),"")</f>
        <v/>
      </c>
      <c r="D472" s="53">
        <f t="shared" si="253"/>
        <v>0</v>
      </c>
      <c r="N472" s="62">
        <f t="shared" si="254"/>
        <v>0</v>
      </c>
      <c r="O472" s="53" t="str">
        <f t="shared" si="280"/>
        <v/>
      </c>
      <c r="P472" s="53" t="str">
        <f t="shared" si="281"/>
        <v/>
      </c>
      <c r="Q472" s="53" t="str">
        <f t="shared" si="282"/>
        <v/>
      </c>
      <c r="R472" s="53" t="str">
        <f t="shared" si="283"/>
        <v/>
      </c>
      <c r="S472" s="53" t="str">
        <f t="shared" si="284"/>
        <v/>
      </c>
      <c r="T472" s="53" t="str">
        <f t="shared" si="285"/>
        <v/>
      </c>
      <c r="U472" s="53" t="str">
        <f t="shared" si="286"/>
        <v/>
      </c>
      <c r="V472" s="53" t="str">
        <f t="shared" si="287"/>
        <v/>
      </c>
      <c r="W472" s="53" t="str">
        <f t="shared" si="255"/>
        <v>DNS/DNF ()</v>
      </c>
      <c r="X472" s="53" t="str">
        <f t="shared" si="256"/>
        <v>DNS/DNF ()</v>
      </c>
      <c r="Y472" s="53" t="str">
        <f t="shared" si="257"/>
        <v>DNS/DNF ()</v>
      </c>
      <c r="Z472" s="53" t="str">
        <f t="shared" si="258"/>
        <v>DNS/DNF ()</v>
      </c>
      <c r="AA472" s="53" t="str">
        <f t="shared" si="259"/>
        <v>DNS/DNF ()</v>
      </c>
      <c r="AB472" s="53" t="str">
        <f t="shared" si="260"/>
        <v>DNS/DNF ()</v>
      </c>
      <c r="AC472" s="53" t="str">
        <f t="shared" si="261"/>
        <v>DNS/DNF ()</v>
      </c>
      <c r="AD472" s="53" t="str">
        <f t="shared" si="262"/>
        <v>DNS/DNF ()</v>
      </c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62" t="str">
        <f t="shared" si="263"/>
        <v>DNS/DNF</v>
      </c>
      <c r="AV472" s="62" t="str">
        <f t="shared" si="264"/>
        <v>DNS/DNF</v>
      </c>
      <c r="AW472" s="62" t="str">
        <f t="shared" si="265"/>
        <v>DNS/DNF</v>
      </c>
      <c r="AX472" s="62" t="str">
        <f t="shared" si="266"/>
        <v>DNS/DNF</v>
      </c>
      <c r="AY472" s="62" t="str">
        <f t="shared" si="267"/>
        <v>DNS/DNF</v>
      </c>
      <c r="AZ472" s="62" t="str">
        <f t="shared" si="268"/>
        <v>DNS/DNF</v>
      </c>
      <c r="BA472" s="62" t="str">
        <f t="shared" si="269"/>
        <v>DNS/DNF</v>
      </c>
      <c r="BB472" s="62" t="str">
        <f t="shared" si="270"/>
        <v>DNS/DNF</v>
      </c>
      <c r="BC472" s="75" t="str">
        <f t="shared" si="271"/>
        <v/>
      </c>
      <c r="BD472" s="53" t="str">
        <f t="shared" si="272"/>
        <v/>
      </c>
      <c r="BE472" s="53" t="str">
        <f t="shared" si="273"/>
        <v/>
      </c>
      <c r="BF472" s="53" t="str">
        <f t="shared" si="274"/>
        <v/>
      </c>
      <c r="BG472" s="53" t="str">
        <f t="shared" si="275"/>
        <v/>
      </c>
      <c r="BH472" s="53" t="str">
        <f t="shared" si="276"/>
        <v/>
      </c>
      <c r="BI472" s="53" t="str">
        <f t="shared" si="277"/>
        <v/>
      </c>
      <c r="BJ472" s="53" t="str">
        <f t="shared" si="278"/>
        <v/>
      </c>
      <c r="BK472" s="53" t="str">
        <f t="shared" si="279"/>
        <v/>
      </c>
    </row>
    <row r="473" spans="2:63">
      <c r="B473" s="89" t="str">
        <f>IFERROR(VLOOKUP($A473,EntryList!$A$3:$N$645,2,FALSE),"")</f>
        <v/>
      </c>
      <c r="D473" s="53">
        <f t="shared" si="253"/>
        <v>0</v>
      </c>
      <c r="N473" s="62">
        <f t="shared" si="254"/>
        <v>0</v>
      </c>
      <c r="O473" s="53" t="str">
        <f t="shared" si="280"/>
        <v/>
      </c>
      <c r="P473" s="53" t="str">
        <f t="shared" si="281"/>
        <v/>
      </c>
      <c r="Q473" s="53" t="str">
        <f t="shared" si="282"/>
        <v/>
      </c>
      <c r="R473" s="53" t="str">
        <f t="shared" si="283"/>
        <v/>
      </c>
      <c r="S473" s="53" t="str">
        <f t="shared" si="284"/>
        <v/>
      </c>
      <c r="T473" s="53" t="str">
        <f t="shared" si="285"/>
        <v/>
      </c>
      <c r="U473" s="53" t="str">
        <f t="shared" si="286"/>
        <v/>
      </c>
      <c r="V473" s="53" t="str">
        <f t="shared" si="287"/>
        <v/>
      </c>
      <c r="W473" s="53" t="str">
        <f t="shared" si="255"/>
        <v>DNS/DNF ()</v>
      </c>
      <c r="X473" s="53" t="str">
        <f t="shared" si="256"/>
        <v>DNS/DNF ()</v>
      </c>
      <c r="Y473" s="53" t="str">
        <f t="shared" si="257"/>
        <v>DNS/DNF ()</v>
      </c>
      <c r="Z473" s="53" t="str">
        <f t="shared" si="258"/>
        <v>DNS/DNF ()</v>
      </c>
      <c r="AA473" s="53" t="str">
        <f t="shared" si="259"/>
        <v>DNS/DNF ()</v>
      </c>
      <c r="AB473" s="53" t="str">
        <f t="shared" si="260"/>
        <v>DNS/DNF ()</v>
      </c>
      <c r="AC473" s="53" t="str">
        <f t="shared" si="261"/>
        <v>DNS/DNF ()</v>
      </c>
      <c r="AD473" s="53" t="str">
        <f t="shared" si="262"/>
        <v>DNS/DNF ()</v>
      </c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62" t="str">
        <f t="shared" si="263"/>
        <v>DNS/DNF</v>
      </c>
      <c r="AV473" s="62" t="str">
        <f t="shared" si="264"/>
        <v>DNS/DNF</v>
      </c>
      <c r="AW473" s="62" t="str">
        <f t="shared" si="265"/>
        <v>DNS/DNF</v>
      </c>
      <c r="AX473" s="62" t="str">
        <f t="shared" si="266"/>
        <v>DNS/DNF</v>
      </c>
      <c r="AY473" s="62" t="str">
        <f t="shared" si="267"/>
        <v>DNS/DNF</v>
      </c>
      <c r="AZ473" s="62" t="str">
        <f t="shared" si="268"/>
        <v>DNS/DNF</v>
      </c>
      <c r="BA473" s="62" t="str">
        <f t="shared" si="269"/>
        <v>DNS/DNF</v>
      </c>
      <c r="BB473" s="62" t="str">
        <f t="shared" si="270"/>
        <v>DNS/DNF</v>
      </c>
      <c r="BC473" s="75" t="str">
        <f t="shared" si="271"/>
        <v/>
      </c>
      <c r="BD473" s="53" t="str">
        <f t="shared" si="272"/>
        <v/>
      </c>
      <c r="BE473" s="53" t="str">
        <f t="shared" si="273"/>
        <v/>
      </c>
      <c r="BF473" s="53" t="str">
        <f t="shared" si="274"/>
        <v/>
      </c>
      <c r="BG473" s="53" t="str">
        <f t="shared" si="275"/>
        <v/>
      </c>
      <c r="BH473" s="53" t="str">
        <f t="shared" si="276"/>
        <v/>
      </c>
      <c r="BI473" s="53" t="str">
        <f t="shared" si="277"/>
        <v/>
      </c>
      <c r="BJ473" s="53" t="str">
        <f t="shared" si="278"/>
        <v/>
      </c>
      <c r="BK473" s="53" t="str">
        <f t="shared" si="279"/>
        <v/>
      </c>
    </row>
    <row r="474" spans="2:63">
      <c r="B474" s="89" t="str">
        <f>IFERROR(VLOOKUP($A474,EntryList!$A$3:$N$645,2,FALSE),"")</f>
        <v/>
      </c>
      <c r="D474" s="53">
        <f t="shared" si="253"/>
        <v>0</v>
      </c>
      <c r="N474" s="62">
        <f t="shared" si="254"/>
        <v>0</v>
      </c>
      <c r="O474" s="53" t="str">
        <f t="shared" si="280"/>
        <v/>
      </c>
      <c r="P474" s="53" t="str">
        <f t="shared" si="281"/>
        <v/>
      </c>
      <c r="Q474" s="53" t="str">
        <f t="shared" si="282"/>
        <v/>
      </c>
      <c r="R474" s="53" t="str">
        <f t="shared" si="283"/>
        <v/>
      </c>
      <c r="S474" s="53" t="str">
        <f t="shared" si="284"/>
        <v/>
      </c>
      <c r="T474" s="53" t="str">
        <f t="shared" si="285"/>
        <v/>
      </c>
      <c r="U474" s="53" t="str">
        <f t="shared" si="286"/>
        <v/>
      </c>
      <c r="V474" s="53" t="str">
        <f t="shared" si="287"/>
        <v/>
      </c>
      <c r="W474" s="53" t="str">
        <f t="shared" si="255"/>
        <v>DNS/DNF ()</v>
      </c>
      <c r="X474" s="53" t="str">
        <f t="shared" si="256"/>
        <v>DNS/DNF ()</v>
      </c>
      <c r="Y474" s="53" t="str">
        <f t="shared" si="257"/>
        <v>DNS/DNF ()</v>
      </c>
      <c r="Z474" s="53" t="str">
        <f t="shared" si="258"/>
        <v>DNS/DNF ()</v>
      </c>
      <c r="AA474" s="53" t="str">
        <f t="shared" si="259"/>
        <v>DNS/DNF ()</v>
      </c>
      <c r="AB474" s="53" t="str">
        <f t="shared" si="260"/>
        <v>DNS/DNF ()</v>
      </c>
      <c r="AC474" s="53" t="str">
        <f t="shared" si="261"/>
        <v>DNS/DNF ()</v>
      </c>
      <c r="AD474" s="53" t="str">
        <f t="shared" si="262"/>
        <v>DNS/DNF ()</v>
      </c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62" t="str">
        <f t="shared" si="263"/>
        <v>DNS/DNF</v>
      </c>
      <c r="AV474" s="62" t="str">
        <f t="shared" si="264"/>
        <v>DNS/DNF</v>
      </c>
      <c r="AW474" s="62" t="str">
        <f t="shared" si="265"/>
        <v>DNS/DNF</v>
      </c>
      <c r="AX474" s="62" t="str">
        <f t="shared" si="266"/>
        <v>DNS/DNF</v>
      </c>
      <c r="AY474" s="62" t="str">
        <f t="shared" si="267"/>
        <v>DNS/DNF</v>
      </c>
      <c r="AZ474" s="62" t="str">
        <f t="shared" si="268"/>
        <v>DNS/DNF</v>
      </c>
      <c r="BA474" s="62" t="str">
        <f t="shared" si="269"/>
        <v>DNS/DNF</v>
      </c>
      <c r="BB474" s="62" t="str">
        <f t="shared" si="270"/>
        <v>DNS/DNF</v>
      </c>
      <c r="BC474" s="75" t="str">
        <f t="shared" si="271"/>
        <v/>
      </c>
      <c r="BD474" s="53" t="str">
        <f t="shared" si="272"/>
        <v/>
      </c>
      <c r="BE474" s="53" t="str">
        <f t="shared" si="273"/>
        <v/>
      </c>
      <c r="BF474" s="53" t="str">
        <f t="shared" si="274"/>
        <v/>
      </c>
      <c r="BG474" s="53" t="str">
        <f t="shared" si="275"/>
        <v/>
      </c>
      <c r="BH474" s="53" t="str">
        <f t="shared" si="276"/>
        <v/>
      </c>
      <c r="BI474" s="53" t="str">
        <f t="shared" si="277"/>
        <v/>
      </c>
      <c r="BJ474" s="53" t="str">
        <f t="shared" si="278"/>
        <v/>
      </c>
      <c r="BK474" s="53" t="str">
        <f t="shared" si="279"/>
        <v/>
      </c>
    </row>
    <row r="475" spans="2:63">
      <c r="B475" s="89" t="str">
        <f>IFERROR(VLOOKUP($A475,EntryList!$A$3:$N$645,2,FALSE),"")</f>
        <v/>
      </c>
      <c r="D475" s="53">
        <f t="shared" si="253"/>
        <v>0</v>
      </c>
      <c r="N475" s="62">
        <f t="shared" si="254"/>
        <v>0</v>
      </c>
      <c r="O475" s="53" t="str">
        <f t="shared" si="280"/>
        <v/>
      </c>
      <c r="P475" s="53" t="str">
        <f t="shared" si="281"/>
        <v/>
      </c>
      <c r="Q475" s="53" t="str">
        <f t="shared" si="282"/>
        <v/>
      </c>
      <c r="R475" s="53" t="str">
        <f t="shared" si="283"/>
        <v/>
      </c>
      <c r="S475" s="53" t="str">
        <f t="shared" si="284"/>
        <v/>
      </c>
      <c r="T475" s="53" t="str">
        <f t="shared" si="285"/>
        <v/>
      </c>
      <c r="U475" s="53" t="str">
        <f t="shared" si="286"/>
        <v/>
      </c>
      <c r="V475" s="53" t="str">
        <f t="shared" si="287"/>
        <v/>
      </c>
      <c r="W475" s="53" t="str">
        <f t="shared" si="255"/>
        <v>DNS/DNF ()</v>
      </c>
      <c r="X475" s="53" t="str">
        <f t="shared" si="256"/>
        <v>DNS/DNF ()</v>
      </c>
      <c r="Y475" s="53" t="str">
        <f t="shared" si="257"/>
        <v>DNS/DNF ()</v>
      </c>
      <c r="Z475" s="53" t="str">
        <f t="shared" si="258"/>
        <v>DNS/DNF ()</v>
      </c>
      <c r="AA475" s="53" t="str">
        <f t="shared" si="259"/>
        <v>DNS/DNF ()</v>
      </c>
      <c r="AB475" s="53" t="str">
        <f t="shared" si="260"/>
        <v>DNS/DNF ()</v>
      </c>
      <c r="AC475" s="53" t="str">
        <f t="shared" si="261"/>
        <v>DNS/DNF ()</v>
      </c>
      <c r="AD475" s="53" t="str">
        <f t="shared" si="262"/>
        <v>DNS/DNF ()</v>
      </c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62" t="str">
        <f t="shared" si="263"/>
        <v>DNS/DNF</v>
      </c>
      <c r="AV475" s="62" t="str">
        <f t="shared" si="264"/>
        <v>DNS/DNF</v>
      </c>
      <c r="AW475" s="62" t="str">
        <f t="shared" si="265"/>
        <v>DNS/DNF</v>
      </c>
      <c r="AX475" s="62" t="str">
        <f t="shared" si="266"/>
        <v>DNS/DNF</v>
      </c>
      <c r="AY475" s="62" t="str">
        <f t="shared" si="267"/>
        <v>DNS/DNF</v>
      </c>
      <c r="AZ475" s="62" t="str">
        <f t="shared" si="268"/>
        <v>DNS/DNF</v>
      </c>
      <c r="BA475" s="62" t="str">
        <f t="shared" si="269"/>
        <v>DNS/DNF</v>
      </c>
      <c r="BB475" s="62" t="str">
        <f t="shared" si="270"/>
        <v>DNS/DNF</v>
      </c>
      <c r="BC475" s="75" t="str">
        <f t="shared" si="271"/>
        <v/>
      </c>
      <c r="BD475" s="53" t="str">
        <f t="shared" si="272"/>
        <v/>
      </c>
      <c r="BE475" s="53" t="str">
        <f t="shared" si="273"/>
        <v/>
      </c>
      <c r="BF475" s="53" t="str">
        <f t="shared" si="274"/>
        <v/>
      </c>
      <c r="BG475" s="53" t="str">
        <f t="shared" si="275"/>
        <v/>
      </c>
      <c r="BH475" s="53" t="str">
        <f t="shared" si="276"/>
        <v/>
      </c>
      <c r="BI475" s="53" t="str">
        <f t="shared" si="277"/>
        <v/>
      </c>
      <c r="BJ475" s="53" t="str">
        <f t="shared" si="278"/>
        <v/>
      </c>
      <c r="BK475" s="53" t="str">
        <f t="shared" si="279"/>
        <v/>
      </c>
    </row>
    <row r="476" spans="2:63">
      <c r="B476" s="89" t="str">
        <f>IFERROR(VLOOKUP($A476,EntryList!$A$3:$N$645,2,FALSE),"")</f>
        <v/>
      </c>
      <c r="D476" s="53">
        <f t="shared" si="253"/>
        <v>0</v>
      </c>
      <c r="N476" s="62">
        <f t="shared" si="254"/>
        <v>0</v>
      </c>
      <c r="O476" s="53" t="str">
        <f t="shared" si="280"/>
        <v/>
      </c>
      <c r="P476" s="53" t="str">
        <f t="shared" si="281"/>
        <v/>
      </c>
      <c r="Q476" s="53" t="str">
        <f t="shared" si="282"/>
        <v/>
      </c>
      <c r="R476" s="53" t="str">
        <f t="shared" si="283"/>
        <v/>
      </c>
      <c r="S476" s="53" t="str">
        <f t="shared" si="284"/>
        <v/>
      </c>
      <c r="T476" s="53" t="str">
        <f t="shared" si="285"/>
        <v/>
      </c>
      <c r="U476" s="53" t="str">
        <f t="shared" si="286"/>
        <v/>
      </c>
      <c r="V476" s="53" t="str">
        <f t="shared" si="287"/>
        <v/>
      </c>
      <c r="W476" s="53" t="str">
        <f t="shared" si="255"/>
        <v>DNS/DNF ()</v>
      </c>
      <c r="X476" s="53" t="str">
        <f t="shared" si="256"/>
        <v>DNS/DNF ()</v>
      </c>
      <c r="Y476" s="53" t="str">
        <f t="shared" si="257"/>
        <v>DNS/DNF ()</v>
      </c>
      <c r="Z476" s="53" t="str">
        <f t="shared" si="258"/>
        <v>DNS/DNF ()</v>
      </c>
      <c r="AA476" s="53" t="str">
        <f t="shared" si="259"/>
        <v>DNS/DNF ()</v>
      </c>
      <c r="AB476" s="53" t="str">
        <f t="shared" si="260"/>
        <v>DNS/DNF ()</v>
      </c>
      <c r="AC476" s="53" t="str">
        <f t="shared" si="261"/>
        <v>DNS/DNF ()</v>
      </c>
      <c r="AD476" s="53" t="str">
        <f t="shared" si="262"/>
        <v>DNS/DNF ()</v>
      </c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62" t="str">
        <f t="shared" si="263"/>
        <v>DNS/DNF</v>
      </c>
      <c r="AV476" s="62" t="str">
        <f t="shared" si="264"/>
        <v>DNS/DNF</v>
      </c>
      <c r="AW476" s="62" t="str">
        <f t="shared" si="265"/>
        <v>DNS/DNF</v>
      </c>
      <c r="AX476" s="62" t="str">
        <f t="shared" si="266"/>
        <v>DNS/DNF</v>
      </c>
      <c r="AY476" s="62" t="str">
        <f t="shared" si="267"/>
        <v>DNS/DNF</v>
      </c>
      <c r="AZ476" s="62" t="str">
        <f t="shared" si="268"/>
        <v>DNS/DNF</v>
      </c>
      <c r="BA476" s="62" t="str">
        <f t="shared" si="269"/>
        <v>DNS/DNF</v>
      </c>
      <c r="BB476" s="62" t="str">
        <f t="shared" si="270"/>
        <v>DNS/DNF</v>
      </c>
      <c r="BC476" s="75" t="str">
        <f t="shared" si="271"/>
        <v/>
      </c>
      <c r="BD476" s="53" t="str">
        <f t="shared" si="272"/>
        <v/>
      </c>
      <c r="BE476" s="53" t="str">
        <f t="shared" si="273"/>
        <v/>
      </c>
      <c r="BF476" s="53" t="str">
        <f t="shared" si="274"/>
        <v/>
      </c>
      <c r="BG476" s="53" t="str">
        <f t="shared" si="275"/>
        <v/>
      </c>
      <c r="BH476" s="53" t="str">
        <f t="shared" si="276"/>
        <v/>
      </c>
      <c r="BI476" s="53" t="str">
        <f t="shared" si="277"/>
        <v/>
      </c>
      <c r="BJ476" s="53" t="str">
        <f t="shared" si="278"/>
        <v/>
      </c>
      <c r="BK476" s="53" t="str">
        <f t="shared" si="279"/>
        <v/>
      </c>
    </row>
    <row r="477" spans="2:63">
      <c r="B477" s="89" t="str">
        <f>IFERROR(VLOOKUP($A477,EntryList!$A$3:$N$645,2,FALSE),"")</f>
        <v/>
      </c>
      <c r="D477" s="53">
        <f t="shared" si="253"/>
        <v>0</v>
      </c>
      <c r="N477" s="62">
        <f t="shared" si="254"/>
        <v>0</v>
      </c>
      <c r="O477" s="53" t="str">
        <f t="shared" si="280"/>
        <v/>
      </c>
      <c r="P477" s="53" t="str">
        <f t="shared" si="281"/>
        <v/>
      </c>
      <c r="Q477" s="53" t="str">
        <f t="shared" si="282"/>
        <v/>
      </c>
      <c r="R477" s="53" t="str">
        <f t="shared" si="283"/>
        <v/>
      </c>
      <c r="S477" s="53" t="str">
        <f t="shared" si="284"/>
        <v/>
      </c>
      <c r="T477" s="53" t="str">
        <f t="shared" si="285"/>
        <v/>
      </c>
      <c r="U477" s="53" t="str">
        <f t="shared" si="286"/>
        <v/>
      </c>
      <c r="V477" s="53" t="str">
        <f t="shared" si="287"/>
        <v/>
      </c>
      <c r="W477" s="53" t="str">
        <f t="shared" si="255"/>
        <v>DNS/DNF ()</v>
      </c>
      <c r="X477" s="53" t="str">
        <f t="shared" si="256"/>
        <v>DNS/DNF ()</v>
      </c>
      <c r="Y477" s="53" t="str">
        <f t="shared" si="257"/>
        <v>DNS/DNF ()</v>
      </c>
      <c r="Z477" s="53" t="str">
        <f t="shared" si="258"/>
        <v>DNS/DNF ()</v>
      </c>
      <c r="AA477" s="53" t="str">
        <f t="shared" si="259"/>
        <v>DNS/DNF ()</v>
      </c>
      <c r="AB477" s="53" t="str">
        <f t="shared" si="260"/>
        <v>DNS/DNF ()</v>
      </c>
      <c r="AC477" s="53" t="str">
        <f t="shared" si="261"/>
        <v>DNS/DNF ()</v>
      </c>
      <c r="AD477" s="53" t="str">
        <f t="shared" si="262"/>
        <v>DNS/DNF ()</v>
      </c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62" t="str">
        <f t="shared" si="263"/>
        <v>DNS/DNF</v>
      </c>
      <c r="AV477" s="62" t="str">
        <f t="shared" si="264"/>
        <v>DNS/DNF</v>
      </c>
      <c r="AW477" s="62" t="str">
        <f t="shared" si="265"/>
        <v>DNS/DNF</v>
      </c>
      <c r="AX477" s="62" t="str">
        <f t="shared" si="266"/>
        <v>DNS/DNF</v>
      </c>
      <c r="AY477" s="62" t="str">
        <f t="shared" si="267"/>
        <v>DNS/DNF</v>
      </c>
      <c r="AZ477" s="62" t="str">
        <f t="shared" si="268"/>
        <v>DNS/DNF</v>
      </c>
      <c r="BA477" s="62" t="str">
        <f t="shared" si="269"/>
        <v>DNS/DNF</v>
      </c>
      <c r="BB477" s="62" t="str">
        <f t="shared" si="270"/>
        <v>DNS/DNF</v>
      </c>
      <c r="BC477" s="75" t="str">
        <f t="shared" si="271"/>
        <v/>
      </c>
      <c r="BD477" s="53" t="str">
        <f t="shared" si="272"/>
        <v/>
      </c>
      <c r="BE477" s="53" t="str">
        <f t="shared" si="273"/>
        <v/>
      </c>
      <c r="BF477" s="53" t="str">
        <f t="shared" si="274"/>
        <v/>
      </c>
      <c r="BG477" s="53" t="str">
        <f t="shared" si="275"/>
        <v/>
      </c>
      <c r="BH477" s="53" t="str">
        <f t="shared" si="276"/>
        <v/>
      </c>
      <c r="BI477" s="53" t="str">
        <f t="shared" si="277"/>
        <v/>
      </c>
      <c r="BJ477" s="53" t="str">
        <f t="shared" si="278"/>
        <v/>
      </c>
      <c r="BK477" s="53" t="str">
        <f t="shared" si="279"/>
        <v/>
      </c>
    </row>
    <row r="478" spans="2:63">
      <c r="B478" s="89" t="str">
        <f>IFERROR(VLOOKUP($A478,EntryList!$A$3:$N$645,2,FALSE),"")</f>
        <v/>
      </c>
      <c r="D478" s="53">
        <f t="shared" si="253"/>
        <v>0</v>
      </c>
      <c r="N478" s="62">
        <f t="shared" si="254"/>
        <v>0</v>
      </c>
      <c r="O478" s="53" t="str">
        <f t="shared" si="280"/>
        <v/>
      </c>
      <c r="P478" s="53" t="str">
        <f t="shared" si="281"/>
        <v/>
      </c>
      <c r="Q478" s="53" t="str">
        <f t="shared" si="282"/>
        <v/>
      </c>
      <c r="R478" s="53" t="str">
        <f t="shared" si="283"/>
        <v/>
      </c>
      <c r="S478" s="53" t="str">
        <f t="shared" si="284"/>
        <v/>
      </c>
      <c r="T478" s="53" t="str">
        <f t="shared" si="285"/>
        <v/>
      </c>
      <c r="U478" s="53" t="str">
        <f t="shared" si="286"/>
        <v/>
      </c>
      <c r="V478" s="53" t="str">
        <f t="shared" si="287"/>
        <v/>
      </c>
      <c r="W478" s="53" t="str">
        <f t="shared" si="255"/>
        <v>DNS/DNF ()</v>
      </c>
      <c r="X478" s="53" t="str">
        <f t="shared" si="256"/>
        <v>DNS/DNF ()</v>
      </c>
      <c r="Y478" s="53" t="str">
        <f t="shared" si="257"/>
        <v>DNS/DNF ()</v>
      </c>
      <c r="Z478" s="53" t="str">
        <f t="shared" si="258"/>
        <v>DNS/DNF ()</v>
      </c>
      <c r="AA478" s="53" t="str">
        <f t="shared" si="259"/>
        <v>DNS/DNF ()</v>
      </c>
      <c r="AB478" s="53" t="str">
        <f t="shared" si="260"/>
        <v>DNS/DNF ()</v>
      </c>
      <c r="AC478" s="53" t="str">
        <f t="shared" si="261"/>
        <v>DNS/DNF ()</v>
      </c>
      <c r="AD478" s="53" t="str">
        <f t="shared" si="262"/>
        <v>DNS/DNF ()</v>
      </c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62" t="str">
        <f t="shared" si="263"/>
        <v>DNS/DNF</v>
      </c>
      <c r="AV478" s="62" t="str">
        <f t="shared" si="264"/>
        <v>DNS/DNF</v>
      </c>
      <c r="AW478" s="62" t="str">
        <f t="shared" si="265"/>
        <v>DNS/DNF</v>
      </c>
      <c r="AX478" s="62" t="str">
        <f t="shared" si="266"/>
        <v>DNS/DNF</v>
      </c>
      <c r="AY478" s="62" t="str">
        <f t="shared" si="267"/>
        <v>DNS/DNF</v>
      </c>
      <c r="AZ478" s="62" t="str">
        <f t="shared" si="268"/>
        <v>DNS/DNF</v>
      </c>
      <c r="BA478" s="62" t="str">
        <f t="shared" si="269"/>
        <v>DNS/DNF</v>
      </c>
      <c r="BB478" s="62" t="str">
        <f t="shared" si="270"/>
        <v>DNS/DNF</v>
      </c>
      <c r="BC478" s="75" t="str">
        <f t="shared" si="271"/>
        <v/>
      </c>
      <c r="BD478" s="53" t="str">
        <f t="shared" si="272"/>
        <v/>
      </c>
      <c r="BE478" s="53" t="str">
        <f t="shared" si="273"/>
        <v/>
      </c>
      <c r="BF478" s="53" t="str">
        <f t="shared" si="274"/>
        <v/>
      </c>
      <c r="BG478" s="53" t="str">
        <f t="shared" si="275"/>
        <v/>
      </c>
      <c r="BH478" s="53" t="str">
        <f t="shared" si="276"/>
        <v/>
      </c>
      <c r="BI478" s="53" t="str">
        <f t="shared" si="277"/>
        <v/>
      </c>
      <c r="BJ478" s="53" t="str">
        <f t="shared" si="278"/>
        <v/>
      </c>
      <c r="BK478" s="53" t="str">
        <f t="shared" si="279"/>
        <v/>
      </c>
    </row>
    <row r="479" spans="2:63">
      <c r="B479" s="89" t="str">
        <f>IFERROR(VLOOKUP($A479,EntryList!$A$3:$N$645,2,FALSE),"")</f>
        <v/>
      </c>
      <c r="D479" s="53">
        <f t="shared" si="253"/>
        <v>0</v>
      </c>
      <c r="N479" s="62">
        <f t="shared" si="254"/>
        <v>0</v>
      </c>
      <c r="O479" s="53" t="str">
        <f t="shared" si="280"/>
        <v/>
      </c>
      <c r="P479" s="53" t="str">
        <f t="shared" si="281"/>
        <v/>
      </c>
      <c r="Q479" s="53" t="str">
        <f t="shared" si="282"/>
        <v/>
      </c>
      <c r="R479" s="53" t="str">
        <f t="shared" si="283"/>
        <v/>
      </c>
      <c r="S479" s="53" t="str">
        <f t="shared" si="284"/>
        <v/>
      </c>
      <c r="T479" s="53" t="str">
        <f t="shared" si="285"/>
        <v/>
      </c>
      <c r="U479" s="53" t="str">
        <f t="shared" si="286"/>
        <v/>
      </c>
      <c r="V479" s="53" t="str">
        <f t="shared" si="287"/>
        <v/>
      </c>
      <c r="W479" s="53" t="str">
        <f t="shared" si="255"/>
        <v>DNS/DNF ()</v>
      </c>
      <c r="X479" s="53" t="str">
        <f t="shared" si="256"/>
        <v>DNS/DNF ()</v>
      </c>
      <c r="Y479" s="53" t="str">
        <f t="shared" si="257"/>
        <v>DNS/DNF ()</v>
      </c>
      <c r="Z479" s="53" t="str">
        <f t="shared" si="258"/>
        <v>DNS/DNF ()</v>
      </c>
      <c r="AA479" s="53" t="str">
        <f t="shared" si="259"/>
        <v>DNS/DNF ()</v>
      </c>
      <c r="AB479" s="53" t="str">
        <f t="shared" si="260"/>
        <v>DNS/DNF ()</v>
      </c>
      <c r="AC479" s="53" t="str">
        <f t="shared" si="261"/>
        <v>DNS/DNF ()</v>
      </c>
      <c r="AD479" s="53" t="str">
        <f t="shared" si="262"/>
        <v>DNS/DNF ()</v>
      </c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62" t="str">
        <f t="shared" si="263"/>
        <v>DNS/DNF</v>
      </c>
      <c r="AV479" s="62" t="str">
        <f t="shared" si="264"/>
        <v>DNS/DNF</v>
      </c>
      <c r="AW479" s="62" t="str">
        <f t="shared" si="265"/>
        <v>DNS/DNF</v>
      </c>
      <c r="AX479" s="62" t="str">
        <f t="shared" si="266"/>
        <v>DNS/DNF</v>
      </c>
      <c r="AY479" s="62" t="str">
        <f t="shared" si="267"/>
        <v>DNS/DNF</v>
      </c>
      <c r="AZ479" s="62" t="str">
        <f t="shared" si="268"/>
        <v>DNS/DNF</v>
      </c>
      <c r="BA479" s="62" t="str">
        <f t="shared" si="269"/>
        <v>DNS/DNF</v>
      </c>
      <c r="BB479" s="62" t="str">
        <f t="shared" si="270"/>
        <v>DNS/DNF</v>
      </c>
      <c r="BC479" s="75" t="str">
        <f t="shared" si="271"/>
        <v/>
      </c>
      <c r="BD479" s="53" t="str">
        <f t="shared" si="272"/>
        <v/>
      </c>
      <c r="BE479" s="53" t="str">
        <f t="shared" si="273"/>
        <v/>
      </c>
      <c r="BF479" s="53" t="str">
        <f t="shared" si="274"/>
        <v/>
      </c>
      <c r="BG479" s="53" t="str">
        <f t="shared" si="275"/>
        <v/>
      </c>
      <c r="BH479" s="53" t="str">
        <f t="shared" si="276"/>
        <v/>
      </c>
      <c r="BI479" s="53" t="str">
        <f t="shared" si="277"/>
        <v/>
      </c>
      <c r="BJ479" s="53" t="str">
        <f t="shared" si="278"/>
        <v/>
      </c>
      <c r="BK479" s="53" t="str">
        <f t="shared" si="279"/>
        <v/>
      </c>
    </row>
    <row r="480" spans="2:63">
      <c r="B480" s="89" t="str">
        <f>IFERROR(VLOOKUP($A480,EntryList!$A$3:$N$645,2,FALSE),"")</f>
        <v/>
      </c>
      <c r="D480" s="53">
        <f t="shared" si="253"/>
        <v>0</v>
      </c>
      <c r="N480" s="62">
        <f t="shared" si="254"/>
        <v>0</v>
      </c>
      <c r="O480" s="53" t="str">
        <f t="shared" si="280"/>
        <v/>
      </c>
      <c r="P480" s="53" t="str">
        <f t="shared" si="281"/>
        <v/>
      </c>
      <c r="Q480" s="53" t="str">
        <f t="shared" si="282"/>
        <v/>
      </c>
      <c r="R480" s="53" t="str">
        <f t="shared" si="283"/>
        <v/>
      </c>
      <c r="S480" s="53" t="str">
        <f t="shared" si="284"/>
        <v/>
      </c>
      <c r="T480" s="53" t="str">
        <f t="shared" si="285"/>
        <v/>
      </c>
      <c r="U480" s="53" t="str">
        <f t="shared" si="286"/>
        <v/>
      </c>
      <c r="V480" s="53" t="str">
        <f t="shared" si="287"/>
        <v/>
      </c>
      <c r="W480" s="53" t="str">
        <f t="shared" si="255"/>
        <v>DNS/DNF ()</v>
      </c>
      <c r="X480" s="53" t="str">
        <f t="shared" si="256"/>
        <v>DNS/DNF ()</v>
      </c>
      <c r="Y480" s="53" t="str">
        <f t="shared" si="257"/>
        <v>DNS/DNF ()</v>
      </c>
      <c r="Z480" s="53" t="str">
        <f t="shared" si="258"/>
        <v>DNS/DNF ()</v>
      </c>
      <c r="AA480" s="53" t="str">
        <f t="shared" si="259"/>
        <v>DNS/DNF ()</v>
      </c>
      <c r="AB480" s="53" t="str">
        <f t="shared" si="260"/>
        <v>DNS/DNF ()</v>
      </c>
      <c r="AC480" s="53" t="str">
        <f t="shared" si="261"/>
        <v>DNS/DNF ()</v>
      </c>
      <c r="AD480" s="53" t="str">
        <f t="shared" si="262"/>
        <v>DNS/DNF ()</v>
      </c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62" t="str">
        <f t="shared" si="263"/>
        <v>DNS/DNF</v>
      </c>
      <c r="AV480" s="62" t="str">
        <f t="shared" si="264"/>
        <v>DNS/DNF</v>
      </c>
      <c r="AW480" s="62" t="str">
        <f t="shared" si="265"/>
        <v>DNS/DNF</v>
      </c>
      <c r="AX480" s="62" t="str">
        <f t="shared" si="266"/>
        <v>DNS/DNF</v>
      </c>
      <c r="AY480" s="62" t="str">
        <f t="shared" si="267"/>
        <v>DNS/DNF</v>
      </c>
      <c r="AZ480" s="62" t="str">
        <f t="shared" si="268"/>
        <v>DNS/DNF</v>
      </c>
      <c r="BA480" s="62" t="str">
        <f t="shared" si="269"/>
        <v>DNS/DNF</v>
      </c>
      <c r="BB480" s="62" t="str">
        <f t="shared" si="270"/>
        <v>DNS/DNF</v>
      </c>
      <c r="BC480" s="75" t="str">
        <f t="shared" si="271"/>
        <v/>
      </c>
      <c r="BD480" s="53" t="str">
        <f t="shared" si="272"/>
        <v/>
      </c>
      <c r="BE480" s="53" t="str">
        <f t="shared" si="273"/>
        <v/>
      </c>
      <c r="BF480" s="53" t="str">
        <f t="shared" si="274"/>
        <v/>
      </c>
      <c r="BG480" s="53" t="str">
        <f t="shared" si="275"/>
        <v/>
      </c>
      <c r="BH480" s="53" t="str">
        <f t="shared" si="276"/>
        <v/>
      </c>
      <c r="BI480" s="53" t="str">
        <f t="shared" si="277"/>
        <v/>
      </c>
      <c r="BJ480" s="53" t="str">
        <f t="shared" si="278"/>
        <v/>
      </c>
      <c r="BK480" s="53" t="str">
        <f t="shared" si="279"/>
        <v/>
      </c>
    </row>
    <row r="481" spans="2:63">
      <c r="B481" s="89" t="str">
        <f>IFERROR(VLOOKUP($A481,EntryList!$A$3:$N$645,2,FALSE),"")</f>
        <v/>
      </c>
      <c r="D481" s="53">
        <f t="shared" si="253"/>
        <v>0</v>
      </c>
      <c r="N481" s="62">
        <f t="shared" si="254"/>
        <v>0</v>
      </c>
      <c r="O481" s="53" t="str">
        <f t="shared" si="280"/>
        <v/>
      </c>
      <c r="P481" s="53" t="str">
        <f t="shared" si="281"/>
        <v/>
      </c>
      <c r="Q481" s="53" t="str">
        <f t="shared" si="282"/>
        <v/>
      </c>
      <c r="R481" s="53" t="str">
        <f t="shared" si="283"/>
        <v/>
      </c>
      <c r="S481" s="53" t="str">
        <f t="shared" si="284"/>
        <v/>
      </c>
      <c r="T481" s="53" t="str">
        <f t="shared" si="285"/>
        <v/>
      </c>
      <c r="U481" s="53" t="str">
        <f t="shared" si="286"/>
        <v/>
      </c>
      <c r="V481" s="53" t="str">
        <f t="shared" si="287"/>
        <v/>
      </c>
      <c r="W481" s="53" t="str">
        <f t="shared" si="255"/>
        <v>DNS/DNF ()</v>
      </c>
      <c r="X481" s="53" t="str">
        <f t="shared" si="256"/>
        <v>DNS/DNF ()</v>
      </c>
      <c r="Y481" s="53" t="str">
        <f t="shared" si="257"/>
        <v>DNS/DNF ()</v>
      </c>
      <c r="Z481" s="53" t="str">
        <f t="shared" si="258"/>
        <v>DNS/DNF ()</v>
      </c>
      <c r="AA481" s="53" t="str">
        <f t="shared" si="259"/>
        <v>DNS/DNF ()</v>
      </c>
      <c r="AB481" s="53" t="str">
        <f t="shared" si="260"/>
        <v>DNS/DNF ()</v>
      </c>
      <c r="AC481" s="53" t="str">
        <f t="shared" si="261"/>
        <v>DNS/DNF ()</v>
      </c>
      <c r="AD481" s="53" t="str">
        <f t="shared" si="262"/>
        <v>DNS/DNF ()</v>
      </c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62" t="str">
        <f t="shared" si="263"/>
        <v>DNS/DNF</v>
      </c>
      <c r="AV481" s="62" t="str">
        <f t="shared" si="264"/>
        <v>DNS/DNF</v>
      </c>
      <c r="AW481" s="62" t="str">
        <f t="shared" si="265"/>
        <v>DNS/DNF</v>
      </c>
      <c r="AX481" s="62" t="str">
        <f t="shared" si="266"/>
        <v>DNS/DNF</v>
      </c>
      <c r="AY481" s="62" t="str">
        <f t="shared" si="267"/>
        <v>DNS/DNF</v>
      </c>
      <c r="AZ481" s="62" t="str">
        <f t="shared" si="268"/>
        <v>DNS/DNF</v>
      </c>
      <c r="BA481" s="62" t="str">
        <f t="shared" si="269"/>
        <v>DNS/DNF</v>
      </c>
      <c r="BB481" s="62" t="str">
        <f t="shared" si="270"/>
        <v>DNS/DNF</v>
      </c>
      <c r="BC481" s="75" t="str">
        <f t="shared" si="271"/>
        <v/>
      </c>
      <c r="BD481" s="53" t="str">
        <f t="shared" si="272"/>
        <v/>
      </c>
      <c r="BE481" s="53" t="str">
        <f t="shared" si="273"/>
        <v/>
      </c>
      <c r="BF481" s="53" t="str">
        <f t="shared" si="274"/>
        <v/>
      </c>
      <c r="BG481" s="53" t="str">
        <f t="shared" si="275"/>
        <v/>
      </c>
      <c r="BH481" s="53" t="str">
        <f t="shared" si="276"/>
        <v/>
      </c>
      <c r="BI481" s="53" t="str">
        <f t="shared" si="277"/>
        <v/>
      </c>
      <c r="BJ481" s="53" t="str">
        <f t="shared" si="278"/>
        <v/>
      </c>
      <c r="BK481" s="53" t="str">
        <f t="shared" si="279"/>
        <v/>
      </c>
    </row>
    <row r="482" spans="2:63">
      <c r="B482" s="89" t="str">
        <f>IFERROR(VLOOKUP($A482,EntryList!$A$3:$N$645,2,FALSE),"")</f>
        <v/>
      </c>
      <c r="D482" s="53">
        <f t="shared" si="253"/>
        <v>0</v>
      </c>
      <c r="N482" s="62">
        <f t="shared" si="254"/>
        <v>0</v>
      </c>
      <c r="O482" s="53" t="str">
        <f t="shared" si="280"/>
        <v/>
      </c>
      <c r="P482" s="53" t="str">
        <f t="shared" si="281"/>
        <v/>
      </c>
      <c r="Q482" s="53" t="str">
        <f t="shared" si="282"/>
        <v/>
      </c>
      <c r="R482" s="53" t="str">
        <f t="shared" si="283"/>
        <v/>
      </c>
      <c r="S482" s="53" t="str">
        <f t="shared" si="284"/>
        <v/>
      </c>
      <c r="T482" s="53" t="str">
        <f t="shared" si="285"/>
        <v/>
      </c>
      <c r="U482" s="53" t="str">
        <f t="shared" si="286"/>
        <v/>
      </c>
      <c r="V482" s="53" t="str">
        <f t="shared" si="287"/>
        <v/>
      </c>
      <c r="W482" s="53" t="str">
        <f t="shared" si="255"/>
        <v>DNS/DNF ()</v>
      </c>
      <c r="X482" s="53" t="str">
        <f t="shared" si="256"/>
        <v>DNS/DNF ()</v>
      </c>
      <c r="Y482" s="53" t="str">
        <f t="shared" si="257"/>
        <v>DNS/DNF ()</v>
      </c>
      <c r="Z482" s="53" t="str">
        <f t="shared" si="258"/>
        <v>DNS/DNF ()</v>
      </c>
      <c r="AA482" s="53" t="str">
        <f t="shared" si="259"/>
        <v>DNS/DNF ()</v>
      </c>
      <c r="AB482" s="53" t="str">
        <f t="shared" si="260"/>
        <v>DNS/DNF ()</v>
      </c>
      <c r="AC482" s="53" t="str">
        <f t="shared" si="261"/>
        <v>DNS/DNF ()</v>
      </c>
      <c r="AD482" s="53" t="str">
        <f t="shared" si="262"/>
        <v>DNS/DNF ()</v>
      </c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62" t="str">
        <f t="shared" si="263"/>
        <v>DNS/DNF</v>
      </c>
      <c r="AV482" s="62" t="str">
        <f t="shared" si="264"/>
        <v>DNS/DNF</v>
      </c>
      <c r="AW482" s="62" t="str">
        <f t="shared" si="265"/>
        <v>DNS/DNF</v>
      </c>
      <c r="AX482" s="62" t="str">
        <f t="shared" si="266"/>
        <v>DNS/DNF</v>
      </c>
      <c r="AY482" s="62" t="str">
        <f t="shared" si="267"/>
        <v>DNS/DNF</v>
      </c>
      <c r="AZ482" s="62" t="str">
        <f t="shared" si="268"/>
        <v>DNS/DNF</v>
      </c>
      <c r="BA482" s="62" t="str">
        <f t="shared" si="269"/>
        <v>DNS/DNF</v>
      </c>
      <c r="BB482" s="62" t="str">
        <f t="shared" si="270"/>
        <v>DNS/DNF</v>
      </c>
      <c r="BC482" s="75" t="str">
        <f t="shared" si="271"/>
        <v/>
      </c>
      <c r="BD482" s="53" t="str">
        <f t="shared" si="272"/>
        <v/>
      </c>
      <c r="BE482" s="53" t="str">
        <f t="shared" si="273"/>
        <v/>
      </c>
      <c r="BF482" s="53" t="str">
        <f t="shared" si="274"/>
        <v/>
      </c>
      <c r="BG482" s="53" t="str">
        <f t="shared" si="275"/>
        <v/>
      </c>
      <c r="BH482" s="53" t="str">
        <f t="shared" si="276"/>
        <v/>
      </c>
      <c r="BI482" s="53" t="str">
        <f t="shared" si="277"/>
        <v/>
      </c>
      <c r="BJ482" s="53" t="str">
        <f t="shared" si="278"/>
        <v/>
      </c>
      <c r="BK482" s="53" t="str">
        <f t="shared" si="279"/>
        <v/>
      </c>
    </row>
    <row r="483" spans="2:63">
      <c r="B483" s="89" t="str">
        <f>IFERROR(VLOOKUP($A483,EntryList!$A$3:$N$645,2,FALSE),"")</f>
        <v/>
      </c>
      <c r="D483" s="53">
        <f t="shared" si="253"/>
        <v>0</v>
      </c>
      <c r="N483" s="62">
        <f t="shared" si="254"/>
        <v>0</v>
      </c>
      <c r="O483" s="53" t="str">
        <f t="shared" si="280"/>
        <v/>
      </c>
      <c r="P483" s="53" t="str">
        <f t="shared" si="281"/>
        <v/>
      </c>
      <c r="Q483" s="53" t="str">
        <f t="shared" si="282"/>
        <v/>
      </c>
      <c r="R483" s="53" t="str">
        <f t="shared" si="283"/>
        <v/>
      </c>
      <c r="S483" s="53" t="str">
        <f t="shared" si="284"/>
        <v/>
      </c>
      <c r="T483" s="53" t="str">
        <f t="shared" si="285"/>
        <v/>
      </c>
      <c r="U483" s="53" t="str">
        <f t="shared" si="286"/>
        <v/>
      </c>
      <c r="V483" s="53" t="str">
        <f t="shared" si="287"/>
        <v/>
      </c>
      <c r="W483" s="53" t="str">
        <f t="shared" si="255"/>
        <v>DNS/DNF ()</v>
      </c>
      <c r="X483" s="53" t="str">
        <f t="shared" si="256"/>
        <v>DNS/DNF ()</v>
      </c>
      <c r="Y483" s="53" t="str">
        <f t="shared" si="257"/>
        <v>DNS/DNF ()</v>
      </c>
      <c r="Z483" s="53" t="str">
        <f t="shared" si="258"/>
        <v>DNS/DNF ()</v>
      </c>
      <c r="AA483" s="53" t="str">
        <f t="shared" si="259"/>
        <v>DNS/DNF ()</v>
      </c>
      <c r="AB483" s="53" t="str">
        <f t="shared" si="260"/>
        <v>DNS/DNF ()</v>
      </c>
      <c r="AC483" s="53" t="str">
        <f t="shared" si="261"/>
        <v>DNS/DNF ()</v>
      </c>
      <c r="AD483" s="53" t="str">
        <f t="shared" si="262"/>
        <v>DNS/DNF ()</v>
      </c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62" t="str">
        <f t="shared" si="263"/>
        <v>DNS/DNF</v>
      </c>
      <c r="AV483" s="62" t="str">
        <f t="shared" si="264"/>
        <v>DNS/DNF</v>
      </c>
      <c r="AW483" s="62" t="str">
        <f t="shared" si="265"/>
        <v>DNS/DNF</v>
      </c>
      <c r="AX483" s="62" t="str">
        <f t="shared" si="266"/>
        <v>DNS/DNF</v>
      </c>
      <c r="AY483" s="62" t="str">
        <f t="shared" si="267"/>
        <v>DNS/DNF</v>
      </c>
      <c r="AZ483" s="62" t="str">
        <f t="shared" si="268"/>
        <v>DNS/DNF</v>
      </c>
      <c r="BA483" s="62" t="str">
        <f t="shared" si="269"/>
        <v>DNS/DNF</v>
      </c>
      <c r="BB483" s="62" t="str">
        <f t="shared" si="270"/>
        <v>DNS/DNF</v>
      </c>
      <c r="BC483" s="75" t="str">
        <f t="shared" si="271"/>
        <v/>
      </c>
      <c r="BD483" s="53" t="str">
        <f t="shared" si="272"/>
        <v/>
      </c>
      <c r="BE483" s="53" t="str">
        <f t="shared" si="273"/>
        <v/>
      </c>
      <c r="BF483" s="53" t="str">
        <f t="shared" si="274"/>
        <v/>
      </c>
      <c r="BG483" s="53" t="str">
        <f t="shared" si="275"/>
        <v/>
      </c>
      <c r="BH483" s="53" t="str">
        <f t="shared" si="276"/>
        <v/>
      </c>
      <c r="BI483" s="53" t="str">
        <f t="shared" si="277"/>
        <v/>
      </c>
      <c r="BJ483" s="53" t="str">
        <f t="shared" si="278"/>
        <v/>
      </c>
      <c r="BK483" s="53" t="str">
        <f t="shared" si="279"/>
        <v/>
      </c>
    </row>
    <row r="484" spans="2:63">
      <c r="B484" s="89" t="str">
        <f>IFERROR(VLOOKUP($A484,EntryList!$A$3:$N$645,2,FALSE),"")</f>
        <v/>
      </c>
      <c r="D484" s="53">
        <f t="shared" si="253"/>
        <v>0</v>
      </c>
      <c r="N484" s="62">
        <f t="shared" si="254"/>
        <v>0</v>
      </c>
      <c r="O484" s="53" t="str">
        <f t="shared" si="280"/>
        <v/>
      </c>
      <c r="P484" s="53" t="str">
        <f t="shared" si="281"/>
        <v/>
      </c>
      <c r="Q484" s="53" t="str">
        <f t="shared" si="282"/>
        <v/>
      </c>
      <c r="R484" s="53" t="str">
        <f t="shared" si="283"/>
        <v/>
      </c>
      <c r="S484" s="53" t="str">
        <f t="shared" si="284"/>
        <v/>
      </c>
      <c r="T484" s="53" t="str">
        <f t="shared" si="285"/>
        <v/>
      </c>
      <c r="U484" s="53" t="str">
        <f t="shared" si="286"/>
        <v/>
      </c>
      <c r="V484" s="53" t="str">
        <f t="shared" si="287"/>
        <v/>
      </c>
      <c r="W484" s="53" t="str">
        <f t="shared" si="255"/>
        <v>DNS/DNF ()</v>
      </c>
      <c r="X484" s="53" t="str">
        <f t="shared" si="256"/>
        <v>DNS/DNF ()</v>
      </c>
      <c r="Y484" s="53" t="str">
        <f t="shared" si="257"/>
        <v>DNS/DNF ()</v>
      </c>
      <c r="Z484" s="53" t="str">
        <f t="shared" si="258"/>
        <v>DNS/DNF ()</v>
      </c>
      <c r="AA484" s="53" t="str">
        <f t="shared" si="259"/>
        <v>DNS/DNF ()</v>
      </c>
      <c r="AB484" s="53" t="str">
        <f t="shared" si="260"/>
        <v>DNS/DNF ()</v>
      </c>
      <c r="AC484" s="53" t="str">
        <f t="shared" si="261"/>
        <v>DNS/DNF ()</v>
      </c>
      <c r="AD484" s="53" t="str">
        <f t="shared" si="262"/>
        <v>DNS/DNF ()</v>
      </c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62" t="str">
        <f t="shared" si="263"/>
        <v>DNS/DNF</v>
      </c>
      <c r="AV484" s="62" t="str">
        <f t="shared" si="264"/>
        <v>DNS/DNF</v>
      </c>
      <c r="AW484" s="62" t="str">
        <f t="shared" si="265"/>
        <v>DNS/DNF</v>
      </c>
      <c r="AX484" s="62" t="str">
        <f t="shared" si="266"/>
        <v>DNS/DNF</v>
      </c>
      <c r="AY484" s="62" t="str">
        <f t="shared" si="267"/>
        <v>DNS/DNF</v>
      </c>
      <c r="AZ484" s="62" t="str">
        <f t="shared" si="268"/>
        <v>DNS/DNF</v>
      </c>
      <c r="BA484" s="62" t="str">
        <f t="shared" si="269"/>
        <v>DNS/DNF</v>
      </c>
      <c r="BB484" s="62" t="str">
        <f t="shared" si="270"/>
        <v>DNS/DNF</v>
      </c>
      <c r="BC484" s="75" t="str">
        <f t="shared" si="271"/>
        <v/>
      </c>
      <c r="BD484" s="53" t="str">
        <f t="shared" si="272"/>
        <v/>
      </c>
      <c r="BE484" s="53" t="str">
        <f t="shared" si="273"/>
        <v/>
      </c>
      <c r="BF484" s="53" t="str">
        <f t="shared" si="274"/>
        <v/>
      </c>
      <c r="BG484" s="53" t="str">
        <f t="shared" si="275"/>
        <v/>
      </c>
      <c r="BH484" s="53" t="str">
        <f t="shared" si="276"/>
        <v/>
      </c>
      <c r="BI484" s="53" t="str">
        <f t="shared" si="277"/>
        <v/>
      </c>
      <c r="BJ484" s="53" t="str">
        <f t="shared" si="278"/>
        <v/>
      </c>
      <c r="BK484" s="53" t="str">
        <f t="shared" si="279"/>
        <v/>
      </c>
    </row>
    <row r="485" spans="2:63">
      <c r="B485" s="89" t="str">
        <f>IFERROR(VLOOKUP($A485,EntryList!$A$3:$N$645,2,FALSE),"")</f>
        <v/>
      </c>
      <c r="D485" s="53">
        <f t="shared" si="253"/>
        <v>0</v>
      </c>
      <c r="N485" s="62">
        <f t="shared" si="254"/>
        <v>0</v>
      </c>
      <c r="O485" s="53" t="str">
        <f t="shared" si="280"/>
        <v/>
      </c>
      <c r="P485" s="53" t="str">
        <f t="shared" si="281"/>
        <v/>
      </c>
      <c r="Q485" s="53" t="str">
        <f t="shared" si="282"/>
        <v/>
      </c>
      <c r="R485" s="53" t="str">
        <f t="shared" si="283"/>
        <v/>
      </c>
      <c r="S485" s="53" t="str">
        <f t="shared" si="284"/>
        <v/>
      </c>
      <c r="T485" s="53" t="str">
        <f t="shared" si="285"/>
        <v/>
      </c>
      <c r="U485" s="53" t="str">
        <f t="shared" si="286"/>
        <v/>
      </c>
      <c r="V485" s="53" t="str">
        <f t="shared" si="287"/>
        <v/>
      </c>
      <c r="W485" s="53" t="str">
        <f t="shared" si="255"/>
        <v>DNS/DNF ()</v>
      </c>
      <c r="X485" s="53" t="str">
        <f t="shared" si="256"/>
        <v>DNS/DNF ()</v>
      </c>
      <c r="Y485" s="53" t="str">
        <f t="shared" si="257"/>
        <v>DNS/DNF ()</v>
      </c>
      <c r="Z485" s="53" t="str">
        <f t="shared" si="258"/>
        <v>DNS/DNF ()</v>
      </c>
      <c r="AA485" s="53" t="str">
        <f t="shared" si="259"/>
        <v>DNS/DNF ()</v>
      </c>
      <c r="AB485" s="53" t="str">
        <f t="shared" si="260"/>
        <v>DNS/DNF ()</v>
      </c>
      <c r="AC485" s="53" t="str">
        <f t="shared" si="261"/>
        <v>DNS/DNF ()</v>
      </c>
      <c r="AD485" s="53" t="str">
        <f t="shared" si="262"/>
        <v>DNS/DNF ()</v>
      </c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62" t="str">
        <f t="shared" si="263"/>
        <v>DNS/DNF</v>
      </c>
      <c r="AV485" s="62" t="str">
        <f t="shared" si="264"/>
        <v>DNS/DNF</v>
      </c>
      <c r="AW485" s="62" t="str">
        <f t="shared" si="265"/>
        <v>DNS/DNF</v>
      </c>
      <c r="AX485" s="62" t="str">
        <f t="shared" si="266"/>
        <v>DNS/DNF</v>
      </c>
      <c r="AY485" s="62" t="str">
        <f t="shared" si="267"/>
        <v>DNS/DNF</v>
      </c>
      <c r="AZ485" s="62" t="str">
        <f t="shared" si="268"/>
        <v>DNS/DNF</v>
      </c>
      <c r="BA485" s="62" t="str">
        <f t="shared" si="269"/>
        <v>DNS/DNF</v>
      </c>
      <c r="BB485" s="62" t="str">
        <f t="shared" si="270"/>
        <v>DNS/DNF</v>
      </c>
      <c r="BC485" s="75" t="str">
        <f t="shared" si="271"/>
        <v/>
      </c>
      <c r="BD485" s="53" t="str">
        <f t="shared" si="272"/>
        <v/>
      </c>
      <c r="BE485" s="53" t="str">
        <f t="shared" si="273"/>
        <v/>
      </c>
      <c r="BF485" s="53" t="str">
        <f t="shared" si="274"/>
        <v/>
      </c>
      <c r="BG485" s="53" t="str">
        <f t="shared" si="275"/>
        <v/>
      </c>
      <c r="BH485" s="53" t="str">
        <f t="shared" si="276"/>
        <v/>
      </c>
      <c r="BI485" s="53" t="str">
        <f t="shared" si="277"/>
        <v/>
      </c>
      <c r="BJ485" s="53" t="str">
        <f t="shared" si="278"/>
        <v/>
      </c>
      <c r="BK485" s="53" t="str">
        <f t="shared" si="279"/>
        <v/>
      </c>
    </row>
    <row r="486" spans="2:63">
      <c r="B486" s="89" t="str">
        <f>IFERROR(VLOOKUP($A486,EntryList!$A$3:$N$645,2,FALSE),"")</f>
        <v/>
      </c>
      <c r="D486" s="53">
        <f t="shared" si="253"/>
        <v>0</v>
      </c>
      <c r="N486" s="62">
        <f t="shared" si="254"/>
        <v>0</v>
      </c>
      <c r="O486" s="53" t="str">
        <f t="shared" si="280"/>
        <v/>
      </c>
      <c r="P486" s="53" t="str">
        <f t="shared" si="281"/>
        <v/>
      </c>
      <c r="Q486" s="53" t="str">
        <f t="shared" si="282"/>
        <v/>
      </c>
      <c r="R486" s="53" t="str">
        <f t="shared" si="283"/>
        <v/>
      </c>
      <c r="S486" s="53" t="str">
        <f t="shared" si="284"/>
        <v/>
      </c>
      <c r="T486" s="53" t="str">
        <f t="shared" si="285"/>
        <v/>
      </c>
      <c r="U486" s="53" t="str">
        <f t="shared" si="286"/>
        <v/>
      </c>
      <c r="V486" s="53" t="str">
        <f t="shared" si="287"/>
        <v/>
      </c>
      <c r="W486" s="53" t="str">
        <f t="shared" si="255"/>
        <v>DNS/DNF ()</v>
      </c>
      <c r="X486" s="53" t="str">
        <f t="shared" si="256"/>
        <v>DNS/DNF ()</v>
      </c>
      <c r="Y486" s="53" t="str">
        <f t="shared" si="257"/>
        <v>DNS/DNF ()</v>
      </c>
      <c r="Z486" s="53" t="str">
        <f t="shared" si="258"/>
        <v>DNS/DNF ()</v>
      </c>
      <c r="AA486" s="53" t="str">
        <f t="shared" si="259"/>
        <v>DNS/DNF ()</v>
      </c>
      <c r="AB486" s="53" t="str">
        <f t="shared" si="260"/>
        <v>DNS/DNF ()</v>
      </c>
      <c r="AC486" s="53" t="str">
        <f t="shared" si="261"/>
        <v>DNS/DNF ()</v>
      </c>
      <c r="AD486" s="53" t="str">
        <f t="shared" si="262"/>
        <v>DNS/DNF ()</v>
      </c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62" t="str">
        <f t="shared" si="263"/>
        <v>DNS/DNF</v>
      </c>
      <c r="AV486" s="62" t="str">
        <f t="shared" si="264"/>
        <v>DNS/DNF</v>
      </c>
      <c r="AW486" s="62" t="str">
        <f t="shared" si="265"/>
        <v>DNS/DNF</v>
      </c>
      <c r="AX486" s="62" t="str">
        <f t="shared" si="266"/>
        <v>DNS/DNF</v>
      </c>
      <c r="AY486" s="62" t="str">
        <f t="shared" si="267"/>
        <v>DNS/DNF</v>
      </c>
      <c r="AZ486" s="62" t="str">
        <f t="shared" si="268"/>
        <v>DNS/DNF</v>
      </c>
      <c r="BA486" s="62" t="str">
        <f t="shared" si="269"/>
        <v>DNS/DNF</v>
      </c>
      <c r="BB486" s="62" t="str">
        <f t="shared" si="270"/>
        <v>DNS/DNF</v>
      </c>
      <c r="BC486" s="75" t="str">
        <f t="shared" si="271"/>
        <v/>
      </c>
      <c r="BD486" s="53" t="str">
        <f t="shared" si="272"/>
        <v/>
      </c>
      <c r="BE486" s="53" t="str">
        <f t="shared" si="273"/>
        <v/>
      </c>
      <c r="BF486" s="53" t="str">
        <f t="shared" si="274"/>
        <v/>
      </c>
      <c r="BG486" s="53" t="str">
        <f t="shared" si="275"/>
        <v/>
      </c>
      <c r="BH486" s="53" t="str">
        <f t="shared" si="276"/>
        <v/>
      </c>
      <c r="BI486" s="53" t="str">
        <f t="shared" si="277"/>
        <v/>
      </c>
      <c r="BJ486" s="53" t="str">
        <f t="shared" si="278"/>
        <v/>
      </c>
      <c r="BK486" s="53" t="str">
        <f t="shared" si="279"/>
        <v/>
      </c>
    </row>
    <row r="487" spans="2:63">
      <c r="B487" s="89" t="str">
        <f>IFERROR(VLOOKUP($A487,EntryList!$A$3:$N$645,2,FALSE),"")</f>
        <v/>
      </c>
      <c r="D487" s="53">
        <f t="shared" si="253"/>
        <v>0</v>
      </c>
      <c r="N487" s="62">
        <f t="shared" si="254"/>
        <v>0</v>
      </c>
      <c r="O487" s="53" t="str">
        <f t="shared" si="280"/>
        <v/>
      </c>
      <c r="P487" s="53" t="str">
        <f t="shared" si="281"/>
        <v/>
      </c>
      <c r="Q487" s="53" t="str">
        <f t="shared" si="282"/>
        <v/>
      </c>
      <c r="R487" s="53" t="str">
        <f t="shared" si="283"/>
        <v/>
      </c>
      <c r="S487" s="53" t="str">
        <f t="shared" si="284"/>
        <v/>
      </c>
      <c r="T487" s="53" t="str">
        <f t="shared" si="285"/>
        <v/>
      </c>
      <c r="U487" s="53" t="str">
        <f t="shared" si="286"/>
        <v/>
      </c>
      <c r="V487" s="53" t="str">
        <f t="shared" si="287"/>
        <v/>
      </c>
      <c r="W487" s="53" t="str">
        <f t="shared" si="255"/>
        <v>DNS/DNF ()</v>
      </c>
      <c r="X487" s="53" t="str">
        <f t="shared" si="256"/>
        <v>DNS/DNF ()</v>
      </c>
      <c r="Y487" s="53" t="str">
        <f t="shared" si="257"/>
        <v>DNS/DNF ()</v>
      </c>
      <c r="Z487" s="53" t="str">
        <f t="shared" si="258"/>
        <v>DNS/DNF ()</v>
      </c>
      <c r="AA487" s="53" t="str">
        <f t="shared" si="259"/>
        <v>DNS/DNF ()</v>
      </c>
      <c r="AB487" s="53" t="str">
        <f t="shared" si="260"/>
        <v>DNS/DNF ()</v>
      </c>
      <c r="AC487" s="53" t="str">
        <f t="shared" si="261"/>
        <v>DNS/DNF ()</v>
      </c>
      <c r="AD487" s="53" t="str">
        <f t="shared" si="262"/>
        <v>DNS/DNF ()</v>
      </c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62" t="str">
        <f t="shared" si="263"/>
        <v>DNS/DNF</v>
      </c>
      <c r="AV487" s="62" t="str">
        <f t="shared" si="264"/>
        <v>DNS/DNF</v>
      </c>
      <c r="AW487" s="62" t="str">
        <f t="shared" si="265"/>
        <v>DNS/DNF</v>
      </c>
      <c r="AX487" s="62" t="str">
        <f t="shared" si="266"/>
        <v>DNS/DNF</v>
      </c>
      <c r="AY487" s="62" t="str">
        <f t="shared" si="267"/>
        <v>DNS/DNF</v>
      </c>
      <c r="AZ487" s="62" t="str">
        <f t="shared" si="268"/>
        <v>DNS/DNF</v>
      </c>
      <c r="BA487" s="62" t="str">
        <f t="shared" si="269"/>
        <v>DNS/DNF</v>
      </c>
      <c r="BB487" s="62" t="str">
        <f t="shared" si="270"/>
        <v>DNS/DNF</v>
      </c>
      <c r="BC487" s="75" t="str">
        <f t="shared" si="271"/>
        <v/>
      </c>
      <c r="BD487" s="53" t="str">
        <f t="shared" si="272"/>
        <v/>
      </c>
      <c r="BE487" s="53" t="str">
        <f t="shared" si="273"/>
        <v/>
      </c>
      <c r="BF487" s="53" t="str">
        <f t="shared" si="274"/>
        <v/>
      </c>
      <c r="BG487" s="53" t="str">
        <f t="shared" si="275"/>
        <v/>
      </c>
      <c r="BH487" s="53" t="str">
        <f t="shared" si="276"/>
        <v/>
      </c>
      <c r="BI487" s="53" t="str">
        <f t="shared" si="277"/>
        <v/>
      </c>
      <c r="BJ487" s="53" t="str">
        <f t="shared" si="278"/>
        <v/>
      </c>
      <c r="BK487" s="53" t="str">
        <f t="shared" si="279"/>
        <v/>
      </c>
    </row>
    <row r="488" spans="2:63">
      <c r="B488" s="89" t="str">
        <f>IFERROR(VLOOKUP($A488,EntryList!$A$3:$N$645,2,FALSE),"")</f>
        <v/>
      </c>
      <c r="D488" s="53">
        <f t="shared" si="253"/>
        <v>0</v>
      </c>
      <c r="N488" s="62">
        <f t="shared" si="254"/>
        <v>0</v>
      </c>
      <c r="O488" s="53" t="str">
        <f t="shared" si="280"/>
        <v/>
      </c>
      <c r="P488" s="53" t="str">
        <f t="shared" si="281"/>
        <v/>
      </c>
      <c r="Q488" s="53" t="str">
        <f t="shared" si="282"/>
        <v/>
      </c>
      <c r="R488" s="53" t="str">
        <f t="shared" si="283"/>
        <v/>
      </c>
      <c r="S488" s="53" t="str">
        <f t="shared" si="284"/>
        <v/>
      </c>
      <c r="T488" s="53" t="str">
        <f t="shared" si="285"/>
        <v/>
      </c>
      <c r="U488" s="53" t="str">
        <f t="shared" si="286"/>
        <v/>
      </c>
      <c r="V488" s="53" t="str">
        <f t="shared" si="287"/>
        <v/>
      </c>
      <c r="W488" s="53" t="str">
        <f t="shared" si="255"/>
        <v>DNS/DNF ()</v>
      </c>
      <c r="X488" s="53" t="str">
        <f t="shared" si="256"/>
        <v>DNS/DNF ()</v>
      </c>
      <c r="Y488" s="53" t="str">
        <f t="shared" si="257"/>
        <v>DNS/DNF ()</v>
      </c>
      <c r="Z488" s="53" t="str">
        <f t="shared" si="258"/>
        <v>DNS/DNF ()</v>
      </c>
      <c r="AA488" s="53" t="str">
        <f t="shared" si="259"/>
        <v>DNS/DNF ()</v>
      </c>
      <c r="AB488" s="53" t="str">
        <f t="shared" si="260"/>
        <v>DNS/DNF ()</v>
      </c>
      <c r="AC488" s="53" t="str">
        <f t="shared" si="261"/>
        <v>DNS/DNF ()</v>
      </c>
      <c r="AD488" s="53" t="str">
        <f t="shared" si="262"/>
        <v>DNS/DNF ()</v>
      </c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62" t="str">
        <f t="shared" si="263"/>
        <v>DNS/DNF</v>
      </c>
      <c r="AV488" s="62" t="str">
        <f t="shared" si="264"/>
        <v>DNS/DNF</v>
      </c>
      <c r="AW488" s="62" t="str">
        <f t="shared" si="265"/>
        <v>DNS/DNF</v>
      </c>
      <c r="AX488" s="62" t="str">
        <f t="shared" si="266"/>
        <v>DNS/DNF</v>
      </c>
      <c r="AY488" s="62" t="str">
        <f t="shared" si="267"/>
        <v>DNS/DNF</v>
      </c>
      <c r="AZ488" s="62" t="str">
        <f t="shared" si="268"/>
        <v>DNS/DNF</v>
      </c>
      <c r="BA488" s="62" t="str">
        <f t="shared" si="269"/>
        <v>DNS/DNF</v>
      </c>
      <c r="BB488" s="62" t="str">
        <f t="shared" si="270"/>
        <v>DNS/DNF</v>
      </c>
      <c r="BC488" s="75" t="str">
        <f t="shared" si="271"/>
        <v/>
      </c>
      <c r="BD488" s="53" t="str">
        <f t="shared" si="272"/>
        <v/>
      </c>
      <c r="BE488" s="53" t="str">
        <f t="shared" si="273"/>
        <v/>
      </c>
      <c r="BF488" s="53" t="str">
        <f t="shared" si="274"/>
        <v/>
      </c>
      <c r="BG488" s="53" t="str">
        <f t="shared" si="275"/>
        <v/>
      </c>
      <c r="BH488" s="53" t="str">
        <f t="shared" si="276"/>
        <v/>
      </c>
      <c r="BI488" s="53" t="str">
        <f t="shared" si="277"/>
        <v/>
      </c>
      <c r="BJ488" s="53" t="str">
        <f t="shared" si="278"/>
        <v/>
      </c>
      <c r="BK488" s="53" t="str">
        <f t="shared" si="279"/>
        <v/>
      </c>
    </row>
    <row r="489" spans="2:63">
      <c r="B489" s="89" t="str">
        <f>IFERROR(VLOOKUP($A489,EntryList!$A$3:$N$645,2,FALSE),"")</f>
        <v/>
      </c>
      <c r="D489" s="53">
        <f t="shared" si="253"/>
        <v>0</v>
      </c>
      <c r="N489" s="62">
        <f t="shared" si="254"/>
        <v>0</v>
      </c>
      <c r="O489" s="53" t="str">
        <f t="shared" si="280"/>
        <v/>
      </c>
      <c r="P489" s="53" t="str">
        <f t="shared" si="281"/>
        <v/>
      </c>
      <c r="Q489" s="53" t="str">
        <f t="shared" si="282"/>
        <v/>
      </c>
      <c r="R489" s="53" t="str">
        <f t="shared" si="283"/>
        <v/>
      </c>
      <c r="S489" s="53" t="str">
        <f t="shared" si="284"/>
        <v/>
      </c>
      <c r="T489" s="53" t="str">
        <f t="shared" si="285"/>
        <v/>
      </c>
      <c r="U489" s="53" t="str">
        <f t="shared" si="286"/>
        <v/>
      </c>
      <c r="V489" s="53" t="str">
        <f t="shared" si="287"/>
        <v/>
      </c>
      <c r="W489" s="53" t="str">
        <f t="shared" si="255"/>
        <v>DNS/DNF ()</v>
      </c>
      <c r="X489" s="53" t="str">
        <f t="shared" si="256"/>
        <v>DNS/DNF ()</v>
      </c>
      <c r="Y489" s="53" t="str">
        <f t="shared" si="257"/>
        <v>DNS/DNF ()</v>
      </c>
      <c r="Z489" s="53" t="str">
        <f t="shared" si="258"/>
        <v>DNS/DNF ()</v>
      </c>
      <c r="AA489" s="53" t="str">
        <f t="shared" si="259"/>
        <v>DNS/DNF ()</v>
      </c>
      <c r="AB489" s="53" t="str">
        <f t="shared" si="260"/>
        <v>DNS/DNF ()</v>
      </c>
      <c r="AC489" s="53" t="str">
        <f t="shared" si="261"/>
        <v>DNS/DNF ()</v>
      </c>
      <c r="AD489" s="53" t="str">
        <f t="shared" si="262"/>
        <v>DNS/DNF ()</v>
      </c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62" t="str">
        <f t="shared" si="263"/>
        <v>DNS/DNF</v>
      </c>
      <c r="AV489" s="62" t="str">
        <f t="shared" si="264"/>
        <v>DNS/DNF</v>
      </c>
      <c r="AW489" s="62" t="str">
        <f t="shared" si="265"/>
        <v>DNS/DNF</v>
      </c>
      <c r="AX489" s="62" t="str">
        <f t="shared" si="266"/>
        <v>DNS/DNF</v>
      </c>
      <c r="AY489" s="62" t="str">
        <f t="shared" si="267"/>
        <v>DNS/DNF</v>
      </c>
      <c r="AZ489" s="62" t="str">
        <f t="shared" si="268"/>
        <v>DNS/DNF</v>
      </c>
      <c r="BA489" s="62" t="str">
        <f t="shared" si="269"/>
        <v>DNS/DNF</v>
      </c>
      <c r="BB489" s="62" t="str">
        <f t="shared" si="270"/>
        <v>DNS/DNF</v>
      </c>
      <c r="BC489" s="75" t="str">
        <f t="shared" si="271"/>
        <v/>
      </c>
      <c r="BD489" s="53" t="str">
        <f t="shared" si="272"/>
        <v/>
      </c>
      <c r="BE489" s="53" t="str">
        <f t="shared" si="273"/>
        <v/>
      </c>
      <c r="BF489" s="53" t="str">
        <f t="shared" si="274"/>
        <v/>
      </c>
      <c r="BG489" s="53" t="str">
        <f t="shared" si="275"/>
        <v/>
      </c>
      <c r="BH489" s="53" t="str">
        <f t="shared" si="276"/>
        <v/>
      </c>
      <c r="BI489" s="53" t="str">
        <f t="shared" si="277"/>
        <v/>
      </c>
      <c r="BJ489" s="53" t="str">
        <f t="shared" si="278"/>
        <v/>
      </c>
      <c r="BK489" s="53" t="str">
        <f t="shared" si="279"/>
        <v/>
      </c>
    </row>
    <row r="490" spans="2:63">
      <c r="B490" s="89" t="str">
        <f>IFERROR(VLOOKUP($A490,EntryList!$A$3:$N$645,2,FALSE),"")</f>
        <v/>
      </c>
      <c r="D490" s="53">
        <f t="shared" si="253"/>
        <v>0</v>
      </c>
      <c r="N490" s="62">
        <f t="shared" si="254"/>
        <v>0</v>
      </c>
      <c r="O490" s="53" t="str">
        <f t="shared" si="280"/>
        <v/>
      </c>
      <c r="P490" s="53" t="str">
        <f t="shared" si="281"/>
        <v/>
      </c>
      <c r="Q490" s="53" t="str">
        <f t="shared" si="282"/>
        <v/>
      </c>
      <c r="R490" s="53" t="str">
        <f t="shared" si="283"/>
        <v/>
      </c>
      <c r="S490" s="53" t="str">
        <f t="shared" si="284"/>
        <v/>
      </c>
      <c r="T490" s="53" t="str">
        <f t="shared" si="285"/>
        <v/>
      </c>
      <c r="U490" s="53" t="str">
        <f t="shared" si="286"/>
        <v/>
      </c>
      <c r="V490" s="53" t="str">
        <f t="shared" si="287"/>
        <v/>
      </c>
      <c r="W490" s="53" t="str">
        <f t="shared" si="255"/>
        <v>DNS/DNF ()</v>
      </c>
      <c r="X490" s="53" t="str">
        <f t="shared" si="256"/>
        <v>DNS/DNF ()</v>
      </c>
      <c r="Y490" s="53" t="str">
        <f t="shared" si="257"/>
        <v>DNS/DNF ()</v>
      </c>
      <c r="Z490" s="53" t="str">
        <f t="shared" si="258"/>
        <v>DNS/DNF ()</v>
      </c>
      <c r="AA490" s="53" t="str">
        <f t="shared" si="259"/>
        <v>DNS/DNF ()</v>
      </c>
      <c r="AB490" s="53" t="str">
        <f t="shared" si="260"/>
        <v>DNS/DNF ()</v>
      </c>
      <c r="AC490" s="53" t="str">
        <f t="shared" si="261"/>
        <v>DNS/DNF ()</v>
      </c>
      <c r="AD490" s="53" t="str">
        <f t="shared" si="262"/>
        <v>DNS/DNF ()</v>
      </c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62" t="str">
        <f t="shared" si="263"/>
        <v>DNS/DNF</v>
      </c>
      <c r="AV490" s="62" t="str">
        <f t="shared" si="264"/>
        <v>DNS/DNF</v>
      </c>
      <c r="AW490" s="62" t="str">
        <f t="shared" si="265"/>
        <v>DNS/DNF</v>
      </c>
      <c r="AX490" s="62" t="str">
        <f t="shared" si="266"/>
        <v>DNS/DNF</v>
      </c>
      <c r="AY490" s="62" t="str">
        <f t="shared" si="267"/>
        <v>DNS/DNF</v>
      </c>
      <c r="AZ490" s="62" t="str">
        <f t="shared" si="268"/>
        <v>DNS/DNF</v>
      </c>
      <c r="BA490" s="62" t="str">
        <f t="shared" si="269"/>
        <v>DNS/DNF</v>
      </c>
      <c r="BB490" s="62" t="str">
        <f t="shared" si="270"/>
        <v>DNS/DNF</v>
      </c>
      <c r="BC490" s="75" t="str">
        <f t="shared" si="271"/>
        <v/>
      </c>
      <c r="BD490" s="53" t="str">
        <f t="shared" si="272"/>
        <v/>
      </c>
      <c r="BE490" s="53" t="str">
        <f t="shared" si="273"/>
        <v/>
      </c>
      <c r="BF490" s="53" t="str">
        <f t="shared" si="274"/>
        <v/>
      </c>
      <c r="BG490" s="53" t="str">
        <f t="shared" si="275"/>
        <v/>
      </c>
      <c r="BH490" s="53" t="str">
        <f t="shared" si="276"/>
        <v/>
      </c>
      <c r="BI490" s="53" t="str">
        <f t="shared" si="277"/>
        <v/>
      </c>
      <c r="BJ490" s="53" t="str">
        <f t="shared" si="278"/>
        <v/>
      </c>
      <c r="BK490" s="53" t="str">
        <f t="shared" si="279"/>
        <v/>
      </c>
    </row>
    <row r="491" spans="2:63">
      <c r="B491" s="89" t="str">
        <f>IFERROR(VLOOKUP($A491,EntryList!$A$3:$N$645,2,FALSE),"")</f>
        <v/>
      </c>
      <c r="D491" s="53">
        <f t="shared" si="253"/>
        <v>0</v>
      </c>
      <c r="N491" s="62">
        <f t="shared" si="254"/>
        <v>0</v>
      </c>
      <c r="O491" s="53" t="str">
        <f t="shared" si="280"/>
        <v/>
      </c>
      <c r="P491" s="53" t="str">
        <f t="shared" si="281"/>
        <v/>
      </c>
      <c r="Q491" s="53" t="str">
        <f t="shared" si="282"/>
        <v/>
      </c>
      <c r="R491" s="53" t="str">
        <f t="shared" si="283"/>
        <v/>
      </c>
      <c r="S491" s="53" t="str">
        <f t="shared" si="284"/>
        <v/>
      </c>
      <c r="T491" s="53" t="str">
        <f t="shared" si="285"/>
        <v/>
      </c>
      <c r="U491" s="53" t="str">
        <f t="shared" si="286"/>
        <v/>
      </c>
      <c r="V491" s="53" t="str">
        <f t="shared" si="287"/>
        <v/>
      </c>
      <c r="W491" s="53" t="str">
        <f t="shared" si="255"/>
        <v>DNS/DNF ()</v>
      </c>
      <c r="X491" s="53" t="str">
        <f t="shared" si="256"/>
        <v>DNS/DNF ()</v>
      </c>
      <c r="Y491" s="53" t="str">
        <f t="shared" si="257"/>
        <v>DNS/DNF ()</v>
      </c>
      <c r="Z491" s="53" t="str">
        <f t="shared" si="258"/>
        <v>DNS/DNF ()</v>
      </c>
      <c r="AA491" s="53" t="str">
        <f t="shared" si="259"/>
        <v>DNS/DNF ()</v>
      </c>
      <c r="AB491" s="53" t="str">
        <f t="shared" si="260"/>
        <v>DNS/DNF ()</v>
      </c>
      <c r="AC491" s="53" t="str">
        <f t="shared" si="261"/>
        <v>DNS/DNF ()</v>
      </c>
      <c r="AD491" s="53" t="str">
        <f t="shared" si="262"/>
        <v>DNS/DNF ()</v>
      </c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62" t="str">
        <f t="shared" si="263"/>
        <v>DNS/DNF</v>
      </c>
      <c r="AV491" s="62" t="str">
        <f t="shared" si="264"/>
        <v>DNS/DNF</v>
      </c>
      <c r="AW491" s="62" t="str">
        <f t="shared" si="265"/>
        <v>DNS/DNF</v>
      </c>
      <c r="AX491" s="62" t="str">
        <f t="shared" si="266"/>
        <v>DNS/DNF</v>
      </c>
      <c r="AY491" s="62" t="str">
        <f t="shared" si="267"/>
        <v>DNS/DNF</v>
      </c>
      <c r="AZ491" s="62" t="str">
        <f t="shared" si="268"/>
        <v>DNS/DNF</v>
      </c>
      <c r="BA491" s="62" t="str">
        <f t="shared" si="269"/>
        <v>DNS/DNF</v>
      </c>
      <c r="BB491" s="62" t="str">
        <f t="shared" si="270"/>
        <v>DNS/DNF</v>
      </c>
      <c r="BC491" s="75" t="str">
        <f t="shared" si="271"/>
        <v/>
      </c>
      <c r="BD491" s="53" t="str">
        <f t="shared" si="272"/>
        <v/>
      </c>
      <c r="BE491" s="53" t="str">
        <f t="shared" si="273"/>
        <v/>
      </c>
      <c r="BF491" s="53" t="str">
        <f t="shared" si="274"/>
        <v/>
      </c>
      <c r="BG491" s="53" t="str">
        <f t="shared" si="275"/>
        <v/>
      </c>
      <c r="BH491" s="53" t="str">
        <f t="shared" si="276"/>
        <v/>
      </c>
      <c r="BI491" s="53" t="str">
        <f t="shared" si="277"/>
        <v/>
      </c>
      <c r="BJ491" s="53" t="str">
        <f t="shared" si="278"/>
        <v/>
      </c>
      <c r="BK491" s="53" t="str">
        <f t="shared" si="279"/>
        <v/>
      </c>
    </row>
    <row r="492" spans="2:63">
      <c r="B492" s="89" t="str">
        <f>IFERROR(VLOOKUP($A492,EntryList!$A$3:$N$645,2,FALSE),"")</f>
        <v/>
      </c>
      <c r="D492" s="53">
        <f t="shared" si="253"/>
        <v>0</v>
      </c>
      <c r="N492" s="62">
        <f t="shared" si="254"/>
        <v>0</v>
      </c>
      <c r="O492" s="53" t="str">
        <f t="shared" si="280"/>
        <v/>
      </c>
      <c r="P492" s="53" t="str">
        <f t="shared" si="281"/>
        <v/>
      </c>
      <c r="Q492" s="53" t="str">
        <f t="shared" si="282"/>
        <v/>
      </c>
      <c r="R492" s="53" t="str">
        <f t="shared" si="283"/>
        <v/>
      </c>
      <c r="S492" s="53" t="str">
        <f t="shared" si="284"/>
        <v/>
      </c>
      <c r="T492" s="53" t="str">
        <f t="shared" si="285"/>
        <v/>
      </c>
      <c r="U492" s="53" t="str">
        <f t="shared" si="286"/>
        <v/>
      </c>
      <c r="V492" s="53" t="str">
        <f t="shared" si="287"/>
        <v/>
      </c>
      <c r="W492" s="53" t="str">
        <f t="shared" si="255"/>
        <v>DNS/DNF ()</v>
      </c>
      <c r="X492" s="53" t="str">
        <f t="shared" si="256"/>
        <v>DNS/DNF ()</v>
      </c>
      <c r="Y492" s="53" t="str">
        <f t="shared" si="257"/>
        <v>DNS/DNF ()</v>
      </c>
      <c r="Z492" s="53" t="str">
        <f t="shared" si="258"/>
        <v>DNS/DNF ()</v>
      </c>
      <c r="AA492" s="53" t="str">
        <f t="shared" si="259"/>
        <v>DNS/DNF ()</v>
      </c>
      <c r="AB492" s="53" t="str">
        <f t="shared" si="260"/>
        <v>DNS/DNF ()</v>
      </c>
      <c r="AC492" s="53" t="str">
        <f t="shared" si="261"/>
        <v>DNS/DNF ()</v>
      </c>
      <c r="AD492" s="53" t="str">
        <f t="shared" si="262"/>
        <v>DNS/DNF ()</v>
      </c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62" t="str">
        <f t="shared" si="263"/>
        <v>DNS/DNF</v>
      </c>
      <c r="AV492" s="62" t="str">
        <f t="shared" si="264"/>
        <v>DNS/DNF</v>
      </c>
      <c r="AW492" s="62" t="str">
        <f t="shared" si="265"/>
        <v>DNS/DNF</v>
      </c>
      <c r="AX492" s="62" t="str">
        <f t="shared" si="266"/>
        <v>DNS/DNF</v>
      </c>
      <c r="AY492" s="62" t="str">
        <f t="shared" si="267"/>
        <v>DNS/DNF</v>
      </c>
      <c r="AZ492" s="62" t="str">
        <f t="shared" si="268"/>
        <v>DNS/DNF</v>
      </c>
      <c r="BA492" s="62" t="str">
        <f t="shared" si="269"/>
        <v>DNS/DNF</v>
      </c>
      <c r="BB492" s="62" t="str">
        <f t="shared" si="270"/>
        <v>DNS/DNF</v>
      </c>
      <c r="BC492" s="75" t="str">
        <f t="shared" si="271"/>
        <v/>
      </c>
      <c r="BD492" s="53" t="str">
        <f t="shared" si="272"/>
        <v/>
      </c>
      <c r="BE492" s="53" t="str">
        <f t="shared" si="273"/>
        <v/>
      </c>
      <c r="BF492" s="53" t="str">
        <f t="shared" si="274"/>
        <v/>
      </c>
      <c r="BG492" s="53" t="str">
        <f t="shared" si="275"/>
        <v/>
      </c>
      <c r="BH492" s="53" t="str">
        <f t="shared" si="276"/>
        <v/>
      </c>
      <c r="BI492" s="53" t="str">
        <f t="shared" si="277"/>
        <v/>
      </c>
      <c r="BJ492" s="53" t="str">
        <f t="shared" si="278"/>
        <v/>
      </c>
      <c r="BK492" s="53" t="str">
        <f t="shared" si="279"/>
        <v/>
      </c>
    </row>
    <row r="493" spans="2:63">
      <c r="B493" s="89" t="str">
        <f>IFERROR(VLOOKUP($A493,EntryList!$A$3:$N$645,2,FALSE),"")</f>
        <v/>
      </c>
      <c r="D493" s="53">
        <f t="shared" si="253"/>
        <v>0</v>
      </c>
      <c r="N493" s="62">
        <f t="shared" si="254"/>
        <v>0</v>
      </c>
      <c r="O493" s="53" t="str">
        <f t="shared" si="280"/>
        <v/>
      </c>
      <c r="P493" s="53" t="str">
        <f t="shared" si="281"/>
        <v/>
      </c>
      <c r="Q493" s="53" t="str">
        <f t="shared" si="282"/>
        <v/>
      </c>
      <c r="R493" s="53" t="str">
        <f t="shared" si="283"/>
        <v/>
      </c>
      <c r="S493" s="53" t="str">
        <f t="shared" si="284"/>
        <v/>
      </c>
      <c r="T493" s="53" t="str">
        <f t="shared" si="285"/>
        <v/>
      </c>
      <c r="U493" s="53" t="str">
        <f t="shared" si="286"/>
        <v/>
      </c>
      <c r="V493" s="53" t="str">
        <f t="shared" si="287"/>
        <v/>
      </c>
      <c r="W493" s="53" t="str">
        <f t="shared" si="255"/>
        <v>DNS/DNF ()</v>
      </c>
      <c r="X493" s="53" t="str">
        <f t="shared" si="256"/>
        <v>DNS/DNF ()</v>
      </c>
      <c r="Y493" s="53" t="str">
        <f t="shared" si="257"/>
        <v>DNS/DNF ()</v>
      </c>
      <c r="Z493" s="53" t="str">
        <f t="shared" si="258"/>
        <v>DNS/DNF ()</v>
      </c>
      <c r="AA493" s="53" t="str">
        <f t="shared" si="259"/>
        <v>DNS/DNF ()</v>
      </c>
      <c r="AB493" s="53" t="str">
        <f t="shared" si="260"/>
        <v>DNS/DNF ()</v>
      </c>
      <c r="AC493" s="53" t="str">
        <f t="shared" si="261"/>
        <v>DNS/DNF ()</v>
      </c>
      <c r="AD493" s="53" t="str">
        <f t="shared" si="262"/>
        <v>DNS/DNF ()</v>
      </c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62" t="str">
        <f t="shared" si="263"/>
        <v>DNS/DNF</v>
      </c>
      <c r="AV493" s="62" t="str">
        <f t="shared" si="264"/>
        <v>DNS/DNF</v>
      </c>
      <c r="AW493" s="62" t="str">
        <f t="shared" si="265"/>
        <v>DNS/DNF</v>
      </c>
      <c r="AX493" s="62" t="str">
        <f t="shared" si="266"/>
        <v>DNS/DNF</v>
      </c>
      <c r="AY493" s="62" t="str">
        <f t="shared" si="267"/>
        <v>DNS/DNF</v>
      </c>
      <c r="AZ493" s="62" t="str">
        <f t="shared" si="268"/>
        <v>DNS/DNF</v>
      </c>
      <c r="BA493" s="62" t="str">
        <f t="shared" si="269"/>
        <v>DNS/DNF</v>
      </c>
      <c r="BB493" s="62" t="str">
        <f t="shared" si="270"/>
        <v>DNS/DNF</v>
      </c>
      <c r="BC493" s="75" t="str">
        <f t="shared" si="271"/>
        <v/>
      </c>
      <c r="BD493" s="53" t="str">
        <f t="shared" si="272"/>
        <v/>
      </c>
      <c r="BE493" s="53" t="str">
        <f t="shared" si="273"/>
        <v/>
      </c>
      <c r="BF493" s="53" t="str">
        <f t="shared" si="274"/>
        <v/>
      </c>
      <c r="BG493" s="53" t="str">
        <f t="shared" si="275"/>
        <v/>
      </c>
      <c r="BH493" s="53" t="str">
        <f t="shared" si="276"/>
        <v/>
      </c>
      <c r="BI493" s="53" t="str">
        <f t="shared" si="277"/>
        <v/>
      </c>
      <c r="BJ493" s="53" t="str">
        <f t="shared" si="278"/>
        <v/>
      </c>
      <c r="BK493" s="53" t="str">
        <f t="shared" si="279"/>
        <v/>
      </c>
    </row>
    <row r="494" spans="2:63">
      <c r="B494" s="89" t="str">
        <f>IFERROR(VLOOKUP($A494,EntryList!$A$3:$N$645,2,FALSE),"")</f>
        <v/>
      </c>
      <c r="D494" s="53">
        <f t="shared" si="253"/>
        <v>0</v>
      </c>
      <c r="N494" s="62">
        <f t="shared" si="254"/>
        <v>0</v>
      </c>
      <c r="O494" s="53" t="str">
        <f t="shared" si="280"/>
        <v/>
      </c>
      <c r="P494" s="53" t="str">
        <f t="shared" si="281"/>
        <v/>
      </c>
      <c r="Q494" s="53" t="str">
        <f t="shared" si="282"/>
        <v/>
      </c>
      <c r="R494" s="53" t="str">
        <f t="shared" si="283"/>
        <v/>
      </c>
      <c r="S494" s="53" t="str">
        <f t="shared" si="284"/>
        <v/>
      </c>
      <c r="T494" s="53" t="str">
        <f t="shared" si="285"/>
        <v/>
      </c>
      <c r="U494" s="53" t="str">
        <f t="shared" si="286"/>
        <v/>
      </c>
      <c r="V494" s="53" t="str">
        <f t="shared" si="287"/>
        <v/>
      </c>
      <c r="W494" s="53" t="str">
        <f t="shared" si="255"/>
        <v>DNS/DNF ()</v>
      </c>
      <c r="X494" s="53" t="str">
        <f t="shared" si="256"/>
        <v>DNS/DNF ()</v>
      </c>
      <c r="Y494" s="53" t="str">
        <f t="shared" si="257"/>
        <v>DNS/DNF ()</v>
      </c>
      <c r="Z494" s="53" t="str">
        <f t="shared" si="258"/>
        <v>DNS/DNF ()</v>
      </c>
      <c r="AA494" s="53" t="str">
        <f t="shared" si="259"/>
        <v>DNS/DNF ()</v>
      </c>
      <c r="AB494" s="53" t="str">
        <f t="shared" si="260"/>
        <v>DNS/DNF ()</v>
      </c>
      <c r="AC494" s="53" t="str">
        <f t="shared" si="261"/>
        <v>DNS/DNF ()</v>
      </c>
      <c r="AD494" s="53" t="str">
        <f t="shared" si="262"/>
        <v>DNS/DNF ()</v>
      </c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62" t="str">
        <f t="shared" si="263"/>
        <v>DNS/DNF</v>
      </c>
      <c r="AV494" s="62" t="str">
        <f t="shared" si="264"/>
        <v>DNS/DNF</v>
      </c>
      <c r="AW494" s="62" t="str">
        <f t="shared" si="265"/>
        <v>DNS/DNF</v>
      </c>
      <c r="AX494" s="62" t="str">
        <f t="shared" si="266"/>
        <v>DNS/DNF</v>
      </c>
      <c r="AY494" s="62" t="str">
        <f t="shared" si="267"/>
        <v>DNS/DNF</v>
      </c>
      <c r="AZ494" s="62" t="str">
        <f t="shared" si="268"/>
        <v>DNS/DNF</v>
      </c>
      <c r="BA494" s="62" t="str">
        <f t="shared" si="269"/>
        <v>DNS/DNF</v>
      </c>
      <c r="BB494" s="62" t="str">
        <f t="shared" si="270"/>
        <v>DNS/DNF</v>
      </c>
      <c r="BC494" s="75" t="str">
        <f t="shared" si="271"/>
        <v/>
      </c>
      <c r="BD494" s="53" t="str">
        <f t="shared" si="272"/>
        <v/>
      </c>
      <c r="BE494" s="53" t="str">
        <f t="shared" si="273"/>
        <v/>
      </c>
      <c r="BF494" s="53" t="str">
        <f t="shared" si="274"/>
        <v/>
      </c>
      <c r="BG494" s="53" t="str">
        <f t="shared" si="275"/>
        <v/>
      </c>
      <c r="BH494" s="53" t="str">
        <f t="shared" si="276"/>
        <v/>
      </c>
      <c r="BI494" s="53" t="str">
        <f t="shared" si="277"/>
        <v/>
      </c>
      <c r="BJ494" s="53" t="str">
        <f t="shared" si="278"/>
        <v/>
      </c>
      <c r="BK494" s="53" t="str">
        <f t="shared" si="279"/>
        <v/>
      </c>
    </row>
    <row r="495" spans="2:63">
      <c r="B495" s="89" t="str">
        <f>IFERROR(VLOOKUP($A495,EntryList!$A$3:$N$645,2,FALSE),"")</f>
        <v/>
      </c>
      <c r="D495" s="53">
        <f t="shared" si="253"/>
        <v>0</v>
      </c>
      <c r="N495" s="62">
        <f t="shared" si="254"/>
        <v>0</v>
      </c>
      <c r="O495" s="53" t="str">
        <f t="shared" si="280"/>
        <v/>
      </c>
      <c r="P495" s="53" t="str">
        <f t="shared" si="281"/>
        <v/>
      </c>
      <c r="Q495" s="53" t="str">
        <f t="shared" si="282"/>
        <v/>
      </c>
      <c r="R495" s="53" t="str">
        <f t="shared" si="283"/>
        <v/>
      </c>
      <c r="S495" s="53" t="str">
        <f t="shared" si="284"/>
        <v/>
      </c>
      <c r="T495" s="53" t="str">
        <f t="shared" si="285"/>
        <v/>
      </c>
      <c r="U495" s="53" t="str">
        <f t="shared" si="286"/>
        <v/>
      </c>
      <c r="V495" s="53" t="str">
        <f t="shared" si="287"/>
        <v/>
      </c>
      <c r="W495" s="53" t="str">
        <f t="shared" si="255"/>
        <v>DNS/DNF ()</v>
      </c>
      <c r="X495" s="53" t="str">
        <f t="shared" si="256"/>
        <v>DNS/DNF ()</v>
      </c>
      <c r="Y495" s="53" t="str">
        <f t="shared" si="257"/>
        <v>DNS/DNF ()</v>
      </c>
      <c r="Z495" s="53" t="str">
        <f t="shared" si="258"/>
        <v>DNS/DNF ()</v>
      </c>
      <c r="AA495" s="53" t="str">
        <f t="shared" si="259"/>
        <v>DNS/DNF ()</v>
      </c>
      <c r="AB495" s="53" t="str">
        <f t="shared" si="260"/>
        <v>DNS/DNF ()</v>
      </c>
      <c r="AC495" s="53" t="str">
        <f t="shared" si="261"/>
        <v>DNS/DNF ()</v>
      </c>
      <c r="AD495" s="53" t="str">
        <f t="shared" si="262"/>
        <v>DNS/DNF ()</v>
      </c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62" t="str">
        <f t="shared" si="263"/>
        <v>DNS/DNF</v>
      </c>
      <c r="AV495" s="62" t="str">
        <f t="shared" si="264"/>
        <v>DNS/DNF</v>
      </c>
      <c r="AW495" s="62" t="str">
        <f t="shared" si="265"/>
        <v>DNS/DNF</v>
      </c>
      <c r="AX495" s="62" t="str">
        <f t="shared" si="266"/>
        <v>DNS/DNF</v>
      </c>
      <c r="AY495" s="62" t="str">
        <f t="shared" si="267"/>
        <v>DNS/DNF</v>
      </c>
      <c r="AZ495" s="62" t="str">
        <f t="shared" si="268"/>
        <v>DNS/DNF</v>
      </c>
      <c r="BA495" s="62" t="str">
        <f t="shared" si="269"/>
        <v>DNS/DNF</v>
      </c>
      <c r="BB495" s="62" t="str">
        <f t="shared" si="270"/>
        <v>DNS/DNF</v>
      </c>
      <c r="BC495" s="75" t="str">
        <f t="shared" si="271"/>
        <v/>
      </c>
      <c r="BD495" s="53" t="str">
        <f t="shared" si="272"/>
        <v/>
      </c>
      <c r="BE495" s="53" t="str">
        <f t="shared" si="273"/>
        <v/>
      </c>
      <c r="BF495" s="53" t="str">
        <f t="shared" si="274"/>
        <v/>
      </c>
      <c r="BG495" s="53" t="str">
        <f t="shared" si="275"/>
        <v/>
      </c>
      <c r="BH495" s="53" t="str">
        <f t="shared" si="276"/>
        <v/>
      </c>
      <c r="BI495" s="53" t="str">
        <f t="shared" si="277"/>
        <v/>
      </c>
      <c r="BJ495" s="53" t="str">
        <f t="shared" si="278"/>
        <v/>
      </c>
      <c r="BK495" s="53" t="str">
        <f t="shared" si="279"/>
        <v/>
      </c>
    </row>
    <row r="496" spans="2:63">
      <c r="B496" s="89" t="str">
        <f>IFERROR(VLOOKUP($A496,EntryList!$A$3:$N$645,2,FALSE),"")</f>
        <v/>
      </c>
      <c r="D496" s="53">
        <f t="shared" si="253"/>
        <v>0</v>
      </c>
      <c r="N496" s="62">
        <f t="shared" si="254"/>
        <v>0</v>
      </c>
      <c r="O496" s="53" t="str">
        <f t="shared" si="280"/>
        <v/>
      </c>
      <c r="P496" s="53" t="str">
        <f t="shared" si="281"/>
        <v/>
      </c>
      <c r="Q496" s="53" t="str">
        <f t="shared" si="282"/>
        <v/>
      </c>
      <c r="R496" s="53" t="str">
        <f t="shared" si="283"/>
        <v/>
      </c>
      <c r="S496" s="53" t="str">
        <f t="shared" si="284"/>
        <v/>
      </c>
      <c r="T496" s="53" t="str">
        <f t="shared" si="285"/>
        <v/>
      </c>
      <c r="U496" s="53" t="str">
        <f t="shared" si="286"/>
        <v/>
      </c>
      <c r="V496" s="53" t="str">
        <f t="shared" si="287"/>
        <v/>
      </c>
      <c r="W496" s="53" t="str">
        <f t="shared" si="255"/>
        <v>DNS/DNF ()</v>
      </c>
      <c r="X496" s="53" t="str">
        <f t="shared" si="256"/>
        <v>DNS/DNF ()</v>
      </c>
      <c r="Y496" s="53" t="str">
        <f t="shared" si="257"/>
        <v>DNS/DNF ()</v>
      </c>
      <c r="Z496" s="53" t="str">
        <f t="shared" si="258"/>
        <v>DNS/DNF ()</v>
      </c>
      <c r="AA496" s="53" t="str">
        <f t="shared" si="259"/>
        <v>DNS/DNF ()</v>
      </c>
      <c r="AB496" s="53" t="str">
        <f t="shared" si="260"/>
        <v>DNS/DNF ()</v>
      </c>
      <c r="AC496" s="53" t="str">
        <f t="shared" si="261"/>
        <v>DNS/DNF ()</v>
      </c>
      <c r="AD496" s="53" t="str">
        <f t="shared" si="262"/>
        <v>DNS/DNF ()</v>
      </c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62" t="str">
        <f t="shared" si="263"/>
        <v>DNS/DNF</v>
      </c>
      <c r="AV496" s="62" t="str">
        <f t="shared" si="264"/>
        <v>DNS/DNF</v>
      </c>
      <c r="AW496" s="62" t="str">
        <f t="shared" si="265"/>
        <v>DNS/DNF</v>
      </c>
      <c r="AX496" s="62" t="str">
        <f t="shared" si="266"/>
        <v>DNS/DNF</v>
      </c>
      <c r="AY496" s="62" t="str">
        <f t="shared" si="267"/>
        <v>DNS/DNF</v>
      </c>
      <c r="AZ496" s="62" t="str">
        <f t="shared" si="268"/>
        <v>DNS/DNF</v>
      </c>
      <c r="BA496" s="62" t="str">
        <f t="shared" si="269"/>
        <v>DNS/DNF</v>
      </c>
      <c r="BB496" s="62" t="str">
        <f t="shared" si="270"/>
        <v>DNS/DNF</v>
      </c>
      <c r="BC496" s="75" t="str">
        <f t="shared" si="271"/>
        <v/>
      </c>
      <c r="BD496" s="53" t="str">
        <f t="shared" si="272"/>
        <v/>
      </c>
      <c r="BE496" s="53" t="str">
        <f t="shared" si="273"/>
        <v/>
      </c>
      <c r="BF496" s="53" t="str">
        <f t="shared" si="274"/>
        <v/>
      </c>
      <c r="BG496" s="53" t="str">
        <f t="shared" si="275"/>
        <v/>
      </c>
      <c r="BH496" s="53" t="str">
        <f t="shared" si="276"/>
        <v/>
      </c>
      <c r="BI496" s="53" t="str">
        <f t="shared" si="277"/>
        <v/>
      </c>
      <c r="BJ496" s="53" t="str">
        <f t="shared" si="278"/>
        <v/>
      </c>
      <c r="BK496" s="53" t="str">
        <f t="shared" si="279"/>
        <v/>
      </c>
    </row>
    <row r="497" spans="2:63">
      <c r="B497" s="89" t="str">
        <f>IFERROR(VLOOKUP($A497,EntryList!$A$3:$N$645,2,FALSE),"")</f>
        <v/>
      </c>
      <c r="D497" s="53">
        <f t="shared" si="253"/>
        <v>0</v>
      </c>
      <c r="N497" s="62">
        <f t="shared" si="254"/>
        <v>0</v>
      </c>
      <c r="O497" s="53" t="str">
        <f t="shared" si="280"/>
        <v/>
      </c>
      <c r="P497" s="53" t="str">
        <f t="shared" si="281"/>
        <v/>
      </c>
      <c r="Q497" s="53" t="str">
        <f t="shared" si="282"/>
        <v/>
      </c>
      <c r="R497" s="53" t="str">
        <f t="shared" si="283"/>
        <v/>
      </c>
      <c r="S497" s="53" t="str">
        <f t="shared" si="284"/>
        <v/>
      </c>
      <c r="T497" s="53" t="str">
        <f t="shared" si="285"/>
        <v/>
      </c>
      <c r="U497" s="53" t="str">
        <f t="shared" si="286"/>
        <v/>
      </c>
      <c r="V497" s="53" t="str">
        <f t="shared" si="287"/>
        <v/>
      </c>
      <c r="W497" s="53" t="str">
        <f t="shared" si="255"/>
        <v>DNS/DNF ()</v>
      </c>
      <c r="X497" s="53" t="str">
        <f t="shared" si="256"/>
        <v>DNS/DNF ()</v>
      </c>
      <c r="Y497" s="53" t="str">
        <f t="shared" si="257"/>
        <v>DNS/DNF ()</v>
      </c>
      <c r="Z497" s="53" t="str">
        <f t="shared" si="258"/>
        <v>DNS/DNF ()</v>
      </c>
      <c r="AA497" s="53" t="str">
        <f t="shared" si="259"/>
        <v>DNS/DNF ()</v>
      </c>
      <c r="AB497" s="53" t="str">
        <f t="shared" si="260"/>
        <v>DNS/DNF ()</v>
      </c>
      <c r="AC497" s="53" t="str">
        <f t="shared" si="261"/>
        <v>DNS/DNF ()</v>
      </c>
      <c r="AD497" s="53" t="str">
        <f t="shared" si="262"/>
        <v>DNS/DNF ()</v>
      </c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62" t="str">
        <f t="shared" si="263"/>
        <v>DNS/DNF</v>
      </c>
      <c r="AV497" s="62" t="str">
        <f t="shared" si="264"/>
        <v>DNS/DNF</v>
      </c>
      <c r="AW497" s="62" t="str">
        <f t="shared" si="265"/>
        <v>DNS/DNF</v>
      </c>
      <c r="AX497" s="62" t="str">
        <f t="shared" si="266"/>
        <v>DNS/DNF</v>
      </c>
      <c r="AY497" s="62" t="str">
        <f t="shared" si="267"/>
        <v>DNS/DNF</v>
      </c>
      <c r="AZ497" s="62" t="str">
        <f t="shared" si="268"/>
        <v>DNS/DNF</v>
      </c>
      <c r="BA497" s="62" t="str">
        <f t="shared" si="269"/>
        <v>DNS/DNF</v>
      </c>
      <c r="BB497" s="62" t="str">
        <f t="shared" si="270"/>
        <v>DNS/DNF</v>
      </c>
      <c r="BC497" s="75" t="str">
        <f t="shared" si="271"/>
        <v/>
      </c>
      <c r="BD497" s="53" t="str">
        <f t="shared" si="272"/>
        <v/>
      </c>
      <c r="BE497" s="53" t="str">
        <f t="shared" si="273"/>
        <v/>
      </c>
      <c r="BF497" s="53" t="str">
        <f t="shared" si="274"/>
        <v/>
      </c>
      <c r="BG497" s="53" t="str">
        <f t="shared" si="275"/>
        <v/>
      </c>
      <c r="BH497" s="53" t="str">
        <f t="shared" si="276"/>
        <v/>
      </c>
      <c r="BI497" s="53" t="str">
        <f t="shared" si="277"/>
        <v/>
      </c>
      <c r="BJ497" s="53" t="str">
        <f t="shared" si="278"/>
        <v/>
      </c>
      <c r="BK497" s="53" t="str">
        <f t="shared" si="279"/>
        <v/>
      </c>
    </row>
    <row r="498" spans="2:63">
      <c r="B498" s="89" t="str">
        <f>IFERROR(VLOOKUP($A498,EntryList!$A$3:$N$645,2,FALSE),"")</f>
        <v/>
      </c>
      <c r="D498" s="53">
        <f t="shared" si="253"/>
        <v>0</v>
      </c>
      <c r="N498" s="62">
        <f t="shared" si="254"/>
        <v>0</v>
      </c>
      <c r="O498" s="53" t="str">
        <f t="shared" si="280"/>
        <v/>
      </c>
      <c r="P498" s="53" t="str">
        <f t="shared" si="281"/>
        <v/>
      </c>
      <c r="Q498" s="53" t="str">
        <f t="shared" si="282"/>
        <v/>
      </c>
      <c r="R498" s="53" t="str">
        <f t="shared" si="283"/>
        <v/>
      </c>
      <c r="S498" s="53" t="str">
        <f t="shared" si="284"/>
        <v/>
      </c>
      <c r="T498" s="53" t="str">
        <f t="shared" si="285"/>
        <v/>
      </c>
      <c r="U498" s="53" t="str">
        <f t="shared" si="286"/>
        <v/>
      </c>
      <c r="V498" s="53" t="str">
        <f t="shared" si="287"/>
        <v/>
      </c>
      <c r="W498" s="53" t="str">
        <f t="shared" si="255"/>
        <v>DNS/DNF ()</v>
      </c>
      <c r="X498" s="53" t="str">
        <f t="shared" si="256"/>
        <v>DNS/DNF ()</v>
      </c>
      <c r="Y498" s="53" t="str">
        <f t="shared" si="257"/>
        <v>DNS/DNF ()</v>
      </c>
      <c r="Z498" s="53" t="str">
        <f t="shared" si="258"/>
        <v>DNS/DNF ()</v>
      </c>
      <c r="AA498" s="53" t="str">
        <f t="shared" si="259"/>
        <v>DNS/DNF ()</v>
      </c>
      <c r="AB498" s="53" t="str">
        <f t="shared" si="260"/>
        <v>DNS/DNF ()</v>
      </c>
      <c r="AC498" s="53" t="str">
        <f t="shared" si="261"/>
        <v>DNS/DNF ()</v>
      </c>
      <c r="AD498" s="53" t="str">
        <f t="shared" si="262"/>
        <v>DNS/DNF ()</v>
      </c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62" t="str">
        <f t="shared" si="263"/>
        <v>DNS/DNF</v>
      </c>
      <c r="AV498" s="62" t="str">
        <f t="shared" si="264"/>
        <v>DNS/DNF</v>
      </c>
      <c r="AW498" s="62" t="str">
        <f t="shared" si="265"/>
        <v>DNS/DNF</v>
      </c>
      <c r="AX498" s="62" t="str">
        <f t="shared" si="266"/>
        <v>DNS/DNF</v>
      </c>
      <c r="AY498" s="62" t="str">
        <f t="shared" si="267"/>
        <v>DNS/DNF</v>
      </c>
      <c r="AZ498" s="62" t="str">
        <f t="shared" si="268"/>
        <v>DNS/DNF</v>
      </c>
      <c r="BA498" s="62" t="str">
        <f t="shared" si="269"/>
        <v>DNS/DNF</v>
      </c>
      <c r="BB498" s="62" t="str">
        <f t="shared" si="270"/>
        <v>DNS/DNF</v>
      </c>
      <c r="BC498" s="75" t="str">
        <f t="shared" si="271"/>
        <v/>
      </c>
      <c r="BD498" s="53" t="str">
        <f t="shared" si="272"/>
        <v/>
      </c>
      <c r="BE498" s="53" t="str">
        <f t="shared" si="273"/>
        <v/>
      </c>
      <c r="BF498" s="53" t="str">
        <f t="shared" si="274"/>
        <v/>
      </c>
      <c r="BG498" s="53" t="str">
        <f t="shared" si="275"/>
        <v/>
      </c>
      <c r="BH498" s="53" t="str">
        <f t="shared" si="276"/>
        <v/>
      </c>
      <c r="BI498" s="53" t="str">
        <f t="shared" si="277"/>
        <v/>
      </c>
      <c r="BJ498" s="53" t="str">
        <f t="shared" si="278"/>
        <v/>
      </c>
      <c r="BK498" s="53" t="str">
        <f t="shared" si="279"/>
        <v/>
      </c>
    </row>
    <row r="499" spans="2:63">
      <c r="B499" s="89" t="str">
        <f>IFERROR(VLOOKUP($A499,EntryList!$A$3:$N$645,2,FALSE),"")</f>
        <v/>
      </c>
      <c r="D499" s="53">
        <f t="shared" si="253"/>
        <v>0</v>
      </c>
      <c r="N499" s="62">
        <f t="shared" si="254"/>
        <v>0</v>
      </c>
      <c r="O499" s="53" t="str">
        <f t="shared" si="280"/>
        <v/>
      </c>
      <c r="P499" s="53" t="str">
        <f t="shared" si="281"/>
        <v/>
      </c>
      <c r="Q499" s="53" t="str">
        <f t="shared" si="282"/>
        <v/>
      </c>
      <c r="R499" s="53" t="str">
        <f t="shared" si="283"/>
        <v/>
      </c>
      <c r="S499" s="53" t="str">
        <f t="shared" si="284"/>
        <v/>
      </c>
      <c r="T499" s="53" t="str">
        <f t="shared" si="285"/>
        <v/>
      </c>
      <c r="U499" s="53" t="str">
        <f t="shared" si="286"/>
        <v/>
      </c>
      <c r="V499" s="53" t="str">
        <f t="shared" si="287"/>
        <v/>
      </c>
      <c r="W499" s="53" t="str">
        <f t="shared" si="255"/>
        <v>DNS/DNF ()</v>
      </c>
      <c r="X499" s="53" t="str">
        <f t="shared" si="256"/>
        <v>DNS/DNF ()</v>
      </c>
      <c r="Y499" s="53" t="str">
        <f t="shared" si="257"/>
        <v>DNS/DNF ()</v>
      </c>
      <c r="Z499" s="53" t="str">
        <f t="shared" si="258"/>
        <v>DNS/DNF ()</v>
      </c>
      <c r="AA499" s="53" t="str">
        <f t="shared" si="259"/>
        <v>DNS/DNF ()</v>
      </c>
      <c r="AB499" s="53" t="str">
        <f t="shared" si="260"/>
        <v>DNS/DNF ()</v>
      </c>
      <c r="AC499" s="53" t="str">
        <f t="shared" si="261"/>
        <v>DNS/DNF ()</v>
      </c>
      <c r="AD499" s="53" t="str">
        <f t="shared" si="262"/>
        <v>DNS/DNF ()</v>
      </c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62" t="str">
        <f t="shared" si="263"/>
        <v>DNS/DNF</v>
      </c>
      <c r="AV499" s="62" t="str">
        <f t="shared" si="264"/>
        <v>DNS/DNF</v>
      </c>
      <c r="AW499" s="62" t="str">
        <f t="shared" si="265"/>
        <v>DNS/DNF</v>
      </c>
      <c r="AX499" s="62" t="str">
        <f t="shared" si="266"/>
        <v>DNS/DNF</v>
      </c>
      <c r="AY499" s="62" t="str">
        <f t="shared" si="267"/>
        <v>DNS/DNF</v>
      </c>
      <c r="AZ499" s="62" t="str">
        <f t="shared" si="268"/>
        <v>DNS/DNF</v>
      </c>
      <c r="BA499" s="62" t="str">
        <f t="shared" si="269"/>
        <v>DNS/DNF</v>
      </c>
      <c r="BB499" s="62" t="str">
        <f t="shared" si="270"/>
        <v>DNS/DNF</v>
      </c>
      <c r="BC499" s="75" t="str">
        <f t="shared" si="271"/>
        <v/>
      </c>
      <c r="BD499" s="53" t="str">
        <f t="shared" si="272"/>
        <v/>
      </c>
      <c r="BE499" s="53" t="str">
        <f t="shared" si="273"/>
        <v/>
      </c>
      <c r="BF499" s="53" t="str">
        <f t="shared" si="274"/>
        <v/>
      </c>
      <c r="BG499" s="53" t="str">
        <f t="shared" si="275"/>
        <v/>
      </c>
      <c r="BH499" s="53" t="str">
        <f t="shared" si="276"/>
        <v/>
      </c>
      <c r="BI499" s="53" t="str">
        <f t="shared" si="277"/>
        <v/>
      </c>
      <c r="BJ499" s="53" t="str">
        <f t="shared" si="278"/>
        <v/>
      </c>
      <c r="BK499" s="53" t="str">
        <f t="shared" si="279"/>
        <v/>
      </c>
    </row>
    <row r="500" spans="2:63">
      <c r="B500" s="89" t="str">
        <f>IFERROR(VLOOKUP($A500,EntryList!$A$3:$N$645,2,FALSE),"")</f>
        <v/>
      </c>
      <c r="D500" s="53">
        <f t="shared" si="253"/>
        <v>0</v>
      </c>
      <c r="N500" s="62">
        <f t="shared" si="254"/>
        <v>0</v>
      </c>
      <c r="O500" s="53" t="str">
        <f t="shared" si="280"/>
        <v/>
      </c>
      <c r="P500" s="53" t="str">
        <f t="shared" si="281"/>
        <v/>
      </c>
      <c r="Q500" s="53" t="str">
        <f t="shared" si="282"/>
        <v/>
      </c>
      <c r="R500" s="53" t="str">
        <f t="shared" si="283"/>
        <v/>
      </c>
      <c r="S500" s="53" t="str">
        <f t="shared" si="284"/>
        <v/>
      </c>
      <c r="T500" s="53" t="str">
        <f t="shared" si="285"/>
        <v/>
      </c>
      <c r="U500" s="53" t="str">
        <f t="shared" si="286"/>
        <v/>
      </c>
      <c r="V500" s="53" t="str">
        <f t="shared" si="287"/>
        <v/>
      </c>
      <c r="W500" s="53" t="str">
        <f t="shared" si="255"/>
        <v>DNS/DNF ()</v>
      </c>
      <c r="X500" s="53" t="str">
        <f t="shared" si="256"/>
        <v>DNS/DNF ()</v>
      </c>
      <c r="Y500" s="53" t="str">
        <f t="shared" si="257"/>
        <v>DNS/DNF ()</v>
      </c>
      <c r="Z500" s="53" t="str">
        <f t="shared" si="258"/>
        <v>DNS/DNF ()</v>
      </c>
      <c r="AA500" s="53" t="str">
        <f t="shared" si="259"/>
        <v>DNS/DNF ()</v>
      </c>
      <c r="AB500" s="53" t="str">
        <f t="shared" si="260"/>
        <v>DNS/DNF ()</v>
      </c>
      <c r="AC500" s="53" t="str">
        <f t="shared" si="261"/>
        <v>DNS/DNF ()</v>
      </c>
      <c r="AD500" s="53" t="str">
        <f t="shared" si="262"/>
        <v>DNS/DNF ()</v>
      </c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62" t="str">
        <f t="shared" si="263"/>
        <v>DNS/DNF</v>
      </c>
      <c r="AV500" s="62" t="str">
        <f t="shared" si="264"/>
        <v>DNS/DNF</v>
      </c>
      <c r="AW500" s="62" t="str">
        <f t="shared" si="265"/>
        <v>DNS/DNF</v>
      </c>
      <c r="AX500" s="62" t="str">
        <f t="shared" si="266"/>
        <v>DNS/DNF</v>
      </c>
      <c r="AY500" s="62" t="str">
        <f t="shared" si="267"/>
        <v>DNS/DNF</v>
      </c>
      <c r="AZ500" s="62" t="str">
        <f t="shared" si="268"/>
        <v>DNS/DNF</v>
      </c>
      <c r="BA500" s="62" t="str">
        <f t="shared" si="269"/>
        <v>DNS/DNF</v>
      </c>
      <c r="BB500" s="62" t="str">
        <f t="shared" si="270"/>
        <v>DNS/DNF</v>
      </c>
      <c r="BC500" s="75" t="str">
        <f t="shared" si="271"/>
        <v/>
      </c>
      <c r="BD500" s="53" t="str">
        <f t="shared" si="272"/>
        <v/>
      </c>
      <c r="BE500" s="53" t="str">
        <f t="shared" si="273"/>
        <v/>
      </c>
      <c r="BF500" s="53" t="str">
        <f t="shared" si="274"/>
        <v/>
      </c>
      <c r="BG500" s="53" t="str">
        <f t="shared" si="275"/>
        <v/>
      </c>
      <c r="BH500" s="53" t="str">
        <f t="shared" si="276"/>
        <v/>
      </c>
      <c r="BI500" s="53" t="str">
        <f t="shared" si="277"/>
        <v/>
      </c>
      <c r="BJ500" s="53" t="str">
        <f t="shared" si="278"/>
        <v/>
      </c>
      <c r="BK500" s="53" t="str">
        <f t="shared" si="279"/>
        <v/>
      </c>
    </row>
  </sheetData>
  <conditionalFormatting sqref="W3:AD500">
    <cfRule type="containsText" dxfId="1786" priority="11" stopIfTrue="1" operator="containsText" text="(3)">
      <formula>NOT(ISERROR(SEARCH("(3)",W3)))</formula>
    </cfRule>
    <cfRule type="containsText" dxfId="1785" priority="12" stopIfTrue="1" operator="containsText" text="(2)">
      <formula>NOT(ISERROR(SEARCH("(2)",W3)))</formula>
    </cfRule>
    <cfRule type="containsText" dxfId="1784" priority="13" stopIfTrue="1" operator="containsText" text="(1)">
      <formula>NOT(ISERROR(SEARCH("(1)",W3)))</formula>
    </cfRule>
  </conditionalFormatting>
  <pageMargins left="0.25" right="0.25" top="0.3" bottom="4.8099999999999996" header="0.3" footer="4.8"/>
  <pageSetup paperSize="177" orientation="portrait" cellComments="atEnd" horizontalDpi="203" verticalDpi="203" r:id="rId1"/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autoPageBreaks="0"/>
  </sheetPr>
  <dimension ref="A1:BK295"/>
  <sheetViews>
    <sheetView workbookViewId="0">
      <selection activeCell="A272" sqref="A272:XFD272"/>
    </sheetView>
  </sheetViews>
  <sheetFormatPr defaultColWidth="9.140625" defaultRowHeight="12.75"/>
  <cols>
    <col min="1" max="1" width="28.85546875" style="75" customWidth="1"/>
    <col min="2" max="2" width="12.7109375" style="75" bestFit="1" customWidth="1"/>
    <col min="3" max="3" width="8" style="75" bestFit="1" customWidth="1"/>
    <col min="4" max="4" width="9.28515625" style="75" bestFit="1" customWidth="1"/>
    <col min="5" max="5" width="15.28515625" style="75" bestFit="1" customWidth="1"/>
    <col min="6" max="9" width="11.7109375" style="75" bestFit="1" customWidth="1"/>
    <col min="10" max="10" width="15.28515625" style="75" bestFit="1" customWidth="1"/>
    <col min="11" max="11" width="11.7109375" style="75" bestFit="1" customWidth="1"/>
    <col min="12" max="12" width="9.85546875" style="75" bestFit="1" customWidth="1"/>
    <col min="13" max="13" width="13.140625" style="75" bestFit="1" customWidth="1"/>
    <col min="14" max="14" width="21.85546875" style="75" bestFit="1" customWidth="1"/>
    <col min="15" max="22" width="12.140625" style="75" bestFit="1" customWidth="1"/>
    <col min="23" max="30" width="22.28515625" style="75" bestFit="1" customWidth="1"/>
    <col min="31" max="46" width="13.42578125" style="75" bestFit="1" customWidth="1"/>
    <col min="47" max="54" width="19.140625" style="75" bestFit="1" customWidth="1"/>
    <col min="55" max="55" width="9.140625" style="75"/>
    <col min="56" max="56" width="16.85546875" style="62" bestFit="1" customWidth="1"/>
    <col min="57" max="59" width="11.85546875" style="62" bestFit="1" customWidth="1"/>
    <col min="60" max="63" width="9.140625" style="62"/>
    <col min="64" max="16384" width="9.140625" style="75"/>
  </cols>
  <sheetData>
    <row r="1" spans="1:63" s="27" customFormat="1" ht="27" customHeight="1">
      <c r="A1" s="24"/>
      <c r="B1" s="25"/>
      <c r="C1" s="26"/>
      <c r="E1" s="77"/>
      <c r="F1" s="66"/>
      <c r="G1" s="78"/>
      <c r="H1" s="78"/>
      <c r="I1" s="77"/>
      <c r="J1" s="77"/>
      <c r="K1" s="77"/>
      <c r="L1" s="66"/>
      <c r="T1" s="68"/>
      <c r="U1" s="68"/>
      <c r="V1" s="79"/>
      <c r="W1" s="68"/>
      <c r="X1" s="68"/>
      <c r="Y1" s="68"/>
      <c r="Z1" s="68"/>
      <c r="AA1" s="386"/>
      <c r="AB1" s="386"/>
      <c r="AC1" s="386"/>
      <c r="AD1" s="386"/>
      <c r="AE1" s="386"/>
      <c r="AF1" s="386"/>
      <c r="AG1" s="386"/>
      <c r="AH1" s="386"/>
      <c r="AI1" s="386"/>
      <c r="AJ1" s="386"/>
      <c r="AK1" s="386"/>
      <c r="AL1" s="386"/>
      <c r="AM1" s="386"/>
      <c r="AN1" s="80"/>
      <c r="AP1" s="28"/>
      <c r="AQ1" s="29"/>
      <c r="AR1" s="28"/>
      <c r="BD1" s="62"/>
      <c r="BE1" s="62"/>
      <c r="BF1" s="62"/>
      <c r="BG1" s="62"/>
      <c r="BH1" s="62"/>
      <c r="BI1" s="62"/>
      <c r="BJ1" s="62"/>
      <c r="BK1" s="62"/>
    </row>
    <row r="2" spans="1:63" s="23" customFormat="1" ht="15.75">
      <c r="A2" s="70" t="s">
        <v>72</v>
      </c>
      <c r="B2" s="71" t="s">
        <v>94</v>
      </c>
      <c r="C2" s="71" t="s">
        <v>111</v>
      </c>
      <c r="D2" s="70" t="s">
        <v>110</v>
      </c>
      <c r="E2" s="72" t="s">
        <v>147</v>
      </c>
      <c r="F2" s="72" t="s">
        <v>148</v>
      </c>
      <c r="G2" s="72" t="s">
        <v>149</v>
      </c>
      <c r="H2" s="72" t="s">
        <v>150</v>
      </c>
      <c r="I2" s="72" t="s">
        <v>151</v>
      </c>
      <c r="J2" s="72" t="s">
        <v>152</v>
      </c>
      <c r="K2" s="72" t="s">
        <v>153</v>
      </c>
      <c r="L2" s="72" t="s">
        <v>154</v>
      </c>
      <c r="M2" s="72" t="s">
        <v>155</v>
      </c>
      <c r="N2" s="72" t="s">
        <v>156</v>
      </c>
      <c r="O2" s="70" t="s">
        <v>51</v>
      </c>
      <c r="P2" s="70" t="s">
        <v>52</v>
      </c>
      <c r="Q2" s="70" t="s">
        <v>53</v>
      </c>
      <c r="R2" s="70" t="s">
        <v>54</v>
      </c>
      <c r="S2" s="70" t="s">
        <v>55</v>
      </c>
      <c r="T2" s="70" t="s">
        <v>56</v>
      </c>
      <c r="U2" s="70" t="s">
        <v>129</v>
      </c>
      <c r="V2" s="70" t="s">
        <v>130</v>
      </c>
      <c r="W2" s="73" t="s">
        <v>45</v>
      </c>
      <c r="X2" s="73" t="s">
        <v>46</v>
      </c>
      <c r="Y2" s="73" t="s">
        <v>47</v>
      </c>
      <c r="Z2" s="73" t="s">
        <v>48</v>
      </c>
      <c r="AA2" s="73" t="s">
        <v>50</v>
      </c>
      <c r="AB2" s="73" t="s">
        <v>49</v>
      </c>
      <c r="AC2" s="73" t="s">
        <v>131</v>
      </c>
      <c r="AD2" s="73" t="s">
        <v>132</v>
      </c>
      <c r="AE2" s="70" t="s">
        <v>33</v>
      </c>
      <c r="AF2" s="70" t="s">
        <v>39</v>
      </c>
      <c r="AG2" s="70" t="s">
        <v>34</v>
      </c>
      <c r="AH2" s="70" t="s">
        <v>40</v>
      </c>
      <c r="AI2" s="70" t="s">
        <v>35</v>
      </c>
      <c r="AJ2" s="70" t="s">
        <v>41</v>
      </c>
      <c r="AK2" s="70" t="s">
        <v>36</v>
      </c>
      <c r="AL2" s="70" t="s">
        <v>42</v>
      </c>
      <c r="AM2" s="70" t="s">
        <v>37</v>
      </c>
      <c r="AN2" s="70" t="s">
        <v>43</v>
      </c>
      <c r="AO2" s="70" t="s">
        <v>38</v>
      </c>
      <c r="AP2" s="70" t="s">
        <v>44</v>
      </c>
      <c r="AQ2" s="70" t="s">
        <v>123</v>
      </c>
      <c r="AR2" s="70" t="s">
        <v>124</v>
      </c>
      <c r="AS2" s="70" t="s">
        <v>125</v>
      </c>
      <c r="AT2" s="70" t="s">
        <v>126</v>
      </c>
      <c r="AU2" s="72" t="s">
        <v>157</v>
      </c>
      <c r="AV2" s="72" t="s">
        <v>158</v>
      </c>
      <c r="AW2" s="72" t="s">
        <v>159</v>
      </c>
      <c r="AX2" s="72" t="s">
        <v>160</v>
      </c>
      <c r="AY2" s="72" t="s">
        <v>161</v>
      </c>
      <c r="AZ2" s="72" t="s">
        <v>162</v>
      </c>
      <c r="BA2" s="72" t="s">
        <v>163</v>
      </c>
      <c r="BB2" s="72" t="s">
        <v>164</v>
      </c>
      <c r="BC2" s="147" t="s">
        <v>423</v>
      </c>
      <c r="BD2" s="147" t="s">
        <v>431</v>
      </c>
      <c r="BE2" s="147" t="s">
        <v>424</v>
      </c>
      <c r="BF2" s="147" t="s">
        <v>425</v>
      </c>
      <c r="BG2" s="147" t="s">
        <v>426</v>
      </c>
      <c r="BH2" s="147" t="s">
        <v>427</v>
      </c>
      <c r="BI2" s="147" t="s">
        <v>428</v>
      </c>
      <c r="BJ2" s="147" t="s">
        <v>429</v>
      </c>
      <c r="BK2" s="147" t="s">
        <v>430</v>
      </c>
    </row>
    <row r="3" spans="1:63">
      <c r="A3" s="53">
        <v>154</v>
      </c>
      <c r="B3" s="89" t="str">
        <f>IFERROR(VLOOKUP($A3,EntryList!$A$3:$N$645,2,FALSE),"")</f>
        <v>Philip Viljoen</v>
      </c>
      <c r="C3" s="74"/>
      <c r="D3" s="53">
        <f>COUNT($AU3:$BB3)</f>
        <v>3</v>
      </c>
      <c r="E3" s="62">
        <v>2.9465162037037034E-3</v>
      </c>
      <c r="F3" s="62"/>
      <c r="G3" s="62">
        <v>1.8680671296296295E-3</v>
      </c>
      <c r="H3" s="62"/>
      <c r="I3" s="62">
        <v>3.820138888888889E-3</v>
      </c>
      <c r="J3" s="62"/>
      <c r="K3" s="62"/>
      <c r="L3" s="62"/>
      <c r="M3" s="62">
        <v>8.6347222222222225E-3</v>
      </c>
      <c r="N3" s="62">
        <f>SUM($AU3:$BB3)</f>
        <v>8.6347222222222225E-3</v>
      </c>
      <c r="O3" s="53">
        <f>IFERROR(RANK($AU3,AU$3:AU$500,1),"")</f>
        <v>81</v>
      </c>
      <c r="P3" s="53" t="str">
        <f>IFERROR(RANK($AV3,AV$3:AV$500,1),"")</f>
        <v/>
      </c>
      <c r="Q3" s="53">
        <f>IFERROR(RANK($AW3,AW$3:AW$500,1),"")</f>
        <v>171</v>
      </c>
      <c r="R3" s="53" t="str">
        <f>IFERROR(RANK($AX3,AX$3:AX$500,1),"")</f>
        <v/>
      </c>
      <c r="S3" s="53">
        <f>IFERROR(RANK($AY3,AY$3:AY$500,1),"")</f>
        <v>71</v>
      </c>
      <c r="T3" s="53" t="str">
        <f>IFERROR(RANK($AZ3,AZ$3:AZ$500,1),"")</f>
        <v/>
      </c>
      <c r="U3" s="53" t="str">
        <f>IFERROR(RANK($BA3,BA$3:BA$500,1),"")</f>
        <v/>
      </c>
      <c r="V3" s="53" t="str">
        <f>IFERROR(RANK($BB3,BB$3:BB$500,1),"")</f>
        <v/>
      </c>
      <c r="W3" s="53" t="str">
        <f>CONCATENATE(TEXT($AU3,"[hh]:mm:ss.0")," ","(",$O3,")")</f>
        <v>00:04:14.6 (81)</v>
      </c>
      <c r="X3" s="53" t="str">
        <f>CONCATENATE(TEXT($AV3,"[hh]:mm:ss.0")," ","(",$P3,")")</f>
        <v>DNS/DNF ()</v>
      </c>
      <c r="Y3" s="53" t="str">
        <f>CONCATENATE(TEXT($AW3,"[hh]:mm:ss.0")," ","(",$Q3,")")</f>
        <v>00:02:41.4 (171)</v>
      </c>
      <c r="Z3" s="53" t="str">
        <f>CONCATENATE(TEXT($AX3,"[hh]:mm:ss.0")," ","(",$R3,")")</f>
        <v>DNS/DNF ()</v>
      </c>
      <c r="AA3" s="53" t="str">
        <f>CONCATENATE(TEXT($AY3,"[hh]:mm:ss.0")," ","(",$S3,")")</f>
        <v>00:05:30.1 (71)</v>
      </c>
      <c r="AB3" s="53" t="str">
        <f>CONCATENATE(TEXT($AZ3,"[hh]:mm:ss.0")," ","(",$T3,")")</f>
        <v>DNS/DNF ()</v>
      </c>
      <c r="AC3" s="53" t="str">
        <f>CONCATENATE(TEXT($BA3,"[hh]:mm:ss.0")," ","(",$U3,")")</f>
        <v>DNS/DNF ()</v>
      </c>
      <c r="AD3" s="53" t="str">
        <f>CONCATENATE(TEXT($BB3,"[hh]:mm:ss.0")," ","(",$V3,")")</f>
        <v>DNS/DNF ()</v>
      </c>
      <c r="AE3" s="53">
        <v>28135810</v>
      </c>
      <c r="AF3" s="53">
        <v>28390389</v>
      </c>
      <c r="AG3" s="53">
        <v>0</v>
      </c>
      <c r="AH3" s="53">
        <v>0</v>
      </c>
      <c r="AI3" s="53">
        <v>30580798</v>
      </c>
      <c r="AJ3" s="53">
        <v>30742199</v>
      </c>
      <c r="AK3" s="53">
        <v>0</v>
      </c>
      <c r="AL3" s="53">
        <v>32070682</v>
      </c>
      <c r="AM3" s="53">
        <v>36257769</v>
      </c>
      <c r="AN3" s="53">
        <v>36587829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62">
        <f>IF((OR($AE3=0,$AF3=0,$AF3-$AE3&lt;0)),"DNS/DNF",($AF3-$AE3)/86400000)</f>
        <v>2.9465162037037038E-3</v>
      </c>
      <c r="AV3" s="62" t="str">
        <f>IF((OR($AG3=0,$AH3=0,$AH3-$AG3&lt;0)),"DNS/DNF",($AH3-$AG3)/86400000)</f>
        <v>DNS/DNF</v>
      </c>
      <c r="AW3" s="62">
        <f>IF((OR($AI3=0,$AJ3=0,$AJ3-$AI3&lt;0)),"DNS/DNF",($AJ3-$AI3)/86400000)</f>
        <v>1.8680671296296297E-3</v>
      </c>
      <c r="AX3" s="62" t="str">
        <f>IF((OR($AK3=0,$AL3=0,$AL3-$AK3&lt;0)),"DNS/DNF",($AL3-$AK3)/86400000)</f>
        <v>DNS/DNF</v>
      </c>
      <c r="AY3" s="62">
        <f>IF((OR($AM3=0,$AM3=0,$AN3-$AM3&lt;0)),"DNS/DNF",($AN3-$AM3)/86400000)</f>
        <v>3.820138888888889E-3</v>
      </c>
      <c r="AZ3" s="62" t="str">
        <f>IF((OR($AO3=0,$AP3=0,$AP3-$AO3&lt;0)),"DNS/DNF",($AP3-$AO3)/86400000)</f>
        <v>DNS/DNF</v>
      </c>
      <c r="BA3" s="62" t="str">
        <f>IF((OR($AQ3=0,$AR3=0,$AR3-$AQ3&lt;0)),"DNS/DNF",($AR3-$AQ3)/86400000)</f>
        <v>DNS/DNF</v>
      </c>
      <c r="BB3" s="62" t="str">
        <f>IF((OR($AS3=0,$AT3=0,$AT3-$AS3&lt;0)),"DNS/DNF",($AT3-$AS3)/86400000)</f>
        <v>DNS/DNF</v>
      </c>
      <c r="BC3" s="75">
        <f>IFERROR(ROUND(AVERAGE(O3:V3),0),"")</f>
        <v>108</v>
      </c>
      <c r="BD3" s="53">
        <f>IFERROR((INDEX(($AU$3:$AU$500)*86400000,MATCH(BC3,$O$3:$O$500,0))),"")</f>
        <v>289099</v>
      </c>
      <c r="BE3" s="53">
        <f>IFERROR((INDEX(($AV$3:$AV$500)*86400000,MATCH(BC3,$P$3:$P$500,0))),"")</f>
        <v>256902</v>
      </c>
      <c r="BF3" s="53">
        <f>IFERROR((INDEX(($AW$3:$AW$500)*86400000,MATCH(BC3,$Q$3:$Q$500,0))),"")</f>
        <v>147702</v>
      </c>
      <c r="BG3" s="53">
        <f>IFERROR((INDEX(($AX$3:$AX$500)*86400000,MATCH(BC3,$R$3:$R$500,0))),"")</f>
        <v>306594</v>
      </c>
      <c r="BH3" s="53">
        <f>IFERROR((INDEX(($AY$3:$AY$500)*86400000,MATCH(BC3,$S$3:$S$500,0))),"")</f>
        <v>348108</v>
      </c>
      <c r="BI3" s="53" t="str">
        <f>IFERROR((INDEX(($AZ$3:$AZ$500)*86400000,MATCH(BC3,$T$3:$T$500,0))),"")</f>
        <v/>
      </c>
      <c r="BJ3" s="53" t="str">
        <f>IFERROR((INDEX(($BA$3:$BA$500)*86400000,MATCH(BC3,$U$3:$U$500,0))),"")</f>
        <v/>
      </c>
      <c r="BK3" s="53" t="str">
        <f>IFERROR((INDEX(($BB$3:$BB$500)*86400000,MATCH(BC3,$V$3:$V$500,0))),"")</f>
        <v/>
      </c>
    </row>
    <row r="4" spans="1:63">
      <c r="A4" s="53">
        <v>50</v>
      </c>
      <c r="B4" s="89" t="str">
        <f>IFERROR(VLOOKUP($A4,EntryList!$A$3:$N$645,2,FALSE),"")</f>
        <v>Alan Chait</v>
      </c>
      <c r="C4" s="74"/>
      <c r="D4" s="53">
        <f>COUNT($AU4:$BB4)</f>
        <v>2</v>
      </c>
      <c r="E4" s="62"/>
      <c r="F4" s="62">
        <v>4.1357175925925927E-3</v>
      </c>
      <c r="G4" s="62">
        <v>2.4351157407407407E-3</v>
      </c>
      <c r="H4" s="62"/>
      <c r="I4" s="62"/>
      <c r="J4" s="62"/>
      <c r="K4" s="62"/>
      <c r="L4" s="62"/>
      <c r="M4" s="62">
        <v>6.5708333333333339E-3</v>
      </c>
      <c r="N4" s="62">
        <f>SUM($AU4:$BB4)</f>
        <v>6.570833333333333E-3</v>
      </c>
      <c r="O4" s="53" t="str">
        <f>IFERROR(RANK($AU4,AU$3:AU$500,1),"")</f>
        <v/>
      </c>
      <c r="P4" s="53">
        <f>IFERROR(RANK($AV4,AV$3:AV$500,1),"")</f>
        <v>250</v>
      </c>
      <c r="Q4" s="53">
        <f>IFERROR(RANK($AW4,AW$3:AW$500,1),"")</f>
        <v>245</v>
      </c>
      <c r="R4" s="53" t="str">
        <f>IFERROR(RANK($AX4,AX$3:AX$500,1),"")</f>
        <v/>
      </c>
      <c r="S4" s="53" t="str">
        <f>IFERROR(RANK($AY4,AY$3:AY$500,1),"")</f>
        <v/>
      </c>
      <c r="T4" s="53" t="str">
        <f>IFERROR(RANK($AZ4,AZ$3:AZ$500,1),"")</f>
        <v/>
      </c>
      <c r="U4" s="53" t="str">
        <f>IFERROR(RANK($BA4,BA$3:BA$500,1),"")</f>
        <v/>
      </c>
      <c r="V4" s="53" t="str">
        <f>IFERROR(RANK($BB4,BB$3:BB$500,1),"")</f>
        <v/>
      </c>
      <c r="W4" s="53" t="str">
        <f>CONCATENATE(TEXT($AU4,"[hh]:mm:ss.0")," ","(",$O4,")")</f>
        <v>DNS/DNF ()</v>
      </c>
      <c r="X4" s="53" t="str">
        <f>CONCATENATE(TEXT($AV4,"[hh]:mm:ss.0")," ","(",$P4,")")</f>
        <v>00:05:57.3 (250)</v>
      </c>
      <c r="Y4" s="53" t="str">
        <f>CONCATENATE(TEXT($AW4,"[hh]:mm:ss.0")," ","(",$Q4,")")</f>
        <v>00:03:30.4 (245)</v>
      </c>
      <c r="Z4" s="53" t="str">
        <f>CONCATENATE(TEXT($AX4,"[hh]:mm:ss.0")," ","(",$R4,")")</f>
        <v>DNS/DNF ()</v>
      </c>
      <c r="AA4" s="53" t="str">
        <f>CONCATENATE(TEXT($AY4,"[hh]:mm:ss.0")," ","(",$S4,")")</f>
        <v>DNS/DNF ()</v>
      </c>
      <c r="AB4" s="53" t="str">
        <f>CONCATENATE(TEXT($AZ4,"[hh]:mm:ss.0")," ","(",$T4,")")</f>
        <v>DNS/DNF ()</v>
      </c>
      <c r="AC4" s="53" t="str">
        <f>CONCATENATE(TEXT($BA4,"[hh]:mm:ss.0")," ","(",$U4,")")</f>
        <v>DNS/DNF ()</v>
      </c>
      <c r="AD4" s="53" t="str">
        <f>CONCATENATE(TEXT($BB4,"[hh]:mm:ss.0")," ","(",$V4,")")</f>
        <v>DNS/DNF ()</v>
      </c>
      <c r="AE4" s="53">
        <v>0</v>
      </c>
      <c r="AF4" s="53">
        <v>0</v>
      </c>
      <c r="AG4" s="53">
        <v>30589459</v>
      </c>
      <c r="AH4" s="53">
        <v>30946785</v>
      </c>
      <c r="AI4" s="53">
        <v>33008183</v>
      </c>
      <c r="AJ4" s="53">
        <v>33218577</v>
      </c>
      <c r="AK4" s="53">
        <v>0</v>
      </c>
      <c r="AL4" s="53">
        <v>0</v>
      </c>
      <c r="AM4" s="53">
        <v>36454066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62" t="str">
        <f>IF((OR($AE4=0,$AF4=0,$AF4-$AE4&lt;0)),"DNS/DNF",($AF4-$AE4)/86400000)</f>
        <v>DNS/DNF</v>
      </c>
      <c r="AV4" s="62">
        <f>IF((OR($AG4=0,$AH4=0,$AH4-$AG4&lt;0)),"DNS/DNF",($AH4-$AG4)/86400000)</f>
        <v>4.1357175925925927E-3</v>
      </c>
      <c r="AW4" s="62">
        <f>IF((OR($AI4=0,$AJ4=0,$AJ4-$AI4&lt;0)),"DNS/DNF",($AJ4-$AI4)/86400000)</f>
        <v>2.4351157407407407E-3</v>
      </c>
      <c r="AX4" s="62" t="str">
        <f>IF((OR($AK4=0,$AL4=0,$AL4-$AK4&lt;0)),"DNS/DNF",($AL4-$AK4)/86400000)</f>
        <v>DNS/DNF</v>
      </c>
      <c r="AY4" s="62" t="str">
        <f>IF((OR($AM4=0,$AM4=0,$AN4-$AM4&lt;0)),"DNS/DNF",($AN4-$AM4)/86400000)</f>
        <v>DNS/DNF</v>
      </c>
      <c r="AZ4" s="62" t="str">
        <f>IF((OR($AO4=0,$AP4=0,$AP4-$AO4&lt;0)),"DNS/DNF",($AP4-$AO4)/86400000)</f>
        <v>DNS/DNF</v>
      </c>
      <c r="BA4" s="62" t="str">
        <f>IF((OR($AQ4=0,$AR4=0,$AR4-$AQ4&lt;0)),"DNS/DNF",($AR4-$AQ4)/86400000)</f>
        <v>DNS/DNF</v>
      </c>
      <c r="BB4" s="62" t="str">
        <f>IF((OR($AS4=0,$AT4=0,$AT4-$AS4&lt;0)),"DNS/DNF",($AT4-$AS4)/86400000)</f>
        <v>DNS/DNF</v>
      </c>
      <c r="BC4" s="75">
        <f>IFERROR(ROUND(AVERAGE(O4:V4),0),"")</f>
        <v>248</v>
      </c>
      <c r="BD4" s="53" t="str">
        <f>IFERROR((INDEX(($AU$3:$AU$500)*86400000,MATCH(BC4,$O$3:$O$500,0))),"")</f>
        <v/>
      </c>
      <c r="BE4" s="53">
        <f>IFERROR((INDEX(($AV$3:$AV$500)*86400000,MATCH(BC4,$P$3:$P$500,0))),"")</f>
        <v>345398.00000000006</v>
      </c>
      <c r="BF4" s="53">
        <f>IFERROR((INDEX(($AW$3:$AW$500)*86400000,MATCH(BC4,$Q$3:$Q$500,0))),"")</f>
        <v>215220</v>
      </c>
      <c r="BG4" s="53" t="str">
        <f>IFERROR((INDEX(($AX$3:$AX$500)*86400000,MATCH(BC4,$R$3:$R$500,0))),"")</f>
        <v/>
      </c>
      <c r="BH4" s="53">
        <f>IFERROR((INDEX(($AY$3:$AY$500)*86400000,MATCH(BC4,$S$3:$S$500,0))),"")</f>
        <v>475450.99999999994</v>
      </c>
      <c r="BI4" s="53" t="str">
        <f>IFERROR((INDEX(($AZ$3:$AZ$500)*86400000,MATCH(BC4,$T$3:$T$500,0))),"")</f>
        <v/>
      </c>
      <c r="BJ4" s="53" t="str">
        <f>IFERROR((INDEX(($BA$3:$BA$500)*86400000,MATCH(BC4,$U$3:$U$500,0))),"")</f>
        <v/>
      </c>
      <c r="BK4" s="53" t="str">
        <f>IFERROR((INDEX(($BB$3:$BB$500)*86400000,MATCH(BC4,$V$3:$V$500,0))),"")</f>
        <v/>
      </c>
    </row>
    <row r="5" spans="1:63">
      <c r="A5" s="53">
        <v>53</v>
      </c>
      <c r="B5" s="89" t="str">
        <f>IFERROR(VLOOKUP($A5,EntryList!$A$3:$N$645,2,FALSE),"")</f>
        <v>Paul Combrinck</v>
      </c>
      <c r="C5" s="74"/>
      <c r="D5" s="53">
        <f t="shared" ref="D5:D6" si="0">COUNT($AU5:$BB5)</f>
        <v>3</v>
      </c>
      <c r="E5" s="62"/>
      <c r="F5" s="62">
        <v>2.879953703703704E-3</v>
      </c>
      <c r="G5" s="62">
        <v>1.7513541666666667E-3</v>
      </c>
      <c r="H5" s="62"/>
      <c r="I5" s="62">
        <v>3.9010995370370367E-3</v>
      </c>
      <c r="J5" s="62"/>
      <c r="K5" s="62"/>
      <c r="L5" s="62"/>
      <c r="M5" s="62">
        <v>8.532407407407407E-3</v>
      </c>
      <c r="N5" s="62">
        <f t="shared" ref="N5:N6" si="1">SUM($AU5:$BB5)</f>
        <v>8.5324074074074087E-3</v>
      </c>
      <c r="O5" s="53" t="str">
        <f t="shared" ref="O5:O6" si="2">IFERROR(RANK($AU5,AU$3:AU$500,1),"")</f>
        <v/>
      </c>
      <c r="P5" s="53">
        <f t="shared" ref="P5:P6" si="3">IFERROR(RANK($AV5,AV$3:AV$500,1),"")</f>
        <v>89</v>
      </c>
      <c r="Q5" s="53">
        <f t="shared" ref="Q5:Q6" si="4">IFERROR(RANK($AW5,AW$3:AW$500,1),"")</f>
        <v>119</v>
      </c>
      <c r="R5" s="53" t="str">
        <f t="shared" ref="R5:R6" si="5">IFERROR(RANK($AX5,AX$3:AX$500,1),"")</f>
        <v/>
      </c>
      <c r="S5" s="53">
        <f t="shared" ref="S5:S6" si="6">IFERROR(RANK($AY5,AY$3:AY$500,1),"")</f>
        <v>84</v>
      </c>
      <c r="T5" s="53" t="str">
        <f t="shared" ref="T5:T6" si="7">IFERROR(RANK($AZ5,AZ$3:AZ$500,1),"")</f>
        <v/>
      </c>
      <c r="U5" s="53" t="str">
        <f t="shared" ref="U5:U6" si="8">IFERROR(RANK($BA5,BA$3:BA$500,1),"")</f>
        <v/>
      </c>
      <c r="V5" s="53" t="str">
        <f t="shared" ref="V5:V6" si="9">IFERROR(RANK($BB5,BB$3:BB$500,1),"")</f>
        <v/>
      </c>
      <c r="W5" s="53" t="str">
        <f>CONCATENATE(TEXT($AU5,"[hh]:mm:ss.0")," ","(",$O5,")")</f>
        <v>DNS/DNF ()</v>
      </c>
      <c r="X5" s="53" t="str">
        <f t="shared" ref="X5:X6" si="10">CONCATENATE(TEXT($AV5,"[hh]:mm:ss.0")," ","(",$P5,")")</f>
        <v>00:04:08.8 (89)</v>
      </c>
      <c r="Y5" s="53" t="str">
        <f t="shared" ref="Y5:Y6" si="11">CONCATENATE(TEXT($AW5,"[hh]:mm:ss.0")," ","(",$Q5,")")</f>
        <v>00:02:31.3 (119)</v>
      </c>
      <c r="Z5" s="53" t="str">
        <f t="shared" ref="Z5:Z6" si="12">CONCATENATE(TEXT($AX5,"[hh]:mm:ss.0")," ","(",$R5,")")</f>
        <v>DNS/DNF ()</v>
      </c>
      <c r="AA5" s="53" t="str">
        <f t="shared" ref="AA5:AA6" si="13">CONCATENATE(TEXT($AY5,"[hh]:mm:ss.0")," ","(",$S5,")")</f>
        <v>00:05:37.1 (84)</v>
      </c>
      <c r="AB5" s="53" t="str">
        <f t="shared" ref="AB5:AB6" si="14">CONCATENATE(TEXT($AZ5,"[hh]:mm:ss.0")," ","(",$T5,")")</f>
        <v>DNS/DNF ()</v>
      </c>
      <c r="AC5" s="53" t="str">
        <f t="shared" ref="AC5:AC6" si="15">CONCATENATE(TEXT($BA5,"[hh]:mm:ss.0")," ","(",$U5,")")</f>
        <v>DNS/DNF ()</v>
      </c>
      <c r="AD5" s="53" t="str">
        <f t="shared" ref="AD5:AD6" si="16">CONCATENATE(TEXT($BB5,"[hh]:mm:ss.0")," ","(",$V5,")")</f>
        <v>DNS/DNF ()</v>
      </c>
      <c r="AE5" s="53">
        <v>0</v>
      </c>
      <c r="AF5" s="53">
        <v>0</v>
      </c>
      <c r="AG5" s="53">
        <v>30586495</v>
      </c>
      <c r="AH5" s="53">
        <v>30835323</v>
      </c>
      <c r="AI5" s="53">
        <v>33000065</v>
      </c>
      <c r="AJ5" s="53">
        <v>33151382</v>
      </c>
      <c r="AK5" s="53">
        <v>0</v>
      </c>
      <c r="AL5" s="53">
        <v>0</v>
      </c>
      <c r="AM5" s="53">
        <v>36733668</v>
      </c>
      <c r="AN5" s="53">
        <v>37070723</v>
      </c>
      <c r="AO5" s="53">
        <v>0</v>
      </c>
      <c r="AP5" s="53">
        <v>0</v>
      </c>
      <c r="AQ5" s="53">
        <v>0</v>
      </c>
      <c r="AR5" s="53">
        <v>0</v>
      </c>
      <c r="AS5" s="53">
        <v>0</v>
      </c>
      <c r="AT5" s="53">
        <v>0</v>
      </c>
      <c r="AU5" s="62" t="str">
        <f t="shared" ref="AU5:AU6" si="17">IF((OR($AE5=0,$AF5=0,$AF5-$AE5&lt;0)),"DNS/DNF",($AF5-$AE5)/86400000)</f>
        <v>DNS/DNF</v>
      </c>
      <c r="AV5" s="62">
        <f t="shared" ref="AV5:AV6" si="18">IF((OR($AG5=0,$AH5=0,$AH5-$AG5&lt;0)),"DNS/DNF",($AH5-$AG5)/86400000)</f>
        <v>2.8799537037037036E-3</v>
      </c>
      <c r="AW5" s="62">
        <f t="shared" ref="AW5:AW6" si="19">IF((OR($AI5=0,$AJ5=0,$AJ5-$AI5&lt;0)),"DNS/DNF",($AJ5-$AI5)/86400000)</f>
        <v>1.7513541666666667E-3</v>
      </c>
      <c r="AX5" s="62" t="str">
        <f t="shared" ref="AX5:AX6" si="20">IF((OR($AK5=0,$AL5=0,$AL5-$AK5&lt;0)),"DNS/DNF",($AL5-$AK5)/86400000)</f>
        <v>DNS/DNF</v>
      </c>
      <c r="AY5" s="62">
        <f t="shared" ref="AY5:AY6" si="21">IF((OR($AM5=0,$AM5=0,$AN5-$AM5&lt;0)),"DNS/DNF",($AN5-$AM5)/86400000)</f>
        <v>3.9010995370370371E-3</v>
      </c>
      <c r="AZ5" s="62" t="str">
        <f t="shared" ref="AZ5:AZ6" si="22">IF((OR($AO5=0,$AP5=0,$AP5-$AO5&lt;0)),"DNS/DNF",($AP5-$AO5)/86400000)</f>
        <v>DNS/DNF</v>
      </c>
      <c r="BA5" s="62" t="str">
        <f t="shared" ref="BA5:BA6" si="23">IF((OR($AQ5=0,$AR5=0,$AR5-$AQ5&lt;0)),"DNS/DNF",($AR5-$AQ5)/86400000)</f>
        <v>DNS/DNF</v>
      </c>
      <c r="BB5" s="62" t="str">
        <f t="shared" ref="BB5:BB6" si="24">IF((OR($AS5=0,$AT5=0,$AT5-$AS5&lt;0)),"DNS/DNF",($AT5-$AS5)/86400000)</f>
        <v>DNS/DNF</v>
      </c>
      <c r="BC5" s="75">
        <f t="shared" ref="BC5:BC6" si="25">IFERROR(ROUND(AVERAGE(O5:V5),0),"")</f>
        <v>97</v>
      </c>
      <c r="BD5" s="53">
        <f t="shared" ref="BD5:BD6" si="26">IFERROR((INDEX(($AU$3:$AU$500)*86400000,MATCH(BC5,$O$3:$O$500,0))),"")</f>
        <v>276270</v>
      </c>
      <c r="BE5" s="53">
        <f t="shared" ref="BE5:BE6" si="27">IFERROR((INDEX(($AV$3:$AV$500)*86400000,MATCH(BC5,$P$3:$P$500,0))),"")</f>
        <v>252536</v>
      </c>
      <c r="BF5" s="53">
        <f t="shared" ref="BF5:BF6" si="28">IFERROR((INDEX(($AW$3:$AW$500)*86400000,MATCH(BC5,$Q$3:$Q$500,0))),"")</f>
        <v>145826</v>
      </c>
      <c r="BG5" s="53">
        <f t="shared" ref="BG5:BG6" si="29">IFERROR((INDEX(($AX$3:$AX$500)*86400000,MATCH(BC5,$R$3:$R$500,0))),"")</f>
        <v>296813</v>
      </c>
      <c r="BH5" s="53">
        <f t="shared" ref="BH5:BH6" si="30">IFERROR((INDEX(($AY$3:$AY$500)*86400000,MATCH(BC5,$S$3:$S$500,0))),"")</f>
        <v>341745</v>
      </c>
      <c r="BI5" s="53" t="str">
        <f t="shared" ref="BI5:BI6" si="31">IFERROR((INDEX(($AZ$3:$AZ$500)*86400000,MATCH(BC5,$T$3:$T$500,0))),"")</f>
        <v/>
      </c>
      <c r="BJ5" s="53" t="str">
        <f t="shared" ref="BJ5:BJ6" si="32">IFERROR((INDEX(($BA$3:$BA$500)*86400000,MATCH(BC5,$U$3:$U$500,0))),"")</f>
        <v/>
      </c>
      <c r="BK5" s="53" t="str">
        <f t="shared" ref="BK5:BK6" si="33">IFERROR((INDEX(($BB$3:$BB$500)*86400000,MATCH(BC5,$V$3:$V$500,0))),"")</f>
        <v/>
      </c>
    </row>
    <row r="6" spans="1:63">
      <c r="A6" s="53">
        <v>53</v>
      </c>
      <c r="B6" s="89" t="str">
        <f>IFERROR(VLOOKUP($A6,EntryList!$A$3:$N$645,2,FALSE),"")</f>
        <v>Paul Combrinck</v>
      </c>
      <c r="C6" s="74"/>
      <c r="D6" s="53">
        <f t="shared" si="0"/>
        <v>3</v>
      </c>
      <c r="E6" s="62"/>
      <c r="F6" s="62">
        <v>2.879953703703704E-3</v>
      </c>
      <c r="G6" s="62">
        <v>1.7513541666666667E-3</v>
      </c>
      <c r="H6" s="62"/>
      <c r="I6" s="62">
        <v>3.9010995370370367E-3</v>
      </c>
      <c r="J6" s="62"/>
      <c r="K6" s="62"/>
      <c r="L6" s="62"/>
      <c r="M6" s="62">
        <v>8.532407407407407E-3</v>
      </c>
      <c r="N6" s="62">
        <f t="shared" si="1"/>
        <v>8.5324074074074087E-3</v>
      </c>
      <c r="O6" s="53" t="str">
        <f t="shared" si="2"/>
        <v/>
      </c>
      <c r="P6" s="53">
        <f t="shared" si="3"/>
        <v>89</v>
      </c>
      <c r="Q6" s="53">
        <f t="shared" si="4"/>
        <v>119</v>
      </c>
      <c r="R6" s="53" t="str">
        <f t="shared" si="5"/>
        <v/>
      </c>
      <c r="S6" s="53">
        <f t="shared" si="6"/>
        <v>84</v>
      </c>
      <c r="T6" s="53" t="str">
        <f t="shared" si="7"/>
        <v/>
      </c>
      <c r="U6" s="53" t="str">
        <f t="shared" si="8"/>
        <v/>
      </c>
      <c r="V6" s="53" t="str">
        <f t="shared" si="9"/>
        <v/>
      </c>
      <c r="W6" s="53" t="str">
        <f t="shared" ref="W6" si="34">CONCATENATE(TEXT($AU6,"[hh]:mm:ss.0")," ","(",$O6,")")</f>
        <v>DNS/DNF ()</v>
      </c>
      <c r="X6" s="53" t="str">
        <f t="shared" si="10"/>
        <v>00:04:08.8 (89)</v>
      </c>
      <c r="Y6" s="53" t="str">
        <f t="shared" si="11"/>
        <v>00:02:31.3 (119)</v>
      </c>
      <c r="Z6" s="53" t="str">
        <f t="shared" si="12"/>
        <v>DNS/DNF ()</v>
      </c>
      <c r="AA6" s="53" t="str">
        <f t="shared" si="13"/>
        <v>00:05:37.1 (84)</v>
      </c>
      <c r="AB6" s="53" t="str">
        <f t="shared" si="14"/>
        <v>DNS/DNF ()</v>
      </c>
      <c r="AC6" s="53" t="str">
        <f t="shared" si="15"/>
        <v>DNS/DNF ()</v>
      </c>
      <c r="AD6" s="53" t="str">
        <f t="shared" si="16"/>
        <v>DNS/DNF ()</v>
      </c>
      <c r="AE6" s="53">
        <v>0</v>
      </c>
      <c r="AF6" s="53">
        <v>0</v>
      </c>
      <c r="AG6" s="53">
        <v>30586495</v>
      </c>
      <c r="AH6" s="53">
        <v>30835323</v>
      </c>
      <c r="AI6" s="53">
        <v>33000065</v>
      </c>
      <c r="AJ6" s="53">
        <v>33151382</v>
      </c>
      <c r="AK6" s="53">
        <v>0</v>
      </c>
      <c r="AL6" s="53">
        <v>0</v>
      </c>
      <c r="AM6" s="53">
        <v>36733668</v>
      </c>
      <c r="AN6" s="53">
        <v>37070723</v>
      </c>
      <c r="AO6" s="53">
        <v>0</v>
      </c>
      <c r="AP6" s="53">
        <v>0</v>
      </c>
      <c r="AQ6" s="53">
        <v>0</v>
      </c>
      <c r="AR6" s="53">
        <v>0</v>
      </c>
      <c r="AS6" s="53">
        <v>0</v>
      </c>
      <c r="AT6" s="53">
        <v>0</v>
      </c>
      <c r="AU6" s="62" t="str">
        <f t="shared" si="17"/>
        <v>DNS/DNF</v>
      </c>
      <c r="AV6" s="62">
        <f t="shared" si="18"/>
        <v>2.8799537037037036E-3</v>
      </c>
      <c r="AW6" s="62">
        <f t="shared" si="19"/>
        <v>1.7513541666666667E-3</v>
      </c>
      <c r="AX6" s="62" t="str">
        <f t="shared" si="20"/>
        <v>DNS/DNF</v>
      </c>
      <c r="AY6" s="62">
        <f t="shared" si="21"/>
        <v>3.9010995370370371E-3</v>
      </c>
      <c r="AZ6" s="62" t="str">
        <f t="shared" si="22"/>
        <v>DNS/DNF</v>
      </c>
      <c r="BA6" s="62" t="str">
        <f t="shared" si="23"/>
        <v>DNS/DNF</v>
      </c>
      <c r="BB6" s="62" t="str">
        <f t="shared" si="24"/>
        <v>DNS/DNF</v>
      </c>
      <c r="BC6" s="75">
        <f t="shared" si="25"/>
        <v>97</v>
      </c>
      <c r="BD6" s="53">
        <f t="shared" si="26"/>
        <v>276270</v>
      </c>
      <c r="BE6" s="53">
        <f t="shared" si="27"/>
        <v>252536</v>
      </c>
      <c r="BF6" s="53">
        <f t="shared" si="28"/>
        <v>145826</v>
      </c>
      <c r="BG6" s="53">
        <f t="shared" si="29"/>
        <v>296813</v>
      </c>
      <c r="BH6" s="53">
        <f t="shared" si="30"/>
        <v>341745</v>
      </c>
      <c r="BI6" s="53" t="str">
        <f t="shared" si="31"/>
        <v/>
      </c>
      <c r="BJ6" s="53" t="str">
        <f t="shared" si="32"/>
        <v/>
      </c>
      <c r="BK6" s="53" t="str">
        <f t="shared" si="33"/>
        <v/>
      </c>
    </row>
    <row r="7" spans="1:63">
      <c r="A7" s="53">
        <v>238</v>
      </c>
      <c r="B7" s="89" t="str">
        <f>IFERROR(VLOOKUP($A7,EntryList!$A$3:$N$645,2,FALSE),"")</f>
        <v>Louis Van Der Walt</v>
      </c>
      <c r="C7" s="74"/>
      <c r="D7" s="53">
        <f>COUNT($AU7:$BB7)</f>
        <v>3</v>
      </c>
      <c r="E7" s="62"/>
      <c r="F7" s="62">
        <v>2.6844560185185183E-3</v>
      </c>
      <c r="G7" s="62">
        <v>1.462476851851852E-3</v>
      </c>
      <c r="H7" s="62"/>
      <c r="I7" s="62">
        <v>3.6091203703703702E-3</v>
      </c>
      <c r="J7" s="62"/>
      <c r="K7" s="62"/>
      <c r="L7" s="62"/>
      <c r="M7" s="62">
        <v>7.7560532407407413E-3</v>
      </c>
      <c r="N7" s="62">
        <f>SUM($AU7:$BB7)</f>
        <v>7.7560532407407404E-3</v>
      </c>
      <c r="O7" s="53" t="str">
        <f>IFERROR(RANK($AU7,AU$3:AU$500,1),"")</f>
        <v/>
      </c>
      <c r="P7" s="53">
        <f>IFERROR(RANK($AV7,AV$3:AV$500,1),"")</f>
        <v>42</v>
      </c>
      <c r="Q7" s="53">
        <f>IFERROR(RANK($AW7,AW$3:AW$500,1),"")</f>
        <v>32</v>
      </c>
      <c r="R7" s="53" t="str">
        <f>IFERROR(RANK($AX7,AX$3:AX$500,1),"")</f>
        <v/>
      </c>
      <c r="S7" s="53">
        <f>IFERROR(RANK($AY7,AY$3:AY$500,1),"")</f>
        <v>40</v>
      </c>
      <c r="T7" s="53" t="str">
        <f>IFERROR(RANK($AZ7,AZ$3:AZ$500,1),"")</f>
        <v/>
      </c>
      <c r="U7" s="53" t="str">
        <f>IFERROR(RANK($BA7,BA$3:BA$500,1),"")</f>
        <v/>
      </c>
      <c r="V7" s="53" t="str">
        <f>IFERROR(RANK($BB7,BB$3:BB$500,1),"")</f>
        <v/>
      </c>
      <c r="W7" s="53" t="str">
        <f>CONCATENATE(TEXT($AU7,"[hh]:mm:ss.0")," ","(",$O7,")")</f>
        <v>DNS/DNF ()</v>
      </c>
      <c r="X7" s="53" t="str">
        <f>CONCATENATE(TEXT($AV7,"[hh]:mm:ss.0")," ","(",$P7,")")</f>
        <v>00:03:51.9 (42)</v>
      </c>
      <c r="Y7" s="53" t="str">
        <f>CONCATENATE(TEXT($AW7,"[hh]:mm:ss.0")," ","(",$Q7,")")</f>
        <v>00:02:06.4 (32)</v>
      </c>
      <c r="Z7" s="53" t="str">
        <f>CONCATENATE(TEXT($AX7,"[hh]:mm:ss.0")," ","(",$R7,")")</f>
        <v>DNS/DNF ()</v>
      </c>
      <c r="AA7" s="53" t="str">
        <f>CONCATENATE(TEXT($AY7,"[hh]:mm:ss.0")," ","(",$S7,")")</f>
        <v>00:05:11.8 (40)</v>
      </c>
      <c r="AB7" s="53" t="str">
        <f>CONCATENATE(TEXT($AZ7,"[hh]:mm:ss.0")," ","(",$T7,")")</f>
        <v>DNS/DNF ()</v>
      </c>
      <c r="AC7" s="53" t="str">
        <f>CONCATENATE(TEXT($BA7,"[hh]:mm:ss.0")," ","(",$U7,")")</f>
        <v>DNS/DNF ()</v>
      </c>
      <c r="AD7" s="53" t="str">
        <f>CONCATENATE(TEXT($BB7,"[hh]:mm:ss.0")," ","(",$V7,")")</f>
        <v>DNS/DNF ()</v>
      </c>
      <c r="AE7" s="53">
        <v>0</v>
      </c>
      <c r="AF7" s="53">
        <v>0</v>
      </c>
      <c r="AG7" s="53">
        <v>32943008</v>
      </c>
      <c r="AH7" s="53">
        <v>33174945</v>
      </c>
      <c r="AI7" s="53">
        <v>35329370</v>
      </c>
      <c r="AJ7" s="53">
        <v>35455728</v>
      </c>
      <c r="AK7" s="53">
        <v>0</v>
      </c>
      <c r="AL7" s="53">
        <v>0</v>
      </c>
      <c r="AM7" s="53">
        <v>38301079</v>
      </c>
      <c r="AN7" s="53">
        <v>38612907</v>
      </c>
      <c r="AO7" s="53">
        <v>0</v>
      </c>
      <c r="AP7" s="53">
        <v>0</v>
      </c>
      <c r="AQ7" s="53">
        <v>0</v>
      </c>
      <c r="AR7" s="53">
        <v>0</v>
      </c>
      <c r="AS7" s="53">
        <v>0</v>
      </c>
      <c r="AT7" s="53">
        <v>0</v>
      </c>
      <c r="AU7" s="62" t="str">
        <f>IF((OR($AE7=0,$AF7=0,$AF7-$AE7&lt;0)),"DNS/DNF",($AF7-$AE7)/86400000)</f>
        <v>DNS/DNF</v>
      </c>
      <c r="AV7" s="62">
        <f>IF((OR($AG7=0,$AH7=0,$AH7-$AG7&lt;0)),"DNS/DNF",($AH7-$AG7)/86400000)</f>
        <v>2.6844560185185183E-3</v>
      </c>
      <c r="AW7" s="62">
        <f>IF((OR($AI7=0,$AJ7=0,$AJ7-$AI7&lt;0)),"DNS/DNF",($AJ7-$AI7)/86400000)</f>
        <v>1.462476851851852E-3</v>
      </c>
      <c r="AX7" s="62" t="str">
        <f>IF((OR($AK7=0,$AL7=0,$AL7-$AK7&lt;0)),"DNS/DNF",($AL7-$AK7)/86400000)</f>
        <v>DNS/DNF</v>
      </c>
      <c r="AY7" s="62">
        <f>IF((OR($AM7=0,$AM7=0,$AN7-$AM7&lt;0)),"DNS/DNF",($AN7-$AM7)/86400000)</f>
        <v>3.6091203703703702E-3</v>
      </c>
      <c r="AZ7" s="62" t="str">
        <f>IF((OR($AO7=0,$AP7=0,$AP7-$AO7&lt;0)),"DNS/DNF",($AP7-$AO7)/86400000)</f>
        <v>DNS/DNF</v>
      </c>
      <c r="BA7" s="62" t="str">
        <f>IF((OR($AQ7=0,$AR7=0,$AR7-$AQ7&lt;0)),"DNS/DNF",($AR7-$AQ7)/86400000)</f>
        <v>DNS/DNF</v>
      </c>
      <c r="BB7" s="62" t="str">
        <f>IF((OR($AS7=0,$AT7=0,$AT7-$AS7&lt;0)),"DNS/DNF",($AT7-$AS7)/86400000)</f>
        <v>DNS/DNF</v>
      </c>
      <c r="BC7" s="75">
        <f>IFERROR(ROUND(AVERAGE(O7:V7),0),"")</f>
        <v>38</v>
      </c>
      <c r="BD7" s="53">
        <f>IFERROR((INDEX(($AU$3:$AU$500)*86400000,MATCH(BC7,$O$3:$O$500,0))),"")</f>
        <v>220228.99999999997</v>
      </c>
      <c r="BE7" s="53">
        <f>IFERROR((INDEX(($AV$3:$AV$500)*86400000,MATCH(BC7,$P$3:$P$500,0))),"")</f>
        <v>230424</v>
      </c>
      <c r="BF7" s="53">
        <f>IFERROR((INDEX(($AW$3:$AW$500)*86400000,MATCH(BC7,$Q$3:$Q$500,0))),"")</f>
        <v>127998</v>
      </c>
      <c r="BG7" s="53">
        <f>IFERROR((INDEX(($AX$3:$AX$500)*86400000,MATCH(BC7,$R$3:$R$500,0))),"")</f>
        <v>255161</v>
      </c>
      <c r="BH7" s="53">
        <f>IFERROR((INDEX(($AY$3:$AY$500)*86400000,MATCH(BC7,$S$3:$S$500,0))),"")</f>
        <v>311515</v>
      </c>
      <c r="BI7" s="53" t="str">
        <f>IFERROR((INDEX(($AZ$3:$AZ$500)*86400000,MATCH(BC7,$T$3:$T$500,0))),"")</f>
        <v/>
      </c>
      <c r="BJ7" s="53" t="str">
        <f>IFERROR((INDEX(($BA$3:$BA$500)*86400000,MATCH(BC7,$U$3:$U$500,0))),"")</f>
        <v/>
      </c>
      <c r="BK7" s="53" t="str">
        <f>IFERROR((INDEX(($BB$3:$BB$500)*86400000,MATCH(BC7,$V$3:$V$500,0))),"")</f>
        <v/>
      </c>
    </row>
    <row r="8" spans="1:63">
      <c r="A8" s="53">
        <v>65</v>
      </c>
      <c r="B8" s="89" t="str">
        <f>IFERROR(VLOOKUP($A8,EntryList!$A$3:$N$645,2,FALSE),"")</f>
        <v>Matt Nicholson</v>
      </c>
      <c r="C8" s="74"/>
      <c r="D8" s="53">
        <f t="shared" ref="D8:D18" si="35">COUNT($AU8:$BB8)</f>
        <v>3</v>
      </c>
      <c r="E8" s="62"/>
      <c r="F8" s="62">
        <v>3.8502893518518517E-3</v>
      </c>
      <c r="G8" s="62">
        <v>2.1657523148148148E-3</v>
      </c>
      <c r="H8" s="62"/>
      <c r="I8" s="62">
        <v>4.5429398148148148E-3</v>
      </c>
      <c r="J8" s="62"/>
      <c r="K8" s="62"/>
      <c r="L8" s="62"/>
      <c r="M8" s="62">
        <v>1.0558981481481482E-2</v>
      </c>
      <c r="N8" s="62">
        <f t="shared" ref="N8:N18" si="36">SUM($AU8:$BB8)</f>
        <v>1.0558981481481482E-2</v>
      </c>
      <c r="O8" s="53" t="str">
        <f t="shared" ref="O8:O18" si="37">IFERROR(RANK($AU8,AU$3:AU$500,1),"")</f>
        <v/>
      </c>
      <c r="P8" s="53">
        <f t="shared" ref="P8:P18" si="38">IFERROR(RANK($AV8,AV$3:AV$500,1),"")</f>
        <v>243</v>
      </c>
      <c r="Q8" s="53">
        <f t="shared" ref="Q8:Q18" si="39">IFERROR(RANK($AW8,AW$3:AW$500,1),"")</f>
        <v>224</v>
      </c>
      <c r="R8" s="53" t="str">
        <f t="shared" ref="R8:R18" si="40">IFERROR(RANK($AX8,AX$3:AX$500,1),"")</f>
        <v/>
      </c>
      <c r="S8" s="53">
        <f t="shared" ref="S8:S18" si="41">IFERROR(RANK($AY8,AY$3:AY$500,1),"")</f>
        <v>200</v>
      </c>
      <c r="T8" s="53" t="str">
        <f t="shared" ref="T8:T18" si="42">IFERROR(RANK($AZ8,AZ$3:AZ$500,1),"")</f>
        <v/>
      </c>
      <c r="U8" s="53" t="str">
        <f t="shared" ref="U8:U18" si="43">IFERROR(RANK($BA8,BA$3:BA$500,1),"")</f>
        <v/>
      </c>
      <c r="V8" s="53" t="str">
        <f t="shared" ref="V8:V18" si="44">IFERROR(RANK($BB8,BB$3:BB$500,1),"")</f>
        <v/>
      </c>
      <c r="W8" s="53" t="str">
        <f>CONCATENATE(TEXT($AU8,"[hh]:mm:ss.0")," ","(",$O8,")")</f>
        <v>DNS/DNF ()</v>
      </c>
      <c r="X8" s="53" t="str">
        <f t="shared" ref="X8:X18" si="45">CONCATENATE(TEXT($AV8,"[hh]:mm:ss.0")," ","(",$P8,")")</f>
        <v>00:05:32.7 (243)</v>
      </c>
      <c r="Y8" s="53" t="str">
        <f t="shared" ref="Y8:Y18" si="46">CONCATENATE(TEXT($AW8,"[hh]:mm:ss.0")," ","(",$Q8,")")</f>
        <v>00:03:07.1 (224)</v>
      </c>
      <c r="Z8" s="53" t="str">
        <f t="shared" ref="Z8:Z18" si="47">CONCATENATE(TEXT($AX8,"[hh]:mm:ss.0")," ","(",$R8,")")</f>
        <v>DNS/DNF ()</v>
      </c>
      <c r="AA8" s="53" t="str">
        <f t="shared" ref="AA8:AA18" si="48">CONCATENATE(TEXT($AY8,"[hh]:mm:ss.0")," ","(",$S8,")")</f>
        <v>00:06:32.5 (200)</v>
      </c>
      <c r="AB8" s="53" t="str">
        <f t="shared" ref="AB8:AB18" si="49">CONCATENATE(TEXT($AZ8,"[hh]:mm:ss.0")," ","(",$T8,")")</f>
        <v>DNS/DNF ()</v>
      </c>
      <c r="AC8" s="53" t="str">
        <f t="shared" ref="AC8:AC18" si="50">CONCATENATE(TEXT($BA8,"[hh]:mm:ss.0")," ","(",$U8,")")</f>
        <v>DNS/DNF ()</v>
      </c>
      <c r="AD8" s="53" t="str">
        <f t="shared" ref="AD8:AD18" si="51">CONCATENATE(TEXT($BB8,"[hh]:mm:ss.0")," ","(",$V8,")")</f>
        <v>DNS/DNF ()</v>
      </c>
      <c r="AE8" s="53">
        <v>0</v>
      </c>
      <c r="AF8" s="53">
        <v>0</v>
      </c>
      <c r="AG8" s="53">
        <v>32959875</v>
      </c>
      <c r="AH8" s="53">
        <v>33292540</v>
      </c>
      <c r="AI8" s="53">
        <v>35366941</v>
      </c>
      <c r="AJ8" s="53">
        <v>35554062</v>
      </c>
      <c r="AK8" s="53">
        <v>0</v>
      </c>
      <c r="AL8" s="53">
        <v>0</v>
      </c>
      <c r="AM8" s="53">
        <v>38322718</v>
      </c>
      <c r="AN8" s="53">
        <v>38715228</v>
      </c>
      <c r="AO8" s="53">
        <v>0</v>
      </c>
      <c r="AP8" s="53">
        <v>0</v>
      </c>
      <c r="AQ8" s="53">
        <v>0</v>
      </c>
      <c r="AR8" s="53">
        <v>0</v>
      </c>
      <c r="AS8" s="53">
        <v>0</v>
      </c>
      <c r="AT8" s="53">
        <v>0</v>
      </c>
      <c r="AU8" s="62" t="str">
        <f t="shared" ref="AU8:AU18" si="52">IF((OR($AE8=0,$AF8=0,$AF8-$AE8&lt;0)),"DNS/DNF",($AF8-$AE8)/86400000)</f>
        <v>DNS/DNF</v>
      </c>
      <c r="AV8" s="62">
        <f t="shared" ref="AV8:AV18" si="53">IF((OR($AG8=0,$AH8=0,$AH8-$AG8&lt;0)),"DNS/DNF",($AH8-$AG8)/86400000)</f>
        <v>3.8502893518518517E-3</v>
      </c>
      <c r="AW8" s="62">
        <f t="shared" ref="AW8:AW18" si="54">IF((OR($AI8=0,$AJ8=0,$AJ8-$AI8&lt;0)),"DNS/DNF",($AJ8-$AI8)/86400000)</f>
        <v>2.1657523148148148E-3</v>
      </c>
      <c r="AX8" s="62" t="str">
        <f t="shared" ref="AX8:AX18" si="55">IF((OR($AK8=0,$AL8=0,$AL8-$AK8&lt;0)),"DNS/DNF",($AL8-$AK8)/86400000)</f>
        <v>DNS/DNF</v>
      </c>
      <c r="AY8" s="62">
        <f t="shared" ref="AY8:AY18" si="56">IF((OR($AM8=0,$AM8=0,$AN8-$AM8&lt;0)),"DNS/DNF",($AN8-$AM8)/86400000)</f>
        <v>4.5429398148148148E-3</v>
      </c>
      <c r="AZ8" s="62" t="str">
        <f t="shared" ref="AZ8:AZ18" si="57">IF((OR($AO8=0,$AP8=0,$AP8-$AO8&lt;0)),"DNS/DNF",($AP8-$AO8)/86400000)</f>
        <v>DNS/DNF</v>
      </c>
      <c r="BA8" s="62" t="str">
        <f t="shared" ref="BA8:BA18" si="58">IF((OR($AQ8=0,$AR8=0,$AR8-$AQ8&lt;0)),"DNS/DNF",($AR8-$AQ8)/86400000)</f>
        <v>DNS/DNF</v>
      </c>
      <c r="BB8" s="62" t="str">
        <f t="shared" ref="BB8:BB18" si="59">IF((OR($AS8=0,$AT8=0,$AT8-$AS8&lt;0)),"DNS/DNF",($AT8-$AS8)/86400000)</f>
        <v>DNS/DNF</v>
      </c>
      <c r="BC8" s="75">
        <f t="shared" ref="BC8:BC18" si="60">IFERROR(ROUND(AVERAGE(O8:V8),0),"")</f>
        <v>222</v>
      </c>
      <c r="BD8" s="53" t="str">
        <f t="shared" ref="BD8:BD18" si="61">IFERROR((INDEX(($AU$3:$AU$500)*86400000,MATCH(BC8,$O$3:$O$500,0))),"")</f>
        <v/>
      </c>
      <c r="BE8" s="53">
        <f t="shared" ref="BE8:BE18" si="62">IFERROR((INDEX(($AV$3:$AV$500)*86400000,MATCH(BC8,$P$3:$P$500,0))),"")</f>
        <v>311342</v>
      </c>
      <c r="BF8" s="53">
        <f t="shared" ref="BF8:BF18" si="63">IFERROR((INDEX(($AW$3:$AW$500)*86400000,MATCH(BC8,$Q$3:$Q$500,0))),"")</f>
        <v>183440.99999999997</v>
      </c>
      <c r="BG8" s="53" t="str">
        <f t="shared" ref="BG8:BG18" si="64">IFERROR((INDEX(($AX$3:$AX$500)*86400000,MATCH(BC8,$R$3:$R$500,0))),"")</f>
        <v/>
      </c>
      <c r="BH8" s="53">
        <f t="shared" ref="BH8:BH18" si="65">IFERROR((INDEX(($AY$3:$AY$500)*86400000,MATCH(BC8,$S$3:$S$500,0))),"")</f>
        <v>413953.00000000006</v>
      </c>
      <c r="BI8" s="53" t="str">
        <f t="shared" ref="BI8:BI18" si="66">IFERROR((INDEX(($AZ$3:$AZ$500)*86400000,MATCH(BC8,$T$3:$T$500,0))),"")</f>
        <v/>
      </c>
      <c r="BJ8" s="53" t="str">
        <f t="shared" ref="BJ8:BJ18" si="67">IFERROR((INDEX(($BA$3:$BA$500)*86400000,MATCH(BC8,$U$3:$U$500,0))),"")</f>
        <v/>
      </c>
      <c r="BK8" s="53" t="str">
        <f t="shared" ref="BK8:BK18" si="68">IFERROR((INDEX(($BB$3:$BB$500)*86400000,MATCH(BC8,$V$3:$V$500,0))),"")</f>
        <v/>
      </c>
    </row>
    <row r="9" spans="1:63">
      <c r="A9" s="53">
        <v>60</v>
      </c>
      <c r="B9" s="89" t="str">
        <f>IFERROR(VLOOKUP($A9,EntryList!$A$3:$N$645,2,FALSE),"")</f>
        <v>Christiaan Steffens</v>
      </c>
      <c r="C9" s="74"/>
      <c r="D9" s="53">
        <f t="shared" si="35"/>
        <v>3</v>
      </c>
      <c r="E9" s="62"/>
      <c r="F9" s="62">
        <v>3.2496990740740737E-3</v>
      </c>
      <c r="G9" s="62">
        <v>1.8700462962962965E-3</v>
      </c>
      <c r="H9" s="62"/>
      <c r="I9" s="62">
        <v>4.125127314814815E-3</v>
      </c>
      <c r="J9" s="62"/>
      <c r="K9" s="62"/>
      <c r="L9" s="62"/>
      <c r="M9" s="62">
        <v>9.2448726851851858E-3</v>
      </c>
      <c r="N9" s="62">
        <f t="shared" si="36"/>
        <v>9.2448726851851841E-3</v>
      </c>
      <c r="O9" s="53" t="str">
        <f t="shared" si="37"/>
        <v/>
      </c>
      <c r="P9" s="53">
        <f t="shared" si="38"/>
        <v>182</v>
      </c>
      <c r="Q9" s="53">
        <f t="shared" si="39"/>
        <v>172</v>
      </c>
      <c r="R9" s="53" t="str">
        <f t="shared" si="40"/>
        <v/>
      </c>
      <c r="S9" s="53">
        <f t="shared" si="41"/>
        <v>134</v>
      </c>
      <c r="T9" s="53" t="str">
        <f t="shared" si="42"/>
        <v/>
      </c>
      <c r="U9" s="53" t="str">
        <f t="shared" si="43"/>
        <v/>
      </c>
      <c r="V9" s="53" t="str">
        <f t="shared" si="44"/>
        <v/>
      </c>
      <c r="W9" s="53" t="str">
        <f t="shared" ref="W9:W18" si="69">CONCATENATE(TEXT($AU9,"[hh]:mm:ss.0")," ","(",$O9,")")</f>
        <v>DNS/DNF ()</v>
      </c>
      <c r="X9" s="53" t="str">
        <f t="shared" si="45"/>
        <v>00:04:40.8 (182)</v>
      </c>
      <c r="Y9" s="53" t="str">
        <f t="shared" si="46"/>
        <v>00:02:41.6 (172)</v>
      </c>
      <c r="Z9" s="53" t="str">
        <f t="shared" si="47"/>
        <v>DNS/DNF ()</v>
      </c>
      <c r="AA9" s="53" t="str">
        <f t="shared" si="48"/>
        <v>00:05:56.4 (134)</v>
      </c>
      <c r="AB9" s="53" t="str">
        <f t="shared" si="49"/>
        <v>DNS/DNF ()</v>
      </c>
      <c r="AC9" s="53" t="str">
        <f t="shared" si="50"/>
        <v>DNS/DNF ()</v>
      </c>
      <c r="AD9" s="53" t="str">
        <f t="shared" si="51"/>
        <v>DNS/DNF ()</v>
      </c>
      <c r="AE9" s="53">
        <v>0</v>
      </c>
      <c r="AF9" s="53">
        <v>0</v>
      </c>
      <c r="AG9" s="53">
        <v>32968653</v>
      </c>
      <c r="AH9" s="53">
        <v>33249427</v>
      </c>
      <c r="AI9" s="53">
        <v>35351879</v>
      </c>
      <c r="AJ9" s="53">
        <v>35513451</v>
      </c>
      <c r="AK9" s="53">
        <v>0</v>
      </c>
      <c r="AL9" s="53">
        <v>0</v>
      </c>
      <c r="AM9" s="53">
        <v>38309601</v>
      </c>
      <c r="AN9" s="53">
        <v>38666012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62" t="str">
        <f t="shared" si="52"/>
        <v>DNS/DNF</v>
      </c>
      <c r="AV9" s="62">
        <f t="shared" si="53"/>
        <v>3.2496990740740741E-3</v>
      </c>
      <c r="AW9" s="62">
        <f t="shared" si="54"/>
        <v>1.8700462962962963E-3</v>
      </c>
      <c r="AX9" s="62" t="str">
        <f t="shared" si="55"/>
        <v>DNS/DNF</v>
      </c>
      <c r="AY9" s="62">
        <f t="shared" si="56"/>
        <v>4.125127314814815E-3</v>
      </c>
      <c r="AZ9" s="62" t="str">
        <f t="shared" si="57"/>
        <v>DNS/DNF</v>
      </c>
      <c r="BA9" s="62" t="str">
        <f t="shared" si="58"/>
        <v>DNS/DNF</v>
      </c>
      <c r="BB9" s="62" t="str">
        <f t="shared" si="59"/>
        <v>DNS/DNF</v>
      </c>
      <c r="BC9" s="75">
        <f t="shared" si="60"/>
        <v>163</v>
      </c>
      <c r="BD9" s="53" t="str">
        <f t="shared" si="61"/>
        <v/>
      </c>
      <c r="BE9" s="53">
        <f t="shared" si="62"/>
        <v>276213</v>
      </c>
      <c r="BF9" s="53">
        <f t="shared" si="63"/>
        <v>160516</v>
      </c>
      <c r="BG9" s="53" t="str">
        <f t="shared" si="64"/>
        <v/>
      </c>
      <c r="BH9" s="53">
        <f t="shared" si="65"/>
        <v>367684</v>
      </c>
      <c r="BI9" s="53" t="str">
        <f t="shared" si="66"/>
        <v/>
      </c>
      <c r="BJ9" s="53" t="str">
        <f t="shared" si="67"/>
        <v/>
      </c>
      <c r="BK9" s="53" t="str">
        <f t="shared" si="68"/>
        <v/>
      </c>
    </row>
    <row r="10" spans="1:63">
      <c r="A10" s="53">
        <v>1</v>
      </c>
      <c r="B10" s="89" t="str">
        <f>IFERROR(VLOOKUP($A10,EntryList!$A$3:$N$645,2,FALSE),"")</f>
        <v>Warren Lawrence</v>
      </c>
      <c r="C10" s="74"/>
      <c r="D10" s="53">
        <f t="shared" si="35"/>
        <v>3</v>
      </c>
      <c r="E10" s="62"/>
      <c r="F10" s="62">
        <v>3.5065393518518523E-3</v>
      </c>
      <c r="G10" s="62">
        <v>2.0320370370370371E-3</v>
      </c>
      <c r="H10" s="62"/>
      <c r="I10" s="62">
        <v>4.7236458333333332E-3</v>
      </c>
      <c r="J10" s="62"/>
      <c r="K10" s="62"/>
      <c r="L10" s="62"/>
      <c r="M10" s="62">
        <v>1.0262222222222223E-2</v>
      </c>
      <c r="N10" s="62">
        <f t="shared" si="36"/>
        <v>1.0262222222222221E-2</v>
      </c>
      <c r="O10" s="53" t="str">
        <f t="shared" si="37"/>
        <v/>
      </c>
      <c r="P10" s="53">
        <f t="shared" si="38"/>
        <v>214</v>
      </c>
      <c r="Q10" s="53">
        <f t="shared" si="39"/>
        <v>210</v>
      </c>
      <c r="R10" s="53" t="str">
        <f t="shared" si="40"/>
        <v/>
      </c>
      <c r="S10" s="53">
        <f t="shared" si="41"/>
        <v>218</v>
      </c>
      <c r="T10" s="53" t="str">
        <f t="shared" si="42"/>
        <v/>
      </c>
      <c r="U10" s="53" t="str">
        <f t="shared" si="43"/>
        <v/>
      </c>
      <c r="V10" s="53" t="str">
        <f t="shared" si="44"/>
        <v/>
      </c>
      <c r="W10" s="53" t="str">
        <f t="shared" si="69"/>
        <v>DNS/DNF ()</v>
      </c>
      <c r="X10" s="53" t="str">
        <f t="shared" si="45"/>
        <v>00:05:03.0 (214)</v>
      </c>
      <c r="Y10" s="53" t="str">
        <f t="shared" si="46"/>
        <v>00:02:55.6 (210)</v>
      </c>
      <c r="Z10" s="53" t="str">
        <f t="shared" si="47"/>
        <v>DNS/DNF ()</v>
      </c>
      <c r="AA10" s="53" t="str">
        <f t="shared" si="48"/>
        <v>00:06:48.1 (218)</v>
      </c>
      <c r="AB10" s="53" t="str">
        <f t="shared" si="49"/>
        <v>DNS/DNF ()</v>
      </c>
      <c r="AC10" s="53" t="str">
        <f t="shared" si="50"/>
        <v>DNS/DNF ()</v>
      </c>
      <c r="AD10" s="53" t="str">
        <f t="shared" si="51"/>
        <v>DNS/DNF ()</v>
      </c>
      <c r="AE10" s="53">
        <v>0</v>
      </c>
      <c r="AF10" s="53">
        <v>0</v>
      </c>
      <c r="AG10" s="53">
        <v>33007562</v>
      </c>
      <c r="AH10" s="53">
        <v>33310527</v>
      </c>
      <c r="AI10" s="53">
        <v>35409787</v>
      </c>
      <c r="AJ10" s="53">
        <v>35585355</v>
      </c>
      <c r="AK10" s="53">
        <v>0</v>
      </c>
      <c r="AL10" s="53">
        <v>0</v>
      </c>
      <c r="AM10" s="53">
        <v>38397099</v>
      </c>
      <c r="AN10" s="53">
        <v>38805222</v>
      </c>
      <c r="AO10" s="53">
        <v>0</v>
      </c>
      <c r="AP10" s="53">
        <v>0</v>
      </c>
      <c r="AQ10" s="53">
        <v>0</v>
      </c>
      <c r="AR10" s="53">
        <v>0</v>
      </c>
      <c r="AS10" s="53">
        <v>0</v>
      </c>
      <c r="AT10" s="53">
        <v>0</v>
      </c>
      <c r="AU10" s="62" t="str">
        <f t="shared" si="52"/>
        <v>DNS/DNF</v>
      </c>
      <c r="AV10" s="62">
        <f t="shared" si="53"/>
        <v>3.5065393518518518E-3</v>
      </c>
      <c r="AW10" s="62">
        <f t="shared" si="54"/>
        <v>2.0320370370370371E-3</v>
      </c>
      <c r="AX10" s="62" t="str">
        <f t="shared" si="55"/>
        <v>DNS/DNF</v>
      </c>
      <c r="AY10" s="62">
        <f t="shared" si="56"/>
        <v>4.7236458333333332E-3</v>
      </c>
      <c r="AZ10" s="62" t="str">
        <f t="shared" si="57"/>
        <v>DNS/DNF</v>
      </c>
      <c r="BA10" s="62" t="str">
        <f t="shared" si="58"/>
        <v>DNS/DNF</v>
      </c>
      <c r="BB10" s="62" t="str">
        <f t="shared" si="59"/>
        <v>DNS/DNF</v>
      </c>
      <c r="BC10" s="75">
        <f t="shared" si="60"/>
        <v>214</v>
      </c>
      <c r="BD10" s="53" t="str">
        <f t="shared" si="61"/>
        <v/>
      </c>
      <c r="BE10" s="53">
        <f t="shared" si="62"/>
        <v>302965</v>
      </c>
      <c r="BF10" s="53">
        <f t="shared" si="63"/>
        <v>178224.00000000003</v>
      </c>
      <c r="BG10" s="53" t="str">
        <f t="shared" si="64"/>
        <v/>
      </c>
      <c r="BH10" s="53">
        <f t="shared" si="65"/>
        <v>403439</v>
      </c>
      <c r="BI10" s="53" t="str">
        <f t="shared" si="66"/>
        <v/>
      </c>
      <c r="BJ10" s="53" t="str">
        <f t="shared" si="67"/>
        <v/>
      </c>
      <c r="BK10" s="53" t="str">
        <f t="shared" si="68"/>
        <v/>
      </c>
    </row>
    <row r="11" spans="1:63">
      <c r="A11" s="53">
        <v>112</v>
      </c>
      <c r="B11" s="89" t="str">
        <f>IFERROR(VLOOKUP($A11,EntryList!$A$3:$N$645,2,FALSE),"")</f>
        <v>Yaseen Enos</v>
      </c>
      <c r="C11" s="74"/>
      <c r="D11" s="53">
        <f t="shared" si="35"/>
        <v>3</v>
      </c>
      <c r="E11" s="62"/>
      <c r="F11" s="62">
        <v>3.8265972222222221E-3</v>
      </c>
      <c r="G11" s="62">
        <v>2.123159722222222E-3</v>
      </c>
      <c r="H11" s="62"/>
      <c r="I11" s="62">
        <v>4.6059837962962964E-3</v>
      </c>
      <c r="J11" s="62"/>
      <c r="K11" s="62"/>
      <c r="L11" s="62"/>
      <c r="M11" s="62">
        <v>1.0555740740740741E-2</v>
      </c>
      <c r="N11" s="62">
        <f t="shared" si="36"/>
        <v>1.0555740740740741E-2</v>
      </c>
      <c r="O11" s="53" t="str">
        <f t="shared" si="37"/>
        <v/>
      </c>
      <c r="P11" s="53">
        <f t="shared" si="38"/>
        <v>240</v>
      </c>
      <c r="Q11" s="53">
        <f t="shared" si="39"/>
        <v>222</v>
      </c>
      <c r="R11" s="53" t="str">
        <f t="shared" si="40"/>
        <v/>
      </c>
      <c r="S11" s="53">
        <f t="shared" si="41"/>
        <v>208</v>
      </c>
      <c r="T11" s="53" t="str">
        <f t="shared" si="42"/>
        <v/>
      </c>
      <c r="U11" s="53" t="str">
        <f t="shared" si="43"/>
        <v/>
      </c>
      <c r="V11" s="53" t="str">
        <f t="shared" si="44"/>
        <v/>
      </c>
      <c r="W11" s="53" t="str">
        <f t="shared" si="69"/>
        <v>DNS/DNF ()</v>
      </c>
      <c r="X11" s="53" t="str">
        <f t="shared" si="45"/>
        <v>00:05:30.6 (240)</v>
      </c>
      <c r="Y11" s="53" t="str">
        <f t="shared" si="46"/>
        <v>00:03:03.4 (222)</v>
      </c>
      <c r="Z11" s="53" t="str">
        <f t="shared" si="47"/>
        <v>DNS/DNF ()</v>
      </c>
      <c r="AA11" s="53" t="str">
        <f t="shared" si="48"/>
        <v>00:06:38.0 (208)</v>
      </c>
      <c r="AB11" s="53" t="str">
        <f t="shared" si="49"/>
        <v>DNS/DNF ()</v>
      </c>
      <c r="AC11" s="53" t="str">
        <f t="shared" si="50"/>
        <v>DNS/DNF ()</v>
      </c>
      <c r="AD11" s="53" t="str">
        <f t="shared" si="51"/>
        <v>DNS/DNF ()</v>
      </c>
      <c r="AE11" s="53">
        <v>0</v>
      </c>
      <c r="AF11" s="53">
        <v>0</v>
      </c>
      <c r="AG11" s="53">
        <v>33486850</v>
      </c>
      <c r="AH11" s="53">
        <v>33817468</v>
      </c>
      <c r="AI11" s="53">
        <v>35921196</v>
      </c>
      <c r="AJ11" s="53">
        <v>36104637</v>
      </c>
      <c r="AK11" s="53">
        <v>0</v>
      </c>
      <c r="AL11" s="53">
        <v>0</v>
      </c>
      <c r="AM11" s="53">
        <v>38431227</v>
      </c>
      <c r="AN11" s="53">
        <v>38829184</v>
      </c>
      <c r="AO11" s="53">
        <v>0</v>
      </c>
      <c r="AP11" s="53">
        <v>0</v>
      </c>
      <c r="AQ11" s="53">
        <v>0</v>
      </c>
      <c r="AR11" s="53">
        <v>0</v>
      </c>
      <c r="AS11" s="53">
        <v>0</v>
      </c>
      <c r="AT11" s="53">
        <v>0</v>
      </c>
      <c r="AU11" s="62" t="str">
        <f t="shared" si="52"/>
        <v>DNS/DNF</v>
      </c>
      <c r="AV11" s="62">
        <f t="shared" si="53"/>
        <v>3.8265972222222221E-3</v>
      </c>
      <c r="AW11" s="62">
        <f t="shared" si="54"/>
        <v>2.123159722222222E-3</v>
      </c>
      <c r="AX11" s="62" t="str">
        <f t="shared" si="55"/>
        <v>DNS/DNF</v>
      </c>
      <c r="AY11" s="62">
        <f t="shared" si="56"/>
        <v>4.6059837962962964E-3</v>
      </c>
      <c r="AZ11" s="62" t="str">
        <f t="shared" si="57"/>
        <v>DNS/DNF</v>
      </c>
      <c r="BA11" s="62" t="str">
        <f t="shared" si="58"/>
        <v>DNS/DNF</v>
      </c>
      <c r="BB11" s="62" t="str">
        <f t="shared" si="59"/>
        <v>DNS/DNF</v>
      </c>
      <c r="BC11" s="75">
        <f t="shared" si="60"/>
        <v>223</v>
      </c>
      <c r="BD11" s="53" t="str">
        <f t="shared" si="61"/>
        <v/>
      </c>
      <c r="BE11" s="53">
        <f t="shared" si="62"/>
        <v>313378</v>
      </c>
      <c r="BF11" s="53">
        <f t="shared" si="63"/>
        <v>183943</v>
      </c>
      <c r="BG11" s="53" t="str">
        <f t="shared" si="64"/>
        <v/>
      </c>
      <c r="BH11" s="53">
        <f t="shared" si="65"/>
        <v>417854.00000000006</v>
      </c>
      <c r="BI11" s="53" t="str">
        <f t="shared" si="66"/>
        <v/>
      </c>
      <c r="BJ11" s="53" t="str">
        <f t="shared" si="67"/>
        <v/>
      </c>
      <c r="BK11" s="53" t="str">
        <f t="shared" si="68"/>
        <v/>
      </c>
    </row>
    <row r="12" spans="1:63">
      <c r="A12" s="53">
        <v>49</v>
      </c>
      <c r="B12" s="89" t="str">
        <f>IFERROR(VLOOKUP($A12,EntryList!$A$3:$N$645,2,FALSE),"")</f>
        <v>Francois Dreyer</v>
      </c>
      <c r="C12" s="74"/>
      <c r="D12" s="53">
        <f t="shared" si="35"/>
        <v>1</v>
      </c>
      <c r="E12" s="62"/>
      <c r="F12" s="62">
        <v>4.4321180555555555E-3</v>
      </c>
      <c r="G12" s="62"/>
      <c r="H12" s="62"/>
      <c r="I12" s="62"/>
      <c r="J12" s="62"/>
      <c r="K12" s="62"/>
      <c r="L12" s="62"/>
      <c r="M12" s="62">
        <v>4.4321180555555555E-3</v>
      </c>
      <c r="N12" s="62">
        <f t="shared" si="36"/>
        <v>4.4321180555555555E-3</v>
      </c>
      <c r="O12" s="53" t="str">
        <f t="shared" si="37"/>
        <v/>
      </c>
      <c r="P12" s="53">
        <f t="shared" si="38"/>
        <v>258</v>
      </c>
      <c r="Q12" s="53" t="str">
        <f t="shared" si="39"/>
        <v/>
      </c>
      <c r="R12" s="53" t="str">
        <f t="shared" si="40"/>
        <v/>
      </c>
      <c r="S12" s="53" t="str">
        <f t="shared" si="41"/>
        <v/>
      </c>
      <c r="T12" s="53" t="str">
        <f t="shared" si="42"/>
        <v/>
      </c>
      <c r="U12" s="53" t="str">
        <f t="shared" si="43"/>
        <v/>
      </c>
      <c r="V12" s="53" t="str">
        <f t="shared" si="44"/>
        <v/>
      </c>
      <c r="W12" s="53" t="str">
        <f t="shared" si="69"/>
        <v>DNS/DNF ()</v>
      </c>
      <c r="X12" s="53" t="str">
        <f t="shared" si="45"/>
        <v>00:06:22.9 (258)</v>
      </c>
      <c r="Y12" s="53" t="str">
        <f t="shared" si="46"/>
        <v>DNS/DNF ()</v>
      </c>
      <c r="Z12" s="53" t="str">
        <f t="shared" si="47"/>
        <v>DNS/DNF ()</v>
      </c>
      <c r="AA12" s="53" t="str">
        <f t="shared" si="48"/>
        <v>DNS/DNF ()</v>
      </c>
      <c r="AB12" s="53" t="str">
        <f t="shared" si="49"/>
        <v>DNS/DNF ()</v>
      </c>
      <c r="AC12" s="53" t="str">
        <f t="shared" si="50"/>
        <v>DNS/DNF ()</v>
      </c>
      <c r="AD12" s="53" t="str">
        <f t="shared" si="51"/>
        <v>DNS/DNF ()</v>
      </c>
      <c r="AE12" s="53">
        <v>0</v>
      </c>
      <c r="AF12" s="53">
        <v>0</v>
      </c>
      <c r="AG12" s="53">
        <v>34472850</v>
      </c>
      <c r="AH12" s="53">
        <v>34855785</v>
      </c>
      <c r="AI12" s="53">
        <v>0</v>
      </c>
      <c r="AJ12" s="53">
        <v>0</v>
      </c>
      <c r="AK12" s="53">
        <v>0</v>
      </c>
      <c r="AL12" s="53">
        <v>0</v>
      </c>
      <c r="AM12" s="53">
        <v>0</v>
      </c>
      <c r="AN12" s="53">
        <v>0</v>
      </c>
      <c r="AO12" s="53">
        <v>0</v>
      </c>
      <c r="AP12" s="53">
        <v>0</v>
      </c>
      <c r="AQ12" s="53">
        <v>0</v>
      </c>
      <c r="AR12" s="53">
        <v>0</v>
      </c>
      <c r="AS12" s="53">
        <v>0</v>
      </c>
      <c r="AT12" s="53">
        <v>0</v>
      </c>
      <c r="AU12" s="62" t="str">
        <f t="shared" si="52"/>
        <v>DNS/DNF</v>
      </c>
      <c r="AV12" s="62">
        <f t="shared" si="53"/>
        <v>4.4321180555555555E-3</v>
      </c>
      <c r="AW12" s="62" t="str">
        <f t="shared" si="54"/>
        <v>DNS/DNF</v>
      </c>
      <c r="AX12" s="62" t="str">
        <f t="shared" si="55"/>
        <v>DNS/DNF</v>
      </c>
      <c r="AY12" s="62" t="str">
        <f t="shared" si="56"/>
        <v>DNS/DNF</v>
      </c>
      <c r="AZ12" s="62" t="str">
        <f t="shared" si="57"/>
        <v>DNS/DNF</v>
      </c>
      <c r="BA12" s="62" t="str">
        <f t="shared" si="58"/>
        <v>DNS/DNF</v>
      </c>
      <c r="BB12" s="62" t="str">
        <f t="shared" si="59"/>
        <v>DNS/DNF</v>
      </c>
      <c r="BC12" s="75">
        <f t="shared" si="60"/>
        <v>258</v>
      </c>
      <c r="BD12" s="53" t="str">
        <f t="shared" si="61"/>
        <v/>
      </c>
      <c r="BE12" s="53">
        <f t="shared" si="62"/>
        <v>382935</v>
      </c>
      <c r="BF12" s="53">
        <f t="shared" si="63"/>
        <v>795345</v>
      </c>
      <c r="BG12" s="53" t="str">
        <f t="shared" si="64"/>
        <v/>
      </c>
      <c r="BH12" s="53" t="str">
        <f t="shared" si="65"/>
        <v/>
      </c>
      <c r="BI12" s="53" t="str">
        <f t="shared" si="66"/>
        <v/>
      </c>
      <c r="BJ12" s="53" t="str">
        <f t="shared" si="67"/>
        <v/>
      </c>
      <c r="BK12" s="53" t="str">
        <f t="shared" si="68"/>
        <v/>
      </c>
    </row>
    <row r="13" spans="1:63">
      <c r="A13" s="53">
        <v>5</v>
      </c>
      <c r="B13" s="89" t="str">
        <f>IFERROR(VLOOKUP($A13,EntryList!$A$3:$N$645,2,FALSE),"")</f>
        <v>Charl Du Plessis</v>
      </c>
      <c r="C13" s="74"/>
      <c r="D13" s="53">
        <f t="shared" si="35"/>
        <v>3</v>
      </c>
      <c r="E13" s="62"/>
      <c r="F13" s="62">
        <v>3.2144328703703697E-3</v>
      </c>
      <c r="G13" s="62">
        <v>1.9553819444444445E-3</v>
      </c>
      <c r="H13" s="62"/>
      <c r="I13" s="62">
        <v>4.3391435185185182E-3</v>
      </c>
      <c r="J13" s="62"/>
      <c r="K13" s="62"/>
      <c r="L13" s="62"/>
      <c r="M13" s="62">
        <v>9.5089583333333328E-3</v>
      </c>
      <c r="N13" s="62">
        <f t="shared" si="36"/>
        <v>9.5089583333333328E-3</v>
      </c>
      <c r="O13" s="53" t="str">
        <f t="shared" si="37"/>
        <v/>
      </c>
      <c r="P13" s="53">
        <f t="shared" si="38"/>
        <v>170</v>
      </c>
      <c r="Q13" s="53">
        <f t="shared" si="39"/>
        <v>193</v>
      </c>
      <c r="R13" s="53" t="str">
        <f t="shared" si="40"/>
        <v/>
      </c>
      <c r="S13" s="53">
        <f t="shared" si="41"/>
        <v>178</v>
      </c>
      <c r="T13" s="53" t="str">
        <f t="shared" si="42"/>
        <v/>
      </c>
      <c r="U13" s="53" t="str">
        <f t="shared" si="43"/>
        <v/>
      </c>
      <c r="V13" s="53" t="str">
        <f t="shared" si="44"/>
        <v/>
      </c>
      <c r="W13" s="53" t="str">
        <f t="shared" si="69"/>
        <v>DNS/DNF ()</v>
      </c>
      <c r="X13" s="53" t="str">
        <f t="shared" si="45"/>
        <v>00:04:37.7 (170)</v>
      </c>
      <c r="Y13" s="53" t="str">
        <f t="shared" si="46"/>
        <v>00:02:48.9 (193)</v>
      </c>
      <c r="Z13" s="53" t="str">
        <f t="shared" si="47"/>
        <v>DNS/DNF ()</v>
      </c>
      <c r="AA13" s="53" t="str">
        <f t="shared" si="48"/>
        <v>00:06:14.9 (178)</v>
      </c>
      <c r="AB13" s="53" t="str">
        <f t="shared" si="49"/>
        <v>DNS/DNF ()</v>
      </c>
      <c r="AC13" s="53" t="str">
        <f t="shared" si="50"/>
        <v>DNS/DNF ()</v>
      </c>
      <c r="AD13" s="53" t="str">
        <f t="shared" si="51"/>
        <v>DNS/DNF ()</v>
      </c>
      <c r="AE13" s="53">
        <v>0</v>
      </c>
      <c r="AF13" s="53">
        <v>0</v>
      </c>
      <c r="AG13" s="53">
        <v>32990279</v>
      </c>
      <c r="AH13" s="53">
        <v>33268006</v>
      </c>
      <c r="AI13" s="53">
        <v>35393278</v>
      </c>
      <c r="AJ13" s="53">
        <v>35562223</v>
      </c>
      <c r="AK13" s="53">
        <v>0</v>
      </c>
      <c r="AL13" s="53">
        <v>0</v>
      </c>
      <c r="AM13" s="53">
        <v>38366776</v>
      </c>
      <c r="AN13" s="53">
        <v>38741678</v>
      </c>
      <c r="AO13" s="53">
        <v>0</v>
      </c>
      <c r="AP13" s="53">
        <v>0</v>
      </c>
      <c r="AQ13" s="53">
        <v>0</v>
      </c>
      <c r="AR13" s="53">
        <v>0</v>
      </c>
      <c r="AS13" s="53">
        <v>0</v>
      </c>
      <c r="AT13" s="53">
        <v>0</v>
      </c>
      <c r="AU13" s="62" t="str">
        <f t="shared" si="52"/>
        <v>DNS/DNF</v>
      </c>
      <c r="AV13" s="62">
        <f t="shared" si="53"/>
        <v>3.2144328703703705E-3</v>
      </c>
      <c r="AW13" s="62">
        <f t="shared" si="54"/>
        <v>1.9553819444444445E-3</v>
      </c>
      <c r="AX13" s="62" t="str">
        <f t="shared" si="55"/>
        <v>DNS/DNF</v>
      </c>
      <c r="AY13" s="62">
        <f t="shared" si="56"/>
        <v>4.3391435185185182E-3</v>
      </c>
      <c r="AZ13" s="62" t="str">
        <f t="shared" si="57"/>
        <v>DNS/DNF</v>
      </c>
      <c r="BA13" s="62" t="str">
        <f t="shared" si="58"/>
        <v>DNS/DNF</v>
      </c>
      <c r="BB13" s="62" t="str">
        <f t="shared" si="59"/>
        <v>DNS/DNF</v>
      </c>
      <c r="BC13" s="75">
        <f t="shared" si="60"/>
        <v>180</v>
      </c>
      <c r="BD13" s="53" t="str">
        <f t="shared" si="61"/>
        <v/>
      </c>
      <c r="BE13" s="53">
        <f t="shared" si="62"/>
        <v>280650</v>
      </c>
      <c r="BF13" s="53">
        <f t="shared" si="63"/>
        <v>163848</v>
      </c>
      <c r="BG13" s="53" t="str">
        <f t="shared" si="64"/>
        <v/>
      </c>
      <c r="BH13" s="53">
        <f t="shared" si="65"/>
        <v>375847</v>
      </c>
      <c r="BI13" s="53" t="str">
        <f t="shared" si="66"/>
        <v/>
      </c>
      <c r="BJ13" s="53" t="str">
        <f t="shared" si="67"/>
        <v/>
      </c>
      <c r="BK13" s="53" t="str">
        <f t="shared" si="68"/>
        <v/>
      </c>
    </row>
    <row r="14" spans="1:63">
      <c r="A14" s="53">
        <v>83</v>
      </c>
      <c r="B14" s="89" t="str">
        <f>IFERROR(VLOOKUP($A14,EntryList!$A$3:$N$645,2,FALSE),"")</f>
        <v>Jean Ehlers</v>
      </c>
      <c r="C14" s="74"/>
      <c r="D14" s="53">
        <f t="shared" si="35"/>
        <v>3</v>
      </c>
      <c r="E14" s="62"/>
      <c r="F14" s="62">
        <v>3.4876967592592594E-3</v>
      </c>
      <c r="G14" s="62">
        <v>2.2491435185185188E-3</v>
      </c>
      <c r="H14" s="62"/>
      <c r="I14" s="62">
        <v>4.0651736111111106E-3</v>
      </c>
      <c r="J14" s="62"/>
      <c r="K14" s="62"/>
      <c r="L14" s="62"/>
      <c r="M14" s="62">
        <v>9.8020138888888896E-3</v>
      </c>
      <c r="N14" s="62">
        <f t="shared" si="36"/>
        <v>9.8020138888888896E-3</v>
      </c>
      <c r="O14" s="53" t="str">
        <f t="shared" si="37"/>
        <v/>
      </c>
      <c r="P14" s="53">
        <f t="shared" si="38"/>
        <v>213</v>
      </c>
      <c r="Q14" s="53">
        <f t="shared" si="39"/>
        <v>230</v>
      </c>
      <c r="R14" s="53" t="str">
        <f t="shared" si="40"/>
        <v/>
      </c>
      <c r="S14" s="53">
        <f t="shared" si="41"/>
        <v>115</v>
      </c>
      <c r="T14" s="53" t="str">
        <f t="shared" si="42"/>
        <v/>
      </c>
      <c r="U14" s="53" t="str">
        <f t="shared" si="43"/>
        <v/>
      </c>
      <c r="V14" s="53" t="str">
        <f t="shared" si="44"/>
        <v/>
      </c>
      <c r="W14" s="53" t="str">
        <f t="shared" si="69"/>
        <v>DNS/DNF ()</v>
      </c>
      <c r="X14" s="53" t="str">
        <f t="shared" si="45"/>
        <v>00:05:01.3 (213)</v>
      </c>
      <c r="Y14" s="53" t="str">
        <f t="shared" si="46"/>
        <v>00:03:14.3 (230)</v>
      </c>
      <c r="Z14" s="53" t="str">
        <f t="shared" si="47"/>
        <v>DNS/DNF ()</v>
      </c>
      <c r="AA14" s="53" t="str">
        <f t="shared" si="48"/>
        <v>00:05:51.2 (115)</v>
      </c>
      <c r="AB14" s="53" t="str">
        <f t="shared" si="49"/>
        <v>DNS/DNF ()</v>
      </c>
      <c r="AC14" s="53" t="str">
        <f t="shared" si="50"/>
        <v>DNS/DNF ()</v>
      </c>
      <c r="AD14" s="53" t="str">
        <f t="shared" si="51"/>
        <v>DNS/DNF ()</v>
      </c>
      <c r="AE14" s="53">
        <v>0</v>
      </c>
      <c r="AF14" s="53">
        <v>0</v>
      </c>
      <c r="AG14" s="53">
        <v>33613145</v>
      </c>
      <c r="AH14" s="53">
        <v>33914482</v>
      </c>
      <c r="AI14" s="53">
        <v>36105720</v>
      </c>
      <c r="AJ14" s="53">
        <v>36300046</v>
      </c>
      <c r="AK14" s="53">
        <v>0</v>
      </c>
      <c r="AL14" s="53">
        <v>0</v>
      </c>
      <c r="AM14" s="53">
        <v>38499257</v>
      </c>
      <c r="AN14" s="53">
        <v>38850488</v>
      </c>
      <c r="AO14" s="53">
        <v>0</v>
      </c>
      <c r="AP14" s="53">
        <v>0</v>
      </c>
      <c r="AQ14" s="53">
        <v>0</v>
      </c>
      <c r="AR14" s="53">
        <v>0</v>
      </c>
      <c r="AS14" s="53">
        <v>0</v>
      </c>
      <c r="AT14" s="53">
        <v>0</v>
      </c>
      <c r="AU14" s="62" t="str">
        <f t="shared" si="52"/>
        <v>DNS/DNF</v>
      </c>
      <c r="AV14" s="62">
        <f t="shared" si="53"/>
        <v>3.4876967592592594E-3</v>
      </c>
      <c r="AW14" s="62">
        <f t="shared" si="54"/>
        <v>2.2491435185185184E-3</v>
      </c>
      <c r="AX14" s="62" t="str">
        <f t="shared" si="55"/>
        <v>DNS/DNF</v>
      </c>
      <c r="AY14" s="62">
        <f t="shared" si="56"/>
        <v>4.0651736111111114E-3</v>
      </c>
      <c r="AZ14" s="62" t="str">
        <f t="shared" si="57"/>
        <v>DNS/DNF</v>
      </c>
      <c r="BA14" s="62" t="str">
        <f t="shared" si="58"/>
        <v>DNS/DNF</v>
      </c>
      <c r="BB14" s="62" t="str">
        <f t="shared" si="59"/>
        <v>DNS/DNF</v>
      </c>
      <c r="BC14" s="75">
        <f t="shared" si="60"/>
        <v>186</v>
      </c>
      <c r="BD14" s="53" t="str">
        <f t="shared" si="61"/>
        <v/>
      </c>
      <c r="BE14" s="53">
        <f t="shared" si="62"/>
        <v>284150</v>
      </c>
      <c r="BF14" s="53">
        <f t="shared" si="63"/>
        <v>165964</v>
      </c>
      <c r="BG14" s="53" t="str">
        <f t="shared" si="64"/>
        <v/>
      </c>
      <c r="BH14" s="53">
        <f t="shared" si="65"/>
        <v>381997</v>
      </c>
      <c r="BI14" s="53" t="str">
        <f t="shared" si="66"/>
        <v/>
      </c>
      <c r="BJ14" s="53" t="str">
        <f t="shared" si="67"/>
        <v/>
      </c>
      <c r="BK14" s="53" t="str">
        <f t="shared" si="68"/>
        <v/>
      </c>
    </row>
    <row r="15" spans="1:63">
      <c r="A15" s="53">
        <v>94</v>
      </c>
      <c r="B15" s="89" t="str">
        <f>IFERROR(VLOOKUP($A15,EntryList!$A$3:$N$645,2,FALSE),"")</f>
        <v>Christo Van Den Heever</v>
      </c>
      <c r="C15" s="74"/>
      <c r="D15" s="53">
        <f t="shared" si="35"/>
        <v>5</v>
      </c>
      <c r="E15" s="62">
        <v>2.9225462962962964E-3</v>
      </c>
      <c r="F15" s="62">
        <v>2.8711574074074073E-3</v>
      </c>
      <c r="G15" s="62">
        <v>1.5639120370370371E-3</v>
      </c>
      <c r="H15" s="62">
        <v>3.1888425925925925E-3</v>
      </c>
      <c r="I15" s="62">
        <v>3.7857407407407406E-3</v>
      </c>
      <c r="J15" s="62"/>
      <c r="K15" s="62"/>
      <c r="L15" s="62"/>
      <c r="M15" s="62">
        <v>1.4332199074074075E-2</v>
      </c>
      <c r="N15" s="62">
        <f t="shared" si="36"/>
        <v>1.4332199074074074E-2</v>
      </c>
      <c r="O15" s="53">
        <f t="shared" si="37"/>
        <v>77</v>
      </c>
      <c r="P15" s="53">
        <f t="shared" si="38"/>
        <v>87</v>
      </c>
      <c r="Q15" s="53">
        <f t="shared" si="39"/>
        <v>64</v>
      </c>
      <c r="R15" s="53">
        <f t="shared" si="40"/>
        <v>72</v>
      </c>
      <c r="S15" s="53">
        <f t="shared" si="41"/>
        <v>65</v>
      </c>
      <c r="T15" s="53" t="str">
        <f t="shared" si="42"/>
        <v/>
      </c>
      <c r="U15" s="53" t="str">
        <f t="shared" si="43"/>
        <v/>
      </c>
      <c r="V15" s="53" t="str">
        <f t="shared" si="44"/>
        <v/>
      </c>
      <c r="W15" s="53" t="str">
        <f t="shared" si="69"/>
        <v>00:04:12.5 (77)</v>
      </c>
      <c r="X15" s="53" t="str">
        <f t="shared" si="45"/>
        <v>00:04:08.1 (87)</v>
      </c>
      <c r="Y15" s="53" t="str">
        <f t="shared" si="46"/>
        <v>00:02:15.1 (64)</v>
      </c>
      <c r="Z15" s="53" t="str">
        <f t="shared" si="47"/>
        <v>00:04:35.5 (72)</v>
      </c>
      <c r="AA15" s="53" t="str">
        <f t="shared" si="48"/>
        <v>00:05:27.1 (65)</v>
      </c>
      <c r="AB15" s="53" t="str">
        <f t="shared" si="49"/>
        <v>DNS/DNF ()</v>
      </c>
      <c r="AC15" s="53" t="str">
        <f t="shared" si="50"/>
        <v>DNS/DNF ()</v>
      </c>
      <c r="AD15" s="53" t="str">
        <f t="shared" si="51"/>
        <v>DNS/DNF ()</v>
      </c>
      <c r="AE15" s="53">
        <v>30518186</v>
      </c>
      <c r="AF15" s="53">
        <v>30770694</v>
      </c>
      <c r="AG15" s="53">
        <v>32625452</v>
      </c>
      <c r="AH15" s="53">
        <v>32873520</v>
      </c>
      <c r="AI15" s="53">
        <v>34554414</v>
      </c>
      <c r="AJ15" s="53">
        <v>34689536</v>
      </c>
      <c r="AK15" s="53">
        <v>37366153</v>
      </c>
      <c r="AL15" s="53">
        <v>37641669</v>
      </c>
      <c r="AM15" s="53">
        <v>38821152</v>
      </c>
      <c r="AN15" s="53">
        <v>39148240</v>
      </c>
      <c r="AO15" s="53">
        <v>0</v>
      </c>
      <c r="AP15" s="53">
        <v>0</v>
      </c>
      <c r="AQ15" s="53">
        <v>0</v>
      </c>
      <c r="AR15" s="53">
        <v>0</v>
      </c>
      <c r="AS15" s="53">
        <v>0</v>
      </c>
      <c r="AT15" s="53">
        <v>0</v>
      </c>
      <c r="AU15" s="62">
        <f t="shared" si="52"/>
        <v>2.9225462962962964E-3</v>
      </c>
      <c r="AV15" s="62">
        <f t="shared" si="53"/>
        <v>2.8711574074074073E-3</v>
      </c>
      <c r="AW15" s="62">
        <f t="shared" si="54"/>
        <v>1.5639120370370371E-3</v>
      </c>
      <c r="AX15" s="62">
        <f t="shared" si="55"/>
        <v>3.1888425925925925E-3</v>
      </c>
      <c r="AY15" s="62">
        <f t="shared" si="56"/>
        <v>3.7857407407407406E-3</v>
      </c>
      <c r="AZ15" s="62" t="str">
        <f t="shared" si="57"/>
        <v>DNS/DNF</v>
      </c>
      <c r="BA15" s="62" t="str">
        <f t="shared" si="58"/>
        <v>DNS/DNF</v>
      </c>
      <c r="BB15" s="62" t="str">
        <f t="shared" si="59"/>
        <v>DNS/DNF</v>
      </c>
      <c r="BC15" s="75">
        <f t="shared" si="60"/>
        <v>73</v>
      </c>
      <c r="BD15" s="53">
        <f t="shared" si="61"/>
        <v>250804</v>
      </c>
      <c r="BE15" s="53" t="str">
        <f t="shared" si="62"/>
        <v/>
      </c>
      <c r="BF15" s="53">
        <f t="shared" si="63"/>
        <v>137306</v>
      </c>
      <c r="BG15" s="53">
        <f t="shared" si="64"/>
        <v>275541</v>
      </c>
      <c r="BH15" s="53">
        <f t="shared" si="65"/>
        <v>331733</v>
      </c>
      <c r="BI15" s="53" t="str">
        <f t="shared" si="66"/>
        <v/>
      </c>
      <c r="BJ15" s="53" t="str">
        <f t="shared" si="67"/>
        <v/>
      </c>
      <c r="BK15" s="53" t="str">
        <f t="shared" si="68"/>
        <v/>
      </c>
    </row>
    <row r="16" spans="1:63" ht="13.5" customHeight="1">
      <c r="A16" s="53">
        <v>108</v>
      </c>
      <c r="B16" s="89" t="str">
        <f>IFERROR(VLOOKUP($A16,EntryList!$A$3:$N$645,2,FALSE),"")</f>
        <v>Schalk Willem Vorster</v>
      </c>
      <c r="C16" s="74"/>
      <c r="D16" s="53">
        <f t="shared" si="35"/>
        <v>1</v>
      </c>
      <c r="E16" s="62"/>
      <c r="F16" s="62">
        <v>6.3372106481481482E-3</v>
      </c>
      <c r="G16" s="62"/>
      <c r="H16" s="62"/>
      <c r="I16" s="62"/>
      <c r="J16" s="62"/>
      <c r="K16" s="62"/>
      <c r="L16" s="62"/>
      <c r="M16" s="62">
        <v>6.3372106481481482E-3</v>
      </c>
      <c r="N16" s="62">
        <f t="shared" si="36"/>
        <v>6.3372106481481482E-3</v>
      </c>
      <c r="O16" s="53" t="str">
        <f t="shared" si="37"/>
        <v/>
      </c>
      <c r="P16" s="53">
        <f t="shared" si="38"/>
        <v>264</v>
      </c>
      <c r="Q16" s="53" t="str">
        <f t="shared" si="39"/>
        <v/>
      </c>
      <c r="R16" s="53" t="str">
        <f t="shared" si="40"/>
        <v/>
      </c>
      <c r="S16" s="53" t="str">
        <f t="shared" si="41"/>
        <v/>
      </c>
      <c r="T16" s="53" t="str">
        <f t="shared" si="42"/>
        <v/>
      </c>
      <c r="U16" s="53" t="str">
        <f t="shared" si="43"/>
        <v/>
      </c>
      <c r="V16" s="53" t="str">
        <f t="shared" si="44"/>
        <v/>
      </c>
      <c r="W16" s="53" t="str">
        <f t="shared" si="69"/>
        <v>DNS/DNF ()</v>
      </c>
      <c r="X16" s="53" t="str">
        <f t="shared" si="45"/>
        <v>00:09:07.5 (264)</v>
      </c>
      <c r="Y16" s="53" t="str">
        <f t="shared" si="46"/>
        <v>DNS/DNF ()</v>
      </c>
      <c r="Z16" s="53" t="str">
        <f t="shared" si="47"/>
        <v>DNS/DNF ()</v>
      </c>
      <c r="AA16" s="53" t="str">
        <f t="shared" si="48"/>
        <v>DNS/DNF ()</v>
      </c>
      <c r="AB16" s="53" t="str">
        <f t="shared" si="49"/>
        <v>DNS/DNF ()</v>
      </c>
      <c r="AC16" s="53" t="str">
        <f t="shared" si="50"/>
        <v>DNS/DNF ()</v>
      </c>
      <c r="AD16" s="53" t="str">
        <f t="shared" si="51"/>
        <v>DNS/DNF ()</v>
      </c>
      <c r="AE16" s="53">
        <v>0</v>
      </c>
      <c r="AF16" s="53">
        <v>0</v>
      </c>
      <c r="AG16" s="53">
        <v>35691319</v>
      </c>
      <c r="AH16" s="53">
        <v>36238854</v>
      </c>
      <c r="AI16" s="53">
        <v>0</v>
      </c>
      <c r="AJ16" s="53">
        <v>0</v>
      </c>
      <c r="AK16" s="53">
        <v>0</v>
      </c>
      <c r="AL16" s="53">
        <v>0</v>
      </c>
      <c r="AM16" s="53">
        <v>0</v>
      </c>
      <c r="AN16" s="53">
        <v>0</v>
      </c>
      <c r="AO16" s="53">
        <v>0</v>
      </c>
      <c r="AP16" s="53">
        <v>0</v>
      </c>
      <c r="AQ16" s="53">
        <v>0</v>
      </c>
      <c r="AR16" s="53">
        <v>0</v>
      </c>
      <c r="AS16" s="53">
        <v>0</v>
      </c>
      <c r="AT16" s="53">
        <v>0</v>
      </c>
      <c r="AU16" s="62" t="str">
        <f t="shared" si="52"/>
        <v>DNS/DNF</v>
      </c>
      <c r="AV16" s="62">
        <f t="shared" si="53"/>
        <v>6.3372106481481482E-3</v>
      </c>
      <c r="AW16" s="62" t="str">
        <f t="shared" si="54"/>
        <v>DNS/DNF</v>
      </c>
      <c r="AX16" s="62" t="str">
        <f t="shared" si="55"/>
        <v>DNS/DNF</v>
      </c>
      <c r="AY16" s="62" t="str">
        <f t="shared" si="56"/>
        <v>DNS/DNF</v>
      </c>
      <c r="AZ16" s="62" t="str">
        <f t="shared" si="57"/>
        <v>DNS/DNF</v>
      </c>
      <c r="BA16" s="62" t="str">
        <f t="shared" si="58"/>
        <v>DNS/DNF</v>
      </c>
      <c r="BB16" s="62" t="str">
        <f t="shared" si="59"/>
        <v>DNS/DNF</v>
      </c>
      <c r="BC16" s="75">
        <f t="shared" si="60"/>
        <v>264</v>
      </c>
      <c r="BD16" s="53" t="str">
        <f t="shared" si="61"/>
        <v/>
      </c>
      <c r="BE16" s="53">
        <f t="shared" si="62"/>
        <v>547535</v>
      </c>
      <c r="BF16" s="53" t="str">
        <f t="shared" si="63"/>
        <v/>
      </c>
      <c r="BG16" s="53" t="str">
        <f t="shared" si="64"/>
        <v/>
      </c>
      <c r="BH16" s="53" t="str">
        <f t="shared" si="65"/>
        <v/>
      </c>
      <c r="BI16" s="53" t="str">
        <f t="shared" si="66"/>
        <v/>
      </c>
      <c r="BJ16" s="53" t="str">
        <f t="shared" si="67"/>
        <v/>
      </c>
      <c r="BK16" s="53" t="str">
        <f t="shared" si="68"/>
        <v/>
      </c>
    </row>
    <row r="17" spans="1:63">
      <c r="A17" s="53">
        <v>8</v>
      </c>
      <c r="B17" s="89" t="str">
        <f>IFERROR(VLOOKUP($A17,EntryList!$A$3:$N$645,2,FALSE),"")</f>
        <v>Myles Kelsey</v>
      </c>
      <c r="C17" s="74"/>
      <c r="D17" s="53">
        <f t="shared" si="35"/>
        <v>5</v>
      </c>
      <c r="E17" s="62">
        <v>2.2859375000000002E-3</v>
      </c>
      <c r="F17" s="62">
        <v>2.4670486111111113E-3</v>
      </c>
      <c r="G17" s="62">
        <v>1.3761342592592592E-3</v>
      </c>
      <c r="H17" s="62">
        <v>2.7562152777777776E-3</v>
      </c>
      <c r="I17" s="62">
        <v>3.3756828703703705E-3</v>
      </c>
      <c r="J17" s="62"/>
      <c r="K17" s="62"/>
      <c r="L17" s="62"/>
      <c r="M17" s="62">
        <v>1.226101851851852E-2</v>
      </c>
      <c r="N17" s="62">
        <f t="shared" si="36"/>
        <v>1.2261018518518518E-2</v>
      </c>
      <c r="O17" s="53">
        <f t="shared" si="37"/>
        <v>12</v>
      </c>
      <c r="P17" s="53">
        <f t="shared" si="38"/>
        <v>10</v>
      </c>
      <c r="Q17" s="53">
        <f t="shared" si="39"/>
        <v>9</v>
      </c>
      <c r="R17" s="53">
        <f t="shared" si="40"/>
        <v>15</v>
      </c>
      <c r="S17" s="53">
        <f t="shared" si="41"/>
        <v>8</v>
      </c>
      <c r="T17" s="53" t="str">
        <f t="shared" si="42"/>
        <v/>
      </c>
      <c r="U17" s="53" t="str">
        <f t="shared" si="43"/>
        <v/>
      </c>
      <c r="V17" s="53" t="str">
        <f t="shared" si="44"/>
        <v/>
      </c>
      <c r="W17" s="53" t="str">
        <f t="shared" si="69"/>
        <v>00:03:17.5 (12)</v>
      </c>
      <c r="X17" s="53" t="str">
        <f t="shared" si="45"/>
        <v>00:03:33.2 (10)</v>
      </c>
      <c r="Y17" s="53" t="str">
        <f t="shared" si="46"/>
        <v>00:01:58.9 (9)</v>
      </c>
      <c r="Z17" s="53" t="str">
        <f t="shared" si="47"/>
        <v>00:03:58.1 (15)</v>
      </c>
      <c r="AA17" s="53" t="str">
        <f t="shared" si="48"/>
        <v>00:04:51.7 (8)</v>
      </c>
      <c r="AB17" s="53" t="str">
        <f t="shared" si="49"/>
        <v>DNS/DNF ()</v>
      </c>
      <c r="AC17" s="53" t="str">
        <f t="shared" si="50"/>
        <v>DNS/DNF ()</v>
      </c>
      <c r="AD17" s="53" t="str">
        <f t="shared" si="51"/>
        <v>DNS/DNF ()</v>
      </c>
      <c r="AE17" s="53">
        <v>32470728</v>
      </c>
      <c r="AF17" s="53">
        <v>32668233</v>
      </c>
      <c r="AG17" s="53">
        <v>30449186</v>
      </c>
      <c r="AH17" s="53">
        <v>30662339</v>
      </c>
      <c r="AI17" s="53">
        <v>34971650</v>
      </c>
      <c r="AJ17" s="53">
        <v>35090548</v>
      </c>
      <c r="AK17" s="53">
        <v>37965088</v>
      </c>
      <c r="AL17" s="53">
        <v>38203225</v>
      </c>
      <c r="AM17" s="53">
        <v>39347309</v>
      </c>
      <c r="AN17" s="53">
        <v>39638968</v>
      </c>
      <c r="AO17" s="53">
        <v>0</v>
      </c>
      <c r="AP17" s="53">
        <v>0</v>
      </c>
      <c r="AQ17" s="53">
        <v>0</v>
      </c>
      <c r="AR17" s="53">
        <v>0</v>
      </c>
      <c r="AS17" s="53">
        <v>0</v>
      </c>
      <c r="AT17" s="53">
        <v>0</v>
      </c>
      <c r="AU17" s="62">
        <f t="shared" si="52"/>
        <v>2.2859375000000002E-3</v>
      </c>
      <c r="AV17" s="62">
        <f t="shared" si="53"/>
        <v>2.4670486111111113E-3</v>
      </c>
      <c r="AW17" s="62">
        <f t="shared" si="54"/>
        <v>1.3761342592592592E-3</v>
      </c>
      <c r="AX17" s="62">
        <f t="shared" si="55"/>
        <v>2.7562152777777776E-3</v>
      </c>
      <c r="AY17" s="62">
        <f t="shared" si="56"/>
        <v>3.3756828703703705E-3</v>
      </c>
      <c r="AZ17" s="62" t="str">
        <f t="shared" si="57"/>
        <v>DNS/DNF</v>
      </c>
      <c r="BA17" s="62" t="str">
        <f t="shared" si="58"/>
        <v>DNS/DNF</v>
      </c>
      <c r="BB17" s="62" t="str">
        <f t="shared" si="59"/>
        <v>DNS/DNF</v>
      </c>
      <c r="BC17" s="75">
        <f t="shared" si="60"/>
        <v>11</v>
      </c>
      <c r="BD17" s="53">
        <f t="shared" si="61"/>
        <v>197444</v>
      </c>
      <c r="BE17" s="53">
        <f t="shared" si="62"/>
        <v>214915.99999999997</v>
      </c>
      <c r="BF17" s="53">
        <f t="shared" si="63"/>
        <v>118985</v>
      </c>
      <c r="BG17" s="53">
        <f t="shared" si="64"/>
        <v>235416</v>
      </c>
      <c r="BH17" s="53">
        <f t="shared" si="65"/>
        <v>294904</v>
      </c>
      <c r="BI17" s="53" t="str">
        <f t="shared" si="66"/>
        <v/>
      </c>
      <c r="BJ17" s="53" t="str">
        <f t="shared" si="67"/>
        <v/>
      </c>
      <c r="BK17" s="53" t="str">
        <f t="shared" si="68"/>
        <v/>
      </c>
    </row>
    <row r="18" spans="1:63">
      <c r="A18" s="53">
        <v>168</v>
      </c>
      <c r="B18" s="89" t="str">
        <f>IFERROR(VLOOKUP($A18,EntryList!$A$3:$N$645,2,FALSE),"")</f>
        <v>Gary Barnard</v>
      </c>
      <c r="C18" s="74"/>
      <c r="D18" s="53">
        <f t="shared" si="35"/>
        <v>5</v>
      </c>
      <c r="E18" s="62">
        <v>2.2157986111111111E-3</v>
      </c>
      <c r="F18" s="62">
        <v>2.4329282407407403E-3</v>
      </c>
      <c r="G18" s="62">
        <v>1.4300231481481481E-3</v>
      </c>
      <c r="H18" s="62">
        <v>2.6705555555555558E-3</v>
      </c>
      <c r="I18" s="62">
        <v>3.3873263888888889E-3</v>
      </c>
      <c r="J18" s="62"/>
      <c r="K18" s="62"/>
      <c r="L18" s="62"/>
      <c r="M18" s="62">
        <v>1.2136631944444443E-2</v>
      </c>
      <c r="N18" s="62">
        <f t="shared" si="36"/>
        <v>1.2136631944444445E-2</v>
      </c>
      <c r="O18" s="53">
        <f t="shared" si="37"/>
        <v>4</v>
      </c>
      <c r="P18" s="53">
        <f t="shared" si="38"/>
        <v>6</v>
      </c>
      <c r="Q18" s="53">
        <f t="shared" si="39"/>
        <v>22</v>
      </c>
      <c r="R18" s="53">
        <f t="shared" si="40"/>
        <v>7</v>
      </c>
      <c r="S18" s="53">
        <f t="shared" si="41"/>
        <v>10</v>
      </c>
      <c r="T18" s="53" t="str">
        <f t="shared" si="42"/>
        <v/>
      </c>
      <c r="U18" s="53" t="str">
        <f t="shared" si="43"/>
        <v/>
      </c>
      <c r="V18" s="53" t="str">
        <f t="shared" si="44"/>
        <v/>
      </c>
      <c r="W18" s="53" t="str">
        <f t="shared" si="69"/>
        <v>00:03:11.4 (4)</v>
      </c>
      <c r="X18" s="53" t="str">
        <f t="shared" si="45"/>
        <v>00:03:30.2 (6)</v>
      </c>
      <c r="Y18" s="53" t="str">
        <f t="shared" si="46"/>
        <v>00:02:03.6 (22)</v>
      </c>
      <c r="Z18" s="53" t="str">
        <f t="shared" si="47"/>
        <v>00:03:50.7 (7)</v>
      </c>
      <c r="AA18" s="53" t="str">
        <f t="shared" si="48"/>
        <v>00:04:52.7 (10)</v>
      </c>
      <c r="AB18" s="53" t="str">
        <f t="shared" si="49"/>
        <v>DNS/DNF ()</v>
      </c>
      <c r="AC18" s="53" t="str">
        <f t="shared" si="50"/>
        <v>DNS/DNF ()</v>
      </c>
      <c r="AD18" s="53" t="str">
        <f t="shared" si="51"/>
        <v>DNS/DNF ()</v>
      </c>
      <c r="AE18" s="53">
        <v>32421779</v>
      </c>
      <c r="AF18" s="53">
        <v>32613224</v>
      </c>
      <c r="AG18" s="53">
        <v>30507267</v>
      </c>
      <c r="AH18" s="53">
        <v>30717472</v>
      </c>
      <c r="AI18" s="53">
        <v>35012669</v>
      </c>
      <c r="AJ18" s="53">
        <v>35136223</v>
      </c>
      <c r="AK18" s="53">
        <v>37918902</v>
      </c>
      <c r="AL18" s="53">
        <v>38149638</v>
      </c>
      <c r="AM18" s="53">
        <v>39267037</v>
      </c>
      <c r="AN18" s="53">
        <v>39559702</v>
      </c>
      <c r="AO18" s="53">
        <v>0</v>
      </c>
      <c r="AP18" s="53">
        <v>0</v>
      </c>
      <c r="AQ18" s="53">
        <v>0</v>
      </c>
      <c r="AR18" s="53">
        <v>0</v>
      </c>
      <c r="AS18" s="53">
        <v>0</v>
      </c>
      <c r="AT18" s="53">
        <v>0</v>
      </c>
      <c r="AU18" s="62">
        <f t="shared" si="52"/>
        <v>2.2157986111111111E-3</v>
      </c>
      <c r="AV18" s="62">
        <f t="shared" si="53"/>
        <v>2.4329282407407407E-3</v>
      </c>
      <c r="AW18" s="62">
        <f t="shared" si="54"/>
        <v>1.4300231481481481E-3</v>
      </c>
      <c r="AX18" s="62">
        <f t="shared" si="55"/>
        <v>2.6705555555555554E-3</v>
      </c>
      <c r="AY18" s="62">
        <f t="shared" si="56"/>
        <v>3.3873263888888889E-3</v>
      </c>
      <c r="AZ18" s="62" t="str">
        <f t="shared" si="57"/>
        <v>DNS/DNF</v>
      </c>
      <c r="BA18" s="62" t="str">
        <f t="shared" si="58"/>
        <v>DNS/DNF</v>
      </c>
      <c r="BB18" s="62" t="str">
        <f t="shared" si="59"/>
        <v>DNS/DNF</v>
      </c>
      <c r="BC18" s="75">
        <f t="shared" si="60"/>
        <v>10</v>
      </c>
      <c r="BD18" s="53">
        <f t="shared" si="61"/>
        <v>195697.99999999997</v>
      </c>
      <c r="BE18" s="53">
        <f t="shared" si="62"/>
        <v>213153</v>
      </c>
      <c r="BF18" s="53">
        <f t="shared" si="63"/>
        <v>118956</v>
      </c>
      <c r="BG18" s="53">
        <f t="shared" si="64"/>
        <v>232005.99999999997</v>
      </c>
      <c r="BH18" s="53">
        <f t="shared" si="65"/>
        <v>292665</v>
      </c>
      <c r="BI18" s="53" t="str">
        <f t="shared" si="66"/>
        <v/>
      </c>
      <c r="BJ18" s="53" t="str">
        <f t="shared" si="67"/>
        <v/>
      </c>
      <c r="BK18" s="53" t="str">
        <f t="shared" si="68"/>
        <v/>
      </c>
    </row>
    <row r="19" spans="1:63">
      <c r="A19" s="53">
        <v>62</v>
      </c>
      <c r="B19" s="89" t="str">
        <f>IFERROR(VLOOKUP($A19,EntryList!$A$3:$N$645,2,FALSE),"")</f>
        <v>Brett Wienburg</v>
      </c>
      <c r="C19" s="74"/>
      <c r="D19" s="53">
        <f>COUNT($AU19:$BB19)</f>
        <v>5</v>
      </c>
      <c r="E19" s="62">
        <v>3.143726851851852E-3</v>
      </c>
      <c r="F19" s="62">
        <v>2.9701736111111109E-3</v>
      </c>
      <c r="G19" s="62">
        <v>1.7912500000000001E-3</v>
      </c>
      <c r="H19" s="62">
        <v>3.6892939814814813E-3</v>
      </c>
      <c r="I19" s="62">
        <v>4.0290277777777781E-3</v>
      </c>
      <c r="J19" s="62"/>
      <c r="K19" s="62"/>
      <c r="L19" s="62"/>
      <c r="M19" s="62">
        <v>1.5623472222222224E-2</v>
      </c>
      <c r="N19" s="62">
        <f>SUM($AU19:$BB19)</f>
        <v>1.5623472222222223E-2</v>
      </c>
      <c r="O19" s="53">
        <f>IFERROR(RANK($AU19,AU$3:AU$500,1),"")</f>
        <v>93</v>
      </c>
      <c r="P19" s="53">
        <f>IFERROR(RANK($AV19,AV$3:AV$500,1),"")</f>
        <v>107</v>
      </c>
      <c r="Q19" s="53">
        <f>IFERROR(RANK($AW19,AW$3:AW$500,1),"")</f>
        <v>139</v>
      </c>
      <c r="R19" s="53">
        <f>IFERROR(RANK($AX19,AX$3:AX$500,1),"")</f>
        <v>120</v>
      </c>
      <c r="S19" s="53">
        <f>IFERROR(RANK($AY19,AY$3:AY$500,1),"")</f>
        <v>108</v>
      </c>
      <c r="T19" s="53" t="str">
        <f>IFERROR(RANK($AZ19,AZ$3:AZ$500,1),"")</f>
        <v/>
      </c>
      <c r="U19" s="53" t="str">
        <f>IFERROR(RANK($BA19,BA$3:BA$500,1),"")</f>
        <v/>
      </c>
      <c r="V19" s="53" t="str">
        <f>IFERROR(RANK($BB19,BB$3:BB$500,1),"")</f>
        <v/>
      </c>
      <c r="W19" s="53" t="str">
        <f>CONCATENATE(TEXT($AU19,"[hh]:mm:ss.0")," ","(",$O19,")")</f>
        <v>00:04:31.6 (93)</v>
      </c>
      <c r="X19" s="53" t="str">
        <f>CONCATENATE(TEXT($AV19,"[hh]:mm:ss.0")," ","(",$P19,")")</f>
        <v>00:04:16.6 (107)</v>
      </c>
      <c r="Y19" s="53" t="str">
        <f>CONCATENATE(TEXT($AW19,"[hh]:mm:ss.0")," ","(",$Q19,")")</f>
        <v>00:02:34.8 (139)</v>
      </c>
      <c r="Z19" s="53" t="str">
        <f>CONCATENATE(TEXT($AX19,"[hh]:mm:ss.0")," ","(",$R19,")")</f>
        <v>00:05:18.8 (120)</v>
      </c>
      <c r="AA19" s="53" t="str">
        <f>CONCATENATE(TEXT($AY19,"[hh]:mm:ss.0")," ","(",$S19,")")</f>
        <v>00:05:48.1 (108)</v>
      </c>
      <c r="AB19" s="53" t="str">
        <f>CONCATENATE(TEXT($AZ19,"[hh]:mm:ss.0")," ","(",$T19,")")</f>
        <v>DNS/DNF ()</v>
      </c>
      <c r="AC19" s="53" t="str">
        <f>CONCATENATE(TEXT($BA19,"[hh]:mm:ss.0")," ","(",$U19,")")</f>
        <v>DNS/DNF ()</v>
      </c>
      <c r="AD19" s="53" t="str">
        <f>CONCATENATE(TEXT($BB19,"[hh]:mm:ss.0")," ","(",$V19,")")</f>
        <v>DNS/DNF ()</v>
      </c>
      <c r="AE19" s="53">
        <v>31092608</v>
      </c>
      <c r="AF19" s="53">
        <v>31364226</v>
      </c>
      <c r="AG19" s="53">
        <v>32949731</v>
      </c>
      <c r="AH19" s="53">
        <v>33206354</v>
      </c>
      <c r="AI19" s="53">
        <v>35341008</v>
      </c>
      <c r="AJ19" s="53">
        <v>35495772</v>
      </c>
      <c r="AK19" s="53">
        <v>38210941</v>
      </c>
      <c r="AL19" s="53">
        <v>38529696</v>
      </c>
      <c r="AM19" s="53">
        <v>39864182</v>
      </c>
      <c r="AN19" s="53">
        <v>40212290</v>
      </c>
      <c r="AO19" s="53">
        <v>0</v>
      </c>
      <c r="AP19" s="53">
        <v>0</v>
      </c>
      <c r="AQ19" s="53">
        <v>0</v>
      </c>
      <c r="AR19" s="53">
        <v>0</v>
      </c>
      <c r="AS19" s="53">
        <v>0</v>
      </c>
      <c r="AT19" s="53">
        <v>0</v>
      </c>
      <c r="AU19" s="62">
        <f>IF((OR($AE19=0,$AF19=0,$AF19-$AE19&lt;0)),"DNS/DNF",($AF19-$AE19)/86400000)</f>
        <v>3.143726851851852E-3</v>
      </c>
      <c r="AV19" s="62">
        <f>IF((OR($AG19=0,$AH19=0,$AH19-$AG19&lt;0)),"DNS/DNF",($AH19-$AG19)/86400000)</f>
        <v>2.9701736111111109E-3</v>
      </c>
      <c r="AW19" s="62">
        <f>IF((OR($AI19=0,$AJ19=0,$AJ19-$AI19&lt;0)),"DNS/DNF",($AJ19-$AI19)/86400000)</f>
        <v>1.7912500000000001E-3</v>
      </c>
      <c r="AX19" s="62">
        <f>IF((OR($AK19=0,$AL19=0,$AL19-$AK19&lt;0)),"DNS/DNF",($AL19-$AK19)/86400000)</f>
        <v>3.6892939814814813E-3</v>
      </c>
      <c r="AY19" s="62">
        <f>IF((OR($AM19=0,$AM19=0,$AN19-$AM19&lt;0)),"DNS/DNF",($AN19-$AM19)/86400000)</f>
        <v>4.0290277777777781E-3</v>
      </c>
      <c r="AZ19" s="62" t="str">
        <f>IF((OR($AO19=0,$AP19=0,$AP19-$AO19&lt;0)),"DNS/DNF",($AP19-$AO19)/86400000)</f>
        <v>DNS/DNF</v>
      </c>
      <c r="BA19" s="62" t="str">
        <f>IF((OR($AQ19=0,$AR19=0,$AR19-$AQ19&lt;0)),"DNS/DNF",($AR19-$AQ19)/86400000)</f>
        <v>DNS/DNF</v>
      </c>
      <c r="BB19" s="62" t="str">
        <f>IF((OR($AS19=0,$AT19=0,$AT19-$AS19&lt;0)),"DNS/DNF",($AT19-$AS19)/86400000)</f>
        <v>DNS/DNF</v>
      </c>
      <c r="BC19" s="75">
        <f>IFERROR(ROUND(AVERAGE(O19:V19),0),"")</f>
        <v>113</v>
      </c>
      <c r="BD19" s="53">
        <f>IFERROR((INDEX(($AU$3:$AU$500)*86400000,MATCH(BC19,$O$3:$O$500,0))),"")</f>
        <v>300161</v>
      </c>
      <c r="BE19" s="53">
        <f>IFERROR((INDEX(($AV$3:$AV$500)*86400000,MATCH(BC19,$P$3:$P$500,0))),"")</f>
        <v>258977</v>
      </c>
      <c r="BF19" s="53">
        <f>IFERROR((INDEX(($AW$3:$AW$500)*86400000,MATCH(BC19,$Q$3:$Q$500,0))),"")</f>
        <v>149112</v>
      </c>
      <c r="BG19" s="53">
        <f>IFERROR((INDEX(($AX$3:$AX$500)*86400000,MATCH(BC19,$R$3:$R$500,0))),"")</f>
        <v>311090</v>
      </c>
      <c r="BH19" s="53">
        <f>IFERROR((INDEX(($AY$3:$AY$500)*86400000,MATCH(BC19,$S$3:$S$500,0))),"")</f>
        <v>348878</v>
      </c>
      <c r="BI19" s="53" t="str">
        <f>IFERROR((INDEX(($AZ$3:$AZ$500)*86400000,MATCH(BC19,$T$3:$T$500,0))),"")</f>
        <v/>
      </c>
      <c r="BJ19" s="53" t="str">
        <f>IFERROR((INDEX(($BA$3:$BA$500)*86400000,MATCH(BC19,$U$3:$U$500,0))),"")</f>
        <v/>
      </c>
      <c r="BK19" s="53" t="str">
        <f>IFERROR((INDEX(($BB$3:$BB$500)*86400000,MATCH(BC19,$V$3:$V$500,0))),"")</f>
        <v/>
      </c>
    </row>
    <row r="20" spans="1:63">
      <c r="A20" s="53">
        <v>127</v>
      </c>
      <c r="B20" s="89" t="str">
        <f>IFERROR(VLOOKUP($A20,EntryList!$A$3:$N$645,2,FALSE),"")</f>
        <v>Max Sullivan</v>
      </c>
      <c r="C20" s="74"/>
      <c r="D20" s="53">
        <f t="shared" ref="D20:D24" si="70">COUNT($AU20:$BB20)</f>
        <v>5</v>
      </c>
      <c r="E20" s="62">
        <v>8.3577662037037041E-3</v>
      </c>
      <c r="F20" s="62">
        <v>2.4606018518518518E-3</v>
      </c>
      <c r="G20" s="62">
        <v>1.3402199074074074E-3</v>
      </c>
      <c r="H20" s="62">
        <v>2.6200694444444444E-3</v>
      </c>
      <c r="I20" s="62">
        <v>3.5777430555555558E-3</v>
      </c>
      <c r="J20" s="62"/>
      <c r="K20" s="62"/>
      <c r="L20" s="62"/>
      <c r="M20" s="62">
        <v>1.8356400462962965E-2</v>
      </c>
      <c r="N20" s="62">
        <f t="shared" ref="N20:N24" si="71">SUM($AU20:$BB20)</f>
        <v>1.8356400462962962E-2</v>
      </c>
      <c r="O20" s="53">
        <f t="shared" ref="O20:O24" si="72">IFERROR(RANK($AU20,AU$3:AU$500,1),"")</f>
        <v>150</v>
      </c>
      <c r="P20" s="53">
        <f t="shared" ref="P20:P24" si="73">IFERROR(RANK($AV20,AV$3:AV$500,1),"")</f>
        <v>9</v>
      </c>
      <c r="Q20" s="53">
        <f t="shared" ref="Q20:Q24" si="74">IFERROR(RANK($AW20,AW$3:AW$500,1),"")</f>
        <v>5</v>
      </c>
      <c r="R20" s="53">
        <f t="shared" ref="R20:R24" si="75">IFERROR(RANK($AX20,AX$3:AX$500,1),"")</f>
        <v>3</v>
      </c>
      <c r="S20" s="53">
        <f t="shared" ref="S20:S24" si="76">IFERROR(RANK($AY20,AY$3:AY$500,1),"")</f>
        <v>31</v>
      </c>
      <c r="T20" s="53" t="str">
        <f t="shared" ref="T20:T24" si="77">IFERROR(RANK($AZ20,AZ$3:AZ$500,1),"")</f>
        <v/>
      </c>
      <c r="U20" s="53" t="str">
        <f t="shared" ref="U20:U24" si="78">IFERROR(RANK($BA20,BA$3:BA$500,1),"")</f>
        <v/>
      </c>
      <c r="V20" s="53" t="str">
        <f t="shared" ref="V20:V24" si="79">IFERROR(RANK($BB20,BB$3:BB$500,1),"")</f>
        <v/>
      </c>
      <c r="W20" s="53" t="str">
        <f>CONCATENATE(TEXT($AU20,"[hh]:mm:ss.0")," ","(",$O20,")")</f>
        <v>00:12:02.1 (150)</v>
      </c>
      <c r="X20" s="53" t="str">
        <f t="shared" ref="X20:X24" si="80">CONCATENATE(TEXT($AV20,"[hh]:mm:ss.0")," ","(",$P20,")")</f>
        <v>00:03:32.6 (9)</v>
      </c>
      <c r="Y20" s="53" t="str">
        <f t="shared" ref="Y20:Y24" si="81">CONCATENATE(TEXT($AW20,"[hh]:mm:ss.0")," ","(",$Q20,")")</f>
        <v>00:01:55.8 (5)</v>
      </c>
      <c r="Z20" s="53" t="str">
        <f t="shared" ref="Z20:Z24" si="82">CONCATENATE(TEXT($AX20,"[hh]:mm:ss.0")," ","(",$R20,")")</f>
        <v>00:03:46.4 (3)</v>
      </c>
      <c r="AA20" s="53" t="str">
        <f t="shared" ref="AA20:AA24" si="83">CONCATENATE(TEXT($AY20,"[hh]:mm:ss.0")," ","(",$S20,")")</f>
        <v>00:05:09.1 (31)</v>
      </c>
      <c r="AB20" s="53" t="str">
        <f t="shared" ref="AB20:AB24" si="84">CONCATENATE(TEXT($AZ20,"[hh]:mm:ss.0")," ","(",$T20,")")</f>
        <v>DNS/DNF ()</v>
      </c>
      <c r="AC20" s="53" t="str">
        <f t="shared" ref="AC20:AC24" si="85">CONCATENATE(TEXT($BA20,"[hh]:mm:ss.0")," ","(",$U20,")")</f>
        <v>DNS/DNF ()</v>
      </c>
      <c r="AD20" s="53" t="str">
        <f t="shared" ref="AD20:AD24" si="86">CONCATENATE(TEXT($BB20,"[hh]:mm:ss.0")," ","(",$V20,")")</f>
        <v>DNS/DNF ()</v>
      </c>
      <c r="AE20" s="53">
        <v>31906528</v>
      </c>
      <c r="AF20" s="53">
        <v>32628639</v>
      </c>
      <c r="AG20" s="53">
        <v>30294429</v>
      </c>
      <c r="AH20" s="53">
        <v>30507025</v>
      </c>
      <c r="AI20" s="53">
        <v>35289372</v>
      </c>
      <c r="AJ20" s="53">
        <v>35405167</v>
      </c>
      <c r="AK20" s="53">
        <v>38122326</v>
      </c>
      <c r="AL20" s="53">
        <v>38348700</v>
      </c>
      <c r="AM20" s="53">
        <v>39837730</v>
      </c>
      <c r="AN20" s="53">
        <v>40146847</v>
      </c>
      <c r="AO20" s="53">
        <v>0</v>
      </c>
      <c r="AP20" s="53">
        <v>0</v>
      </c>
      <c r="AQ20" s="53">
        <v>0</v>
      </c>
      <c r="AR20" s="53">
        <v>0</v>
      </c>
      <c r="AS20" s="53">
        <v>0</v>
      </c>
      <c r="AT20" s="53">
        <v>0</v>
      </c>
      <c r="AU20" s="62">
        <f t="shared" ref="AU20:AU24" si="87">IF((OR($AE20=0,$AF20=0,$AF20-$AE20&lt;0)),"DNS/DNF",($AF20-$AE20)/86400000)</f>
        <v>8.3577662037037041E-3</v>
      </c>
      <c r="AV20" s="62">
        <f t="shared" ref="AV20:AV24" si="88">IF((OR($AG20=0,$AH20=0,$AH20-$AG20&lt;0)),"DNS/DNF",($AH20-$AG20)/86400000)</f>
        <v>2.4606018518518518E-3</v>
      </c>
      <c r="AW20" s="62">
        <f t="shared" ref="AW20:AW24" si="89">IF((OR($AI20=0,$AJ20=0,$AJ20-$AI20&lt;0)),"DNS/DNF",($AJ20-$AI20)/86400000)</f>
        <v>1.3402199074074074E-3</v>
      </c>
      <c r="AX20" s="62">
        <f t="shared" ref="AX20:AX24" si="90">IF((OR($AK20=0,$AL20=0,$AL20-$AK20&lt;0)),"DNS/DNF",($AL20-$AK20)/86400000)</f>
        <v>2.6200694444444444E-3</v>
      </c>
      <c r="AY20" s="62">
        <f t="shared" ref="AY20:AY24" si="91">IF((OR($AM20=0,$AM20=0,$AN20-$AM20&lt;0)),"DNS/DNF",($AN20-$AM20)/86400000)</f>
        <v>3.5777430555555554E-3</v>
      </c>
      <c r="AZ20" s="62" t="str">
        <f t="shared" ref="AZ20:AZ24" si="92">IF((OR($AO20=0,$AP20=0,$AP20-$AO20&lt;0)),"DNS/DNF",($AP20-$AO20)/86400000)</f>
        <v>DNS/DNF</v>
      </c>
      <c r="BA20" s="62" t="str">
        <f t="shared" ref="BA20:BA24" si="93">IF((OR($AQ20=0,$AR20=0,$AR20-$AQ20&lt;0)),"DNS/DNF",($AR20-$AQ20)/86400000)</f>
        <v>DNS/DNF</v>
      </c>
      <c r="BB20" s="62" t="str">
        <f t="shared" ref="BB20:BB24" si="94">IF((OR($AS20=0,$AT20=0,$AT20-$AS20&lt;0)),"DNS/DNF",($AT20-$AS20)/86400000)</f>
        <v>DNS/DNF</v>
      </c>
      <c r="BC20" s="75">
        <f t="shared" ref="BC20:BC24" si="95">IFERROR(ROUND(AVERAGE(O20:V20),0),"")</f>
        <v>40</v>
      </c>
      <c r="BD20" s="53">
        <f t="shared" ref="BD20:BD24" si="96">IFERROR((INDEX(($AU$3:$AU$500)*86400000,MATCH(BC20,$O$3:$O$500,0))),"")</f>
        <v>221681</v>
      </c>
      <c r="BE20" s="53">
        <f t="shared" ref="BE20:BE24" si="97">IFERROR((INDEX(($AV$3:$AV$500)*86400000,MATCH(BC20,$P$3:$P$500,0))),"")</f>
        <v>231668.00000000003</v>
      </c>
      <c r="BF20" s="53">
        <f t="shared" ref="BF20:BF24" si="98">IFERROR((INDEX(($AW$3:$AW$500)*86400000,MATCH(BC20,$Q$3:$Q$500,0))),"")</f>
        <v>129120</v>
      </c>
      <c r="BG20" s="53">
        <f t="shared" ref="BG20:BG24" si="99">IFERROR((INDEX(($AX$3:$AX$500)*86400000,MATCH(BC20,$R$3:$R$500,0))),"")</f>
        <v>256353</v>
      </c>
      <c r="BH20" s="53">
        <f t="shared" ref="BH20:BH24" si="100">IFERROR((INDEX(($AY$3:$AY$500)*86400000,MATCH(BC20,$S$3:$S$500,0))),"")</f>
        <v>311828</v>
      </c>
      <c r="BI20" s="53" t="str">
        <f t="shared" ref="BI20:BI24" si="101">IFERROR((INDEX(($AZ$3:$AZ$500)*86400000,MATCH(BC20,$T$3:$T$500,0))),"")</f>
        <v/>
      </c>
      <c r="BJ20" s="53" t="str">
        <f t="shared" ref="BJ20:BJ24" si="102">IFERROR((INDEX(($BA$3:$BA$500)*86400000,MATCH(BC20,$U$3:$U$500,0))),"")</f>
        <v/>
      </c>
      <c r="BK20" s="53" t="str">
        <f t="shared" ref="BK20:BK24" si="103">IFERROR((INDEX(($BB$3:$BB$500)*86400000,MATCH(BC20,$V$3:$V$500,0))),"")</f>
        <v/>
      </c>
    </row>
    <row r="21" spans="1:63">
      <c r="A21" s="53">
        <v>275</v>
      </c>
      <c r="B21" s="89" t="str">
        <f>IFERROR(VLOOKUP($A21,EntryList!$A$3:$N$645,2,FALSE),"")</f>
        <v>Joshua Ord</v>
      </c>
      <c r="C21" s="74"/>
      <c r="D21" s="53">
        <f t="shared" si="70"/>
        <v>3</v>
      </c>
      <c r="E21" s="62"/>
      <c r="F21" s="62">
        <v>3.272256944444444E-3</v>
      </c>
      <c r="G21" s="62">
        <v>1.8495370370370369E-3</v>
      </c>
      <c r="H21" s="62"/>
      <c r="I21" s="62">
        <v>4.1944212962962959E-3</v>
      </c>
      <c r="J21" s="62"/>
      <c r="K21" s="62"/>
      <c r="L21" s="62"/>
      <c r="M21" s="62">
        <v>9.3162152777777774E-3</v>
      </c>
      <c r="N21" s="62">
        <f t="shared" si="71"/>
        <v>9.3162152777777774E-3</v>
      </c>
      <c r="O21" s="53" t="str">
        <f t="shared" si="72"/>
        <v/>
      </c>
      <c r="P21" s="53">
        <f t="shared" si="73"/>
        <v>184</v>
      </c>
      <c r="Q21" s="53">
        <f t="shared" si="74"/>
        <v>157</v>
      </c>
      <c r="R21" s="53" t="str">
        <f t="shared" si="75"/>
        <v/>
      </c>
      <c r="S21" s="53">
        <f t="shared" si="76"/>
        <v>153</v>
      </c>
      <c r="T21" s="53" t="str">
        <f t="shared" si="77"/>
        <v/>
      </c>
      <c r="U21" s="53" t="str">
        <f t="shared" si="78"/>
        <v/>
      </c>
      <c r="V21" s="53" t="str">
        <f t="shared" si="79"/>
        <v/>
      </c>
      <c r="W21" s="53" t="str">
        <f t="shared" ref="W21:W24" si="104">CONCATENATE(TEXT($AU21,"[hh]:mm:ss.0")," ","(",$O21,")")</f>
        <v>DNS/DNF ()</v>
      </c>
      <c r="X21" s="53" t="str">
        <f t="shared" si="80"/>
        <v>00:04:42.7 (184)</v>
      </c>
      <c r="Y21" s="53" t="str">
        <f t="shared" si="81"/>
        <v>00:02:39.8 (157)</v>
      </c>
      <c r="Z21" s="53" t="str">
        <f t="shared" si="82"/>
        <v>DNS/DNF ()</v>
      </c>
      <c r="AA21" s="53" t="str">
        <f t="shared" si="83"/>
        <v>00:06:02.4 (153)</v>
      </c>
      <c r="AB21" s="53" t="str">
        <f t="shared" si="84"/>
        <v>DNS/DNF ()</v>
      </c>
      <c r="AC21" s="53" t="str">
        <f t="shared" si="85"/>
        <v>DNS/DNF ()</v>
      </c>
      <c r="AD21" s="53" t="str">
        <f t="shared" si="86"/>
        <v>DNS/DNF ()</v>
      </c>
      <c r="AE21" s="53">
        <v>0</v>
      </c>
      <c r="AF21" s="53">
        <v>0</v>
      </c>
      <c r="AG21" s="53">
        <v>32846405</v>
      </c>
      <c r="AH21" s="53">
        <v>33129128</v>
      </c>
      <c r="AI21" s="53">
        <v>36077783</v>
      </c>
      <c r="AJ21" s="53">
        <v>36237583</v>
      </c>
      <c r="AK21" s="53">
        <v>0</v>
      </c>
      <c r="AL21" s="53">
        <v>0</v>
      </c>
      <c r="AM21" s="53">
        <v>40038366</v>
      </c>
      <c r="AN21" s="53">
        <v>40400764</v>
      </c>
      <c r="AO21" s="53">
        <v>0</v>
      </c>
      <c r="AP21" s="53">
        <v>0</v>
      </c>
      <c r="AQ21" s="53">
        <v>0</v>
      </c>
      <c r="AR21" s="53">
        <v>0</v>
      </c>
      <c r="AS21" s="53">
        <v>0</v>
      </c>
      <c r="AT21" s="53">
        <v>0</v>
      </c>
      <c r="AU21" s="62" t="str">
        <f t="shared" si="87"/>
        <v>DNS/DNF</v>
      </c>
      <c r="AV21" s="62">
        <f t="shared" si="88"/>
        <v>3.2722569444444444E-3</v>
      </c>
      <c r="AW21" s="62">
        <f t="shared" si="89"/>
        <v>1.8495370370370371E-3</v>
      </c>
      <c r="AX21" s="62" t="str">
        <f t="shared" si="90"/>
        <v>DNS/DNF</v>
      </c>
      <c r="AY21" s="62">
        <f t="shared" si="91"/>
        <v>4.1944212962962959E-3</v>
      </c>
      <c r="AZ21" s="62" t="str">
        <f t="shared" si="92"/>
        <v>DNS/DNF</v>
      </c>
      <c r="BA21" s="62" t="str">
        <f t="shared" si="93"/>
        <v>DNS/DNF</v>
      </c>
      <c r="BB21" s="62" t="str">
        <f t="shared" si="94"/>
        <v>DNS/DNF</v>
      </c>
      <c r="BC21" s="75">
        <f t="shared" si="95"/>
        <v>165</v>
      </c>
      <c r="BD21" s="53" t="str">
        <f t="shared" si="96"/>
        <v/>
      </c>
      <c r="BE21" s="53">
        <f t="shared" si="97"/>
        <v>276707</v>
      </c>
      <c r="BF21" s="53">
        <f t="shared" si="98"/>
        <v>160794</v>
      </c>
      <c r="BG21" s="53" t="str">
        <f t="shared" si="99"/>
        <v/>
      </c>
      <c r="BH21" s="53">
        <f t="shared" si="100"/>
        <v>367998</v>
      </c>
      <c r="BI21" s="53" t="str">
        <f t="shared" si="101"/>
        <v/>
      </c>
      <c r="BJ21" s="53" t="str">
        <f t="shared" si="102"/>
        <v/>
      </c>
      <c r="BK21" s="53" t="str">
        <f t="shared" si="103"/>
        <v/>
      </c>
    </row>
    <row r="22" spans="1:63">
      <c r="A22" s="53">
        <v>271</v>
      </c>
      <c r="B22" s="89" t="str">
        <f>IFERROR(VLOOKUP($A22,EntryList!$A$3:$N$645,2,FALSE),"")</f>
        <v>Kylie Hanekom</v>
      </c>
      <c r="C22" s="74"/>
      <c r="D22" s="53">
        <f t="shared" si="70"/>
        <v>3</v>
      </c>
      <c r="E22" s="62"/>
      <c r="F22" s="62">
        <v>3.0440046296296296E-3</v>
      </c>
      <c r="G22" s="62">
        <v>1.8079861111111111E-3</v>
      </c>
      <c r="H22" s="62"/>
      <c r="I22" s="62">
        <v>4.2708333333333339E-3</v>
      </c>
      <c r="J22" s="62"/>
      <c r="K22" s="62"/>
      <c r="L22" s="62"/>
      <c r="M22" s="62">
        <v>9.1228240740740731E-3</v>
      </c>
      <c r="N22" s="62">
        <f t="shared" si="71"/>
        <v>9.1228240740740749E-3</v>
      </c>
      <c r="O22" s="53" t="str">
        <f t="shared" si="72"/>
        <v/>
      </c>
      <c r="P22" s="53">
        <f t="shared" si="73"/>
        <v>122</v>
      </c>
      <c r="Q22" s="53">
        <f t="shared" si="74"/>
        <v>144</v>
      </c>
      <c r="R22" s="53" t="str">
        <f t="shared" si="75"/>
        <v/>
      </c>
      <c r="S22" s="53">
        <f t="shared" si="76"/>
        <v>168</v>
      </c>
      <c r="T22" s="53" t="str">
        <f t="shared" si="77"/>
        <v/>
      </c>
      <c r="U22" s="53" t="str">
        <f t="shared" si="78"/>
        <v/>
      </c>
      <c r="V22" s="53" t="str">
        <f t="shared" si="79"/>
        <v/>
      </c>
      <c r="W22" s="53" t="str">
        <f t="shared" si="104"/>
        <v>DNS/DNF ()</v>
      </c>
      <c r="X22" s="53" t="str">
        <f t="shared" si="80"/>
        <v>00:04:23.0 (122)</v>
      </c>
      <c r="Y22" s="53" t="str">
        <f t="shared" si="81"/>
        <v>00:02:36.2 (144)</v>
      </c>
      <c r="Z22" s="53" t="str">
        <f t="shared" si="82"/>
        <v>DNS/DNF ()</v>
      </c>
      <c r="AA22" s="53" t="str">
        <f t="shared" si="83"/>
        <v>00:06:09.0 (168)</v>
      </c>
      <c r="AB22" s="53" t="str">
        <f t="shared" si="84"/>
        <v>DNS/DNF ()</v>
      </c>
      <c r="AC22" s="53" t="str">
        <f t="shared" si="85"/>
        <v>DNS/DNF ()</v>
      </c>
      <c r="AD22" s="53" t="str">
        <f t="shared" si="86"/>
        <v>DNS/DNF ()</v>
      </c>
      <c r="AE22" s="53">
        <v>0</v>
      </c>
      <c r="AF22" s="53">
        <v>0</v>
      </c>
      <c r="AG22" s="53">
        <v>31640899</v>
      </c>
      <c r="AH22" s="53">
        <v>31903901</v>
      </c>
      <c r="AI22" s="53">
        <v>34051344</v>
      </c>
      <c r="AJ22" s="53">
        <v>34207554</v>
      </c>
      <c r="AK22" s="53">
        <v>0</v>
      </c>
      <c r="AL22" s="53">
        <v>0</v>
      </c>
      <c r="AM22" s="53">
        <v>36761783</v>
      </c>
      <c r="AN22" s="53">
        <v>37130783</v>
      </c>
      <c r="AO22" s="53">
        <v>0</v>
      </c>
      <c r="AP22" s="53">
        <v>0</v>
      </c>
      <c r="AQ22" s="53">
        <v>0</v>
      </c>
      <c r="AR22" s="53">
        <v>0</v>
      </c>
      <c r="AS22" s="53">
        <v>0</v>
      </c>
      <c r="AT22" s="53">
        <v>0</v>
      </c>
      <c r="AU22" s="62" t="str">
        <f t="shared" si="87"/>
        <v>DNS/DNF</v>
      </c>
      <c r="AV22" s="62">
        <f t="shared" si="88"/>
        <v>3.0440046296296296E-3</v>
      </c>
      <c r="AW22" s="62">
        <f t="shared" si="89"/>
        <v>1.8079861111111111E-3</v>
      </c>
      <c r="AX22" s="62" t="str">
        <f t="shared" si="90"/>
        <v>DNS/DNF</v>
      </c>
      <c r="AY22" s="62">
        <f t="shared" si="91"/>
        <v>4.2708333333333331E-3</v>
      </c>
      <c r="AZ22" s="62" t="str">
        <f t="shared" si="92"/>
        <v>DNS/DNF</v>
      </c>
      <c r="BA22" s="62" t="str">
        <f t="shared" si="93"/>
        <v>DNS/DNF</v>
      </c>
      <c r="BB22" s="62" t="str">
        <f t="shared" si="94"/>
        <v>DNS/DNF</v>
      </c>
      <c r="BC22" s="75">
        <f t="shared" si="95"/>
        <v>145</v>
      </c>
      <c r="BD22" s="53">
        <f t="shared" si="96"/>
        <v>475831</v>
      </c>
      <c r="BE22" s="53">
        <f t="shared" si="97"/>
        <v>270536</v>
      </c>
      <c r="BF22" s="53">
        <f t="shared" si="98"/>
        <v>156975</v>
      </c>
      <c r="BG22" s="53">
        <f t="shared" si="99"/>
        <v>480791.00000000006</v>
      </c>
      <c r="BH22" s="53">
        <f t="shared" si="100"/>
        <v>359502.00000000006</v>
      </c>
      <c r="BI22" s="53" t="str">
        <f t="shared" si="101"/>
        <v/>
      </c>
      <c r="BJ22" s="53" t="str">
        <f t="shared" si="102"/>
        <v/>
      </c>
      <c r="BK22" s="53" t="str">
        <f t="shared" si="103"/>
        <v/>
      </c>
    </row>
    <row r="23" spans="1:63">
      <c r="A23" s="53">
        <v>222</v>
      </c>
      <c r="B23" s="89" t="str">
        <f>IFERROR(VLOOKUP($A23,EntryList!$A$3:$N$645,2,FALSE),"")</f>
        <v>Shandri Erasmus</v>
      </c>
      <c r="C23" s="74"/>
      <c r="D23" s="53">
        <f t="shared" si="70"/>
        <v>3</v>
      </c>
      <c r="E23" s="62"/>
      <c r="F23" s="62">
        <v>3.5589004629629629E-3</v>
      </c>
      <c r="G23" s="62">
        <v>2.267465277777778E-3</v>
      </c>
      <c r="H23" s="62"/>
      <c r="I23" s="62">
        <v>4.5254629629629629E-3</v>
      </c>
      <c r="J23" s="62"/>
      <c r="K23" s="62"/>
      <c r="L23" s="62"/>
      <c r="M23" s="62">
        <v>1.0351828703703703E-2</v>
      </c>
      <c r="N23" s="62">
        <f t="shared" si="71"/>
        <v>1.0351828703703703E-2</v>
      </c>
      <c r="O23" s="53" t="str">
        <f t="shared" si="72"/>
        <v/>
      </c>
      <c r="P23" s="53">
        <f t="shared" si="73"/>
        <v>218</v>
      </c>
      <c r="Q23" s="53">
        <f t="shared" si="74"/>
        <v>232</v>
      </c>
      <c r="R23" s="53" t="str">
        <f t="shared" si="75"/>
        <v/>
      </c>
      <c r="S23" s="53">
        <f t="shared" si="76"/>
        <v>197</v>
      </c>
      <c r="T23" s="53" t="str">
        <f t="shared" si="77"/>
        <v/>
      </c>
      <c r="U23" s="53" t="str">
        <f t="shared" si="78"/>
        <v/>
      </c>
      <c r="V23" s="53" t="str">
        <f t="shared" si="79"/>
        <v/>
      </c>
      <c r="W23" s="53" t="str">
        <f t="shared" si="104"/>
        <v>DNS/DNF ()</v>
      </c>
      <c r="X23" s="53" t="str">
        <f t="shared" si="80"/>
        <v>00:05:07.5 (218)</v>
      </c>
      <c r="Y23" s="53" t="str">
        <f t="shared" si="81"/>
        <v>00:03:15.9 (232)</v>
      </c>
      <c r="Z23" s="53" t="str">
        <f t="shared" si="82"/>
        <v>DNS/DNF ()</v>
      </c>
      <c r="AA23" s="53" t="str">
        <f t="shared" si="83"/>
        <v>00:06:31.0 (197)</v>
      </c>
      <c r="AB23" s="53" t="str">
        <f t="shared" si="84"/>
        <v>DNS/DNF ()</v>
      </c>
      <c r="AC23" s="53" t="str">
        <f t="shared" si="85"/>
        <v>DNS/DNF ()</v>
      </c>
      <c r="AD23" s="53" t="str">
        <f t="shared" si="86"/>
        <v>DNS/DNF ()</v>
      </c>
      <c r="AE23" s="53">
        <v>0</v>
      </c>
      <c r="AF23" s="53">
        <v>0</v>
      </c>
      <c r="AG23" s="53">
        <v>31653791</v>
      </c>
      <c r="AH23" s="53">
        <v>31961280</v>
      </c>
      <c r="AI23" s="53">
        <v>34064695</v>
      </c>
      <c r="AJ23" s="53">
        <v>34260604</v>
      </c>
      <c r="AK23" s="53">
        <v>0</v>
      </c>
      <c r="AL23" s="53">
        <v>0</v>
      </c>
      <c r="AM23" s="53">
        <v>36767816</v>
      </c>
      <c r="AN23" s="53">
        <v>37158816</v>
      </c>
      <c r="AO23" s="53">
        <v>0</v>
      </c>
      <c r="AP23" s="53">
        <v>0</v>
      </c>
      <c r="AQ23" s="53">
        <v>0</v>
      </c>
      <c r="AR23" s="53">
        <v>0</v>
      </c>
      <c r="AS23" s="53">
        <v>0</v>
      </c>
      <c r="AT23" s="53">
        <v>0</v>
      </c>
      <c r="AU23" s="62" t="str">
        <f t="shared" si="87"/>
        <v>DNS/DNF</v>
      </c>
      <c r="AV23" s="62">
        <f t="shared" si="88"/>
        <v>3.5589004629629629E-3</v>
      </c>
      <c r="AW23" s="62">
        <f t="shared" si="89"/>
        <v>2.267465277777778E-3</v>
      </c>
      <c r="AX23" s="62" t="str">
        <f t="shared" si="90"/>
        <v>DNS/DNF</v>
      </c>
      <c r="AY23" s="62">
        <f t="shared" si="91"/>
        <v>4.5254629629629629E-3</v>
      </c>
      <c r="AZ23" s="62" t="str">
        <f t="shared" si="92"/>
        <v>DNS/DNF</v>
      </c>
      <c r="BA23" s="62" t="str">
        <f t="shared" si="93"/>
        <v>DNS/DNF</v>
      </c>
      <c r="BB23" s="62" t="str">
        <f t="shared" si="94"/>
        <v>DNS/DNF</v>
      </c>
      <c r="BC23" s="75">
        <f t="shared" si="95"/>
        <v>216</v>
      </c>
      <c r="BD23" s="53" t="str">
        <f t="shared" si="96"/>
        <v/>
      </c>
      <c r="BE23" s="53">
        <f t="shared" si="97"/>
        <v>304260</v>
      </c>
      <c r="BF23" s="53">
        <f t="shared" si="98"/>
        <v>179437.00000000003</v>
      </c>
      <c r="BG23" s="53" t="str">
        <f t="shared" si="99"/>
        <v/>
      </c>
      <c r="BH23" s="53">
        <f t="shared" si="100"/>
        <v>406796</v>
      </c>
      <c r="BI23" s="53" t="str">
        <f t="shared" si="101"/>
        <v/>
      </c>
      <c r="BJ23" s="53" t="str">
        <f t="shared" si="102"/>
        <v/>
      </c>
      <c r="BK23" s="53" t="str">
        <f t="shared" si="103"/>
        <v/>
      </c>
    </row>
    <row r="24" spans="1:63">
      <c r="A24" s="53">
        <v>270</v>
      </c>
      <c r="B24" s="89" t="str">
        <f>IFERROR(VLOOKUP($A24,EntryList!$A$3:$N$645,2,FALSE),"")</f>
        <v>Taegan Felton</v>
      </c>
      <c r="C24" s="74"/>
      <c r="D24" s="53">
        <f t="shared" si="70"/>
        <v>3</v>
      </c>
      <c r="E24" s="62"/>
      <c r="F24" s="62">
        <v>3.5215277777777775E-3</v>
      </c>
      <c r="G24" s="62">
        <v>2.0376273148148146E-3</v>
      </c>
      <c r="H24" s="62"/>
      <c r="I24" s="62">
        <v>4.5297453703703706E-3</v>
      </c>
      <c r="J24" s="62"/>
      <c r="K24" s="62"/>
      <c r="L24" s="62"/>
      <c r="M24" s="62">
        <v>1.0088900462962963E-2</v>
      </c>
      <c r="N24" s="62">
        <f t="shared" si="71"/>
        <v>1.0088900462962964E-2</v>
      </c>
      <c r="O24" s="53" t="str">
        <f t="shared" si="72"/>
        <v/>
      </c>
      <c r="P24" s="53">
        <f t="shared" si="73"/>
        <v>216</v>
      </c>
      <c r="Q24" s="53">
        <f t="shared" si="74"/>
        <v>212</v>
      </c>
      <c r="R24" s="53" t="str">
        <f t="shared" si="75"/>
        <v/>
      </c>
      <c r="S24" s="53">
        <f t="shared" si="76"/>
        <v>198</v>
      </c>
      <c r="T24" s="53" t="str">
        <f t="shared" si="77"/>
        <v/>
      </c>
      <c r="U24" s="53" t="str">
        <f t="shared" si="78"/>
        <v/>
      </c>
      <c r="V24" s="53" t="str">
        <f t="shared" si="79"/>
        <v/>
      </c>
      <c r="W24" s="53" t="str">
        <f t="shared" si="104"/>
        <v>DNS/DNF ()</v>
      </c>
      <c r="X24" s="53" t="str">
        <f t="shared" si="80"/>
        <v>00:05:04.3 (216)</v>
      </c>
      <c r="Y24" s="53" t="str">
        <f t="shared" si="81"/>
        <v>00:02:56.1 (212)</v>
      </c>
      <c r="Z24" s="53" t="str">
        <f t="shared" si="82"/>
        <v>DNS/DNF ()</v>
      </c>
      <c r="AA24" s="53" t="str">
        <f t="shared" si="83"/>
        <v>00:06:31.4 (198)</v>
      </c>
      <c r="AB24" s="53" t="str">
        <f t="shared" si="84"/>
        <v>DNS/DNF ()</v>
      </c>
      <c r="AC24" s="53" t="str">
        <f t="shared" si="85"/>
        <v>DNS/DNF ()</v>
      </c>
      <c r="AD24" s="53" t="str">
        <f t="shared" si="86"/>
        <v>DNS/DNF ()</v>
      </c>
      <c r="AE24" s="53">
        <v>0</v>
      </c>
      <c r="AF24" s="53">
        <v>0</v>
      </c>
      <c r="AG24" s="53">
        <v>34486067</v>
      </c>
      <c r="AH24" s="53">
        <v>34790327</v>
      </c>
      <c r="AI24" s="53">
        <v>37720243</v>
      </c>
      <c r="AJ24" s="53">
        <v>37896294</v>
      </c>
      <c r="AK24" s="53">
        <v>0</v>
      </c>
      <c r="AL24" s="53">
        <v>0</v>
      </c>
      <c r="AM24" s="53">
        <v>40254988</v>
      </c>
      <c r="AN24" s="53">
        <v>40646358</v>
      </c>
      <c r="AO24" s="53">
        <v>0</v>
      </c>
      <c r="AP24" s="53">
        <v>0</v>
      </c>
      <c r="AQ24" s="53">
        <v>0</v>
      </c>
      <c r="AR24" s="53">
        <v>0</v>
      </c>
      <c r="AS24" s="53">
        <v>0</v>
      </c>
      <c r="AT24" s="53">
        <v>0</v>
      </c>
      <c r="AU24" s="62" t="str">
        <f t="shared" si="87"/>
        <v>DNS/DNF</v>
      </c>
      <c r="AV24" s="62">
        <f t="shared" si="88"/>
        <v>3.5215277777777779E-3</v>
      </c>
      <c r="AW24" s="62">
        <f t="shared" si="89"/>
        <v>2.037627314814815E-3</v>
      </c>
      <c r="AX24" s="62" t="str">
        <f t="shared" si="90"/>
        <v>DNS/DNF</v>
      </c>
      <c r="AY24" s="62">
        <f t="shared" si="91"/>
        <v>4.5297453703703706E-3</v>
      </c>
      <c r="AZ24" s="62" t="str">
        <f t="shared" si="92"/>
        <v>DNS/DNF</v>
      </c>
      <c r="BA24" s="62" t="str">
        <f t="shared" si="93"/>
        <v>DNS/DNF</v>
      </c>
      <c r="BB24" s="62" t="str">
        <f t="shared" si="94"/>
        <v>DNS/DNF</v>
      </c>
      <c r="BC24" s="75">
        <f t="shared" si="95"/>
        <v>209</v>
      </c>
      <c r="BD24" s="53" t="str">
        <f t="shared" si="96"/>
        <v/>
      </c>
      <c r="BE24" s="53">
        <f t="shared" si="97"/>
        <v>297226</v>
      </c>
      <c r="BF24" s="53">
        <f t="shared" si="98"/>
        <v>175564.99999999997</v>
      </c>
      <c r="BG24" s="53" t="str">
        <f t="shared" si="99"/>
        <v/>
      </c>
      <c r="BH24" s="53">
        <f t="shared" si="100"/>
        <v>398417</v>
      </c>
      <c r="BI24" s="53" t="str">
        <f t="shared" si="101"/>
        <v/>
      </c>
      <c r="BJ24" s="53" t="str">
        <f t="shared" si="102"/>
        <v/>
      </c>
      <c r="BK24" s="53" t="str">
        <f t="shared" si="103"/>
        <v/>
      </c>
    </row>
    <row r="25" spans="1:63">
      <c r="A25" s="53">
        <v>228</v>
      </c>
      <c r="B25" s="89" t="str">
        <f>IFERROR(VLOOKUP($A25,EntryList!$A$3:$N$645,2,FALSE),"")</f>
        <v>Fred Lowe</v>
      </c>
      <c r="C25" s="74"/>
      <c r="D25" s="53">
        <f>COUNT($AU25:$BB25)</f>
        <v>3</v>
      </c>
      <c r="E25" s="62"/>
      <c r="F25" s="62">
        <v>3.2927893518518519E-3</v>
      </c>
      <c r="G25" s="62">
        <v>1.8724189814814816E-3</v>
      </c>
      <c r="H25" s="62"/>
      <c r="I25" s="62">
        <v>4.0739004629629632E-3</v>
      </c>
      <c r="J25" s="62"/>
      <c r="K25" s="62"/>
      <c r="L25" s="62"/>
      <c r="M25" s="62">
        <v>9.2391087962962973E-3</v>
      </c>
      <c r="N25" s="62">
        <f>SUM($AU25:$BB25)</f>
        <v>9.2391087962962956E-3</v>
      </c>
      <c r="O25" s="53" t="str">
        <f>IFERROR(RANK($AU25,AU$3:AU$500,1),"")</f>
        <v/>
      </c>
      <c r="P25" s="53">
        <f>IFERROR(RANK($AV25,AV$3:AV$500,1),"")</f>
        <v>191</v>
      </c>
      <c r="Q25" s="53">
        <f>IFERROR(RANK($AW25,AW$3:AW$500,1),"")</f>
        <v>174</v>
      </c>
      <c r="R25" s="53" t="str">
        <f>IFERROR(RANK($AX25,AX$3:AX$500,1),"")</f>
        <v/>
      </c>
      <c r="S25" s="53">
        <f>IFERROR(RANK($AY25,AY$3:AY$500,1),"")</f>
        <v>121</v>
      </c>
      <c r="T25" s="53" t="str">
        <f>IFERROR(RANK($AZ25,AZ$3:AZ$500,1),"")</f>
        <v/>
      </c>
      <c r="U25" s="53" t="str">
        <f>IFERROR(RANK($BA25,BA$3:BA$500,1),"")</f>
        <v/>
      </c>
      <c r="V25" s="53" t="str">
        <f>IFERROR(RANK($BB25,BB$3:BB$500,1),"")</f>
        <v/>
      </c>
      <c r="W25" s="53" t="str">
        <f>CONCATENATE(TEXT($AU25,"[hh]:mm:ss.0")," ","(",$O25,")")</f>
        <v>DNS/DNF ()</v>
      </c>
      <c r="X25" s="53" t="str">
        <f>CONCATENATE(TEXT($AV25,"[hh]:mm:ss.0")," ","(",$P25,")")</f>
        <v>00:04:44.5 (191)</v>
      </c>
      <c r="Y25" s="53" t="str">
        <f>CONCATENATE(TEXT($AW25,"[hh]:mm:ss.0")," ","(",$Q25,")")</f>
        <v>00:02:41.8 (174)</v>
      </c>
      <c r="Z25" s="53" t="str">
        <f>CONCATENATE(TEXT($AX25,"[hh]:mm:ss.0")," ","(",$R25,")")</f>
        <v>DNS/DNF ()</v>
      </c>
      <c r="AA25" s="53" t="str">
        <f>CONCATENATE(TEXT($AY25,"[hh]:mm:ss.0")," ","(",$S25,")")</f>
        <v>00:05:52.0 (121)</v>
      </c>
      <c r="AB25" s="53" t="str">
        <f>CONCATENATE(TEXT($AZ25,"[hh]:mm:ss.0")," ","(",$T25,")")</f>
        <v>DNS/DNF ()</v>
      </c>
      <c r="AC25" s="53" t="str">
        <f>CONCATENATE(TEXT($BA25,"[hh]:mm:ss.0")," ","(",$U25,")")</f>
        <v>DNS/DNF ()</v>
      </c>
      <c r="AD25" s="53" t="str">
        <f>CONCATENATE(TEXT($BB25,"[hh]:mm:ss.0")," ","(",$V25,")")</f>
        <v>DNS/DNF ()</v>
      </c>
      <c r="AE25" s="53">
        <v>0</v>
      </c>
      <c r="AF25" s="53">
        <v>0</v>
      </c>
      <c r="AG25" s="53">
        <v>33829254</v>
      </c>
      <c r="AH25" s="53">
        <v>34113751</v>
      </c>
      <c r="AI25" s="53">
        <v>36618934</v>
      </c>
      <c r="AJ25" s="53">
        <v>36780711</v>
      </c>
      <c r="AK25" s="53">
        <v>0</v>
      </c>
      <c r="AL25" s="53">
        <v>0</v>
      </c>
      <c r="AM25" s="53">
        <v>39899756</v>
      </c>
      <c r="AN25" s="53">
        <v>40251741</v>
      </c>
      <c r="AO25" s="53">
        <v>0</v>
      </c>
      <c r="AP25" s="53">
        <v>0</v>
      </c>
      <c r="AQ25" s="53">
        <v>0</v>
      </c>
      <c r="AR25" s="53">
        <v>0</v>
      </c>
      <c r="AS25" s="53">
        <v>0</v>
      </c>
      <c r="AT25" s="53">
        <v>0</v>
      </c>
      <c r="AU25" s="62" t="str">
        <f>IF((OR($AE25=0,$AF25=0,$AF25-$AE25&lt;0)),"DNS/DNF",($AF25-$AE25)/86400000)</f>
        <v>DNS/DNF</v>
      </c>
      <c r="AV25" s="62">
        <f>IF((OR($AG25=0,$AH25=0,$AH25-$AG25&lt;0)),"DNS/DNF",($AH25-$AG25)/86400000)</f>
        <v>3.2927893518518519E-3</v>
      </c>
      <c r="AW25" s="62">
        <f>IF((OR($AI25=0,$AJ25=0,$AJ25-$AI25&lt;0)),"DNS/DNF",($AJ25-$AI25)/86400000)</f>
        <v>1.8724189814814814E-3</v>
      </c>
      <c r="AX25" s="62" t="str">
        <f>IF((OR($AK25=0,$AL25=0,$AL25-$AK25&lt;0)),"DNS/DNF",($AL25-$AK25)/86400000)</f>
        <v>DNS/DNF</v>
      </c>
      <c r="AY25" s="62">
        <f>IF((OR($AM25=0,$AM25=0,$AN25-$AM25&lt;0)),"DNS/DNF",($AN25-$AM25)/86400000)</f>
        <v>4.0739004629629632E-3</v>
      </c>
      <c r="AZ25" s="62" t="str">
        <f>IF((OR($AO25=0,$AP25=0,$AP25-$AO25&lt;0)),"DNS/DNF",($AP25-$AO25)/86400000)</f>
        <v>DNS/DNF</v>
      </c>
      <c r="BA25" s="62" t="str">
        <f>IF((OR($AQ25=0,$AR25=0,$AR25-$AQ25&lt;0)),"DNS/DNF",($AR25-$AQ25)/86400000)</f>
        <v>DNS/DNF</v>
      </c>
      <c r="BB25" s="62" t="str">
        <f>IF((OR($AS25=0,$AT25=0,$AT25-$AS25&lt;0)),"DNS/DNF",($AT25-$AS25)/86400000)</f>
        <v>DNS/DNF</v>
      </c>
      <c r="BC25" s="75">
        <f>IFERROR(ROUND(AVERAGE(O25:V25),0),"")</f>
        <v>162</v>
      </c>
      <c r="BD25" s="53" t="str">
        <f>IFERROR((INDEX(($AU$3:$AU$500)*86400000,MATCH(BC25,$O$3:$O$500,0))),"")</f>
        <v/>
      </c>
      <c r="BE25" s="53">
        <f>IFERROR((INDEX(($AV$3:$AV$500)*86400000,MATCH(BC25,$P$3:$P$500,0))),"")</f>
        <v>276124</v>
      </c>
      <c r="BF25" s="53">
        <f>IFERROR((INDEX(($AW$3:$AW$500)*86400000,MATCH(BC25,$Q$3:$Q$500,0))),"")</f>
        <v>160392</v>
      </c>
      <c r="BG25" s="53" t="str">
        <f>IFERROR((INDEX(($AX$3:$AX$500)*86400000,MATCH(BC25,$R$3:$R$500,0))),"")</f>
        <v/>
      </c>
      <c r="BH25" s="53">
        <f>IFERROR((INDEX(($AY$3:$AY$500)*86400000,MATCH(BC25,$S$3:$S$500,0))),"")</f>
        <v>366286.00000000006</v>
      </c>
      <c r="BI25" s="53" t="str">
        <f>IFERROR((INDEX(($AZ$3:$AZ$500)*86400000,MATCH(BC25,$T$3:$T$500,0))),"")</f>
        <v/>
      </c>
      <c r="BJ25" s="53" t="str">
        <f>IFERROR((INDEX(($BA$3:$BA$500)*86400000,MATCH(BC25,$U$3:$U$500,0))),"")</f>
        <v/>
      </c>
      <c r="BK25" s="53" t="str">
        <f>IFERROR((INDEX(($BB$3:$BB$500)*86400000,MATCH(BC25,$V$3:$V$500,0))),"")</f>
        <v/>
      </c>
    </row>
    <row r="26" spans="1:63">
      <c r="A26" s="53">
        <v>21</v>
      </c>
      <c r="B26" s="89" t="str">
        <f>IFERROR(VLOOKUP($A26,EntryList!$A$3:$N$645,2,FALSE),"")</f>
        <v>Adam Bethlehem</v>
      </c>
      <c r="C26" s="74"/>
      <c r="D26" s="53">
        <f t="shared" ref="D26:D77" si="105">COUNT($AU26:$BB26)</f>
        <v>3</v>
      </c>
      <c r="E26" s="62"/>
      <c r="F26" s="62">
        <v>3.8222222222222216E-3</v>
      </c>
      <c r="G26" s="62">
        <v>2.2941319444444446E-3</v>
      </c>
      <c r="H26" s="62"/>
      <c r="I26" s="62">
        <v>4.5917592592592598E-3</v>
      </c>
      <c r="J26" s="62"/>
      <c r="K26" s="62"/>
      <c r="L26" s="62"/>
      <c r="M26" s="62">
        <v>1.0708113425925926E-2</v>
      </c>
      <c r="N26" s="62">
        <f t="shared" ref="N26:N77" si="106">SUM($AU26:$BB26)</f>
        <v>1.0708113425925925E-2</v>
      </c>
      <c r="O26" s="53" t="str">
        <f t="shared" ref="O26:O77" si="107">IFERROR(RANK($AU26,AU$3:AU$500,1),"")</f>
        <v/>
      </c>
      <c r="P26" s="53">
        <f t="shared" ref="P26:P77" si="108">IFERROR(RANK($AV26,AV$3:AV$500,1),"")</f>
        <v>239</v>
      </c>
      <c r="Q26" s="53">
        <f t="shared" ref="Q26:Q77" si="109">IFERROR(RANK($AW26,AW$3:AW$500,1),"")</f>
        <v>235</v>
      </c>
      <c r="R26" s="53" t="str">
        <f t="shared" ref="R26:R77" si="110">IFERROR(RANK($AX26,AX$3:AX$500,1),"")</f>
        <v/>
      </c>
      <c r="S26" s="53">
        <f t="shared" ref="S26:S77" si="111">IFERROR(RANK($AY26,AY$3:AY$500,1),"")</f>
        <v>207</v>
      </c>
      <c r="T26" s="53" t="str">
        <f t="shared" ref="T26:T77" si="112">IFERROR(RANK($AZ26,AZ$3:AZ$500,1),"")</f>
        <v/>
      </c>
      <c r="U26" s="53" t="str">
        <f t="shared" ref="U26:U77" si="113">IFERROR(RANK($BA26,BA$3:BA$500,1),"")</f>
        <v/>
      </c>
      <c r="V26" s="53" t="str">
        <f t="shared" ref="V26:V77" si="114">IFERROR(RANK($BB26,BB$3:BB$500,1),"")</f>
        <v/>
      </c>
      <c r="W26" s="53" t="str">
        <f>CONCATENATE(TEXT($AU26,"[hh]:mm:ss.0")," ","(",$O26,")")</f>
        <v>DNS/DNF ()</v>
      </c>
      <c r="X26" s="53" t="str">
        <f t="shared" ref="X26:X77" si="115">CONCATENATE(TEXT($AV26,"[hh]:mm:ss.0")," ","(",$P26,")")</f>
        <v>00:05:30.2 (239)</v>
      </c>
      <c r="Y26" s="53" t="str">
        <f t="shared" ref="Y26:Y77" si="116">CONCATENATE(TEXT($AW26,"[hh]:mm:ss.0")," ","(",$Q26,")")</f>
        <v>00:03:18.2 (235)</v>
      </c>
      <c r="Z26" s="53" t="str">
        <f t="shared" ref="Z26:Z77" si="117">CONCATENATE(TEXT($AX26,"[hh]:mm:ss.0")," ","(",$R26,")")</f>
        <v>DNS/DNF ()</v>
      </c>
      <c r="AA26" s="53" t="str">
        <f t="shared" ref="AA26:AA77" si="118">CONCATENATE(TEXT($AY26,"[hh]:mm:ss.0")," ","(",$S26,")")</f>
        <v>00:06:36.7 (207)</v>
      </c>
      <c r="AB26" s="53" t="str">
        <f t="shared" ref="AB26:AB77" si="119">CONCATENATE(TEXT($AZ26,"[hh]:mm:ss.0")," ","(",$T26,")")</f>
        <v>DNS/DNF ()</v>
      </c>
      <c r="AC26" s="53" t="str">
        <f t="shared" ref="AC26:AC77" si="120">CONCATENATE(TEXT($BA26,"[hh]:mm:ss.0")," ","(",$U26,")")</f>
        <v>DNS/DNF ()</v>
      </c>
      <c r="AD26" s="53" t="str">
        <f t="shared" ref="AD26:AD77" si="121">CONCATENATE(TEXT($BB26,"[hh]:mm:ss.0")," ","(",$V26,")")</f>
        <v>DNS/DNF ()</v>
      </c>
      <c r="AE26" s="53">
        <v>0</v>
      </c>
      <c r="AF26" s="53">
        <v>0</v>
      </c>
      <c r="AG26" s="53">
        <v>33834090</v>
      </c>
      <c r="AH26" s="53">
        <v>34164330</v>
      </c>
      <c r="AI26" s="53">
        <v>36621924</v>
      </c>
      <c r="AJ26" s="53">
        <v>36820137</v>
      </c>
      <c r="AK26" s="53">
        <v>0</v>
      </c>
      <c r="AL26" s="53">
        <v>0</v>
      </c>
      <c r="AM26" s="53">
        <v>39904448</v>
      </c>
      <c r="AN26" s="53">
        <v>40301176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3">
        <v>0</v>
      </c>
      <c r="AU26" s="62" t="str">
        <f t="shared" ref="AU26:AU77" si="122">IF((OR($AE26=0,$AF26=0,$AF26-$AE26&lt;0)),"DNS/DNF",($AF26-$AE26)/86400000)</f>
        <v>DNS/DNF</v>
      </c>
      <c r="AV26" s="62">
        <f t="shared" ref="AV26:AV77" si="123">IF((OR($AG26=0,$AH26=0,$AH26-$AG26&lt;0)),"DNS/DNF",($AH26-$AG26)/86400000)</f>
        <v>3.8222222222222221E-3</v>
      </c>
      <c r="AW26" s="62">
        <f t="shared" ref="AW26:AW77" si="124">IF((OR($AI26=0,$AJ26=0,$AJ26-$AI26&lt;0)),"DNS/DNF",($AJ26-$AI26)/86400000)</f>
        <v>2.2941319444444446E-3</v>
      </c>
      <c r="AX26" s="62" t="str">
        <f t="shared" ref="AX26:AX77" si="125">IF((OR($AK26=0,$AL26=0,$AL26-$AK26&lt;0)),"DNS/DNF",($AL26-$AK26)/86400000)</f>
        <v>DNS/DNF</v>
      </c>
      <c r="AY26" s="62">
        <f t="shared" ref="AY26:AY77" si="126">IF((OR($AM26=0,$AM26=0,$AN26-$AM26&lt;0)),"DNS/DNF",($AN26-$AM26)/86400000)</f>
        <v>4.591759259259259E-3</v>
      </c>
      <c r="AZ26" s="62" t="str">
        <f t="shared" ref="AZ26:AZ77" si="127">IF((OR($AO26=0,$AP26=0,$AP26-$AO26&lt;0)),"DNS/DNF",($AP26-$AO26)/86400000)</f>
        <v>DNS/DNF</v>
      </c>
      <c r="BA26" s="62" t="str">
        <f t="shared" ref="BA26:BA77" si="128">IF((OR($AQ26=0,$AR26=0,$AR26-$AQ26&lt;0)),"DNS/DNF",($AR26-$AQ26)/86400000)</f>
        <v>DNS/DNF</v>
      </c>
      <c r="BB26" s="62" t="str">
        <f t="shared" ref="BB26:BB77" si="129">IF((OR($AS26=0,$AT26=0,$AT26-$AS26&lt;0)),"DNS/DNF",($AT26-$AS26)/86400000)</f>
        <v>DNS/DNF</v>
      </c>
      <c r="BC26" s="75">
        <f t="shared" ref="BC26:BC77" si="130">IFERROR(ROUND(AVERAGE(O26:V26),0),"")</f>
        <v>227</v>
      </c>
      <c r="BD26" s="53" t="str">
        <f t="shared" ref="BD26:BD77" si="131">IFERROR((INDEX(($AU$3:$AU$500)*86400000,MATCH(BC26,$O$3:$O$500,0))),"")</f>
        <v/>
      </c>
      <c r="BE26" s="53">
        <f t="shared" ref="BE26:BE77" si="132">IFERROR((INDEX(($AV$3:$AV$500)*86400000,MATCH(BC26,$P$3:$P$500,0))),"")</f>
        <v>316539</v>
      </c>
      <c r="BF26" s="53">
        <f t="shared" ref="BF26:BF77" si="133">IFERROR((INDEX(($AW$3:$AW$500)*86400000,MATCH(BC26,$Q$3:$Q$500,0))),"")</f>
        <v>191712</v>
      </c>
      <c r="BG26" s="53" t="str">
        <f t="shared" ref="BG26:BG77" si="134">IFERROR((INDEX(($AX$3:$AX$500)*86400000,MATCH(BC26,$R$3:$R$500,0))),"")</f>
        <v/>
      </c>
      <c r="BH26" s="53">
        <f t="shared" ref="BH26:BH77" si="135">IFERROR((INDEX(($AY$3:$AY$500)*86400000,MATCH(BC26,$S$3:$S$500,0))),"")</f>
        <v>424071</v>
      </c>
      <c r="BI26" s="53" t="str">
        <f t="shared" ref="BI26:BI77" si="136">IFERROR((INDEX(($AZ$3:$AZ$500)*86400000,MATCH(BC26,$T$3:$T$500,0))),"")</f>
        <v/>
      </c>
      <c r="BJ26" s="53" t="str">
        <f t="shared" ref="BJ26:BJ77" si="137">IFERROR((INDEX(($BA$3:$BA$500)*86400000,MATCH(BC26,$U$3:$U$500,0))),"")</f>
        <v/>
      </c>
      <c r="BK26" s="53" t="str">
        <f t="shared" ref="BK26:BK77" si="138">IFERROR((INDEX(($BB$3:$BB$500)*86400000,MATCH(BC26,$V$3:$V$500,0))),"")</f>
        <v/>
      </c>
    </row>
    <row r="27" spans="1:63">
      <c r="A27" s="53">
        <v>181</v>
      </c>
      <c r="B27" s="89" t="str">
        <f>IFERROR(VLOOKUP($A27,EntryList!$A$3:$N$645,2,FALSE),"")</f>
        <v>Robert-John Behan</v>
      </c>
      <c r="C27" s="74"/>
      <c r="D27" s="53">
        <f t="shared" si="105"/>
        <v>3</v>
      </c>
      <c r="E27" s="62"/>
      <c r="F27" s="62">
        <v>3.6813657407407407E-3</v>
      </c>
      <c r="G27" s="62">
        <v>2.3323495370370369E-3</v>
      </c>
      <c r="H27" s="62"/>
      <c r="I27" s="62">
        <v>4.8419791666666672E-3</v>
      </c>
      <c r="J27" s="62"/>
      <c r="K27" s="62"/>
      <c r="L27" s="62"/>
      <c r="M27" s="62">
        <v>1.0855694444444444E-2</v>
      </c>
      <c r="N27" s="62">
        <f t="shared" si="106"/>
        <v>1.0855694444444444E-2</v>
      </c>
      <c r="O27" s="53" t="str">
        <f t="shared" si="107"/>
        <v/>
      </c>
      <c r="P27" s="53">
        <f t="shared" si="108"/>
        <v>228</v>
      </c>
      <c r="Q27" s="53">
        <f t="shared" si="109"/>
        <v>236</v>
      </c>
      <c r="R27" s="53" t="str">
        <f t="shared" si="110"/>
        <v/>
      </c>
      <c r="S27" s="53">
        <f t="shared" si="111"/>
        <v>224</v>
      </c>
      <c r="T27" s="53" t="str">
        <f t="shared" si="112"/>
        <v/>
      </c>
      <c r="U27" s="53" t="str">
        <f t="shared" si="113"/>
        <v/>
      </c>
      <c r="V27" s="53" t="str">
        <f t="shared" si="114"/>
        <v/>
      </c>
      <c r="W27" s="53" t="str">
        <f t="shared" ref="W27:W77" si="139">CONCATENATE(TEXT($AU27,"[hh]:mm:ss.0")," ","(",$O27,")")</f>
        <v>DNS/DNF ()</v>
      </c>
      <c r="X27" s="53" t="str">
        <f t="shared" si="115"/>
        <v>00:05:18.1 (228)</v>
      </c>
      <c r="Y27" s="53" t="str">
        <f t="shared" si="116"/>
        <v>00:03:21.5 (236)</v>
      </c>
      <c r="Z27" s="53" t="str">
        <f t="shared" si="117"/>
        <v>DNS/DNF ()</v>
      </c>
      <c r="AA27" s="53" t="str">
        <f t="shared" si="118"/>
        <v>00:06:58.3 (224)</v>
      </c>
      <c r="AB27" s="53" t="str">
        <f t="shared" si="119"/>
        <v>DNS/DNF ()</v>
      </c>
      <c r="AC27" s="53" t="str">
        <f t="shared" si="120"/>
        <v>DNS/DNF ()</v>
      </c>
      <c r="AD27" s="53" t="str">
        <f t="shared" si="121"/>
        <v>DNS/DNF ()</v>
      </c>
      <c r="AE27" s="53">
        <v>0</v>
      </c>
      <c r="AF27" s="53">
        <v>0</v>
      </c>
      <c r="AG27" s="53">
        <v>34318491</v>
      </c>
      <c r="AH27" s="53">
        <v>34636561</v>
      </c>
      <c r="AI27" s="53">
        <v>37401724</v>
      </c>
      <c r="AJ27" s="53">
        <v>37603239</v>
      </c>
      <c r="AK27" s="53">
        <v>0</v>
      </c>
      <c r="AL27" s="53">
        <v>0</v>
      </c>
      <c r="AM27" s="53">
        <v>40334920</v>
      </c>
      <c r="AN27" s="53">
        <v>40753267</v>
      </c>
      <c r="AO27" s="53">
        <v>0</v>
      </c>
      <c r="AP27" s="53">
        <v>0</v>
      </c>
      <c r="AQ27" s="53">
        <v>0</v>
      </c>
      <c r="AR27" s="53">
        <v>0</v>
      </c>
      <c r="AS27" s="53">
        <v>0</v>
      </c>
      <c r="AT27" s="53">
        <v>0</v>
      </c>
      <c r="AU27" s="62" t="str">
        <f t="shared" si="122"/>
        <v>DNS/DNF</v>
      </c>
      <c r="AV27" s="62">
        <f t="shared" si="123"/>
        <v>3.6813657407407407E-3</v>
      </c>
      <c r="AW27" s="62">
        <f t="shared" si="124"/>
        <v>2.3323495370370369E-3</v>
      </c>
      <c r="AX27" s="62" t="str">
        <f t="shared" si="125"/>
        <v>DNS/DNF</v>
      </c>
      <c r="AY27" s="62">
        <f t="shared" si="126"/>
        <v>4.8419791666666663E-3</v>
      </c>
      <c r="AZ27" s="62" t="str">
        <f t="shared" si="127"/>
        <v>DNS/DNF</v>
      </c>
      <c r="BA27" s="62" t="str">
        <f t="shared" si="128"/>
        <v>DNS/DNF</v>
      </c>
      <c r="BB27" s="62" t="str">
        <f t="shared" si="129"/>
        <v>DNS/DNF</v>
      </c>
      <c r="BC27" s="75">
        <f t="shared" si="130"/>
        <v>229</v>
      </c>
      <c r="BD27" s="53" t="str">
        <f t="shared" si="131"/>
        <v/>
      </c>
      <c r="BE27" s="53">
        <f t="shared" si="132"/>
        <v>320260</v>
      </c>
      <c r="BF27" s="53">
        <f t="shared" si="133"/>
        <v>193023</v>
      </c>
      <c r="BG27" s="53" t="str">
        <f t="shared" si="134"/>
        <v/>
      </c>
      <c r="BH27" s="53">
        <f t="shared" si="135"/>
        <v>429326</v>
      </c>
      <c r="BI27" s="53" t="str">
        <f t="shared" si="136"/>
        <v/>
      </c>
      <c r="BJ27" s="53" t="str">
        <f t="shared" si="137"/>
        <v/>
      </c>
      <c r="BK27" s="53" t="str">
        <f t="shared" si="138"/>
        <v/>
      </c>
    </row>
    <row r="28" spans="1:63">
      <c r="A28" s="53">
        <v>215</v>
      </c>
      <c r="B28" s="89" t="str">
        <f>IFERROR(VLOOKUP($A28,EntryList!$A$3:$N$645,2,FALSE),"")</f>
        <v>Benjamin Fourie</v>
      </c>
      <c r="C28" s="74"/>
      <c r="D28" s="53">
        <f t="shared" si="105"/>
        <v>3</v>
      </c>
      <c r="E28" s="62"/>
      <c r="F28" s="62">
        <v>2.8562037037037041E-3</v>
      </c>
      <c r="G28" s="62">
        <v>1.5952893518518519E-3</v>
      </c>
      <c r="H28" s="62"/>
      <c r="I28" s="62">
        <v>3.6451736111111112E-3</v>
      </c>
      <c r="J28" s="62"/>
      <c r="K28" s="62"/>
      <c r="L28" s="62"/>
      <c r="M28" s="62">
        <v>8.0966666666666669E-3</v>
      </c>
      <c r="N28" s="62">
        <f t="shared" si="106"/>
        <v>8.0966666666666669E-3</v>
      </c>
      <c r="O28" s="53" t="str">
        <f t="shared" si="107"/>
        <v/>
      </c>
      <c r="P28" s="53">
        <f t="shared" si="108"/>
        <v>85</v>
      </c>
      <c r="Q28" s="53">
        <f t="shared" si="109"/>
        <v>75</v>
      </c>
      <c r="R28" s="53" t="str">
        <f t="shared" si="110"/>
        <v/>
      </c>
      <c r="S28" s="53">
        <f t="shared" si="111"/>
        <v>44</v>
      </c>
      <c r="T28" s="53" t="str">
        <f t="shared" si="112"/>
        <v/>
      </c>
      <c r="U28" s="53" t="str">
        <f t="shared" si="113"/>
        <v/>
      </c>
      <c r="V28" s="53" t="str">
        <f t="shared" si="114"/>
        <v/>
      </c>
      <c r="W28" s="53" t="str">
        <f t="shared" si="139"/>
        <v>DNS/DNF ()</v>
      </c>
      <c r="X28" s="53" t="str">
        <f t="shared" si="115"/>
        <v>00:04:06.8 (85)</v>
      </c>
      <c r="Y28" s="53" t="str">
        <f t="shared" si="116"/>
        <v>00:02:17.8 (75)</v>
      </c>
      <c r="Z28" s="53" t="str">
        <f t="shared" si="117"/>
        <v>DNS/DNF ()</v>
      </c>
      <c r="AA28" s="53" t="str">
        <f t="shared" si="118"/>
        <v>00:05:14.9 (44)</v>
      </c>
      <c r="AB28" s="53" t="str">
        <f t="shared" si="119"/>
        <v>DNS/DNF ()</v>
      </c>
      <c r="AC28" s="53" t="str">
        <f t="shared" si="120"/>
        <v>DNS/DNF ()</v>
      </c>
      <c r="AD28" s="53" t="str">
        <f t="shared" si="121"/>
        <v>DNS/DNF ()</v>
      </c>
      <c r="AE28" s="53">
        <v>0</v>
      </c>
      <c r="AF28" s="53">
        <v>0</v>
      </c>
      <c r="AG28" s="53">
        <v>33980067</v>
      </c>
      <c r="AH28" s="53">
        <v>34226843</v>
      </c>
      <c r="AI28" s="53">
        <v>36826942</v>
      </c>
      <c r="AJ28" s="53">
        <v>36964775</v>
      </c>
      <c r="AK28" s="53">
        <v>0</v>
      </c>
      <c r="AL28" s="53">
        <v>0</v>
      </c>
      <c r="AM28" s="53">
        <v>40639476</v>
      </c>
      <c r="AN28" s="53">
        <v>40954419</v>
      </c>
      <c r="AO28" s="53">
        <v>0</v>
      </c>
      <c r="AP28" s="53">
        <v>0</v>
      </c>
      <c r="AQ28" s="53">
        <v>0</v>
      </c>
      <c r="AR28" s="53">
        <v>0</v>
      </c>
      <c r="AS28" s="53">
        <v>0</v>
      </c>
      <c r="AT28" s="53">
        <v>0</v>
      </c>
      <c r="AU28" s="62" t="str">
        <f t="shared" si="122"/>
        <v>DNS/DNF</v>
      </c>
      <c r="AV28" s="62">
        <f t="shared" si="123"/>
        <v>2.8562037037037037E-3</v>
      </c>
      <c r="AW28" s="62">
        <f t="shared" si="124"/>
        <v>1.5952893518518519E-3</v>
      </c>
      <c r="AX28" s="62" t="str">
        <f t="shared" si="125"/>
        <v>DNS/DNF</v>
      </c>
      <c r="AY28" s="62">
        <f t="shared" si="126"/>
        <v>3.6451736111111112E-3</v>
      </c>
      <c r="AZ28" s="62" t="str">
        <f t="shared" si="127"/>
        <v>DNS/DNF</v>
      </c>
      <c r="BA28" s="62" t="str">
        <f t="shared" si="128"/>
        <v>DNS/DNF</v>
      </c>
      <c r="BB28" s="62" t="str">
        <f t="shared" si="129"/>
        <v>DNS/DNF</v>
      </c>
      <c r="BC28" s="75">
        <f t="shared" si="130"/>
        <v>68</v>
      </c>
      <c r="BD28" s="53">
        <f t="shared" si="131"/>
        <v>246067</v>
      </c>
      <c r="BE28" s="53">
        <f t="shared" si="132"/>
        <v>241660.00000000003</v>
      </c>
      <c r="BF28" s="53">
        <f t="shared" si="133"/>
        <v>135848</v>
      </c>
      <c r="BG28" s="53">
        <f t="shared" si="134"/>
        <v>272370</v>
      </c>
      <c r="BH28" s="53">
        <f t="shared" si="135"/>
        <v>329294</v>
      </c>
      <c r="BI28" s="53" t="str">
        <f t="shared" si="136"/>
        <v/>
      </c>
      <c r="BJ28" s="53" t="str">
        <f t="shared" si="137"/>
        <v/>
      </c>
      <c r="BK28" s="53" t="str">
        <f t="shared" si="138"/>
        <v/>
      </c>
    </row>
    <row r="29" spans="1:63">
      <c r="A29" s="53">
        <v>182</v>
      </c>
      <c r="B29" s="89" t="str">
        <f>IFERROR(VLOOKUP($A29,EntryList!$A$3:$N$645,2,FALSE),"")</f>
        <v>Aaron Budke</v>
      </c>
      <c r="C29" s="74"/>
      <c r="D29" s="53">
        <f t="shared" si="105"/>
        <v>3</v>
      </c>
      <c r="E29" s="62"/>
      <c r="F29" s="62">
        <v>3.0809837962962965E-3</v>
      </c>
      <c r="G29" s="62">
        <v>1.7243402777777778E-3</v>
      </c>
      <c r="H29" s="62"/>
      <c r="I29" s="62">
        <v>3.8697106481481482E-3</v>
      </c>
      <c r="J29" s="62"/>
      <c r="K29" s="62"/>
      <c r="L29" s="62"/>
      <c r="M29" s="62">
        <v>8.6750347222222229E-3</v>
      </c>
      <c r="N29" s="62">
        <f t="shared" si="106"/>
        <v>8.6750347222222229E-3</v>
      </c>
      <c r="O29" s="53" t="str">
        <f t="shared" si="107"/>
        <v/>
      </c>
      <c r="P29" s="53">
        <f t="shared" si="108"/>
        <v>131</v>
      </c>
      <c r="Q29" s="53">
        <f t="shared" si="109"/>
        <v>112</v>
      </c>
      <c r="R29" s="53" t="str">
        <f t="shared" si="110"/>
        <v/>
      </c>
      <c r="S29" s="53">
        <f t="shared" si="111"/>
        <v>81</v>
      </c>
      <c r="T29" s="53" t="str">
        <f t="shared" si="112"/>
        <v/>
      </c>
      <c r="U29" s="53" t="str">
        <f t="shared" si="113"/>
        <v/>
      </c>
      <c r="V29" s="53" t="str">
        <f t="shared" si="114"/>
        <v/>
      </c>
      <c r="W29" s="53" t="str">
        <f t="shared" si="139"/>
        <v>DNS/DNF ()</v>
      </c>
      <c r="X29" s="53" t="str">
        <f t="shared" si="115"/>
        <v>00:04:26.2 (131)</v>
      </c>
      <c r="Y29" s="53" t="str">
        <f t="shared" si="116"/>
        <v>00:02:29.0 (112)</v>
      </c>
      <c r="Z29" s="53" t="str">
        <f t="shared" si="117"/>
        <v>DNS/DNF ()</v>
      </c>
      <c r="AA29" s="53" t="str">
        <f t="shared" si="118"/>
        <v>00:05:34.3 (81)</v>
      </c>
      <c r="AB29" s="53" t="str">
        <f t="shared" si="119"/>
        <v>DNS/DNF ()</v>
      </c>
      <c r="AC29" s="53" t="str">
        <f t="shared" si="120"/>
        <v>DNS/DNF ()</v>
      </c>
      <c r="AD29" s="53" t="str">
        <f t="shared" si="121"/>
        <v>DNS/DNF ()</v>
      </c>
      <c r="AE29" s="53">
        <v>0</v>
      </c>
      <c r="AF29" s="53">
        <v>0</v>
      </c>
      <c r="AG29" s="53">
        <v>37052212</v>
      </c>
      <c r="AH29" s="53">
        <v>37318409</v>
      </c>
      <c r="AI29" s="53">
        <v>32883914</v>
      </c>
      <c r="AJ29" s="53">
        <v>33032897</v>
      </c>
      <c r="AK29" s="53">
        <v>0</v>
      </c>
      <c r="AL29" s="53">
        <v>0</v>
      </c>
      <c r="AM29" s="53">
        <v>40229706</v>
      </c>
      <c r="AN29" s="53">
        <v>40564049</v>
      </c>
      <c r="AO29" s="53">
        <v>0</v>
      </c>
      <c r="AP29" s="53">
        <v>0</v>
      </c>
      <c r="AQ29" s="53">
        <v>0</v>
      </c>
      <c r="AR29" s="53">
        <v>0</v>
      </c>
      <c r="AS29" s="53">
        <v>0</v>
      </c>
      <c r="AT29" s="53">
        <v>0</v>
      </c>
      <c r="AU29" s="62" t="str">
        <f t="shared" si="122"/>
        <v>DNS/DNF</v>
      </c>
      <c r="AV29" s="62">
        <f t="shared" si="123"/>
        <v>3.0809837962962965E-3</v>
      </c>
      <c r="AW29" s="62">
        <f t="shared" si="124"/>
        <v>1.7243402777777778E-3</v>
      </c>
      <c r="AX29" s="62" t="str">
        <f t="shared" si="125"/>
        <v>DNS/DNF</v>
      </c>
      <c r="AY29" s="62">
        <f t="shared" si="126"/>
        <v>3.8697106481481482E-3</v>
      </c>
      <c r="AZ29" s="62" t="str">
        <f t="shared" si="127"/>
        <v>DNS/DNF</v>
      </c>
      <c r="BA29" s="62" t="str">
        <f t="shared" si="128"/>
        <v>DNS/DNF</v>
      </c>
      <c r="BB29" s="62" t="str">
        <f t="shared" si="129"/>
        <v>DNS/DNF</v>
      </c>
      <c r="BC29" s="75">
        <f t="shared" si="130"/>
        <v>108</v>
      </c>
      <c r="BD29" s="53">
        <f t="shared" si="131"/>
        <v>289099</v>
      </c>
      <c r="BE29" s="53">
        <f t="shared" si="132"/>
        <v>256902</v>
      </c>
      <c r="BF29" s="53">
        <f t="shared" si="133"/>
        <v>147702</v>
      </c>
      <c r="BG29" s="53">
        <f t="shared" si="134"/>
        <v>306594</v>
      </c>
      <c r="BH29" s="53">
        <f t="shared" si="135"/>
        <v>348108</v>
      </c>
      <c r="BI29" s="53" t="str">
        <f t="shared" si="136"/>
        <v/>
      </c>
      <c r="BJ29" s="53" t="str">
        <f t="shared" si="137"/>
        <v/>
      </c>
      <c r="BK29" s="53" t="str">
        <f t="shared" si="138"/>
        <v/>
      </c>
    </row>
    <row r="30" spans="1:63">
      <c r="A30" s="53">
        <v>189</v>
      </c>
      <c r="B30" s="89" t="str">
        <f>IFERROR(VLOOKUP($A30,EntryList!$A$3:$N$645,2,FALSE),"")</f>
        <v>Duncan Sephton</v>
      </c>
      <c r="C30" s="74"/>
      <c r="D30" s="53">
        <f t="shared" si="105"/>
        <v>3</v>
      </c>
      <c r="E30" s="62"/>
      <c r="F30" s="62">
        <v>2.9989699074074072E-3</v>
      </c>
      <c r="G30" s="62">
        <v>1.859976851851852E-3</v>
      </c>
      <c r="H30" s="62"/>
      <c r="I30" s="62">
        <v>3.9721759259259259E-3</v>
      </c>
      <c r="J30" s="62"/>
      <c r="K30" s="62"/>
      <c r="L30" s="62"/>
      <c r="M30" s="62">
        <v>8.8311226851851849E-3</v>
      </c>
      <c r="N30" s="62">
        <f t="shared" si="106"/>
        <v>8.8311226851851849E-3</v>
      </c>
      <c r="O30" s="53" t="str">
        <f t="shared" si="107"/>
        <v/>
      </c>
      <c r="P30" s="53">
        <f t="shared" si="108"/>
        <v>114</v>
      </c>
      <c r="Q30" s="53">
        <f t="shared" si="109"/>
        <v>164</v>
      </c>
      <c r="R30" s="53" t="str">
        <f t="shared" si="110"/>
        <v/>
      </c>
      <c r="S30" s="53">
        <f t="shared" si="111"/>
        <v>100</v>
      </c>
      <c r="T30" s="53" t="str">
        <f t="shared" si="112"/>
        <v/>
      </c>
      <c r="U30" s="53" t="str">
        <f t="shared" si="113"/>
        <v/>
      </c>
      <c r="V30" s="53" t="str">
        <f t="shared" si="114"/>
        <v/>
      </c>
      <c r="W30" s="53" t="str">
        <f t="shared" si="139"/>
        <v>DNS/DNF ()</v>
      </c>
      <c r="X30" s="53" t="str">
        <f t="shared" si="115"/>
        <v>00:04:19.1 (114)</v>
      </c>
      <c r="Y30" s="53" t="str">
        <f t="shared" si="116"/>
        <v>00:02:40.7 (164)</v>
      </c>
      <c r="Z30" s="53" t="str">
        <f t="shared" si="117"/>
        <v>DNS/DNF ()</v>
      </c>
      <c r="AA30" s="53" t="str">
        <f t="shared" si="118"/>
        <v>00:05:43.2 (100)</v>
      </c>
      <c r="AB30" s="53" t="str">
        <f t="shared" si="119"/>
        <v>DNS/DNF ()</v>
      </c>
      <c r="AC30" s="53" t="str">
        <f t="shared" si="120"/>
        <v>DNS/DNF ()</v>
      </c>
      <c r="AD30" s="53" t="str">
        <f t="shared" si="121"/>
        <v>DNS/DNF ()</v>
      </c>
      <c r="AE30" s="53">
        <v>0</v>
      </c>
      <c r="AF30" s="53">
        <v>0</v>
      </c>
      <c r="AG30" s="53">
        <v>37066600</v>
      </c>
      <c r="AH30" s="53">
        <v>37325711</v>
      </c>
      <c r="AI30" s="53">
        <v>32855691</v>
      </c>
      <c r="AJ30" s="53">
        <v>33016393</v>
      </c>
      <c r="AK30" s="53">
        <v>0</v>
      </c>
      <c r="AL30" s="53">
        <v>0</v>
      </c>
      <c r="AM30" s="53">
        <v>40242518</v>
      </c>
      <c r="AN30" s="53">
        <v>40585714</v>
      </c>
      <c r="AO30" s="53">
        <v>0</v>
      </c>
      <c r="AP30" s="53">
        <v>0</v>
      </c>
      <c r="AQ30" s="53">
        <v>0</v>
      </c>
      <c r="AR30" s="53">
        <v>0</v>
      </c>
      <c r="AS30" s="53">
        <v>0</v>
      </c>
      <c r="AT30" s="53">
        <v>0</v>
      </c>
      <c r="AU30" s="62" t="str">
        <f t="shared" si="122"/>
        <v>DNS/DNF</v>
      </c>
      <c r="AV30" s="62">
        <f t="shared" si="123"/>
        <v>2.9989699074074072E-3</v>
      </c>
      <c r="AW30" s="62">
        <f t="shared" si="124"/>
        <v>1.8599768518518518E-3</v>
      </c>
      <c r="AX30" s="62" t="str">
        <f t="shared" si="125"/>
        <v>DNS/DNF</v>
      </c>
      <c r="AY30" s="62">
        <f t="shared" si="126"/>
        <v>3.9721759259259259E-3</v>
      </c>
      <c r="AZ30" s="62" t="str">
        <f t="shared" si="127"/>
        <v>DNS/DNF</v>
      </c>
      <c r="BA30" s="62" t="str">
        <f t="shared" si="128"/>
        <v>DNS/DNF</v>
      </c>
      <c r="BB30" s="62" t="str">
        <f t="shared" si="129"/>
        <v>DNS/DNF</v>
      </c>
      <c r="BC30" s="75">
        <f t="shared" si="130"/>
        <v>126</v>
      </c>
      <c r="BD30" s="53">
        <f t="shared" si="131"/>
        <v>334513</v>
      </c>
      <c r="BE30" s="53">
        <f t="shared" si="132"/>
        <v>264618</v>
      </c>
      <c r="BF30" s="53">
        <f t="shared" si="133"/>
        <v>151868</v>
      </c>
      <c r="BG30" s="53">
        <f t="shared" si="134"/>
        <v>327787</v>
      </c>
      <c r="BH30" s="53">
        <f t="shared" si="135"/>
        <v>353420</v>
      </c>
      <c r="BI30" s="53" t="str">
        <f t="shared" si="136"/>
        <v/>
      </c>
      <c r="BJ30" s="53" t="str">
        <f t="shared" si="137"/>
        <v/>
      </c>
      <c r="BK30" s="53" t="str">
        <f t="shared" si="138"/>
        <v/>
      </c>
    </row>
    <row r="31" spans="1:63">
      <c r="A31" s="53">
        <v>139</v>
      </c>
      <c r="B31" s="89" t="str">
        <f>IFERROR(VLOOKUP($A31,EntryList!$A$3:$N$645,2,FALSE),"")</f>
        <v>Heinrich Vreken</v>
      </c>
      <c r="C31" s="74"/>
      <c r="D31" s="53">
        <f t="shared" si="105"/>
        <v>3</v>
      </c>
      <c r="E31" s="62"/>
      <c r="F31" s="62">
        <v>2.882418981481481E-3</v>
      </c>
      <c r="G31" s="62">
        <v>1.5881944444444444E-3</v>
      </c>
      <c r="H31" s="62"/>
      <c r="I31" s="62">
        <v>3.8472685185185185E-3</v>
      </c>
      <c r="J31" s="62"/>
      <c r="K31" s="62"/>
      <c r="L31" s="62"/>
      <c r="M31" s="62">
        <v>8.3178819444444437E-3</v>
      </c>
      <c r="N31" s="62">
        <f t="shared" si="106"/>
        <v>8.3178819444444437E-3</v>
      </c>
      <c r="O31" s="53" t="str">
        <f t="shared" si="107"/>
        <v/>
      </c>
      <c r="P31" s="53">
        <f t="shared" si="108"/>
        <v>91</v>
      </c>
      <c r="Q31" s="53">
        <f t="shared" si="109"/>
        <v>72</v>
      </c>
      <c r="R31" s="53" t="str">
        <f t="shared" si="110"/>
        <v/>
      </c>
      <c r="S31" s="53">
        <f t="shared" si="111"/>
        <v>75</v>
      </c>
      <c r="T31" s="53" t="str">
        <f t="shared" si="112"/>
        <v/>
      </c>
      <c r="U31" s="53" t="str">
        <f t="shared" si="113"/>
        <v/>
      </c>
      <c r="V31" s="53" t="str">
        <f t="shared" si="114"/>
        <v/>
      </c>
      <c r="W31" s="53" t="str">
        <f t="shared" si="139"/>
        <v>DNS/DNF ()</v>
      </c>
      <c r="X31" s="53" t="str">
        <f t="shared" si="115"/>
        <v>00:04:09.0 (91)</v>
      </c>
      <c r="Y31" s="53" t="str">
        <f t="shared" si="116"/>
        <v>00:02:17.2 (72)</v>
      </c>
      <c r="Z31" s="53" t="str">
        <f t="shared" si="117"/>
        <v>DNS/DNF ()</v>
      </c>
      <c r="AA31" s="53" t="str">
        <f t="shared" si="118"/>
        <v>00:05:32.4 (75)</v>
      </c>
      <c r="AB31" s="53" t="str">
        <f t="shared" si="119"/>
        <v>DNS/DNF ()</v>
      </c>
      <c r="AC31" s="53" t="str">
        <f t="shared" si="120"/>
        <v>DNS/DNF ()</v>
      </c>
      <c r="AD31" s="53" t="str">
        <f t="shared" si="121"/>
        <v>DNS/DNF ()</v>
      </c>
      <c r="AE31" s="53">
        <v>0</v>
      </c>
      <c r="AF31" s="53">
        <v>0</v>
      </c>
      <c r="AG31" s="53">
        <v>34075207</v>
      </c>
      <c r="AH31" s="53">
        <v>34324248</v>
      </c>
      <c r="AI31" s="53">
        <v>36932117</v>
      </c>
      <c r="AJ31" s="53">
        <v>37069337</v>
      </c>
      <c r="AK31" s="53">
        <v>0</v>
      </c>
      <c r="AL31" s="53">
        <v>0</v>
      </c>
      <c r="AM31" s="53">
        <v>40701102</v>
      </c>
      <c r="AN31" s="53">
        <v>41033506</v>
      </c>
      <c r="AO31" s="53">
        <v>0</v>
      </c>
      <c r="AP31" s="53">
        <v>0</v>
      </c>
      <c r="AQ31" s="53">
        <v>0</v>
      </c>
      <c r="AR31" s="53">
        <v>0</v>
      </c>
      <c r="AS31" s="53">
        <v>0</v>
      </c>
      <c r="AT31" s="53">
        <v>0</v>
      </c>
      <c r="AU31" s="62" t="str">
        <f t="shared" si="122"/>
        <v>DNS/DNF</v>
      </c>
      <c r="AV31" s="62">
        <f t="shared" si="123"/>
        <v>2.8824189814814815E-3</v>
      </c>
      <c r="AW31" s="62">
        <f t="shared" si="124"/>
        <v>1.5881944444444444E-3</v>
      </c>
      <c r="AX31" s="62" t="str">
        <f t="shared" si="125"/>
        <v>DNS/DNF</v>
      </c>
      <c r="AY31" s="62">
        <f t="shared" si="126"/>
        <v>3.8472685185185185E-3</v>
      </c>
      <c r="AZ31" s="62" t="str">
        <f t="shared" si="127"/>
        <v>DNS/DNF</v>
      </c>
      <c r="BA31" s="62" t="str">
        <f t="shared" si="128"/>
        <v>DNS/DNF</v>
      </c>
      <c r="BB31" s="62" t="str">
        <f t="shared" si="129"/>
        <v>DNS/DNF</v>
      </c>
      <c r="BC31" s="75">
        <f t="shared" si="130"/>
        <v>79</v>
      </c>
      <c r="BD31" s="53">
        <f t="shared" si="131"/>
        <v>254080</v>
      </c>
      <c r="BE31" s="53">
        <f t="shared" si="132"/>
        <v>244791</v>
      </c>
      <c r="BF31" s="53">
        <f t="shared" si="133"/>
        <v>139086</v>
      </c>
      <c r="BG31" s="53">
        <f t="shared" si="134"/>
        <v>280337</v>
      </c>
      <c r="BH31" s="53">
        <f t="shared" si="135"/>
        <v>333982</v>
      </c>
      <c r="BI31" s="53" t="str">
        <f t="shared" si="136"/>
        <v/>
      </c>
      <c r="BJ31" s="53" t="str">
        <f t="shared" si="137"/>
        <v/>
      </c>
      <c r="BK31" s="53" t="str">
        <f t="shared" si="138"/>
        <v/>
      </c>
    </row>
    <row r="32" spans="1:63">
      <c r="A32" s="53">
        <v>82</v>
      </c>
      <c r="B32" s="89" t="str">
        <f>IFERROR(VLOOKUP($A32,EntryList!$A$3:$N$645,2,FALSE),"")</f>
        <v>Michael Collins</v>
      </c>
      <c r="C32" s="74"/>
      <c r="D32" s="53">
        <f t="shared" si="105"/>
        <v>3</v>
      </c>
      <c r="E32" s="62"/>
      <c r="F32" s="62">
        <v>3.0738773148148144E-3</v>
      </c>
      <c r="G32" s="62">
        <v>1.9249421296296297E-3</v>
      </c>
      <c r="H32" s="62"/>
      <c r="I32" s="62">
        <v>3.9706597222222218E-3</v>
      </c>
      <c r="J32" s="62"/>
      <c r="K32" s="62"/>
      <c r="L32" s="62"/>
      <c r="M32" s="62">
        <v>8.9694791666666673E-3</v>
      </c>
      <c r="N32" s="62">
        <f t="shared" si="106"/>
        <v>8.9694791666666673E-3</v>
      </c>
      <c r="O32" s="53" t="str">
        <f t="shared" si="107"/>
        <v/>
      </c>
      <c r="P32" s="53">
        <f t="shared" si="108"/>
        <v>127</v>
      </c>
      <c r="Q32" s="53">
        <f t="shared" si="109"/>
        <v>188</v>
      </c>
      <c r="R32" s="53" t="str">
        <f t="shared" si="110"/>
        <v/>
      </c>
      <c r="S32" s="53">
        <f t="shared" si="111"/>
        <v>99</v>
      </c>
      <c r="T32" s="53" t="str">
        <f t="shared" si="112"/>
        <v/>
      </c>
      <c r="U32" s="53" t="str">
        <f t="shared" si="113"/>
        <v/>
      </c>
      <c r="V32" s="53" t="str">
        <f t="shared" si="114"/>
        <v/>
      </c>
      <c r="W32" s="53" t="str">
        <f t="shared" si="139"/>
        <v>DNS/DNF ()</v>
      </c>
      <c r="X32" s="53" t="str">
        <f t="shared" si="115"/>
        <v>00:04:25.6 (127)</v>
      </c>
      <c r="Y32" s="53" t="str">
        <f t="shared" si="116"/>
        <v>00:02:46.3 (188)</v>
      </c>
      <c r="Z32" s="53" t="str">
        <f t="shared" si="117"/>
        <v>DNS/DNF ()</v>
      </c>
      <c r="AA32" s="53" t="str">
        <f t="shared" si="118"/>
        <v>00:05:43.1 (99)</v>
      </c>
      <c r="AB32" s="53" t="str">
        <f t="shared" si="119"/>
        <v>DNS/DNF ()</v>
      </c>
      <c r="AC32" s="53" t="str">
        <f t="shared" si="120"/>
        <v>DNS/DNF ()</v>
      </c>
      <c r="AD32" s="53" t="str">
        <f t="shared" si="121"/>
        <v>DNS/DNF ()</v>
      </c>
      <c r="AE32" s="53">
        <v>0</v>
      </c>
      <c r="AF32" s="53">
        <v>0</v>
      </c>
      <c r="AG32" s="53">
        <v>34462999</v>
      </c>
      <c r="AH32" s="53">
        <v>34728582</v>
      </c>
      <c r="AI32" s="53">
        <v>37699526</v>
      </c>
      <c r="AJ32" s="53">
        <v>37865841</v>
      </c>
      <c r="AK32" s="53">
        <v>0</v>
      </c>
      <c r="AL32" s="53">
        <v>0</v>
      </c>
      <c r="AM32" s="53">
        <v>40815756</v>
      </c>
      <c r="AN32" s="53">
        <v>41158821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3">
        <v>0</v>
      </c>
      <c r="AU32" s="62" t="str">
        <f t="shared" si="122"/>
        <v>DNS/DNF</v>
      </c>
      <c r="AV32" s="62">
        <f t="shared" si="123"/>
        <v>3.0738773148148149E-3</v>
      </c>
      <c r="AW32" s="62">
        <f t="shared" si="124"/>
        <v>1.9249421296296295E-3</v>
      </c>
      <c r="AX32" s="62" t="str">
        <f t="shared" si="125"/>
        <v>DNS/DNF</v>
      </c>
      <c r="AY32" s="62">
        <f t="shared" si="126"/>
        <v>3.9706597222222226E-3</v>
      </c>
      <c r="AZ32" s="62" t="str">
        <f t="shared" si="127"/>
        <v>DNS/DNF</v>
      </c>
      <c r="BA32" s="62" t="str">
        <f t="shared" si="128"/>
        <v>DNS/DNF</v>
      </c>
      <c r="BB32" s="62" t="str">
        <f t="shared" si="129"/>
        <v>DNS/DNF</v>
      </c>
      <c r="BC32" s="75">
        <f t="shared" si="130"/>
        <v>138</v>
      </c>
      <c r="BD32" s="53">
        <f t="shared" si="131"/>
        <v>382402</v>
      </c>
      <c r="BE32" s="53">
        <f t="shared" si="132"/>
        <v>268699</v>
      </c>
      <c r="BF32" s="53" t="str">
        <f t="shared" si="133"/>
        <v/>
      </c>
      <c r="BG32" s="53">
        <f t="shared" si="134"/>
        <v>361039</v>
      </c>
      <c r="BH32" s="53">
        <f t="shared" si="135"/>
        <v>356949</v>
      </c>
      <c r="BI32" s="53" t="str">
        <f t="shared" si="136"/>
        <v/>
      </c>
      <c r="BJ32" s="53" t="str">
        <f t="shared" si="137"/>
        <v/>
      </c>
      <c r="BK32" s="53" t="str">
        <f t="shared" si="138"/>
        <v/>
      </c>
    </row>
    <row r="33" spans="1:63">
      <c r="A33" s="53">
        <v>183</v>
      </c>
      <c r="B33" s="89" t="str">
        <f>IFERROR(VLOOKUP($A33,EntryList!$A$3:$N$645,2,FALSE),"")</f>
        <v>Michael Sutton</v>
      </c>
      <c r="C33" s="74"/>
      <c r="D33" s="53">
        <f t="shared" si="105"/>
        <v>1</v>
      </c>
      <c r="E33" s="62"/>
      <c r="F33" s="62"/>
      <c r="G33" s="62">
        <v>1.7731018518518519E-3</v>
      </c>
      <c r="H33" s="62"/>
      <c r="I33" s="62"/>
      <c r="J33" s="62"/>
      <c r="K33" s="62"/>
      <c r="L33" s="62"/>
      <c r="M33" s="62">
        <v>1.7731018518518519E-3</v>
      </c>
      <c r="N33" s="62">
        <f t="shared" si="106"/>
        <v>1.7731018518518519E-3</v>
      </c>
      <c r="O33" s="53" t="str">
        <f t="shared" si="107"/>
        <v/>
      </c>
      <c r="P33" s="53" t="str">
        <f t="shared" si="108"/>
        <v/>
      </c>
      <c r="Q33" s="53">
        <f t="shared" si="109"/>
        <v>130</v>
      </c>
      <c r="R33" s="53" t="str">
        <f t="shared" si="110"/>
        <v/>
      </c>
      <c r="S33" s="53" t="str">
        <f t="shared" si="111"/>
        <v/>
      </c>
      <c r="T33" s="53" t="str">
        <f t="shared" si="112"/>
        <v/>
      </c>
      <c r="U33" s="53" t="str">
        <f t="shared" si="113"/>
        <v/>
      </c>
      <c r="V33" s="53" t="str">
        <f t="shared" si="114"/>
        <v/>
      </c>
      <c r="W33" s="53" t="str">
        <f t="shared" si="139"/>
        <v>DNS/DNF ()</v>
      </c>
      <c r="X33" s="53" t="str">
        <f t="shared" si="115"/>
        <v>DNS/DNF ()</v>
      </c>
      <c r="Y33" s="53" t="str">
        <f t="shared" si="116"/>
        <v>00:02:33.2 (130)</v>
      </c>
      <c r="Z33" s="53" t="str">
        <f t="shared" si="117"/>
        <v>DNS/DNF ()</v>
      </c>
      <c r="AA33" s="53" t="str">
        <f t="shared" si="118"/>
        <v>DNS/DNF ()</v>
      </c>
      <c r="AB33" s="53" t="str">
        <f t="shared" si="119"/>
        <v>DNS/DNF ()</v>
      </c>
      <c r="AC33" s="53" t="str">
        <f t="shared" si="120"/>
        <v>DNS/DNF ()</v>
      </c>
      <c r="AD33" s="53" t="str">
        <f t="shared" si="121"/>
        <v>DNS/DNF ()</v>
      </c>
      <c r="AE33" s="53">
        <v>0</v>
      </c>
      <c r="AF33" s="53">
        <v>0</v>
      </c>
      <c r="AG33" s="53">
        <v>37033938</v>
      </c>
      <c r="AH33" s="53">
        <v>0</v>
      </c>
      <c r="AI33" s="53">
        <v>32851909</v>
      </c>
      <c r="AJ33" s="53">
        <v>33005105</v>
      </c>
      <c r="AK33" s="53">
        <v>0</v>
      </c>
      <c r="AL33" s="53">
        <v>0</v>
      </c>
      <c r="AM33" s="53">
        <v>0</v>
      </c>
      <c r="AN33" s="53">
        <v>0</v>
      </c>
      <c r="AO33" s="53">
        <v>0</v>
      </c>
      <c r="AP33" s="53">
        <v>0</v>
      </c>
      <c r="AQ33" s="53">
        <v>0</v>
      </c>
      <c r="AR33" s="53">
        <v>0</v>
      </c>
      <c r="AS33" s="53">
        <v>0</v>
      </c>
      <c r="AT33" s="53">
        <v>0</v>
      </c>
      <c r="AU33" s="62" t="str">
        <f t="shared" si="122"/>
        <v>DNS/DNF</v>
      </c>
      <c r="AV33" s="62" t="str">
        <f t="shared" si="123"/>
        <v>DNS/DNF</v>
      </c>
      <c r="AW33" s="62">
        <f t="shared" si="124"/>
        <v>1.7731018518518519E-3</v>
      </c>
      <c r="AX33" s="62" t="str">
        <f t="shared" si="125"/>
        <v>DNS/DNF</v>
      </c>
      <c r="AY33" s="62" t="str">
        <f t="shared" si="126"/>
        <v>DNS/DNF</v>
      </c>
      <c r="AZ33" s="62" t="str">
        <f t="shared" si="127"/>
        <v>DNS/DNF</v>
      </c>
      <c r="BA33" s="62" t="str">
        <f t="shared" si="128"/>
        <v>DNS/DNF</v>
      </c>
      <c r="BB33" s="62" t="str">
        <f t="shared" si="129"/>
        <v>DNS/DNF</v>
      </c>
      <c r="BC33" s="75">
        <f t="shared" si="130"/>
        <v>130</v>
      </c>
      <c r="BD33" s="53">
        <f t="shared" si="131"/>
        <v>340636</v>
      </c>
      <c r="BE33" s="53">
        <f t="shared" si="132"/>
        <v>266153</v>
      </c>
      <c r="BF33" s="53">
        <f t="shared" si="133"/>
        <v>153196</v>
      </c>
      <c r="BG33" s="53">
        <f t="shared" si="134"/>
        <v>333270</v>
      </c>
      <c r="BH33" s="53">
        <f t="shared" si="135"/>
        <v>353892</v>
      </c>
      <c r="BI33" s="53" t="str">
        <f t="shared" si="136"/>
        <v/>
      </c>
      <c r="BJ33" s="53" t="str">
        <f t="shared" si="137"/>
        <v/>
      </c>
      <c r="BK33" s="53" t="str">
        <f t="shared" si="138"/>
        <v/>
      </c>
    </row>
    <row r="34" spans="1:63" ht="13.5" customHeight="1">
      <c r="A34" s="53">
        <v>7</v>
      </c>
      <c r="B34" s="89" t="str">
        <f>IFERROR(VLOOKUP($A34,EntryList!$A$3:$N$645,2,FALSE),"")</f>
        <v>Stéphen Du Toit</v>
      </c>
      <c r="C34" s="74"/>
      <c r="D34" s="53">
        <f t="shared" si="105"/>
        <v>3</v>
      </c>
      <c r="E34" s="62"/>
      <c r="F34" s="62">
        <v>3.1658449074074076E-3</v>
      </c>
      <c r="G34" s="62">
        <v>1.8553356481481478E-3</v>
      </c>
      <c r="H34" s="62"/>
      <c r="I34" s="62">
        <v>4.1609027777777781E-3</v>
      </c>
      <c r="J34" s="62"/>
      <c r="K34" s="62"/>
      <c r="L34" s="62"/>
      <c r="M34" s="62">
        <v>9.1820833333333338E-3</v>
      </c>
      <c r="N34" s="62">
        <f t="shared" si="106"/>
        <v>9.1820833333333338E-3</v>
      </c>
      <c r="O34" s="53" t="str">
        <f t="shared" si="107"/>
        <v/>
      </c>
      <c r="P34" s="53">
        <f t="shared" si="108"/>
        <v>155</v>
      </c>
      <c r="Q34" s="53">
        <f t="shared" si="109"/>
        <v>160</v>
      </c>
      <c r="R34" s="53" t="str">
        <f t="shared" si="110"/>
        <v/>
      </c>
      <c r="S34" s="53">
        <f t="shared" si="111"/>
        <v>145</v>
      </c>
      <c r="T34" s="53" t="str">
        <f t="shared" si="112"/>
        <v/>
      </c>
      <c r="U34" s="53" t="str">
        <f t="shared" si="113"/>
        <v/>
      </c>
      <c r="V34" s="53" t="str">
        <f t="shared" si="114"/>
        <v/>
      </c>
      <c r="W34" s="53" t="str">
        <f t="shared" si="139"/>
        <v>DNS/DNF ()</v>
      </c>
      <c r="X34" s="53" t="str">
        <f t="shared" si="115"/>
        <v>00:04:33.5 (155)</v>
      </c>
      <c r="Y34" s="53" t="str">
        <f t="shared" si="116"/>
        <v>00:02:40.3 (160)</v>
      </c>
      <c r="Z34" s="53" t="str">
        <f t="shared" si="117"/>
        <v>DNS/DNF ()</v>
      </c>
      <c r="AA34" s="53" t="str">
        <f t="shared" si="118"/>
        <v>00:05:59.5 (145)</v>
      </c>
      <c r="AB34" s="53" t="str">
        <f t="shared" si="119"/>
        <v>DNS/DNF ()</v>
      </c>
      <c r="AC34" s="53" t="str">
        <f t="shared" si="120"/>
        <v>DNS/DNF ()</v>
      </c>
      <c r="AD34" s="53" t="str">
        <f t="shared" si="121"/>
        <v>DNS/DNF ()</v>
      </c>
      <c r="AE34" s="53">
        <v>0</v>
      </c>
      <c r="AF34" s="53">
        <v>0</v>
      </c>
      <c r="AG34" s="53">
        <v>34017928</v>
      </c>
      <c r="AH34" s="53">
        <v>34291457</v>
      </c>
      <c r="AI34" s="53">
        <v>36878354</v>
      </c>
      <c r="AJ34" s="53">
        <v>37038655</v>
      </c>
      <c r="AK34" s="53">
        <v>0</v>
      </c>
      <c r="AL34" s="53">
        <v>0</v>
      </c>
      <c r="AM34" s="53">
        <v>40735260</v>
      </c>
      <c r="AN34" s="53">
        <v>41094762</v>
      </c>
      <c r="AO34" s="53">
        <v>0</v>
      </c>
      <c r="AP34" s="53">
        <v>0</v>
      </c>
      <c r="AQ34" s="53">
        <v>0</v>
      </c>
      <c r="AR34" s="53">
        <v>0</v>
      </c>
      <c r="AS34" s="53">
        <v>0</v>
      </c>
      <c r="AT34" s="53">
        <v>0</v>
      </c>
      <c r="AU34" s="62" t="str">
        <f t="shared" si="122"/>
        <v>DNS/DNF</v>
      </c>
      <c r="AV34" s="62">
        <f t="shared" si="123"/>
        <v>3.1658449074074076E-3</v>
      </c>
      <c r="AW34" s="62">
        <f t="shared" si="124"/>
        <v>1.8553356481481481E-3</v>
      </c>
      <c r="AX34" s="62" t="str">
        <f t="shared" si="125"/>
        <v>DNS/DNF</v>
      </c>
      <c r="AY34" s="62">
        <f t="shared" si="126"/>
        <v>4.1609027777777781E-3</v>
      </c>
      <c r="AZ34" s="62" t="str">
        <f t="shared" si="127"/>
        <v>DNS/DNF</v>
      </c>
      <c r="BA34" s="62" t="str">
        <f t="shared" si="128"/>
        <v>DNS/DNF</v>
      </c>
      <c r="BB34" s="62" t="str">
        <f t="shared" si="129"/>
        <v>DNS/DNF</v>
      </c>
      <c r="BC34" s="75">
        <f t="shared" si="130"/>
        <v>153</v>
      </c>
      <c r="BD34" s="53" t="str">
        <f t="shared" si="131"/>
        <v/>
      </c>
      <c r="BE34" s="53">
        <f t="shared" si="132"/>
        <v>273206</v>
      </c>
      <c r="BF34" s="53">
        <f t="shared" si="133"/>
        <v>159462</v>
      </c>
      <c r="BG34" s="53" t="str">
        <f t="shared" si="134"/>
        <v/>
      </c>
      <c r="BH34" s="53">
        <f t="shared" si="135"/>
        <v>362397.99999999994</v>
      </c>
      <c r="BI34" s="53" t="str">
        <f t="shared" si="136"/>
        <v/>
      </c>
      <c r="BJ34" s="53" t="str">
        <f t="shared" si="137"/>
        <v/>
      </c>
      <c r="BK34" s="53" t="str">
        <f t="shared" si="138"/>
        <v/>
      </c>
    </row>
    <row r="35" spans="1:63">
      <c r="A35" s="53">
        <v>255</v>
      </c>
      <c r="B35" s="89" t="str">
        <f>IFERROR(VLOOKUP($A35,EntryList!$A$3:$N$645,2,FALSE),"")</f>
        <v>Jadon Hunter</v>
      </c>
      <c r="C35" s="74"/>
      <c r="D35" s="53">
        <f t="shared" si="105"/>
        <v>3</v>
      </c>
      <c r="E35" s="62"/>
      <c r="F35" s="62">
        <v>3.1621064814814815E-3</v>
      </c>
      <c r="G35" s="62">
        <v>1.7869097222222221E-3</v>
      </c>
      <c r="H35" s="62"/>
      <c r="I35" s="62">
        <v>4.1803935185185182E-3</v>
      </c>
      <c r="J35" s="62"/>
      <c r="K35" s="62"/>
      <c r="L35" s="62"/>
      <c r="M35" s="62">
        <v>9.1294097222222228E-3</v>
      </c>
      <c r="N35" s="62">
        <f t="shared" si="106"/>
        <v>9.1294097222222211E-3</v>
      </c>
      <c r="O35" s="53" t="str">
        <f t="shared" si="107"/>
        <v/>
      </c>
      <c r="P35" s="53">
        <f t="shared" si="108"/>
        <v>153</v>
      </c>
      <c r="Q35" s="53">
        <f t="shared" si="109"/>
        <v>136</v>
      </c>
      <c r="R35" s="53" t="str">
        <f t="shared" si="110"/>
        <v/>
      </c>
      <c r="S35" s="53">
        <f t="shared" si="111"/>
        <v>152</v>
      </c>
      <c r="T35" s="53" t="str">
        <f t="shared" si="112"/>
        <v/>
      </c>
      <c r="U35" s="53" t="str">
        <f t="shared" si="113"/>
        <v/>
      </c>
      <c r="V35" s="53" t="str">
        <f t="shared" si="114"/>
        <v/>
      </c>
      <c r="W35" s="53" t="str">
        <f t="shared" si="139"/>
        <v>DNS/DNF ()</v>
      </c>
      <c r="X35" s="53" t="str">
        <f t="shared" si="115"/>
        <v>00:04:33.2 (153)</v>
      </c>
      <c r="Y35" s="53" t="str">
        <f t="shared" si="116"/>
        <v>00:02:34.4 (136)</v>
      </c>
      <c r="Z35" s="53" t="str">
        <f t="shared" si="117"/>
        <v>DNS/DNF ()</v>
      </c>
      <c r="AA35" s="53" t="str">
        <f t="shared" si="118"/>
        <v>00:06:01.2 (152)</v>
      </c>
      <c r="AB35" s="53" t="str">
        <f t="shared" si="119"/>
        <v>DNS/DNF ()</v>
      </c>
      <c r="AC35" s="53" t="str">
        <f t="shared" si="120"/>
        <v>DNS/DNF ()</v>
      </c>
      <c r="AD35" s="53" t="str">
        <f t="shared" si="121"/>
        <v>DNS/DNF ()</v>
      </c>
      <c r="AE35" s="53">
        <v>0</v>
      </c>
      <c r="AF35" s="53">
        <v>0</v>
      </c>
      <c r="AG35" s="53">
        <v>34295114</v>
      </c>
      <c r="AH35" s="53">
        <v>34568320</v>
      </c>
      <c r="AI35" s="53">
        <v>37264300</v>
      </c>
      <c r="AJ35" s="53">
        <v>37418689</v>
      </c>
      <c r="AK35" s="53">
        <v>0</v>
      </c>
      <c r="AL35" s="53">
        <v>0</v>
      </c>
      <c r="AM35" s="53">
        <v>39982612</v>
      </c>
      <c r="AN35" s="53">
        <v>40343798</v>
      </c>
      <c r="AO35" s="53">
        <v>0</v>
      </c>
      <c r="AP35" s="53">
        <v>0</v>
      </c>
      <c r="AQ35" s="53">
        <v>0</v>
      </c>
      <c r="AR35" s="53">
        <v>0</v>
      </c>
      <c r="AS35" s="53">
        <v>0</v>
      </c>
      <c r="AT35" s="53">
        <v>0</v>
      </c>
      <c r="AU35" s="62" t="str">
        <f t="shared" si="122"/>
        <v>DNS/DNF</v>
      </c>
      <c r="AV35" s="62">
        <f t="shared" si="123"/>
        <v>3.1621064814814815E-3</v>
      </c>
      <c r="AW35" s="62">
        <f t="shared" si="124"/>
        <v>1.7869097222222223E-3</v>
      </c>
      <c r="AX35" s="62" t="str">
        <f t="shared" si="125"/>
        <v>DNS/DNF</v>
      </c>
      <c r="AY35" s="62">
        <f t="shared" si="126"/>
        <v>4.1803935185185182E-3</v>
      </c>
      <c r="AZ35" s="62" t="str">
        <f t="shared" si="127"/>
        <v>DNS/DNF</v>
      </c>
      <c r="BA35" s="62" t="str">
        <f t="shared" si="128"/>
        <v>DNS/DNF</v>
      </c>
      <c r="BB35" s="62" t="str">
        <f t="shared" si="129"/>
        <v>DNS/DNF</v>
      </c>
      <c r="BC35" s="75">
        <f t="shared" si="130"/>
        <v>147</v>
      </c>
      <c r="BD35" s="53">
        <f t="shared" si="131"/>
        <v>480676</v>
      </c>
      <c r="BE35" s="53">
        <f t="shared" si="132"/>
        <v>271801</v>
      </c>
      <c r="BF35" s="53">
        <f t="shared" si="133"/>
        <v>158223</v>
      </c>
      <c r="BG35" s="53">
        <f t="shared" si="134"/>
        <v>1675411</v>
      </c>
      <c r="BH35" s="53">
        <f t="shared" si="135"/>
        <v>359657</v>
      </c>
      <c r="BI35" s="53" t="str">
        <f t="shared" si="136"/>
        <v/>
      </c>
      <c r="BJ35" s="53" t="str">
        <f t="shared" si="137"/>
        <v/>
      </c>
      <c r="BK35" s="53" t="str">
        <f t="shared" si="138"/>
        <v/>
      </c>
    </row>
    <row r="36" spans="1:63">
      <c r="A36" s="53">
        <v>254</v>
      </c>
      <c r="B36" s="89" t="str">
        <f>IFERROR(VLOOKUP($A36,EntryList!$A$3:$N$645,2,FALSE),"")</f>
        <v>Andrew Hunter</v>
      </c>
      <c r="C36" s="74"/>
      <c r="D36" s="53">
        <f t="shared" si="105"/>
        <v>3</v>
      </c>
      <c r="E36" s="62"/>
      <c r="F36" s="62">
        <v>3.3448611111111114E-3</v>
      </c>
      <c r="G36" s="62">
        <v>1.9819097222222221E-3</v>
      </c>
      <c r="H36" s="62"/>
      <c r="I36" s="62">
        <v>4.3294212962962956E-3</v>
      </c>
      <c r="J36" s="62"/>
      <c r="K36" s="62"/>
      <c r="L36" s="62"/>
      <c r="M36" s="62">
        <v>9.6561921296296292E-3</v>
      </c>
      <c r="N36" s="62">
        <f t="shared" si="106"/>
        <v>9.6561921296296292E-3</v>
      </c>
      <c r="O36" s="53" t="str">
        <f t="shared" si="107"/>
        <v/>
      </c>
      <c r="P36" s="53">
        <f t="shared" si="108"/>
        <v>197</v>
      </c>
      <c r="Q36" s="53">
        <f t="shared" si="109"/>
        <v>198</v>
      </c>
      <c r="R36" s="53" t="str">
        <f t="shared" si="110"/>
        <v/>
      </c>
      <c r="S36" s="53">
        <f t="shared" si="111"/>
        <v>177</v>
      </c>
      <c r="T36" s="53" t="str">
        <f t="shared" si="112"/>
        <v/>
      </c>
      <c r="U36" s="53" t="str">
        <f t="shared" si="113"/>
        <v/>
      </c>
      <c r="V36" s="53" t="str">
        <f t="shared" si="114"/>
        <v/>
      </c>
      <c r="W36" s="53" t="str">
        <f t="shared" si="139"/>
        <v>DNS/DNF ()</v>
      </c>
      <c r="X36" s="53" t="str">
        <f t="shared" si="115"/>
        <v>00:04:49.0 (197)</v>
      </c>
      <c r="Y36" s="53" t="str">
        <f t="shared" si="116"/>
        <v>00:02:51.2 (198)</v>
      </c>
      <c r="Z36" s="53" t="str">
        <f t="shared" si="117"/>
        <v>DNS/DNF ()</v>
      </c>
      <c r="AA36" s="53" t="str">
        <f t="shared" si="118"/>
        <v>00:06:14.1 (177)</v>
      </c>
      <c r="AB36" s="53" t="str">
        <f t="shared" si="119"/>
        <v>DNS/DNF ()</v>
      </c>
      <c r="AC36" s="53" t="str">
        <f t="shared" si="120"/>
        <v>DNS/DNF ()</v>
      </c>
      <c r="AD36" s="53" t="str">
        <f t="shared" si="121"/>
        <v>DNS/DNF ()</v>
      </c>
      <c r="AE36" s="53">
        <v>0</v>
      </c>
      <c r="AF36" s="53">
        <v>0</v>
      </c>
      <c r="AG36" s="53">
        <v>34310513</v>
      </c>
      <c r="AH36" s="53">
        <v>34599509</v>
      </c>
      <c r="AI36" s="53">
        <v>37273592</v>
      </c>
      <c r="AJ36" s="53">
        <v>37444829</v>
      </c>
      <c r="AK36" s="53">
        <v>0</v>
      </c>
      <c r="AL36" s="53">
        <v>0</v>
      </c>
      <c r="AM36" s="53">
        <v>39989130</v>
      </c>
      <c r="AN36" s="53">
        <v>40363192</v>
      </c>
      <c r="AO36" s="53">
        <v>0</v>
      </c>
      <c r="AP36" s="53">
        <v>0</v>
      </c>
      <c r="AQ36" s="53">
        <v>0</v>
      </c>
      <c r="AR36" s="53">
        <v>0</v>
      </c>
      <c r="AS36" s="53">
        <v>0</v>
      </c>
      <c r="AT36" s="53">
        <v>0</v>
      </c>
      <c r="AU36" s="62" t="str">
        <f t="shared" si="122"/>
        <v>DNS/DNF</v>
      </c>
      <c r="AV36" s="62">
        <f t="shared" si="123"/>
        <v>3.344861111111111E-3</v>
      </c>
      <c r="AW36" s="62">
        <f t="shared" si="124"/>
        <v>1.9819097222222221E-3</v>
      </c>
      <c r="AX36" s="62" t="str">
        <f t="shared" si="125"/>
        <v>DNS/DNF</v>
      </c>
      <c r="AY36" s="62">
        <f t="shared" si="126"/>
        <v>4.3294212962962965E-3</v>
      </c>
      <c r="AZ36" s="62" t="str">
        <f t="shared" si="127"/>
        <v>DNS/DNF</v>
      </c>
      <c r="BA36" s="62" t="str">
        <f t="shared" si="128"/>
        <v>DNS/DNF</v>
      </c>
      <c r="BB36" s="62" t="str">
        <f t="shared" si="129"/>
        <v>DNS/DNF</v>
      </c>
      <c r="BC36" s="75">
        <f t="shared" si="130"/>
        <v>191</v>
      </c>
      <c r="BD36" s="53" t="str">
        <f t="shared" si="131"/>
        <v/>
      </c>
      <c r="BE36" s="53">
        <f t="shared" si="132"/>
        <v>284497</v>
      </c>
      <c r="BF36" s="53">
        <f t="shared" si="133"/>
        <v>168567</v>
      </c>
      <c r="BG36" s="53" t="str">
        <f t="shared" si="134"/>
        <v/>
      </c>
      <c r="BH36" s="53">
        <f t="shared" si="135"/>
        <v>385800</v>
      </c>
      <c r="BI36" s="53" t="str">
        <f t="shared" si="136"/>
        <v/>
      </c>
      <c r="BJ36" s="53" t="str">
        <f t="shared" si="137"/>
        <v/>
      </c>
      <c r="BK36" s="53" t="str">
        <f t="shared" si="138"/>
        <v/>
      </c>
    </row>
    <row r="37" spans="1:63">
      <c r="A37" s="53">
        <v>152</v>
      </c>
      <c r="B37" s="89" t="str">
        <f>IFERROR(VLOOKUP($A37,EntryList!$A$3:$N$645,2,FALSE),"")</f>
        <v>Grant Hulley</v>
      </c>
      <c r="C37" s="74"/>
      <c r="D37" s="53">
        <f t="shared" si="105"/>
        <v>5</v>
      </c>
      <c r="E37" s="62">
        <v>2.5657523148148145E-3</v>
      </c>
      <c r="F37" s="62">
        <v>2.6323842592592597E-3</v>
      </c>
      <c r="G37" s="62">
        <v>1.5707060185185188E-3</v>
      </c>
      <c r="H37" s="62">
        <v>2.8946759259259255E-3</v>
      </c>
      <c r="I37" s="62">
        <v>3.5689930555555557E-3</v>
      </c>
      <c r="J37" s="62"/>
      <c r="K37" s="62"/>
      <c r="L37" s="62"/>
      <c r="M37" s="62">
        <v>1.3232511574074075E-2</v>
      </c>
      <c r="N37" s="62">
        <f t="shared" si="106"/>
        <v>1.3232511574074074E-2</v>
      </c>
      <c r="O37" s="53">
        <f t="shared" si="107"/>
        <v>40</v>
      </c>
      <c r="P37" s="53">
        <f t="shared" si="108"/>
        <v>31</v>
      </c>
      <c r="Q37" s="53">
        <f t="shared" si="109"/>
        <v>67</v>
      </c>
      <c r="R37" s="53">
        <f t="shared" si="110"/>
        <v>30</v>
      </c>
      <c r="S37" s="53">
        <f t="shared" si="111"/>
        <v>29</v>
      </c>
      <c r="T37" s="53" t="str">
        <f t="shared" si="112"/>
        <v/>
      </c>
      <c r="U37" s="53" t="str">
        <f t="shared" si="113"/>
        <v/>
      </c>
      <c r="V37" s="53" t="str">
        <f t="shared" si="114"/>
        <v/>
      </c>
      <c r="W37" s="53" t="str">
        <f t="shared" si="139"/>
        <v>00:03:41.7 (40)</v>
      </c>
      <c r="X37" s="53" t="str">
        <f t="shared" si="115"/>
        <v>00:03:47.4 (31)</v>
      </c>
      <c r="Y37" s="53" t="str">
        <f t="shared" si="116"/>
        <v>00:02:15.7 (67)</v>
      </c>
      <c r="Z37" s="53" t="str">
        <f t="shared" si="117"/>
        <v>00:04:10.1 (30)</v>
      </c>
      <c r="AA37" s="53" t="str">
        <f t="shared" si="118"/>
        <v>00:05:08.4 (29)</v>
      </c>
      <c r="AB37" s="53" t="str">
        <f t="shared" si="119"/>
        <v>DNS/DNF ()</v>
      </c>
      <c r="AC37" s="53" t="str">
        <f t="shared" si="120"/>
        <v>DNS/DNF ()</v>
      </c>
      <c r="AD37" s="53" t="str">
        <f t="shared" si="121"/>
        <v>DNS/DNF ()</v>
      </c>
      <c r="AE37" s="53">
        <v>35778702</v>
      </c>
      <c r="AF37" s="53">
        <v>36000383</v>
      </c>
      <c r="AG37" s="53">
        <v>30804702</v>
      </c>
      <c r="AH37" s="53">
        <v>31032140</v>
      </c>
      <c r="AI37" s="53">
        <v>33396129</v>
      </c>
      <c r="AJ37" s="53">
        <v>33531838</v>
      </c>
      <c r="AK37" s="53">
        <v>39484704</v>
      </c>
      <c r="AL37" s="53">
        <v>39734804</v>
      </c>
      <c r="AM37" s="53">
        <v>41044260</v>
      </c>
      <c r="AN37" s="53">
        <v>41352621</v>
      </c>
      <c r="AO37" s="53">
        <v>0</v>
      </c>
      <c r="AP37" s="53">
        <v>0</v>
      </c>
      <c r="AQ37" s="53">
        <v>0</v>
      </c>
      <c r="AR37" s="53">
        <v>0</v>
      </c>
      <c r="AS37" s="53">
        <v>0</v>
      </c>
      <c r="AT37" s="53">
        <v>0</v>
      </c>
      <c r="AU37" s="62">
        <f t="shared" si="122"/>
        <v>2.565752314814815E-3</v>
      </c>
      <c r="AV37" s="62">
        <f t="shared" si="123"/>
        <v>2.6323842592592592E-3</v>
      </c>
      <c r="AW37" s="62">
        <f t="shared" si="124"/>
        <v>1.5707060185185186E-3</v>
      </c>
      <c r="AX37" s="62">
        <f t="shared" si="125"/>
        <v>2.894675925925926E-3</v>
      </c>
      <c r="AY37" s="62">
        <f t="shared" si="126"/>
        <v>3.5689930555555557E-3</v>
      </c>
      <c r="AZ37" s="62" t="str">
        <f t="shared" si="127"/>
        <v>DNS/DNF</v>
      </c>
      <c r="BA37" s="62" t="str">
        <f t="shared" si="128"/>
        <v>DNS/DNF</v>
      </c>
      <c r="BB37" s="62" t="str">
        <f t="shared" si="129"/>
        <v>DNS/DNF</v>
      </c>
      <c r="BC37" s="75">
        <f t="shared" si="130"/>
        <v>39</v>
      </c>
      <c r="BD37" s="53">
        <f t="shared" si="131"/>
        <v>220374</v>
      </c>
      <c r="BE37" s="53">
        <f t="shared" si="132"/>
        <v>230621.99999999997</v>
      </c>
      <c r="BF37" s="53">
        <f t="shared" si="133"/>
        <v>128737</v>
      </c>
      <c r="BG37" s="53">
        <f t="shared" si="134"/>
        <v>255968</v>
      </c>
      <c r="BH37" s="53">
        <f t="shared" si="135"/>
        <v>311759</v>
      </c>
      <c r="BI37" s="53" t="str">
        <f t="shared" si="136"/>
        <v/>
      </c>
      <c r="BJ37" s="53" t="str">
        <f t="shared" si="137"/>
        <v/>
      </c>
      <c r="BK37" s="53" t="str">
        <f t="shared" si="138"/>
        <v/>
      </c>
    </row>
    <row r="38" spans="1:63">
      <c r="A38" s="53">
        <v>87</v>
      </c>
      <c r="B38" s="89" t="str">
        <f>IFERROR(VLOOKUP($A38,EntryList!$A$3:$N$645,2,FALSE),"")</f>
        <v>Schalk Duvenage</v>
      </c>
      <c r="C38" s="74"/>
      <c r="D38" s="53">
        <f t="shared" si="105"/>
        <v>3</v>
      </c>
      <c r="E38" s="62"/>
      <c r="F38" s="62">
        <v>3.627060185185185E-3</v>
      </c>
      <c r="G38" s="62">
        <v>2.0320023148148146E-3</v>
      </c>
      <c r="H38" s="62"/>
      <c r="I38" s="62">
        <v>4.5621296296296304E-3</v>
      </c>
      <c r="J38" s="62"/>
      <c r="K38" s="62"/>
      <c r="L38" s="62"/>
      <c r="M38" s="62">
        <v>1.0221192129629629E-2</v>
      </c>
      <c r="N38" s="62">
        <f t="shared" si="106"/>
        <v>1.0221192129629629E-2</v>
      </c>
      <c r="O38" s="53" t="str">
        <f t="shared" si="107"/>
        <v/>
      </c>
      <c r="P38" s="53">
        <f t="shared" si="108"/>
        <v>223</v>
      </c>
      <c r="Q38" s="53">
        <f t="shared" si="109"/>
        <v>209</v>
      </c>
      <c r="R38" s="53" t="str">
        <f t="shared" si="110"/>
        <v/>
      </c>
      <c r="S38" s="53">
        <f t="shared" si="111"/>
        <v>203</v>
      </c>
      <c r="T38" s="53" t="str">
        <f t="shared" si="112"/>
        <v/>
      </c>
      <c r="U38" s="53" t="str">
        <f t="shared" si="113"/>
        <v/>
      </c>
      <c r="V38" s="53" t="str">
        <f t="shared" si="114"/>
        <v/>
      </c>
      <c r="W38" s="53" t="str">
        <f t="shared" si="139"/>
        <v>DNS/DNF ()</v>
      </c>
      <c r="X38" s="53" t="str">
        <f t="shared" si="115"/>
        <v>00:05:13.4 (223)</v>
      </c>
      <c r="Y38" s="53" t="str">
        <f t="shared" si="116"/>
        <v>00:02:55.6 (209)</v>
      </c>
      <c r="Z38" s="53" t="str">
        <f t="shared" si="117"/>
        <v>DNS/DNF ()</v>
      </c>
      <c r="AA38" s="53" t="str">
        <f t="shared" si="118"/>
        <v>00:06:34.2 (203)</v>
      </c>
      <c r="AB38" s="53" t="str">
        <f t="shared" si="119"/>
        <v>DNS/DNF ()</v>
      </c>
      <c r="AC38" s="53" t="str">
        <f t="shared" si="120"/>
        <v>DNS/DNF ()</v>
      </c>
      <c r="AD38" s="53" t="str">
        <f t="shared" si="121"/>
        <v>DNS/DNF ()</v>
      </c>
      <c r="AE38" s="53">
        <v>0</v>
      </c>
      <c r="AF38" s="53">
        <v>0</v>
      </c>
      <c r="AG38" s="53">
        <v>34566027</v>
      </c>
      <c r="AH38" s="53">
        <v>34879405</v>
      </c>
      <c r="AI38" s="53">
        <v>37359384</v>
      </c>
      <c r="AJ38" s="53">
        <v>37534949</v>
      </c>
      <c r="AK38" s="53">
        <v>0</v>
      </c>
      <c r="AL38" s="53">
        <v>0</v>
      </c>
      <c r="AM38" s="53">
        <v>40079642</v>
      </c>
      <c r="AN38" s="53">
        <v>40473810</v>
      </c>
      <c r="AO38" s="53">
        <v>0</v>
      </c>
      <c r="AP38" s="53">
        <v>0</v>
      </c>
      <c r="AQ38" s="53">
        <v>0</v>
      </c>
      <c r="AR38" s="53">
        <v>0</v>
      </c>
      <c r="AS38" s="53">
        <v>0</v>
      </c>
      <c r="AT38" s="53">
        <v>0</v>
      </c>
      <c r="AU38" s="62" t="str">
        <f t="shared" si="122"/>
        <v>DNS/DNF</v>
      </c>
      <c r="AV38" s="62">
        <f t="shared" si="123"/>
        <v>3.627060185185185E-3</v>
      </c>
      <c r="AW38" s="62">
        <f t="shared" si="124"/>
        <v>2.0320023148148146E-3</v>
      </c>
      <c r="AX38" s="62" t="str">
        <f t="shared" si="125"/>
        <v>DNS/DNF</v>
      </c>
      <c r="AY38" s="62">
        <f t="shared" si="126"/>
        <v>4.5621296296296295E-3</v>
      </c>
      <c r="AZ38" s="62" t="str">
        <f t="shared" si="127"/>
        <v>DNS/DNF</v>
      </c>
      <c r="BA38" s="62" t="str">
        <f t="shared" si="128"/>
        <v>DNS/DNF</v>
      </c>
      <c r="BB38" s="62" t="str">
        <f t="shared" si="129"/>
        <v>DNS/DNF</v>
      </c>
      <c r="BC38" s="75">
        <f t="shared" si="130"/>
        <v>212</v>
      </c>
      <c r="BD38" s="53" t="str">
        <f t="shared" si="131"/>
        <v/>
      </c>
      <c r="BE38" s="53">
        <f t="shared" si="132"/>
        <v>299843</v>
      </c>
      <c r="BF38" s="53">
        <f t="shared" si="133"/>
        <v>176051.00000000003</v>
      </c>
      <c r="BG38" s="53" t="str">
        <f t="shared" si="134"/>
        <v/>
      </c>
      <c r="BH38" s="53">
        <f t="shared" si="135"/>
        <v>401811</v>
      </c>
      <c r="BI38" s="53" t="str">
        <f t="shared" si="136"/>
        <v/>
      </c>
      <c r="BJ38" s="53" t="str">
        <f t="shared" si="137"/>
        <v/>
      </c>
      <c r="BK38" s="53" t="str">
        <f t="shared" si="138"/>
        <v/>
      </c>
    </row>
    <row r="39" spans="1:63">
      <c r="A39" s="53">
        <v>261</v>
      </c>
      <c r="B39" s="89" t="str">
        <f>IFERROR(VLOOKUP($A39,EntryList!$A$3:$N$645,2,FALSE),"")</f>
        <v>Gina Nixon</v>
      </c>
      <c r="C39" s="74"/>
      <c r="D39" s="53">
        <f t="shared" si="105"/>
        <v>5</v>
      </c>
      <c r="E39" s="62">
        <v>3.2560763888888886E-3</v>
      </c>
      <c r="F39" s="62">
        <v>2.9687615740740738E-3</v>
      </c>
      <c r="G39" s="62">
        <v>1.7941319444444443E-3</v>
      </c>
      <c r="H39" s="62">
        <v>3.3911342592592591E-3</v>
      </c>
      <c r="I39" s="62">
        <v>4.0379398148148145E-3</v>
      </c>
      <c r="J39" s="62"/>
      <c r="K39" s="62"/>
      <c r="L39" s="62"/>
      <c r="M39" s="62">
        <v>1.5448043981481481E-2</v>
      </c>
      <c r="N39" s="62">
        <f t="shared" si="106"/>
        <v>1.5448043981481481E-2</v>
      </c>
      <c r="O39" s="53">
        <f t="shared" si="107"/>
        <v>103</v>
      </c>
      <c r="P39" s="53">
        <f t="shared" si="108"/>
        <v>106</v>
      </c>
      <c r="Q39" s="53">
        <f t="shared" si="109"/>
        <v>141</v>
      </c>
      <c r="R39" s="53">
        <f t="shared" si="110"/>
        <v>89</v>
      </c>
      <c r="S39" s="53">
        <f t="shared" si="111"/>
        <v>113</v>
      </c>
      <c r="T39" s="53" t="str">
        <f t="shared" si="112"/>
        <v/>
      </c>
      <c r="U39" s="53" t="str">
        <f t="shared" si="113"/>
        <v/>
      </c>
      <c r="V39" s="53" t="str">
        <f t="shared" si="114"/>
        <v/>
      </c>
      <c r="W39" s="53" t="str">
        <f t="shared" si="139"/>
        <v>00:04:41.3 (103)</v>
      </c>
      <c r="X39" s="53" t="str">
        <f t="shared" si="115"/>
        <v>00:04:16.5 (106)</v>
      </c>
      <c r="Y39" s="53" t="str">
        <f t="shared" si="116"/>
        <v>00:02:35.0 (141)</v>
      </c>
      <c r="Z39" s="53" t="str">
        <f t="shared" si="117"/>
        <v>00:04:53.0 (89)</v>
      </c>
      <c r="AA39" s="53" t="str">
        <f t="shared" si="118"/>
        <v>00:05:48.9 (113)</v>
      </c>
      <c r="AB39" s="53" t="str">
        <f t="shared" si="119"/>
        <v>DNS/DNF ()</v>
      </c>
      <c r="AC39" s="53" t="str">
        <f t="shared" si="120"/>
        <v>DNS/DNF ()</v>
      </c>
      <c r="AD39" s="53" t="str">
        <f t="shared" si="121"/>
        <v>DNS/DNF ()</v>
      </c>
      <c r="AE39" s="53">
        <v>35524981</v>
      </c>
      <c r="AF39" s="53">
        <v>35806306</v>
      </c>
      <c r="AG39" s="53">
        <v>33077642</v>
      </c>
      <c r="AH39" s="53">
        <v>33334143</v>
      </c>
      <c r="AI39" s="53">
        <v>31136375</v>
      </c>
      <c r="AJ39" s="53">
        <v>31291388</v>
      </c>
      <c r="AK39" s="53">
        <v>39518334</v>
      </c>
      <c r="AL39" s="53">
        <v>39811328</v>
      </c>
      <c r="AM39" s="53">
        <v>41059916</v>
      </c>
      <c r="AN39" s="53">
        <v>41408794</v>
      </c>
      <c r="AO39" s="53">
        <v>0</v>
      </c>
      <c r="AP39" s="53">
        <v>0</v>
      </c>
      <c r="AQ39" s="53">
        <v>0</v>
      </c>
      <c r="AR39" s="53">
        <v>0</v>
      </c>
      <c r="AS39" s="53">
        <v>0</v>
      </c>
      <c r="AT39" s="53">
        <v>0</v>
      </c>
      <c r="AU39" s="62">
        <f t="shared" si="122"/>
        <v>3.2560763888888891E-3</v>
      </c>
      <c r="AV39" s="62">
        <f t="shared" si="123"/>
        <v>2.9687615740740742E-3</v>
      </c>
      <c r="AW39" s="62">
        <f t="shared" si="124"/>
        <v>1.7941319444444445E-3</v>
      </c>
      <c r="AX39" s="62">
        <f t="shared" si="125"/>
        <v>3.3911342592592591E-3</v>
      </c>
      <c r="AY39" s="62">
        <f t="shared" si="126"/>
        <v>4.0379398148148145E-3</v>
      </c>
      <c r="AZ39" s="62" t="str">
        <f t="shared" si="127"/>
        <v>DNS/DNF</v>
      </c>
      <c r="BA39" s="62" t="str">
        <f t="shared" si="128"/>
        <v>DNS/DNF</v>
      </c>
      <c r="BB39" s="62" t="str">
        <f t="shared" si="129"/>
        <v>DNS/DNF</v>
      </c>
      <c r="BC39" s="75">
        <f t="shared" si="130"/>
        <v>110</v>
      </c>
      <c r="BD39" s="53">
        <f t="shared" si="131"/>
        <v>293142</v>
      </c>
      <c r="BE39" s="53">
        <f t="shared" si="132"/>
        <v>257875.00000000003</v>
      </c>
      <c r="BF39" s="53">
        <f t="shared" si="133"/>
        <v>148042</v>
      </c>
      <c r="BG39" s="53">
        <f t="shared" si="134"/>
        <v>308859</v>
      </c>
      <c r="BH39" s="53">
        <f t="shared" si="135"/>
        <v>348729</v>
      </c>
      <c r="BI39" s="53" t="str">
        <f t="shared" si="136"/>
        <v/>
      </c>
      <c r="BJ39" s="53" t="str">
        <f t="shared" si="137"/>
        <v/>
      </c>
      <c r="BK39" s="53" t="str">
        <f t="shared" si="138"/>
        <v/>
      </c>
    </row>
    <row r="40" spans="1:63">
      <c r="A40" s="53">
        <v>209</v>
      </c>
      <c r="B40" s="89" t="str">
        <f>IFERROR(VLOOKUP($A40,EntryList!$A$3:$N$645,2,FALSE),"")</f>
        <v>Jack Goosen</v>
      </c>
      <c r="C40" s="74"/>
      <c r="D40" s="53">
        <f t="shared" si="105"/>
        <v>3</v>
      </c>
      <c r="E40" s="62"/>
      <c r="F40" s="62">
        <v>3.0861805555555556E-3</v>
      </c>
      <c r="G40" s="62">
        <v>1.6548495370370369E-3</v>
      </c>
      <c r="H40" s="62"/>
      <c r="I40" s="62">
        <v>3.9020717592592592E-3</v>
      </c>
      <c r="J40" s="62"/>
      <c r="K40" s="62"/>
      <c r="L40" s="62"/>
      <c r="M40" s="62">
        <v>8.6431018518518515E-3</v>
      </c>
      <c r="N40" s="62">
        <f t="shared" si="106"/>
        <v>8.6431018518518515E-3</v>
      </c>
      <c r="O40" s="53" t="str">
        <f t="shared" si="107"/>
        <v/>
      </c>
      <c r="P40" s="53">
        <f t="shared" si="108"/>
        <v>132</v>
      </c>
      <c r="Q40" s="53">
        <f t="shared" si="109"/>
        <v>90</v>
      </c>
      <c r="R40" s="53" t="str">
        <f t="shared" si="110"/>
        <v/>
      </c>
      <c r="S40" s="53">
        <f t="shared" si="111"/>
        <v>86</v>
      </c>
      <c r="T40" s="53" t="str">
        <f t="shared" si="112"/>
        <v/>
      </c>
      <c r="U40" s="53" t="str">
        <f t="shared" si="113"/>
        <v/>
      </c>
      <c r="V40" s="53" t="str">
        <f t="shared" si="114"/>
        <v/>
      </c>
      <c r="W40" s="53" t="str">
        <f t="shared" si="139"/>
        <v>DNS/DNF ()</v>
      </c>
      <c r="X40" s="53" t="str">
        <f t="shared" si="115"/>
        <v>00:04:26.6 (132)</v>
      </c>
      <c r="Y40" s="53" t="str">
        <f t="shared" si="116"/>
        <v>00:02:23.0 (90)</v>
      </c>
      <c r="Z40" s="53" t="str">
        <f t="shared" si="117"/>
        <v>DNS/DNF ()</v>
      </c>
      <c r="AA40" s="53" t="str">
        <f t="shared" si="118"/>
        <v>00:05:37.1 (86)</v>
      </c>
      <c r="AB40" s="53" t="str">
        <f t="shared" si="119"/>
        <v>DNS/DNF ()</v>
      </c>
      <c r="AC40" s="53" t="str">
        <f t="shared" si="120"/>
        <v>DNS/DNF ()</v>
      </c>
      <c r="AD40" s="53" t="str">
        <f t="shared" si="121"/>
        <v>DNS/DNF ()</v>
      </c>
      <c r="AE40" s="53">
        <v>0</v>
      </c>
      <c r="AF40" s="53">
        <v>0</v>
      </c>
      <c r="AG40" s="53">
        <v>32818284</v>
      </c>
      <c r="AH40" s="53">
        <v>33084930</v>
      </c>
      <c r="AI40" s="53">
        <v>36025603</v>
      </c>
      <c r="AJ40" s="53">
        <v>36168582</v>
      </c>
      <c r="AK40" s="53">
        <v>0</v>
      </c>
      <c r="AL40" s="53">
        <v>0</v>
      </c>
      <c r="AM40" s="53">
        <v>40759812</v>
      </c>
      <c r="AN40" s="53">
        <v>41096951</v>
      </c>
      <c r="AO40" s="53">
        <v>0</v>
      </c>
      <c r="AP40" s="53">
        <v>0</v>
      </c>
      <c r="AQ40" s="53">
        <v>0</v>
      </c>
      <c r="AR40" s="53">
        <v>0</v>
      </c>
      <c r="AS40" s="53">
        <v>0</v>
      </c>
      <c r="AT40" s="53">
        <v>0</v>
      </c>
      <c r="AU40" s="62" t="str">
        <f t="shared" si="122"/>
        <v>DNS/DNF</v>
      </c>
      <c r="AV40" s="62">
        <f t="shared" si="123"/>
        <v>3.0861805555555556E-3</v>
      </c>
      <c r="AW40" s="62">
        <f t="shared" si="124"/>
        <v>1.6548495370370371E-3</v>
      </c>
      <c r="AX40" s="62" t="str">
        <f t="shared" si="125"/>
        <v>DNS/DNF</v>
      </c>
      <c r="AY40" s="62">
        <f t="shared" si="126"/>
        <v>3.9020717592592592E-3</v>
      </c>
      <c r="AZ40" s="62" t="str">
        <f t="shared" si="127"/>
        <v>DNS/DNF</v>
      </c>
      <c r="BA40" s="62" t="str">
        <f t="shared" si="128"/>
        <v>DNS/DNF</v>
      </c>
      <c r="BB40" s="62" t="str">
        <f t="shared" si="129"/>
        <v>DNS/DNF</v>
      </c>
      <c r="BC40" s="75">
        <f t="shared" si="130"/>
        <v>103</v>
      </c>
      <c r="BD40" s="53">
        <f t="shared" si="131"/>
        <v>281325</v>
      </c>
      <c r="BE40" s="53">
        <f t="shared" si="132"/>
        <v>254490</v>
      </c>
      <c r="BF40" s="53">
        <f t="shared" si="133"/>
        <v>146705</v>
      </c>
      <c r="BG40" s="53">
        <f t="shared" si="134"/>
        <v>301759</v>
      </c>
      <c r="BH40" s="53">
        <f t="shared" si="135"/>
        <v>344306</v>
      </c>
      <c r="BI40" s="53" t="str">
        <f t="shared" si="136"/>
        <v/>
      </c>
      <c r="BJ40" s="53" t="str">
        <f t="shared" si="137"/>
        <v/>
      </c>
      <c r="BK40" s="53" t="str">
        <f t="shared" si="138"/>
        <v/>
      </c>
    </row>
    <row r="41" spans="1:63">
      <c r="A41" s="53">
        <v>237</v>
      </c>
      <c r="B41" s="89" t="str">
        <f>IFERROR(VLOOKUP($A41,EntryList!$A$3:$N$645,2,FALSE),"")</f>
        <v>Eryn Marais</v>
      </c>
      <c r="C41" s="74"/>
      <c r="D41" s="53">
        <f t="shared" si="105"/>
        <v>2</v>
      </c>
      <c r="E41" s="62"/>
      <c r="F41" s="62">
        <v>2.9734027777777779E-3</v>
      </c>
      <c r="G41" s="62">
        <v>1.7577083333333333E-3</v>
      </c>
      <c r="H41" s="62"/>
      <c r="I41" s="62"/>
      <c r="J41" s="62"/>
      <c r="K41" s="62"/>
      <c r="L41" s="62"/>
      <c r="M41" s="62">
        <v>4.7311111111111113E-3</v>
      </c>
      <c r="N41" s="62">
        <f t="shared" si="106"/>
        <v>4.7311111111111113E-3</v>
      </c>
      <c r="O41" s="53" t="str">
        <f t="shared" si="107"/>
        <v/>
      </c>
      <c r="P41" s="53">
        <f t="shared" si="108"/>
        <v>108</v>
      </c>
      <c r="Q41" s="53">
        <f t="shared" si="109"/>
        <v>125</v>
      </c>
      <c r="R41" s="53" t="str">
        <f t="shared" si="110"/>
        <v/>
      </c>
      <c r="S41" s="53" t="str">
        <f t="shared" si="111"/>
        <v/>
      </c>
      <c r="T41" s="53" t="str">
        <f t="shared" si="112"/>
        <v/>
      </c>
      <c r="U41" s="53" t="str">
        <f t="shared" si="113"/>
        <v/>
      </c>
      <c r="V41" s="53" t="str">
        <f t="shared" si="114"/>
        <v/>
      </c>
      <c r="W41" s="53" t="str">
        <f t="shared" si="139"/>
        <v>DNS/DNF ()</v>
      </c>
      <c r="X41" s="53" t="str">
        <f t="shared" si="115"/>
        <v>00:04:16.9 (108)</v>
      </c>
      <c r="Y41" s="53" t="str">
        <f t="shared" si="116"/>
        <v>00:02:31.9 (125)</v>
      </c>
      <c r="Z41" s="53" t="str">
        <f t="shared" si="117"/>
        <v>DNS/DNF ()</v>
      </c>
      <c r="AA41" s="53" t="str">
        <f t="shared" si="118"/>
        <v>DNS/DNF ()</v>
      </c>
      <c r="AB41" s="53" t="str">
        <f t="shared" si="119"/>
        <v>DNS/DNF ()</v>
      </c>
      <c r="AC41" s="53" t="str">
        <f t="shared" si="120"/>
        <v>DNS/DNF ()</v>
      </c>
      <c r="AD41" s="53" t="str">
        <f t="shared" si="121"/>
        <v>DNS/DNF ()</v>
      </c>
      <c r="AE41" s="53">
        <v>0</v>
      </c>
      <c r="AF41" s="53">
        <v>0</v>
      </c>
      <c r="AG41" s="53">
        <v>32831141</v>
      </c>
      <c r="AH41" s="53">
        <v>33088043</v>
      </c>
      <c r="AI41" s="53">
        <v>36050548</v>
      </c>
      <c r="AJ41" s="53">
        <v>36202414</v>
      </c>
      <c r="AK41" s="53">
        <v>0</v>
      </c>
      <c r="AL41" s="53">
        <v>0</v>
      </c>
      <c r="AM41" s="53">
        <v>40781186</v>
      </c>
      <c r="AN41" s="53">
        <v>0</v>
      </c>
      <c r="AO41" s="53">
        <v>0</v>
      </c>
      <c r="AP41" s="53">
        <v>0</v>
      </c>
      <c r="AQ41" s="53">
        <v>0</v>
      </c>
      <c r="AR41" s="53">
        <v>0</v>
      </c>
      <c r="AS41" s="53">
        <v>0</v>
      </c>
      <c r="AT41" s="53">
        <v>0</v>
      </c>
      <c r="AU41" s="62" t="str">
        <f t="shared" si="122"/>
        <v>DNS/DNF</v>
      </c>
      <c r="AV41" s="62">
        <f t="shared" si="123"/>
        <v>2.9734027777777779E-3</v>
      </c>
      <c r="AW41" s="62">
        <f t="shared" si="124"/>
        <v>1.7577083333333333E-3</v>
      </c>
      <c r="AX41" s="62" t="str">
        <f t="shared" si="125"/>
        <v>DNS/DNF</v>
      </c>
      <c r="AY41" s="62" t="str">
        <f t="shared" si="126"/>
        <v>DNS/DNF</v>
      </c>
      <c r="AZ41" s="62" t="str">
        <f t="shared" si="127"/>
        <v>DNS/DNF</v>
      </c>
      <c r="BA41" s="62" t="str">
        <f t="shared" si="128"/>
        <v>DNS/DNF</v>
      </c>
      <c r="BB41" s="62" t="str">
        <f t="shared" si="129"/>
        <v>DNS/DNF</v>
      </c>
      <c r="BC41" s="75">
        <f t="shared" si="130"/>
        <v>117</v>
      </c>
      <c r="BD41" s="53">
        <f t="shared" si="131"/>
        <v>311860</v>
      </c>
      <c r="BE41" s="53">
        <f t="shared" si="132"/>
        <v>260201</v>
      </c>
      <c r="BF41" s="53">
        <f t="shared" si="133"/>
        <v>151053</v>
      </c>
      <c r="BG41" s="53" t="str">
        <f t="shared" si="134"/>
        <v/>
      </c>
      <c r="BH41" s="53">
        <f t="shared" si="135"/>
        <v>351781.99999999994</v>
      </c>
      <c r="BI41" s="53" t="str">
        <f t="shared" si="136"/>
        <v/>
      </c>
      <c r="BJ41" s="53" t="str">
        <f t="shared" si="137"/>
        <v/>
      </c>
      <c r="BK41" s="53" t="str">
        <f t="shared" si="138"/>
        <v/>
      </c>
    </row>
    <row r="42" spans="1:63">
      <c r="A42" s="53">
        <v>282</v>
      </c>
      <c r="B42" s="89" t="str">
        <f>IFERROR(VLOOKUP($A42,EntryList!$A$3:$N$645,2,FALSE),"")</f>
        <v>John Kabalin</v>
      </c>
      <c r="C42" s="74"/>
      <c r="D42" s="53">
        <f t="shared" si="105"/>
        <v>3</v>
      </c>
      <c r="E42" s="62"/>
      <c r="F42" s="62">
        <v>3.9374421296296293E-3</v>
      </c>
      <c r="G42" s="62">
        <v>2.2340624999999999E-3</v>
      </c>
      <c r="H42" s="62"/>
      <c r="I42" s="62">
        <v>4.723854166666667E-3</v>
      </c>
      <c r="J42" s="62"/>
      <c r="K42" s="62"/>
      <c r="L42" s="62"/>
      <c r="M42" s="62">
        <v>1.0895358796296295E-2</v>
      </c>
      <c r="N42" s="62">
        <f t="shared" si="106"/>
        <v>1.0895358796296297E-2</v>
      </c>
      <c r="O42" s="53" t="str">
        <f t="shared" si="107"/>
        <v/>
      </c>
      <c r="P42" s="53">
        <f t="shared" si="108"/>
        <v>247</v>
      </c>
      <c r="Q42" s="53">
        <f t="shared" si="109"/>
        <v>229</v>
      </c>
      <c r="R42" s="53" t="str">
        <f t="shared" si="110"/>
        <v/>
      </c>
      <c r="S42" s="53">
        <f t="shared" si="111"/>
        <v>219</v>
      </c>
      <c r="T42" s="53" t="str">
        <f t="shared" si="112"/>
        <v/>
      </c>
      <c r="U42" s="53" t="str">
        <f t="shared" si="113"/>
        <v/>
      </c>
      <c r="V42" s="53" t="str">
        <f t="shared" si="114"/>
        <v/>
      </c>
      <c r="W42" s="53" t="str">
        <f t="shared" si="139"/>
        <v>DNS/DNF ()</v>
      </c>
      <c r="X42" s="53" t="str">
        <f t="shared" si="115"/>
        <v>00:05:40.2 (247)</v>
      </c>
      <c r="Y42" s="53" t="str">
        <f t="shared" si="116"/>
        <v>00:03:13.0 (229)</v>
      </c>
      <c r="Z42" s="53" t="str">
        <f t="shared" si="117"/>
        <v>DNS/DNF ()</v>
      </c>
      <c r="AA42" s="53" t="str">
        <f t="shared" si="118"/>
        <v>00:06:48.1 (219)</v>
      </c>
      <c r="AB42" s="53" t="str">
        <f t="shared" si="119"/>
        <v>DNS/DNF ()</v>
      </c>
      <c r="AC42" s="53" t="str">
        <f t="shared" si="120"/>
        <v>DNS/DNF ()</v>
      </c>
      <c r="AD42" s="53" t="str">
        <f t="shared" si="121"/>
        <v>DNS/DNF ()</v>
      </c>
      <c r="AE42" s="53">
        <v>0</v>
      </c>
      <c r="AF42" s="53">
        <v>0</v>
      </c>
      <c r="AG42" s="53">
        <v>34248798</v>
      </c>
      <c r="AH42" s="53">
        <v>34588993</v>
      </c>
      <c r="AI42" s="53">
        <v>37674802</v>
      </c>
      <c r="AJ42" s="53">
        <v>37867825</v>
      </c>
      <c r="AK42" s="53">
        <v>0</v>
      </c>
      <c r="AL42" s="53">
        <v>0</v>
      </c>
      <c r="AM42" s="53">
        <v>41276328</v>
      </c>
      <c r="AN42" s="53">
        <v>41684469</v>
      </c>
      <c r="AO42" s="53">
        <v>0</v>
      </c>
      <c r="AP42" s="53">
        <v>0</v>
      </c>
      <c r="AQ42" s="53">
        <v>0</v>
      </c>
      <c r="AR42" s="53">
        <v>0</v>
      </c>
      <c r="AS42" s="53">
        <v>0</v>
      </c>
      <c r="AT42" s="53">
        <v>0</v>
      </c>
      <c r="AU42" s="62" t="str">
        <f t="shared" si="122"/>
        <v>DNS/DNF</v>
      </c>
      <c r="AV42" s="62">
        <f t="shared" si="123"/>
        <v>3.9374421296296293E-3</v>
      </c>
      <c r="AW42" s="62">
        <f t="shared" si="124"/>
        <v>2.2340624999999999E-3</v>
      </c>
      <c r="AX42" s="62" t="str">
        <f t="shared" si="125"/>
        <v>DNS/DNF</v>
      </c>
      <c r="AY42" s="62">
        <f t="shared" si="126"/>
        <v>4.723854166666667E-3</v>
      </c>
      <c r="AZ42" s="62" t="str">
        <f t="shared" si="127"/>
        <v>DNS/DNF</v>
      </c>
      <c r="BA42" s="62" t="str">
        <f t="shared" si="128"/>
        <v>DNS/DNF</v>
      </c>
      <c r="BB42" s="62" t="str">
        <f t="shared" si="129"/>
        <v>DNS/DNF</v>
      </c>
      <c r="BC42" s="75">
        <f t="shared" si="130"/>
        <v>232</v>
      </c>
      <c r="BD42" s="53" t="str">
        <f t="shared" si="131"/>
        <v/>
      </c>
      <c r="BE42" s="53">
        <f t="shared" si="132"/>
        <v>323105</v>
      </c>
      <c r="BF42" s="53">
        <f t="shared" si="133"/>
        <v>195909.00000000003</v>
      </c>
      <c r="BG42" s="53" t="str">
        <f t="shared" si="134"/>
        <v/>
      </c>
      <c r="BH42" s="53">
        <f t="shared" si="135"/>
        <v>430202</v>
      </c>
      <c r="BI42" s="53" t="str">
        <f t="shared" si="136"/>
        <v/>
      </c>
      <c r="BJ42" s="53" t="str">
        <f t="shared" si="137"/>
        <v/>
      </c>
      <c r="BK42" s="53" t="str">
        <f t="shared" si="138"/>
        <v/>
      </c>
    </row>
    <row r="43" spans="1:63">
      <c r="A43" s="53">
        <v>148</v>
      </c>
      <c r="B43" s="89" t="str">
        <f>IFERROR(VLOOKUP($A43,EntryList!$A$3:$N$645,2,FALSE),"")</f>
        <v>Thomas Kabalin</v>
      </c>
      <c r="C43" s="74"/>
      <c r="D43" s="53">
        <f t="shared" si="105"/>
        <v>3</v>
      </c>
      <c r="E43" s="62"/>
      <c r="F43" s="62">
        <v>3.0404976851851856E-3</v>
      </c>
      <c r="G43" s="62">
        <v>1.7482986111111111E-3</v>
      </c>
      <c r="H43" s="62"/>
      <c r="I43" s="62">
        <v>4.104409722222222E-3</v>
      </c>
      <c r="J43" s="62"/>
      <c r="K43" s="62"/>
      <c r="L43" s="62"/>
      <c r="M43" s="62">
        <v>8.893206018518519E-3</v>
      </c>
      <c r="N43" s="62">
        <f t="shared" si="106"/>
        <v>8.8932060185185173E-3</v>
      </c>
      <c r="O43" s="53" t="str">
        <f t="shared" si="107"/>
        <v/>
      </c>
      <c r="P43" s="53">
        <f t="shared" si="108"/>
        <v>121</v>
      </c>
      <c r="Q43" s="53">
        <f t="shared" si="109"/>
        <v>117</v>
      </c>
      <c r="R43" s="53" t="str">
        <f t="shared" si="110"/>
        <v/>
      </c>
      <c r="S43" s="53">
        <f t="shared" si="111"/>
        <v>132</v>
      </c>
      <c r="T43" s="53" t="str">
        <f t="shared" si="112"/>
        <v/>
      </c>
      <c r="U43" s="53" t="str">
        <f t="shared" si="113"/>
        <v/>
      </c>
      <c r="V43" s="53" t="str">
        <f t="shared" si="114"/>
        <v/>
      </c>
      <c r="W43" s="53" t="str">
        <f t="shared" si="139"/>
        <v>DNS/DNF ()</v>
      </c>
      <c r="X43" s="53" t="str">
        <f t="shared" si="115"/>
        <v>00:04:22.7 (121)</v>
      </c>
      <c r="Y43" s="53" t="str">
        <f t="shared" si="116"/>
        <v>00:02:31.1 (117)</v>
      </c>
      <c r="Z43" s="53" t="str">
        <f t="shared" si="117"/>
        <v>DNS/DNF ()</v>
      </c>
      <c r="AA43" s="53" t="str">
        <f t="shared" si="118"/>
        <v>00:05:54.6 (132)</v>
      </c>
      <c r="AB43" s="53" t="str">
        <f t="shared" si="119"/>
        <v>DNS/DNF ()</v>
      </c>
      <c r="AC43" s="53" t="str">
        <f t="shared" si="120"/>
        <v>DNS/DNF ()</v>
      </c>
      <c r="AD43" s="53" t="str">
        <f t="shared" si="121"/>
        <v>DNS/DNF ()</v>
      </c>
      <c r="AE43" s="53">
        <v>0</v>
      </c>
      <c r="AF43" s="53">
        <v>0</v>
      </c>
      <c r="AG43" s="53">
        <v>34238789</v>
      </c>
      <c r="AH43" s="53">
        <v>34501488</v>
      </c>
      <c r="AI43" s="53">
        <v>37668079</v>
      </c>
      <c r="AJ43" s="53">
        <v>37819132</v>
      </c>
      <c r="AK43" s="53">
        <v>0</v>
      </c>
      <c r="AL43" s="53">
        <v>0</v>
      </c>
      <c r="AM43" s="53">
        <v>41270824</v>
      </c>
      <c r="AN43" s="53">
        <v>41625445</v>
      </c>
      <c r="AO43" s="53">
        <v>0</v>
      </c>
      <c r="AP43" s="53">
        <v>0</v>
      </c>
      <c r="AQ43" s="53">
        <v>0</v>
      </c>
      <c r="AR43" s="53">
        <v>0</v>
      </c>
      <c r="AS43" s="53">
        <v>0</v>
      </c>
      <c r="AT43" s="53">
        <v>0</v>
      </c>
      <c r="AU43" s="62" t="str">
        <f t="shared" si="122"/>
        <v>DNS/DNF</v>
      </c>
      <c r="AV43" s="62">
        <f t="shared" si="123"/>
        <v>3.0404976851851851E-3</v>
      </c>
      <c r="AW43" s="62">
        <f t="shared" si="124"/>
        <v>1.7482986111111111E-3</v>
      </c>
      <c r="AX43" s="62" t="str">
        <f t="shared" si="125"/>
        <v>DNS/DNF</v>
      </c>
      <c r="AY43" s="62">
        <f t="shared" si="126"/>
        <v>4.104409722222222E-3</v>
      </c>
      <c r="AZ43" s="62" t="str">
        <f t="shared" si="127"/>
        <v>DNS/DNF</v>
      </c>
      <c r="BA43" s="62" t="str">
        <f t="shared" si="128"/>
        <v>DNS/DNF</v>
      </c>
      <c r="BB43" s="62" t="str">
        <f t="shared" si="129"/>
        <v>DNS/DNF</v>
      </c>
      <c r="BC43" s="75">
        <f t="shared" si="130"/>
        <v>123</v>
      </c>
      <c r="BD43" s="53">
        <f t="shared" si="131"/>
        <v>322090</v>
      </c>
      <c r="BE43" s="53">
        <f t="shared" si="132"/>
        <v>263550</v>
      </c>
      <c r="BF43" s="53">
        <f t="shared" si="133"/>
        <v>151750</v>
      </c>
      <c r="BG43" s="53">
        <f t="shared" si="134"/>
        <v>321001</v>
      </c>
      <c r="BH43" s="53">
        <f t="shared" si="135"/>
        <v>352347</v>
      </c>
      <c r="BI43" s="53" t="str">
        <f t="shared" si="136"/>
        <v/>
      </c>
      <c r="BJ43" s="53" t="str">
        <f t="shared" si="137"/>
        <v/>
      </c>
      <c r="BK43" s="53" t="str">
        <f t="shared" si="138"/>
        <v/>
      </c>
    </row>
    <row r="44" spans="1:63">
      <c r="A44" s="53">
        <v>105</v>
      </c>
      <c r="B44" s="89" t="str">
        <f>IFERROR(VLOOKUP($A44,EntryList!$A$3:$N$645,2,FALSE),"")</f>
        <v>Jacobus Johannes Veldsman</v>
      </c>
      <c r="C44" s="74"/>
      <c r="D44" s="53">
        <f t="shared" si="105"/>
        <v>5</v>
      </c>
      <c r="E44" s="62">
        <v>2.508240740740741E-3</v>
      </c>
      <c r="F44" s="62">
        <v>2.6354282407407407E-3</v>
      </c>
      <c r="G44" s="62">
        <v>1.4971064814814814E-3</v>
      </c>
      <c r="H44" s="62">
        <v>2.8783564814814817E-3</v>
      </c>
      <c r="I44" s="62">
        <v>3.5664004629629626E-3</v>
      </c>
      <c r="J44" s="62"/>
      <c r="K44" s="62"/>
      <c r="L44" s="62"/>
      <c r="M44" s="62">
        <v>1.3085532407407405E-2</v>
      </c>
      <c r="N44" s="62">
        <f t="shared" si="106"/>
        <v>1.3085532407407407E-2</v>
      </c>
      <c r="O44" s="53">
        <f t="shared" si="107"/>
        <v>33</v>
      </c>
      <c r="P44" s="53">
        <f t="shared" si="108"/>
        <v>32</v>
      </c>
      <c r="Q44" s="53">
        <f t="shared" si="109"/>
        <v>42</v>
      </c>
      <c r="R44" s="53">
        <f t="shared" si="110"/>
        <v>28</v>
      </c>
      <c r="S44" s="53">
        <f t="shared" si="111"/>
        <v>28</v>
      </c>
      <c r="T44" s="53" t="str">
        <f t="shared" si="112"/>
        <v/>
      </c>
      <c r="U44" s="53" t="str">
        <f t="shared" si="113"/>
        <v/>
      </c>
      <c r="V44" s="53" t="str">
        <f t="shared" si="114"/>
        <v/>
      </c>
      <c r="W44" s="53" t="str">
        <f t="shared" si="139"/>
        <v>00:03:36.7 (33)</v>
      </c>
      <c r="X44" s="53" t="str">
        <f t="shared" si="115"/>
        <v>00:03:47.7 (32)</v>
      </c>
      <c r="Y44" s="53" t="str">
        <f t="shared" si="116"/>
        <v>00:02:09.4 (42)</v>
      </c>
      <c r="Z44" s="53" t="str">
        <f t="shared" si="117"/>
        <v>00:04:08.7 (28)</v>
      </c>
      <c r="AA44" s="53" t="str">
        <f t="shared" si="118"/>
        <v>00:05:08.1 (28)</v>
      </c>
      <c r="AB44" s="53" t="str">
        <f t="shared" si="119"/>
        <v>DNS/DNF ()</v>
      </c>
      <c r="AC44" s="53" t="str">
        <f t="shared" si="120"/>
        <v>DNS/DNF ()</v>
      </c>
      <c r="AD44" s="53" t="str">
        <f t="shared" si="121"/>
        <v>DNS/DNF ()</v>
      </c>
      <c r="AE44" s="53">
        <v>35762255</v>
      </c>
      <c r="AF44" s="53">
        <v>35978967</v>
      </c>
      <c r="AG44" s="53">
        <v>30762635</v>
      </c>
      <c r="AH44" s="53">
        <v>30990336</v>
      </c>
      <c r="AI44" s="53">
        <v>33392231</v>
      </c>
      <c r="AJ44" s="53">
        <v>33521581</v>
      </c>
      <c r="AK44" s="53">
        <v>39480914</v>
      </c>
      <c r="AL44" s="53">
        <v>39729604</v>
      </c>
      <c r="AM44" s="53">
        <v>41040018</v>
      </c>
      <c r="AN44" s="53">
        <v>41348155</v>
      </c>
      <c r="AO44" s="53">
        <v>0</v>
      </c>
      <c r="AP44" s="53">
        <v>0</v>
      </c>
      <c r="AQ44" s="53">
        <v>0</v>
      </c>
      <c r="AR44" s="53">
        <v>0</v>
      </c>
      <c r="AS44" s="53">
        <v>0</v>
      </c>
      <c r="AT44" s="53">
        <v>0</v>
      </c>
      <c r="AU44" s="62">
        <f t="shared" si="122"/>
        <v>2.5082407407407406E-3</v>
      </c>
      <c r="AV44" s="62">
        <f t="shared" si="123"/>
        <v>2.6354282407407407E-3</v>
      </c>
      <c r="AW44" s="62">
        <f t="shared" si="124"/>
        <v>1.4971064814814814E-3</v>
      </c>
      <c r="AX44" s="62">
        <f t="shared" si="125"/>
        <v>2.8783564814814813E-3</v>
      </c>
      <c r="AY44" s="62">
        <f t="shared" si="126"/>
        <v>3.5664004629629631E-3</v>
      </c>
      <c r="AZ44" s="62" t="str">
        <f t="shared" si="127"/>
        <v>DNS/DNF</v>
      </c>
      <c r="BA44" s="62" t="str">
        <f t="shared" si="128"/>
        <v>DNS/DNF</v>
      </c>
      <c r="BB44" s="62" t="str">
        <f t="shared" si="129"/>
        <v>DNS/DNF</v>
      </c>
      <c r="BC44" s="75">
        <f t="shared" si="130"/>
        <v>33</v>
      </c>
      <c r="BD44" s="53">
        <f t="shared" si="131"/>
        <v>216711.99999999997</v>
      </c>
      <c r="BE44" s="53">
        <f t="shared" si="132"/>
        <v>228257</v>
      </c>
      <c r="BF44" s="53">
        <f t="shared" si="133"/>
        <v>126669</v>
      </c>
      <c r="BG44" s="53">
        <f t="shared" si="134"/>
        <v>252863</v>
      </c>
      <c r="BH44" s="53">
        <f t="shared" si="135"/>
        <v>310013</v>
      </c>
      <c r="BI44" s="53" t="str">
        <f t="shared" si="136"/>
        <v/>
      </c>
      <c r="BJ44" s="53" t="str">
        <f t="shared" si="137"/>
        <v/>
      </c>
      <c r="BK44" s="53" t="str">
        <f t="shared" si="138"/>
        <v/>
      </c>
    </row>
    <row r="45" spans="1:63">
      <c r="A45" s="53">
        <v>18</v>
      </c>
      <c r="B45" s="89" t="str">
        <f>IFERROR(VLOOKUP($A45,EntryList!$A$3:$N$645,2,FALSE),"")</f>
        <v>Jayden Lang</v>
      </c>
      <c r="C45" s="74"/>
      <c r="D45" s="53">
        <f t="shared" si="105"/>
        <v>2</v>
      </c>
      <c r="E45" s="62">
        <v>2.987569444444445E-3</v>
      </c>
      <c r="F45" s="62">
        <v>3.1414930555555554E-3</v>
      </c>
      <c r="G45" s="62"/>
      <c r="H45" s="62"/>
      <c r="I45" s="62"/>
      <c r="J45" s="62"/>
      <c r="K45" s="62"/>
      <c r="L45" s="62"/>
      <c r="M45" s="62">
        <v>6.1290625000000008E-3</v>
      </c>
      <c r="N45" s="62">
        <f t="shared" si="106"/>
        <v>6.1290625E-3</v>
      </c>
      <c r="O45" s="53">
        <f t="shared" si="107"/>
        <v>84</v>
      </c>
      <c r="P45" s="53">
        <f t="shared" si="108"/>
        <v>146</v>
      </c>
      <c r="Q45" s="53" t="str">
        <f t="shared" si="109"/>
        <v/>
      </c>
      <c r="R45" s="53" t="str">
        <f t="shared" si="110"/>
        <v/>
      </c>
      <c r="S45" s="53" t="str">
        <f t="shared" si="111"/>
        <v/>
      </c>
      <c r="T45" s="53" t="str">
        <f t="shared" si="112"/>
        <v/>
      </c>
      <c r="U45" s="53" t="str">
        <f t="shared" si="113"/>
        <v/>
      </c>
      <c r="V45" s="53" t="str">
        <f t="shared" si="114"/>
        <v/>
      </c>
      <c r="W45" s="53" t="str">
        <f t="shared" si="139"/>
        <v>00:04:18.1 (84)</v>
      </c>
      <c r="X45" s="53" t="str">
        <f t="shared" si="115"/>
        <v>00:04:31.4 (146)</v>
      </c>
      <c r="Y45" s="53" t="str">
        <f t="shared" si="116"/>
        <v>DNS/DNF ()</v>
      </c>
      <c r="Z45" s="53" t="str">
        <f t="shared" si="117"/>
        <v>DNS/DNF ()</v>
      </c>
      <c r="AA45" s="53" t="str">
        <f t="shared" si="118"/>
        <v>DNS/DNF ()</v>
      </c>
      <c r="AB45" s="53" t="str">
        <f t="shared" si="119"/>
        <v>DNS/DNF ()</v>
      </c>
      <c r="AC45" s="53" t="str">
        <f t="shared" si="120"/>
        <v>DNS/DNF ()</v>
      </c>
      <c r="AD45" s="53" t="str">
        <f t="shared" si="121"/>
        <v>DNS/DNF ()</v>
      </c>
      <c r="AE45" s="53">
        <v>36330646</v>
      </c>
      <c r="AF45" s="53">
        <v>36588772</v>
      </c>
      <c r="AG45" s="53">
        <v>31855827</v>
      </c>
      <c r="AH45" s="53">
        <v>32127252</v>
      </c>
      <c r="AI45" s="53">
        <v>0</v>
      </c>
      <c r="AJ45" s="53">
        <v>0</v>
      </c>
      <c r="AK45" s="53">
        <v>0</v>
      </c>
      <c r="AL45" s="53">
        <v>0</v>
      </c>
      <c r="AM45" s="53">
        <v>0</v>
      </c>
      <c r="AN45" s="53">
        <v>0</v>
      </c>
      <c r="AO45" s="53">
        <v>0</v>
      </c>
      <c r="AP45" s="53">
        <v>0</v>
      </c>
      <c r="AQ45" s="53">
        <v>0</v>
      </c>
      <c r="AR45" s="53">
        <v>0</v>
      </c>
      <c r="AS45" s="53">
        <v>0</v>
      </c>
      <c r="AT45" s="53">
        <v>0</v>
      </c>
      <c r="AU45" s="62">
        <f t="shared" si="122"/>
        <v>2.9875694444444446E-3</v>
      </c>
      <c r="AV45" s="62">
        <f t="shared" si="123"/>
        <v>3.1414930555555554E-3</v>
      </c>
      <c r="AW45" s="62" t="str">
        <f t="shared" si="124"/>
        <v>DNS/DNF</v>
      </c>
      <c r="AX45" s="62" t="str">
        <f t="shared" si="125"/>
        <v>DNS/DNF</v>
      </c>
      <c r="AY45" s="62" t="str">
        <f t="shared" si="126"/>
        <v>DNS/DNF</v>
      </c>
      <c r="AZ45" s="62" t="str">
        <f t="shared" si="127"/>
        <v>DNS/DNF</v>
      </c>
      <c r="BA45" s="62" t="str">
        <f t="shared" si="128"/>
        <v>DNS/DNF</v>
      </c>
      <c r="BB45" s="62" t="str">
        <f t="shared" si="129"/>
        <v>DNS/DNF</v>
      </c>
      <c r="BC45" s="75">
        <f t="shared" si="130"/>
        <v>115</v>
      </c>
      <c r="BD45" s="53">
        <f t="shared" si="131"/>
        <v>308892</v>
      </c>
      <c r="BE45" s="53">
        <f t="shared" si="132"/>
        <v>259184</v>
      </c>
      <c r="BF45" s="53">
        <f t="shared" si="133"/>
        <v>149748</v>
      </c>
      <c r="BG45" s="53">
        <f t="shared" si="134"/>
        <v>314194</v>
      </c>
      <c r="BH45" s="53">
        <f t="shared" si="135"/>
        <v>351231</v>
      </c>
      <c r="BI45" s="53" t="str">
        <f t="shared" si="136"/>
        <v/>
      </c>
      <c r="BJ45" s="53" t="str">
        <f t="shared" si="137"/>
        <v/>
      </c>
      <c r="BK45" s="53" t="str">
        <f t="shared" si="138"/>
        <v/>
      </c>
    </row>
    <row r="46" spans="1:63">
      <c r="A46" s="53">
        <v>197</v>
      </c>
      <c r="B46" s="89" t="str">
        <f>IFERROR(VLOOKUP($A46,EntryList!$A$3:$N$645,2,FALSE),"")</f>
        <v>Ruan Van Den Berg</v>
      </c>
      <c r="C46" s="74"/>
      <c r="D46" s="53">
        <f t="shared" si="105"/>
        <v>2</v>
      </c>
      <c r="E46" s="62"/>
      <c r="F46" s="62">
        <v>4.2523148148148147E-3</v>
      </c>
      <c r="G46" s="62"/>
      <c r="H46" s="62"/>
      <c r="I46" s="62">
        <v>5.0350231481481487E-3</v>
      </c>
      <c r="J46" s="62"/>
      <c r="K46" s="62"/>
      <c r="L46" s="62"/>
      <c r="M46" s="62">
        <v>9.2873379629629625E-3</v>
      </c>
      <c r="N46" s="62">
        <f t="shared" si="106"/>
        <v>9.2873379629629625E-3</v>
      </c>
      <c r="O46" s="53" t="str">
        <f t="shared" si="107"/>
        <v/>
      </c>
      <c r="P46" s="53">
        <f t="shared" si="108"/>
        <v>252</v>
      </c>
      <c r="Q46" s="53" t="str">
        <f t="shared" si="109"/>
        <v/>
      </c>
      <c r="R46" s="53" t="str">
        <f t="shared" si="110"/>
        <v/>
      </c>
      <c r="S46" s="53">
        <f t="shared" si="111"/>
        <v>233</v>
      </c>
      <c r="T46" s="53" t="str">
        <f t="shared" si="112"/>
        <v/>
      </c>
      <c r="U46" s="53" t="str">
        <f t="shared" si="113"/>
        <v/>
      </c>
      <c r="V46" s="53" t="str">
        <f t="shared" si="114"/>
        <v/>
      </c>
      <c r="W46" s="53" t="str">
        <f t="shared" si="139"/>
        <v>DNS/DNF ()</v>
      </c>
      <c r="X46" s="53" t="str">
        <f t="shared" si="115"/>
        <v>00:06:07.4 (252)</v>
      </c>
      <c r="Y46" s="53" t="str">
        <f t="shared" si="116"/>
        <v>DNS/DNF ()</v>
      </c>
      <c r="Z46" s="53" t="str">
        <f t="shared" si="117"/>
        <v>DNS/DNF ()</v>
      </c>
      <c r="AA46" s="53" t="str">
        <f t="shared" si="118"/>
        <v>00:07:15.0 (233)</v>
      </c>
      <c r="AB46" s="53" t="str">
        <f t="shared" si="119"/>
        <v>DNS/DNF ()</v>
      </c>
      <c r="AC46" s="53" t="str">
        <f t="shared" si="120"/>
        <v>DNS/DNF ()</v>
      </c>
      <c r="AD46" s="53" t="str">
        <f t="shared" si="121"/>
        <v>DNS/DNF ()</v>
      </c>
      <c r="AE46" s="53">
        <v>0</v>
      </c>
      <c r="AF46" s="53">
        <v>0</v>
      </c>
      <c r="AG46" s="53">
        <v>35700643</v>
      </c>
      <c r="AH46" s="53">
        <v>36068043</v>
      </c>
      <c r="AI46" s="53">
        <v>0</v>
      </c>
      <c r="AJ46" s="53">
        <v>0</v>
      </c>
      <c r="AK46" s="53">
        <v>0</v>
      </c>
      <c r="AL46" s="53">
        <v>0</v>
      </c>
      <c r="AM46" s="53">
        <v>41119596</v>
      </c>
      <c r="AN46" s="53">
        <v>41554622</v>
      </c>
      <c r="AO46" s="53">
        <v>0</v>
      </c>
      <c r="AP46" s="53">
        <v>0</v>
      </c>
      <c r="AQ46" s="53">
        <v>0</v>
      </c>
      <c r="AR46" s="53">
        <v>0</v>
      </c>
      <c r="AS46" s="53">
        <v>0</v>
      </c>
      <c r="AT46" s="53">
        <v>0</v>
      </c>
      <c r="AU46" s="62" t="str">
        <f t="shared" si="122"/>
        <v>DNS/DNF</v>
      </c>
      <c r="AV46" s="62">
        <f t="shared" si="123"/>
        <v>4.2523148148148147E-3</v>
      </c>
      <c r="AW46" s="62" t="str">
        <f t="shared" si="124"/>
        <v>DNS/DNF</v>
      </c>
      <c r="AX46" s="62" t="str">
        <f t="shared" si="125"/>
        <v>DNS/DNF</v>
      </c>
      <c r="AY46" s="62">
        <f t="shared" si="126"/>
        <v>5.0350231481481478E-3</v>
      </c>
      <c r="AZ46" s="62" t="str">
        <f t="shared" si="127"/>
        <v>DNS/DNF</v>
      </c>
      <c r="BA46" s="62" t="str">
        <f t="shared" si="128"/>
        <v>DNS/DNF</v>
      </c>
      <c r="BB46" s="62" t="str">
        <f t="shared" si="129"/>
        <v>DNS/DNF</v>
      </c>
      <c r="BC46" s="75">
        <f t="shared" si="130"/>
        <v>243</v>
      </c>
      <c r="BD46" s="53" t="str">
        <f t="shared" si="131"/>
        <v/>
      </c>
      <c r="BE46" s="53">
        <f t="shared" si="132"/>
        <v>332665</v>
      </c>
      <c r="BF46" s="53">
        <f t="shared" si="133"/>
        <v>208377</v>
      </c>
      <c r="BG46" s="53" t="str">
        <f t="shared" si="134"/>
        <v/>
      </c>
      <c r="BH46" s="53">
        <f t="shared" si="135"/>
        <v>462780</v>
      </c>
      <c r="BI46" s="53" t="str">
        <f t="shared" si="136"/>
        <v/>
      </c>
      <c r="BJ46" s="53" t="str">
        <f t="shared" si="137"/>
        <v/>
      </c>
      <c r="BK46" s="53" t="str">
        <f t="shared" si="138"/>
        <v/>
      </c>
    </row>
    <row r="47" spans="1:63">
      <c r="A47" s="53">
        <v>230</v>
      </c>
      <c r="B47" s="89" t="str">
        <f>IFERROR(VLOOKUP($A47,EntryList!$A$3:$N$645,2,FALSE),"")</f>
        <v>Christo Van Eeden</v>
      </c>
      <c r="C47" s="74"/>
      <c r="D47" s="53">
        <f t="shared" si="105"/>
        <v>4</v>
      </c>
      <c r="E47" s="62"/>
      <c r="F47" s="62">
        <v>3.2378819444444443E-3</v>
      </c>
      <c r="G47" s="62">
        <v>1.9076504629629628E-3</v>
      </c>
      <c r="H47" s="62">
        <v>5.1182060185185185E-3</v>
      </c>
      <c r="I47" s="62">
        <v>4.5416319444444445E-3</v>
      </c>
      <c r="J47" s="62"/>
      <c r="K47" s="62"/>
      <c r="L47" s="62"/>
      <c r="M47" s="62">
        <v>1.480537037037037E-2</v>
      </c>
      <c r="N47" s="62">
        <f t="shared" si="106"/>
        <v>1.4805370370370372E-2</v>
      </c>
      <c r="O47" s="53" t="str">
        <f t="shared" si="107"/>
        <v/>
      </c>
      <c r="P47" s="53">
        <f t="shared" si="108"/>
        <v>175</v>
      </c>
      <c r="Q47" s="53">
        <f t="shared" si="109"/>
        <v>183</v>
      </c>
      <c r="R47" s="53">
        <f t="shared" si="110"/>
        <v>142</v>
      </c>
      <c r="S47" s="53">
        <f t="shared" si="111"/>
        <v>199</v>
      </c>
      <c r="T47" s="53" t="str">
        <f t="shared" si="112"/>
        <v/>
      </c>
      <c r="U47" s="53" t="str">
        <f t="shared" si="113"/>
        <v/>
      </c>
      <c r="V47" s="53" t="str">
        <f t="shared" si="114"/>
        <v/>
      </c>
      <c r="W47" s="53" t="str">
        <f t="shared" si="139"/>
        <v>DNS/DNF ()</v>
      </c>
      <c r="X47" s="53" t="str">
        <f t="shared" si="115"/>
        <v>00:04:39.8 (175)</v>
      </c>
      <c r="Y47" s="53" t="str">
        <f t="shared" si="116"/>
        <v>00:02:44.8 (183)</v>
      </c>
      <c r="Z47" s="53" t="str">
        <f t="shared" si="117"/>
        <v>00:07:22.2 (142)</v>
      </c>
      <c r="AA47" s="53" t="str">
        <f t="shared" si="118"/>
        <v>00:06:32.4 (199)</v>
      </c>
      <c r="AB47" s="53" t="str">
        <f t="shared" si="119"/>
        <v>DNS/DNF ()</v>
      </c>
      <c r="AC47" s="53" t="str">
        <f t="shared" si="120"/>
        <v>DNS/DNF ()</v>
      </c>
      <c r="AD47" s="53" t="str">
        <f t="shared" si="121"/>
        <v>DNS/DNF ()</v>
      </c>
      <c r="AE47" s="53">
        <v>0</v>
      </c>
      <c r="AF47" s="53">
        <v>0</v>
      </c>
      <c r="AG47" s="53">
        <v>31710960</v>
      </c>
      <c r="AH47" s="53">
        <v>31990713</v>
      </c>
      <c r="AI47" s="53">
        <v>34358848</v>
      </c>
      <c r="AJ47" s="53">
        <v>34523669</v>
      </c>
      <c r="AK47" s="53">
        <v>38328324</v>
      </c>
      <c r="AL47" s="53">
        <v>38770537</v>
      </c>
      <c r="AM47" s="53">
        <v>41726992</v>
      </c>
      <c r="AN47" s="53">
        <v>42119389</v>
      </c>
      <c r="AO47" s="53">
        <v>0</v>
      </c>
      <c r="AP47" s="53">
        <v>0</v>
      </c>
      <c r="AQ47" s="53">
        <v>0</v>
      </c>
      <c r="AR47" s="53">
        <v>0</v>
      </c>
      <c r="AS47" s="53">
        <v>0</v>
      </c>
      <c r="AT47" s="53">
        <v>0</v>
      </c>
      <c r="AU47" s="62" t="str">
        <f t="shared" si="122"/>
        <v>DNS/DNF</v>
      </c>
      <c r="AV47" s="62">
        <f t="shared" si="123"/>
        <v>3.2378819444444443E-3</v>
      </c>
      <c r="AW47" s="62">
        <f t="shared" si="124"/>
        <v>1.907650462962963E-3</v>
      </c>
      <c r="AX47" s="62">
        <f t="shared" si="125"/>
        <v>5.1182060185185185E-3</v>
      </c>
      <c r="AY47" s="62">
        <f t="shared" si="126"/>
        <v>4.5416319444444445E-3</v>
      </c>
      <c r="AZ47" s="62" t="str">
        <f t="shared" si="127"/>
        <v>DNS/DNF</v>
      </c>
      <c r="BA47" s="62" t="str">
        <f t="shared" si="128"/>
        <v>DNS/DNF</v>
      </c>
      <c r="BB47" s="62" t="str">
        <f t="shared" si="129"/>
        <v>DNS/DNF</v>
      </c>
      <c r="BC47" s="75">
        <f t="shared" si="130"/>
        <v>175</v>
      </c>
      <c r="BD47" s="53" t="str">
        <f t="shared" si="131"/>
        <v/>
      </c>
      <c r="BE47" s="53">
        <f t="shared" si="132"/>
        <v>279753</v>
      </c>
      <c r="BF47" s="53">
        <f t="shared" si="133"/>
        <v>162017</v>
      </c>
      <c r="BG47" s="53" t="str">
        <f t="shared" si="134"/>
        <v/>
      </c>
      <c r="BH47" s="53">
        <f t="shared" si="135"/>
        <v>371891.00000000006</v>
      </c>
      <c r="BI47" s="53" t="str">
        <f t="shared" si="136"/>
        <v/>
      </c>
      <c r="BJ47" s="53" t="str">
        <f t="shared" si="137"/>
        <v/>
      </c>
      <c r="BK47" s="53" t="str">
        <f t="shared" si="138"/>
        <v/>
      </c>
    </row>
    <row r="48" spans="1:63">
      <c r="A48" s="53">
        <v>229</v>
      </c>
      <c r="B48" s="89" t="str">
        <f>IFERROR(VLOOKUP($A48,EntryList!$A$3:$N$645,2,FALSE),"")</f>
        <v>Mark Minter</v>
      </c>
      <c r="C48" s="74"/>
      <c r="D48" s="53">
        <f t="shared" si="105"/>
        <v>4</v>
      </c>
      <c r="E48" s="62"/>
      <c r="F48" s="62">
        <v>3.8120486111111111E-3</v>
      </c>
      <c r="G48" s="62">
        <v>2.2633796296296295E-3</v>
      </c>
      <c r="H48" s="62">
        <v>5.3783912037037038E-3</v>
      </c>
      <c r="I48" s="62">
        <v>4.7689120370370368E-3</v>
      </c>
      <c r="J48" s="62"/>
      <c r="K48" s="62"/>
      <c r="L48" s="62"/>
      <c r="M48" s="62">
        <v>1.622273148148148E-2</v>
      </c>
      <c r="N48" s="62">
        <f t="shared" si="106"/>
        <v>1.622273148148148E-2</v>
      </c>
      <c r="O48" s="53" t="str">
        <f t="shared" si="107"/>
        <v/>
      </c>
      <c r="P48" s="53">
        <f t="shared" si="108"/>
        <v>238</v>
      </c>
      <c r="Q48" s="53">
        <f t="shared" si="109"/>
        <v>231</v>
      </c>
      <c r="R48" s="53">
        <f t="shared" si="110"/>
        <v>143</v>
      </c>
      <c r="S48" s="53">
        <f t="shared" si="111"/>
        <v>221</v>
      </c>
      <c r="T48" s="53" t="str">
        <f t="shared" si="112"/>
        <v/>
      </c>
      <c r="U48" s="53" t="str">
        <f t="shared" si="113"/>
        <v/>
      </c>
      <c r="V48" s="53" t="str">
        <f t="shared" si="114"/>
        <v/>
      </c>
      <c r="W48" s="53" t="str">
        <f t="shared" si="139"/>
        <v>DNS/DNF ()</v>
      </c>
      <c r="X48" s="53" t="str">
        <f t="shared" si="115"/>
        <v>00:05:29.4 (238)</v>
      </c>
      <c r="Y48" s="53" t="str">
        <f t="shared" si="116"/>
        <v>00:03:15.6 (231)</v>
      </c>
      <c r="Z48" s="53" t="str">
        <f t="shared" si="117"/>
        <v>00:07:44.7 (143)</v>
      </c>
      <c r="AA48" s="53" t="str">
        <f t="shared" si="118"/>
        <v>00:06:52.0 (221)</v>
      </c>
      <c r="AB48" s="53" t="str">
        <f t="shared" si="119"/>
        <v>DNS/DNF ()</v>
      </c>
      <c r="AC48" s="53" t="str">
        <f t="shared" si="120"/>
        <v>DNS/DNF ()</v>
      </c>
      <c r="AD48" s="53" t="str">
        <f t="shared" si="121"/>
        <v>DNS/DNF ()</v>
      </c>
      <c r="AE48" s="53">
        <v>0</v>
      </c>
      <c r="AF48" s="53">
        <v>0</v>
      </c>
      <c r="AG48" s="53">
        <v>31716334</v>
      </c>
      <c r="AH48" s="53">
        <v>32045695</v>
      </c>
      <c r="AI48" s="53">
        <v>34363771</v>
      </c>
      <c r="AJ48" s="53">
        <v>34559327</v>
      </c>
      <c r="AK48" s="53">
        <v>38335837</v>
      </c>
      <c r="AL48" s="53">
        <v>38800530</v>
      </c>
      <c r="AM48" s="53">
        <v>41730670</v>
      </c>
      <c r="AN48" s="53">
        <v>42142704</v>
      </c>
      <c r="AO48" s="53">
        <v>0</v>
      </c>
      <c r="AP48" s="53">
        <v>0</v>
      </c>
      <c r="AQ48" s="53">
        <v>0</v>
      </c>
      <c r="AR48" s="53">
        <v>0</v>
      </c>
      <c r="AS48" s="53">
        <v>0</v>
      </c>
      <c r="AT48" s="53">
        <v>0</v>
      </c>
      <c r="AU48" s="62" t="str">
        <f t="shared" si="122"/>
        <v>DNS/DNF</v>
      </c>
      <c r="AV48" s="62">
        <f t="shared" si="123"/>
        <v>3.8120486111111111E-3</v>
      </c>
      <c r="AW48" s="62">
        <f t="shared" si="124"/>
        <v>2.2633796296296295E-3</v>
      </c>
      <c r="AX48" s="62">
        <f t="shared" si="125"/>
        <v>5.3783912037037038E-3</v>
      </c>
      <c r="AY48" s="62">
        <f t="shared" si="126"/>
        <v>4.7689120370370368E-3</v>
      </c>
      <c r="AZ48" s="62" t="str">
        <f t="shared" si="127"/>
        <v>DNS/DNF</v>
      </c>
      <c r="BA48" s="62" t="str">
        <f t="shared" si="128"/>
        <v>DNS/DNF</v>
      </c>
      <c r="BB48" s="62" t="str">
        <f t="shared" si="129"/>
        <v>DNS/DNF</v>
      </c>
      <c r="BC48" s="75">
        <f t="shared" si="130"/>
        <v>208</v>
      </c>
      <c r="BD48" s="53" t="str">
        <f t="shared" si="131"/>
        <v/>
      </c>
      <c r="BE48" s="53">
        <f t="shared" si="132"/>
        <v>296575</v>
      </c>
      <c r="BF48" s="53">
        <f t="shared" si="133"/>
        <v>175363</v>
      </c>
      <c r="BG48" s="53" t="str">
        <f t="shared" si="134"/>
        <v/>
      </c>
      <c r="BH48" s="53">
        <f t="shared" si="135"/>
        <v>397957</v>
      </c>
      <c r="BI48" s="53" t="str">
        <f t="shared" si="136"/>
        <v/>
      </c>
      <c r="BJ48" s="53" t="str">
        <f t="shared" si="137"/>
        <v/>
      </c>
      <c r="BK48" s="53" t="str">
        <f t="shared" si="138"/>
        <v/>
      </c>
    </row>
    <row r="49" spans="1:63">
      <c r="A49" s="53">
        <v>200</v>
      </c>
      <c r="B49" s="89" t="str">
        <f>IFERROR(VLOOKUP($A49,EntryList!$A$3:$N$645,2,FALSE),"")</f>
        <v>Matt Lombardi</v>
      </c>
      <c r="C49" s="74"/>
      <c r="D49" s="53">
        <f t="shared" si="105"/>
        <v>5</v>
      </c>
      <c r="E49" s="62">
        <v>2.0959606481481484E-3</v>
      </c>
      <c r="F49" s="62">
        <v>2.3953472222222223E-3</v>
      </c>
      <c r="G49" s="62">
        <v>1.299039351851852E-3</v>
      </c>
      <c r="H49" s="62">
        <v>2.542210648148148E-3</v>
      </c>
      <c r="I49" s="62">
        <v>3.7813773148148151E-3</v>
      </c>
      <c r="J49" s="62"/>
      <c r="K49" s="62"/>
      <c r="L49" s="62"/>
      <c r="M49" s="62">
        <v>1.2113935185185186E-2</v>
      </c>
      <c r="N49" s="62">
        <f t="shared" si="106"/>
        <v>1.2113935185185186E-2</v>
      </c>
      <c r="O49" s="53">
        <f t="shared" si="107"/>
        <v>2</v>
      </c>
      <c r="P49" s="53">
        <f t="shared" si="108"/>
        <v>1</v>
      </c>
      <c r="Q49" s="53">
        <f t="shared" si="109"/>
        <v>3</v>
      </c>
      <c r="R49" s="53">
        <f t="shared" si="110"/>
        <v>1</v>
      </c>
      <c r="S49" s="53">
        <f t="shared" si="111"/>
        <v>64</v>
      </c>
      <c r="T49" s="53" t="str">
        <f t="shared" si="112"/>
        <v/>
      </c>
      <c r="U49" s="53" t="str">
        <f t="shared" si="113"/>
        <v/>
      </c>
      <c r="V49" s="53" t="str">
        <f t="shared" si="114"/>
        <v/>
      </c>
      <c r="W49" s="53" t="str">
        <f t="shared" si="139"/>
        <v>00:03:01.1 (2)</v>
      </c>
      <c r="X49" s="53" t="str">
        <f t="shared" si="115"/>
        <v>00:03:27.0 (1)</v>
      </c>
      <c r="Y49" s="53" t="str">
        <f t="shared" si="116"/>
        <v>00:01:52.2 (3)</v>
      </c>
      <c r="Z49" s="53" t="str">
        <f t="shared" si="117"/>
        <v>00:03:39.6 (1)</v>
      </c>
      <c r="AA49" s="53" t="str">
        <f t="shared" si="118"/>
        <v>00:05:26.7 (64)</v>
      </c>
      <c r="AB49" s="53" t="str">
        <f t="shared" si="119"/>
        <v>DNS/DNF ()</v>
      </c>
      <c r="AC49" s="53" t="str">
        <f t="shared" si="120"/>
        <v>DNS/DNF ()</v>
      </c>
      <c r="AD49" s="53" t="str">
        <f t="shared" si="121"/>
        <v>DNS/DNF ()</v>
      </c>
      <c r="AE49" s="53">
        <v>33616034</v>
      </c>
      <c r="AF49" s="53">
        <v>33797125</v>
      </c>
      <c r="AG49" s="53">
        <v>31013168</v>
      </c>
      <c r="AH49" s="53">
        <v>31220126</v>
      </c>
      <c r="AI49" s="53">
        <v>35846482</v>
      </c>
      <c r="AJ49" s="53">
        <v>35958719</v>
      </c>
      <c r="AK49" s="53">
        <v>39746264</v>
      </c>
      <c r="AL49" s="53">
        <v>39965911</v>
      </c>
      <c r="AM49" s="53">
        <v>41879378</v>
      </c>
      <c r="AN49" s="53">
        <v>42206089</v>
      </c>
      <c r="AO49" s="53">
        <v>0</v>
      </c>
      <c r="AP49" s="53">
        <v>0</v>
      </c>
      <c r="AQ49" s="53">
        <v>0</v>
      </c>
      <c r="AR49" s="53">
        <v>0</v>
      </c>
      <c r="AS49" s="53">
        <v>0</v>
      </c>
      <c r="AT49" s="53">
        <v>0</v>
      </c>
      <c r="AU49" s="62">
        <f t="shared" si="122"/>
        <v>2.095960648148148E-3</v>
      </c>
      <c r="AV49" s="62">
        <f t="shared" si="123"/>
        <v>2.3953472222222223E-3</v>
      </c>
      <c r="AW49" s="62">
        <f t="shared" si="124"/>
        <v>1.2990393518518518E-3</v>
      </c>
      <c r="AX49" s="62">
        <f t="shared" si="125"/>
        <v>2.542210648148148E-3</v>
      </c>
      <c r="AY49" s="62">
        <f t="shared" si="126"/>
        <v>3.7813773148148147E-3</v>
      </c>
      <c r="AZ49" s="62" t="str">
        <f t="shared" si="127"/>
        <v>DNS/DNF</v>
      </c>
      <c r="BA49" s="62" t="str">
        <f t="shared" si="128"/>
        <v>DNS/DNF</v>
      </c>
      <c r="BB49" s="62" t="str">
        <f t="shared" si="129"/>
        <v>DNS/DNF</v>
      </c>
      <c r="BC49" s="75">
        <f t="shared" si="130"/>
        <v>14</v>
      </c>
      <c r="BD49" s="53">
        <f t="shared" si="131"/>
        <v>198358</v>
      </c>
      <c r="BE49" s="53">
        <f t="shared" si="132"/>
        <v>216018</v>
      </c>
      <c r="BF49" s="53">
        <f t="shared" si="133"/>
        <v>119686.00000000001</v>
      </c>
      <c r="BG49" s="53">
        <f t="shared" si="134"/>
        <v>237310</v>
      </c>
      <c r="BH49" s="53">
        <f t="shared" si="135"/>
        <v>300263</v>
      </c>
      <c r="BI49" s="53" t="str">
        <f t="shared" si="136"/>
        <v/>
      </c>
      <c r="BJ49" s="53" t="str">
        <f t="shared" si="137"/>
        <v/>
      </c>
      <c r="BK49" s="53" t="str">
        <f t="shared" si="138"/>
        <v/>
      </c>
    </row>
    <row r="50" spans="1:63">
      <c r="A50" s="53">
        <v>176</v>
      </c>
      <c r="B50" s="89" t="str">
        <f>IFERROR(VLOOKUP($A50,EntryList!$A$3:$N$645,2,FALSE),"")</f>
        <v>Mike Fairbrother</v>
      </c>
      <c r="C50" s="74"/>
      <c r="D50" s="53">
        <f t="shared" si="105"/>
        <v>3</v>
      </c>
      <c r="E50" s="62"/>
      <c r="F50" s="62">
        <v>3.5592361111111115E-3</v>
      </c>
      <c r="G50" s="62">
        <v>2.2089699074074073E-3</v>
      </c>
      <c r="H50" s="62"/>
      <c r="I50" s="62">
        <v>4.5450115740740737E-3</v>
      </c>
      <c r="J50" s="62"/>
      <c r="K50" s="62"/>
      <c r="L50" s="62"/>
      <c r="M50" s="62">
        <v>1.0313217592592593E-2</v>
      </c>
      <c r="N50" s="62">
        <f t="shared" si="106"/>
        <v>1.0313217592592593E-2</v>
      </c>
      <c r="O50" s="53" t="str">
        <f t="shared" si="107"/>
        <v/>
      </c>
      <c r="P50" s="53">
        <f t="shared" si="108"/>
        <v>219</v>
      </c>
      <c r="Q50" s="53">
        <f t="shared" si="109"/>
        <v>226</v>
      </c>
      <c r="R50" s="53" t="str">
        <f t="shared" si="110"/>
        <v/>
      </c>
      <c r="S50" s="53">
        <f t="shared" si="111"/>
        <v>201</v>
      </c>
      <c r="T50" s="53" t="str">
        <f t="shared" si="112"/>
        <v/>
      </c>
      <c r="U50" s="53" t="str">
        <f t="shared" si="113"/>
        <v/>
      </c>
      <c r="V50" s="53" t="str">
        <f t="shared" si="114"/>
        <v/>
      </c>
      <c r="W50" s="53" t="str">
        <f t="shared" si="139"/>
        <v>DNS/DNF ()</v>
      </c>
      <c r="X50" s="53" t="str">
        <f t="shared" si="115"/>
        <v>00:05:07.5 (219)</v>
      </c>
      <c r="Y50" s="53" t="str">
        <f t="shared" si="116"/>
        <v>00:03:10.9 (226)</v>
      </c>
      <c r="Z50" s="53" t="str">
        <f t="shared" si="117"/>
        <v>DNS/DNF ()</v>
      </c>
      <c r="AA50" s="53" t="str">
        <f t="shared" si="118"/>
        <v>00:06:32.7 (201)</v>
      </c>
      <c r="AB50" s="53" t="str">
        <f t="shared" si="119"/>
        <v>DNS/DNF ()</v>
      </c>
      <c r="AC50" s="53" t="str">
        <f t="shared" si="120"/>
        <v>DNS/DNF ()</v>
      </c>
      <c r="AD50" s="53" t="str">
        <f t="shared" si="121"/>
        <v>DNS/DNF ()</v>
      </c>
      <c r="AE50" s="53">
        <v>0</v>
      </c>
      <c r="AF50" s="53">
        <v>0</v>
      </c>
      <c r="AG50" s="53">
        <v>37465420</v>
      </c>
      <c r="AH50" s="53">
        <v>37772938</v>
      </c>
      <c r="AI50" s="53">
        <v>33057757</v>
      </c>
      <c r="AJ50" s="53">
        <v>33248612</v>
      </c>
      <c r="AK50" s="53">
        <v>0</v>
      </c>
      <c r="AL50" s="53">
        <v>0</v>
      </c>
      <c r="AM50" s="53">
        <v>40828566</v>
      </c>
      <c r="AN50" s="53">
        <v>41221255</v>
      </c>
      <c r="AO50" s="53">
        <v>0</v>
      </c>
      <c r="AP50" s="53">
        <v>0</v>
      </c>
      <c r="AQ50" s="53">
        <v>0</v>
      </c>
      <c r="AR50" s="53">
        <v>0</v>
      </c>
      <c r="AS50" s="53">
        <v>0</v>
      </c>
      <c r="AT50" s="53">
        <v>0</v>
      </c>
      <c r="AU50" s="62" t="str">
        <f t="shared" si="122"/>
        <v>DNS/DNF</v>
      </c>
      <c r="AV50" s="62">
        <f t="shared" si="123"/>
        <v>3.5592361111111111E-3</v>
      </c>
      <c r="AW50" s="62">
        <f t="shared" si="124"/>
        <v>2.2089699074074073E-3</v>
      </c>
      <c r="AX50" s="62" t="str">
        <f t="shared" si="125"/>
        <v>DNS/DNF</v>
      </c>
      <c r="AY50" s="62">
        <f t="shared" si="126"/>
        <v>4.5450115740740737E-3</v>
      </c>
      <c r="AZ50" s="62" t="str">
        <f t="shared" si="127"/>
        <v>DNS/DNF</v>
      </c>
      <c r="BA50" s="62" t="str">
        <f t="shared" si="128"/>
        <v>DNS/DNF</v>
      </c>
      <c r="BB50" s="62" t="str">
        <f t="shared" si="129"/>
        <v>DNS/DNF</v>
      </c>
      <c r="BC50" s="75">
        <f t="shared" si="130"/>
        <v>215</v>
      </c>
      <c r="BD50" s="53" t="str">
        <f t="shared" si="131"/>
        <v/>
      </c>
      <c r="BE50" s="53">
        <f t="shared" si="132"/>
        <v>303186</v>
      </c>
      <c r="BF50" s="53">
        <f t="shared" si="133"/>
        <v>179173.99999999997</v>
      </c>
      <c r="BG50" s="53" t="str">
        <f t="shared" si="134"/>
        <v/>
      </c>
      <c r="BH50" s="53">
        <f t="shared" si="135"/>
        <v>404573.99999999994</v>
      </c>
      <c r="BI50" s="53" t="str">
        <f t="shared" si="136"/>
        <v/>
      </c>
      <c r="BJ50" s="53" t="str">
        <f t="shared" si="137"/>
        <v/>
      </c>
      <c r="BK50" s="53" t="str">
        <f t="shared" si="138"/>
        <v/>
      </c>
    </row>
    <row r="51" spans="1:63">
      <c r="A51" s="53">
        <v>46</v>
      </c>
      <c r="B51" s="89" t="str">
        <f>IFERROR(VLOOKUP($A51,EntryList!$A$3:$N$645,2,FALSE),"")</f>
        <v>Freddie Tomlinson</v>
      </c>
      <c r="C51" s="74"/>
      <c r="D51" s="53">
        <f t="shared" si="105"/>
        <v>2</v>
      </c>
      <c r="E51" s="62"/>
      <c r="F51" s="62">
        <v>3.1808796296296294E-3</v>
      </c>
      <c r="G51" s="62">
        <v>1.8669212962962962E-3</v>
      </c>
      <c r="H51" s="62"/>
      <c r="I51" s="62"/>
      <c r="J51" s="62"/>
      <c r="K51" s="62"/>
      <c r="L51" s="62"/>
      <c r="M51" s="62">
        <v>5.0478009259259261E-3</v>
      </c>
      <c r="N51" s="62">
        <f t="shared" si="106"/>
        <v>5.0478009259259261E-3</v>
      </c>
      <c r="O51" s="53" t="str">
        <f t="shared" si="107"/>
        <v/>
      </c>
      <c r="P51" s="53">
        <f t="shared" si="108"/>
        <v>159</v>
      </c>
      <c r="Q51" s="53">
        <f t="shared" si="109"/>
        <v>170</v>
      </c>
      <c r="R51" s="53" t="str">
        <f t="shared" si="110"/>
        <v/>
      </c>
      <c r="S51" s="53" t="str">
        <f t="shared" si="111"/>
        <v/>
      </c>
      <c r="T51" s="53" t="str">
        <f t="shared" si="112"/>
        <v/>
      </c>
      <c r="U51" s="53" t="str">
        <f t="shared" si="113"/>
        <v/>
      </c>
      <c r="V51" s="53" t="str">
        <f t="shared" si="114"/>
        <v/>
      </c>
      <c r="W51" s="53" t="str">
        <f t="shared" si="139"/>
        <v>DNS/DNF ()</v>
      </c>
      <c r="X51" s="53" t="str">
        <f t="shared" si="115"/>
        <v>00:04:34.8 (159)</v>
      </c>
      <c r="Y51" s="53" t="str">
        <f t="shared" si="116"/>
        <v>00:02:41.3 (170)</v>
      </c>
      <c r="Z51" s="53" t="str">
        <f t="shared" si="117"/>
        <v>DNS/DNF ()</v>
      </c>
      <c r="AA51" s="53" t="str">
        <f t="shared" si="118"/>
        <v>DNS/DNF ()</v>
      </c>
      <c r="AB51" s="53" t="str">
        <f t="shared" si="119"/>
        <v>DNS/DNF ()</v>
      </c>
      <c r="AC51" s="53" t="str">
        <f t="shared" si="120"/>
        <v>DNS/DNF ()</v>
      </c>
      <c r="AD51" s="53" t="str">
        <f t="shared" si="121"/>
        <v>DNS/DNF ()</v>
      </c>
      <c r="AE51" s="53">
        <v>0</v>
      </c>
      <c r="AF51" s="53">
        <v>0</v>
      </c>
      <c r="AG51" s="53">
        <v>36210111</v>
      </c>
      <c r="AH51" s="53">
        <v>36484939</v>
      </c>
      <c r="AI51" s="53">
        <v>41473108</v>
      </c>
      <c r="AJ51" s="53">
        <v>41634410</v>
      </c>
      <c r="AK51" s="53">
        <v>0</v>
      </c>
      <c r="AL51" s="53">
        <v>0</v>
      </c>
      <c r="AM51" s="53">
        <v>0</v>
      </c>
      <c r="AN51" s="53">
        <v>42380055</v>
      </c>
      <c r="AO51" s="53">
        <v>0</v>
      </c>
      <c r="AP51" s="53">
        <v>0</v>
      </c>
      <c r="AQ51" s="53">
        <v>0</v>
      </c>
      <c r="AR51" s="53">
        <v>0</v>
      </c>
      <c r="AS51" s="53">
        <v>0</v>
      </c>
      <c r="AT51" s="53">
        <v>0</v>
      </c>
      <c r="AU51" s="62" t="str">
        <f t="shared" si="122"/>
        <v>DNS/DNF</v>
      </c>
      <c r="AV51" s="62">
        <f t="shared" si="123"/>
        <v>3.1808796296296294E-3</v>
      </c>
      <c r="AW51" s="62">
        <f t="shared" si="124"/>
        <v>1.8669212962962962E-3</v>
      </c>
      <c r="AX51" s="62" t="str">
        <f t="shared" si="125"/>
        <v>DNS/DNF</v>
      </c>
      <c r="AY51" s="62" t="str">
        <f t="shared" si="126"/>
        <v>DNS/DNF</v>
      </c>
      <c r="AZ51" s="62" t="str">
        <f t="shared" si="127"/>
        <v>DNS/DNF</v>
      </c>
      <c r="BA51" s="62" t="str">
        <f t="shared" si="128"/>
        <v>DNS/DNF</v>
      </c>
      <c r="BB51" s="62" t="str">
        <f t="shared" si="129"/>
        <v>DNS/DNF</v>
      </c>
      <c r="BC51" s="75">
        <f t="shared" si="130"/>
        <v>165</v>
      </c>
      <c r="BD51" s="53" t="str">
        <f t="shared" si="131"/>
        <v/>
      </c>
      <c r="BE51" s="53">
        <f t="shared" si="132"/>
        <v>276707</v>
      </c>
      <c r="BF51" s="53">
        <f t="shared" si="133"/>
        <v>160794</v>
      </c>
      <c r="BG51" s="53" t="str">
        <f t="shared" si="134"/>
        <v/>
      </c>
      <c r="BH51" s="53">
        <f t="shared" si="135"/>
        <v>367998</v>
      </c>
      <c r="BI51" s="53" t="str">
        <f t="shared" si="136"/>
        <v/>
      </c>
      <c r="BJ51" s="53" t="str">
        <f t="shared" si="137"/>
        <v/>
      </c>
      <c r="BK51" s="53" t="str">
        <f t="shared" si="138"/>
        <v/>
      </c>
    </row>
    <row r="52" spans="1:63">
      <c r="A52" s="53">
        <v>220</v>
      </c>
      <c r="B52" s="89" t="str">
        <f>IFERROR(VLOOKUP($A52,EntryList!$A$3:$N$645,2,FALSE),"")</f>
        <v>Mackinley Daly</v>
      </c>
      <c r="C52" s="74"/>
      <c r="D52" s="53">
        <f t="shared" si="105"/>
        <v>3</v>
      </c>
      <c r="E52" s="62">
        <v>2.325416666666667E-3</v>
      </c>
      <c r="F52" s="62">
        <v>2.6813425925925924E-3</v>
      </c>
      <c r="G52" s="62">
        <v>1.4272916666666668E-3</v>
      </c>
      <c r="H52" s="62"/>
      <c r="I52" s="62"/>
      <c r="J52" s="62"/>
      <c r="K52" s="62"/>
      <c r="L52" s="62"/>
      <c r="M52" s="62">
        <v>6.4340509259259264E-3</v>
      </c>
      <c r="N52" s="62">
        <f t="shared" si="106"/>
        <v>6.4340509259259264E-3</v>
      </c>
      <c r="O52" s="53">
        <f t="shared" si="107"/>
        <v>16</v>
      </c>
      <c r="P52" s="53">
        <f t="shared" si="108"/>
        <v>40</v>
      </c>
      <c r="Q52" s="53">
        <f t="shared" si="109"/>
        <v>21</v>
      </c>
      <c r="R52" s="53" t="str">
        <f t="shared" si="110"/>
        <v/>
      </c>
      <c r="S52" s="53" t="str">
        <f t="shared" si="111"/>
        <v/>
      </c>
      <c r="T52" s="53" t="str">
        <f t="shared" si="112"/>
        <v/>
      </c>
      <c r="U52" s="53" t="str">
        <f t="shared" si="113"/>
        <v/>
      </c>
      <c r="V52" s="53" t="str">
        <f t="shared" si="114"/>
        <v/>
      </c>
      <c r="W52" s="53" t="str">
        <f t="shared" si="139"/>
        <v>00:03:20.9 (16)</v>
      </c>
      <c r="X52" s="53" t="str">
        <f t="shared" si="115"/>
        <v>00:03:51.7 (40)</v>
      </c>
      <c r="Y52" s="53" t="str">
        <f t="shared" si="116"/>
        <v>00:02:03.3 (21)</v>
      </c>
      <c r="Z52" s="53" t="str">
        <f t="shared" si="117"/>
        <v>DNS/DNF ()</v>
      </c>
      <c r="AA52" s="53" t="str">
        <f t="shared" si="118"/>
        <v>DNS/DNF ()</v>
      </c>
      <c r="AB52" s="53" t="str">
        <f t="shared" si="119"/>
        <v>DNS/DNF ()</v>
      </c>
      <c r="AC52" s="53" t="str">
        <f t="shared" si="120"/>
        <v>DNS/DNF ()</v>
      </c>
      <c r="AD52" s="53" t="str">
        <f t="shared" si="121"/>
        <v>DNS/DNF ()</v>
      </c>
      <c r="AE52" s="53">
        <v>31250897</v>
      </c>
      <c r="AF52" s="53">
        <v>31451813</v>
      </c>
      <c r="AG52" s="53">
        <v>36940001</v>
      </c>
      <c r="AH52" s="53">
        <v>37171669</v>
      </c>
      <c r="AI52" s="53">
        <v>40061610</v>
      </c>
      <c r="AJ52" s="53">
        <v>40184928</v>
      </c>
      <c r="AK52" s="53">
        <v>0</v>
      </c>
      <c r="AL52" s="53">
        <v>0</v>
      </c>
      <c r="AM52" s="53">
        <v>0</v>
      </c>
      <c r="AN52" s="53">
        <v>0</v>
      </c>
      <c r="AO52" s="53">
        <v>0</v>
      </c>
      <c r="AP52" s="53">
        <v>0</v>
      </c>
      <c r="AQ52" s="53">
        <v>0</v>
      </c>
      <c r="AR52" s="53">
        <v>0</v>
      </c>
      <c r="AS52" s="53">
        <v>0</v>
      </c>
      <c r="AT52" s="53">
        <v>0</v>
      </c>
      <c r="AU52" s="62">
        <f t="shared" si="122"/>
        <v>2.3254166666666666E-3</v>
      </c>
      <c r="AV52" s="62">
        <f t="shared" si="123"/>
        <v>2.6813425925925928E-3</v>
      </c>
      <c r="AW52" s="62">
        <f t="shared" si="124"/>
        <v>1.4272916666666668E-3</v>
      </c>
      <c r="AX52" s="62" t="str">
        <f t="shared" si="125"/>
        <v>DNS/DNF</v>
      </c>
      <c r="AY52" s="62" t="str">
        <f t="shared" si="126"/>
        <v>DNS/DNF</v>
      </c>
      <c r="AZ52" s="62" t="str">
        <f t="shared" si="127"/>
        <v>DNS/DNF</v>
      </c>
      <c r="BA52" s="62" t="str">
        <f t="shared" si="128"/>
        <v>DNS/DNF</v>
      </c>
      <c r="BB52" s="62" t="str">
        <f t="shared" si="129"/>
        <v>DNS/DNF</v>
      </c>
      <c r="BC52" s="75">
        <f t="shared" si="130"/>
        <v>26</v>
      </c>
      <c r="BD52" s="53">
        <f t="shared" si="131"/>
        <v>213485.00000000003</v>
      </c>
      <c r="BE52" s="53" t="str">
        <f t="shared" si="132"/>
        <v/>
      </c>
      <c r="BF52" s="53">
        <f t="shared" si="133"/>
        <v>125086</v>
      </c>
      <c r="BG52" s="53">
        <f t="shared" si="134"/>
        <v>247101</v>
      </c>
      <c r="BH52" s="53">
        <f t="shared" si="135"/>
        <v>306577</v>
      </c>
      <c r="BI52" s="53" t="str">
        <f t="shared" si="136"/>
        <v/>
      </c>
      <c r="BJ52" s="53" t="str">
        <f t="shared" si="137"/>
        <v/>
      </c>
      <c r="BK52" s="53" t="str">
        <f t="shared" si="138"/>
        <v/>
      </c>
    </row>
    <row r="53" spans="1:63">
      <c r="A53" s="53">
        <v>272</v>
      </c>
      <c r="B53" s="89" t="str">
        <f>IFERROR(VLOOKUP($A53,EntryList!$A$3:$N$645,2,FALSE),"")</f>
        <v>Alisha Myers</v>
      </c>
      <c r="C53" s="74"/>
      <c r="D53" s="53">
        <f t="shared" si="105"/>
        <v>3</v>
      </c>
      <c r="E53" s="62"/>
      <c r="F53" s="62">
        <v>3.7396412037037034E-3</v>
      </c>
      <c r="G53" s="62">
        <v>2.1289699074074075E-3</v>
      </c>
      <c r="H53" s="62"/>
      <c r="I53" s="62">
        <v>4.8362731481481477E-3</v>
      </c>
      <c r="J53" s="62"/>
      <c r="K53" s="62"/>
      <c r="L53" s="62"/>
      <c r="M53" s="62">
        <v>1.0704884259259259E-2</v>
      </c>
      <c r="N53" s="62">
        <f t="shared" si="106"/>
        <v>1.0704884259259259E-2</v>
      </c>
      <c r="O53" s="53" t="str">
        <f t="shared" si="107"/>
        <v/>
      </c>
      <c r="P53" s="53">
        <f t="shared" si="108"/>
        <v>232</v>
      </c>
      <c r="Q53" s="53">
        <f t="shared" si="109"/>
        <v>223</v>
      </c>
      <c r="R53" s="53" t="str">
        <f t="shared" si="110"/>
        <v/>
      </c>
      <c r="S53" s="53">
        <f t="shared" si="111"/>
        <v>223</v>
      </c>
      <c r="T53" s="53" t="str">
        <f t="shared" si="112"/>
        <v/>
      </c>
      <c r="U53" s="53" t="str">
        <f t="shared" si="113"/>
        <v/>
      </c>
      <c r="V53" s="53" t="str">
        <f t="shared" si="114"/>
        <v/>
      </c>
      <c r="W53" s="53" t="str">
        <f t="shared" si="139"/>
        <v>DNS/DNF ()</v>
      </c>
      <c r="X53" s="53" t="str">
        <f t="shared" si="115"/>
        <v>00:05:23.1 (232)</v>
      </c>
      <c r="Y53" s="53" t="str">
        <f t="shared" si="116"/>
        <v>00:03:03.9 (223)</v>
      </c>
      <c r="Z53" s="53" t="str">
        <f t="shared" si="117"/>
        <v>DNS/DNF ()</v>
      </c>
      <c r="AA53" s="53" t="str">
        <f t="shared" si="118"/>
        <v>00:06:57.9 (223)</v>
      </c>
      <c r="AB53" s="53" t="str">
        <f t="shared" si="119"/>
        <v>DNS/DNF ()</v>
      </c>
      <c r="AC53" s="53" t="str">
        <f t="shared" si="120"/>
        <v>DNS/DNF ()</v>
      </c>
      <c r="AD53" s="53" t="str">
        <f t="shared" si="121"/>
        <v>DNS/DNF ()</v>
      </c>
      <c r="AE53" s="53">
        <v>0</v>
      </c>
      <c r="AF53" s="53">
        <v>0</v>
      </c>
      <c r="AG53" s="53">
        <v>34512352</v>
      </c>
      <c r="AH53" s="53">
        <v>34835457</v>
      </c>
      <c r="AI53" s="53">
        <v>37314647</v>
      </c>
      <c r="AJ53" s="53">
        <v>37498590</v>
      </c>
      <c r="AK53" s="53">
        <v>0</v>
      </c>
      <c r="AL53" s="53">
        <v>0</v>
      </c>
      <c r="AM53" s="53">
        <v>41920178</v>
      </c>
      <c r="AN53" s="53">
        <v>42338032</v>
      </c>
      <c r="AO53" s="53">
        <v>0</v>
      </c>
      <c r="AP53" s="53">
        <v>0</v>
      </c>
      <c r="AQ53" s="53">
        <v>0</v>
      </c>
      <c r="AR53" s="53">
        <v>0</v>
      </c>
      <c r="AS53" s="53">
        <v>0</v>
      </c>
      <c r="AT53" s="53">
        <v>0</v>
      </c>
      <c r="AU53" s="62" t="str">
        <f t="shared" si="122"/>
        <v>DNS/DNF</v>
      </c>
      <c r="AV53" s="62">
        <f t="shared" si="123"/>
        <v>3.7396412037037038E-3</v>
      </c>
      <c r="AW53" s="62">
        <f t="shared" si="124"/>
        <v>2.1289699074074075E-3</v>
      </c>
      <c r="AX53" s="62" t="str">
        <f t="shared" si="125"/>
        <v>DNS/DNF</v>
      </c>
      <c r="AY53" s="62">
        <f t="shared" si="126"/>
        <v>4.8362731481481486E-3</v>
      </c>
      <c r="AZ53" s="62" t="str">
        <f t="shared" si="127"/>
        <v>DNS/DNF</v>
      </c>
      <c r="BA53" s="62" t="str">
        <f t="shared" si="128"/>
        <v>DNS/DNF</v>
      </c>
      <c r="BB53" s="62" t="str">
        <f t="shared" si="129"/>
        <v>DNS/DNF</v>
      </c>
      <c r="BC53" s="75">
        <f t="shared" si="130"/>
        <v>226</v>
      </c>
      <c r="BD53" s="53" t="str">
        <f t="shared" si="131"/>
        <v/>
      </c>
      <c r="BE53" s="53">
        <f t="shared" si="132"/>
        <v>315578</v>
      </c>
      <c r="BF53" s="53">
        <f t="shared" si="133"/>
        <v>190855</v>
      </c>
      <c r="BG53" s="53" t="str">
        <f t="shared" si="134"/>
        <v/>
      </c>
      <c r="BH53" s="53">
        <f t="shared" si="135"/>
        <v>421446.99999999994</v>
      </c>
      <c r="BI53" s="53" t="str">
        <f t="shared" si="136"/>
        <v/>
      </c>
      <c r="BJ53" s="53" t="str">
        <f t="shared" si="137"/>
        <v/>
      </c>
      <c r="BK53" s="53" t="str">
        <f t="shared" si="138"/>
        <v/>
      </c>
    </row>
    <row r="54" spans="1:63">
      <c r="A54" s="53">
        <v>93</v>
      </c>
      <c r="B54" s="89" t="str">
        <f>IFERROR(VLOOKUP($A54,EntryList!$A$3:$N$645,2,FALSE),"")</f>
        <v>Michael Morgan</v>
      </c>
      <c r="C54" s="74"/>
      <c r="D54" s="53">
        <f t="shared" si="105"/>
        <v>3</v>
      </c>
      <c r="E54" s="62"/>
      <c r="F54" s="62">
        <v>3.6300925925925927E-3</v>
      </c>
      <c r="G54" s="62">
        <v>2.103449074074074E-3</v>
      </c>
      <c r="H54" s="62"/>
      <c r="I54" s="62">
        <v>4.7101041666666671E-3</v>
      </c>
      <c r="J54" s="62"/>
      <c r="K54" s="62"/>
      <c r="L54" s="62"/>
      <c r="M54" s="62">
        <v>1.0443645833333334E-2</v>
      </c>
      <c r="N54" s="62">
        <f t="shared" si="106"/>
        <v>1.0443645833333333E-2</v>
      </c>
      <c r="O54" s="53" t="str">
        <f t="shared" si="107"/>
        <v/>
      </c>
      <c r="P54" s="53">
        <f t="shared" si="108"/>
        <v>224</v>
      </c>
      <c r="Q54" s="53">
        <f t="shared" si="109"/>
        <v>219</v>
      </c>
      <c r="R54" s="53" t="str">
        <f t="shared" si="110"/>
        <v/>
      </c>
      <c r="S54" s="53">
        <f t="shared" si="111"/>
        <v>217</v>
      </c>
      <c r="T54" s="53" t="str">
        <f t="shared" si="112"/>
        <v/>
      </c>
      <c r="U54" s="53" t="str">
        <f t="shared" si="113"/>
        <v/>
      </c>
      <c r="V54" s="53" t="str">
        <f t="shared" si="114"/>
        <v/>
      </c>
      <c r="W54" s="53" t="str">
        <f t="shared" si="139"/>
        <v>DNS/DNF ()</v>
      </c>
      <c r="X54" s="53" t="str">
        <f t="shared" si="115"/>
        <v>00:05:13.6 (224)</v>
      </c>
      <c r="Y54" s="53" t="str">
        <f t="shared" si="116"/>
        <v>00:03:01.7 (219)</v>
      </c>
      <c r="Z54" s="53" t="str">
        <f t="shared" si="117"/>
        <v>DNS/DNF ()</v>
      </c>
      <c r="AA54" s="53" t="str">
        <f t="shared" si="118"/>
        <v>00:06:47.0 (217)</v>
      </c>
      <c r="AB54" s="53" t="str">
        <f t="shared" si="119"/>
        <v>DNS/DNF ()</v>
      </c>
      <c r="AC54" s="53" t="str">
        <f t="shared" si="120"/>
        <v>DNS/DNF ()</v>
      </c>
      <c r="AD54" s="53" t="str">
        <f t="shared" si="121"/>
        <v>DNS/DNF ()</v>
      </c>
      <c r="AE54" s="53">
        <v>0</v>
      </c>
      <c r="AF54" s="53">
        <v>0</v>
      </c>
      <c r="AG54" s="53">
        <v>33791045</v>
      </c>
      <c r="AH54" s="53">
        <v>34104685</v>
      </c>
      <c r="AI54" s="53">
        <v>37210315</v>
      </c>
      <c r="AJ54" s="53">
        <v>37392053</v>
      </c>
      <c r="AK54" s="53">
        <v>0</v>
      </c>
      <c r="AL54" s="53">
        <v>0</v>
      </c>
      <c r="AM54" s="53">
        <v>42017106</v>
      </c>
      <c r="AN54" s="53">
        <v>42424059</v>
      </c>
      <c r="AO54" s="53">
        <v>0</v>
      </c>
      <c r="AP54" s="53">
        <v>0</v>
      </c>
      <c r="AQ54" s="53">
        <v>0</v>
      </c>
      <c r="AR54" s="53">
        <v>0</v>
      </c>
      <c r="AS54" s="53">
        <v>0</v>
      </c>
      <c r="AT54" s="53">
        <v>0</v>
      </c>
      <c r="AU54" s="62" t="str">
        <f t="shared" si="122"/>
        <v>DNS/DNF</v>
      </c>
      <c r="AV54" s="62">
        <f t="shared" si="123"/>
        <v>3.6300925925925927E-3</v>
      </c>
      <c r="AW54" s="62">
        <f t="shared" si="124"/>
        <v>2.103449074074074E-3</v>
      </c>
      <c r="AX54" s="62" t="str">
        <f t="shared" si="125"/>
        <v>DNS/DNF</v>
      </c>
      <c r="AY54" s="62">
        <f t="shared" si="126"/>
        <v>4.7101041666666663E-3</v>
      </c>
      <c r="AZ54" s="62" t="str">
        <f t="shared" si="127"/>
        <v>DNS/DNF</v>
      </c>
      <c r="BA54" s="62" t="str">
        <f t="shared" si="128"/>
        <v>DNS/DNF</v>
      </c>
      <c r="BB54" s="62" t="str">
        <f t="shared" si="129"/>
        <v>DNS/DNF</v>
      </c>
      <c r="BC54" s="75">
        <f t="shared" si="130"/>
        <v>220</v>
      </c>
      <c r="BD54" s="53" t="str">
        <f t="shared" si="131"/>
        <v/>
      </c>
      <c r="BE54" s="53">
        <f t="shared" si="132"/>
        <v>308136</v>
      </c>
      <c r="BF54" s="53">
        <f t="shared" si="133"/>
        <v>182570</v>
      </c>
      <c r="BG54" s="53" t="str">
        <f t="shared" si="134"/>
        <v/>
      </c>
      <c r="BH54" s="53">
        <f t="shared" si="135"/>
        <v>408687</v>
      </c>
      <c r="BI54" s="53" t="str">
        <f t="shared" si="136"/>
        <v/>
      </c>
      <c r="BJ54" s="53" t="str">
        <f t="shared" si="137"/>
        <v/>
      </c>
      <c r="BK54" s="53" t="str">
        <f t="shared" si="138"/>
        <v/>
      </c>
    </row>
    <row r="55" spans="1:63">
      <c r="A55" s="53">
        <v>257</v>
      </c>
      <c r="B55" s="89" t="str">
        <f>IFERROR(VLOOKUP($A55,EntryList!$A$3:$N$645,2,FALSE),"")</f>
        <v>Michael Yeates</v>
      </c>
      <c r="C55" s="74"/>
      <c r="D55" s="53">
        <f t="shared" si="105"/>
        <v>3</v>
      </c>
      <c r="E55" s="62"/>
      <c r="F55" s="62">
        <v>4.3073726851851849E-3</v>
      </c>
      <c r="G55" s="62">
        <v>2.411770833333333E-3</v>
      </c>
      <c r="H55" s="62"/>
      <c r="I55" s="62">
        <v>5.2016898148148152E-3</v>
      </c>
      <c r="J55" s="62"/>
      <c r="K55" s="62"/>
      <c r="L55" s="62"/>
      <c r="M55" s="62">
        <v>1.1920833333333334E-2</v>
      </c>
      <c r="N55" s="62">
        <f t="shared" si="106"/>
        <v>1.1920833333333334E-2</v>
      </c>
      <c r="O55" s="53" t="str">
        <f t="shared" si="107"/>
        <v/>
      </c>
      <c r="P55" s="53">
        <f t="shared" si="108"/>
        <v>254</v>
      </c>
      <c r="Q55" s="53">
        <f t="shared" si="109"/>
        <v>243</v>
      </c>
      <c r="R55" s="53" t="str">
        <f t="shared" si="110"/>
        <v/>
      </c>
      <c r="S55" s="53">
        <f t="shared" si="111"/>
        <v>239</v>
      </c>
      <c r="T55" s="53" t="str">
        <f t="shared" si="112"/>
        <v/>
      </c>
      <c r="U55" s="53" t="str">
        <f t="shared" si="113"/>
        <v/>
      </c>
      <c r="V55" s="53" t="str">
        <f t="shared" si="114"/>
        <v/>
      </c>
      <c r="W55" s="53" t="str">
        <f t="shared" si="139"/>
        <v>DNS/DNF ()</v>
      </c>
      <c r="X55" s="53" t="str">
        <f t="shared" si="115"/>
        <v>00:06:12.2 (254)</v>
      </c>
      <c r="Y55" s="53" t="str">
        <f t="shared" si="116"/>
        <v>00:03:28.4 (243)</v>
      </c>
      <c r="Z55" s="53" t="str">
        <f t="shared" si="117"/>
        <v>DNS/DNF ()</v>
      </c>
      <c r="AA55" s="53" t="str">
        <f t="shared" si="118"/>
        <v>00:07:29.4 (239)</v>
      </c>
      <c r="AB55" s="53" t="str">
        <f t="shared" si="119"/>
        <v>DNS/DNF ()</v>
      </c>
      <c r="AC55" s="53" t="str">
        <f t="shared" si="120"/>
        <v>DNS/DNF ()</v>
      </c>
      <c r="AD55" s="53" t="str">
        <f t="shared" si="121"/>
        <v>DNS/DNF ()</v>
      </c>
      <c r="AE55" s="53">
        <v>0</v>
      </c>
      <c r="AF55" s="53">
        <v>0</v>
      </c>
      <c r="AG55" s="53">
        <v>34530005</v>
      </c>
      <c r="AH55" s="53">
        <v>34902162</v>
      </c>
      <c r="AI55" s="53">
        <v>38321725</v>
      </c>
      <c r="AJ55" s="53">
        <v>38530102</v>
      </c>
      <c r="AK55" s="53">
        <v>0</v>
      </c>
      <c r="AL55" s="53">
        <v>0</v>
      </c>
      <c r="AM55" s="53">
        <v>42037678</v>
      </c>
      <c r="AN55" s="53">
        <v>42487104</v>
      </c>
      <c r="AO55" s="53">
        <v>0</v>
      </c>
      <c r="AP55" s="53">
        <v>0</v>
      </c>
      <c r="AQ55" s="53">
        <v>0</v>
      </c>
      <c r="AR55" s="53">
        <v>0</v>
      </c>
      <c r="AS55" s="53">
        <v>0</v>
      </c>
      <c r="AT55" s="53">
        <v>0</v>
      </c>
      <c r="AU55" s="62" t="str">
        <f t="shared" si="122"/>
        <v>DNS/DNF</v>
      </c>
      <c r="AV55" s="62">
        <f t="shared" si="123"/>
        <v>4.3073726851851849E-3</v>
      </c>
      <c r="AW55" s="62">
        <f t="shared" si="124"/>
        <v>2.4117708333333335E-3</v>
      </c>
      <c r="AX55" s="62" t="str">
        <f t="shared" si="125"/>
        <v>DNS/DNF</v>
      </c>
      <c r="AY55" s="62">
        <f t="shared" si="126"/>
        <v>5.2016898148148152E-3</v>
      </c>
      <c r="AZ55" s="62" t="str">
        <f t="shared" si="127"/>
        <v>DNS/DNF</v>
      </c>
      <c r="BA55" s="62" t="str">
        <f t="shared" si="128"/>
        <v>DNS/DNF</v>
      </c>
      <c r="BB55" s="62" t="str">
        <f t="shared" si="129"/>
        <v>DNS/DNF</v>
      </c>
      <c r="BC55" s="75">
        <f t="shared" si="130"/>
        <v>245</v>
      </c>
      <c r="BD55" s="53" t="str">
        <f t="shared" si="131"/>
        <v/>
      </c>
      <c r="BE55" s="53">
        <f t="shared" si="132"/>
        <v>335163</v>
      </c>
      <c r="BF55" s="53">
        <f t="shared" si="133"/>
        <v>210394</v>
      </c>
      <c r="BG55" s="53" t="str">
        <f t="shared" si="134"/>
        <v/>
      </c>
      <c r="BH55" s="53">
        <f t="shared" si="135"/>
        <v>471064</v>
      </c>
      <c r="BI55" s="53" t="str">
        <f t="shared" si="136"/>
        <v/>
      </c>
      <c r="BJ55" s="53" t="str">
        <f t="shared" si="137"/>
        <v/>
      </c>
      <c r="BK55" s="53" t="str">
        <f t="shared" si="138"/>
        <v/>
      </c>
    </row>
    <row r="56" spans="1:63">
      <c r="A56" s="53">
        <v>265</v>
      </c>
      <c r="B56" s="89" t="str">
        <f>IFERROR(VLOOKUP($A56,EntryList!$A$3:$N$645,2,FALSE),"")</f>
        <v>Phil Hulse</v>
      </c>
      <c r="C56" s="74"/>
      <c r="D56" s="53">
        <f t="shared" si="105"/>
        <v>3</v>
      </c>
      <c r="E56" s="62"/>
      <c r="F56" s="62">
        <v>2.8677314814814815E-3</v>
      </c>
      <c r="G56" s="62">
        <v>1.5933449074074077E-3</v>
      </c>
      <c r="H56" s="62"/>
      <c r="I56" s="62">
        <v>3.8655324074074078E-3</v>
      </c>
      <c r="J56" s="62"/>
      <c r="K56" s="62"/>
      <c r="L56" s="62"/>
      <c r="M56" s="62">
        <v>8.3266087962962972E-3</v>
      </c>
      <c r="N56" s="62">
        <f t="shared" si="106"/>
        <v>8.3266087962962972E-3</v>
      </c>
      <c r="O56" s="53" t="str">
        <f t="shared" si="107"/>
        <v/>
      </c>
      <c r="P56" s="53">
        <f t="shared" si="108"/>
        <v>86</v>
      </c>
      <c r="Q56" s="53">
        <f t="shared" si="109"/>
        <v>74</v>
      </c>
      <c r="R56" s="53" t="str">
        <f t="shared" si="110"/>
        <v/>
      </c>
      <c r="S56" s="53">
        <f t="shared" si="111"/>
        <v>79</v>
      </c>
      <c r="T56" s="53" t="str">
        <f t="shared" si="112"/>
        <v/>
      </c>
      <c r="U56" s="53" t="str">
        <f t="shared" si="113"/>
        <v/>
      </c>
      <c r="V56" s="53" t="str">
        <f t="shared" si="114"/>
        <v/>
      </c>
      <c r="W56" s="53" t="str">
        <f t="shared" si="139"/>
        <v>DNS/DNF ()</v>
      </c>
      <c r="X56" s="53" t="str">
        <f t="shared" si="115"/>
        <v>00:04:07.8 (86)</v>
      </c>
      <c r="Y56" s="53" t="str">
        <f t="shared" si="116"/>
        <v>00:02:17.7 (74)</v>
      </c>
      <c r="Z56" s="53" t="str">
        <f t="shared" si="117"/>
        <v>DNS/DNF ()</v>
      </c>
      <c r="AA56" s="53" t="str">
        <f t="shared" si="118"/>
        <v>00:05:34.0 (79)</v>
      </c>
      <c r="AB56" s="53" t="str">
        <f t="shared" si="119"/>
        <v>DNS/DNF ()</v>
      </c>
      <c r="AC56" s="53" t="str">
        <f t="shared" si="120"/>
        <v>DNS/DNF ()</v>
      </c>
      <c r="AD56" s="53" t="str">
        <f t="shared" si="121"/>
        <v>DNS/DNF ()</v>
      </c>
      <c r="AE56" s="53">
        <v>0</v>
      </c>
      <c r="AF56" s="53">
        <v>0</v>
      </c>
      <c r="AG56" s="53">
        <v>33760548</v>
      </c>
      <c r="AH56" s="53">
        <v>34008320</v>
      </c>
      <c r="AI56" s="53">
        <v>37180192</v>
      </c>
      <c r="AJ56" s="53">
        <v>37317857</v>
      </c>
      <c r="AK56" s="53">
        <v>0</v>
      </c>
      <c r="AL56" s="53">
        <v>0</v>
      </c>
      <c r="AM56" s="53">
        <v>42005332</v>
      </c>
      <c r="AN56" s="53">
        <v>42339314</v>
      </c>
      <c r="AO56" s="53">
        <v>0</v>
      </c>
      <c r="AP56" s="53">
        <v>0</v>
      </c>
      <c r="AQ56" s="53">
        <v>0</v>
      </c>
      <c r="AR56" s="53">
        <v>0</v>
      </c>
      <c r="AS56" s="53">
        <v>0</v>
      </c>
      <c r="AT56" s="53">
        <v>0</v>
      </c>
      <c r="AU56" s="62" t="str">
        <f t="shared" si="122"/>
        <v>DNS/DNF</v>
      </c>
      <c r="AV56" s="62">
        <f t="shared" si="123"/>
        <v>2.8677314814814815E-3</v>
      </c>
      <c r="AW56" s="62">
        <f t="shared" si="124"/>
        <v>1.5933449074074075E-3</v>
      </c>
      <c r="AX56" s="62" t="str">
        <f t="shared" si="125"/>
        <v>DNS/DNF</v>
      </c>
      <c r="AY56" s="62">
        <f t="shared" si="126"/>
        <v>3.8655324074074074E-3</v>
      </c>
      <c r="AZ56" s="62" t="str">
        <f t="shared" si="127"/>
        <v>DNS/DNF</v>
      </c>
      <c r="BA56" s="62" t="str">
        <f t="shared" si="128"/>
        <v>DNS/DNF</v>
      </c>
      <c r="BB56" s="62" t="str">
        <f t="shared" si="129"/>
        <v>DNS/DNF</v>
      </c>
      <c r="BC56" s="75">
        <f t="shared" si="130"/>
        <v>80</v>
      </c>
      <c r="BD56" s="53">
        <f t="shared" si="131"/>
        <v>254556</v>
      </c>
      <c r="BE56" s="53">
        <f t="shared" si="132"/>
        <v>245751</v>
      </c>
      <c r="BF56" s="53">
        <f t="shared" si="133"/>
        <v>139218</v>
      </c>
      <c r="BG56" s="53">
        <f t="shared" si="134"/>
        <v>280343</v>
      </c>
      <c r="BH56" s="53">
        <f t="shared" si="135"/>
        <v>334143</v>
      </c>
      <c r="BI56" s="53" t="str">
        <f t="shared" si="136"/>
        <v/>
      </c>
      <c r="BJ56" s="53" t="str">
        <f t="shared" si="137"/>
        <v/>
      </c>
      <c r="BK56" s="53" t="str">
        <f t="shared" si="138"/>
        <v/>
      </c>
    </row>
    <row r="57" spans="1:63">
      <c r="A57" s="53">
        <v>97</v>
      </c>
      <c r="B57" s="89" t="str">
        <f>IFERROR(VLOOKUP($A57,EntryList!$A$3:$N$645,2,FALSE),"")</f>
        <v>Amy Burton</v>
      </c>
      <c r="C57" s="74"/>
      <c r="D57" s="53">
        <f t="shared" si="105"/>
        <v>3</v>
      </c>
      <c r="E57" s="62"/>
      <c r="F57" s="62">
        <v>3.2548148148148145E-3</v>
      </c>
      <c r="G57" s="62">
        <v>1.8972106481481481E-3</v>
      </c>
      <c r="H57" s="62"/>
      <c r="I57" s="62">
        <v>4.1738078703703703E-3</v>
      </c>
      <c r="J57" s="62"/>
      <c r="K57" s="62"/>
      <c r="L57" s="62"/>
      <c r="M57" s="62">
        <v>9.3258333333333335E-3</v>
      </c>
      <c r="N57" s="62">
        <f t="shared" si="106"/>
        <v>9.3258333333333335E-3</v>
      </c>
      <c r="O57" s="53" t="str">
        <f t="shared" si="107"/>
        <v/>
      </c>
      <c r="P57" s="53">
        <f t="shared" si="108"/>
        <v>183</v>
      </c>
      <c r="Q57" s="53">
        <f t="shared" si="109"/>
        <v>181</v>
      </c>
      <c r="R57" s="53" t="str">
        <f t="shared" si="110"/>
        <v/>
      </c>
      <c r="S57" s="53">
        <f t="shared" si="111"/>
        <v>151</v>
      </c>
      <c r="T57" s="53" t="str">
        <f t="shared" si="112"/>
        <v/>
      </c>
      <c r="U57" s="53" t="str">
        <f t="shared" si="113"/>
        <v/>
      </c>
      <c r="V57" s="53" t="str">
        <f t="shared" si="114"/>
        <v/>
      </c>
      <c r="W57" s="53" t="str">
        <f t="shared" si="139"/>
        <v>DNS/DNF ()</v>
      </c>
      <c r="X57" s="53" t="str">
        <f t="shared" si="115"/>
        <v>00:04:41.2 (183)</v>
      </c>
      <c r="Y57" s="53" t="str">
        <f t="shared" si="116"/>
        <v>00:02:43.9 (181)</v>
      </c>
      <c r="Z57" s="53" t="str">
        <f t="shared" si="117"/>
        <v>DNS/DNF ()</v>
      </c>
      <c r="AA57" s="53" t="str">
        <f t="shared" si="118"/>
        <v>00:06:00.6 (151)</v>
      </c>
      <c r="AB57" s="53" t="str">
        <f t="shared" si="119"/>
        <v>DNS/DNF ()</v>
      </c>
      <c r="AC57" s="53" t="str">
        <f t="shared" si="120"/>
        <v>DNS/DNF ()</v>
      </c>
      <c r="AD57" s="53" t="str">
        <f t="shared" si="121"/>
        <v>DNS/DNF ()</v>
      </c>
      <c r="AE57" s="53">
        <v>0</v>
      </c>
      <c r="AF57" s="53">
        <v>0</v>
      </c>
      <c r="AG57" s="53">
        <v>33724442</v>
      </c>
      <c r="AH57" s="53">
        <v>34005658</v>
      </c>
      <c r="AI57" s="53">
        <v>37110116</v>
      </c>
      <c r="AJ57" s="53">
        <v>37274035</v>
      </c>
      <c r="AK57" s="53">
        <v>0</v>
      </c>
      <c r="AL57" s="53">
        <v>0</v>
      </c>
      <c r="AM57" s="53">
        <v>41907940</v>
      </c>
      <c r="AN57" s="53">
        <v>42268557</v>
      </c>
      <c r="AO57" s="53">
        <v>0</v>
      </c>
      <c r="AP57" s="53">
        <v>0</v>
      </c>
      <c r="AQ57" s="53">
        <v>0</v>
      </c>
      <c r="AR57" s="53">
        <v>0</v>
      </c>
      <c r="AS57" s="53">
        <v>0</v>
      </c>
      <c r="AT57" s="53">
        <v>0</v>
      </c>
      <c r="AU57" s="62" t="str">
        <f t="shared" si="122"/>
        <v>DNS/DNF</v>
      </c>
      <c r="AV57" s="62">
        <f t="shared" si="123"/>
        <v>3.254814814814815E-3</v>
      </c>
      <c r="AW57" s="62">
        <f t="shared" si="124"/>
        <v>1.8972106481481481E-3</v>
      </c>
      <c r="AX57" s="62" t="str">
        <f t="shared" si="125"/>
        <v>DNS/DNF</v>
      </c>
      <c r="AY57" s="62">
        <f t="shared" si="126"/>
        <v>4.1738078703703703E-3</v>
      </c>
      <c r="AZ57" s="62" t="str">
        <f t="shared" si="127"/>
        <v>DNS/DNF</v>
      </c>
      <c r="BA57" s="62" t="str">
        <f t="shared" si="128"/>
        <v>DNS/DNF</v>
      </c>
      <c r="BB57" s="62" t="str">
        <f t="shared" si="129"/>
        <v>DNS/DNF</v>
      </c>
      <c r="BC57" s="75">
        <f t="shared" si="130"/>
        <v>172</v>
      </c>
      <c r="BD57" s="53" t="str">
        <f t="shared" si="131"/>
        <v/>
      </c>
      <c r="BE57" s="53">
        <f t="shared" si="132"/>
        <v>278040</v>
      </c>
      <c r="BF57" s="53">
        <f t="shared" si="133"/>
        <v>161572</v>
      </c>
      <c r="BG57" s="53" t="str">
        <f t="shared" si="134"/>
        <v/>
      </c>
      <c r="BH57" s="53">
        <f t="shared" si="135"/>
        <v>369606</v>
      </c>
      <c r="BI57" s="53" t="str">
        <f t="shared" si="136"/>
        <v/>
      </c>
      <c r="BJ57" s="53" t="str">
        <f t="shared" si="137"/>
        <v/>
      </c>
      <c r="BK57" s="53" t="str">
        <f t="shared" si="138"/>
        <v/>
      </c>
    </row>
    <row r="58" spans="1:63">
      <c r="A58" s="53">
        <v>167</v>
      </c>
      <c r="B58" s="89" t="str">
        <f>IFERROR(VLOOKUP($A58,EntryList!$A$3:$N$645,2,FALSE),"")</f>
        <v>Stephan Terblanche</v>
      </c>
      <c r="C58" s="74"/>
      <c r="D58" s="53">
        <f t="shared" si="105"/>
        <v>2</v>
      </c>
      <c r="E58" s="62"/>
      <c r="F58" s="62">
        <v>3.9099074074074071E-3</v>
      </c>
      <c r="G58" s="62">
        <v>1.9553240740740742E-3</v>
      </c>
      <c r="H58" s="62"/>
      <c r="I58" s="62"/>
      <c r="J58" s="62"/>
      <c r="K58" s="62"/>
      <c r="L58" s="62"/>
      <c r="M58" s="62">
        <v>5.8652314814814808E-3</v>
      </c>
      <c r="N58" s="62">
        <f t="shared" si="106"/>
        <v>5.8652314814814817E-3</v>
      </c>
      <c r="O58" s="53" t="str">
        <f t="shared" si="107"/>
        <v/>
      </c>
      <c r="P58" s="53">
        <f t="shared" si="108"/>
        <v>246</v>
      </c>
      <c r="Q58" s="53">
        <f t="shared" si="109"/>
        <v>192</v>
      </c>
      <c r="R58" s="53" t="str">
        <f t="shared" si="110"/>
        <v/>
      </c>
      <c r="S58" s="53" t="str">
        <f t="shared" si="111"/>
        <v/>
      </c>
      <c r="T58" s="53" t="str">
        <f t="shared" si="112"/>
        <v/>
      </c>
      <c r="U58" s="53" t="str">
        <f t="shared" si="113"/>
        <v/>
      </c>
      <c r="V58" s="53" t="str">
        <f t="shared" si="114"/>
        <v/>
      </c>
      <c r="W58" s="53" t="str">
        <f t="shared" si="139"/>
        <v>DNS/DNF ()</v>
      </c>
      <c r="X58" s="53" t="str">
        <f t="shared" si="115"/>
        <v>00:05:37.8 (246)</v>
      </c>
      <c r="Y58" s="53" t="str">
        <f t="shared" si="116"/>
        <v>00:02:48.9 (192)</v>
      </c>
      <c r="Z58" s="53" t="str">
        <f t="shared" si="117"/>
        <v>DNS/DNF ()</v>
      </c>
      <c r="AA58" s="53" t="str">
        <f t="shared" si="118"/>
        <v>DNS/DNF ()</v>
      </c>
      <c r="AB58" s="53" t="str">
        <f t="shared" si="119"/>
        <v>DNS/DNF ()</v>
      </c>
      <c r="AC58" s="53" t="str">
        <f t="shared" si="120"/>
        <v>DNS/DNF ()</v>
      </c>
      <c r="AD58" s="53" t="str">
        <f t="shared" si="121"/>
        <v>DNS/DNF ()</v>
      </c>
      <c r="AE58" s="53">
        <v>0</v>
      </c>
      <c r="AF58" s="53">
        <v>0</v>
      </c>
      <c r="AG58" s="53">
        <v>35718208</v>
      </c>
      <c r="AH58" s="53">
        <v>36056024</v>
      </c>
      <c r="AI58" s="53">
        <v>41496714</v>
      </c>
      <c r="AJ58" s="53">
        <v>41665654</v>
      </c>
      <c r="AK58" s="53">
        <v>0</v>
      </c>
      <c r="AL58" s="53">
        <v>0</v>
      </c>
      <c r="AM58" s="53">
        <v>0</v>
      </c>
      <c r="AN58" s="53">
        <v>42385700</v>
      </c>
      <c r="AO58" s="53">
        <v>0</v>
      </c>
      <c r="AP58" s="53">
        <v>0</v>
      </c>
      <c r="AQ58" s="53">
        <v>0</v>
      </c>
      <c r="AR58" s="53">
        <v>0</v>
      </c>
      <c r="AS58" s="53">
        <v>0</v>
      </c>
      <c r="AT58" s="53">
        <v>0</v>
      </c>
      <c r="AU58" s="62" t="str">
        <f t="shared" si="122"/>
        <v>DNS/DNF</v>
      </c>
      <c r="AV58" s="62">
        <f t="shared" si="123"/>
        <v>3.9099074074074071E-3</v>
      </c>
      <c r="AW58" s="62">
        <f t="shared" si="124"/>
        <v>1.9553240740740742E-3</v>
      </c>
      <c r="AX58" s="62" t="str">
        <f t="shared" si="125"/>
        <v>DNS/DNF</v>
      </c>
      <c r="AY58" s="62" t="str">
        <f t="shared" si="126"/>
        <v>DNS/DNF</v>
      </c>
      <c r="AZ58" s="62" t="str">
        <f t="shared" si="127"/>
        <v>DNS/DNF</v>
      </c>
      <c r="BA58" s="62" t="str">
        <f t="shared" si="128"/>
        <v>DNS/DNF</v>
      </c>
      <c r="BB58" s="62" t="str">
        <f t="shared" si="129"/>
        <v>DNS/DNF</v>
      </c>
      <c r="BC58" s="75">
        <f t="shared" si="130"/>
        <v>219</v>
      </c>
      <c r="BD58" s="53" t="str">
        <f t="shared" si="131"/>
        <v/>
      </c>
      <c r="BE58" s="53">
        <f t="shared" si="132"/>
        <v>307518</v>
      </c>
      <c r="BF58" s="53">
        <f t="shared" si="133"/>
        <v>181738</v>
      </c>
      <c r="BG58" s="53" t="str">
        <f t="shared" si="134"/>
        <v/>
      </c>
      <c r="BH58" s="53">
        <f t="shared" si="135"/>
        <v>408141</v>
      </c>
      <c r="BI58" s="53" t="str">
        <f t="shared" si="136"/>
        <v/>
      </c>
      <c r="BJ58" s="53" t="str">
        <f t="shared" si="137"/>
        <v/>
      </c>
      <c r="BK58" s="53" t="str">
        <f t="shared" si="138"/>
        <v/>
      </c>
    </row>
    <row r="59" spans="1:63">
      <c r="A59" s="53">
        <v>75</v>
      </c>
      <c r="B59" s="89" t="str">
        <f>IFERROR(VLOOKUP($A59,EntryList!$A$3:$N$645,2,FALSE),"")</f>
        <v>Michelle George</v>
      </c>
      <c r="C59" s="74"/>
      <c r="D59" s="53">
        <f t="shared" si="105"/>
        <v>3</v>
      </c>
      <c r="E59" s="62"/>
      <c r="F59" s="62">
        <v>3.165833333333333E-3</v>
      </c>
      <c r="G59" s="62">
        <v>1.894016203703704E-3</v>
      </c>
      <c r="H59" s="62"/>
      <c r="I59" s="62">
        <v>4.1624189814814814E-3</v>
      </c>
      <c r="J59" s="62"/>
      <c r="K59" s="62"/>
      <c r="L59" s="62"/>
      <c r="M59" s="62">
        <v>9.2222685185185185E-3</v>
      </c>
      <c r="N59" s="62">
        <f t="shared" si="106"/>
        <v>9.2222685185185185E-3</v>
      </c>
      <c r="O59" s="53" t="str">
        <f t="shared" si="107"/>
        <v/>
      </c>
      <c r="P59" s="53">
        <f t="shared" si="108"/>
        <v>154</v>
      </c>
      <c r="Q59" s="53">
        <f t="shared" si="109"/>
        <v>179</v>
      </c>
      <c r="R59" s="53" t="str">
        <f t="shared" si="110"/>
        <v/>
      </c>
      <c r="S59" s="53">
        <f t="shared" si="111"/>
        <v>146</v>
      </c>
      <c r="T59" s="53" t="str">
        <f t="shared" si="112"/>
        <v/>
      </c>
      <c r="U59" s="53" t="str">
        <f t="shared" si="113"/>
        <v/>
      </c>
      <c r="V59" s="53" t="str">
        <f t="shared" si="114"/>
        <v/>
      </c>
      <c r="W59" s="53" t="str">
        <f t="shared" si="139"/>
        <v>DNS/DNF ()</v>
      </c>
      <c r="X59" s="53" t="str">
        <f t="shared" si="115"/>
        <v>00:04:33.5 (154)</v>
      </c>
      <c r="Y59" s="53" t="str">
        <f t="shared" si="116"/>
        <v>00:02:43.6 (179)</v>
      </c>
      <c r="Z59" s="53" t="str">
        <f t="shared" si="117"/>
        <v>DNS/DNF ()</v>
      </c>
      <c r="AA59" s="53" t="str">
        <f t="shared" si="118"/>
        <v>00:05:59.6 (146)</v>
      </c>
      <c r="AB59" s="53" t="str">
        <f t="shared" si="119"/>
        <v>DNS/DNF ()</v>
      </c>
      <c r="AC59" s="53" t="str">
        <f t="shared" si="120"/>
        <v>DNS/DNF ()</v>
      </c>
      <c r="AD59" s="53" t="str">
        <f t="shared" si="121"/>
        <v>DNS/DNF ()</v>
      </c>
      <c r="AE59" s="53">
        <v>0</v>
      </c>
      <c r="AF59" s="53">
        <v>0</v>
      </c>
      <c r="AG59" s="53">
        <v>33701651</v>
      </c>
      <c r="AH59" s="53">
        <v>33975179</v>
      </c>
      <c r="AI59" s="53">
        <v>37069713</v>
      </c>
      <c r="AJ59" s="53">
        <v>37233356</v>
      </c>
      <c r="AK59" s="53">
        <v>0</v>
      </c>
      <c r="AL59" s="53">
        <v>0</v>
      </c>
      <c r="AM59" s="53">
        <v>41896044</v>
      </c>
      <c r="AN59" s="53">
        <v>42255677</v>
      </c>
      <c r="AO59" s="53">
        <v>0</v>
      </c>
      <c r="AP59" s="53">
        <v>0</v>
      </c>
      <c r="AQ59" s="53">
        <v>0</v>
      </c>
      <c r="AR59" s="53">
        <v>0</v>
      </c>
      <c r="AS59" s="53">
        <v>0</v>
      </c>
      <c r="AT59" s="53">
        <v>0</v>
      </c>
      <c r="AU59" s="62" t="str">
        <f t="shared" si="122"/>
        <v>DNS/DNF</v>
      </c>
      <c r="AV59" s="62">
        <f t="shared" si="123"/>
        <v>3.1658333333333334E-3</v>
      </c>
      <c r="AW59" s="62">
        <f t="shared" si="124"/>
        <v>1.8940162037037037E-3</v>
      </c>
      <c r="AX59" s="62" t="str">
        <f t="shared" si="125"/>
        <v>DNS/DNF</v>
      </c>
      <c r="AY59" s="62">
        <f t="shared" si="126"/>
        <v>4.1624189814814814E-3</v>
      </c>
      <c r="AZ59" s="62" t="str">
        <f t="shared" si="127"/>
        <v>DNS/DNF</v>
      </c>
      <c r="BA59" s="62" t="str">
        <f t="shared" si="128"/>
        <v>DNS/DNF</v>
      </c>
      <c r="BB59" s="62" t="str">
        <f t="shared" si="129"/>
        <v>DNS/DNF</v>
      </c>
      <c r="BC59" s="75">
        <f t="shared" si="130"/>
        <v>160</v>
      </c>
      <c r="BD59" s="53" t="str">
        <f t="shared" si="131"/>
        <v/>
      </c>
      <c r="BE59" s="53">
        <f t="shared" si="132"/>
        <v>274928</v>
      </c>
      <c r="BF59" s="53">
        <f t="shared" si="133"/>
        <v>160301</v>
      </c>
      <c r="BG59" s="53" t="str">
        <f t="shared" si="134"/>
        <v/>
      </c>
      <c r="BH59" s="53">
        <f t="shared" si="135"/>
        <v>365092</v>
      </c>
      <c r="BI59" s="53" t="str">
        <f t="shared" si="136"/>
        <v/>
      </c>
      <c r="BJ59" s="53" t="str">
        <f t="shared" si="137"/>
        <v/>
      </c>
      <c r="BK59" s="53" t="str">
        <f t="shared" si="138"/>
        <v/>
      </c>
    </row>
    <row r="60" spans="1:63">
      <c r="A60" s="53">
        <v>161</v>
      </c>
      <c r="B60" s="89" t="str">
        <f>IFERROR(VLOOKUP($A60,EntryList!$A$3:$N$645,2,FALSE),"")</f>
        <v>Henk De Kock</v>
      </c>
      <c r="C60" s="74"/>
      <c r="D60" s="53">
        <f t="shared" si="105"/>
        <v>3</v>
      </c>
      <c r="E60" s="62"/>
      <c r="F60" s="62">
        <v>3.3681365740740742E-3</v>
      </c>
      <c r="G60" s="62">
        <v>1.9237962962962965E-3</v>
      </c>
      <c r="H60" s="62"/>
      <c r="I60" s="62">
        <v>4.4898958333333327E-3</v>
      </c>
      <c r="J60" s="62"/>
      <c r="K60" s="62"/>
      <c r="L60" s="62"/>
      <c r="M60" s="62">
        <v>9.781828703703704E-3</v>
      </c>
      <c r="N60" s="62">
        <f t="shared" si="106"/>
        <v>9.781828703703704E-3</v>
      </c>
      <c r="O60" s="53" t="str">
        <f t="shared" si="107"/>
        <v/>
      </c>
      <c r="P60" s="53">
        <f t="shared" si="108"/>
        <v>200</v>
      </c>
      <c r="Q60" s="53">
        <f t="shared" si="109"/>
        <v>187</v>
      </c>
      <c r="R60" s="53" t="str">
        <f t="shared" si="110"/>
        <v/>
      </c>
      <c r="S60" s="53">
        <f t="shared" si="111"/>
        <v>192</v>
      </c>
      <c r="T60" s="53" t="str">
        <f t="shared" si="112"/>
        <v/>
      </c>
      <c r="U60" s="53" t="str">
        <f t="shared" si="113"/>
        <v/>
      </c>
      <c r="V60" s="53" t="str">
        <f t="shared" si="114"/>
        <v/>
      </c>
      <c r="W60" s="53" t="str">
        <f t="shared" si="139"/>
        <v>DNS/DNF ()</v>
      </c>
      <c r="X60" s="53" t="str">
        <f t="shared" si="115"/>
        <v>00:04:51.0 (200)</v>
      </c>
      <c r="Y60" s="53" t="str">
        <f t="shared" si="116"/>
        <v>00:02:46.2 (187)</v>
      </c>
      <c r="Z60" s="53" t="str">
        <f t="shared" si="117"/>
        <v>DNS/DNF ()</v>
      </c>
      <c r="AA60" s="53" t="str">
        <f t="shared" si="118"/>
        <v>00:06:27.9 (192)</v>
      </c>
      <c r="AB60" s="53" t="str">
        <f t="shared" si="119"/>
        <v>DNS/DNF ()</v>
      </c>
      <c r="AC60" s="53" t="str">
        <f t="shared" si="120"/>
        <v>DNS/DNF ()</v>
      </c>
      <c r="AD60" s="53" t="str">
        <f t="shared" si="121"/>
        <v>DNS/DNF ()</v>
      </c>
      <c r="AE60" s="53">
        <v>0</v>
      </c>
      <c r="AF60" s="53">
        <v>0</v>
      </c>
      <c r="AG60" s="53">
        <v>37865153</v>
      </c>
      <c r="AH60" s="53">
        <v>38156160</v>
      </c>
      <c r="AI60" s="53">
        <v>33234698</v>
      </c>
      <c r="AJ60" s="53">
        <v>33400914</v>
      </c>
      <c r="AK60" s="53">
        <v>0</v>
      </c>
      <c r="AL60" s="53">
        <v>0</v>
      </c>
      <c r="AM60" s="53">
        <v>42399764</v>
      </c>
      <c r="AN60" s="53">
        <v>42787691</v>
      </c>
      <c r="AO60" s="53">
        <v>0</v>
      </c>
      <c r="AP60" s="53">
        <v>0</v>
      </c>
      <c r="AQ60" s="53">
        <v>0</v>
      </c>
      <c r="AR60" s="53">
        <v>0</v>
      </c>
      <c r="AS60" s="53">
        <v>0</v>
      </c>
      <c r="AT60" s="53">
        <v>0</v>
      </c>
      <c r="AU60" s="62" t="str">
        <f t="shared" si="122"/>
        <v>DNS/DNF</v>
      </c>
      <c r="AV60" s="62">
        <f t="shared" si="123"/>
        <v>3.3681365740740742E-3</v>
      </c>
      <c r="AW60" s="62">
        <f t="shared" si="124"/>
        <v>1.9237962962962963E-3</v>
      </c>
      <c r="AX60" s="62" t="str">
        <f t="shared" si="125"/>
        <v>DNS/DNF</v>
      </c>
      <c r="AY60" s="62">
        <f t="shared" si="126"/>
        <v>4.4898958333333336E-3</v>
      </c>
      <c r="AZ60" s="62" t="str">
        <f t="shared" si="127"/>
        <v>DNS/DNF</v>
      </c>
      <c r="BA60" s="62" t="str">
        <f t="shared" si="128"/>
        <v>DNS/DNF</v>
      </c>
      <c r="BB60" s="62" t="str">
        <f t="shared" si="129"/>
        <v>DNS/DNF</v>
      </c>
      <c r="BC60" s="75">
        <f t="shared" si="130"/>
        <v>193</v>
      </c>
      <c r="BD60" s="53" t="str">
        <f t="shared" si="131"/>
        <v/>
      </c>
      <c r="BE60" s="53">
        <f t="shared" si="132"/>
        <v>284625</v>
      </c>
      <c r="BF60" s="53">
        <f t="shared" si="133"/>
        <v>168945</v>
      </c>
      <c r="BG60" s="53" t="str">
        <f t="shared" si="134"/>
        <v/>
      </c>
      <c r="BH60" s="53">
        <f t="shared" si="135"/>
        <v>388246</v>
      </c>
      <c r="BI60" s="53" t="str">
        <f t="shared" si="136"/>
        <v/>
      </c>
      <c r="BJ60" s="53" t="str">
        <f t="shared" si="137"/>
        <v/>
      </c>
      <c r="BK60" s="53" t="str">
        <f t="shared" si="138"/>
        <v/>
      </c>
    </row>
    <row r="61" spans="1:63">
      <c r="A61" s="53">
        <v>205</v>
      </c>
      <c r="B61" s="89" t="str">
        <f>IFERROR(VLOOKUP($A61,EntryList!$A$3:$N$645,2,FALSE),"")</f>
        <v>Johmar Loubser</v>
      </c>
      <c r="C61" s="74"/>
      <c r="D61" s="53">
        <f t="shared" si="105"/>
        <v>3</v>
      </c>
      <c r="E61" s="62"/>
      <c r="F61" s="62">
        <v>2.8332291666666666E-3</v>
      </c>
      <c r="G61" s="62">
        <v>1.5814930555555556E-3</v>
      </c>
      <c r="H61" s="62"/>
      <c r="I61" s="62">
        <v>3.6926736111111114E-3</v>
      </c>
      <c r="J61" s="62"/>
      <c r="K61" s="62"/>
      <c r="L61" s="62"/>
      <c r="M61" s="62">
        <v>8.1073958333333328E-3</v>
      </c>
      <c r="N61" s="62">
        <f t="shared" si="106"/>
        <v>8.1073958333333328E-3</v>
      </c>
      <c r="O61" s="53" t="str">
        <f t="shared" si="107"/>
        <v/>
      </c>
      <c r="P61" s="53">
        <f t="shared" si="108"/>
        <v>79</v>
      </c>
      <c r="Q61" s="53">
        <f t="shared" si="109"/>
        <v>71</v>
      </c>
      <c r="R61" s="53" t="str">
        <f t="shared" si="110"/>
        <v/>
      </c>
      <c r="S61" s="53">
        <f t="shared" si="111"/>
        <v>53</v>
      </c>
      <c r="T61" s="53" t="str">
        <f t="shared" si="112"/>
        <v/>
      </c>
      <c r="U61" s="53" t="str">
        <f t="shared" si="113"/>
        <v/>
      </c>
      <c r="V61" s="53" t="str">
        <f t="shared" si="114"/>
        <v/>
      </c>
      <c r="W61" s="53" t="str">
        <f t="shared" si="139"/>
        <v>DNS/DNF ()</v>
      </c>
      <c r="X61" s="53" t="str">
        <f t="shared" si="115"/>
        <v>00:04:04.8 (79)</v>
      </c>
      <c r="Y61" s="53" t="str">
        <f t="shared" si="116"/>
        <v>00:02:16.6 (71)</v>
      </c>
      <c r="Z61" s="53" t="str">
        <f t="shared" si="117"/>
        <v>DNS/DNF ()</v>
      </c>
      <c r="AA61" s="53" t="str">
        <f t="shared" si="118"/>
        <v>00:05:19.0 (53)</v>
      </c>
      <c r="AB61" s="53" t="str">
        <f t="shared" si="119"/>
        <v>DNS/DNF ()</v>
      </c>
      <c r="AC61" s="53" t="str">
        <f t="shared" si="120"/>
        <v>DNS/DNF ()</v>
      </c>
      <c r="AD61" s="53" t="str">
        <f t="shared" si="121"/>
        <v>DNS/DNF ()</v>
      </c>
      <c r="AE61" s="53">
        <v>0</v>
      </c>
      <c r="AF61" s="53">
        <v>0</v>
      </c>
      <c r="AG61" s="53">
        <v>34749150</v>
      </c>
      <c r="AH61" s="53">
        <v>34993941</v>
      </c>
      <c r="AI61" s="53">
        <v>37964088</v>
      </c>
      <c r="AJ61" s="53">
        <v>38100729</v>
      </c>
      <c r="AK61" s="53">
        <v>0</v>
      </c>
      <c r="AL61" s="53">
        <v>0</v>
      </c>
      <c r="AM61" s="53">
        <v>42199188</v>
      </c>
      <c r="AN61" s="53">
        <v>42518235</v>
      </c>
      <c r="AO61" s="53">
        <v>0</v>
      </c>
      <c r="AP61" s="53">
        <v>0</v>
      </c>
      <c r="AQ61" s="53">
        <v>0</v>
      </c>
      <c r="AR61" s="53">
        <v>0</v>
      </c>
      <c r="AS61" s="53">
        <v>0</v>
      </c>
      <c r="AT61" s="53">
        <v>0</v>
      </c>
      <c r="AU61" s="62" t="str">
        <f t="shared" si="122"/>
        <v>DNS/DNF</v>
      </c>
      <c r="AV61" s="62">
        <f t="shared" si="123"/>
        <v>2.8332291666666666E-3</v>
      </c>
      <c r="AW61" s="62">
        <f t="shared" si="124"/>
        <v>1.5814930555555556E-3</v>
      </c>
      <c r="AX61" s="62" t="str">
        <f t="shared" si="125"/>
        <v>DNS/DNF</v>
      </c>
      <c r="AY61" s="62">
        <f t="shared" si="126"/>
        <v>3.692673611111111E-3</v>
      </c>
      <c r="AZ61" s="62" t="str">
        <f t="shared" si="127"/>
        <v>DNS/DNF</v>
      </c>
      <c r="BA61" s="62" t="str">
        <f t="shared" si="128"/>
        <v>DNS/DNF</v>
      </c>
      <c r="BB61" s="62" t="str">
        <f t="shared" si="129"/>
        <v>DNS/DNF</v>
      </c>
      <c r="BC61" s="75">
        <f t="shared" si="130"/>
        <v>68</v>
      </c>
      <c r="BD61" s="53">
        <f t="shared" si="131"/>
        <v>246067</v>
      </c>
      <c r="BE61" s="53">
        <f t="shared" si="132"/>
        <v>241660.00000000003</v>
      </c>
      <c r="BF61" s="53">
        <f t="shared" si="133"/>
        <v>135848</v>
      </c>
      <c r="BG61" s="53">
        <f t="shared" si="134"/>
        <v>272370</v>
      </c>
      <c r="BH61" s="53">
        <f t="shared" si="135"/>
        <v>329294</v>
      </c>
      <c r="BI61" s="53" t="str">
        <f t="shared" si="136"/>
        <v/>
      </c>
      <c r="BJ61" s="53" t="str">
        <f t="shared" si="137"/>
        <v/>
      </c>
      <c r="BK61" s="53" t="str">
        <f t="shared" si="138"/>
        <v/>
      </c>
    </row>
    <row r="62" spans="1:63">
      <c r="A62" s="53">
        <v>293</v>
      </c>
      <c r="B62" s="89" t="str">
        <f>IFERROR(VLOOKUP($A62,EntryList!$A$3:$N$645,2,FALSE),"")</f>
        <v>Wynand Mostert</v>
      </c>
      <c r="C62" s="74"/>
      <c r="D62" s="53">
        <f t="shared" si="105"/>
        <v>3</v>
      </c>
      <c r="E62" s="62"/>
      <c r="F62" s="62">
        <v>2.7309375000000003E-3</v>
      </c>
      <c r="G62" s="62">
        <v>1.5565972222222222E-3</v>
      </c>
      <c r="H62" s="62"/>
      <c r="I62" s="62">
        <v>3.7701967592592596E-3</v>
      </c>
      <c r="J62" s="62"/>
      <c r="K62" s="62"/>
      <c r="L62" s="62"/>
      <c r="M62" s="62">
        <v>8.0577314814814817E-3</v>
      </c>
      <c r="N62" s="62">
        <f t="shared" si="106"/>
        <v>8.0577314814814817E-3</v>
      </c>
      <c r="O62" s="53" t="str">
        <f t="shared" si="107"/>
        <v/>
      </c>
      <c r="P62" s="53">
        <f t="shared" si="108"/>
        <v>54</v>
      </c>
      <c r="Q62" s="53">
        <f t="shared" si="109"/>
        <v>62</v>
      </c>
      <c r="R62" s="53" t="str">
        <f t="shared" si="110"/>
        <v/>
      </c>
      <c r="S62" s="53">
        <f t="shared" si="111"/>
        <v>63</v>
      </c>
      <c r="T62" s="53" t="str">
        <f t="shared" si="112"/>
        <v/>
      </c>
      <c r="U62" s="53" t="str">
        <f t="shared" si="113"/>
        <v/>
      </c>
      <c r="V62" s="53" t="str">
        <f t="shared" si="114"/>
        <v/>
      </c>
      <c r="W62" s="53" t="str">
        <f t="shared" si="139"/>
        <v>DNS/DNF ()</v>
      </c>
      <c r="X62" s="53" t="str">
        <f t="shared" si="115"/>
        <v>00:03:56.0 (54)</v>
      </c>
      <c r="Y62" s="53" t="str">
        <f t="shared" si="116"/>
        <v>00:02:14.5 (62)</v>
      </c>
      <c r="Z62" s="53" t="str">
        <f t="shared" si="117"/>
        <v>DNS/DNF ()</v>
      </c>
      <c r="AA62" s="53" t="str">
        <f t="shared" si="118"/>
        <v>00:05:25.7 (63)</v>
      </c>
      <c r="AB62" s="53" t="str">
        <f t="shared" si="119"/>
        <v>DNS/DNF ()</v>
      </c>
      <c r="AC62" s="53" t="str">
        <f t="shared" si="120"/>
        <v>DNS/DNF ()</v>
      </c>
      <c r="AD62" s="53" t="str">
        <f t="shared" si="121"/>
        <v>DNS/DNF ()</v>
      </c>
      <c r="AE62" s="53">
        <v>0</v>
      </c>
      <c r="AF62" s="53">
        <v>0</v>
      </c>
      <c r="AG62" s="53">
        <v>34793899</v>
      </c>
      <c r="AH62" s="53">
        <v>35029852</v>
      </c>
      <c r="AI62" s="53">
        <v>37995830</v>
      </c>
      <c r="AJ62" s="53">
        <v>38130320</v>
      </c>
      <c r="AK62" s="53">
        <v>0</v>
      </c>
      <c r="AL62" s="53">
        <v>0</v>
      </c>
      <c r="AM62" s="53">
        <v>42265746</v>
      </c>
      <c r="AN62" s="53">
        <v>42591491</v>
      </c>
      <c r="AO62" s="53">
        <v>0</v>
      </c>
      <c r="AP62" s="53">
        <v>0</v>
      </c>
      <c r="AQ62" s="53">
        <v>0</v>
      </c>
      <c r="AR62" s="53">
        <v>0</v>
      </c>
      <c r="AS62" s="53">
        <v>0</v>
      </c>
      <c r="AT62" s="53">
        <v>0</v>
      </c>
      <c r="AU62" s="62" t="str">
        <f t="shared" si="122"/>
        <v>DNS/DNF</v>
      </c>
      <c r="AV62" s="62">
        <f t="shared" si="123"/>
        <v>2.7309374999999999E-3</v>
      </c>
      <c r="AW62" s="62">
        <f t="shared" si="124"/>
        <v>1.5565972222222222E-3</v>
      </c>
      <c r="AX62" s="62" t="str">
        <f t="shared" si="125"/>
        <v>DNS/DNF</v>
      </c>
      <c r="AY62" s="62">
        <f t="shared" si="126"/>
        <v>3.7701967592592592E-3</v>
      </c>
      <c r="AZ62" s="62" t="str">
        <f t="shared" si="127"/>
        <v>DNS/DNF</v>
      </c>
      <c r="BA62" s="62" t="str">
        <f t="shared" si="128"/>
        <v>DNS/DNF</v>
      </c>
      <c r="BB62" s="62" t="str">
        <f t="shared" si="129"/>
        <v>DNS/DNF</v>
      </c>
      <c r="BC62" s="75">
        <f t="shared" si="130"/>
        <v>60</v>
      </c>
      <c r="BD62" s="53">
        <f t="shared" si="131"/>
        <v>241312</v>
      </c>
      <c r="BE62" s="53">
        <f t="shared" si="132"/>
        <v>238615</v>
      </c>
      <c r="BF62" s="53">
        <f t="shared" si="133"/>
        <v>132934</v>
      </c>
      <c r="BG62" s="53">
        <f t="shared" si="134"/>
        <v>268729</v>
      </c>
      <c r="BH62" s="53" t="str">
        <f t="shared" si="135"/>
        <v/>
      </c>
      <c r="BI62" s="53" t="str">
        <f t="shared" si="136"/>
        <v/>
      </c>
      <c r="BJ62" s="53" t="str">
        <f t="shared" si="137"/>
        <v/>
      </c>
      <c r="BK62" s="53" t="str">
        <f t="shared" si="138"/>
        <v/>
      </c>
    </row>
    <row r="63" spans="1:63">
      <c r="A63" s="53">
        <v>251</v>
      </c>
      <c r="B63" s="89" t="str">
        <f>IFERROR(VLOOKUP($A63,EntryList!$A$3:$N$645,2,FALSE),"")</f>
        <v>Lineke Groenewald</v>
      </c>
      <c r="C63" s="74"/>
      <c r="D63" s="53">
        <f t="shared" si="105"/>
        <v>3</v>
      </c>
      <c r="E63" s="62"/>
      <c r="F63" s="62">
        <v>3.3589467592592594E-3</v>
      </c>
      <c r="G63" s="62">
        <v>1.8921643518518517E-3</v>
      </c>
      <c r="H63" s="62"/>
      <c r="I63" s="62">
        <v>4.2394212962962958E-3</v>
      </c>
      <c r="J63" s="62"/>
      <c r="K63" s="62"/>
      <c r="L63" s="62"/>
      <c r="M63" s="62">
        <v>9.4905324074074076E-3</v>
      </c>
      <c r="N63" s="62">
        <f t="shared" si="106"/>
        <v>9.4905324074074076E-3</v>
      </c>
      <c r="O63" s="53" t="str">
        <f t="shared" si="107"/>
        <v/>
      </c>
      <c r="P63" s="53">
        <f t="shared" si="108"/>
        <v>199</v>
      </c>
      <c r="Q63" s="53">
        <f t="shared" si="109"/>
        <v>178</v>
      </c>
      <c r="R63" s="53" t="str">
        <f t="shared" si="110"/>
        <v/>
      </c>
      <c r="S63" s="53">
        <f t="shared" si="111"/>
        <v>162</v>
      </c>
      <c r="T63" s="53" t="str">
        <f t="shared" si="112"/>
        <v/>
      </c>
      <c r="U63" s="53" t="str">
        <f t="shared" si="113"/>
        <v/>
      </c>
      <c r="V63" s="53" t="str">
        <f t="shared" si="114"/>
        <v/>
      </c>
      <c r="W63" s="53" t="str">
        <f t="shared" si="139"/>
        <v>DNS/DNF ()</v>
      </c>
      <c r="X63" s="53" t="str">
        <f t="shared" si="115"/>
        <v>00:04:50.2 (199)</v>
      </c>
      <c r="Y63" s="53" t="str">
        <f t="shared" si="116"/>
        <v>00:02:43.5 (178)</v>
      </c>
      <c r="Z63" s="53" t="str">
        <f t="shared" si="117"/>
        <v>DNS/DNF ()</v>
      </c>
      <c r="AA63" s="53" t="str">
        <f t="shared" si="118"/>
        <v>00:06:06.3 (162)</v>
      </c>
      <c r="AB63" s="53" t="str">
        <f t="shared" si="119"/>
        <v>DNS/DNF ()</v>
      </c>
      <c r="AC63" s="53" t="str">
        <f t="shared" si="120"/>
        <v>DNS/DNF ()</v>
      </c>
      <c r="AD63" s="53" t="str">
        <f t="shared" si="121"/>
        <v>DNS/DNF ()</v>
      </c>
      <c r="AE63" s="53">
        <v>0</v>
      </c>
      <c r="AF63" s="53">
        <v>0</v>
      </c>
      <c r="AG63" s="53">
        <v>34881942</v>
      </c>
      <c r="AH63" s="53">
        <v>35172155</v>
      </c>
      <c r="AI63" s="53">
        <v>38080625</v>
      </c>
      <c r="AJ63" s="53">
        <v>38244108</v>
      </c>
      <c r="AK63" s="53">
        <v>0</v>
      </c>
      <c r="AL63" s="53">
        <v>0</v>
      </c>
      <c r="AM63" s="53">
        <v>42309014</v>
      </c>
      <c r="AN63" s="53">
        <v>42675300</v>
      </c>
      <c r="AO63" s="53">
        <v>0</v>
      </c>
      <c r="AP63" s="53">
        <v>0</v>
      </c>
      <c r="AQ63" s="53">
        <v>0</v>
      </c>
      <c r="AR63" s="53">
        <v>0</v>
      </c>
      <c r="AS63" s="53">
        <v>0</v>
      </c>
      <c r="AT63" s="53">
        <v>0</v>
      </c>
      <c r="AU63" s="62" t="str">
        <f t="shared" si="122"/>
        <v>DNS/DNF</v>
      </c>
      <c r="AV63" s="62">
        <f t="shared" si="123"/>
        <v>3.3589467592592594E-3</v>
      </c>
      <c r="AW63" s="62">
        <f t="shared" si="124"/>
        <v>1.8921643518518519E-3</v>
      </c>
      <c r="AX63" s="62" t="str">
        <f t="shared" si="125"/>
        <v>DNS/DNF</v>
      </c>
      <c r="AY63" s="62">
        <f t="shared" si="126"/>
        <v>4.2394212962962967E-3</v>
      </c>
      <c r="AZ63" s="62" t="str">
        <f t="shared" si="127"/>
        <v>DNS/DNF</v>
      </c>
      <c r="BA63" s="62" t="str">
        <f t="shared" si="128"/>
        <v>DNS/DNF</v>
      </c>
      <c r="BB63" s="62" t="str">
        <f t="shared" si="129"/>
        <v>DNS/DNF</v>
      </c>
      <c r="BC63" s="75">
        <f t="shared" si="130"/>
        <v>180</v>
      </c>
      <c r="BD63" s="53" t="str">
        <f t="shared" si="131"/>
        <v/>
      </c>
      <c r="BE63" s="53">
        <f t="shared" si="132"/>
        <v>280650</v>
      </c>
      <c r="BF63" s="53">
        <f t="shared" si="133"/>
        <v>163848</v>
      </c>
      <c r="BG63" s="53" t="str">
        <f t="shared" si="134"/>
        <v/>
      </c>
      <c r="BH63" s="53">
        <f t="shared" si="135"/>
        <v>375847</v>
      </c>
      <c r="BI63" s="53" t="str">
        <f t="shared" si="136"/>
        <v/>
      </c>
      <c r="BJ63" s="53" t="str">
        <f t="shared" si="137"/>
        <v/>
      </c>
      <c r="BK63" s="53" t="str">
        <f t="shared" si="138"/>
        <v/>
      </c>
    </row>
    <row r="64" spans="1:63">
      <c r="A64" s="53">
        <v>134</v>
      </c>
      <c r="B64" s="89" t="str">
        <f>IFERROR(VLOOKUP($A64,EntryList!$A$3:$N$645,2,FALSE),"")</f>
        <v>Christiaan De Villiers</v>
      </c>
      <c r="C64" s="74"/>
      <c r="D64" s="53">
        <f t="shared" si="105"/>
        <v>3</v>
      </c>
      <c r="E64" s="62"/>
      <c r="F64" s="62">
        <v>2.7204166666666666E-3</v>
      </c>
      <c r="G64" s="62">
        <v>1.4608564814814814E-3</v>
      </c>
      <c r="H64" s="62"/>
      <c r="I64" s="62">
        <v>3.5939236111111115E-3</v>
      </c>
      <c r="J64" s="62"/>
      <c r="K64" s="62"/>
      <c r="L64" s="62"/>
      <c r="M64" s="62">
        <v>7.7751967592592586E-3</v>
      </c>
      <c r="N64" s="62">
        <f t="shared" si="106"/>
        <v>7.7751967592592586E-3</v>
      </c>
      <c r="O64" s="53" t="str">
        <f t="shared" si="107"/>
        <v/>
      </c>
      <c r="P64" s="53">
        <f t="shared" si="108"/>
        <v>53</v>
      </c>
      <c r="Q64" s="53">
        <f t="shared" si="109"/>
        <v>31</v>
      </c>
      <c r="R64" s="53" t="str">
        <f t="shared" si="110"/>
        <v/>
      </c>
      <c r="S64" s="53">
        <f t="shared" si="111"/>
        <v>34</v>
      </c>
      <c r="T64" s="53" t="str">
        <f t="shared" si="112"/>
        <v/>
      </c>
      <c r="U64" s="53" t="str">
        <f t="shared" si="113"/>
        <v/>
      </c>
      <c r="V64" s="53" t="str">
        <f t="shared" si="114"/>
        <v/>
      </c>
      <c r="W64" s="53" t="str">
        <f t="shared" si="139"/>
        <v>DNS/DNF ()</v>
      </c>
      <c r="X64" s="53" t="str">
        <f t="shared" si="115"/>
        <v>00:03:55.0 (53)</v>
      </c>
      <c r="Y64" s="53" t="str">
        <f t="shared" si="116"/>
        <v>00:02:06.2 (31)</v>
      </c>
      <c r="Z64" s="53" t="str">
        <f t="shared" si="117"/>
        <v>DNS/DNF ()</v>
      </c>
      <c r="AA64" s="53" t="str">
        <f t="shared" si="118"/>
        <v>00:05:10.5 (34)</v>
      </c>
      <c r="AB64" s="53" t="str">
        <f t="shared" si="119"/>
        <v>DNS/DNF ()</v>
      </c>
      <c r="AC64" s="53" t="str">
        <f t="shared" si="120"/>
        <v>DNS/DNF ()</v>
      </c>
      <c r="AD64" s="53" t="str">
        <f t="shared" si="121"/>
        <v>DNS/DNF ()</v>
      </c>
      <c r="AE64" s="53">
        <v>0</v>
      </c>
      <c r="AF64" s="53">
        <v>0</v>
      </c>
      <c r="AG64" s="53">
        <v>35240687</v>
      </c>
      <c r="AH64" s="53">
        <v>35475731</v>
      </c>
      <c r="AI64" s="53">
        <v>38810989</v>
      </c>
      <c r="AJ64" s="53">
        <v>38937207</v>
      </c>
      <c r="AK64" s="53">
        <v>0</v>
      </c>
      <c r="AL64" s="53">
        <v>0</v>
      </c>
      <c r="AM64" s="53">
        <v>42478776</v>
      </c>
      <c r="AN64" s="53">
        <v>42789291</v>
      </c>
      <c r="AO64" s="53">
        <v>0</v>
      </c>
      <c r="AP64" s="53">
        <v>0</v>
      </c>
      <c r="AQ64" s="53">
        <v>0</v>
      </c>
      <c r="AR64" s="53">
        <v>0</v>
      </c>
      <c r="AS64" s="53">
        <v>0</v>
      </c>
      <c r="AT64" s="53">
        <v>0</v>
      </c>
      <c r="AU64" s="62" t="str">
        <f t="shared" si="122"/>
        <v>DNS/DNF</v>
      </c>
      <c r="AV64" s="62">
        <f t="shared" si="123"/>
        <v>2.7204166666666666E-3</v>
      </c>
      <c r="AW64" s="62">
        <f t="shared" si="124"/>
        <v>1.4608564814814814E-3</v>
      </c>
      <c r="AX64" s="62" t="str">
        <f t="shared" si="125"/>
        <v>DNS/DNF</v>
      </c>
      <c r="AY64" s="62">
        <f t="shared" si="126"/>
        <v>3.5939236111111111E-3</v>
      </c>
      <c r="AZ64" s="62" t="str">
        <f t="shared" si="127"/>
        <v>DNS/DNF</v>
      </c>
      <c r="BA64" s="62" t="str">
        <f t="shared" si="128"/>
        <v>DNS/DNF</v>
      </c>
      <c r="BB64" s="62" t="str">
        <f t="shared" si="129"/>
        <v>DNS/DNF</v>
      </c>
      <c r="BC64" s="75">
        <f t="shared" si="130"/>
        <v>39</v>
      </c>
      <c r="BD64" s="53">
        <f t="shared" si="131"/>
        <v>220374</v>
      </c>
      <c r="BE64" s="53">
        <f t="shared" si="132"/>
        <v>230621.99999999997</v>
      </c>
      <c r="BF64" s="53">
        <f t="shared" si="133"/>
        <v>128737</v>
      </c>
      <c r="BG64" s="53">
        <f t="shared" si="134"/>
        <v>255968</v>
      </c>
      <c r="BH64" s="53">
        <f t="shared" si="135"/>
        <v>311759</v>
      </c>
      <c r="BI64" s="53" t="str">
        <f t="shared" si="136"/>
        <v/>
      </c>
      <c r="BJ64" s="53" t="str">
        <f t="shared" si="137"/>
        <v/>
      </c>
      <c r="BK64" s="53" t="str">
        <f t="shared" si="138"/>
        <v/>
      </c>
    </row>
    <row r="65" spans="1:63">
      <c r="A65" s="53">
        <v>194</v>
      </c>
      <c r="B65" s="89" t="str">
        <f>IFERROR(VLOOKUP($A65,EntryList!$A$3:$N$645,2,FALSE),"")</f>
        <v>Hanru Van Heyningen</v>
      </c>
      <c r="C65" s="74"/>
      <c r="D65" s="53">
        <f t="shared" si="105"/>
        <v>3</v>
      </c>
      <c r="E65" s="62"/>
      <c r="F65" s="62">
        <v>3.4030671296296296E-3</v>
      </c>
      <c r="G65" s="62">
        <v>1.875196759259259E-3</v>
      </c>
      <c r="H65" s="62"/>
      <c r="I65" s="62">
        <v>4.2941550925925925E-3</v>
      </c>
      <c r="J65" s="62"/>
      <c r="K65" s="62"/>
      <c r="L65" s="62"/>
      <c r="M65" s="62">
        <v>9.5724189814814804E-3</v>
      </c>
      <c r="N65" s="62">
        <f t="shared" si="106"/>
        <v>9.5724189814814821E-3</v>
      </c>
      <c r="O65" s="53" t="str">
        <f t="shared" si="107"/>
        <v/>
      </c>
      <c r="P65" s="53">
        <f t="shared" si="108"/>
        <v>204</v>
      </c>
      <c r="Q65" s="53">
        <f t="shared" si="109"/>
        <v>175</v>
      </c>
      <c r="R65" s="53" t="str">
        <f t="shared" si="110"/>
        <v/>
      </c>
      <c r="S65" s="53">
        <f t="shared" si="111"/>
        <v>174</v>
      </c>
      <c r="T65" s="53" t="str">
        <f t="shared" si="112"/>
        <v/>
      </c>
      <c r="U65" s="53" t="str">
        <f t="shared" si="113"/>
        <v/>
      </c>
      <c r="V65" s="53" t="str">
        <f t="shared" si="114"/>
        <v/>
      </c>
      <c r="W65" s="53" t="str">
        <f t="shared" si="139"/>
        <v>DNS/DNF ()</v>
      </c>
      <c r="X65" s="53" t="str">
        <f t="shared" si="115"/>
        <v>00:04:54.0 (204)</v>
      </c>
      <c r="Y65" s="53" t="str">
        <f t="shared" si="116"/>
        <v>00:02:42.0 (175)</v>
      </c>
      <c r="Z65" s="53" t="str">
        <f t="shared" si="117"/>
        <v>DNS/DNF ()</v>
      </c>
      <c r="AA65" s="53" t="str">
        <f t="shared" si="118"/>
        <v>00:06:11.0 (174)</v>
      </c>
      <c r="AB65" s="53" t="str">
        <f t="shared" si="119"/>
        <v>DNS/DNF ()</v>
      </c>
      <c r="AC65" s="53" t="str">
        <f t="shared" si="120"/>
        <v>DNS/DNF ()</v>
      </c>
      <c r="AD65" s="53" t="str">
        <f t="shared" si="121"/>
        <v>DNS/DNF ()</v>
      </c>
      <c r="AE65" s="53">
        <v>0</v>
      </c>
      <c r="AF65" s="53">
        <v>0</v>
      </c>
      <c r="AG65" s="53">
        <v>35265286</v>
      </c>
      <c r="AH65" s="53">
        <v>35559311</v>
      </c>
      <c r="AI65" s="53">
        <v>38840113</v>
      </c>
      <c r="AJ65" s="53">
        <v>39002130</v>
      </c>
      <c r="AK65" s="53">
        <v>0</v>
      </c>
      <c r="AL65" s="53">
        <v>0</v>
      </c>
      <c r="AM65" s="53">
        <v>42496156</v>
      </c>
      <c r="AN65" s="53">
        <v>42867171</v>
      </c>
      <c r="AO65" s="53">
        <v>0</v>
      </c>
      <c r="AP65" s="53">
        <v>0</v>
      </c>
      <c r="AQ65" s="53">
        <v>0</v>
      </c>
      <c r="AR65" s="53">
        <v>0</v>
      </c>
      <c r="AS65" s="53">
        <v>0</v>
      </c>
      <c r="AT65" s="53">
        <v>0</v>
      </c>
      <c r="AU65" s="62" t="str">
        <f t="shared" si="122"/>
        <v>DNS/DNF</v>
      </c>
      <c r="AV65" s="62">
        <f t="shared" si="123"/>
        <v>3.4030671296296296E-3</v>
      </c>
      <c r="AW65" s="62">
        <f t="shared" si="124"/>
        <v>1.8751967592592592E-3</v>
      </c>
      <c r="AX65" s="62" t="str">
        <f t="shared" si="125"/>
        <v>DNS/DNF</v>
      </c>
      <c r="AY65" s="62">
        <f t="shared" si="126"/>
        <v>4.2941550925925925E-3</v>
      </c>
      <c r="AZ65" s="62" t="str">
        <f t="shared" si="127"/>
        <v>DNS/DNF</v>
      </c>
      <c r="BA65" s="62" t="str">
        <f t="shared" si="128"/>
        <v>DNS/DNF</v>
      </c>
      <c r="BB65" s="62" t="str">
        <f t="shared" si="129"/>
        <v>DNS/DNF</v>
      </c>
      <c r="BC65" s="75">
        <f t="shared" si="130"/>
        <v>184</v>
      </c>
      <c r="BD65" s="53" t="str">
        <f t="shared" si="131"/>
        <v/>
      </c>
      <c r="BE65" s="53">
        <f t="shared" si="132"/>
        <v>282723</v>
      </c>
      <c r="BF65" s="53">
        <f t="shared" si="133"/>
        <v>165024</v>
      </c>
      <c r="BG65" s="53" t="str">
        <f t="shared" si="134"/>
        <v/>
      </c>
      <c r="BH65" s="53">
        <f t="shared" si="135"/>
        <v>380237</v>
      </c>
      <c r="BI65" s="53" t="str">
        <f t="shared" si="136"/>
        <v/>
      </c>
      <c r="BJ65" s="53" t="str">
        <f t="shared" si="137"/>
        <v/>
      </c>
      <c r="BK65" s="53" t="str">
        <f t="shared" si="138"/>
        <v/>
      </c>
    </row>
    <row r="66" spans="1:63">
      <c r="A66" s="53">
        <v>133</v>
      </c>
      <c r="B66" s="89" t="str">
        <f>IFERROR(VLOOKUP($A66,EntryList!$A$3:$N$645,2,FALSE),"")</f>
        <v>Christiaan De Villiers Snr</v>
      </c>
      <c r="C66" s="74"/>
      <c r="D66" s="53">
        <f t="shared" si="105"/>
        <v>3</v>
      </c>
      <c r="E66" s="62"/>
      <c r="F66" s="62">
        <v>3.0015162037037037E-3</v>
      </c>
      <c r="G66" s="62">
        <v>1.8539120370370374E-3</v>
      </c>
      <c r="H66" s="62"/>
      <c r="I66" s="62">
        <v>3.9348611111111112E-3</v>
      </c>
      <c r="J66" s="62"/>
      <c r="K66" s="62"/>
      <c r="L66" s="62"/>
      <c r="M66" s="62">
        <v>8.7902893518518512E-3</v>
      </c>
      <c r="N66" s="62">
        <f t="shared" si="106"/>
        <v>8.790289351851853E-3</v>
      </c>
      <c r="O66" s="53" t="str">
        <f t="shared" si="107"/>
        <v/>
      </c>
      <c r="P66" s="53">
        <f t="shared" si="108"/>
        <v>116</v>
      </c>
      <c r="Q66" s="53">
        <f t="shared" si="109"/>
        <v>159</v>
      </c>
      <c r="R66" s="53" t="str">
        <f t="shared" si="110"/>
        <v/>
      </c>
      <c r="S66" s="53">
        <f t="shared" si="111"/>
        <v>92</v>
      </c>
      <c r="T66" s="53" t="str">
        <f t="shared" si="112"/>
        <v/>
      </c>
      <c r="U66" s="53" t="str">
        <f t="shared" si="113"/>
        <v/>
      </c>
      <c r="V66" s="53" t="str">
        <f t="shared" si="114"/>
        <v/>
      </c>
      <c r="W66" s="53" t="str">
        <f t="shared" si="139"/>
        <v>DNS/DNF ()</v>
      </c>
      <c r="X66" s="53" t="str">
        <f t="shared" si="115"/>
        <v>00:04:19.3 (116)</v>
      </c>
      <c r="Y66" s="53" t="str">
        <f t="shared" si="116"/>
        <v>00:02:40.2 (159)</v>
      </c>
      <c r="Z66" s="53" t="str">
        <f t="shared" si="117"/>
        <v>DNS/DNF ()</v>
      </c>
      <c r="AA66" s="53" t="str">
        <f t="shared" si="118"/>
        <v>00:05:40.0 (92)</v>
      </c>
      <c r="AB66" s="53" t="str">
        <f t="shared" si="119"/>
        <v>DNS/DNF ()</v>
      </c>
      <c r="AC66" s="53" t="str">
        <f t="shared" si="120"/>
        <v>DNS/DNF ()</v>
      </c>
      <c r="AD66" s="53" t="str">
        <f t="shared" si="121"/>
        <v>DNS/DNF ()</v>
      </c>
      <c r="AE66" s="53">
        <v>0</v>
      </c>
      <c r="AF66" s="53">
        <v>0</v>
      </c>
      <c r="AG66" s="53">
        <v>35249198</v>
      </c>
      <c r="AH66" s="53">
        <v>35508529</v>
      </c>
      <c r="AI66" s="53">
        <v>38818369</v>
      </c>
      <c r="AJ66" s="53">
        <v>38978547</v>
      </c>
      <c r="AK66" s="53">
        <v>0</v>
      </c>
      <c r="AL66" s="53">
        <v>0</v>
      </c>
      <c r="AM66" s="53">
        <v>42483472</v>
      </c>
      <c r="AN66" s="53">
        <v>42823444</v>
      </c>
      <c r="AO66" s="53">
        <v>0</v>
      </c>
      <c r="AP66" s="53">
        <v>0</v>
      </c>
      <c r="AQ66" s="53">
        <v>0</v>
      </c>
      <c r="AR66" s="53">
        <v>0</v>
      </c>
      <c r="AS66" s="53">
        <v>0</v>
      </c>
      <c r="AT66" s="53">
        <v>0</v>
      </c>
      <c r="AU66" s="62" t="str">
        <f t="shared" si="122"/>
        <v>DNS/DNF</v>
      </c>
      <c r="AV66" s="62">
        <f t="shared" si="123"/>
        <v>3.0015162037037037E-3</v>
      </c>
      <c r="AW66" s="62">
        <f t="shared" si="124"/>
        <v>1.8539120370370369E-3</v>
      </c>
      <c r="AX66" s="62" t="str">
        <f t="shared" si="125"/>
        <v>DNS/DNF</v>
      </c>
      <c r="AY66" s="62">
        <f t="shared" si="126"/>
        <v>3.9348611111111112E-3</v>
      </c>
      <c r="AZ66" s="62" t="str">
        <f t="shared" si="127"/>
        <v>DNS/DNF</v>
      </c>
      <c r="BA66" s="62" t="str">
        <f t="shared" si="128"/>
        <v>DNS/DNF</v>
      </c>
      <c r="BB66" s="62" t="str">
        <f t="shared" si="129"/>
        <v>DNS/DNF</v>
      </c>
      <c r="BC66" s="75">
        <f t="shared" si="130"/>
        <v>122</v>
      </c>
      <c r="BD66" s="53">
        <f t="shared" si="131"/>
        <v>317070</v>
      </c>
      <c r="BE66" s="53">
        <f t="shared" si="132"/>
        <v>263002</v>
      </c>
      <c r="BF66" s="53">
        <f t="shared" si="133"/>
        <v>151602</v>
      </c>
      <c r="BG66" s="53">
        <f t="shared" si="134"/>
        <v>319801</v>
      </c>
      <c r="BH66" s="53">
        <f t="shared" si="135"/>
        <v>352232</v>
      </c>
      <c r="BI66" s="53" t="str">
        <f t="shared" si="136"/>
        <v/>
      </c>
      <c r="BJ66" s="53" t="str">
        <f t="shared" si="137"/>
        <v/>
      </c>
      <c r="BK66" s="53" t="str">
        <f t="shared" si="138"/>
        <v/>
      </c>
    </row>
    <row r="67" spans="1:63">
      <c r="A67" s="53">
        <v>39</v>
      </c>
      <c r="B67" s="89" t="str">
        <f>IFERROR(VLOOKUP($A67,EntryList!$A$3:$N$645,2,FALSE),"")</f>
        <v>Rupert Taljaard</v>
      </c>
      <c r="C67" s="74"/>
      <c r="D67" s="53">
        <f t="shared" si="105"/>
        <v>2</v>
      </c>
      <c r="E67" s="62">
        <v>2.6751620370370371E-3</v>
      </c>
      <c r="F67" s="62">
        <v>8.69576388888889E-3</v>
      </c>
      <c r="G67" s="62"/>
      <c r="H67" s="62"/>
      <c r="I67" s="62"/>
      <c r="J67" s="62"/>
      <c r="K67" s="62"/>
      <c r="L67" s="62"/>
      <c r="M67" s="62">
        <v>1.1370925925925925E-2</v>
      </c>
      <c r="N67" s="62">
        <f t="shared" si="106"/>
        <v>1.1370925925925925E-2</v>
      </c>
      <c r="O67" s="53">
        <f t="shared" si="107"/>
        <v>50</v>
      </c>
      <c r="P67" s="53">
        <f t="shared" si="108"/>
        <v>265</v>
      </c>
      <c r="Q67" s="53" t="str">
        <f t="shared" si="109"/>
        <v/>
      </c>
      <c r="R67" s="53" t="str">
        <f t="shared" si="110"/>
        <v/>
      </c>
      <c r="S67" s="53" t="str">
        <f t="shared" si="111"/>
        <v/>
      </c>
      <c r="T67" s="53" t="str">
        <f t="shared" si="112"/>
        <v/>
      </c>
      <c r="U67" s="53" t="str">
        <f t="shared" si="113"/>
        <v/>
      </c>
      <c r="V67" s="53" t="str">
        <f t="shared" si="114"/>
        <v/>
      </c>
      <c r="W67" s="53" t="str">
        <f t="shared" si="139"/>
        <v>00:03:51.1 (50)</v>
      </c>
      <c r="X67" s="53" t="str">
        <f t="shared" si="115"/>
        <v>00:12:31.3 (265)</v>
      </c>
      <c r="Y67" s="53" t="str">
        <f t="shared" si="116"/>
        <v>DNS/DNF ()</v>
      </c>
      <c r="Z67" s="53" t="str">
        <f t="shared" si="117"/>
        <v>DNS/DNF ()</v>
      </c>
      <c r="AA67" s="53" t="str">
        <f t="shared" si="118"/>
        <v>DNS/DNF ()</v>
      </c>
      <c r="AB67" s="53" t="str">
        <f t="shared" si="119"/>
        <v>DNS/DNF ()</v>
      </c>
      <c r="AC67" s="53" t="str">
        <f t="shared" si="120"/>
        <v>DNS/DNF ()</v>
      </c>
      <c r="AD67" s="53" t="str">
        <f t="shared" si="121"/>
        <v>DNS/DNF ()</v>
      </c>
      <c r="AE67" s="53">
        <v>31301872</v>
      </c>
      <c r="AF67" s="53">
        <v>31533006</v>
      </c>
      <c r="AG67" s="53">
        <v>35389513</v>
      </c>
      <c r="AH67" s="53">
        <v>36140827</v>
      </c>
      <c r="AI67" s="53">
        <v>0</v>
      </c>
      <c r="AJ67" s="53">
        <v>0</v>
      </c>
      <c r="AK67" s="53">
        <v>0</v>
      </c>
      <c r="AL67" s="53">
        <v>0</v>
      </c>
      <c r="AM67" s="53">
        <v>0</v>
      </c>
      <c r="AN67" s="53">
        <v>0</v>
      </c>
      <c r="AO67" s="53">
        <v>0</v>
      </c>
      <c r="AP67" s="53">
        <v>0</v>
      </c>
      <c r="AQ67" s="53">
        <v>0</v>
      </c>
      <c r="AR67" s="53">
        <v>0</v>
      </c>
      <c r="AS67" s="53">
        <v>0</v>
      </c>
      <c r="AT67" s="53">
        <v>0</v>
      </c>
      <c r="AU67" s="62">
        <f t="shared" si="122"/>
        <v>2.6751620370370371E-3</v>
      </c>
      <c r="AV67" s="62">
        <f t="shared" si="123"/>
        <v>8.6957638888888883E-3</v>
      </c>
      <c r="AW67" s="62" t="str">
        <f t="shared" si="124"/>
        <v>DNS/DNF</v>
      </c>
      <c r="AX67" s="62" t="str">
        <f t="shared" si="125"/>
        <v>DNS/DNF</v>
      </c>
      <c r="AY67" s="62" t="str">
        <f t="shared" si="126"/>
        <v>DNS/DNF</v>
      </c>
      <c r="AZ67" s="62" t="str">
        <f t="shared" si="127"/>
        <v>DNS/DNF</v>
      </c>
      <c r="BA67" s="62" t="str">
        <f t="shared" si="128"/>
        <v>DNS/DNF</v>
      </c>
      <c r="BB67" s="62" t="str">
        <f t="shared" si="129"/>
        <v>DNS/DNF</v>
      </c>
      <c r="BC67" s="75">
        <f t="shared" si="130"/>
        <v>158</v>
      </c>
      <c r="BD67" s="53" t="str">
        <f t="shared" si="131"/>
        <v/>
      </c>
      <c r="BE67" s="53">
        <f t="shared" si="132"/>
        <v>273920</v>
      </c>
      <c r="BF67" s="53">
        <f t="shared" si="133"/>
        <v>160057</v>
      </c>
      <c r="BG67" s="53" t="str">
        <f t="shared" si="134"/>
        <v/>
      </c>
      <c r="BH67" s="53">
        <f t="shared" si="135"/>
        <v>364775</v>
      </c>
      <c r="BI67" s="53" t="str">
        <f t="shared" si="136"/>
        <v/>
      </c>
      <c r="BJ67" s="53" t="str">
        <f t="shared" si="137"/>
        <v/>
      </c>
      <c r="BK67" s="53" t="str">
        <f t="shared" si="138"/>
        <v/>
      </c>
    </row>
    <row r="68" spans="1:63">
      <c r="A68" s="53">
        <v>196</v>
      </c>
      <c r="B68" s="89" t="str">
        <f>IFERROR(VLOOKUP($A68,EntryList!$A$3:$N$645,2,FALSE),"")</f>
        <v>Daryn Clark</v>
      </c>
      <c r="C68" s="74"/>
      <c r="D68" s="53">
        <f t="shared" si="105"/>
        <v>3</v>
      </c>
      <c r="E68" s="62">
        <v>5.5633796296296291E-3</v>
      </c>
      <c r="F68" s="62">
        <v>3.8373842592592591E-3</v>
      </c>
      <c r="G68" s="62">
        <v>2.2188888888888887E-3</v>
      </c>
      <c r="H68" s="62"/>
      <c r="I68" s="62"/>
      <c r="J68" s="62"/>
      <c r="K68" s="62"/>
      <c r="L68" s="62"/>
      <c r="M68" s="62">
        <v>1.1619652777777776E-2</v>
      </c>
      <c r="N68" s="62">
        <f t="shared" si="106"/>
        <v>1.1619652777777777E-2</v>
      </c>
      <c r="O68" s="53">
        <f t="shared" si="107"/>
        <v>147</v>
      </c>
      <c r="P68" s="53">
        <f t="shared" si="108"/>
        <v>241</v>
      </c>
      <c r="Q68" s="53">
        <f t="shared" si="109"/>
        <v>227</v>
      </c>
      <c r="R68" s="53" t="str">
        <f t="shared" si="110"/>
        <v/>
      </c>
      <c r="S68" s="53" t="str">
        <f t="shared" si="111"/>
        <v/>
      </c>
      <c r="T68" s="53" t="str">
        <f t="shared" si="112"/>
        <v/>
      </c>
      <c r="U68" s="53" t="str">
        <f t="shared" si="113"/>
        <v/>
      </c>
      <c r="V68" s="53" t="str">
        <f t="shared" si="114"/>
        <v/>
      </c>
      <c r="W68" s="53" t="str">
        <f t="shared" si="139"/>
        <v>00:08:00.7 (147)</v>
      </c>
      <c r="X68" s="53" t="str">
        <f t="shared" si="115"/>
        <v>00:05:31.5 (241)</v>
      </c>
      <c r="Y68" s="53" t="str">
        <f t="shared" si="116"/>
        <v>00:03:11.7 (227)</v>
      </c>
      <c r="Z68" s="53" t="str">
        <f t="shared" si="117"/>
        <v>DNS/DNF ()</v>
      </c>
      <c r="AA68" s="53" t="str">
        <f t="shared" si="118"/>
        <v>DNS/DNF ()</v>
      </c>
      <c r="AB68" s="53" t="str">
        <f t="shared" si="119"/>
        <v>DNS/DNF ()</v>
      </c>
      <c r="AC68" s="53" t="str">
        <f t="shared" si="120"/>
        <v>DNS/DNF ()</v>
      </c>
      <c r="AD68" s="53" t="str">
        <f t="shared" si="121"/>
        <v>DNS/DNF ()</v>
      </c>
      <c r="AE68" s="53">
        <v>37586633</v>
      </c>
      <c r="AF68" s="53">
        <v>38067309</v>
      </c>
      <c r="AG68" s="53">
        <v>33454892</v>
      </c>
      <c r="AH68" s="53">
        <v>33786442</v>
      </c>
      <c r="AI68" s="53">
        <v>41289948</v>
      </c>
      <c r="AJ68" s="53">
        <v>41481660</v>
      </c>
      <c r="AK68" s="53">
        <v>0</v>
      </c>
      <c r="AL68" s="53">
        <v>0</v>
      </c>
      <c r="AM68" s="53">
        <v>0</v>
      </c>
      <c r="AN68" s="53">
        <v>42900602</v>
      </c>
      <c r="AO68" s="53">
        <v>0</v>
      </c>
      <c r="AP68" s="53">
        <v>0</v>
      </c>
      <c r="AQ68" s="53">
        <v>0</v>
      </c>
      <c r="AR68" s="53">
        <v>0</v>
      </c>
      <c r="AS68" s="53">
        <v>0</v>
      </c>
      <c r="AT68" s="53">
        <v>0</v>
      </c>
      <c r="AU68" s="62">
        <f t="shared" si="122"/>
        <v>5.5633796296296299E-3</v>
      </c>
      <c r="AV68" s="62">
        <f t="shared" si="123"/>
        <v>3.8373842592592591E-3</v>
      </c>
      <c r="AW68" s="62">
        <f t="shared" si="124"/>
        <v>2.2188888888888887E-3</v>
      </c>
      <c r="AX68" s="62" t="str">
        <f t="shared" si="125"/>
        <v>DNS/DNF</v>
      </c>
      <c r="AY68" s="62" t="str">
        <f t="shared" si="126"/>
        <v>DNS/DNF</v>
      </c>
      <c r="AZ68" s="62" t="str">
        <f t="shared" si="127"/>
        <v>DNS/DNF</v>
      </c>
      <c r="BA68" s="62" t="str">
        <f t="shared" si="128"/>
        <v>DNS/DNF</v>
      </c>
      <c r="BB68" s="62" t="str">
        <f t="shared" si="129"/>
        <v>DNS/DNF</v>
      </c>
      <c r="BC68" s="75">
        <f t="shared" si="130"/>
        <v>205</v>
      </c>
      <c r="BD68" s="53" t="str">
        <f t="shared" si="131"/>
        <v/>
      </c>
      <c r="BE68" s="53">
        <f t="shared" si="132"/>
        <v>295128</v>
      </c>
      <c r="BF68" s="53">
        <f t="shared" si="133"/>
        <v>174194</v>
      </c>
      <c r="BG68" s="53" t="str">
        <f t="shared" si="134"/>
        <v/>
      </c>
      <c r="BH68" s="53">
        <f t="shared" si="135"/>
        <v>395570.00000000006</v>
      </c>
      <c r="BI68" s="53" t="str">
        <f t="shared" si="136"/>
        <v/>
      </c>
      <c r="BJ68" s="53" t="str">
        <f t="shared" si="137"/>
        <v/>
      </c>
      <c r="BK68" s="53" t="str">
        <f t="shared" si="138"/>
        <v/>
      </c>
    </row>
    <row r="69" spans="1:63">
      <c r="A69" s="53">
        <v>13</v>
      </c>
      <c r="B69" s="89" t="str">
        <f>IFERROR(VLOOKUP($A69,EntryList!$A$3:$N$645,2,FALSE),"")</f>
        <v>David B Hartley</v>
      </c>
      <c r="C69" s="74"/>
      <c r="D69" s="53">
        <f t="shared" si="105"/>
        <v>5</v>
      </c>
      <c r="E69" s="62">
        <v>2.8237152777777779E-3</v>
      </c>
      <c r="F69" s="62">
        <v>2.8510995370370374E-3</v>
      </c>
      <c r="G69" s="62">
        <v>1.7291666666666668E-3</v>
      </c>
      <c r="H69" s="62">
        <v>3.244641203703704E-3</v>
      </c>
      <c r="I69" s="62">
        <v>3.9142824074074071E-3</v>
      </c>
      <c r="J69" s="62"/>
      <c r="K69" s="62"/>
      <c r="L69" s="62"/>
      <c r="M69" s="62">
        <v>1.4562905092592593E-2</v>
      </c>
      <c r="N69" s="62">
        <f t="shared" si="106"/>
        <v>1.4562905092592594E-2</v>
      </c>
      <c r="O69" s="53">
        <f t="shared" si="107"/>
        <v>66</v>
      </c>
      <c r="P69" s="53">
        <f t="shared" si="108"/>
        <v>84</v>
      </c>
      <c r="Q69" s="53">
        <f t="shared" si="109"/>
        <v>114</v>
      </c>
      <c r="R69" s="53">
        <f t="shared" si="110"/>
        <v>79</v>
      </c>
      <c r="S69" s="53">
        <f t="shared" si="111"/>
        <v>88</v>
      </c>
      <c r="T69" s="53" t="str">
        <f t="shared" si="112"/>
        <v/>
      </c>
      <c r="U69" s="53" t="str">
        <f t="shared" si="113"/>
        <v/>
      </c>
      <c r="V69" s="53" t="str">
        <f t="shared" si="114"/>
        <v/>
      </c>
      <c r="W69" s="53" t="str">
        <f t="shared" si="139"/>
        <v>00:04:04.0 (66)</v>
      </c>
      <c r="X69" s="53" t="str">
        <f t="shared" si="115"/>
        <v>00:04:06.3 (84)</v>
      </c>
      <c r="Y69" s="53" t="str">
        <f t="shared" si="116"/>
        <v>00:02:29.4 (114)</v>
      </c>
      <c r="Z69" s="53" t="str">
        <f t="shared" si="117"/>
        <v>00:04:40.3 (79)</v>
      </c>
      <c r="AA69" s="53" t="str">
        <f t="shared" si="118"/>
        <v>00:05:38.2 (88)</v>
      </c>
      <c r="AB69" s="53" t="str">
        <f t="shared" si="119"/>
        <v>DNS/DNF ()</v>
      </c>
      <c r="AC69" s="53" t="str">
        <f t="shared" si="120"/>
        <v>DNS/DNF ()</v>
      </c>
      <c r="AD69" s="53" t="str">
        <f t="shared" si="121"/>
        <v>DNS/DNF ()</v>
      </c>
      <c r="AE69" s="53">
        <v>33770826</v>
      </c>
      <c r="AF69" s="53">
        <v>34014795</v>
      </c>
      <c r="AG69" s="53">
        <v>31029458</v>
      </c>
      <c r="AH69" s="53">
        <v>31275793</v>
      </c>
      <c r="AI69" s="53">
        <v>36224128</v>
      </c>
      <c r="AJ69" s="53">
        <v>36373528</v>
      </c>
      <c r="AK69" s="53">
        <v>39873054</v>
      </c>
      <c r="AL69" s="53">
        <v>40153391</v>
      </c>
      <c r="AM69" s="53">
        <v>42630964</v>
      </c>
      <c r="AN69" s="53">
        <v>42969158</v>
      </c>
      <c r="AO69" s="53">
        <v>0</v>
      </c>
      <c r="AP69" s="53">
        <v>0</v>
      </c>
      <c r="AQ69" s="53">
        <v>0</v>
      </c>
      <c r="AR69" s="53">
        <v>0</v>
      </c>
      <c r="AS69" s="53">
        <v>0</v>
      </c>
      <c r="AT69" s="53">
        <v>0</v>
      </c>
      <c r="AU69" s="62">
        <f t="shared" si="122"/>
        <v>2.8237152777777779E-3</v>
      </c>
      <c r="AV69" s="62">
        <f t="shared" si="123"/>
        <v>2.851099537037037E-3</v>
      </c>
      <c r="AW69" s="62">
        <f t="shared" si="124"/>
        <v>1.7291666666666666E-3</v>
      </c>
      <c r="AX69" s="62">
        <f t="shared" si="125"/>
        <v>3.2446412037037036E-3</v>
      </c>
      <c r="AY69" s="62">
        <f t="shared" si="126"/>
        <v>3.9142824074074071E-3</v>
      </c>
      <c r="AZ69" s="62" t="str">
        <f t="shared" si="127"/>
        <v>DNS/DNF</v>
      </c>
      <c r="BA69" s="62" t="str">
        <f t="shared" si="128"/>
        <v>DNS/DNF</v>
      </c>
      <c r="BB69" s="62" t="str">
        <f t="shared" si="129"/>
        <v>DNS/DNF</v>
      </c>
      <c r="BC69" s="75">
        <f t="shared" si="130"/>
        <v>86</v>
      </c>
      <c r="BD69" s="53">
        <f t="shared" si="131"/>
        <v>262403</v>
      </c>
      <c r="BE69" s="53">
        <f t="shared" si="132"/>
        <v>247772</v>
      </c>
      <c r="BF69" s="53">
        <f t="shared" si="133"/>
        <v>141770</v>
      </c>
      <c r="BG69" s="53">
        <f t="shared" si="134"/>
        <v>289559</v>
      </c>
      <c r="BH69" s="53">
        <f t="shared" si="135"/>
        <v>337139</v>
      </c>
      <c r="BI69" s="53" t="str">
        <f t="shared" si="136"/>
        <v/>
      </c>
      <c r="BJ69" s="53" t="str">
        <f t="shared" si="137"/>
        <v/>
      </c>
      <c r="BK69" s="53" t="str">
        <f t="shared" si="138"/>
        <v/>
      </c>
    </row>
    <row r="70" spans="1:63">
      <c r="A70" s="53">
        <v>207</v>
      </c>
      <c r="B70" s="89" t="str">
        <f>IFERROR(VLOOKUP($A70,EntryList!$A$3:$N$645,2,FALSE),"")</f>
        <v>Roxy Baynes</v>
      </c>
      <c r="C70" s="74"/>
      <c r="D70" s="53">
        <f t="shared" si="105"/>
        <v>3</v>
      </c>
      <c r="E70" s="62"/>
      <c r="F70" s="62">
        <v>3.2138541666666669E-3</v>
      </c>
      <c r="G70" s="62">
        <v>1.8525115740740739E-3</v>
      </c>
      <c r="H70" s="62"/>
      <c r="I70" s="62">
        <v>4.507048611111111E-3</v>
      </c>
      <c r="J70" s="62"/>
      <c r="K70" s="62"/>
      <c r="L70" s="62"/>
      <c r="M70" s="62">
        <v>9.573414351851852E-3</v>
      </c>
      <c r="N70" s="62">
        <f t="shared" si="106"/>
        <v>9.573414351851852E-3</v>
      </c>
      <c r="O70" s="53" t="str">
        <f t="shared" si="107"/>
        <v/>
      </c>
      <c r="P70" s="53">
        <f t="shared" si="108"/>
        <v>169</v>
      </c>
      <c r="Q70" s="53">
        <f t="shared" si="109"/>
        <v>158</v>
      </c>
      <c r="R70" s="53" t="str">
        <f t="shared" si="110"/>
        <v/>
      </c>
      <c r="S70" s="53">
        <f t="shared" si="111"/>
        <v>195</v>
      </c>
      <c r="T70" s="53" t="str">
        <f t="shared" si="112"/>
        <v/>
      </c>
      <c r="U70" s="53" t="str">
        <f t="shared" si="113"/>
        <v/>
      </c>
      <c r="V70" s="53" t="str">
        <f t="shared" si="114"/>
        <v/>
      </c>
      <c r="W70" s="53" t="str">
        <f t="shared" si="139"/>
        <v>DNS/DNF ()</v>
      </c>
      <c r="X70" s="53" t="str">
        <f t="shared" si="115"/>
        <v>00:04:37.7 (169)</v>
      </c>
      <c r="Y70" s="53" t="str">
        <f t="shared" si="116"/>
        <v>00:02:40.1 (158)</v>
      </c>
      <c r="Z70" s="53" t="str">
        <f t="shared" si="117"/>
        <v>DNS/DNF ()</v>
      </c>
      <c r="AA70" s="53" t="str">
        <f t="shared" si="118"/>
        <v>00:06:29.4 (195)</v>
      </c>
      <c r="AB70" s="53" t="str">
        <f t="shared" si="119"/>
        <v>DNS/DNF ()</v>
      </c>
      <c r="AC70" s="53" t="str">
        <f t="shared" si="120"/>
        <v>DNS/DNF ()</v>
      </c>
      <c r="AD70" s="53" t="str">
        <f t="shared" si="121"/>
        <v>DNS/DNF ()</v>
      </c>
      <c r="AE70" s="53">
        <v>0</v>
      </c>
      <c r="AF70" s="53">
        <v>0</v>
      </c>
      <c r="AG70" s="53">
        <v>37902278</v>
      </c>
      <c r="AH70" s="53">
        <v>38179955</v>
      </c>
      <c r="AI70" s="53">
        <v>33589885</v>
      </c>
      <c r="AJ70" s="53">
        <v>33749942</v>
      </c>
      <c r="AK70" s="53">
        <v>0</v>
      </c>
      <c r="AL70" s="53">
        <v>0</v>
      </c>
      <c r="AM70" s="53">
        <v>41652306</v>
      </c>
      <c r="AN70" s="53">
        <v>42041715</v>
      </c>
      <c r="AO70" s="53">
        <v>0</v>
      </c>
      <c r="AP70" s="53">
        <v>0</v>
      </c>
      <c r="AQ70" s="53">
        <v>0</v>
      </c>
      <c r="AR70" s="53">
        <v>0</v>
      </c>
      <c r="AS70" s="53">
        <v>0</v>
      </c>
      <c r="AT70" s="53">
        <v>0</v>
      </c>
      <c r="AU70" s="62" t="str">
        <f t="shared" si="122"/>
        <v>DNS/DNF</v>
      </c>
      <c r="AV70" s="62">
        <f t="shared" si="123"/>
        <v>3.2138541666666665E-3</v>
      </c>
      <c r="AW70" s="62">
        <f t="shared" si="124"/>
        <v>1.8525115740740741E-3</v>
      </c>
      <c r="AX70" s="62" t="str">
        <f t="shared" si="125"/>
        <v>DNS/DNF</v>
      </c>
      <c r="AY70" s="62">
        <f t="shared" si="126"/>
        <v>4.507048611111111E-3</v>
      </c>
      <c r="AZ70" s="62" t="str">
        <f t="shared" si="127"/>
        <v>DNS/DNF</v>
      </c>
      <c r="BA70" s="62" t="str">
        <f t="shared" si="128"/>
        <v>DNS/DNF</v>
      </c>
      <c r="BB70" s="62" t="str">
        <f t="shared" si="129"/>
        <v>DNS/DNF</v>
      </c>
      <c r="BC70" s="75">
        <f t="shared" si="130"/>
        <v>174</v>
      </c>
      <c r="BD70" s="53" t="str">
        <f t="shared" si="131"/>
        <v/>
      </c>
      <c r="BE70" s="53">
        <f t="shared" si="132"/>
        <v>279518</v>
      </c>
      <c r="BF70" s="53">
        <f t="shared" si="133"/>
        <v>161777</v>
      </c>
      <c r="BG70" s="53" t="str">
        <f t="shared" si="134"/>
        <v/>
      </c>
      <c r="BH70" s="53">
        <f t="shared" si="135"/>
        <v>371015</v>
      </c>
      <c r="BI70" s="53" t="str">
        <f t="shared" si="136"/>
        <v/>
      </c>
      <c r="BJ70" s="53" t="str">
        <f t="shared" si="137"/>
        <v/>
      </c>
      <c r="BK70" s="53" t="str">
        <f t="shared" si="138"/>
        <v/>
      </c>
    </row>
    <row r="71" spans="1:63">
      <c r="A71" s="53">
        <v>69</v>
      </c>
      <c r="B71" s="89" t="str">
        <f>IFERROR(VLOOKUP($A71,EntryList!$A$3:$N$645,2,FALSE),"")</f>
        <v>Roger Hartley</v>
      </c>
      <c r="C71" s="74"/>
      <c r="D71" s="53">
        <f t="shared" si="105"/>
        <v>5</v>
      </c>
      <c r="E71" s="62">
        <v>3.1221643518518521E-3</v>
      </c>
      <c r="F71" s="62">
        <v>3.2887731481481483E-3</v>
      </c>
      <c r="G71" s="62">
        <v>1.8473495370370371E-3</v>
      </c>
      <c r="H71" s="62">
        <v>3.5990509259259261E-3</v>
      </c>
      <c r="I71" s="62">
        <v>4.2652662037037034E-3</v>
      </c>
      <c r="J71" s="62"/>
      <c r="K71" s="62"/>
      <c r="L71" s="62"/>
      <c r="M71" s="62">
        <v>1.6122604166666669E-2</v>
      </c>
      <c r="N71" s="62">
        <f t="shared" si="106"/>
        <v>1.6122604166666665E-2</v>
      </c>
      <c r="O71" s="53">
        <f t="shared" si="107"/>
        <v>92</v>
      </c>
      <c r="P71" s="53">
        <f t="shared" si="108"/>
        <v>186</v>
      </c>
      <c r="Q71" s="53">
        <f t="shared" si="109"/>
        <v>155</v>
      </c>
      <c r="R71" s="53">
        <f t="shared" si="110"/>
        <v>112</v>
      </c>
      <c r="S71" s="53">
        <f t="shared" si="111"/>
        <v>166</v>
      </c>
      <c r="T71" s="53" t="str">
        <f t="shared" si="112"/>
        <v/>
      </c>
      <c r="U71" s="53" t="str">
        <f t="shared" si="113"/>
        <v/>
      </c>
      <c r="V71" s="53" t="str">
        <f t="shared" si="114"/>
        <v/>
      </c>
      <c r="W71" s="53" t="str">
        <f t="shared" si="139"/>
        <v>00:04:29.8 (92)</v>
      </c>
      <c r="X71" s="53" t="str">
        <f t="shared" si="115"/>
        <v>00:04:44.1 (186)</v>
      </c>
      <c r="Y71" s="53" t="str">
        <f t="shared" si="116"/>
        <v>00:02:39.6 (155)</v>
      </c>
      <c r="Z71" s="53" t="str">
        <f t="shared" si="117"/>
        <v>00:05:11.0 (112)</v>
      </c>
      <c r="AA71" s="53" t="str">
        <f t="shared" si="118"/>
        <v>00:06:08.5 (166)</v>
      </c>
      <c r="AB71" s="53" t="str">
        <f t="shared" si="119"/>
        <v>DNS/DNF ()</v>
      </c>
      <c r="AC71" s="53" t="str">
        <f t="shared" si="120"/>
        <v>DNS/DNF ()</v>
      </c>
      <c r="AD71" s="53" t="str">
        <f t="shared" si="121"/>
        <v>DNS/DNF ()</v>
      </c>
      <c r="AE71" s="53">
        <v>33774039</v>
      </c>
      <c r="AF71" s="53">
        <v>34043794</v>
      </c>
      <c r="AG71" s="53">
        <v>31032555</v>
      </c>
      <c r="AH71" s="53">
        <v>31316705</v>
      </c>
      <c r="AI71" s="53">
        <v>36230225</v>
      </c>
      <c r="AJ71" s="53">
        <v>36389836</v>
      </c>
      <c r="AK71" s="53">
        <v>39878559</v>
      </c>
      <c r="AL71" s="53">
        <v>40189517</v>
      </c>
      <c r="AM71" s="53">
        <v>42634870</v>
      </c>
      <c r="AN71" s="53">
        <v>43003389</v>
      </c>
      <c r="AO71" s="53">
        <v>0</v>
      </c>
      <c r="AP71" s="53">
        <v>0</v>
      </c>
      <c r="AQ71" s="53">
        <v>0</v>
      </c>
      <c r="AR71" s="53">
        <v>0</v>
      </c>
      <c r="AS71" s="53">
        <v>0</v>
      </c>
      <c r="AT71" s="53">
        <v>0</v>
      </c>
      <c r="AU71" s="62">
        <f t="shared" si="122"/>
        <v>3.1221643518518517E-3</v>
      </c>
      <c r="AV71" s="62">
        <f t="shared" si="123"/>
        <v>3.2887731481481483E-3</v>
      </c>
      <c r="AW71" s="62">
        <f t="shared" si="124"/>
        <v>1.8473495370370371E-3</v>
      </c>
      <c r="AX71" s="62">
        <f t="shared" si="125"/>
        <v>3.5990509259259261E-3</v>
      </c>
      <c r="AY71" s="62">
        <f t="shared" si="126"/>
        <v>4.2652662037037034E-3</v>
      </c>
      <c r="AZ71" s="62" t="str">
        <f t="shared" si="127"/>
        <v>DNS/DNF</v>
      </c>
      <c r="BA71" s="62" t="str">
        <f t="shared" si="128"/>
        <v>DNS/DNF</v>
      </c>
      <c r="BB71" s="62" t="str">
        <f t="shared" si="129"/>
        <v>DNS/DNF</v>
      </c>
      <c r="BC71" s="75">
        <f t="shared" si="130"/>
        <v>142</v>
      </c>
      <c r="BD71" s="53">
        <f t="shared" si="131"/>
        <v>407223</v>
      </c>
      <c r="BE71" s="53">
        <f t="shared" si="132"/>
        <v>269396</v>
      </c>
      <c r="BF71" s="53">
        <f t="shared" si="133"/>
        <v>155164</v>
      </c>
      <c r="BG71" s="53">
        <f t="shared" si="134"/>
        <v>442213</v>
      </c>
      <c r="BH71" s="53">
        <f t="shared" si="135"/>
        <v>358375</v>
      </c>
      <c r="BI71" s="53" t="str">
        <f t="shared" si="136"/>
        <v/>
      </c>
      <c r="BJ71" s="53" t="str">
        <f t="shared" si="137"/>
        <v/>
      </c>
      <c r="BK71" s="53" t="str">
        <f t="shared" si="138"/>
        <v/>
      </c>
    </row>
    <row r="72" spans="1:63">
      <c r="A72" s="53">
        <v>223</v>
      </c>
      <c r="B72" s="89" t="str">
        <f>IFERROR(VLOOKUP($A72,EntryList!$A$3:$N$645,2,FALSE),"")</f>
        <v>Megan Van Der Helm</v>
      </c>
      <c r="C72" s="74"/>
      <c r="D72" s="53">
        <f t="shared" si="105"/>
        <v>3</v>
      </c>
      <c r="E72" s="62"/>
      <c r="F72" s="62">
        <v>3.2442361111111109E-3</v>
      </c>
      <c r="G72" s="62">
        <v>1.8449652777777778E-3</v>
      </c>
      <c r="H72" s="62"/>
      <c r="I72" s="62">
        <v>4.2556018518518516E-3</v>
      </c>
      <c r="J72" s="62"/>
      <c r="K72" s="62"/>
      <c r="L72" s="62"/>
      <c r="M72" s="62">
        <v>9.3448032407407403E-3</v>
      </c>
      <c r="N72" s="62">
        <f t="shared" si="106"/>
        <v>9.3448032407407403E-3</v>
      </c>
      <c r="O72" s="53" t="str">
        <f t="shared" si="107"/>
        <v/>
      </c>
      <c r="P72" s="53">
        <f t="shared" si="108"/>
        <v>178</v>
      </c>
      <c r="Q72" s="53">
        <f t="shared" si="109"/>
        <v>152</v>
      </c>
      <c r="R72" s="53" t="str">
        <f t="shared" si="110"/>
        <v/>
      </c>
      <c r="S72" s="53">
        <f t="shared" si="111"/>
        <v>163</v>
      </c>
      <c r="T72" s="53" t="str">
        <f t="shared" si="112"/>
        <v/>
      </c>
      <c r="U72" s="53" t="str">
        <f t="shared" si="113"/>
        <v/>
      </c>
      <c r="V72" s="53" t="str">
        <f t="shared" si="114"/>
        <v/>
      </c>
      <c r="W72" s="53" t="str">
        <f t="shared" si="139"/>
        <v>DNS/DNF ()</v>
      </c>
      <c r="X72" s="53" t="str">
        <f t="shared" si="115"/>
        <v>00:04:40.3 (178)</v>
      </c>
      <c r="Y72" s="53" t="str">
        <f t="shared" si="116"/>
        <v>00:02:39.4 (152)</v>
      </c>
      <c r="Z72" s="53" t="str">
        <f t="shared" si="117"/>
        <v>DNS/DNF ()</v>
      </c>
      <c r="AA72" s="53" t="str">
        <f t="shared" si="118"/>
        <v>00:06:07.7 (163)</v>
      </c>
      <c r="AB72" s="53" t="str">
        <f t="shared" si="119"/>
        <v>DNS/DNF ()</v>
      </c>
      <c r="AC72" s="53" t="str">
        <f t="shared" si="120"/>
        <v>DNS/DNF ()</v>
      </c>
      <c r="AD72" s="53" t="str">
        <f t="shared" si="121"/>
        <v>DNS/DNF ()</v>
      </c>
      <c r="AE72" s="53">
        <v>0</v>
      </c>
      <c r="AF72" s="53">
        <v>0</v>
      </c>
      <c r="AG72" s="53">
        <v>37973192</v>
      </c>
      <c r="AH72" s="53">
        <v>38253494</v>
      </c>
      <c r="AI72" s="53">
        <v>33551927</v>
      </c>
      <c r="AJ72" s="53">
        <v>33711332</v>
      </c>
      <c r="AK72" s="53">
        <v>0</v>
      </c>
      <c r="AL72" s="53">
        <v>0</v>
      </c>
      <c r="AM72" s="53">
        <v>41689206</v>
      </c>
      <c r="AN72" s="53">
        <v>42056890</v>
      </c>
      <c r="AO72" s="53">
        <v>0</v>
      </c>
      <c r="AP72" s="53">
        <v>0</v>
      </c>
      <c r="AQ72" s="53">
        <v>0</v>
      </c>
      <c r="AR72" s="53">
        <v>0</v>
      </c>
      <c r="AS72" s="53">
        <v>0</v>
      </c>
      <c r="AT72" s="53">
        <v>0</v>
      </c>
      <c r="AU72" s="62" t="str">
        <f t="shared" si="122"/>
        <v>DNS/DNF</v>
      </c>
      <c r="AV72" s="62">
        <f t="shared" si="123"/>
        <v>3.2442361111111109E-3</v>
      </c>
      <c r="AW72" s="62">
        <f t="shared" si="124"/>
        <v>1.8449652777777778E-3</v>
      </c>
      <c r="AX72" s="62" t="str">
        <f t="shared" si="125"/>
        <v>DNS/DNF</v>
      </c>
      <c r="AY72" s="62">
        <f t="shared" si="126"/>
        <v>4.2556018518518516E-3</v>
      </c>
      <c r="AZ72" s="62" t="str">
        <f t="shared" si="127"/>
        <v>DNS/DNF</v>
      </c>
      <c r="BA72" s="62" t="str">
        <f t="shared" si="128"/>
        <v>DNS/DNF</v>
      </c>
      <c r="BB72" s="62" t="str">
        <f t="shared" si="129"/>
        <v>DNS/DNF</v>
      </c>
      <c r="BC72" s="75">
        <f t="shared" si="130"/>
        <v>164</v>
      </c>
      <c r="BD72" s="53" t="str">
        <f t="shared" si="131"/>
        <v/>
      </c>
      <c r="BE72" s="53">
        <f t="shared" si="132"/>
        <v>276549</v>
      </c>
      <c r="BF72" s="53">
        <f t="shared" si="133"/>
        <v>160702</v>
      </c>
      <c r="BG72" s="53" t="str">
        <f t="shared" si="134"/>
        <v/>
      </c>
      <c r="BH72" s="53">
        <f t="shared" si="135"/>
        <v>367705.00000000006</v>
      </c>
      <c r="BI72" s="53" t="str">
        <f t="shared" si="136"/>
        <v/>
      </c>
      <c r="BJ72" s="53" t="str">
        <f t="shared" si="137"/>
        <v/>
      </c>
      <c r="BK72" s="53" t="str">
        <f t="shared" si="138"/>
        <v/>
      </c>
    </row>
    <row r="73" spans="1:63">
      <c r="A73" s="53">
        <v>241</v>
      </c>
      <c r="B73" s="89" t="str">
        <f>IFERROR(VLOOKUP($A73,EntryList!$A$3:$N$645,2,FALSE),"")</f>
        <v>Samuel De Villiers</v>
      </c>
      <c r="C73" s="74"/>
      <c r="D73" s="53">
        <f t="shared" si="105"/>
        <v>2</v>
      </c>
      <c r="E73" s="62"/>
      <c r="F73" s="62">
        <v>3.5447337962962958E-3</v>
      </c>
      <c r="G73" s="62"/>
      <c r="H73" s="62"/>
      <c r="I73" s="62">
        <v>4.7911226851851856E-3</v>
      </c>
      <c r="J73" s="62"/>
      <c r="K73" s="62"/>
      <c r="L73" s="62"/>
      <c r="M73" s="62">
        <v>8.3358564814814805E-3</v>
      </c>
      <c r="N73" s="62">
        <f t="shared" si="106"/>
        <v>8.3358564814814823E-3</v>
      </c>
      <c r="O73" s="53" t="str">
        <f t="shared" si="107"/>
        <v/>
      </c>
      <c r="P73" s="53">
        <f t="shared" si="108"/>
        <v>217</v>
      </c>
      <c r="Q73" s="53" t="str">
        <f t="shared" si="109"/>
        <v/>
      </c>
      <c r="R73" s="53" t="str">
        <f t="shared" si="110"/>
        <v/>
      </c>
      <c r="S73" s="53">
        <f t="shared" si="111"/>
        <v>222</v>
      </c>
      <c r="T73" s="53" t="str">
        <f t="shared" si="112"/>
        <v/>
      </c>
      <c r="U73" s="53" t="str">
        <f t="shared" si="113"/>
        <v/>
      </c>
      <c r="V73" s="53" t="str">
        <f t="shared" si="114"/>
        <v/>
      </c>
      <c r="W73" s="53" t="str">
        <f t="shared" si="139"/>
        <v>DNS/DNF ()</v>
      </c>
      <c r="X73" s="53" t="str">
        <f t="shared" si="115"/>
        <v>00:05:06.3 (217)</v>
      </c>
      <c r="Y73" s="53" t="str">
        <f t="shared" si="116"/>
        <v>DNS/DNF ()</v>
      </c>
      <c r="Z73" s="53" t="str">
        <f t="shared" si="117"/>
        <v>DNS/DNF ()</v>
      </c>
      <c r="AA73" s="53" t="str">
        <f t="shared" si="118"/>
        <v>00:06:54.0 (222)</v>
      </c>
      <c r="AB73" s="53" t="str">
        <f t="shared" si="119"/>
        <v>DNS/DNF ()</v>
      </c>
      <c r="AC73" s="53" t="str">
        <f t="shared" si="120"/>
        <v>DNS/DNF ()</v>
      </c>
      <c r="AD73" s="53" t="str">
        <f t="shared" si="121"/>
        <v>DNS/DNF ()</v>
      </c>
      <c r="AE73" s="53">
        <v>0</v>
      </c>
      <c r="AF73" s="53">
        <v>0</v>
      </c>
      <c r="AG73" s="53">
        <v>36237788</v>
      </c>
      <c r="AH73" s="53">
        <v>36544053</v>
      </c>
      <c r="AI73" s="53">
        <v>0</v>
      </c>
      <c r="AJ73" s="53">
        <v>0</v>
      </c>
      <c r="AK73" s="53">
        <v>0</v>
      </c>
      <c r="AL73" s="53">
        <v>0</v>
      </c>
      <c r="AM73" s="53">
        <v>41110144</v>
      </c>
      <c r="AN73" s="53">
        <v>41524097</v>
      </c>
      <c r="AO73" s="53">
        <v>0</v>
      </c>
      <c r="AP73" s="53">
        <v>0</v>
      </c>
      <c r="AQ73" s="53">
        <v>0</v>
      </c>
      <c r="AR73" s="53">
        <v>0</v>
      </c>
      <c r="AS73" s="53">
        <v>0</v>
      </c>
      <c r="AT73" s="53">
        <v>0</v>
      </c>
      <c r="AU73" s="62" t="str">
        <f t="shared" si="122"/>
        <v>DNS/DNF</v>
      </c>
      <c r="AV73" s="62">
        <f t="shared" si="123"/>
        <v>3.5447337962962963E-3</v>
      </c>
      <c r="AW73" s="62" t="str">
        <f t="shared" si="124"/>
        <v>DNS/DNF</v>
      </c>
      <c r="AX73" s="62" t="str">
        <f t="shared" si="125"/>
        <v>DNS/DNF</v>
      </c>
      <c r="AY73" s="62">
        <f t="shared" si="126"/>
        <v>4.7911226851851856E-3</v>
      </c>
      <c r="AZ73" s="62" t="str">
        <f t="shared" si="127"/>
        <v>DNS/DNF</v>
      </c>
      <c r="BA73" s="62" t="str">
        <f t="shared" si="128"/>
        <v>DNS/DNF</v>
      </c>
      <c r="BB73" s="62" t="str">
        <f t="shared" si="129"/>
        <v>DNS/DNF</v>
      </c>
      <c r="BC73" s="75">
        <f t="shared" si="130"/>
        <v>220</v>
      </c>
      <c r="BD73" s="53" t="str">
        <f t="shared" si="131"/>
        <v/>
      </c>
      <c r="BE73" s="53">
        <f t="shared" si="132"/>
        <v>308136</v>
      </c>
      <c r="BF73" s="53">
        <f t="shared" si="133"/>
        <v>182570</v>
      </c>
      <c r="BG73" s="53" t="str">
        <f t="shared" si="134"/>
        <v/>
      </c>
      <c r="BH73" s="53">
        <f t="shared" si="135"/>
        <v>408687</v>
      </c>
      <c r="BI73" s="53" t="str">
        <f t="shared" si="136"/>
        <v/>
      </c>
      <c r="BJ73" s="53" t="str">
        <f t="shared" si="137"/>
        <v/>
      </c>
      <c r="BK73" s="53" t="str">
        <f t="shared" si="138"/>
        <v/>
      </c>
    </row>
    <row r="74" spans="1:63">
      <c r="A74" s="53">
        <v>107</v>
      </c>
      <c r="B74" s="89" t="str">
        <f>IFERROR(VLOOKUP($A74,EntryList!$A$3:$N$645,2,FALSE),"")</f>
        <v>Shaun Fuller</v>
      </c>
      <c r="C74" s="74"/>
      <c r="D74" s="53">
        <f t="shared" si="105"/>
        <v>1</v>
      </c>
      <c r="E74" s="62">
        <v>1.3324039351851851E-2</v>
      </c>
      <c r="F74" s="62"/>
      <c r="G74" s="62"/>
      <c r="H74" s="62"/>
      <c r="I74" s="62"/>
      <c r="J74" s="62"/>
      <c r="K74" s="62"/>
      <c r="L74" s="62"/>
      <c r="M74" s="62">
        <v>1.3324039351851851E-2</v>
      </c>
      <c r="N74" s="62">
        <f t="shared" si="106"/>
        <v>1.3324039351851853E-2</v>
      </c>
      <c r="O74" s="53">
        <f t="shared" si="107"/>
        <v>151</v>
      </c>
      <c r="P74" s="53" t="str">
        <f t="shared" si="108"/>
        <v/>
      </c>
      <c r="Q74" s="53" t="str">
        <f t="shared" si="109"/>
        <v/>
      </c>
      <c r="R74" s="53" t="str">
        <f t="shared" si="110"/>
        <v/>
      </c>
      <c r="S74" s="53" t="str">
        <f t="shared" si="111"/>
        <v/>
      </c>
      <c r="T74" s="53" t="str">
        <f t="shared" si="112"/>
        <v/>
      </c>
      <c r="U74" s="53" t="str">
        <f t="shared" si="113"/>
        <v/>
      </c>
      <c r="V74" s="53" t="str">
        <f t="shared" si="114"/>
        <v/>
      </c>
      <c r="W74" s="53" t="str">
        <f t="shared" si="139"/>
        <v>00:19:11.2 (151)</v>
      </c>
      <c r="X74" s="53" t="str">
        <f t="shared" si="115"/>
        <v>DNS/DNF ()</v>
      </c>
      <c r="Y74" s="53" t="str">
        <f t="shared" si="116"/>
        <v>DNS/DNF ()</v>
      </c>
      <c r="Z74" s="53" t="str">
        <f t="shared" si="117"/>
        <v>DNS/DNF ()</v>
      </c>
      <c r="AA74" s="53" t="str">
        <f t="shared" si="118"/>
        <v>DNS/DNF ()</v>
      </c>
      <c r="AB74" s="53" t="str">
        <f t="shared" si="119"/>
        <v>DNS/DNF ()</v>
      </c>
      <c r="AC74" s="53" t="str">
        <f t="shared" si="120"/>
        <v>DNS/DNF ()</v>
      </c>
      <c r="AD74" s="53" t="str">
        <f t="shared" si="121"/>
        <v>DNS/DNF ()</v>
      </c>
      <c r="AE74" s="53">
        <v>34643470</v>
      </c>
      <c r="AF74" s="53">
        <v>35794667</v>
      </c>
      <c r="AG74" s="53">
        <v>40413818</v>
      </c>
      <c r="AH74" s="53">
        <v>0</v>
      </c>
      <c r="AI74" s="53">
        <v>0</v>
      </c>
      <c r="AJ74" s="53">
        <v>0</v>
      </c>
      <c r="AK74" s="53">
        <v>0</v>
      </c>
      <c r="AL74" s="53">
        <v>0</v>
      </c>
      <c r="AM74" s="53">
        <v>0</v>
      </c>
      <c r="AN74" s="53">
        <v>0</v>
      </c>
      <c r="AO74" s="53">
        <v>0</v>
      </c>
      <c r="AP74" s="53">
        <v>0</v>
      </c>
      <c r="AQ74" s="53">
        <v>0</v>
      </c>
      <c r="AR74" s="53">
        <v>0</v>
      </c>
      <c r="AS74" s="53">
        <v>0</v>
      </c>
      <c r="AT74" s="53">
        <v>0</v>
      </c>
      <c r="AU74" s="62">
        <f t="shared" si="122"/>
        <v>1.3324039351851853E-2</v>
      </c>
      <c r="AV74" s="62" t="str">
        <f t="shared" si="123"/>
        <v>DNS/DNF</v>
      </c>
      <c r="AW74" s="62" t="str">
        <f t="shared" si="124"/>
        <v>DNS/DNF</v>
      </c>
      <c r="AX74" s="62" t="str">
        <f t="shared" si="125"/>
        <v>DNS/DNF</v>
      </c>
      <c r="AY74" s="62" t="str">
        <f t="shared" si="126"/>
        <v>DNS/DNF</v>
      </c>
      <c r="AZ74" s="62" t="str">
        <f t="shared" si="127"/>
        <v>DNS/DNF</v>
      </c>
      <c r="BA74" s="62" t="str">
        <f t="shared" si="128"/>
        <v>DNS/DNF</v>
      </c>
      <c r="BB74" s="62" t="str">
        <f t="shared" si="129"/>
        <v>DNS/DNF</v>
      </c>
      <c r="BC74" s="75">
        <f t="shared" si="130"/>
        <v>151</v>
      </c>
      <c r="BD74" s="53">
        <f t="shared" si="131"/>
        <v>1151197</v>
      </c>
      <c r="BE74" s="53">
        <f t="shared" si="132"/>
        <v>272773</v>
      </c>
      <c r="BF74" s="53">
        <f t="shared" si="133"/>
        <v>159164</v>
      </c>
      <c r="BG74" s="53" t="str">
        <f t="shared" si="134"/>
        <v/>
      </c>
      <c r="BH74" s="53">
        <f t="shared" si="135"/>
        <v>360617</v>
      </c>
      <c r="BI74" s="53" t="str">
        <f t="shared" si="136"/>
        <v/>
      </c>
      <c r="BJ74" s="53" t="str">
        <f t="shared" si="137"/>
        <v/>
      </c>
      <c r="BK74" s="53" t="str">
        <f t="shared" si="138"/>
        <v/>
      </c>
    </row>
    <row r="75" spans="1:63">
      <c r="A75" s="53">
        <v>217</v>
      </c>
      <c r="B75" s="89" t="str">
        <f>IFERROR(VLOOKUP($A75,EntryList!$A$3:$N$645,2,FALSE),"")</f>
        <v>Frans Smit</v>
      </c>
      <c r="C75" s="74"/>
      <c r="D75" s="53">
        <f t="shared" si="105"/>
        <v>3</v>
      </c>
      <c r="E75" s="62"/>
      <c r="F75" s="62">
        <v>4.2238078703703708E-3</v>
      </c>
      <c r="G75" s="62">
        <v>2.0296643518518519E-3</v>
      </c>
      <c r="H75" s="62"/>
      <c r="I75" s="62">
        <v>4.4467824074074071E-3</v>
      </c>
      <c r="J75" s="62"/>
      <c r="K75" s="62"/>
      <c r="L75" s="62"/>
      <c r="M75" s="62">
        <v>1.0700254629629631E-2</v>
      </c>
      <c r="N75" s="62">
        <f t="shared" si="106"/>
        <v>1.0700254629629629E-2</v>
      </c>
      <c r="O75" s="53" t="str">
        <f t="shared" si="107"/>
        <v/>
      </c>
      <c r="P75" s="53">
        <f t="shared" si="108"/>
        <v>251</v>
      </c>
      <c r="Q75" s="53">
        <f t="shared" si="109"/>
        <v>208</v>
      </c>
      <c r="R75" s="53" t="str">
        <f t="shared" si="110"/>
        <v/>
      </c>
      <c r="S75" s="53">
        <f t="shared" si="111"/>
        <v>188</v>
      </c>
      <c r="T75" s="53" t="str">
        <f t="shared" si="112"/>
        <v/>
      </c>
      <c r="U75" s="53" t="str">
        <f t="shared" si="113"/>
        <v/>
      </c>
      <c r="V75" s="53" t="str">
        <f t="shared" si="114"/>
        <v/>
      </c>
      <c r="W75" s="53" t="str">
        <f t="shared" si="139"/>
        <v>DNS/DNF ()</v>
      </c>
      <c r="X75" s="53" t="str">
        <f t="shared" si="115"/>
        <v>00:06:04.9 (251)</v>
      </c>
      <c r="Y75" s="53" t="str">
        <f t="shared" si="116"/>
        <v>00:02:55.4 (208)</v>
      </c>
      <c r="Z75" s="53" t="str">
        <f t="shared" si="117"/>
        <v>DNS/DNF ()</v>
      </c>
      <c r="AA75" s="53" t="str">
        <f t="shared" si="118"/>
        <v>00:06:24.2 (188)</v>
      </c>
      <c r="AB75" s="53" t="str">
        <f t="shared" si="119"/>
        <v>DNS/DNF ()</v>
      </c>
      <c r="AC75" s="53" t="str">
        <f t="shared" si="120"/>
        <v>DNS/DNF ()</v>
      </c>
      <c r="AD75" s="53" t="str">
        <f t="shared" si="121"/>
        <v>DNS/DNF ()</v>
      </c>
      <c r="AE75" s="53">
        <v>0</v>
      </c>
      <c r="AF75" s="53">
        <v>0</v>
      </c>
      <c r="AG75" s="53">
        <v>34180067</v>
      </c>
      <c r="AH75" s="53">
        <v>34545004</v>
      </c>
      <c r="AI75" s="53">
        <v>39066292</v>
      </c>
      <c r="AJ75" s="53">
        <v>39241655</v>
      </c>
      <c r="AK75" s="53">
        <v>0</v>
      </c>
      <c r="AL75" s="53">
        <v>0</v>
      </c>
      <c r="AM75" s="53">
        <v>42665006</v>
      </c>
      <c r="AN75" s="53">
        <v>43049208</v>
      </c>
      <c r="AO75" s="53">
        <v>0</v>
      </c>
      <c r="AP75" s="53">
        <v>0</v>
      </c>
      <c r="AQ75" s="53">
        <v>0</v>
      </c>
      <c r="AR75" s="53">
        <v>0</v>
      </c>
      <c r="AS75" s="53">
        <v>0</v>
      </c>
      <c r="AT75" s="53">
        <v>0</v>
      </c>
      <c r="AU75" s="62" t="str">
        <f t="shared" si="122"/>
        <v>DNS/DNF</v>
      </c>
      <c r="AV75" s="62">
        <f t="shared" si="123"/>
        <v>4.22380787037037E-3</v>
      </c>
      <c r="AW75" s="62">
        <f t="shared" si="124"/>
        <v>2.0296643518518519E-3</v>
      </c>
      <c r="AX75" s="62" t="str">
        <f t="shared" si="125"/>
        <v>DNS/DNF</v>
      </c>
      <c r="AY75" s="62">
        <f t="shared" si="126"/>
        <v>4.4467824074074071E-3</v>
      </c>
      <c r="AZ75" s="62" t="str">
        <f t="shared" si="127"/>
        <v>DNS/DNF</v>
      </c>
      <c r="BA75" s="62" t="str">
        <f t="shared" si="128"/>
        <v>DNS/DNF</v>
      </c>
      <c r="BB75" s="62" t="str">
        <f t="shared" si="129"/>
        <v>DNS/DNF</v>
      </c>
      <c r="BC75" s="75">
        <f t="shared" si="130"/>
        <v>216</v>
      </c>
      <c r="BD75" s="53" t="str">
        <f t="shared" si="131"/>
        <v/>
      </c>
      <c r="BE75" s="53">
        <f t="shared" si="132"/>
        <v>304260</v>
      </c>
      <c r="BF75" s="53">
        <f t="shared" si="133"/>
        <v>179437.00000000003</v>
      </c>
      <c r="BG75" s="53" t="str">
        <f t="shared" si="134"/>
        <v/>
      </c>
      <c r="BH75" s="53">
        <f t="shared" si="135"/>
        <v>406796</v>
      </c>
      <c r="BI75" s="53" t="str">
        <f t="shared" si="136"/>
        <v/>
      </c>
      <c r="BJ75" s="53" t="str">
        <f t="shared" si="137"/>
        <v/>
      </c>
      <c r="BK75" s="53" t="str">
        <f t="shared" si="138"/>
        <v/>
      </c>
    </row>
    <row r="76" spans="1:63">
      <c r="A76" s="53">
        <v>221</v>
      </c>
      <c r="B76" s="89" t="str">
        <f>IFERROR(VLOOKUP($A76,EntryList!$A$3:$N$645,2,FALSE),"")</f>
        <v>Chris Groeneveld</v>
      </c>
      <c r="C76" s="74"/>
      <c r="D76" s="53">
        <f t="shared" si="105"/>
        <v>3</v>
      </c>
      <c r="E76" s="62"/>
      <c r="F76" s="62">
        <v>3.731909722222222E-3</v>
      </c>
      <c r="G76" s="62">
        <v>2.0200925925925929E-3</v>
      </c>
      <c r="H76" s="62"/>
      <c r="I76" s="62">
        <v>4.5706828703703699E-3</v>
      </c>
      <c r="J76" s="62"/>
      <c r="K76" s="62"/>
      <c r="L76" s="62"/>
      <c r="M76" s="62">
        <v>1.0322685185185185E-2</v>
      </c>
      <c r="N76" s="62">
        <f t="shared" si="106"/>
        <v>1.0322685185185185E-2</v>
      </c>
      <c r="O76" s="53" t="str">
        <f t="shared" si="107"/>
        <v/>
      </c>
      <c r="P76" s="53">
        <f t="shared" si="108"/>
        <v>230</v>
      </c>
      <c r="Q76" s="53">
        <f t="shared" si="109"/>
        <v>206</v>
      </c>
      <c r="R76" s="53" t="str">
        <f t="shared" si="110"/>
        <v/>
      </c>
      <c r="S76" s="53">
        <f t="shared" si="111"/>
        <v>204</v>
      </c>
      <c r="T76" s="53" t="str">
        <f t="shared" si="112"/>
        <v/>
      </c>
      <c r="U76" s="53" t="str">
        <f t="shared" si="113"/>
        <v/>
      </c>
      <c r="V76" s="53" t="str">
        <f t="shared" si="114"/>
        <v/>
      </c>
      <c r="W76" s="53" t="str">
        <f t="shared" si="139"/>
        <v>DNS/DNF ()</v>
      </c>
      <c r="X76" s="53" t="str">
        <f t="shared" si="115"/>
        <v>00:05:22.4 (230)</v>
      </c>
      <c r="Y76" s="53" t="str">
        <f t="shared" si="116"/>
        <v>00:02:54.5 (206)</v>
      </c>
      <c r="Z76" s="53" t="str">
        <f t="shared" si="117"/>
        <v>DNS/DNF ()</v>
      </c>
      <c r="AA76" s="53" t="str">
        <f t="shared" si="118"/>
        <v>00:06:34.9 (204)</v>
      </c>
      <c r="AB76" s="53" t="str">
        <f t="shared" si="119"/>
        <v>DNS/DNF ()</v>
      </c>
      <c r="AC76" s="53" t="str">
        <f t="shared" si="120"/>
        <v>DNS/DNF ()</v>
      </c>
      <c r="AD76" s="53" t="str">
        <f t="shared" si="121"/>
        <v>DNS/DNF ()</v>
      </c>
      <c r="AE76" s="53">
        <v>0</v>
      </c>
      <c r="AF76" s="53">
        <v>0</v>
      </c>
      <c r="AG76" s="53">
        <v>34155494</v>
      </c>
      <c r="AH76" s="53">
        <v>34477931</v>
      </c>
      <c r="AI76" s="53">
        <v>39079307</v>
      </c>
      <c r="AJ76" s="53">
        <v>39253843</v>
      </c>
      <c r="AK76" s="53">
        <v>0</v>
      </c>
      <c r="AL76" s="53">
        <v>0</v>
      </c>
      <c r="AM76" s="53">
        <v>42672674</v>
      </c>
      <c r="AN76" s="53">
        <v>43067581</v>
      </c>
      <c r="AO76" s="53">
        <v>0</v>
      </c>
      <c r="AP76" s="53">
        <v>0</v>
      </c>
      <c r="AQ76" s="53">
        <v>0</v>
      </c>
      <c r="AR76" s="53">
        <v>0</v>
      </c>
      <c r="AS76" s="53">
        <v>0</v>
      </c>
      <c r="AT76" s="53">
        <v>0</v>
      </c>
      <c r="AU76" s="62" t="str">
        <f t="shared" si="122"/>
        <v>DNS/DNF</v>
      </c>
      <c r="AV76" s="62">
        <f t="shared" si="123"/>
        <v>3.7319097222222224E-3</v>
      </c>
      <c r="AW76" s="62">
        <f t="shared" si="124"/>
        <v>2.0200925925925924E-3</v>
      </c>
      <c r="AX76" s="62" t="str">
        <f t="shared" si="125"/>
        <v>DNS/DNF</v>
      </c>
      <c r="AY76" s="62">
        <f t="shared" si="126"/>
        <v>4.5706828703703708E-3</v>
      </c>
      <c r="AZ76" s="62" t="str">
        <f t="shared" si="127"/>
        <v>DNS/DNF</v>
      </c>
      <c r="BA76" s="62" t="str">
        <f t="shared" si="128"/>
        <v>DNS/DNF</v>
      </c>
      <c r="BB76" s="62" t="str">
        <f t="shared" si="129"/>
        <v>DNS/DNF</v>
      </c>
      <c r="BC76" s="75">
        <f t="shared" si="130"/>
        <v>213</v>
      </c>
      <c r="BD76" s="53" t="str">
        <f t="shared" si="131"/>
        <v/>
      </c>
      <c r="BE76" s="53">
        <f t="shared" si="132"/>
        <v>301337</v>
      </c>
      <c r="BF76" s="53">
        <f t="shared" si="133"/>
        <v>177034.99999999997</v>
      </c>
      <c r="BG76" s="53" t="str">
        <f t="shared" si="134"/>
        <v/>
      </c>
      <c r="BH76" s="53">
        <f t="shared" si="135"/>
        <v>402587</v>
      </c>
      <c r="BI76" s="53" t="str">
        <f t="shared" si="136"/>
        <v/>
      </c>
      <c r="BJ76" s="53" t="str">
        <f t="shared" si="137"/>
        <v/>
      </c>
      <c r="BK76" s="53" t="str">
        <f t="shared" si="138"/>
        <v/>
      </c>
    </row>
    <row r="77" spans="1:63">
      <c r="A77" s="53">
        <v>34</v>
      </c>
      <c r="B77" s="89" t="str">
        <f>IFERROR(VLOOKUP($A77,EntryList!$A$3:$N$645,2,FALSE),"")</f>
        <v>Luc Riley Rossouw</v>
      </c>
      <c r="C77" s="74"/>
      <c r="D77" s="53">
        <f t="shared" si="105"/>
        <v>3</v>
      </c>
      <c r="E77" s="62"/>
      <c r="F77" s="62">
        <v>3.2487500000000003E-3</v>
      </c>
      <c r="G77" s="62">
        <v>1.8070370370370369E-3</v>
      </c>
      <c r="H77" s="62"/>
      <c r="I77" s="62">
        <v>4.3042939814814819E-3</v>
      </c>
      <c r="J77" s="62"/>
      <c r="K77" s="62"/>
      <c r="L77" s="62"/>
      <c r="M77" s="62">
        <v>9.3600810185185176E-3</v>
      </c>
      <c r="N77" s="62">
        <f t="shared" si="106"/>
        <v>9.3600810185185193E-3</v>
      </c>
      <c r="O77" s="53" t="str">
        <f t="shared" si="107"/>
        <v/>
      </c>
      <c r="P77" s="53">
        <f t="shared" si="108"/>
        <v>181</v>
      </c>
      <c r="Q77" s="53">
        <f t="shared" si="109"/>
        <v>143</v>
      </c>
      <c r="R77" s="53" t="str">
        <f t="shared" si="110"/>
        <v/>
      </c>
      <c r="S77" s="53">
        <f t="shared" si="111"/>
        <v>175</v>
      </c>
      <c r="T77" s="53" t="str">
        <f t="shared" si="112"/>
        <v/>
      </c>
      <c r="U77" s="53" t="str">
        <f t="shared" si="113"/>
        <v/>
      </c>
      <c r="V77" s="53" t="str">
        <f t="shared" si="114"/>
        <v/>
      </c>
      <c r="W77" s="53" t="str">
        <f t="shared" si="139"/>
        <v>DNS/DNF ()</v>
      </c>
      <c r="X77" s="53" t="str">
        <f t="shared" si="115"/>
        <v>00:04:40.7 (181)</v>
      </c>
      <c r="Y77" s="53" t="str">
        <f t="shared" si="116"/>
        <v>00:02:36.1 (143)</v>
      </c>
      <c r="Z77" s="53" t="str">
        <f t="shared" si="117"/>
        <v>DNS/DNF ()</v>
      </c>
      <c r="AA77" s="53" t="str">
        <f t="shared" si="118"/>
        <v>00:06:11.9 (175)</v>
      </c>
      <c r="AB77" s="53" t="str">
        <f t="shared" si="119"/>
        <v>DNS/DNF ()</v>
      </c>
      <c r="AC77" s="53" t="str">
        <f t="shared" si="120"/>
        <v>DNS/DNF ()</v>
      </c>
      <c r="AD77" s="53" t="str">
        <f t="shared" si="121"/>
        <v>DNS/DNF ()</v>
      </c>
      <c r="AE77" s="53">
        <v>0</v>
      </c>
      <c r="AF77" s="53">
        <v>0</v>
      </c>
      <c r="AG77" s="53">
        <v>38186424</v>
      </c>
      <c r="AH77" s="53">
        <v>38467116</v>
      </c>
      <c r="AI77" s="53">
        <v>33916947</v>
      </c>
      <c r="AJ77" s="53">
        <v>34073075</v>
      </c>
      <c r="AK77" s="53">
        <v>0</v>
      </c>
      <c r="AL77" s="53">
        <v>0</v>
      </c>
      <c r="AM77" s="53">
        <v>42732756</v>
      </c>
      <c r="AN77" s="53">
        <v>43104647</v>
      </c>
      <c r="AO77" s="53">
        <v>0</v>
      </c>
      <c r="AP77" s="53">
        <v>0</v>
      </c>
      <c r="AQ77" s="53">
        <v>0</v>
      </c>
      <c r="AR77" s="53">
        <v>0</v>
      </c>
      <c r="AS77" s="53">
        <v>0</v>
      </c>
      <c r="AT77" s="53">
        <v>0</v>
      </c>
      <c r="AU77" s="62" t="str">
        <f t="shared" si="122"/>
        <v>DNS/DNF</v>
      </c>
      <c r="AV77" s="62">
        <f t="shared" si="123"/>
        <v>3.2487499999999999E-3</v>
      </c>
      <c r="AW77" s="62">
        <f t="shared" si="124"/>
        <v>1.8070370370370371E-3</v>
      </c>
      <c r="AX77" s="62" t="str">
        <f t="shared" si="125"/>
        <v>DNS/DNF</v>
      </c>
      <c r="AY77" s="62">
        <f t="shared" si="126"/>
        <v>4.3042939814814819E-3</v>
      </c>
      <c r="AZ77" s="62" t="str">
        <f t="shared" si="127"/>
        <v>DNS/DNF</v>
      </c>
      <c r="BA77" s="62" t="str">
        <f t="shared" si="128"/>
        <v>DNS/DNF</v>
      </c>
      <c r="BB77" s="62" t="str">
        <f t="shared" si="129"/>
        <v>DNS/DNF</v>
      </c>
      <c r="BC77" s="75">
        <f t="shared" si="130"/>
        <v>166</v>
      </c>
      <c r="BD77" s="53" t="str">
        <f t="shared" si="131"/>
        <v/>
      </c>
      <c r="BE77" s="53">
        <f t="shared" si="132"/>
        <v>276891</v>
      </c>
      <c r="BF77" s="53">
        <f t="shared" si="133"/>
        <v>160810</v>
      </c>
      <c r="BG77" s="53" t="str">
        <f t="shared" si="134"/>
        <v/>
      </c>
      <c r="BH77" s="53">
        <f t="shared" si="135"/>
        <v>368519</v>
      </c>
      <c r="BI77" s="53" t="str">
        <f t="shared" si="136"/>
        <v/>
      </c>
      <c r="BJ77" s="53" t="str">
        <f t="shared" si="137"/>
        <v/>
      </c>
      <c r="BK77" s="53" t="str">
        <f t="shared" si="138"/>
        <v/>
      </c>
    </row>
    <row r="78" spans="1:63">
      <c r="A78" s="53">
        <v>138</v>
      </c>
      <c r="B78" s="89" t="str">
        <f>IFERROR(VLOOKUP($A78,EntryList!$A$3:$N$645,2,FALSE),"")</f>
        <v>Ben Kroukamp</v>
      </c>
      <c r="C78" s="74"/>
      <c r="D78" s="53">
        <f>COUNT($AU78:$BB78)</f>
        <v>3</v>
      </c>
      <c r="E78" s="62"/>
      <c r="F78" s="62">
        <v>3.5663888888888893E-3</v>
      </c>
      <c r="G78" s="62">
        <v>1.9998611111111111E-3</v>
      </c>
      <c r="H78" s="62"/>
      <c r="I78" s="62">
        <v>4.496006944444444E-3</v>
      </c>
      <c r="J78" s="62"/>
      <c r="K78" s="62"/>
      <c r="L78" s="62"/>
      <c r="M78" s="62">
        <v>1.0062256944444443E-2</v>
      </c>
      <c r="N78" s="62">
        <f>SUM($AU78:$BB78)</f>
        <v>1.0062256944444445E-2</v>
      </c>
      <c r="O78" s="53" t="str">
        <f>IFERROR(RANK($AU78,AU$3:AU$500,1),"")</f>
        <v/>
      </c>
      <c r="P78" s="53">
        <f>IFERROR(RANK($AV78,AV$3:AV$500,1),"")</f>
        <v>220</v>
      </c>
      <c r="Q78" s="53">
        <f>IFERROR(RANK($AW78,AW$3:AW$500,1),"")</f>
        <v>202</v>
      </c>
      <c r="R78" s="53" t="str">
        <f>IFERROR(RANK($AX78,AX$3:AX$500,1),"")</f>
        <v/>
      </c>
      <c r="S78" s="53">
        <f>IFERROR(RANK($AY78,AY$3:AY$500,1),"")</f>
        <v>194</v>
      </c>
      <c r="T78" s="53" t="str">
        <f>IFERROR(RANK($AZ78,AZ$3:AZ$500,1),"")</f>
        <v/>
      </c>
      <c r="U78" s="53" t="str">
        <f>IFERROR(RANK($BA78,BA$3:BA$500,1),"")</f>
        <v/>
      </c>
      <c r="V78" s="53" t="str">
        <f>IFERROR(RANK($BB78,BB$3:BB$500,1),"")</f>
        <v/>
      </c>
      <c r="W78" s="53" t="str">
        <f>CONCATENATE(TEXT($AU78,"[hh]:mm:ss.0")," ","(",$O78,")")</f>
        <v>DNS/DNF ()</v>
      </c>
      <c r="X78" s="53" t="str">
        <f>CONCATENATE(TEXT($AV78,"[hh]:mm:ss.0")," ","(",$P78,")")</f>
        <v>00:05:08.1 (220)</v>
      </c>
      <c r="Y78" s="53" t="str">
        <f>CONCATENATE(TEXT($AW78,"[hh]:mm:ss.0")," ","(",$Q78,")")</f>
        <v>00:02:52.8 (202)</v>
      </c>
      <c r="Z78" s="53" t="str">
        <f>CONCATENATE(TEXT($AX78,"[hh]:mm:ss.0")," ","(",$R78,")")</f>
        <v>DNS/DNF ()</v>
      </c>
      <c r="AA78" s="53" t="str">
        <f>CONCATENATE(TEXT($AY78,"[hh]:mm:ss.0")," ","(",$S78,")")</f>
        <v>00:06:28.5 (194)</v>
      </c>
      <c r="AB78" s="53" t="str">
        <f>CONCATENATE(TEXT($AZ78,"[hh]:mm:ss.0")," ","(",$T78,")")</f>
        <v>DNS/DNF ()</v>
      </c>
      <c r="AC78" s="53" t="str">
        <f>CONCATENATE(TEXT($BA78,"[hh]:mm:ss.0")," ","(",$U78,")")</f>
        <v>DNS/DNF ()</v>
      </c>
      <c r="AD78" s="53" t="str">
        <f>CONCATENATE(TEXT($BB78,"[hh]:mm:ss.0")," ","(",$V78,")")</f>
        <v>DNS/DNF ()</v>
      </c>
      <c r="AE78" s="53">
        <v>0</v>
      </c>
      <c r="AF78" s="53">
        <v>0</v>
      </c>
      <c r="AG78" s="53">
        <v>35159192</v>
      </c>
      <c r="AH78" s="53">
        <v>35467328</v>
      </c>
      <c r="AI78" s="53">
        <v>38933419</v>
      </c>
      <c r="AJ78" s="53">
        <v>39106207</v>
      </c>
      <c r="AK78" s="53">
        <v>0</v>
      </c>
      <c r="AL78" s="53">
        <v>0</v>
      </c>
      <c r="AM78" s="53">
        <v>42844340</v>
      </c>
      <c r="AN78" s="53">
        <v>43232795</v>
      </c>
      <c r="AO78" s="53">
        <v>0</v>
      </c>
      <c r="AP78" s="53">
        <v>0</v>
      </c>
      <c r="AQ78" s="53">
        <v>0</v>
      </c>
      <c r="AR78" s="53">
        <v>0</v>
      </c>
      <c r="AS78" s="53">
        <v>0</v>
      </c>
      <c r="AT78" s="53">
        <v>0</v>
      </c>
      <c r="AU78" s="62" t="str">
        <f>IF((OR($AE78=0,$AF78=0,$AF78-$AE78&lt;0)),"DNS/DNF",($AF78-$AE78)/86400000)</f>
        <v>DNS/DNF</v>
      </c>
      <c r="AV78" s="62">
        <f>IF((OR($AG78=0,$AH78=0,$AH78-$AG78&lt;0)),"DNS/DNF",($AH78-$AG78)/86400000)</f>
        <v>3.5663888888888889E-3</v>
      </c>
      <c r="AW78" s="62">
        <f>IF((OR($AI78=0,$AJ78=0,$AJ78-$AI78&lt;0)),"DNS/DNF",($AJ78-$AI78)/86400000)</f>
        <v>1.9998611111111111E-3</v>
      </c>
      <c r="AX78" s="62" t="str">
        <f>IF((OR($AK78=0,$AL78=0,$AL78-$AK78&lt;0)),"DNS/DNF",($AL78-$AK78)/86400000)</f>
        <v>DNS/DNF</v>
      </c>
      <c r="AY78" s="62">
        <f>IF((OR($AM78=0,$AM78=0,$AN78-$AM78&lt;0)),"DNS/DNF",($AN78-$AM78)/86400000)</f>
        <v>4.4960069444444448E-3</v>
      </c>
      <c r="AZ78" s="62" t="str">
        <f>IF((OR($AO78=0,$AP78=0,$AP78-$AO78&lt;0)),"DNS/DNF",($AP78-$AO78)/86400000)</f>
        <v>DNS/DNF</v>
      </c>
      <c r="BA78" s="62" t="str">
        <f>IF((OR($AQ78=0,$AR78=0,$AR78-$AQ78&lt;0)),"DNS/DNF",($AR78-$AQ78)/86400000)</f>
        <v>DNS/DNF</v>
      </c>
      <c r="BB78" s="62" t="str">
        <f>IF((OR($AS78=0,$AT78=0,$AT78-$AS78&lt;0)),"DNS/DNF",($AT78-$AS78)/86400000)</f>
        <v>DNS/DNF</v>
      </c>
      <c r="BC78" s="75">
        <f>IFERROR(ROUND(AVERAGE(O78:V78),0),"")</f>
        <v>205</v>
      </c>
      <c r="BD78" s="53" t="str">
        <f>IFERROR((INDEX(($AU$3:$AU$500)*86400000,MATCH(BC78,$O$3:$O$500,0))),"")</f>
        <v/>
      </c>
      <c r="BE78" s="53">
        <f>IFERROR((INDEX(($AV$3:$AV$500)*86400000,MATCH(BC78,$P$3:$P$500,0))),"")</f>
        <v>295128</v>
      </c>
      <c r="BF78" s="53">
        <f>IFERROR((INDEX(($AW$3:$AW$500)*86400000,MATCH(BC78,$Q$3:$Q$500,0))),"")</f>
        <v>174194</v>
      </c>
      <c r="BG78" s="53" t="str">
        <f>IFERROR((INDEX(($AX$3:$AX$500)*86400000,MATCH(BC78,$R$3:$R$500,0))),"")</f>
        <v/>
      </c>
      <c r="BH78" s="53">
        <f>IFERROR((INDEX(($AY$3:$AY$500)*86400000,MATCH(BC78,$S$3:$S$500,0))),"")</f>
        <v>395570.00000000006</v>
      </c>
      <c r="BI78" s="53" t="str">
        <f>IFERROR((INDEX(($AZ$3:$AZ$500)*86400000,MATCH(BC78,$T$3:$T$500,0))),"")</f>
        <v/>
      </c>
      <c r="BJ78" s="53" t="str">
        <f>IFERROR((INDEX(($BA$3:$BA$500)*86400000,MATCH(BC78,$U$3:$U$500,0))),"")</f>
        <v/>
      </c>
      <c r="BK78" s="53" t="str">
        <f>IFERROR((INDEX(($BB$3:$BB$500)*86400000,MATCH(BC78,$V$3:$V$500,0))),"")</f>
        <v/>
      </c>
    </row>
    <row r="79" spans="1:63">
      <c r="A79" s="53">
        <v>156</v>
      </c>
      <c r="B79" s="89" t="str">
        <f>IFERROR(VLOOKUP($A79,EntryList!$A$3:$N$645,2,FALSE),"")</f>
        <v>Gary Kroukamp</v>
      </c>
      <c r="C79" s="74"/>
      <c r="D79" s="53">
        <f t="shared" ref="D79:D120" si="140">COUNT($AU79:$BB79)</f>
        <v>3</v>
      </c>
      <c r="E79" s="62"/>
      <c r="F79" s="62">
        <v>3.1554050925925929E-3</v>
      </c>
      <c r="G79" s="62">
        <v>1.7814004629629629E-3</v>
      </c>
      <c r="H79" s="62"/>
      <c r="I79" s="62">
        <v>4.1442708333333331E-3</v>
      </c>
      <c r="J79" s="62"/>
      <c r="K79" s="62"/>
      <c r="L79" s="62"/>
      <c r="M79" s="62">
        <v>9.0810763888888885E-3</v>
      </c>
      <c r="N79" s="62">
        <f t="shared" ref="N79:N120" si="141">SUM($AU79:$BB79)</f>
        <v>9.0810763888888885E-3</v>
      </c>
      <c r="O79" s="53" t="str">
        <f t="shared" ref="O79:O120" si="142">IFERROR(RANK($AU79,AU$3:AU$500,1),"")</f>
        <v/>
      </c>
      <c r="P79" s="53">
        <f t="shared" ref="P79:P120" si="143">IFERROR(RANK($AV79,AV$3:AV$500,1),"")</f>
        <v>150</v>
      </c>
      <c r="Q79" s="53">
        <f t="shared" ref="Q79:Q120" si="144">IFERROR(RANK($AW79,AW$3:AW$500,1),"")</f>
        <v>133</v>
      </c>
      <c r="R79" s="53" t="str">
        <f t="shared" ref="R79:R120" si="145">IFERROR(RANK($AX79,AX$3:AX$500,1),"")</f>
        <v/>
      </c>
      <c r="S79" s="53">
        <f t="shared" ref="S79:S120" si="146">IFERROR(RANK($AY79,AY$3:AY$500,1),"")</f>
        <v>140</v>
      </c>
      <c r="T79" s="53" t="str">
        <f t="shared" ref="T79:T120" si="147">IFERROR(RANK($AZ79,AZ$3:AZ$500,1),"")</f>
        <v/>
      </c>
      <c r="U79" s="53" t="str">
        <f t="shared" ref="U79:U120" si="148">IFERROR(RANK($BA79,BA$3:BA$500,1),"")</f>
        <v/>
      </c>
      <c r="V79" s="53" t="str">
        <f t="shared" ref="V79:V120" si="149">IFERROR(RANK($BB79,BB$3:BB$500,1),"")</f>
        <v/>
      </c>
      <c r="W79" s="53" t="str">
        <f>CONCATENATE(TEXT($AU79,"[hh]:mm:ss.0")," ","(",$O79,")")</f>
        <v>DNS/DNF ()</v>
      </c>
      <c r="X79" s="53" t="str">
        <f t="shared" ref="X79:X120" si="150">CONCATENATE(TEXT($AV79,"[hh]:mm:ss.0")," ","(",$P79,")")</f>
        <v>00:04:32.6 (150)</v>
      </c>
      <c r="Y79" s="53" t="str">
        <f t="shared" ref="Y79:Y120" si="151">CONCATENATE(TEXT($AW79,"[hh]:mm:ss.0")," ","(",$Q79,")")</f>
        <v>00:02:33.9 (133)</v>
      </c>
      <c r="Z79" s="53" t="str">
        <f t="shared" ref="Z79:Z120" si="152">CONCATENATE(TEXT($AX79,"[hh]:mm:ss.0")," ","(",$R79,")")</f>
        <v>DNS/DNF ()</v>
      </c>
      <c r="AA79" s="53" t="str">
        <f t="shared" ref="AA79:AA120" si="153">CONCATENATE(TEXT($AY79,"[hh]:mm:ss.0")," ","(",$S79,")")</f>
        <v>00:05:58.1 (140)</v>
      </c>
      <c r="AB79" s="53" t="str">
        <f t="shared" ref="AB79:AB120" si="154">CONCATENATE(TEXT($AZ79,"[hh]:mm:ss.0")," ","(",$T79,")")</f>
        <v>DNS/DNF ()</v>
      </c>
      <c r="AC79" s="53" t="str">
        <f t="shared" ref="AC79:AC120" si="155">CONCATENATE(TEXT($BA79,"[hh]:mm:ss.0")," ","(",$U79,")")</f>
        <v>DNS/DNF ()</v>
      </c>
      <c r="AD79" s="53" t="str">
        <f t="shared" ref="AD79:AD120" si="156">CONCATENATE(TEXT($BB79,"[hh]:mm:ss.0")," ","(",$V79,")")</f>
        <v>DNS/DNF ()</v>
      </c>
      <c r="AE79" s="53">
        <v>0</v>
      </c>
      <c r="AF79" s="53">
        <v>0</v>
      </c>
      <c r="AG79" s="53">
        <v>35181001</v>
      </c>
      <c r="AH79" s="53">
        <v>35453628</v>
      </c>
      <c r="AI79" s="53">
        <v>38915576</v>
      </c>
      <c r="AJ79" s="53">
        <v>39069489</v>
      </c>
      <c r="AK79" s="53">
        <v>0</v>
      </c>
      <c r="AL79" s="53">
        <v>0</v>
      </c>
      <c r="AM79" s="53">
        <v>42815584</v>
      </c>
      <c r="AN79" s="53">
        <v>43173649</v>
      </c>
      <c r="AO79" s="53">
        <v>0</v>
      </c>
      <c r="AP79" s="53">
        <v>0</v>
      </c>
      <c r="AQ79" s="53">
        <v>0</v>
      </c>
      <c r="AR79" s="53">
        <v>0</v>
      </c>
      <c r="AS79" s="53">
        <v>0</v>
      </c>
      <c r="AT79" s="53">
        <v>0</v>
      </c>
      <c r="AU79" s="62" t="str">
        <f t="shared" ref="AU79:AU120" si="157">IF((OR($AE79=0,$AF79=0,$AF79-$AE79&lt;0)),"DNS/DNF",($AF79-$AE79)/86400000)</f>
        <v>DNS/DNF</v>
      </c>
      <c r="AV79" s="62">
        <f t="shared" ref="AV79:AV120" si="158">IF((OR($AG79=0,$AH79=0,$AH79-$AG79&lt;0)),"DNS/DNF",($AH79-$AG79)/86400000)</f>
        <v>3.1554050925925925E-3</v>
      </c>
      <c r="AW79" s="62">
        <f t="shared" ref="AW79:AW120" si="159">IF((OR($AI79=0,$AJ79=0,$AJ79-$AI79&lt;0)),"DNS/DNF",($AJ79-$AI79)/86400000)</f>
        <v>1.7814004629629629E-3</v>
      </c>
      <c r="AX79" s="62" t="str">
        <f t="shared" ref="AX79:AX120" si="160">IF((OR($AK79=0,$AL79=0,$AL79-$AK79&lt;0)),"DNS/DNF",($AL79-$AK79)/86400000)</f>
        <v>DNS/DNF</v>
      </c>
      <c r="AY79" s="62">
        <f t="shared" ref="AY79:AY120" si="161">IF((OR($AM79=0,$AM79=0,$AN79-$AM79&lt;0)),"DNS/DNF",($AN79-$AM79)/86400000)</f>
        <v>4.1442708333333331E-3</v>
      </c>
      <c r="AZ79" s="62" t="str">
        <f t="shared" ref="AZ79:AZ120" si="162">IF((OR($AO79=0,$AP79=0,$AP79-$AO79&lt;0)),"DNS/DNF",($AP79-$AO79)/86400000)</f>
        <v>DNS/DNF</v>
      </c>
      <c r="BA79" s="62" t="str">
        <f t="shared" ref="BA79:BA120" si="163">IF((OR($AQ79=0,$AR79=0,$AR79-$AQ79&lt;0)),"DNS/DNF",($AR79-$AQ79)/86400000)</f>
        <v>DNS/DNF</v>
      </c>
      <c r="BB79" s="62" t="str">
        <f t="shared" ref="BB79:BB120" si="164">IF((OR($AS79=0,$AT79=0,$AT79-$AS79&lt;0)),"DNS/DNF",($AT79-$AS79)/86400000)</f>
        <v>DNS/DNF</v>
      </c>
      <c r="BC79" s="75">
        <f t="shared" ref="BC79:BC120" si="165">IFERROR(ROUND(AVERAGE(O79:V79),0),"")</f>
        <v>141</v>
      </c>
      <c r="BD79" s="53">
        <f t="shared" ref="BD79:BD120" si="166">IFERROR((INDEX(($AU$3:$AU$500)*86400000,MATCH(BC79,$O$3:$O$500,0))),"")</f>
        <v>404206.00000000006</v>
      </c>
      <c r="BE79" s="53">
        <f t="shared" ref="BE79:BE120" si="167">IFERROR((INDEX(($AV$3:$AV$500)*86400000,MATCH(BC79,$P$3:$P$500,0))),"")</f>
        <v>268861</v>
      </c>
      <c r="BF79" s="53">
        <f t="shared" ref="BF79:BF120" si="168">IFERROR((INDEX(($AW$3:$AW$500)*86400000,MATCH(BC79,$Q$3:$Q$500,0))),"")</f>
        <v>155013</v>
      </c>
      <c r="BG79" s="53">
        <f t="shared" ref="BG79:BG120" si="169">IFERROR((INDEX(($AX$3:$AX$500)*86400000,MATCH(BC79,$R$3:$R$500,0))),"")</f>
        <v>402673</v>
      </c>
      <c r="BH79" s="53">
        <f t="shared" ref="BH79:BH120" si="170">IFERROR((INDEX(($AY$3:$AY$500)*86400000,MATCH(BC79,$S$3:$S$500,0))),"")</f>
        <v>358248</v>
      </c>
      <c r="BI79" s="53" t="str">
        <f t="shared" ref="BI79:BI120" si="171">IFERROR((INDEX(($AZ$3:$AZ$500)*86400000,MATCH(BC79,$T$3:$T$500,0))),"")</f>
        <v/>
      </c>
      <c r="BJ79" s="53" t="str">
        <f t="shared" ref="BJ79:BJ120" si="172">IFERROR((INDEX(($BA$3:$BA$500)*86400000,MATCH(BC79,$U$3:$U$500,0))),"")</f>
        <v/>
      </c>
      <c r="BK79" s="53" t="str">
        <f t="shared" ref="BK79:BK120" si="173">IFERROR((INDEX(($BB$3:$BB$500)*86400000,MATCH(BC79,$V$3:$V$500,0))),"")</f>
        <v/>
      </c>
    </row>
    <row r="80" spans="1:63">
      <c r="A80" s="53">
        <v>219</v>
      </c>
      <c r="B80" s="89" t="str">
        <f>IFERROR(VLOOKUP($A80,EntryList!$A$3:$N$645,2,FALSE),"")</f>
        <v>Alexander Ham</v>
      </c>
      <c r="C80" s="74"/>
      <c r="D80" s="53">
        <f t="shared" si="140"/>
        <v>5</v>
      </c>
      <c r="E80" s="62">
        <v>2.7849305555555557E-3</v>
      </c>
      <c r="F80" s="62">
        <v>2.459861111111111E-3</v>
      </c>
      <c r="G80" s="62">
        <v>1.4519675925925926E-3</v>
      </c>
      <c r="H80" s="62">
        <v>2.7633217592592592E-3</v>
      </c>
      <c r="I80" s="62">
        <v>3.5055787037037039E-3</v>
      </c>
      <c r="J80" s="62"/>
      <c r="K80" s="62"/>
      <c r="L80" s="62"/>
      <c r="M80" s="62">
        <v>1.2965659722222222E-2</v>
      </c>
      <c r="N80" s="62">
        <f t="shared" si="141"/>
        <v>1.2965659722222222E-2</v>
      </c>
      <c r="O80" s="53">
        <f t="shared" si="142"/>
        <v>59</v>
      </c>
      <c r="P80" s="53">
        <f t="shared" si="143"/>
        <v>8</v>
      </c>
      <c r="Q80" s="53">
        <f t="shared" si="144"/>
        <v>29</v>
      </c>
      <c r="R80" s="53">
        <f t="shared" si="145"/>
        <v>16</v>
      </c>
      <c r="S80" s="53">
        <f t="shared" si="146"/>
        <v>21</v>
      </c>
      <c r="T80" s="53" t="str">
        <f t="shared" si="147"/>
        <v/>
      </c>
      <c r="U80" s="53" t="str">
        <f t="shared" si="148"/>
        <v/>
      </c>
      <c r="V80" s="53" t="str">
        <f t="shared" si="149"/>
        <v/>
      </c>
      <c r="W80" s="53" t="str">
        <f t="shared" ref="W80:W120" si="174">CONCATENATE(TEXT($AU80,"[hh]:mm:ss.0")," ","(",$O80,")")</f>
        <v>00:04:00.6 (59)</v>
      </c>
      <c r="X80" s="53" t="str">
        <f t="shared" si="150"/>
        <v>00:03:32.5 (8)</v>
      </c>
      <c r="Y80" s="53" t="str">
        <f t="shared" si="151"/>
        <v>00:02:05.5 (29)</v>
      </c>
      <c r="Z80" s="53" t="str">
        <f t="shared" si="152"/>
        <v>00:03:58.8 (16)</v>
      </c>
      <c r="AA80" s="53" t="str">
        <f t="shared" si="153"/>
        <v>00:05:02.9 (21)</v>
      </c>
      <c r="AB80" s="53" t="str">
        <f t="shared" si="154"/>
        <v>DNS/DNF ()</v>
      </c>
      <c r="AC80" s="53" t="str">
        <f t="shared" si="155"/>
        <v>DNS/DNF ()</v>
      </c>
      <c r="AD80" s="53" t="str">
        <f t="shared" si="156"/>
        <v>DNS/DNF ()</v>
      </c>
      <c r="AE80" s="53">
        <v>34091017</v>
      </c>
      <c r="AF80" s="53">
        <v>34331635</v>
      </c>
      <c r="AG80" s="53">
        <v>31325809</v>
      </c>
      <c r="AH80" s="53">
        <v>31538341</v>
      </c>
      <c r="AI80" s="53">
        <v>36805546</v>
      </c>
      <c r="AJ80" s="53">
        <v>36930996</v>
      </c>
      <c r="AK80" s="53">
        <v>40112532</v>
      </c>
      <c r="AL80" s="53">
        <v>40351283</v>
      </c>
      <c r="AM80" s="53">
        <v>42598542</v>
      </c>
      <c r="AN80" s="53">
        <v>42901424</v>
      </c>
      <c r="AO80" s="53">
        <v>0</v>
      </c>
      <c r="AP80" s="53">
        <v>0</v>
      </c>
      <c r="AQ80" s="53">
        <v>0</v>
      </c>
      <c r="AR80" s="53">
        <v>0</v>
      </c>
      <c r="AS80" s="53">
        <v>0</v>
      </c>
      <c r="AT80" s="53">
        <v>0</v>
      </c>
      <c r="AU80" s="62">
        <f t="shared" si="157"/>
        <v>2.7849305555555557E-3</v>
      </c>
      <c r="AV80" s="62">
        <f t="shared" si="158"/>
        <v>2.459861111111111E-3</v>
      </c>
      <c r="AW80" s="62">
        <f t="shared" si="159"/>
        <v>1.4519675925925926E-3</v>
      </c>
      <c r="AX80" s="62">
        <f t="shared" si="160"/>
        <v>2.7633217592592592E-3</v>
      </c>
      <c r="AY80" s="62">
        <f t="shared" si="161"/>
        <v>3.5055787037037039E-3</v>
      </c>
      <c r="AZ80" s="62" t="str">
        <f t="shared" si="162"/>
        <v>DNS/DNF</v>
      </c>
      <c r="BA80" s="62" t="str">
        <f t="shared" si="163"/>
        <v>DNS/DNF</v>
      </c>
      <c r="BB80" s="62" t="str">
        <f t="shared" si="164"/>
        <v>DNS/DNF</v>
      </c>
      <c r="BC80" s="75">
        <f t="shared" si="165"/>
        <v>27</v>
      </c>
      <c r="BD80" s="53" t="str">
        <f t="shared" si="166"/>
        <v/>
      </c>
      <c r="BE80" s="53">
        <f t="shared" si="167"/>
        <v>223913</v>
      </c>
      <c r="BF80" s="53">
        <f t="shared" si="168"/>
        <v>125114.00000000001</v>
      </c>
      <c r="BG80" s="53">
        <f t="shared" si="169"/>
        <v>247790</v>
      </c>
      <c r="BH80" s="53">
        <f t="shared" si="170"/>
        <v>307321</v>
      </c>
      <c r="BI80" s="53" t="str">
        <f t="shared" si="171"/>
        <v/>
      </c>
      <c r="BJ80" s="53" t="str">
        <f t="shared" si="172"/>
        <v/>
      </c>
      <c r="BK80" s="53" t="str">
        <f t="shared" si="173"/>
        <v/>
      </c>
    </row>
    <row r="81" spans="1:63">
      <c r="A81" s="53">
        <v>278</v>
      </c>
      <c r="B81" s="89" t="str">
        <f>IFERROR(VLOOKUP($A81,EntryList!$A$3:$N$645,2,FALSE),"")</f>
        <v>Thomas Dawson</v>
      </c>
      <c r="C81" s="74"/>
      <c r="D81" s="53">
        <f t="shared" si="140"/>
        <v>3</v>
      </c>
      <c r="E81" s="62"/>
      <c r="F81" s="62">
        <v>2.966238425925926E-3</v>
      </c>
      <c r="G81" s="62">
        <v>1.6979745370370369E-3</v>
      </c>
      <c r="H81" s="62"/>
      <c r="I81" s="62">
        <v>4.0726388888888887E-3</v>
      </c>
      <c r="J81" s="62"/>
      <c r="K81" s="62"/>
      <c r="L81" s="62"/>
      <c r="M81" s="62">
        <v>8.7368518518518515E-3</v>
      </c>
      <c r="N81" s="62">
        <f t="shared" si="141"/>
        <v>8.7368518518518515E-3</v>
      </c>
      <c r="O81" s="53" t="str">
        <f t="shared" si="142"/>
        <v/>
      </c>
      <c r="P81" s="53">
        <f t="shared" si="143"/>
        <v>105</v>
      </c>
      <c r="Q81" s="53">
        <f t="shared" si="144"/>
        <v>103</v>
      </c>
      <c r="R81" s="53" t="str">
        <f t="shared" si="145"/>
        <v/>
      </c>
      <c r="S81" s="53">
        <f t="shared" si="146"/>
        <v>119</v>
      </c>
      <c r="T81" s="53" t="str">
        <f t="shared" si="147"/>
        <v/>
      </c>
      <c r="U81" s="53" t="str">
        <f t="shared" si="148"/>
        <v/>
      </c>
      <c r="V81" s="53" t="str">
        <f t="shared" si="149"/>
        <v/>
      </c>
      <c r="W81" s="53" t="str">
        <f t="shared" si="174"/>
        <v>DNS/DNF ()</v>
      </c>
      <c r="X81" s="53" t="str">
        <f t="shared" si="150"/>
        <v>00:04:16.3 (105)</v>
      </c>
      <c r="Y81" s="53" t="str">
        <f t="shared" si="151"/>
        <v>00:02:26.7 (103)</v>
      </c>
      <c r="Z81" s="53" t="str">
        <f t="shared" si="152"/>
        <v>DNS/DNF ()</v>
      </c>
      <c r="AA81" s="53" t="str">
        <f t="shared" si="153"/>
        <v>00:05:51.9 (119)</v>
      </c>
      <c r="AB81" s="53" t="str">
        <f t="shared" si="154"/>
        <v>DNS/DNF ()</v>
      </c>
      <c r="AC81" s="53" t="str">
        <f t="shared" si="155"/>
        <v>DNS/DNF ()</v>
      </c>
      <c r="AD81" s="53" t="str">
        <f t="shared" si="156"/>
        <v>DNS/DNF ()</v>
      </c>
      <c r="AE81" s="53">
        <v>0</v>
      </c>
      <c r="AF81" s="53">
        <v>0</v>
      </c>
      <c r="AG81" s="53">
        <v>38131473</v>
      </c>
      <c r="AH81" s="53">
        <v>38387756</v>
      </c>
      <c r="AI81" s="53">
        <v>33992051</v>
      </c>
      <c r="AJ81" s="53">
        <v>34138756</v>
      </c>
      <c r="AK81" s="53">
        <v>0</v>
      </c>
      <c r="AL81" s="53">
        <v>0</v>
      </c>
      <c r="AM81" s="53">
        <v>42698844</v>
      </c>
      <c r="AN81" s="53">
        <v>43050720</v>
      </c>
      <c r="AO81" s="53">
        <v>0</v>
      </c>
      <c r="AP81" s="53">
        <v>0</v>
      </c>
      <c r="AQ81" s="53">
        <v>0</v>
      </c>
      <c r="AR81" s="53">
        <v>0</v>
      </c>
      <c r="AS81" s="53">
        <v>0</v>
      </c>
      <c r="AT81" s="53">
        <v>0</v>
      </c>
      <c r="AU81" s="62" t="str">
        <f t="shared" si="157"/>
        <v>DNS/DNF</v>
      </c>
      <c r="AV81" s="62">
        <f t="shared" si="158"/>
        <v>2.966238425925926E-3</v>
      </c>
      <c r="AW81" s="62">
        <f t="shared" si="159"/>
        <v>1.6979745370370371E-3</v>
      </c>
      <c r="AX81" s="62" t="str">
        <f t="shared" si="160"/>
        <v>DNS/DNF</v>
      </c>
      <c r="AY81" s="62">
        <f t="shared" si="161"/>
        <v>4.0726388888888887E-3</v>
      </c>
      <c r="AZ81" s="62" t="str">
        <f t="shared" si="162"/>
        <v>DNS/DNF</v>
      </c>
      <c r="BA81" s="62" t="str">
        <f t="shared" si="163"/>
        <v>DNS/DNF</v>
      </c>
      <c r="BB81" s="62" t="str">
        <f t="shared" si="164"/>
        <v>DNS/DNF</v>
      </c>
      <c r="BC81" s="75">
        <f t="shared" si="165"/>
        <v>109</v>
      </c>
      <c r="BD81" s="53">
        <f t="shared" si="166"/>
        <v>289640</v>
      </c>
      <c r="BE81" s="53">
        <f t="shared" si="167"/>
        <v>257553</v>
      </c>
      <c r="BF81" s="53">
        <f t="shared" si="168"/>
        <v>147732</v>
      </c>
      <c r="BG81" s="53">
        <f t="shared" si="169"/>
        <v>306982</v>
      </c>
      <c r="BH81" s="53">
        <f t="shared" si="170"/>
        <v>348270.99999999994</v>
      </c>
      <c r="BI81" s="53" t="str">
        <f t="shared" si="171"/>
        <v/>
      </c>
      <c r="BJ81" s="53" t="str">
        <f t="shared" si="172"/>
        <v/>
      </c>
      <c r="BK81" s="53" t="str">
        <f t="shared" si="173"/>
        <v/>
      </c>
    </row>
    <row r="82" spans="1:63">
      <c r="A82" s="53">
        <v>70</v>
      </c>
      <c r="B82" s="89" t="str">
        <f>IFERROR(VLOOKUP($A82,EntryList!$A$3:$N$645,2,FALSE),"")</f>
        <v>Adam Dawson</v>
      </c>
      <c r="C82" s="74"/>
      <c r="D82" s="53">
        <f t="shared" si="140"/>
        <v>3</v>
      </c>
      <c r="E82" s="62"/>
      <c r="F82" s="62">
        <v>3.1921296296296298E-3</v>
      </c>
      <c r="G82" s="62">
        <v>1.8855208333333334E-3</v>
      </c>
      <c r="H82" s="62"/>
      <c r="I82" s="62">
        <v>4.0780902777777777E-3</v>
      </c>
      <c r="J82" s="62"/>
      <c r="K82" s="62"/>
      <c r="L82" s="62"/>
      <c r="M82" s="62">
        <v>9.1557407407407403E-3</v>
      </c>
      <c r="N82" s="62">
        <f t="shared" si="141"/>
        <v>9.1557407407407403E-3</v>
      </c>
      <c r="O82" s="53" t="str">
        <f t="shared" si="142"/>
        <v/>
      </c>
      <c r="P82" s="53">
        <f t="shared" si="143"/>
        <v>161</v>
      </c>
      <c r="Q82" s="53">
        <f t="shared" si="144"/>
        <v>177</v>
      </c>
      <c r="R82" s="53" t="str">
        <f t="shared" si="145"/>
        <v/>
      </c>
      <c r="S82" s="53">
        <f t="shared" si="146"/>
        <v>123</v>
      </c>
      <c r="T82" s="53" t="str">
        <f t="shared" si="147"/>
        <v/>
      </c>
      <c r="U82" s="53" t="str">
        <f t="shared" si="148"/>
        <v/>
      </c>
      <c r="V82" s="53" t="str">
        <f t="shared" si="149"/>
        <v/>
      </c>
      <c r="W82" s="53" t="str">
        <f t="shared" si="174"/>
        <v>DNS/DNF ()</v>
      </c>
      <c r="X82" s="53" t="str">
        <f t="shared" si="150"/>
        <v>00:04:35.8 (161)</v>
      </c>
      <c r="Y82" s="53" t="str">
        <f t="shared" si="151"/>
        <v>00:02:42.9 (177)</v>
      </c>
      <c r="Z82" s="53" t="str">
        <f t="shared" si="152"/>
        <v>DNS/DNF ()</v>
      </c>
      <c r="AA82" s="53" t="str">
        <f t="shared" si="153"/>
        <v>00:05:52.3 (123)</v>
      </c>
      <c r="AB82" s="53" t="str">
        <f t="shared" si="154"/>
        <v>DNS/DNF ()</v>
      </c>
      <c r="AC82" s="53" t="str">
        <f t="shared" si="155"/>
        <v>DNS/DNF ()</v>
      </c>
      <c r="AD82" s="53" t="str">
        <f t="shared" si="156"/>
        <v>DNS/DNF ()</v>
      </c>
      <c r="AE82" s="53">
        <v>0</v>
      </c>
      <c r="AF82" s="53">
        <v>0</v>
      </c>
      <c r="AG82" s="53">
        <v>38163776</v>
      </c>
      <c r="AH82" s="53">
        <v>38439576</v>
      </c>
      <c r="AI82" s="53">
        <v>33955467</v>
      </c>
      <c r="AJ82" s="53">
        <v>34118376</v>
      </c>
      <c r="AK82" s="53">
        <v>0</v>
      </c>
      <c r="AL82" s="53">
        <v>0</v>
      </c>
      <c r="AM82" s="53">
        <v>42720420</v>
      </c>
      <c r="AN82" s="53">
        <v>43072767</v>
      </c>
      <c r="AO82" s="53">
        <v>0</v>
      </c>
      <c r="AP82" s="53">
        <v>0</v>
      </c>
      <c r="AQ82" s="53">
        <v>0</v>
      </c>
      <c r="AR82" s="53">
        <v>0</v>
      </c>
      <c r="AS82" s="53">
        <v>0</v>
      </c>
      <c r="AT82" s="53">
        <v>0</v>
      </c>
      <c r="AU82" s="62" t="str">
        <f t="shared" si="157"/>
        <v>DNS/DNF</v>
      </c>
      <c r="AV82" s="62">
        <f t="shared" si="158"/>
        <v>3.1921296296296298E-3</v>
      </c>
      <c r="AW82" s="62">
        <f t="shared" si="159"/>
        <v>1.8855208333333332E-3</v>
      </c>
      <c r="AX82" s="62" t="str">
        <f t="shared" si="160"/>
        <v>DNS/DNF</v>
      </c>
      <c r="AY82" s="62">
        <f t="shared" si="161"/>
        <v>4.0780902777777777E-3</v>
      </c>
      <c r="AZ82" s="62" t="str">
        <f t="shared" si="162"/>
        <v>DNS/DNF</v>
      </c>
      <c r="BA82" s="62" t="str">
        <f t="shared" si="163"/>
        <v>DNS/DNF</v>
      </c>
      <c r="BB82" s="62" t="str">
        <f t="shared" si="164"/>
        <v>DNS/DNF</v>
      </c>
      <c r="BC82" s="75">
        <f t="shared" si="165"/>
        <v>154</v>
      </c>
      <c r="BD82" s="53" t="str">
        <f t="shared" si="166"/>
        <v/>
      </c>
      <c r="BE82" s="53">
        <f t="shared" si="167"/>
        <v>273528</v>
      </c>
      <c r="BF82" s="53">
        <f t="shared" si="168"/>
        <v>159610</v>
      </c>
      <c r="BG82" s="53" t="str">
        <f t="shared" si="169"/>
        <v/>
      </c>
      <c r="BH82" s="53">
        <f t="shared" si="170"/>
        <v>363371</v>
      </c>
      <c r="BI82" s="53" t="str">
        <f t="shared" si="171"/>
        <v/>
      </c>
      <c r="BJ82" s="53" t="str">
        <f t="shared" si="172"/>
        <v/>
      </c>
      <c r="BK82" s="53" t="str">
        <f t="shared" si="173"/>
        <v/>
      </c>
    </row>
    <row r="83" spans="1:63">
      <c r="A83" s="53">
        <v>151</v>
      </c>
      <c r="B83" s="89" t="str">
        <f>IFERROR(VLOOKUP($A83,EntryList!$A$3:$N$645,2,FALSE),"")</f>
        <v>Geoff Dye</v>
      </c>
      <c r="C83" s="74"/>
      <c r="D83" s="53">
        <f t="shared" si="140"/>
        <v>3</v>
      </c>
      <c r="E83" s="62"/>
      <c r="F83" s="62">
        <v>4.2889120370370373E-3</v>
      </c>
      <c r="G83" s="62">
        <v>3.1403703703703702E-3</v>
      </c>
      <c r="H83" s="62"/>
      <c r="I83" s="62">
        <v>5.174722222222222E-3</v>
      </c>
      <c r="J83" s="62"/>
      <c r="K83" s="62"/>
      <c r="L83" s="62"/>
      <c r="M83" s="62">
        <v>1.260400462962963E-2</v>
      </c>
      <c r="N83" s="62">
        <f t="shared" si="141"/>
        <v>1.2604004629629628E-2</v>
      </c>
      <c r="O83" s="53" t="str">
        <f t="shared" si="142"/>
        <v/>
      </c>
      <c r="P83" s="53">
        <f t="shared" si="143"/>
        <v>253</v>
      </c>
      <c r="Q83" s="53">
        <f t="shared" si="144"/>
        <v>254</v>
      </c>
      <c r="R83" s="53" t="str">
        <f t="shared" si="145"/>
        <v/>
      </c>
      <c r="S83" s="53">
        <f t="shared" si="146"/>
        <v>238</v>
      </c>
      <c r="T83" s="53" t="str">
        <f t="shared" si="147"/>
        <v/>
      </c>
      <c r="U83" s="53" t="str">
        <f t="shared" si="148"/>
        <v/>
      </c>
      <c r="V83" s="53" t="str">
        <f t="shared" si="149"/>
        <v/>
      </c>
      <c r="W83" s="53" t="str">
        <f t="shared" si="174"/>
        <v>DNS/DNF ()</v>
      </c>
      <c r="X83" s="53" t="str">
        <f t="shared" si="150"/>
        <v>00:06:10.6 (253)</v>
      </c>
      <c r="Y83" s="53" t="str">
        <f t="shared" si="151"/>
        <v>00:04:31.3 (254)</v>
      </c>
      <c r="Z83" s="53" t="str">
        <f t="shared" si="152"/>
        <v>DNS/DNF ()</v>
      </c>
      <c r="AA83" s="53" t="str">
        <f t="shared" si="153"/>
        <v>00:07:27.1 (238)</v>
      </c>
      <c r="AB83" s="53" t="str">
        <f t="shared" si="154"/>
        <v>DNS/DNF ()</v>
      </c>
      <c r="AC83" s="53" t="str">
        <f t="shared" si="155"/>
        <v>DNS/DNF ()</v>
      </c>
      <c r="AD83" s="53" t="str">
        <f t="shared" si="156"/>
        <v>DNS/DNF ()</v>
      </c>
      <c r="AE83" s="53">
        <v>0</v>
      </c>
      <c r="AF83" s="53">
        <v>0</v>
      </c>
      <c r="AG83" s="53">
        <v>38274830</v>
      </c>
      <c r="AH83" s="53">
        <v>38645392</v>
      </c>
      <c r="AI83" s="53">
        <v>34029902</v>
      </c>
      <c r="AJ83" s="53">
        <v>34301230</v>
      </c>
      <c r="AK83" s="53">
        <v>0</v>
      </c>
      <c r="AL83" s="53">
        <v>0</v>
      </c>
      <c r="AM83" s="53">
        <v>43110042</v>
      </c>
      <c r="AN83" s="53">
        <v>43557138</v>
      </c>
      <c r="AO83" s="53">
        <v>0</v>
      </c>
      <c r="AP83" s="53">
        <v>0</v>
      </c>
      <c r="AQ83" s="53">
        <v>0</v>
      </c>
      <c r="AR83" s="53">
        <v>0</v>
      </c>
      <c r="AS83" s="53">
        <v>0</v>
      </c>
      <c r="AT83" s="53">
        <v>0</v>
      </c>
      <c r="AU83" s="62" t="str">
        <f t="shared" si="157"/>
        <v>DNS/DNF</v>
      </c>
      <c r="AV83" s="62">
        <f t="shared" si="158"/>
        <v>4.2889120370370373E-3</v>
      </c>
      <c r="AW83" s="62">
        <f t="shared" si="159"/>
        <v>3.1403703703703702E-3</v>
      </c>
      <c r="AX83" s="62" t="str">
        <f t="shared" si="160"/>
        <v>DNS/DNF</v>
      </c>
      <c r="AY83" s="62">
        <f t="shared" si="161"/>
        <v>5.174722222222222E-3</v>
      </c>
      <c r="AZ83" s="62" t="str">
        <f t="shared" si="162"/>
        <v>DNS/DNF</v>
      </c>
      <c r="BA83" s="62" t="str">
        <f t="shared" si="163"/>
        <v>DNS/DNF</v>
      </c>
      <c r="BB83" s="62" t="str">
        <f t="shared" si="164"/>
        <v>DNS/DNF</v>
      </c>
      <c r="BC83" s="75">
        <f t="shared" si="165"/>
        <v>248</v>
      </c>
      <c r="BD83" s="53" t="str">
        <f t="shared" si="166"/>
        <v/>
      </c>
      <c r="BE83" s="53">
        <f t="shared" si="167"/>
        <v>345398.00000000006</v>
      </c>
      <c r="BF83" s="53">
        <f t="shared" si="168"/>
        <v>215220</v>
      </c>
      <c r="BG83" s="53" t="str">
        <f t="shared" si="169"/>
        <v/>
      </c>
      <c r="BH83" s="53">
        <f t="shared" si="170"/>
        <v>475450.99999999994</v>
      </c>
      <c r="BI83" s="53" t="str">
        <f t="shared" si="171"/>
        <v/>
      </c>
      <c r="BJ83" s="53" t="str">
        <f t="shared" si="172"/>
        <v/>
      </c>
      <c r="BK83" s="53" t="str">
        <f t="shared" si="173"/>
        <v/>
      </c>
    </row>
    <row r="84" spans="1:63">
      <c r="A84" s="53">
        <v>71</v>
      </c>
      <c r="B84" s="89" t="str">
        <f>IFERROR(VLOOKUP($A84,EntryList!$A$3:$N$645,2,FALSE),"")</f>
        <v>Marc Dawson</v>
      </c>
      <c r="C84" s="74"/>
      <c r="D84" s="53">
        <f t="shared" si="140"/>
        <v>3</v>
      </c>
      <c r="E84" s="62"/>
      <c r="F84" s="62">
        <v>3.2918287037037035E-3</v>
      </c>
      <c r="G84" s="62">
        <v>2.0490162037037035E-3</v>
      </c>
      <c r="H84" s="62"/>
      <c r="I84" s="62">
        <v>4.372962962962963E-3</v>
      </c>
      <c r="J84" s="62"/>
      <c r="K84" s="62"/>
      <c r="L84" s="62"/>
      <c r="M84" s="62">
        <v>9.7138078703703692E-3</v>
      </c>
      <c r="N84" s="62">
        <f t="shared" si="141"/>
        <v>9.7138078703703709E-3</v>
      </c>
      <c r="O84" s="53" t="str">
        <f t="shared" si="142"/>
        <v/>
      </c>
      <c r="P84" s="53">
        <f t="shared" si="143"/>
        <v>187</v>
      </c>
      <c r="Q84" s="53">
        <f t="shared" si="144"/>
        <v>213</v>
      </c>
      <c r="R84" s="53" t="str">
        <f t="shared" si="145"/>
        <v/>
      </c>
      <c r="S84" s="53">
        <f t="shared" si="146"/>
        <v>183</v>
      </c>
      <c r="T84" s="53" t="str">
        <f t="shared" si="147"/>
        <v/>
      </c>
      <c r="U84" s="53" t="str">
        <f t="shared" si="148"/>
        <v/>
      </c>
      <c r="V84" s="53" t="str">
        <f t="shared" si="149"/>
        <v/>
      </c>
      <c r="W84" s="53" t="str">
        <f t="shared" si="174"/>
        <v>DNS/DNF ()</v>
      </c>
      <c r="X84" s="53" t="str">
        <f t="shared" si="150"/>
        <v>00:04:44.4 (187)</v>
      </c>
      <c r="Y84" s="53" t="str">
        <f t="shared" si="151"/>
        <v>00:02:57.0 (213)</v>
      </c>
      <c r="Z84" s="53" t="str">
        <f t="shared" si="152"/>
        <v>DNS/DNF ()</v>
      </c>
      <c r="AA84" s="53" t="str">
        <f t="shared" si="153"/>
        <v>00:06:17.8 (183)</v>
      </c>
      <c r="AB84" s="53" t="str">
        <f t="shared" si="154"/>
        <v>DNS/DNF ()</v>
      </c>
      <c r="AC84" s="53" t="str">
        <f t="shared" si="155"/>
        <v>DNS/DNF ()</v>
      </c>
      <c r="AD84" s="53" t="str">
        <f t="shared" si="156"/>
        <v>DNS/DNF ()</v>
      </c>
      <c r="AE84" s="53">
        <v>0</v>
      </c>
      <c r="AF84" s="53">
        <v>0</v>
      </c>
      <c r="AG84" s="53">
        <v>38233319</v>
      </c>
      <c r="AH84" s="53">
        <v>38517733</v>
      </c>
      <c r="AI84" s="53">
        <v>34004035</v>
      </c>
      <c r="AJ84" s="53">
        <v>34181070</v>
      </c>
      <c r="AK84" s="53">
        <v>0</v>
      </c>
      <c r="AL84" s="53">
        <v>0</v>
      </c>
      <c r="AM84" s="53">
        <v>43097920</v>
      </c>
      <c r="AN84" s="53">
        <v>43475744</v>
      </c>
      <c r="AO84" s="53">
        <v>0</v>
      </c>
      <c r="AP84" s="53">
        <v>0</v>
      </c>
      <c r="AQ84" s="53">
        <v>0</v>
      </c>
      <c r="AR84" s="53">
        <v>0</v>
      </c>
      <c r="AS84" s="53">
        <v>0</v>
      </c>
      <c r="AT84" s="53">
        <v>0</v>
      </c>
      <c r="AU84" s="62" t="str">
        <f t="shared" si="157"/>
        <v>DNS/DNF</v>
      </c>
      <c r="AV84" s="62">
        <f t="shared" si="158"/>
        <v>3.2918287037037035E-3</v>
      </c>
      <c r="AW84" s="62">
        <f t="shared" si="159"/>
        <v>2.0490162037037035E-3</v>
      </c>
      <c r="AX84" s="62" t="str">
        <f t="shared" si="160"/>
        <v>DNS/DNF</v>
      </c>
      <c r="AY84" s="62">
        <f t="shared" si="161"/>
        <v>4.372962962962963E-3</v>
      </c>
      <c r="AZ84" s="62" t="str">
        <f t="shared" si="162"/>
        <v>DNS/DNF</v>
      </c>
      <c r="BA84" s="62" t="str">
        <f t="shared" si="163"/>
        <v>DNS/DNF</v>
      </c>
      <c r="BB84" s="62" t="str">
        <f t="shared" si="164"/>
        <v>DNS/DNF</v>
      </c>
      <c r="BC84" s="75">
        <f t="shared" si="165"/>
        <v>194</v>
      </c>
      <c r="BD84" s="53" t="str">
        <f t="shared" si="166"/>
        <v/>
      </c>
      <c r="BE84" s="53">
        <f t="shared" si="167"/>
        <v>285573</v>
      </c>
      <c r="BF84" s="53">
        <f t="shared" si="168"/>
        <v>169627.99999999997</v>
      </c>
      <c r="BG84" s="53" t="str">
        <f t="shared" si="169"/>
        <v/>
      </c>
      <c r="BH84" s="53">
        <f t="shared" si="170"/>
        <v>388455.00000000006</v>
      </c>
      <c r="BI84" s="53" t="str">
        <f t="shared" si="171"/>
        <v/>
      </c>
      <c r="BJ84" s="53" t="str">
        <f t="shared" si="172"/>
        <v/>
      </c>
      <c r="BK84" s="53" t="str">
        <f t="shared" si="173"/>
        <v/>
      </c>
    </row>
    <row r="85" spans="1:63">
      <c r="A85" s="53">
        <v>170</v>
      </c>
      <c r="B85" s="89" t="str">
        <f>IFERROR(VLOOKUP($A85,EntryList!$A$3:$N$645,2,FALSE),"")</f>
        <v>Samuel Cleary</v>
      </c>
      <c r="C85" s="74"/>
      <c r="D85" s="53">
        <f t="shared" si="140"/>
        <v>5</v>
      </c>
      <c r="E85" s="62">
        <v>2.5261226851851855E-3</v>
      </c>
      <c r="F85" s="62">
        <v>2.5632986111111112E-3</v>
      </c>
      <c r="G85" s="62">
        <v>1.4477546296296298E-3</v>
      </c>
      <c r="H85" s="62">
        <v>2.7797685185185187E-3</v>
      </c>
      <c r="I85" s="62">
        <v>3.4793981481481481E-3</v>
      </c>
      <c r="J85" s="62"/>
      <c r="K85" s="62"/>
      <c r="L85" s="62"/>
      <c r="M85" s="62">
        <v>1.2796342592592594E-2</v>
      </c>
      <c r="N85" s="62">
        <f t="shared" si="141"/>
        <v>1.2796342592592594E-2</v>
      </c>
      <c r="O85" s="53">
        <f t="shared" si="142"/>
        <v>34</v>
      </c>
      <c r="P85" s="53">
        <f t="shared" si="143"/>
        <v>20</v>
      </c>
      <c r="Q85" s="53">
        <f t="shared" si="144"/>
        <v>26</v>
      </c>
      <c r="R85" s="53">
        <f t="shared" si="145"/>
        <v>18</v>
      </c>
      <c r="S85" s="53">
        <f t="shared" si="146"/>
        <v>15</v>
      </c>
      <c r="T85" s="53" t="str">
        <f t="shared" si="147"/>
        <v/>
      </c>
      <c r="U85" s="53" t="str">
        <f t="shared" si="148"/>
        <v/>
      </c>
      <c r="V85" s="53" t="str">
        <f t="shared" si="149"/>
        <v/>
      </c>
      <c r="W85" s="53" t="str">
        <f t="shared" si="174"/>
        <v>00:03:38.3 (34)</v>
      </c>
      <c r="X85" s="53" t="str">
        <f t="shared" si="150"/>
        <v>00:03:41.5 (20)</v>
      </c>
      <c r="Y85" s="53" t="str">
        <f t="shared" si="151"/>
        <v>00:02:05.1 (26)</v>
      </c>
      <c r="Z85" s="53" t="str">
        <f t="shared" si="152"/>
        <v>00:04:00.2 (18)</v>
      </c>
      <c r="AA85" s="53" t="str">
        <f t="shared" si="153"/>
        <v>00:05:00.6 (15)</v>
      </c>
      <c r="AB85" s="53" t="str">
        <f t="shared" si="154"/>
        <v>DNS/DNF ()</v>
      </c>
      <c r="AC85" s="53" t="str">
        <f t="shared" si="155"/>
        <v>DNS/DNF ()</v>
      </c>
      <c r="AD85" s="53" t="str">
        <f t="shared" si="156"/>
        <v>DNS/DNF ()</v>
      </c>
      <c r="AE85" s="53">
        <v>33959827</v>
      </c>
      <c r="AF85" s="53">
        <v>34178084</v>
      </c>
      <c r="AG85" s="53">
        <v>30897984</v>
      </c>
      <c r="AH85" s="53">
        <v>31119453</v>
      </c>
      <c r="AI85" s="53">
        <v>36744863</v>
      </c>
      <c r="AJ85" s="53">
        <v>36869949</v>
      </c>
      <c r="AK85" s="53">
        <v>40514326</v>
      </c>
      <c r="AL85" s="53">
        <v>40754498</v>
      </c>
      <c r="AM85" s="53">
        <v>43082338</v>
      </c>
      <c r="AN85" s="53">
        <v>43382958</v>
      </c>
      <c r="AO85" s="53">
        <v>0</v>
      </c>
      <c r="AP85" s="53">
        <v>0</v>
      </c>
      <c r="AQ85" s="53">
        <v>0</v>
      </c>
      <c r="AR85" s="53">
        <v>0</v>
      </c>
      <c r="AS85" s="53">
        <v>0</v>
      </c>
      <c r="AT85" s="53">
        <v>0</v>
      </c>
      <c r="AU85" s="62">
        <f t="shared" si="157"/>
        <v>2.5261226851851851E-3</v>
      </c>
      <c r="AV85" s="62">
        <f t="shared" si="158"/>
        <v>2.5632986111111112E-3</v>
      </c>
      <c r="AW85" s="62">
        <f t="shared" si="159"/>
        <v>1.4477546296296296E-3</v>
      </c>
      <c r="AX85" s="62">
        <f t="shared" si="160"/>
        <v>2.7797685185185187E-3</v>
      </c>
      <c r="AY85" s="62">
        <f t="shared" si="161"/>
        <v>3.4793981481481481E-3</v>
      </c>
      <c r="AZ85" s="62" t="str">
        <f t="shared" si="162"/>
        <v>DNS/DNF</v>
      </c>
      <c r="BA85" s="62" t="str">
        <f t="shared" si="163"/>
        <v>DNS/DNF</v>
      </c>
      <c r="BB85" s="62" t="str">
        <f t="shared" si="164"/>
        <v>DNS/DNF</v>
      </c>
      <c r="BC85" s="75">
        <f t="shared" si="165"/>
        <v>23</v>
      </c>
      <c r="BD85" s="53">
        <f t="shared" si="166"/>
        <v>211157</v>
      </c>
      <c r="BE85" s="53">
        <f t="shared" si="167"/>
        <v>222196.99999999997</v>
      </c>
      <c r="BF85" s="53">
        <f t="shared" si="168"/>
        <v>124598</v>
      </c>
      <c r="BG85" s="53">
        <f t="shared" si="169"/>
        <v>245503.99999999997</v>
      </c>
      <c r="BH85" s="53" t="str">
        <f t="shared" si="170"/>
        <v/>
      </c>
      <c r="BI85" s="53" t="str">
        <f t="shared" si="171"/>
        <v/>
      </c>
      <c r="BJ85" s="53" t="str">
        <f t="shared" si="172"/>
        <v/>
      </c>
      <c r="BK85" s="53" t="str">
        <f t="shared" si="173"/>
        <v/>
      </c>
    </row>
    <row r="86" spans="1:63">
      <c r="A86" s="53">
        <v>208</v>
      </c>
      <c r="B86" s="89" t="str">
        <f>IFERROR(VLOOKUP($A86,EntryList!$A$3:$N$645,2,FALSE),"")</f>
        <v>Lood Goosen</v>
      </c>
      <c r="C86" s="74"/>
      <c r="D86" s="53">
        <f t="shared" si="140"/>
        <v>5</v>
      </c>
      <c r="E86" s="62">
        <v>2.6051851851851848E-3</v>
      </c>
      <c r="F86" s="62">
        <v>2.6934143518518518E-3</v>
      </c>
      <c r="G86" s="62">
        <v>1.5133101851851852E-3</v>
      </c>
      <c r="H86" s="62">
        <v>2.9807407407407404E-3</v>
      </c>
      <c r="I86" s="62">
        <v>3.5325000000000005E-3</v>
      </c>
      <c r="J86" s="62"/>
      <c r="K86" s="62"/>
      <c r="L86" s="62"/>
      <c r="M86" s="62">
        <v>1.3325150462962962E-2</v>
      </c>
      <c r="N86" s="62">
        <f t="shared" si="141"/>
        <v>1.3325150462962964E-2</v>
      </c>
      <c r="O86" s="53">
        <f t="shared" si="142"/>
        <v>46</v>
      </c>
      <c r="P86" s="53">
        <f t="shared" si="143"/>
        <v>44</v>
      </c>
      <c r="Q86" s="53">
        <f t="shared" si="144"/>
        <v>52</v>
      </c>
      <c r="R86" s="53">
        <f t="shared" si="145"/>
        <v>42</v>
      </c>
      <c r="S86" s="53">
        <f t="shared" si="146"/>
        <v>25</v>
      </c>
      <c r="T86" s="53" t="str">
        <f t="shared" si="147"/>
        <v/>
      </c>
      <c r="U86" s="53" t="str">
        <f t="shared" si="148"/>
        <v/>
      </c>
      <c r="V86" s="53" t="str">
        <f t="shared" si="149"/>
        <v/>
      </c>
      <c r="W86" s="53" t="str">
        <f t="shared" si="174"/>
        <v>00:03:45.1 (46)</v>
      </c>
      <c r="X86" s="53" t="str">
        <f t="shared" si="150"/>
        <v>00:03:52.7 (44)</v>
      </c>
      <c r="Y86" s="53" t="str">
        <f t="shared" si="151"/>
        <v>00:02:10.8 (52)</v>
      </c>
      <c r="Z86" s="53" t="str">
        <f t="shared" si="152"/>
        <v>00:04:17.5 (42)</v>
      </c>
      <c r="AA86" s="53" t="str">
        <f t="shared" si="153"/>
        <v>00:05:05.2 (25)</v>
      </c>
      <c r="AB86" s="53" t="str">
        <f t="shared" si="154"/>
        <v>DNS/DNF ()</v>
      </c>
      <c r="AC86" s="53" t="str">
        <f t="shared" si="155"/>
        <v>DNS/DNF ()</v>
      </c>
      <c r="AD86" s="53" t="str">
        <f t="shared" si="156"/>
        <v>DNS/DNF ()</v>
      </c>
      <c r="AE86" s="53">
        <v>33964174</v>
      </c>
      <c r="AF86" s="53">
        <v>34189262</v>
      </c>
      <c r="AG86" s="53">
        <v>30932285</v>
      </c>
      <c r="AH86" s="53">
        <v>31164996</v>
      </c>
      <c r="AI86" s="53">
        <v>36747284</v>
      </c>
      <c r="AJ86" s="53">
        <v>36878034</v>
      </c>
      <c r="AK86" s="53">
        <v>40521096</v>
      </c>
      <c r="AL86" s="53">
        <v>40778632</v>
      </c>
      <c r="AM86" s="53">
        <v>43085096</v>
      </c>
      <c r="AN86" s="53">
        <v>43390304</v>
      </c>
      <c r="AO86" s="53">
        <v>0</v>
      </c>
      <c r="AP86" s="53">
        <v>0</v>
      </c>
      <c r="AQ86" s="53">
        <v>0</v>
      </c>
      <c r="AR86" s="53">
        <v>0</v>
      </c>
      <c r="AS86" s="53">
        <v>0</v>
      </c>
      <c r="AT86" s="53">
        <v>0</v>
      </c>
      <c r="AU86" s="62">
        <f t="shared" si="157"/>
        <v>2.6051851851851852E-3</v>
      </c>
      <c r="AV86" s="62">
        <f t="shared" si="158"/>
        <v>2.6934143518518518E-3</v>
      </c>
      <c r="AW86" s="62">
        <f t="shared" si="159"/>
        <v>1.5133101851851852E-3</v>
      </c>
      <c r="AX86" s="62">
        <f t="shared" si="160"/>
        <v>2.9807407407407408E-3</v>
      </c>
      <c r="AY86" s="62">
        <f t="shared" si="161"/>
        <v>3.5325E-3</v>
      </c>
      <c r="AZ86" s="62" t="str">
        <f t="shared" si="162"/>
        <v>DNS/DNF</v>
      </c>
      <c r="BA86" s="62" t="str">
        <f t="shared" si="163"/>
        <v>DNS/DNF</v>
      </c>
      <c r="BB86" s="62" t="str">
        <f t="shared" si="164"/>
        <v>DNS/DNF</v>
      </c>
      <c r="BC86" s="75">
        <f t="shared" si="165"/>
        <v>42</v>
      </c>
      <c r="BD86" s="53">
        <f t="shared" si="166"/>
        <v>224335.99999999997</v>
      </c>
      <c r="BE86" s="53">
        <f t="shared" si="167"/>
        <v>231936.99999999997</v>
      </c>
      <c r="BF86" s="53">
        <f t="shared" si="168"/>
        <v>129350</v>
      </c>
      <c r="BG86" s="53">
        <f t="shared" si="169"/>
        <v>257536</v>
      </c>
      <c r="BH86" s="53">
        <f t="shared" si="170"/>
        <v>312924</v>
      </c>
      <c r="BI86" s="53" t="str">
        <f t="shared" si="171"/>
        <v/>
      </c>
      <c r="BJ86" s="53" t="str">
        <f t="shared" si="172"/>
        <v/>
      </c>
      <c r="BK86" s="53" t="str">
        <f t="shared" si="173"/>
        <v/>
      </c>
    </row>
    <row r="87" spans="1:63" ht="13.5" customHeight="1">
      <c r="A87" s="53">
        <v>212</v>
      </c>
      <c r="B87" s="89" t="str">
        <f>IFERROR(VLOOKUP($A87,EntryList!$A$3:$N$645,2,FALSE),"")</f>
        <v>Zander Du Plessis</v>
      </c>
      <c r="C87" s="74"/>
      <c r="D87" s="53">
        <f t="shared" si="140"/>
        <v>5</v>
      </c>
      <c r="E87" s="62">
        <v>2.2328356481481483E-3</v>
      </c>
      <c r="F87" s="62">
        <v>2.4874537037037035E-3</v>
      </c>
      <c r="G87" s="62">
        <v>1.3729282407407407E-3</v>
      </c>
      <c r="H87" s="62">
        <v>2.7466435185185185E-3</v>
      </c>
      <c r="I87" s="62">
        <v>4.2256018518518519E-3</v>
      </c>
      <c r="J87" s="62"/>
      <c r="K87" s="62"/>
      <c r="L87" s="62"/>
      <c r="M87" s="62">
        <v>1.3065462962962964E-2</v>
      </c>
      <c r="N87" s="62">
        <f t="shared" si="141"/>
        <v>1.3065462962962963E-2</v>
      </c>
      <c r="O87" s="53">
        <f t="shared" si="142"/>
        <v>7</v>
      </c>
      <c r="P87" s="53">
        <f t="shared" si="143"/>
        <v>11</v>
      </c>
      <c r="Q87" s="53">
        <f t="shared" si="144"/>
        <v>8</v>
      </c>
      <c r="R87" s="53">
        <f t="shared" si="145"/>
        <v>14</v>
      </c>
      <c r="S87" s="53">
        <f t="shared" si="146"/>
        <v>160</v>
      </c>
      <c r="T87" s="53" t="str">
        <f t="shared" si="147"/>
        <v/>
      </c>
      <c r="U87" s="53" t="str">
        <f t="shared" si="148"/>
        <v/>
      </c>
      <c r="V87" s="53" t="str">
        <f t="shared" si="149"/>
        <v/>
      </c>
      <c r="W87" s="53" t="str">
        <f t="shared" si="174"/>
        <v>00:03:12.9 (7)</v>
      </c>
      <c r="X87" s="53" t="str">
        <f t="shared" si="150"/>
        <v>00:03:34.9 (11)</v>
      </c>
      <c r="Y87" s="53" t="str">
        <f t="shared" si="151"/>
        <v>00:01:58.6 (8)</v>
      </c>
      <c r="Z87" s="53" t="str">
        <f t="shared" si="152"/>
        <v>00:03:57.3 (14)</v>
      </c>
      <c r="AA87" s="53" t="str">
        <f t="shared" si="153"/>
        <v>00:06:05.1 (160)</v>
      </c>
      <c r="AB87" s="53" t="str">
        <f t="shared" si="154"/>
        <v>DNS/DNF ()</v>
      </c>
      <c r="AC87" s="53" t="str">
        <f t="shared" si="155"/>
        <v>DNS/DNF ()</v>
      </c>
      <c r="AD87" s="53" t="str">
        <f t="shared" si="156"/>
        <v>DNS/DNF ()</v>
      </c>
      <c r="AE87" s="53">
        <v>33956500</v>
      </c>
      <c r="AF87" s="53">
        <v>34149417</v>
      </c>
      <c r="AG87" s="53">
        <v>30893295</v>
      </c>
      <c r="AH87" s="53">
        <v>31108211</v>
      </c>
      <c r="AI87" s="53">
        <v>36743013</v>
      </c>
      <c r="AJ87" s="53">
        <v>36861634</v>
      </c>
      <c r="AK87" s="53">
        <v>40510987</v>
      </c>
      <c r="AL87" s="53">
        <v>40748297</v>
      </c>
      <c r="AM87" s="53">
        <v>43079580</v>
      </c>
      <c r="AN87" s="53">
        <v>43444672</v>
      </c>
      <c r="AO87" s="53">
        <v>0</v>
      </c>
      <c r="AP87" s="53">
        <v>0</v>
      </c>
      <c r="AQ87" s="53">
        <v>0</v>
      </c>
      <c r="AR87" s="53">
        <v>0</v>
      </c>
      <c r="AS87" s="53">
        <v>0</v>
      </c>
      <c r="AT87" s="53">
        <v>0</v>
      </c>
      <c r="AU87" s="62">
        <f t="shared" si="157"/>
        <v>2.2328356481481483E-3</v>
      </c>
      <c r="AV87" s="62">
        <f t="shared" si="158"/>
        <v>2.4874537037037035E-3</v>
      </c>
      <c r="AW87" s="62">
        <f t="shared" si="159"/>
        <v>1.3729282407407407E-3</v>
      </c>
      <c r="AX87" s="62">
        <f t="shared" si="160"/>
        <v>2.7466435185185185E-3</v>
      </c>
      <c r="AY87" s="62">
        <f t="shared" si="161"/>
        <v>4.2256018518518519E-3</v>
      </c>
      <c r="AZ87" s="62" t="str">
        <f t="shared" si="162"/>
        <v>DNS/DNF</v>
      </c>
      <c r="BA87" s="62" t="str">
        <f t="shared" si="163"/>
        <v>DNS/DNF</v>
      </c>
      <c r="BB87" s="62" t="str">
        <f t="shared" si="164"/>
        <v>DNS/DNF</v>
      </c>
      <c r="BC87" s="75">
        <f t="shared" si="165"/>
        <v>40</v>
      </c>
      <c r="BD87" s="53">
        <f t="shared" si="166"/>
        <v>221681</v>
      </c>
      <c r="BE87" s="53">
        <f t="shared" si="167"/>
        <v>231668.00000000003</v>
      </c>
      <c r="BF87" s="53">
        <f t="shared" si="168"/>
        <v>129120</v>
      </c>
      <c r="BG87" s="53">
        <f t="shared" si="169"/>
        <v>256353</v>
      </c>
      <c r="BH87" s="53">
        <f t="shared" si="170"/>
        <v>311828</v>
      </c>
      <c r="BI87" s="53" t="str">
        <f t="shared" si="171"/>
        <v/>
      </c>
      <c r="BJ87" s="53" t="str">
        <f t="shared" si="172"/>
        <v/>
      </c>
      <c r="BK87" s="53" t="str">
        <f t="shared" si="173"/>
        <v/>
      </c>
    </row>
    <row r="88" spans="1:63">
      <c r="A88" s="53">
        <v>210</v>
      </c>
      <c r="B88" s="89" t="str">
        <f>IFERROR(VLOOKUP($A88,EntryList!$A$3:$N$645,2,FALSE),"")</f>
        <v>Thomas Dunkley</v>
      </c>
      <c r="C88" s="74"/>
      <c r="D88" s="53">
        <f t="shared" si="140"/>
        <v>5</v>
      </c>
      <c r="E88" s="62">
        <v>3.209444444444444E-3</v>
      </c>
      <c r="F88" s="62">
        <v>2.8128703703703701E-3</v>
      </c>
      <c r="G88" s="62">
        <v>1.6752777777777775E-3</v>
      </c>
      <c r="H88" s="62">
        <v>3.1885879629629629E-3</v>
      </c>
      <c r="I88" s="62">
        <v>3.7689930555555554E-3</v>
      </c>
      <c r="J88" s="62"/>
      <c r="K88" s="62"/>
      <c r="L88" s="62"/>
      <c r="M88" s="62">
        <v>1.4655173611111112E-2</v>
      </c>
      <c r="N88" s="62">
        <f t="shared" si="141"/>
        <v>1.465517361111111E-2</v>
      </c>
      <c r="O88" s="53">
        <f t="shared" si="142"/>
        <v>99</v>
      </c>
      <c r="P88" s="53">
        <f t="shared" si="143"/>
        <v>74</v>
      </c>
      <c r="Q88" s="53">
        <f t="shared" si="144"/>
        <v>95</v>
      </c>
      <c r="R88" s="53">
        <f t="shared" si="145"/>
        <v>71</v>
      </c>
      <c r="S88" s="53">
        <f t="shared" si="146"/>
        <v>62</v>
      </c>
      <c r="T88" s="53" t="str">
        <f t="shared" si="147"/>
        <v/>
      </c>
      <c r="U88" s="53" t="str">
        <f t="shared" si="148"/>
        <v/>
      </c>
      <c r="V88" s="53" t="str">
        <f t="shared" si="149"/>
        <v/>
      </c>
      <c r="W88" s="53" t="str">
        <f t="shared" si="174"/>
        <v>00:04:37.3 (99)</v>
      </c>
      <c r="X88" s="53" t="str">
        <f t="shared" si="150"/>
        <v>00:04:03.0 (74)</v>
      </c>
      <c r="Y88" s="53" t="str">
        <f t="shared" si="151"/>
        <v>00:02:24.7 (95)</v>
      </c>
      <c r="Z88" s="53" t="str">
        <f t="shared" si="152"/>
        <v>00:04:35.5 (71)</v>
      </c>
      <c r="AA88" s="53" t="str">
        <f t="shared" si="153"/>
        <v>00:05:25.6 (62)</v>
      </c>
      <c r="AB88" s="53" t="str">
        <f t="shared" si="154"/>
        <v>DNS/DNF ()</v>
      </c>
      <c r="AC88" s="53" t="str">
        <f t="shared" si="155"/>
        <v>DNS/DNF ()</v>
      </c>
      <c r="AD88" s="53" t="str">
        <f t="shared" si="156"/>
        <v>DNS/DNF ()</v>
      </c>
      <c r="AE88" s="53">
        <v>33994147</v>
      </c>
      <c r="AF88" s="53">
        <v>34271443</v>
      </c>
      <c r="AG88" s="53">
        <v>31271698</v>
      </c>
      <c r="AH88" s="53">
        <v>31514730</v>
      </c>
      <c r="AI88" s="53">
        <v>36754701</v>
      </c>
      <c r="AJ88" s="53">
        <v>36899445</v>
      </c>
      <c r="AK88" s="53">
        <v>40530839</v>
      </c>
      <c r="AL88" s="53">
        <v>40806333</v>
      </c>
      <c r="AM88" s="53">
        <v>43091276</v>
      </c>
      <c r="AN88" s="53">
        <v>43416917</v>
      </c>
      <c r="AO88" s="53">
        <v>0</v>
      </c>
      <c r="AP88" s="53">
        <v>0</v>
      </c>
      <c r="AQ88" s="53">
        <v>0</v>
      </c>
      <c r="AR88" s="53">
        <v>0</v>
      </c>
      <c r="AS88" s="53">
        <v>0</v>
      </c>
      <c r="AT88" s="53">
        <v>0</v>
      </c>
      <c r="AU88" s="62">
        <f t="shared" si="157"/>
        <v>3.2094444444444445E-3</v>
      </c>
      <c r="AV88" s="62">
        <f t="shared" si="158"/>
        <v>2.8128703703703705E-3</v>
      </c>
      <c r="AW88" s="62">
        <f t="shared" si="159"/>
        <v>1.6752777777777777E-3</v>
      </c>
      <c r="AX88" s="62">
        <f t="shared" si="160"/>
        <v>3.1885879629629629E-3</v>
      </c>
      <c r="AY88" s="62">
        <f t="shared" si="161"/>
        <v>3.7689930555555554E-3</v>
      </c>
      <c r="AZ88" s="62" t="str">
        <f t="shared" si="162"/>
        <v>DNS/DNF</v>
      </c>
      <c r="BA88" s="62" t="str">
        <f t="shared" si="163"/>
        <v>DNS/DNF</v>
      </c>
      <c r="BB88" s="62" t="str">
        <f t="shared" si="164"/>
        <v>DNS/DNF</v>
      </c>
      <c r="BC88" s="75">
        <f t="shared" si="165"/>
        <v>80</v>
      </c>
      <c r="BD88" s="53">
        <f t="shared" si="166"/>
        <v>254556</v>
      </c>
      <c r="BE88" s="53">
        <f t="shared" si="167"/>
        <v>245751</v>
      </c>
      <c r="BF88" s="53">
        <f t="shared" si="168"/>
        <v>139218</v>
      </c>
      <c r="BG88" s="53">
        <f t="shared" si="169"/>
        <v>280343</v>
      </c>
      <c r="BH88" s="53">
        <f t="shared" si="170"/>
        <v>334143</v>
      </c>
      <c r="BI88" s="53" t="str">
        <f t="shared" si="171"/>
        <v/>
      </c>
      <c r="BJ88" s="53" t="str">
        <f t="shared" si="172"/>
        <v/>
      </c>
      <c r="BK88" s="53" t="str">
        <f t="shared" si="173"/>
        <v/>
      </c>
    </row>
    <row r="89" spans="1:63">
      <c r="A89" s="53">
        <v>74</v>
      </c>
      <c r="B89" s="89" t="str">
        <f>IFERROR(VLOOKUP($A89,EntryList!$A$3:$N$645,2,FALSE),"")</f>
        <v>Franco Pretorius</v>
      </c>
      <c r="C89" s="74"/>
      <c r="D89" s="53">
        <f t="shared" si="140"/>
        <v>4</v>
      </c>
      <c r="E89" s="62">
        <v>2.5998148148148148E-3</v>
      </c>
      <c r="F89" s="62">
        <v>2.718587962962963E-3</v>
      </c>
      <c r="G89" s="62">
        <v>1.4216898148148149E-3</v>
      </c>
      <c r="H89" s="62">
        <v>1.9391331018518521E-2</v>
      </c>
      <c r="I89" s="62"/>
      <c r="J89" s="62"/>
      <c r="K89" s="62"/>
      <c r="L89" s="62"/>
      <c r="M89" s="62">
        <v>2.613142361111111E-2</v>
      </c>
      <c r="N89" s="62">
        <f t="shared" si="141"/>
        <v>2.613142361111111E-2</v>
      </c>
      <c r="O89" s="53">
        <f t="shared" si="142"/>
        <v>43</v>
      </c>
      <c r="P89" s="53">
        <f t="shared" si="143"/>
        <v>51</v>
      </c>
      <c r="Q89" s="53">
        <f t="shared" si="144"/>
        <v>18</v>
      </c>
      <c r="R89" s="53">
        <f t="shared" si="145"/>
        <v>147</v>
      </c>
      <c r="S89" s="53" t="str">
        <f t="shared" si="146"/>
        <v/>
      </c>
      <c r="T89" s="53" t="str">
        <f t="shared" si="147"/>
        <v/>
      </c>
      <c r="U89" s="53" t="str">
        <f t="shared" si="148"/>
        <v/>
      </c>
      <c r="V89" s="53" t="str">
        <f t="shared" si="149"/>
        <v/>
      </c>
      <c r="W89" s="53" t="str">
        <f t="shared" si="174"/>
        <v>00:03:44.6 (43)</v>
      </c>
      <c r="X89" s="53" t="str">
        <f t="shared" si="150"/>
        <v>00:03:54.9 (51)</v>
      </c>
      <c r="Y89" s="53" t="str">
        <f t="shared" si="151"/>
        <v>00:02:02.8 (18)</v>
      </c>
      <c r="Z89" s="53" t="str">
        <f t="shared" si="152"/>
        <v>00:27:55.4 (147)</v>
      </c>
      <c r="AA89" s="53" t="str">
        <f t="shared" si="153"/>
        <v>DNS/DNF ()</v>
      </c>
      <c r="AB89" s="53" t="str">
        <f t="shared" si="154"/>
        <v>DNS/DNF ()</v>
      </c>
      <c r="AC89" s="53" t="str">
        <f t="shared" si="155"/>
        <v>DNS/DNF ()</v>
      </c>
      <c r="AD89" s="53" t="str">
        <f t="shared" si="156"/>
        <v>DNS/DNF ()</v>
      </c>
      <c r="AE89" s="53">
        <v>33335728</v>
      </c>
      <c r="AF89" s="53">
        <v>33560352</v>
      </c>
      <c r="AG89" s="53">
        <v>36950034</v>
      </c>
      <c r="AH89" s="53">
        <v>37184920</v>
      </c>
      <c r="AI89" s="53">
        <v>30927340</v>
      </c>
      <c r="AJ89" s="53">
        <v>31050174</v>
      </c>
      <c r="AK89" s="53">
        <v>40695797</v>
      </c>
      <c r="AL89" s="53">
        <v>42371208</v>
      </c>
      <c r="AM89" s="53">
        <v>0</v>
      </c>
      <c r="AN89" s="53">
        <v>0</v>
      </c>
      <c r="AO89" s="53">
        <v>0</v>
      </c>
      <c r="AP89" s="53">
        <v>0</v>
      </c>
      <c r="AQ89" s="53">
        <v>0</v>
      </c>
      <c r="AR89" s="53">
        <v>0</v>
      </c>
      <c r="AS89" s="53">
        <v>0</v>
      </c>
      <c r="AT89" s="53">
        <v>0</v>
      </c>
      <c r="AU89" s="62">
        <f t="shared" si="157"/>
        <v>2.5998148148148148E-3</v>
      </c>
      <c r="AV89" s="62">
        <f t="shared" si="158"/>
        <v>2.718587962962963E-3</v>
      </c>
      <c r="AW89" s="62">
        <f t="shared" si="159"/>
        <v>1.4216898148148149E-3</v>
      </c>
      <c r="AX89" s="62">
        <f t="shared" si="160"/>
        <v>1.9391331018518518E-2</v>
      </c>
      <c r="AY89" s="62" t="str">
        <f t="shared" si="161"/>
        <v>DNS/DNF</v>
      </c>
      <c r="AZ89" s="62" t="str">
        <f t="shared" si="162"/>
        <v>DNS/DNF</v>
      </c>
      <c r="BA89" s="62" t="str">
        <f t="shared" si="163"/>
        <v>DNS/DNF</v>
      </c>
      <c r="BB89" s="62" t="str">
        <f t="shared" si="164"/>
        <v>DNS/DNF</v>
      </c>
      <c r="BC89" s="75">
        <f t="shared" si="165"/>
        <v>65</v>
      </c>
      <c r="BD89" s="53">
        <f t="shared" si="166"/>
        <v>243746</v>
      </c>
      <c r="BE89" s="53">
        <f t="shared" si="167"/>
        <v>241571</v>
      </c>
      <c r="BF89" s="53">
        <f t="shared" si="168"/>
        <v>135623</v>
      </c>
      <c r="BG89" s="53">
        <f t="shared" si="169"/>
        <v>270806</v>
      </c>
      <c r="BH89" s="53">
        <f t="shared" si="170"/>
        <v>327088</v>
      </c>
      <c r="BI89" s="53" t="str">
        <f t="shared" si="171"/>
        <v/>
      </c>
      <c r="BJ89" s="53" t="str">
        <f t="shared" si="172"/>
        <v/>
      </c>
      <c r="BK89" s="53" t="str">
        <f t="shared" si="173"/>
        <v/>
      </c>
    </row>
    <row r="90" spans="1:63">
      <c r="A90" s="53">
        <v>294</v>
      </c>
      <c r="B90" s="89" t="str">
        <f>IFERROR(VLOOKUP($A90,EntryList!$A$3:$N$645,2,FALSE),"")</f>
        <v>Gert Heyns</v>
      </c>
      <c r="C90" s="74"/>
      <c r="D90" s="53">
        <f t="shared" si="140"/>
        <v>5</v>
      </c>
      <c r="E90" s="62">
        <v>2.2852314814814814E-3</v>
      </c>
      <c r="F90" s="62">
        <v>2.4417708333333336E-3</v>
      </c>
      <c r="G90" s="62">
        <v>1.3852546296296295E-3</v>
      </c>
      <c r="H90" s="62">
        <v>2.6518518518518519E-3</v>
      </c>
      <c r="I90" s="62">
        <v>3.2433101851851846E-3</v>
      </c>
      <c r="J90" s="62"/>
      <c r="K90" s="62"/>
      <c r="L90" s="62"/>
      <c r="M90" s="62">
        <v>1.2007418981481483E-2</v>
      </c>
      <c r="N90" s="62">
        <f t="shared" si="141"/>
        <v>1.2007418981481482E-2</v>
      </c>
      <c r="O90" s="53">
        <f t="shared" si="142"/>
        <v>11</v>
      </c>
      <c r="P90" s="53">
        <f t="shared" si="143"/>
        <v>7</v>
      </c>
      <c r="Q90" s="53">
        <f t="shared" si="144"/>
        <v>14</v>
      </c>
      <c r="R90" s="53">
        <f t="shared" si="145"/>
        <v>4</v>
      </c>
      <c r="S90" s="53">
        <f t="shared" si="146"/>
        <v>2</v>
      </c>
      <c r="T90" s="53" t="str">
        <f t="shared" si="147"/>
        <v/>
      </c>
      <c r="U90" s="53" t="str">
        <f t="shared" si="148"/>
        <v/>
      </c>
      <c r="V90" s="53" t="str">
        <f t="shared" si="149"/>
        <v/>
      </c>
      <c r="W90" s="53" t="str">
        <f t="shared" si="174"/>
        <v>00:03:17.4 (11)</v>
      </c>
      <c r="X90" s="53" t="str">
        <f t="shared" si="150"/>
        <v>00:03:31.0 (7)</v>
      </c>
      <c r="Y90" s="53" t="str">
        <f t="shared" si="151"/>
        <v>00:01:59.7 (14)</v>
      </c>
      <c r="Z90" s="53" t="str">
        <f t="shared" si="152"/>
        <v>00:03:49.1 (4)</v>
      </c>
      <c r="AA90" s="53" t="str">
        <f t="shared" si="153"/>
        <v>00:04:40.2 (2)</v>
      </c>
      <c r="AB90" s="53" t="str">
        <f t="shared" si="154"/>
        <v>DNS/DNF ()</v>
      </c>
      <c r="AC90" s="53" t="str">
        <f t="shared" si="155"/>
        <v>DNS/DNF ()</v>
      </c>
      <c r="AD90" s="53" t="str">
        <f t="shared" si="156"/>
        <v>DNS/DNF ()</v>
      </c>
      <c r="AE90" s="53">
        <v>31521512</v>
      </c>
      <c r="AF90" s="53">
        <v>31718956</v>
      </c>
      <c r="AG90" s="53">
        <v>37564256</v>
      </c>
      <c r="AH90" s="53">
        <v>37775225</v>
      </c>
      <c r="AI90" s="53">
        <v>33492569</v>
      </c>
      <c r="AJ90" s="53">
        <v>33612255</v>
      </c>
      <c r="AK90" s="53">
        <v>41344766</v>
      </c>
      <c r="AL90" s="53">
        <v>41573886</v>
      </c>
      <c r="AM90" s="53">
        <v>43526092</v>
      </c>
      <c r="AN90" s="53">
        <v>43806314</v>
      </c>
      <c r="AO90" s="53">
        <v>0</v>
      </c>
      <c r="AP90" s="53">
        <v>0</v>
      </c>
      <c r="AQ90" s="53">
        <v>0</v>
      </c>
      <c r="AR90" s="53">
        <v>0</v>
      </c>
      <c r="AS90" s="53">
        <v>0</v>
      </c>
      <c r="AT90" s="53">
        <v>0</v>
      </c>
      <c r="AU90" s="62">
        <f t="shared" si="157"/>
        <v>2.2852314814814814E-3</v>
      </c>
      <c r="AV90" s="62">
        <f t="shared" si="158"/>
        <v>2.4417708333333331E-3</v>
      </c>
      <c r="AW90" s="62">
        <f t="shared" si="159"/>
        <v>1.3852546296296297E-3</v>
      </c>
      <c r="AX90" s="62">
        <f t="shared" si="160"/>
        <v>2.6518518518518519E-3</v>
      </c>
      <c r="AY90" s="62">
        <f t="shared" si="161"/>
        <v>3.243310185185185E-3</v>
      </c>
      <c r="AZ90" s="62" t="str">
        <f t="shared" si="162"/>
        <v>DNS/DNF</v>
      </c>
      <c r="BA90" s="62" t="str">
        <f t="shared" si="163"/>
        <v>DNS/DNF</v>
      </c>
      <c r="BB90" s="62" t="str">
        <f t="shared" si="164"/>
        <v>DNS/DNF</v>
      </c>
      <c r="BC90" s="75">
        <f t="shared" si="165"/>
        <v>8</v>
      </c>
      <c r="BD90" s="53">
        <f t="shared" si="166"/>
        <v>193418</v>
      </c>
      <c r="BE90" s="53">
        <f t="shared" si="167"/>
        <v>212532</v>
      </c>
      <c r="BF90" s="53">
        <f t="shared" si="168"/>
        <v>118621</v>
      </c>
      <c r="BG90" s="53">
        <f t="shared" si="169"/>
        <v>231414</v>
      </c>
      <c r="BH90" s="53">
        <f t="shared" si="170"/>
        <v>291659</v>
      </c>
      <c r="BI90" s="53" t="str">
        <f t="shared" si="171"/>
        <v/>
      </c>
      <c r="BJ90" s="53" t="str">
        <f t="shared" si="172"/>
        <v/>
      </c>
      <c r="BK90" s="53" t="str">
        <f t="shared" si="173"/>
        <v/>
      </c>
    </row>
    <row r="91" spans="1:63">
      <c r="A91" s="53">
        <v>171</v>
      </c>
      <c r="B91" s="89" t="str">
        <f>IFERROR(VLOOKUP($A91,EntryList!$A$3:$N$645,2,FALSE),"")</f>
        <v>Ezra Evans</v>
      </c>
      <c r="C91" s="74"/>
      <c r="D91" s="53">
        <f t="shared" si="140"/>
        <v>3</v>
      </c>
      <c r="E91" s="62"/>
      <c r="F91" s="62">
        <v>3.1607523148148146E-3</v>
      </c>
      <c r="G91" s="62">
        <v>1.7572916666666666E-3</v>
      </c>
      <c r="H91" s="62"/>
      <c r="I91" s="62">
        <v>4.2219328703703707E-3</v>
      </c>
      <c r="J91" s="62"/>
      <c r="K91" s="62"/>
      <c r="L91" s="62"/>
      <c r="M91" s="62">
        <v>9.1399768518518523E-3</v>
      </c>
      <c r="N91" s="62">
        <f t="shared" si="141"/>
        <v>9.1399768518518523E-3</v>
      </c>
      <c r="O91" s="53" t="str">
        <f t="shared" si="142"/>
        <v/>
      </c>
      <c r="P91" s="53">
        <f t="shared" si="143"/>
        <v>152</v>
      </c>
      <c r="Q91" s="53">
        <f t="shared" si="144"/>
        <v>124</v>
      </c>
      <c r="R91" s="53" t="str">
        <f t="shared" si="145"/>
        <v/>
      </c>
      <c r="S91" s="53">
        <f t="shared" si="146"/>
        <v>158</v>
      </c>
      <c r="T91" s="53" t="str">
        <f t="shared" si="147"/>
        <v/>
      </c>
      <c r="U91" s="53" t="str">
        <f t="shared" si="148"/>
        <v/>
      </c>
      <c r="V91" s="53" t="str">
        <f t="shared" si="149"/>
        <v/>
      </c>
      <c r="W91" s="53" t="str">
        <f t="shared" si="174"/>
        <v>DNS/DNF ()</v>
      </c>
      <c r="X91" s="53" t="str">
        <f t="shared" si="150"/>
        <v>00:04:33.1 (152)</v>
      </c>
      <c r="Y91" s="53" t="str">
        <f t="shared" si="151"/>
        <v>00:02:31.8 (124)</v>
      </c>
      <c r="Z91" s="53" t="str">
        <f t="shared" si="152"/>
        <v>DNS/DNF ()</v>
      </c>
      <c r="AA91" s="53" t="str">
        <f t="shared" si="153"/>
        <v>00:06:04.8 (158)</v>
      </c>
      <c r="AB91" s="53" t="str">
        <f t="shared" si="154"/>
        <v>DNS/DNF ()</v>
      </c>
      <c r="AC91" s="53" t="str">
        <f t="shared" si="155"/>
        <v>DNS/DNF ()</v>
      </c>
      <c r="AD91" s="53" t="str">
        <f t="shared" si="156"/>
        <v>DNS/DNF ()</v>
      </c>
      <c r="AE91" s="53">
        <v>0</v>
      </c>
      <c r="AF91" s="53">
        <v>0</v>
      </c>
      <c r="AG91" s="53">
        <v>35109398</v>
      </c>
      <c r="AH91" s="53">
        <v>35382487</v>
      </c>
      <c r="AI91" s="53">
        <v>38890718</v>
      </c>
      <c r="AJ91" s="53">
        <v>39042548</v>
      </c>
      <c r="AK91" s="53">
        <v>0</v>
      </c>
      <c r="AL91" s="53">
        <v>0</v>
      </c>
      <c r="AM91" s="53">
        <v>42786468</v>
      </c>
      <c r="AN91" s="53">
        <v>43151243</v>
      </c>
      <c r="AO91" s="53">
        <v>0</v>
      </c>
      <c r="AP91" s="53">
        <v>0</v>
      </c>
      <c r="AQ91" s="53">
        <v>0</v>
      </c>
      <c r="AR91" s="53">
        <v>0</v>
      </c>
      <c r="AS91" s="53">
        <v>0</v>
      </c>
      <c r="AT91" s="53">
        <v>0</v>
      </c>
      <c r="AU91" s="62" t="str">
        <f t="shared" si="157"/>
        <v>DNS/DNF</v>
      </c>
      <c r="AV91" s="62">
        <f t="shared" si="158"/>
        <v>3.160752314814815E-3</v>
      </c>
      <c r="AW91" s="62">
        <f t="shared" si="159"/>
        <v>1.7572916666666668E-3</v>
      </c>
      <c r="AX91" s="62" t="str">
        <f t="shared" si="160"/>
        <v>DNS/DNF</v>
      </c>
      <c r="AY91" s="62">
        <f t="shared" si="161"/>
        <v>4.2219328703703707E-3</v>
      </c>
      <c r="AZ91" s="62" t="str">
        <f t="shared" si="162"/>
        <v>DNS/DNF</v>
      </c>
      <c r="BA91" s="62" t="str">
        <f t="shared" si="163"/>
        <v>DNS/DNF</v>
      </c>
      <c r="BB91" s="62" t="str">
        <f t="shared" si="164"/>
        <v>DNS/DNF</v>
      </c>
      <c r="BC91" s="75">
        <f t="shared" si="165"/>
        <v>145</v>
      </c>
      <c r="BD91" s="53">
        <f t="shared" si="166"/>
        <v>475831</v>
      </c>
      <c r="BE91" s="53">
        <f t="shared" si="167"/>
        <v>270536</v>
      </c>
      <c r="BF91" s="53">
        <f t="shared" si="168"/>
        <v>156975</v>
      </c>
      <c r="BG91" s="53">
        <f t="shared" si="169"/>
        <v>480791.00000000006</v>
      </c>
      <c r="BH91" s="53">
        <f t="shared" si="170"/>
        <v>359502.00000000006</v>
      </c>
      <c r="BI91" s="53" t="str">
        <f t="shared" si="171"/>
        <v/>
      </c>
      <c r="BJ91" s="53" t="str">
        <f t="shared" si="172"/>
        <v/>
      </c>
      <c r="BK91" s="53" t="str">
        <f t="shared" si="173"/>
        <v/>
      </c>
    </row>
    <row r="92" spans="1:63">
      <c r="A92" s="53">
        <v>203</v>
      </c>
      <c r="B92" s="89" t="str">
        <f>IFERROR(VLOOKUP($A92,EntryList!$A$3:$N$645,2,FALSE),"")</f>
        <v>Gean Boegman</v>
      </c>
      <c r="C92" s="74"/>
      <c r="D92" s="53">
        <f t="shared" si="140"/>
        <v>3</v>
      </c>
      <c r="E92" s="62"/>
      <c r="F92" s="62">
        <v>4.0925347222222222E-3</v>
      </c>
      <c r="G92" s="62">
        <v>2.489178240740741E-3</v>
      </c>
      <c r="H92" s="62"/>
      <c r="I92" s="62">
        <v>4.9744560185185187E-3</v>
      </c>
      <c r="J92" s="62"/>
      <c r="K92" s="62"/>
      <c r="L92" s="62"/>
      <c r="M92" s="62">
        <v>1.1556168981481483E-2</v>
      </c>
      <c r="N92" s="62">
        <f t="shared" si="141"/>
        <v>1.1556168981481482E-2</v>
      </c>
      <c r="O92" s="53" t="str">
        <f t="shared" si="142"/>
        <v/>
      </c>
      <c r="P92" s="53">
        <f t="shared" si="143"/>
        <v>249</v>
      </c>
      <c r="Q92" s="53">
        <f t="shared" si="144"/>
        <v>247</v>
      </c>
      <c r="R92" s="53" t="str">
        <f t="shared" si="145"/>
        <v/>
      </c>
      <c r="S92" s="53">
        <f t="shared" si="146"/>
        <v>231</v>
      </c>
      <c r="T92" s="53" t="str">
        <f t="shared" si="147"/>
        <v/>
      </c>
      <c r="U92" s="53" t="str">
        <f t="shared" si="148"/>
        <v/>
      </c>
      <c r="V92" s="53" t="str">
        <f t="shared" si="149"/>
        <v/>
      </c>
      <c r="W92" s="53" t="str">
        <f t="shared" si="174"/>
        <v>DNS/DNF ()</v>
      </c>
      <c r="X92" s="53" t="str">
        <f t="shared" si="150"/>
        <v>00:05:53.6 (249)</v>
      </c>
      <c r="Y92" s="53" t="str">
        <f t="shared" si="151"/>
        <v>00:03:35.1 (247)</v>
      </c>
      <c r="Z92" s="53" t="str">
        <f t="shared" si="152"/>
        <v>DNS/DNF ()</v>
      </c>
      <c r="AA92" s="53" t="str">
        <f t="shared" si="153"/>
        <v>00:07:09.8 (231)</v>
      </c>
      <c r="AB92" s="53" t="str">
        <f t="shared" si="154"/>
        <v>DNS/DNF ()</v>
      </c>
      <c r="AC92" s="53" t="str">
        <f t="shared" si="155"/>
        <v>DNS/DNF ()</v>
      </c>
      <c r="AD92" s="53" t="str">
        <f t="shared" si="156"/>
        <v>DNS/DNF ()</v>
      </c>
      <c r="AE92" s="53">
        <v>0</v>
      </c>
      <c r="AF92" s="53">
        <v>0</v>
      </c>
      <c r="AG92" s="53">
        <v>33528319</v>
      </c>
      <c r="AH92" s="53">
        <v>33881914</v>
      </c>
      <c r="AI92" s="53">
        <v>35897707</v>
      </c>
      <c r="AJ92" s="53">
        <v>36112772</v>
      </c>
      <c r="AK92" s="53">
        <v>0</v>
      </c>
      <c r="AL92" s="53">
        <v>0</v>
      </c>
      <c r="AM92" s="53">
        <v>38528938</v>
      </c>
      <c r="AN92" s="53">
        <v>38958731</v>
      </c>
      <c r="AO92" s="53">
        <v>0</v>
      </c>
      <c r="AP92" s="53">
        <v>0</v>
      </c>
      <c r="AQ92" s="53">
        <v>0</v>
      </c>
      <c r="AR92" s="53">
        <v>0</v>
      </c>
      <c r="AS92" s="53">
        <v>0</v>
      </c>
      <c r="AT92" s="53">
        <v>0</v>
      </c>
      <c r="AU92" s="62" t="str">
        <f t="shared" si="157"/>
        <v>DNS/DNF</v>
      </c>
      <c r="AV92" s="62">
        <f t="shared" si="158"/>
        <v>4.0925347222222222E-3</v>
      </c>
      <c r="AW92" s="62">
        <f t="shared" si="159"/>
        <v>2.4891782407407406E-3</v>
      </c>
      <c r="AX92" s="62" t="str">
        <f t="shared" si="160"/>
        <v>DNS/DNF</v>
      </c>
      <c r="AY92" s="62">
        <f t="shared" si="161"/>
        <v>4.9744560185185187E-3</v>
      </c>
      <c r="AZ92" s="62" t="str">
        <f t="shared" si="162"/>
        <v>DNS/DNF</v>
      </c>
      <c r="BA92" s="62" t="str">
        <f t="shared" si="163"/>
        <v>DNS/DNF</v>
      </c>
      <c r="BB92" s="62" t="str">
        <f t="shared" si="164"/>
        <v>DNS/DNF</v>
      </c>
      <c r="BC92" s="75">
        <f t="shared" si="165"/>
        <v>242</v>
      </c>
      <c r="BD92" s="53" t="str">
        <f t="shared" si="166"/>
        <v/>
      </c>
      <c r="BE92" s="53">
        <f t="shared" si="167"/>
        <v>332198</v>
      </c>
      <c r="BF92" s="53">
        <f t="shared" si="168"/>
        <v>208011</v>
      </c>
      <c r="BG92" s="53" t="str">
        <f t="shared" si="169"/>
        <v/>
      </c>
      <c r="BH92" s="53">
        <f t="shared" si="170"/>
        <v>462166</v>
      </c>
      <c r="BI92" s="53" t="str">
        <f t="shared" si="171"/>
        <v/>
      </c>
      <c r="BJ92" s="53" t="str">
        <f t="shared" si="172"/>
        <v/>
      </c>
      <c r="BK92" s="53" t="str">
        <f t="shared" si="173"/>
        <v/>
      </c>
    </row>
    <row r="93" spans="1:63">
      <c r="A93" s="53">
        <v>247</v>
      </c>
      <c r="B93" s="89" t="str">
        <f>IFERROR(VLOOKUP($A93,EntryList!$A$3:$N$645,2,FALSE),"")</f>
        <v>Pieter Venter Snr</v>
      </c>
      <c r="C93" s="74"/>
      <c r="D93" s="53">
        <f t="shared" si="140"/>
        <v>5</v>
      </c>
      <c r="E93" s="62">
        <v>5.5073032407407406E-3</v>
      </c>
      <c r="F93" s="62">
        <v>3.0996412037037038E-3</v>
      </c>
      <c r="G93" s="62">
        <v>1.9510069444444444E-3</v>
      </c>
      <c r="H93" s="62">
        <v>3.5485416666666664E-3</v>
      </c>
      <c r="I93" s="62">
        <v>4.072662037037037E-3</v>
      </c>
      <c r="J93" s="62"/>
      <c r="K93" s="62"/>
      <c r="L93" s="62"/>
      <c r="M93" s="62">
        <v>1.8179155092592592E-2</v>
      </c>
      <c r="N93" s="62">
        <f t="shared" si="141"/>
        <v>1.8179155092592592E-2</v>
      </c>
      <c r="O93" s="53">
        <f t="shared" si="142"/>
        <v>145</v>
      </c>
      <c r="P93" s="53">
        <f t="shared" si="143"/>
        <v>136</v>
      </c>
      <c r="Q93" s="53">
        <f t="shared" si="144"/>
        <v>191</v>
      </c>
      <c r="R93" s="53">
        <f t="shared" si="145"/>
        <v>108</v>
      </c>
      <c r="S93" s="53">
        <f t="shared" si="146"/>
        <v>120</v>
      </c>
      <c r="T93" s="53" t="str">
        <f t="shared" si="147"/>
        <v/>
      </c>
      <c r="U93" s="53" t="str">
        <f t="shared" si="148"/>
        <v/>
      </c>
      <c r="V93" s="53" t="str">
        <f t="shared" si="149"/>
        <v/>
      </c>
      <c r="W93" s="53" t="str">
        <f t="shared" si="174"/>
        <v>00:07:55.8 (145)</v>
      </c>
      <c r="X93" s="53" t="str">
        <f t="shared" si="150"/>
        <v>00:04:27.8 (136)</v>
      </c>
      <c r="Y93" s="53" t="str">
        <f t="shared" si="151"/>
        <v>00:02:48.6 (191)</v>
      </c>
      <c r="Z93" s="53" t="str">
        <f t="shared" si="152"/>
        <v>00:05:06.6 (108)</v>
      </c>
      <c r="AA93" s="53" t="str">
        <f t="shared" si="153"/>
        <v>00:05:51.9 (120)</v>
      </c>
      <c r="AB93" s="53" t="str">
        <f t="shared" si="154"/>
        <v>DNS/DNF ()</v>
      </c>
      <c r="AC93" s="53" t="str">
        <f t="shared" si="155"/>
        <v>DNS/DNF ()</v>
      </c>
      <c r="AD93" s="53" t="str">
        <f t="shared" si="156"/>
        <v>DNS/DNF ()</v>
      </c>
      <c r="AE93" s="53">
        <v>32161154</v>
      </c>
      <c r="AF93" s="53">
        <v>32636985</v>
      </c>
      <c r="AG93" s="53">
        <v>30034687</v>
      </c>
      <c r="AH93" s="53">
        <v>30302496</v>
      </c>
      <c r="AI93" s="53">
        <v>35486734</v>
      </c>
      <c r="AJ93" s="53">
        <v>35655301</v>
      </c>
      <c r="AK93" s="53">
        <v>39227157</v>
      </c>
      <c r="AL93" s="53">
        <v>39533751</v>
      </c>
      <c r="AM93" s="53">
        <v>43218216</v>
      </c>
      <c r="AN93" s="53">
        <v>43570094</v>
      </c>
      <c r="AO93" s="53">
        <v>0</v>
      </c>
      <c r="AP93" s="53">
        <v>0</v>
      </c>
      <c r="AQ93" s="53">
        <v>0</v>
      </c>
      <c r="AR93" s="53">
        <v>0</v>
      </c>
      <c r="AS93" s="53">
        <v>0</v>
      </c>
      <c r="AT93" s="53">
        <v>0</v>
      </c>
      <c r="AU93" s="62">
        <f t="shared" si="157"/>
        <v>5.5073032407407406E-3</v>
      </c>
      <c r="AV93" s="62">
        <f t="shared" si="158"/>
        <v>3.0996412037037038E-3</v>
      </c>
      <c r="AW93" s="62">
        <f t="shared" si="159"/>
        <v>1.9510069444444444E-3</v>
      </c>
      <c r="AX93" s="62">
        <f t="shared" si="160"/>
        <v>3.5485416666666669E-3</v>
      </c>
      <c r="AY93" s="62">
        <f t="shared" si="161"/>
        <v>4.072662037037037E-3</v>
      </c>
      <c r="AZ93" s="62" t="str">
        <f t="shared" si="162"/>
        <v>DNS/DNF</v>
      </c>
      <c r="BA93" s="62" t="str">
        <f t="shared" si="163"/>
        <v>DNS/DNF</v>
      </c>
      <c r="BB93" s="62" t="str">
        <f t="shared" si="164"/>
        <v>DNS/DNF</v>
      </c>
      <c r="BC93" s="75">
        <f t="shared" si="165"/>
        <v>140</v>
      </c>
      <c r="BD93" s="53">
        <f t="shared" si="166"/>
        <v>394387</v>
      </c>
      <c r="BE93" s="53">
        <f t="shared" si="167"/>
        <v>268842</v>
      </c>
      <c r="BF93" s="53">
        <f t="shared" si="168"/>
        <v>154974</v>
      </c>
      <c r="BG93" s="53">
        <f t="shared" si="169"/>
        <v>382083.00000000006</v>
      </c>
      <c r="BH93" s="53">
        <f t="shared" si="170"/>
        <v>358065</v>
      </c>
      <c r="BI93" s="53" t="str">
        <f t="shared" si="171"/>
        <v/>
      </c>
      <c r="BJ93" s="53" t="str">
        <f t="shared" si="172"/>
        <v/>
      </c>
      <c r="BK93" s="53" t="str">
        <f t="shared" si="173"/>
        <v/>
      </c>
    </row>
    <row r="94" spans="1:63">
      <c r="A94" s="53">
        <v>266</v>
      </c>
      <c r="B94" s="89" t="str">
        <f>IFERROR(VLOOKUP($A94,EntryList!$A$3:$N$645,2,FALSE),"")</f>
        <v>Philip Van Schalkwyk Snr</v>
      </c>
      <c r="C94" s="74"/>
      <c r="D94" s="53">
        <f t="shared" si="140"/>
        <v>4</v>
      </c>
      <c r="E94" s="62"/>
      <c r="F94" s="62">
        <v>3.2351620370370368E-3</v>
      </c>
      <c r="G94" s="62">
        <v>1.9632870370370373E-3</v>
      </c>
      <c r="H94" s="62">
        <v>3.766597222222222E-3</v>
      </c>
      <c r="I94" s="62">
        <v>4.2307175925925923E-3</v>
      </c>
      <c r="J94" s="62"/>
      <c r="K94" s="62"/>
      <c r="L94" s="62"/>
      <c r="M94" s="62">
        <v>1.3195763888888887E-2</v>
      </c>
      <c r="N94" s="62">
        <f t="shared" si="141"/>
        <v>1.3195763888888889E-2</v>
      </c>
      <c r="O94" s="53" t="str">
        <f t="shared" si="142"/>
        <v/>
      </c>
      <c r="P94" s="53">
        <f t="shared" si="143"/>
        <v>174</v>
      </c>
      <c r="Q94" s="53">
        <f t="shared" si="144"/>
        <v>194</v>
      </c>
      <c r="R94" s="53">
        <f t="shared" si="145"/>
        <v>125</v>
      </c>
      <c r="S94" s="53">
        <f t="shared" si="146"/>
        <v>161</v>
      </c>
      <c r="T94" s="53" t="str">
        <f t="shared" si="147"/>
        <v/>
      </c>
      <c r="U94" s="53" t="str">
        <f t="shared" si="148"/>
        <v/>
      </c>
      <c r="V94" s="53" t="str">
        <f t="shared" si="149"/>
        <v/>
      </c>
      <c r="W94" s="53" t="str">
        <f t="shared" si="174"/>
        <v>DNS/DNF ()</v>
      </c>
      <c r="X94" s="53" t="str">
        <f t="shared" si="150"/>
        <v>00:04:39.5 (174)</v>
      </c>
      <c r="Y94" s="53" t="str">
        <f t="shared" si="151"/>
        <v>00:02:49.6 (194)</v>
      </c>
      <c r="Z94" s="53" t="str">
        <f t="shared" si="152"/>
        <v>00:05:25.4 (125)</v>
      </c>
      <c r="AA94" s="53" t="str">
        <f t="shared" si="153"/>
        <v>00:06:05.5 (161)</v>
      </c>
      <c r="AB94" s="53" t="str">
        <f t="shared" si="154"/>
        <v>DNS/DNF ()</v>
      </c>
      <c r="AC94" s="53" t="str">
        <f t="shared" si="155"/>
        <v>DNS/DNF ()</v>
      </c>
      <c r="AD94" s="53" t="str">
        <f t="shared" si="156"/>
        <v>DNS/DNF ()</v>
      </c>
      <c r="AE94" s="53">
        <v>0</v>
      </c>
      <c r="AF94" s="53">
        <v>0</v>
      </c>
      <c r="AG94" s="53">
        <v>30037538</v>
      </c>
      <c r="AH94" s="53">
        <v>30317056</v>
      </c>
      <c r="AI94" s="53">
        <v>35490153</v>
      </c>
      <c r="AJ94" s="53">
        <v>35659781</v>
      </c>
      <c r="AK94" s="53">
        <v>39231721</v>
      </c>
      <c r="AL94" s="53">
        <v>39557155</v>
      </c>
      <c r="AM94" s="53">
        <v>43221316</v>
      </c>
      <c r="AN94" s="53">
        <v>43586850</v>
      </c>
      <c r="AO94" s="53">
        <v>0</v>
      </c>
      <c r="AP94" s="53">
        <v>0</v>
      </c>
      <c r="AQ94" s="53">
        <v>0</v>
      </c>
      <c r="AR94" s="53">
        <v>0</v>
      </c>
      <c r="AS94" s="53">
        <v>0</v>
      </c>
      <c r="AT94" s="53">
        <v>0</v>
      </c>
      <c r="AU94" s="62" t="str">
        <f t="shared" si="157"/>
        <v>DNS/DNF</v>
      </c>
      <c r="AV94" s="62">
        <f t="shared" si="158"/>
        <v>3.2351620370370368E-3</v>
      </c>
      <c r="AW94" s="62">
        <f t="shared" si="159"/>
        <v>1.9632870370370368E-3</v>
      </c>
      <c r="AX94" s="62">
        <f t="shared" si="160"/>
        <v>3.7665972222222224E-3</v>
      </c>
      <c r="AY94" s="62">
        <f t="shared" si="161"/>
        <v>4.2307175925925923E-3</v>
      </c>
      <c r="AZ94" s="62" t="str">
        <f t="shared" si="162"/>
        <v>DNS/DNF</v>
      </c>
      <c r="BA94" s="62" t="str">
        <f t="shared" si="163"/>
        <v>DNS/DNF</v>
      </c>
      <c r="BB94" s="62" t="str">
        <f t="shared" si="164"/>
        <v>DNS/DNF</v>
      </c>
      <c r="BC94" s="75">
        <f t="shared" si="165"/>
        <v>164</v>
      </c>
      <c r="BD94" s="53" t="str">
        <f t="shared" si="166"/>
        <v/>
      </c>
      <c r="BE94" s="53">
        <f t="shared" si="167"/>
        <v>276549</v>
      </c>
      <c r="BF94" s="53">
        <f t="shared" si="168"/>
        <v>160702</v>
      </c>
      <c r="BG94" s="53" t="str">
        <f t="shared" si="169"/>
        <v/>
      </c>
      <c r="BH94" s="53">
        <f t="shared" si="170"/>
        <v>367705.00000000006</v>
      </c>
      <c r="BI94" s="53" t="str">
        <f t="shared" si="171"/>
        <v/>
      </c>
      <c r="BJ94" s="53" t="str">
        <f t="shared" si="172"/>
        <v/>
      </c>
      <c r="BK94" s="53" t="str">
        <f t="shared" si="173"/>
        <v/>
      </c>
    </row>
    <row r="95" spans="1:63">
      <c r="A95" s="53">
        <v>79</v>
      </c>
      <c r="B95" s="89" t="str">
        <f>IFERROR(VLOOKUP($A95,EntryList!$A$3:$N$645,2,FALSE),"")</f>
        <v>Nico De Nysschen</v>
      </c>
      <c r="C95" s="74"/>
      <c r="D95" s="53">
        <f t="shared" si="140"/>
        <v>3</v>
      </c>
      <c r="E95" s="62"/>
      <c r="F95" s="62">
        <v>3.1958796296296297E-3</v>
      </c>
      <c r="G95" s="62">
        <v>1.7936805555555555E-3</v>
      </c>
      <c r="H95" s="62"/>
      <c r="I95" s="62">
        <v>4.0362152777777775E-3</v>
      </c>
      <c r="J95" s="62"/>
      <c r="K95" s="62"/>
      <c r="L95" s="62"/>
      <c r="M95" s="62">
        <v>9.0257754629629629E-3</v>
      </c>
      <c r="N95" s="62">
        <f t="shared" si="141"/>
        <v>9.0257754629629629E-3</v>
      </c>
      <c r="O95" s="53" t="str">
        <f t="shared" si="142"/>
        <v/>
      </c>
      <c r="P95" s="53">
        <f t="shared" si="143"/>
        <v>162</v>
      </c>
      <c r="Q95" s="53">
        <f t="shared" si="144"/>
        <v>140</v>
      </c>
      <c r="R95" s="53" t="str">
        <f t="shared" si="145"/>
        <v/>
      </c>
      <c r="S95" s="53">
        <f t="shared" si="146"/>
        <v>110</v>
      </c>
      <c r="T95" s="53" t="str">
        <f t="shared" si="147"/>
        <v/>
      </c>
      <c r="U95" s="53" t="str">
        <f t="shared" si="148"/>
        <v/>
      </c>
      <c r="V95" s="53" t="str">
        <f t="shared" si="149"/>
        <v/>
      </c>
      <c r="W95" s="53" t="str">
        <f t="shared" si="174"/>
        <v>DNS/DNF ()</v>
      </c>
      <c r="X95" s="53" t="str">
        <f t="shared" si="150"/>
        <v>00:04:36.1 (162)</v>
      </c>
      <c r="Y95" s="53" t="str">
        <f t="shared" si="151"/>
        <v>00:02:35.0 (140)</v>
      </c>
      <c r="Z95" s="53" t="str">
        <f t="shared" si="152"/>
        <v>DNS/DNF ()</v>
      </c>
      <c r="AA95" s="53" t="str">
        <f t="shared" si="153"/>
        <v>00:05:48.7 (110)</v>
      </c>
      <c r="AB95" s="53" t="str">
        <f t="shared" si="154"/>
        <v>DNS/DNF ()</v>
      </c>
      <c r="AC95" s="53" t="str">
        <f t="shared" si="155"/>
        <v>DNS/DNF ()</v>
      </c>
      <c r="AD95" s="53" t="str">
        <f t="shared" si="156"/>
        <v>DNS/DNF ()</v>
      </c>
      <c r="AE95" s="53">
        <v>0</v>
      </c>
      <c r="AF95" s="53">
        <v>0</v>
      </c>
      <c r="AG95" s="53">
        <v>36471855</v>
      </c>
      <c r="AH95" s="53">
        <v>36747979</v>
      </c>
      <c r="AI95" s="53">
        <v>40145514</v>
      </c>
      <c r="AJ95" s="53">
        <v>40300488</v>
      </c>
      <c r="AK95" s="53">
        <v>0</v>
      </c>
      <c r="AL95" s="53">
        <v>0</v>
      </c>
      <c r="AM95" s="53">
        <v>43639484</v>
      </c>
      <c r="AN95" s="53">
        <v>43988213</v>
      </c>
      <c r="AO95" s="53">
        <v>0</v>
      </c>
      <c r="AP95" s="53">
        <v>0</v>
      </c>
      <c r="AQ95" s="53">
        <v>0</v>
      </c>
      <c r="AR95" s="53">
        <v>0</v>
      </c>
      <c r="AS95" s="53">
        <v>0</v>
      </c>
      <c r="AT95" s="53">
        <v>0</v>
      </c>
      <c r="AU95" s="62" t="str">
        <f t="shared" si="157"/>
        <v>DNS/DNF</v>
      </c>
      <c r="AV95" s="62">
        <f t="shared" si="158"/>
        <v>3.1958796296296297E-3</v>
      </c>
      <c r="AW95" s="62">
        <f t="shared" si="159"/>
        <v>1.7936805555555555E-3</v>
      </c>
      <c r="AX95" s="62" t="str">
        <f t="shared" si="160"/>
        <v>DNS/DNF</v>
      </c>
      <c r="AY95" s="62">
        <f t="shared" si="161"/>
        <v>4.0362152777777775E-3</v>
      </c>
      <c r="AZ95" s="62" t="str">
        <f t="shared" si="162"/>
        <v>DNS/DNF</v>
      </c>
      <c r="BA95" s="62" t="str">
        <f t="shared" si="163"/>
        <v>DNS/DNF</v>
      </c>
      <c r="BB95" s="62" t="str">
        <f t="shared" si="164"/>
        <v>DNS/DNF</v>
      </c>
      <c r="BC95" s="75">
        <f t="shared" si="165"/>
        <v>137</v>
      </c>
      <c r="BD95" s="53">
        <f t="shared" si="166"/>
        <v>377391</v>
      </c>
      <c r="BE95" s="53">
        <f t="shared" si="167"/>
        <v>268444</v>
      </c>
      <c r="BF95" s="53">
        <f t="shared" si="168"/>
        <v>154658</v>
      </c>
      <c r="BG95" s="53">
        <f t="shared" si="169"/>
        <v>360043</v>
      </c>
      <c r="BH95" s="53">
        <f t="shared" si="170"/>
        <v>356882</v>
      </c>
      <c r="BI95" s="53" t="str">
        <f t="shared" si="171"/>
        <v/>
      </c>
      <c r="BJ95" s="53" t="str">
        <f t="shared" si="172"/>
        <v/>
      </c>
      <c r="BK95" s="53" t="str">
        <f t="shared" si="173"/>
        <v/>
      </c>
    </row>
    <row r="96" spans="1:63">
      <c r="A96" s="53">
        <v>77</v>
      </c>
      <c r="B96" s="89" t="str">
        <f>IFERROR(VLOOKUP($A96,EntryList!$A$3:$N$645,2,FALSE),"")</f>
        <v>Pieter Berner</v>
      </c>
      <c r="C96" s="74"/>
      <c r="D96" s="53">
        <f t="shared" si="140"/>
        <v>4</v>
      </c>
      <c r="E96" s="62">
        <v>3.6697916666666667E-3</v>
      </c>
      <c r="F96" s="62">
        <v>3.167164351851852E-3</v>
      </c>
      <c r="G96" s="62">
        <v>1.7629629629629629E-3</v>
      </c>
      <c r="H96" s="62"/>
      <c r="I96" s="62">
        <v>4.107210648148148E-3</v>
      </c>
      <c r="J96" s="62"/>
      <c r="K96" s="62"/>
      <c r="L96" s="62"/>
      <c r="M96" s="62">
        <v>1.2707129629629631E-2</v>
      </c>
      <c r="N96" s="62">
        <f t="shared" si="141"/>
        <v>1.2707129629629629E-2</v>
      </c>
      <c r="O96" s="53">
        <f t="shared" si="142"/>
        <v>122</v>
      </c>
      <c r="P96" s="53">
        <f t="shared" si="143"/>
        <v>157</v>
      </c>
      <c r="Q96" s="53">
        <f t="shared" si="144"/>
        <v>127</v>
      </c>
      <c r="R96" s="53" t="str">
        <f t="shared" si="145"/>
        <v/>
      </c>
      <c r="S96" s="53">
        <f t="shared" si="146"/>
        <v>133</v>
      </c>
      <c r="T96" s="53" t="str">
        <f t="shared" si="147"/>
        <v/>
      </c>
      <c r="U96" s="53" t="str">
        <f t="shared" si="148"/>
        <v/>
      </c>
      <c r="V96" s="53" t="str">
        <f t="shared" si="149"/>
        <v/>
      </c>
      <c r="W96" s="53" t="str">
        <f t="shared" si="174"/>
        <v>00:05:17.1 (122)</v>
      </c>
      <c r="X96" s="53" t="str">
        <f t="shared" si="150"/>
        <v>00:04:33.6 (157)</v>
      </c>
      <c r="Y96" s="53" t="str">
        <f t="shared" si="151"/>
        <v>00:02:32.3 (127)</v>
      </c>
      <c r="Z96" s="53" t="str">
        <f t="shared" si="152"/>
        <v>DNS/DNF ()</v>
      </c>
      <c r="AA96" s="53" t="str">
        <f t="shared" si="153"/>
        <v>00:05:54.9 (133)</v>
      </c>
      <c r="AB96" s="53" t="str">
        <f t="shared" si="154"/>
        <v>DNS/DNF ()</v>
      </c>
      <c r="AC96" s="53" t="str">
        <f t="shared" si="155"/>
        <v>DNS/DNF ()</v>
      </c>
      <c r="AD96" s="53" t="str">
        <f t="shared" si="156"/>
        <v>DNS/DNF ()</v>
      </c>
      <c r="AE96" s="53">
        <v>36232218</v>
      </c>
      <c r="AF96" s="53">
        <v>36549288</v>
      </c>
      <c r="AG96" s="53">
        <v>32301206</v>
      </c>
      <c r="AH96" s="53">
        <v>32574849</v>
      </c>
      <c r="AI96" s="53">
        <v>39755746</v>
      </c>
      <c r="AJ96" s="53">
        <v>39908066</v>
      </c>
      <c r="AK96" s="53">
        <v>0</v>
      </c>
      <c r="AL96" s="53">
        <v>0</v>
      </c>
      <c r="AM96" s="53">
        <v>43595264</v>
      </c>
      <c r="AN96" s="53">
        <v>43950127</v>
      </c>
      <c r="AO96" s="53">
        <v>0</v>
      </c>
      <c r="AP96" s="53">
        <v>0</v>
      </c>
      <c r="AQ96" s="53">
        <v>0</v>
      </c>
      <c r="AR96" s="53">
        <v>0</v>
      </c>
      <c r="AS96" s="53">
        <v>0</v>
      </c>
      <c r="AT96" s="53">
        <v>0</v>
      </c>
      <c r="AU96" s="62">
        <f t="shared" si="157"/>
        <v>3.6697916666666667E-3</v>
      </c>
      <c r="AV96" s="62">
        <f t="shared" si="158"/>
        <v>3.167164351851852E-3</v>
      </c>
      <c r="AW96" s="62">
        <f t="shared" si="159"/>
        <v>1.7629629629629629E-3</v>
      </c>
      <c r="AX96" s="62" t="str">
        <f t="shared" si="160"/>
        <v>DNS/DNF</v>
      </c>
      <c r="AY96" s="62">
        <f t="shared" si="161"/>
        <v>4.107210648148148E-3</v>
      </c>
      <c r="AZ96" s="62" t="str">
        <f t="shared" si="162"/>
        <v>DNS/DNF</v>
      </c>
      <c r="BA96" s="62" t="str">
        <f t="shared" si="163"/>
        <v>DNS/DNF</v>
      </c>
      <c r="BB96" s="62" t="str">
        <f t="shared" si="164"/>
        <v>DNS/DNF</v>
      </c>
      <c r="BC96" s="75">
        <f t="shared" si="165"/>
        <v>135</v>
      </c>
      <c r="BD96" s="53">
        <f t="shared" si="166"/>
        <v>358979</v>
      </c>
      <c r="BE96" s="53">
        <f t="shared" si="167"/>
        <v>267588</v>
      </c>
      <c r="BF96" s="53">
        <f t="shared" si="168"/>
        <v>154152</v>
      </c>
      <c r="BG96" s="53">
        <f t="shared" si="169"/>
        <v>350614.00000000006</v>
      </c>
      <c r="BH96" s="53">
        <f t="shared" si="170"/>
        <v>356434</v>
      </c>
      <c r="BI96" s="53" t="str">
        <f t="shared" si="171"/>
        <v/>
      </c>
      <c r="BJ96" s="53" t="str">
        <f t="shared" si="172"/>
        <v/>
      </c>
      <c r="BK96" s="53" t="str">
        <f t="shared" si="173"/>
        <v/>
      </c>
    </row>
    <row r="97" spans="1:63">
      <c r="A97" s="53">
        <v>67</v>
      </c>
      <c r="B97" s="89" t="str">
        <f>IFERROR(VLOOKUP($A97,EntryList!$A$3:$N$645,2,FALSE),"")</f>
        <v>Ebrahiem Van Der Schyff</v>
      </c>
      <c r="C97" s="74"/>
      <c r="D97" s="53">
        <f t="shared" si="140"/>
        <v>3</v>
      </c>
      <c r="E97" s="62"/>
      <c r="F97" s="62">
        <v>3.2482638888888891E-3</v>
      </c>
      <c r="G97" s="62">
        <v>1.981689814814815E-3</v>
      </c>
      <c r="H97" s="62"/>
      <c r="I97" s="62">
        <v>4.2169097222222226E-3</v>
      </c>
      <c r="J97" s="62"/>
      <c r="K97" s="62"/>
      <c r="L97" s="62"/>
      <c r="M97" s="62">
        <v>9.4468634259259263E-3</v>
      </c>
      <c r="N97" s="62">
        <f t="shared" si="141"/>
        <v>9.4468634259259263E-3</v>
      </c>
      <c r="O97" s="53" t="str">
        <f t="shared" si="142"/>
        <v/>
      </c>
      <c r="P97" s="53">
        <f t="shared" si="143"/>
        <v>180</v>
      </c>
      <c r="Q97" s="53">
        <f t="shared" si="144"/>
        <v>197</v>
      </c>
      <c r="R97" s="53" t="str">
        <f t="shared" si="145"/>
        <v/>
      </c>
      <c r="S97" s="53">
        <f t="shared" si="146"/>
        <v>156</v>
      </c>
      <c r="T97" s="53" t="str">
        <f t="shared" si="147"/>
        <v/>
      </c>
      <c r="U97" s="53" t="str">
        <f t="shared" si="148"/>
        <v/>
      </c>
      <c r="V97" s="53" t="str">
        <f t="shared" si="149"/>
        <v/>
      </c>
      <c r="W97" s="53" t="str">
        <f t="shared" si="174"/>
        <v>DNS/DNF ()</v>
      </c>
      <c r="X97" s="53" t="str">
        <f t="shared" si="150"/>
        <v>00:04:40.6 (180)</v>
      </c>
      <c r="Y97" s="53" t="str">
        <f t="shared" si="151"/>
        <v>00:02:51.2 (197)</v>
      </c>
      <c r="Z97" s="53" t="str">
        <f t="shared" si="152"/>
        <v>DNS/DNF ()</v>
      </c>
      <c r="AA97" s="53" t="str">
        <f t="shared" si="153"/>
        <v>00:06:04.3 (156)</v>
      </c>
      <c r="AB97" s="53" t="str">
        <f t="shared" si="154"/>
        <v>DNS/DNF ()</v>
      </c>
      <c r="AC97" s="53" t="str">
        <f t="shared" si="155"/>
        <v>DNS/DNF ()</v>
      </c>
      <c r="AD97" s="53" t="str">
        <f t="shared" si="156"/>
        <v>DNS/DNF ()</v>
      </c>
      <c r="AE97" s="53">
        <v>0</v>
      </c>
      <c r="AF97" s="53">
        <v>0</v>
      </c>
      <c r="AG97" s="53">
        <v>35548383</v>
      </c>
      <c r="AH97" s="53">
        <v>35829033</v>
      </c>
      <c r="AI97" s="53">
        <v>39574652</v>
      </c>
      <c r="AJ97" s="53">
        <v>39745870</v>
      </c>
      <c r="AK97" s="53">
        <v>0</v>
      </c>
      <c r="AL97" s="53">
        <v>0</v>
      </c>
      <c r="AM97" s="53">
        <v>43302542</v>
      </c>
      <c r="AN97" s="53">
        <v>43666883</v>
      </c>
      <c r="AO97" s="53">
        <v>0</v>
      </c>
      <c r="AP97" s="53">
        <v>0</v>
      </c>
      <c r="AQ97" s="53">
        <v>0</v>
      </c>
      <c r="AR97" s="53">
        <v>0</v>
      </c>
      <c r="AS97" s="53">
        <v>0</v>
      </c>
      <c r="AT97" s="53">
        <v>0</v>
      </c>
      <c r="AU97" s="62" t="str">
        <f t="shared" si="157"/>
        <v>DNS/DNF</v>
      </c>
      <c r="AV97" s="62">
        <f t="shared" si="158"/>
        <v>3.2482638888888891E-3</v>
      </c>
      <c r="AW97" s="62">
        <f t="shared" si="159"/>
        <v>1.9816898148148146E-3</v>
      </c>
      <c r="AX97" s="62" t="str">
        <f t="shared" si="160"/>
        <v>DNS/DNF</v>
      </c>
      <c r="AY97" s="62">
        <f t="shared" si="161"/>
        <v>4.2169097222222226E-3</v>
      </c>
      <c r="AZ97" s="62" t="str">
        <f t="shared" si="162"/>
        <v>DNS/DNF</v>
      </c>
      <c r="BA97" s="62" t="str">
        <f t="shared" si="163"/>
        <v>DNS/DNF</v>
      </c>
      <c r="BB97" s="62" t="str">
        <f t="shared" si="164"/>
        <v>DNS/DNF</v>
      </c>
      <c r="BC97" s="75">
        <f t="shared" si="165"/>
        <v>178</v>
      </c>
      <c r="BD97" s="53" t="str">
        <f t="shared" si="166"/>
        <v/>
      </c>
      <c r="BE97" s="53">
        <f t="shared" si="167"/>
        <v>280302</v>
      </c>
      <c r="BF97" s="53">
        <f t="shared" si="168"/>
        <v>163483</v>
      </c>
      <c r="BG97" s="53" t="str">
        <f t="shared" si="169"/>
        <v/>
      </c>
      <c r="BH97" s="53">
        <f t="shared" si="170"/>
        <v>374902</v>
      </c>
      <c r="BI97" s="53" t="str">
        <f t="shared" si="171"/>
        <v/>
      </c>
      <c r="BJ97" s="53" t="str">
        <f t="shared" si="172"/>
        <v/>
      </c>
      <c r="BK97" s="53" t="str">
        <f t="shared" si="173"/>
        <v/>
      </c>
    </row>
    <row r="98" spans="1:63">
      <c r="A98" s="53">
        <v>159</v>
      </c>
      <c r="B98" s="89" t="str">
        <f>IFERROR(VLOOKUP($A98,EntryList!$A$3:$N$645,2,FALSE),"")</f>
        <v>Ridha Davids</v>
      </c>
      <c r="C98" s="74"/>
      <c r="D98" s="53">
        <f t="shared" si="140"/>
        <v>3</v>
      </c>
      <c r="E98" s="62"/>
      <c r="F98" s="62">
        <v>3.1069907407407405E-3</v>
      </c>
      <c r="G98" s="62">
        <v>1.7563657407407408E-3</v>
      </c>
      <c r="H98" s="62"/>
      <c r="I98" s="62">
        <v>4.0253472222222227E-3</v>
      </c>
      <c r="J98" s="62"/>
      <c r="K98" s="62"/>
      <c r="L98" s="62"/>
      <c r="M98" s="62">
        <v>8.8887037037037042E-3</v>
      </c>
      <c r="N98" s="62">
        <f t="shared" si="141"/>
        <v>8.8887037037037042E-3</v>
      </c>
      <c r="O98" s="53" t="str">
        <f t="shared" si="142"/>
        <v/>
      </c>
      <c r="P98" s="53">
        <f t="shared" si="143"/>
        <v>137</v>
      </c>
      <c r="Q98" s="53">
        <f t="shared" si="144"/>
        <v>123</v>
      </c>
      <c r="R98" s="53" t="str">
        <f t="shared" si="145"/>
        <v/>
      </c>
      <c r="S98" s="53">
        <f t="shared" si="146"/>
        <v>107</v>
      </c>
      <c r="T98" s="53" t="str">
        <f t="shared" si="147"/>
        <v/>
      </c>
      <c r="U98" s="53" t="str">
        <f t="shared" si="148"/>
        <v/>
      </c>
      <c r="V98" s="53" t="str">
        <f t="shared" si="149"/>
        <v/>
      </c>
      <c r="W98" s="53" t="str">
        <f t="shared" si="174"/>
        <v>DNS/DNF ()</v>
      </c>
      <c r="X98" s="53" t="str">
        <f t="shared" si="150"/>
        <v>00:04:28.4 (137)</v>
      </c>
      <c r="Y98" s="53" t="str">
        <f t="shared" si="151"/>
        <v>00:02:31.8 (123)</v>
      </c>
      <c r="Z98" s="53" t="str">
        <f t="shared" si="152"/>
        <v>DNS/DNF ()</v>
      </c>
      <c r="AA98" s="53" t="str">
        <f t="shared" si="153"/>
        <v>00:05:47.8 (107)</v>
      </c>
      <c r="AB98" s="53" t="str">
        <f t="shared" si="154"/>
        <v>DNS/DNF ()</v>
      </c>
      <c r="AC98" s="53" t="str">
        <f t="shared" si="155"/>
        <v>DNS/DNF ()</v>
      </c>
      <c r="AD98" s="53" t="str">
        <f t="shared" si="156"/>
        <v>DNS/DNF ()</v>
      </c>
      <c r="AE98" s="53">
        <v>0</v>
      </c>
      <c r="AF98" s="53">
        <v>0</v>
      </c>
      <c r="AG98" s="53">
        <v>35577433</v>
      </c>
      <c r="AH98" s="53">
        <v>35845877</v>
      </c>
      <c r="AI98" s="53">
        <v>39591574</v>
      </c>
      <c r="AJ98" s="53">
        <v>39743324</v>
      </c>
      <c r="AK98" s="53">
        <v>0</v>
      </c>
      <c r="AL98" s="53">
        <v>0</v>
      </c>
      <c r="AM98" s="53">
        <v>43297734</v>
      </c>
      <c r="AN98" s="53">
        <v>43645524</v>
      </c>
      <c r="AO98" s="53">
        <v>0</v>
      </c>
      <c r="AP98" s="53">
        <v>0</v>
      </c>
      <c r="AQ98" s="53">
        <v>0</v>
      </c>
      <c r="AR98" s="53">
        <v>0</v>
      </c>
      <c r="AS98" s="53">
        <v>0</v>
      </c>
      <c r="AT98" s="53">
        <v>0</v>
      </c>
      <c r="AU98" s="62" t="str">
        <f t="shared" si="157"/>
        <v>DNS/DNF</v>
      </c>
      <c r="AV98" s="62">
        <f t="shared" si="158"/>
        <v>3.1069907407407409E-3</v>
      </c>
      <c r="AW98" s="62">
        <f t="shared" si="159"/>
        <v>1.7563657407407408E-3</v>
      </c>
      <c r="AX98" s="62" t="str">
        <f t="shared" si="160"/>
        <v>DNS/DNF</v>
      </c>
      <c r="AY98" s="62">
        <f t="shared" si="161"/>
        <v>4.0253472222222218E-3</v>
      </c>
      <c r="AZ98" s="62" t="str">
        <f t="shared" si="162"/>
        <v>DNS/DNF</v>
      </c>
      <c r="BA98" s="62" t="str">
        <f t="shared" si="163"/>
        <v>DNS/DNF</v>
      </c>
      <c r="BB98" s="62" t="str">
        <f t="shared" si="164"/>
        <v>DNS/DNF</v>
      </c>
      <c r="BC98" s="75">
        <f t="shared" si="165"/>
        <v>122</v>
      </c>
      <c r="BD98" s="53">
        <f t="shared" si="166"/>
        <v>317070</v>
      </c>
      <c r="BE98" s="53">
        <f t="shared" si="167"/>
        <v>263002</v>
      </c>
      <c r="BF98" s="53">
        <f t="shared" si="168"/>
        <v>151602</v>
      </c>
      <c r="BG98" s="53">
        <f t="shared" si="169"/>
        <v>319801</v>
      </c>
      <c r="BH98" s="53">
        <f t="shared" si="170"/>
        <v>352232</v>
      </c>
      <c r="BI98" s="53" t="str">
        <f t="shared" si="171"/>
        <v/>
      </c>
      <c r="BJ98" s="53" t="str">
        <f t="shared" si="172"/>
        <v/>
      </c>
      <c r="BK98" s="53" t="str">
        <f t="shared" si="173"/>
        <v/>
      </c>
    </row>
    <row r="99" spans="1:63">
      <c r="A99" s="53">
        <v>6</v>
      </c>
      <c r="B99" s="89" t="str">
        <f>IFERROR(VLOOKUP($A99,EntryList!$A$3:$N$645,2,FALSE),"")</f>
        <v>James Collins</v>
      </c>
      <c r="C99" s="74"/>
      <c r="D99" s="53">
        <f t="shared" si="140"/>
        <v>3</v>
      </c>
      <c r="E99" s="62"/>
      <c r="F99" s="62">
        <v>3.2942708333333335E-3</v>
      </c>
      <c r="G99" s="62">
        <v>1.8610416666666664E-3</v>
      </c>
      <c r="H99" s="62"/>
      <c r="I99" s="62">
        <v>4.6825694444444441E-3</v>
      </c>
      <c r="J99" s="62"/>
      <c r="K99" s="62"/>
      <c r="L99" s="62"/>
      <c r="M99" s="62">
        <v>9.8378819444444442E-3</v>
      </c>
      <c r="N99" s="62">
        <f t="shared" si="141"/>
        <v>9.8378819444444442E-3</v>
      </c>
      <c r="O99" s="53" t="str">
        <f t="shared" si="142"/>
        <v/>
      </c>
      <c r="P99" s="53">
        <f t="shared" si="143"/>
        <v>193</v>
      </c>
      <c r="Q99" s="53">
        <f t="shared" si="144"/>
        <v>165</v>
      </c>
      <c r="R99" s="53" t="str">
        <f t="shared" si="145"/>
        <v/>
      </c>
      <c r="S99" s="53">
        <f t="shared" si="146"/>
        <v>215</v>
      </c>
      <c r="T99" s="53" t="str">
        <f t="shared" si="147"/>
        <v/>
      </c>
      <c r="U99" s="53" t="str">
        <f t="shared" si="148"/>
        <v/>
      </c>
      <c r="V99" s="53" t="str">
        <f t="shared" si="149"/>
        <v/>
      </c>
      <c r="W99" s="53" t="str">
        <f t="shared" si="174"/>
        <v>DNS/DNF ()</v>
      </c>
      <c r="X99" s="53" t="str">
        <f t="shared" si="150"/>
        <v>00:04:44.6 (193)</v>
      </c>
      <c r="Y99" s="53" t="str">
        <f t="shared" si="151"/>
        <v>00:02:40.8 (165)</v>
      </c>
      <c r="Z99" s="53" t="str">
        <f t="shared" si="152"/>
        <v>DNS/DNF ()</v>
      </c>
      <c r="AA99" s="53" t="str">
        <f t="shared" si="153"/>
        <v>00:06:44.6 (215)</v>
      </c>
      <c r="AB99" s="53" t="str">
        <f t="shared" si="154"/>
        <v>DNS/DNF ()</v>
      </c>
      <c r="AC99" s="53" t="str">
        <f t="shared" si="155"/>
        <v>DNS/DNF ()</v>
      </c>
      <c r="AD99" s="53" t="str">
        <f t="shared" si="156"/>
        <v>DNS/DNF ()</v>
      </c>
      <c r="AE99" s="53">
        <v>0</v>
      </c>
      <c r="AF99" s="53">
        <v>0</v>
      </c>
      <c r="AG99" s="53">
        <v>35101930</v>
      </c>
      <c r="AH99" s="53">
        <v>35386555</v>
      </c>
      <c r="AI99" s="53">
        <v>39002434</v>
      </c>
      <c r="AJ99" s="53">
        <v>39163228</v>
      </c>
      <c r="AK99" s="53">
        <v>0</v>
      </c>
      <c r="AL99" s="53">
        <v>0</v>
      </c>
      <c r="AM99" s="53">
        <v>42898008</v>
      </c>
      <c r="AN99" s="53">
        <v>43302582</v>
      </c>
      <c r="AO99" s="53">
        <v>0</v>
      </c>
      <c r="AP99" s="53">
        <v>0</v>
      </c>
      <c r="AQ99" s="53">
        <v>0</v>
      </c>
      <c r="AR99" s="53">
        <v>0</v>
      </c>
      <c r="AS99" s="53">
        <v>0</v>
      </c>
      <c r="AT99" s="53">
        <v>0</v>
      </c>
      <c r="AU99" s="62" t="str">
        <f t="shared" si="157"/>
        <v>DNS/DNF</v>
      </c>
      <c r="AV99" s="62">
        <f t="shared" si="158"/>
        <v>3.2942708333333335E-3</v>
      </c>
      <c r="AW99" s="62">
        <f t="shared" si="159"/>
        <v>1.8610416666666667E-3</v>
      </c>
      <c r="AX99" s="62" t="str">
        <f t="shared" si="160"/>
        <v>DNS/DNF</v>
      </c>
      <c r="AY99" s="62">
        <f t="shared" si="161"/>
        <v>4.6825694444444441E-3</v>
      </c>
      <c r="AZ99" s="62" t="str">
        <f t="shared" si="162"/>
        <v>DNS/DNF</v>
      </c>
      <c r="BA99" s="62" t="str">
        <f t="shared" si="163"/>
        <v>DNS/DNF</v>
      </c>
      <c r="BB99" s="62" t="str">
        <f t="shared" si="164"/>
        <v>DNS/DNF</v>
      </c>
      <c r="BC99" s="75">
        <f t="shared" si="165"/>
        <v>191</v>
      </c>
      <c r="BD99" s="53" t="str">
        <f t="shared" si="166"/>
        <v/>
      </c>
      <c r="BE99" s="53">
        <f t="shared" si="167"/>
        <v>284497</v>
      </c>
      <c r="BF99" s="53">
        <f t="shared" si="168"/>
        <v>168567</v>
      </c>
      <c r="BG99" s="53" t="str">
        <f t="shared" si="169"/>
        <v/>
      </c>
      <c r="BH99" s="53">
        <f t="shared" si="170"/>
        <v>385800</v>
      </c>
      <c r="BI99" s="53" t="str">
        <f t="shared" si="171"/>
        <v/>
      </c>
      <c r="BJ99" s="53" t="str">
        <f t="shared" si="172"/>
        <v/>
      </c>
      <c r="BK99" s="53" t="str">
        <f t="shared" si="173"/>
        <v/>
      </c>
    </row>
    <row r="100" spans="1:63">
      <c r="A100" s="53">
        <v>99</v>
      </c>
      <c r="B100" s="89" t="str">
        <f>IFERROR(VLOOKUP($A100,EntryList!$A$3:$N$645,2,FALSE),"")</f>
        <v>Lian De Jager</v>
      </c>
      <c r="C100" s="74"/>
      <c r="D100" s="53">
        <f t="shared" si="140"/>
        <v>3</v>
      </c>
      <c r="E100" s="62"/>
      <c r="F100" s="62">
        <v>3.182037037037037E-3</v>
      </c>
      <c r="G100" s="62">
        <v>1.6408564814814816E-3</v>
      </c>
      <c r="H100" s="62"/>
      <c r="I100" s="62">
        <v>3.8980902777777777E-3</v>
      </c>
      <c r="J100" s="62"/>
      <c r="K100" s="62"/>
      <c r="L100" s="62"/>
      <c r="M100" s="62">
        <v>8.7209837962962961E-3</v>
      </c>
      <c r="N100" s="62">
        <f t="shared" si="141"/>
        <v>8.7209837962962961E-3</v>
      </c>
      <c r="O100" s="53" t="str">
        <f t="shared" si="142"/>
        <v/>
      </c>
      <c r="P100" s="53">
        <f t="shared" si="143"/>
        <v>160</v>
      </c>
      <c r="Q100" s="53">
        <f t="shared" si="144"/>
        <v>86</v>
      </c>
      <c r="R100" s="53" t="str">
        <f t="shared" si="145"/>
        <v/>
      </c>
      <c r="S100" s="53">
        <f t="shared" si="146"/>
        <v>83</v>
      </c>
      <c r="T100" s="53" t="str">
        <f t="shared" si="147"/>
        <v/>
      </c>
      <c r="U100" s="53" t="str">
        <f t="shared" si="148"/>
        <v/>
      </c>
      <c r="V100" s="53" t="str">
        <f t="shared" si="149"/>
        <v/>
      </c>
      <c r="W100" s="53" t="str">
        <f t="shared" si="174"/>
        <v>DNS/DNF ()</v>
      </c>
      <c r="X100" s="53" t="str">
        <f t="shared" si="150"/>
        <v>00:04:34.9 (160)</v>
      </c>
      <c r="Y100" s="53" t="str">
        <f t="shared" si="151"/>
        <v>00:02:21.8 (86)</v>
      </c>
      <c r="Z100" s="53" t="str">
        <f t="shared" si="152"/>
        <v>DNS/DNF ()</v>
      </c>
      <c r="AA100" s="53" t="str">
        <f t="shared" si="153"/>
        <v>00:05:36.8 (83)</v>
      </c>
      <c r="AB100" s="53" t="str">
        <f t="shared" si="154"/>
        <v>DNS/DNF ()</v>
      </c>
      <c r="AC100" s="53" t="str">
        <f t="shared" si="155"/>
        <v>DNS/DNF ()</v>
      </c>
      <c r="AD100" s="53" t="str">
        <f t="shared" si="156"/>
        <v>DNS/DNF ()</v>
      </c>
      <c r="AE100" s="53">
        <v>0</v>
      </c>
      <c r="AF100" s="53">
        <v>0</v>
      </c>
      <c r="AG100" s="53">
        <v>36449108</v>
      </c>
      <c r="AH100" s="53">
        <v>36724036</v>
      </c>
      <c r="AI100" s="53">
        <v>40136664</v>
      </c>
      <c r="AJ100" s="53">
        <v>40278434</v>
      </c>
      <c r="AK100" s="53">
        <v>0</v>
      </c>
      <c r="AL100" s="53">
        <v>0</v>
      </c>
      <c r="AM100" s="53">
        <v>43622470</v>
      </c>
      <c r="AN100" s="53">
        <v>43959265</v>
      </c>
      <c r="AO100" s="53">
        <v>0</v>
      </c>
      <c r="AP100" s="53">
        <v>0</v>
      </c>
      <c r="AQ100" s="53">
        <v>0</v>
      </c>
      <c r="AR100" s="53">
        <v>0</v>
      </c>
      <c r="AS100" s="53">
        <v>0</v>
      </c>
      <c r="AT100" s="53">
        <v>0</v>
      </c>
      <c r="AU100" s="62" t="str">
        <f t="shared" si="157"/>
        <v>DNS/DNF</v>
      </c>
      <c r="AV100" s="62">
        <f t="shared" si="158"/>
        <v>3.182037037037037E-3</v>
      </c>
      <c r="AW100" s="62">
        <f t="shared" si="159"/>
        <v>1.6408564814814814E-3</v>
      </c>
      <c r="AX100" s="62" t="str">
        <f t="shared" si="160"/>
        <v>DNS/DNF</v>
      </c>
      <c r="AY100" s="62">
        <f t="shared" si="161"/>
        <v>3.8980902777777777E-3</v>
      </c>
      <c r="AZ100" s="62" t="str">
        <f t="shared" si="162"/>
        <v>DNS/DNF</v>
      </c>
      <c r="BA100" s="62" t="str">
        <f t="shared" si="163"/>
        <v>DNS/DNF</v>
      </c>
      <c r="BB100" s="62" t="str">
        <f t="shared" si="164"/>
        <v>DNS/DNF</v>
      </c>
      <c r="BC100" s="75">
        <f t="shared" si="165"/>
        <v>110</v>
      </c>
      <c r="BD100" s="53">
        <f t="shared" si="166"/>
        <v>293142</v>
      </c>
      <c r="BE100" s="53">
        <f t="shared" si="167"/>
        <v>257875.00000000003</v>
      </c>
      <c r="BF100" s="53">
        <f t="shared" si="168"/>
        <v>148042</v>
      </c>
      <c r="BG100" s="53">
        <f t="shared" si="169"/>
        <v>308859</v>
      </c>
      <c r="BH100" s="53">
        <f t="shared" si="170"/>
        <v>348729</v>
      </c>
      <c r="BI100" s="53" t="str">
        <f t="shared" si="171"/>
        <v/>
      </c>
      <c r="BJ100" s="53" t="str">
        <f t="shared" si="172"/>
        <v/>
      </c>
      <c r="BK100" s="53" t="str">
        <f t="shared" si="173"/>
        <v/>
      </c>
    </row>
    <row r="101" spans="1:63">
      <c r="A101" s="53">
        <v>56</v>
      </c>
      <c r="B101" s="89" t="str">
        <f>IFERROR(VLOOKUP($A101,EntryList!$A$3:$N$645,2,FALSE),"")</f>
        <v>Myndert Laubscher</v>
      </c>
      <c r="C101" s="74"/>
      <c r="D101" s="53">
        <f t="shared" si="140"/>
        <v>5</v>
      </c>
      <c r="E101" s="62">
        <v>2.3872569444444445E-3</v>
      </c>
      <c r="F101" s="62">
        <v>2.6669444444444444E-3</v>
      </c>
      <c r="G101" s="62">
        <v>1.4814467592592594E-3</v>
      </c>
      <c r="H101" s="62">
        <v>2.9714814814814816E-3</v>
      </c>
      <c r="I101" s="62">
        <v>3.6218055555555552E-3</v>
      </c>
      <c r="J101" s="62"/>
      <c r="K101" s="62"/>
      <c r="L101" s="62"/>
      <c r="M101" s="62">
        <v>1.3128935185185183E-2</v>
      </c>
      <c r="N101" s="62">
        <f t="shared" si="141"/>
        <v>1.3128935185185184E-2</v>
      </c>
      <c r="O101" s="53">
        <f t="shared" si="142"/>
        <v>18</v>
      </c>
      <c r="P101" s="53">
        <f t="shared" si="143"/>
        <v>38</v>
      </c>
      <c r="Q101" s="53">
        <f t="shared" si="144"/>
        <v>37</v>
      </c>
      <c r="R101" s="53">
        <f t="shared" si="145"/>
        <v>41</v>
      </c>
      <c r="S101" s="53">
        <f t="shared" si="146"/>
        <v>42</v>
      </c>
      <c r="T101" s="53" t="str">
        <f t="shared" si="147"/>
        <v/>
      </c>
      <c r="U101" s="53" t="str">
        <f t="shared" si="148"/>
        <v/>
      </c>
      <c r="V101" s="53" t="str">
        <f t="shared" si="149"/>
        <v/>
      </c>
      <c r="W101" s="53" t="str">
        <f t="shared" si="174"/>
        <v>00:03:26.3 (18)</v>
      </c>
      <c r="X101" s="53" t="str">
        <f t="shared" si="150"/>
        <v>00:03:50.4 (38)</v>
      </c>
      <c r="Y101" s="53" t="str">
        <f t="shared" si="151"/>
        <v>00:02:08.0 (37)</v>
      </c>
      <c r="Z101" s="53" t="str">
        <f t="shared" si="152"/>
        <v>00:04:16.7 (41)</v>
      </c>
      <c r="AA101" s="53" t="str">
        <f t="shared" si="153"/>
        <v>00:05:12.9 (42)</v>
      </c>
      <c r="AB101" s="53" t="str">
        <f t="shared" si="154"/>
        <v>DNS/DNF ()</v>
      </c>
      <c r="AC101" s="53" t="str">
        <f t="shared" si="155"/>
        <v>DNS/DNF ()</v>
      </c>
      <c r="AD101" s="53" t="str">
        <f t="shared" si="156"/>
        <v>DNS/DNF ()</v>
      </c>
      <c r="AE101" s="53">
        <v>33985692</v>
      </c>
      <c r="AF101" s="53">
        <v>34191951</v>
      </c>
      <c r="AG101" s="53">
        <v>30910630</v>
      </c>
      <c r="AH101" s="53">
        <v>31141054</v>
      </c>
      <c r="AI101" s="53">
        <v>37924058</v>
      </c>
      <c r="AJ101" s="53">
        <v>38052055</v>
      </c>
      <c r="AK101" s="53">
        <v>41422534</v>
      </c>
      <c r="AL101" s="53">
        <v>41679270</v>
      </c>
      <c r="AM101" s="53">
        <v>43818968</v>
      </c>
      <c r="AN101" s="53">
        <v>44131892</v>
      </c>
      <c r="AO101" s="53">
        <v>0</v>
      </c>
      <c r="AP101" s="53">
        <v>0</v>
      </c>
      <c r="AQ101" s="53">
        <v>0</v>
      </c>
      <c r="AR101" s="53">
        <v>0</v>
      </c>
      <c r="AS101" s="53">
        <v>0</v>
      </c>
      <c r="AT101" s="53">
        <v>0</v>
      </c>
      <c r="AU101" s="62">
        <f t="shared" si="157"/>
        <v>2.3872569444444445E-3</v>
      </c>
      <c r="AV101" s="62">
        <f t="shared" si="158"/>
        <v>2.6669444444444444E-3</v>
      </c>
      <c r="AW101" s="62">
        <f t="shared" si="159"/>
        <v>1.4814467592592592E-3</v>
      </c>
      <c r="AX101" s="62">
        <f t="shared" si="160"/>
        <v>2.9714814814814816E-3</v>
      </c>
      <c r="AY101" s="62">
        <f t="shared" si="161"/>
        <v>3.6218055555555556E-3</v>
      </c>
      <c r="AZ101" s="62" t="str">
        <f t="shared" si="162"/>
        <v>DNS/DNF</v>
      </c>
      <c r="BA101" s="62" t="str">
        <f t="shared" si="163"/>
        <v>DNS/DNF</v>
      </c>
      <c r="BB101" s="62" t="str">
        <f t="shared" si="164"/>
        <v>DNS/DNF</v>
      </c>
      <c r="BC101" s="75">
        <f t="shared" si="165"/>
        <v>35</v>
      </c>
      <c r="BD101" s="53">
        <f t="shared" si="166"/>
        <v>218580</v>
      </c>
      <c r="BE101" s="53">
        <f t="shared" si="167"/>
        <v>229693</v>
      </c>
      <c r="BF101" s="53">
        <f t="shared" si="168"/>
        <v>127463</v>
      </c>
      <c r="BG101" s="53">
        <f t="shared" si="169"/>
        <v>253890</v>
      </c>
      <c r="BH101" s="53">
        <f t="shared" si="170"/>
        <v>310702</v>
      </c>
      <c r="BI101" s="53" t="str">
        <f t="shared" si="171"/>
        <v/>
      </c>
      <c r="BJ101" s="53" t="str">
        <f t="shared" si="172"/>
        <v/>
      </c>
      <c r="BK101" s="53" t="str">
        <f t="shared" si="173"/>
        <v/>
      </c>
    </row>
    <row r="102" spans="1:63">
      <c r="A102" s="53">
        <v>252</v>
      </c>
      <c r="B102" s="89" t="str">
        <f>IFERROR(VLOOKUP($A102,EntryList!$A$3:$N$645,2,FALSE),"")</f>
        <v>Brandon Willcocks</v>
      </c>
      <c r="C102" s="74"/>
      <c r="D102" s="53">
        <f t="shared" si="140"/>
        <v>5</v>
      </c>
      <c r="E102" s="62">
        <v>2.4844212962962966E-3</v>
      </c>
      <c r="F102" s="62">
        <v>2.6692361111111114E-3</v>
      </c>
      <c r="G102" s="62">
        <v>1.5048958333333336E-3</v>
      </c>
      <c r="H102" s="62">
        <v>2.8341435185185184E-3</v>
      </c>
      <c r="I102" s="62">
        <v>3.5297685185185189E-3</v>
      </c>
      <c r="J102" s="62"/>
      <c r="K102" s="62"/>
      <c r="L102" s="62"/>
      <c r="M102" s="62">
        <v>1.3022465277777777E-2</v>
      </c>
      <c r="N102" s="62">
        <f t="shared" si="141"/>
        <v>1.3022465277777779E-2</v>
      </c>
      <c r="O102" s="53">
        <f t="shared" si="142"/>
        <v>32</v>
      </c>
      <c r="P102" s="53">
        <f t="shared" si="143"/>
        <v>39</v>
      </c>
      <c r="Q102" s="53">
        <f t="shared" si="144"/>
        <v>46</v>
      </c>
      <c r="R102" s="53">
        <f t="shared" si="145"/>
        <v>21</v>
      </c>
      <c r="S102" s="53">
        <f t="shared" si="146"/>
        <v>24</v>
      </c>
      <c r="T102" s="53" t="str">
        <f t="shared" si="147"/>
        <v/>
      </c>
      <c r="U102" s="53" t="str">
        <f t="shared" si="148"/>
        <v/>
      </c>
      <c r="V102" s="53" t="str">
        <f t="shared" si="149"/>
        <v/>
      </c>
      <c r="W102" s="53" t="str">
        <f t="shared" si="174"/>
        <v>00:03:34.7 (32)</v>
      </c>
      <c r="X102" s="53" t="str">
        <f t="shared" si="150"/>
        <v>00:03:50.6 (39)</v>
      </c>
      <c r="Y102" s="53" t="str">
        <f t="shared" si="151"/>
        <v>00:02:10.0 (46)</v>
      </c>
      <c r="Z102" s="53" t="str">
        <f t="shared" si="152"/>
        <v>00:04:04.9 (21)</v>
      </c>
      <c r="AA102" s="53" t="str">
        <f t="shared" si="153"/>
        <v>00:05:05.0 (24)</v>
      </c>
      <c r="AB102" s="53" t="str">
        <f t="shared" si="154"/>
        <v>DNS/DNF ()</v>
      </c>
      <c r="AC102" s="53" t="str">
        <f t="shared" si="155"/>
        <v>DNS/DNF ()</v>
      </c>
      <c r="AD102" s="53" t="str">
        <f t="shared" si="156"/>
        <v>DNS/DNF ()</v>
      </c>
      <c r="AE102" s="53">
        <v>33286441</v>
      </c>
      <c r="AF102" s="53">
        <v>33501095</v>
      </c>
      <c r="AG102" s="53">
        <v>37008203</v>
      </c>
      <c r="AH102" s="53">
        <v>37238825</v>
      </c>
      <c r="AI102" s="53">
        <v>31108881</v>
      </c>
      <c r="AJ102" s="53">
        <v>31238904</v>
      </c>
      <c r="AK102" s="53">
        <v>40659984</v>
      </c>
      <c r="AL102" s="53">
        <v>40904854</v>
      </c>
      <c r="AM102" s="53">
        <v>43582144</v>
      </c>
      <c r="AN102" s="53">
        <v>43887116</v>
      </c>
      <c r="AO102" s="53">
        <v>0</v>
      </c>
      <c r="AP102" s="53">
        <v>0</v>
      </c>
      <c r="AQ102" s="53">
        <v>0</v>
      </c>
      <c r="AR102" s="53">
        <v>0</v>
      </c>
      <c r="AS102" s="53">
        <v>0</v>
      </c>
      <c r="AT102" s="53">
        <v>0</v>
      </c>
      <c r="AU102" s="62">
        <f t="shared" si="157"/>
        <v>2.4844212962962962E-3</v>
      </c>
      <c r="AV102" s="62">
        <f t="shared" si="158"/>
        <v>2.6692361111111109E-3</v>
      </c>
      <c r="AW102" s="62">
        <f t="shared" si="159"/>
        <v>1.5048958333333333E-3</v>
      </c>
      <c r="AX102" s="62">
        <f t="shared" si="160"/>
        <v>2.8341435185185184E-3</v>
      </c>
      <c r="AY102" s="62">
        <f t="shared" si="161"/>
        <v>3.5297685185185185E-3</v>
      </c>
      <c r="AZ102" s="62" t="str">
        <f t="shared" si="162"/>
        <v>DNS/DNF</v>
      </c>
      <c r="BA102" s="62" t="str">
        <f t="shared" si="163"/>
        <v>DNS/DNF</v>
      </c>
      <c r="BB102" s="62" t="str">
        <f t="shared" si="164"/>
        <v>DNS/DNF</v>
      </c>
      <c r="BC102" s="75">
        <f t="shared" si="165"/>
        <v>32</v>
      </c>
      <c r="BD102" s="53">
        <f t="shared" si="166"/>
        <v>214654</v>
      </c>
      <c r="BE102" s="53">
        <f t="shared" si="167"/>
        <v>227701</v>
      </c>
      <c r="BF102" s="53">
        <f t="shared" si="168"/>
        <v>126358.00000000001</v>
      </c>
      <c r="BG102" s="53">
        <f t="shared" si="169"/>
        <v>252734</v>
      </c>
      <c r="BH102" s="53">
        <f t="shared" si="170"/>
        <v>309892</v>
      </c>
      <c r="BI102" s="53" t="str">
        <f t="shared" si="171"/>
        <v/>
      </c>
      <c r="BJ102" s="53" t="str">
        <f t="shared" si="172"/>
        <v/>
      </c>
      <c r="BK102" s="53" t="str">
        <f t="shared" si="173"/>
        <v/>
      </c>
    </row>
    <row r="103" spans="1:63">
      <c r="A103" s="53">
        <v>192</v>
      </c>
      <c r="B103" s="89" t="str">
        <f>IFERROR(VLOOKUP($A103,EntryList!$A$3:$N$645,2,FALSE),"")</f>
        <v>Duran Van Eeden</v>
      </c>
      <c r="C103" s="74"/>
      <c r="D103" s="53">
        <f t="shared" si="140"/>
        <v>5</v>
      </c>
      <c r="E103" s="62">
        <v>2.1264004629629632E-3</v>
      </c>
      <c r="F103" s="62">
        <v>2.4048611111111111E-3</v>
      </c>
      <c r="G103" s="62">
        <v>1.2916087962962963E-3</v>
      </c>
      <c r="H103" s="62">
        <v>2.6637268518518516E-3</v>
      </c>
      <c r="I103" s="62">
        <v>3.3005902777777777E-3</v>
      </c>
      <c r="J103" s="62"/>
      <c r="K103" s="62"/>
      <c r="L103" s="62"/>
      <c r="M103" s="62">
        <v>1.1787187499999999E-2</v>
      </c>
      <c r="N103" s="62">
        <f t="shared" si="141"/>
        <v>1.1787187499999999E-2</v>
      </c>
      <c r="O103" s="53">
        <f t="shared" si="142"/>
        <v>3</v>
      </c>
      <c r="P103" s="53">
        <f t="shared" si="143"/>
        <v>2</v>
      </c>
      <c r="Q103" s="53">
        <f t="shared" si="144"/>
        <v>2</v>
      </c>
      <c r="R103" s="53">
        <f t="shared" si="145"/>
        <v>6</v>
      </c>
      <c r="S103" s="53">
        <f t="shared" si="146"/>
        <v>4</v>
      </c>
      <c r="T103" s="53" t="str">
        <f t="shared" si="147"/>
        <v/>
      </c>
      <c r="U103" s="53" t="str">
        <f t="shared" si="148"/>
        <v/>
      </c>
      <c r="V103" s="53" t="str">
        <f t="shared" si="149"/>
        <v/>
      </c>
      <c r="W103" s="53" t="str">
        <f t="shared" si="174"/>
        <v>00:03:03.7 (3)</v>
      </c>
      <c r="X103" s="53" t="str">
        <f t="shared" si="150"/>
        <v>00:03:27.8 (2)</v>
      </c>
      <c r="Y103" s="53" t="str">
        <f t="shared" si="151"/>
        <v>00:01:51.6 (2)</v>
      </c>
      <c r="Z103" s="53" t="str">
        <f t="shared" si="152"/>
        <v>00:03:50.1 (6)</v>
      </c>
      <c r="AA103" s="53" t="str">
        <f t="shared" si="153"/>
        <v>00:04:45.2 (4)</v>
      </c>
      <c r="AB103" s="53" t="str">
        <f t="shared" si="154"/>
        <v>DNS/DNF ()</v>
      </c>
      <c r="AC103" s="53" t="str">
        <f t="shared" si="155"/>
        <v>DNS/DNF ()</v>
      </c>
      <c r="AD103" s="53" t="str">
        <f t="shared" si="156"/>
        <v>DNS/DNF ()</v>
      </c>
      <c r="AE103" s="53">
        <v>32377964</v>
      </c>
      <c r="AF103" s="53">
        <v>32561685</v>
      </c>
      <c r="AG103" s="53">
        <v>30581723</v>
      </c>
      <c r="AH103" s="53">
        <v>30789503</v>
      </c>
      <c r="AI103" s="53">
        <v>37593952</v>
      </c>
      <c r="AJ103" s="53">
        <v>37705547</v>
      </c>
      <c r="AK103" s="53">
        <v>41724303</v>
      </c>
      <c r="AL103" s="53">
        <v>41954449</v>
      </c>
      <c r="AM103" s="53">
        <v>43988784</v>
      </c>
      <c r="AN103" s="53">
        <v>44273955</v>
      </c>
      <c r="AO103" s="53">
        <v>0</v>
      </c>
      <c r="AP103" s="53">
        <v>0</v>
      </c>
      <c r="AQ103" s="53">
        <v>0</v>
      </c>
      <c r="AR103" s="53">
        <v>0</v>
      </c>
      <c r="AS103" s="53">
        <v>0</v>
      </c>
      <c r="AT103" s="53">
        <v>0</v>
      </c>
      <c r="AU103" s="62">
        <f t="shared" si="157"/>
        <v>2.1264004629629627E-3</v>
      </c>
      <c r="AV103" s="62">
        <f t="shared" si="158"/>
        <v>2.4048611111111111E-3</v>
      </c>
      <c r="AW103" s="62">
        <f t="shared" si="159"/>
        <v>1.2916087962962963E-3</v>
      </c>
      <c r="AX103" s="62">
        <f t="shared" si="160"/>
        <v>2.663726851851852E-3</v>
      </c>
      <c r="AY103" s="62">
        <f t="shared" si="161"/>
        <v>3.3005902777777777E-3</v>
      </c>
      <c r="AZ103" s="62" t="str">
        <f t="shared" si="162"/>
        <v>DNS/DNF</v>
      </c>
      <c r="BA103" s="62" t="str">
        <f t="shared" si="163"/>
        <v>DNS/DNF</v>
      </c>
      <c r="BB103" s="62" t="str">
        <f t="shared" si="164"/>
        <v>DNS/DNF</v>
      </c>
      <c r="BC103" s="75">
        <f t="shared" si="165"/>
        <v>3</v>
      </c>
      <c r="BD103" s="53">
        <f t="shared" si="166"/>
        <v>183720.99999999997</v>
      </c>
      <c r="BE103" s="53">
        <f t="shared" si="167"/>
        <v>209690</v>
      </c>
      <c r="BF103" s="53">
        <f t="shared" si="168"/>
        <v>112237</v>
      </c>
      <c r="BG103" s="53">
        <f t="shared" si="169"/>
        <v>226374</v>
      </c>
      <c r="BH103" s="53">
        <f t="shared" si="170"/>
        <v>284121</v>
      </c>
      <c r="BI103" s="53" t="str">
        <f t="shared" si="171"/>
        <v/>
      </c>
      <c r="BJ103" s="53" t="str">
        <f t="shared" si="172"/>
        <v/>
      </c>
      <c r="BK103" s="53" t="str">
        <f t="shared" si="173"/>
        <v/>
      </c>
    </row>
    <row r="104" spans="1:63">
      <c r="A104" s="53">
        <v>193</v>
      </c>
      <c r="B104" s="89" t="str">
        <f>IFERROR(VLOOKUP($A104,EntryList!$A$3:$N$645,2,FALSE),"")</f>
        <v>Justin Novella</v>
      </c>
      <c r="C104" s="74"/>
      <c r="D104" s="53">
        <f t="shared" si="140"/>
        <v>5</v>
      </c>
      <c r="E104" s="62">
        <v>2.3153356481481484E-3</v>
      </c>
      <c r="F104" s="62">
        <v>2.496909722222222E-3</v>
      </c>
      <c r="G104" s="62">
        <v>1.3392592592592594E-3</v>
      </c>
      <c r="H104" s="62">
        <v>2.6841898148148146E-3</v>
      </c>
      <c r="I104" s="62">
        <v>3.3477893518518518E-3</v>
      </c>
      <c r="J104" s="62"/>
      <c r="K104" s="62"/>
      <c r="L104" s="62"/>
      <c r="M104" s="62">
        <v>1.2183483796296296E-2</v>
      </c>
      <c r="N104" s="62">
        <f t="shared" si="141"/>
        <v>1.2183483796296296E-2</v>
      </c>
      <c r="O104" s="53">
        <f t="shared" si="142"/>
        <v>15</v>
      </c>
      <c r="P104" s="53">
        <f t="shared" si="143"/>
        <v>13</v>
      </c>
      <c r="Q104" s="53">
        <f t="shared" si="144"/>
        <v>4</v>
      </c>
      <c r="R104" s="53">
        <f t="shared" si="145"/>
        <v>9</v>
      </c>
      <c r="S104" s="53">
        <f t="shared" si="146"/>
        <v>6</v>
      </c>
      <c r="T104" s="53" t="str">
        <f t="shared" si="147"/>
        <v/>
      </c>
      <c r="U104" s="53" t="str">
        <f t="shared" si="148"/>
        <v/>
      </c>
      <c r="V104" s="53" t="str">
        <f t="shared" si="149"/>
        <v/>
      </c>
      <c r="W104" s="53" t="str">
        <f t="shared" si="174"/>
        <v>00:03:20.0 (15)</v>
      </c>
      <c r="X104" s="53" t="str">
        <f t="shared" si="150"/>
        <v>00:03:35.7 (13)</v>
      </c>
      <c r="Y104" s="53" t="str">
        <f t="shared" si="151"/>
        <v>00:01:55.7 (4)</v>
      </c>
      <c r="Z104" s="53" t="str">
        <f t="shared" si="152"/>
        <v>00:03:51.9 (9)</v>
      </c>
      <c r="AA104" s="53" t="str">
        <f t="shared" si="153"/>
        <v>00:04:49.2 (6)</v>
      </c>
      <c r="AB104" s="53" t="str">
        <f t="shared" si="154"/>
        <v>DNS/DNF ()</v>
      </c>
      <c r="AC104" s="53" t="str">
        <f t="shared" si="155"/>
        <v>DNS/DNF ()</v>
      </c>
      <c r="AD104" s="53" t="str">
        <f t="shared" si="156"/>
        <v>DNS/DNF ()</v>
      </c>
      <c r="AE104" s="53">
        <v>31065721</v>
      </c>
      <c r="AF104" s="53">
        <v>31265766</v>
      </c>
      <c r="AG104" s="53">
        <v>35055694</v>
      </c>
      <c r="AH104" s="53">
        <v>35271427</v>
      </c>
      <c r="AI104" s="53">
        <v>37607194</v>
      </c>
      <c r="AJ104" s="53">
        <v>37722906</v>
      </c>
      <c r="AK104" s="53">
        <v>41790070</v>
      </c>
      <c r="AL104" s="53">
        <v>42021984</v>
      </c>
      <c r="AM104" s="53">
        <v>43997250</v>
      </c>
      <c r="AN104" s="53">
        <v>44286499</v>
      </c>
      <c r="AO104" s="53">
        <v>0</v>
      </c>
      <c r="AP104" s="53">
        <v>0</v>
      </c>
      <c r="AQ104" s="53">
        <v>0</v>
      </c>
      <c r="AR104" s="53">
        <v>0</v>
      </c>
      <c r="AS104" s="53">
        <v>0</v>
      </c>
      <c r="AT104" s="53">
        <v>0</v>
      </c>
      <c r="AU104" s="62">
        <f t="shared" si="157"/>
        <v>2.315335648148148E-3</v>
      </c>
      <c r="AV104" s="62">
        <f t="shared" si="158"/>
        <v>2.4969097222222224E-3</v>
      </c>
      <c r="AW104" s="62">
        <f t="shared" si="159"/>
        <v>1.3392592592592592E-3</v>
      </c>
      <c r="AX104" s="62">
        <f t="shared" si="160"/>
        <v>2.6841898148148146E-3</v>
      </c>
      <c r="AY104" s="62">
        <f t="shared" si="161"/>
        <v>3.3477893518518518E-3</v>
      </c>
      <c r="AZ104" s="62" t="str">
        <f t="shared" si="162"/>
        <v>DNS/DNF</v>
      </c>
      <c r="BA104" s="62" t="str">
        <f t="shared" si="163"/>
        <v>DNS/DNF</v>
      </c>
      <c r="BB104" s="62" t="str">
        <f t="shared" si="164"/>
        <v>DNS/DNF</v>
      </c>
      <c r="BC104" s="75">
        <f t="shared" si="165"/>
        <v>9</v>
      </c>
      <c r="BD104" s="53">
        <f t="shared" si="166"/>
        <v>194686</v>
      </c>
      <c r="BE104" s="53">
        <f t="shared" si="167"/>
        <v>212596</v>
      </c>
      <c r="BF104" s="53">
        <f t="shared" si="168"/>
        <v>118898</v>
      </c>
      <c r="BG104" s="53">
        <f t="shared" si="169"/>
        <v>231913.99999999997</v>
      </c>
      <c r="BH104" s="53">
        <f t="shared" si="170"/>
        <v>292081</v>
      </c>
      <c r="BI104" s="53" t="str">
        <f t="shared" si="171"/>
        <v/>
      </c>
      <c r="BJ104" s="53" t="str">
        <f t="shared" si="172"/>
        <v/>
      </c>
      <c r="BK104" s="53" t="str">
        <f t="shared" si="173"/>
        <v/>
      </c>
    </row>
    <row r="105" spans="1:63">
      <c r="A105" s="53">
        <v>58</v>
      </c>
      <c r="B105" s="89" t="str">
        <f>IFERROR(VLOOKUP($A105,EntryList!$A$3:$N$645,2,FALSE),"")</f>
        <v>Craig Fussell</v>
      </c>
      <c r="C105" s="74"/>
      <c r="D105" s="53">
        <f t="shared" si="140"/>
        <v>3</v>
      </c>
      <c r="E105" s="62">
        <v>3.2216550925925924E-3</v>
      </c>
      <c r="F105" s="62">
        <v>2.999814814814815E-3</v>
      </c>
      <c r="G105" s="62">
        <v>1.7900231481481482E-3</v>
      </c>
      <c r="H105" s="62"/>
      <c r="I105" s="62"/>
      <c r="J105" s="62"/>
      <c r="K105" s="62"/>
      <c r="L105" s="62"/>
      <c r="M105" s="62">
        <v>8.0114930555555564E-3</v>
      </c>
      <c r="N105" s="62">
        <f t="shared" si="141"/>
        <v>8.0114930555555564E-3</v>
      </c>
      <c r="O105" s="53">
        <f t="shared" si="142"/>
        <v>101</v>
      </c>
      <c r="P105" s="53">
        <f t="shared" si="143"/>
        <v>115</v>
      </c>
      <c r="Q105" s="53">
        <f t="shared" si="144"/>
        <v>137</v>
      </c>
      <c r="R105" s="53" t="str">
        <f t="shared" si="145"/>
        <v/>
      </c>
      <c r="S105" s="53" t="str">
        <f t="shared" si="146"/>
        <v/>
      </c>
      <c r="T105" s="53" t="str">
        <f t="shared" si="147"/>
        <v/>
      </c>
      <c r="U105" s="53" t="str">
        <f t="shared" si="148"/>
        <v/>
      </c>
      <c r="V105" s="53" t="str">
        <f t="shared" si="149"/>
        <v/>
      </c>
      <c r="W105" s="53" t="str">
        <f t="shared" si="174"/>
        <v>00:04:38.4 (101)</v>
      </c>
      <c r="X105" s="53" t="str">
        <f t="shared" si="150"/>
        <v>00:04:19.2 (115)</v>
      </c>
      <c r="Y105" s="53" t="str">
        <f t="shared" si="151"/>
        <v>00:02:34.7 (137)</v>
      </c>
      <c r="Z105" s="53" t="str">
        <f t="shared" si="152"/>
        <v>DNS/DNF ()</v>
      </c>
      <c r="AA105" s="53" t="str">
        <f t="shared" si="153"/>
        <v>DNS/DNF ()</v>
      </c>
      <c r="AB105" s="53" t="str">
        <f t="shared" si="154"/>
        <v>DNS/DNF ()</v>
      </c>
      <c r="AC105" s="53" t="str">
        <f t="shared" si="155"/>
        <v>DNS/DNF ()</v>
      </c>
      <c r="AD105" s="53" t="str">
        <f t="shared" si="156"/>
        <v>DNS/DNF ()</v>
      </c>
      <c r="AE105" s="53">
        <v>33831372</v>
      </c>
      <c r="AF105" s="53">
        <v>34109723</v>
      </c>
      <c r="AG105" s="53">
        <v>31080726</v>
      </c>
      <c r="AH105" s="53">
        <v>31339910</v>
      </c>
      <c r="AI105" s="53">
        <v>36263616</v>
      </c>
      <c r="AJ105" s="53">
        <v>36418274</v>
      </c>
      <c r="AK105" s="53">
        <v>39837868</v>
      </c>
      <c r="AL105" s="53">
        <v>0</v>
      </c>
      <c r="AM105" s="53">
        <v>0</v>
      </c>
      <c r="AN105" s="53">
        <v>0</v>
      </c>
      <c r="AO105" s="53">
        <v>0</v>
      </c>
      <c r="AP105" s="53">
        <v>0</v>
      </c>
      <c r="AQ105" s="53">
        <v>0</v>
      </c>
      <c r="AR105" s="53">
        <v>0</v>
      </c>
      <c r="AS105" s="53">
        <v>0</v>
      </c>
      <c r="AT105" s="53">
        <v>0</v>
      </c>
      <c r="AU105" s="62">
        <f t="shared" si="157"/>
        <v>3.2216550925925928E-3</v>
      </c>
      <c r="AV105" s="62">
        <f t="shared" si="158"/>
        <v>2.999814814814815E-3</v>
      </c>
      <c r="AW105" s="62">
        <f t="shared" si="159"/>
        <v>1.7900231481481482E-3</v>
      </c>
      <c r="AX105" s="62" t="str">
        <f t="shared" si="160"/>
        <v>DNS/DNF</v>
      </c>
      <c r="AY105" s="62" t="str">
        <f t="shared" si="161"/>
        <v>DNS/DNF</v>
      </c>
      <c r="AZ105" s="62" t="str">
        <f t="shared" si="162"/>
        <v>DNS/DNF</v>
      </c>
      <c r="BA105" s="62" t="str">
        <f t="shared" si="163"/>
        <v>DNS/DNF</v>
      </c>
      <c r="BB105" s="62" t="str">
        <f t="shared" si="164"/>
        <v>DNS/DNF</v>
      </c>
      <c r="BC105" s="75">
        <f t="shared" si="165"/>
        <v>118</v>
      </c>
      <c r="BD105" s="53" t="str">
        <f t="shared" si="166"/>
        <v/>
      </c>
      <c r="BE105" s="53">
        <f t="shared" si="167"/>
        <v>260349</v>
      </c>
      <c r="BF105" s="53">
        <f t="shared" si="168"/>
        <v>151103</v>
      </c>
      <c r="BG105" s="53">
        <f t="shared" si="169"/>
        <v>317015</v>
      </c>
      <c r="BH105" s="53">
        <f t="shared" si="170"/>
        <v>351837</v>
      </c>
      <c r="BI105" s="53" t="str">
        <f t="shared" si="171"/>
        <v/>
      </c>
      <c r="BJ105" s="53" t="str">
        <f t="shared" si="172"/>
        <v/>
      </c>
      <c r="BK105" s="53" t="str">
        <f t="shared" si="173"/>
        <v/>
      </c>
    </row>
    <row r="106" spans="1:63">
      <c r="A106" s="53">
        <v>98</v>
      </c>
      <c r="B106" s="89" t="str">
        <f>IFERROR(VLOOKUP($A106,EntryList!$A$3:$N$645,2,FALSE),"")</f>
        <v>Chrisman De Jager</v>
      </c>
      <c r="C106" s="74"/>
      <c r="D106" s="53">
        <f t="shared" si="140"/>
        <v>3</v>
      </c>
      <c r="E106" s="62"/>
      <c r="F106" s="62">
        <v>3.1510995370370369E-3</v>
      </c>
      <c r="G106" s="62">
        <v>1.847337962962963E-3</v>
      </c>
      <c r="H106" s="62"/>
      <c r="I106" s="62">
        <v>4.1253935185185187E-3</v>
      </c>
      <c r="J106" s="62"/>
      <c r="K106" s="62"/>
      <c r="L106" s="62"/>
      <c r="M106" s="62">
        <v>9.1238310185185172E-3</v>
      </c>
      <c r="N106" s="62">
        <f t="shared" si="141"/>
        <v>9.123831018518519E-3</v>
      </c>
      <c r="O106" s="53" t="str">
        <f t="shared" si="142"/>
        <v/>
      </c>
      <c r="P106" s="53">
        <f t="shared" si="143"/>
        <v>148</v>
      </c>
      <c r="Q106" s="53">
        <f t="shared" si="144"/>
        <v>154</v>
      </c>
      <c r="R106" s="53" t="str">
        <f t="shared" si="145"/>
        <v/>
      </c>
      <c r="S106" s="53">
        <f t="shared" si="146"/>
        <v>135</v>
      </c>
      <c r="T106" s="53" t="str">
        <f t="shared" si="147"/>
        <v/>
      </c>
      <c r="U106" s="53" t="str">
        <f t="shared" si="148"/>
        <v/>
      </c>
      <c r="V106" s="53" t="str">
        <f t="shared" si="149"/>
        <v/>
      </c>
      <c r="W106" s="53" t="str">
        <f t="shared" si="174"/>
        <v>DNS/DNF ()</v>
      </c>
      <c r="X106" s="53" t="str">
        <f t="shared" si="150"/>
        <v>00:04:32.3 (148)</v>
      </c>
      <c r="Y106" s="53" t="str">
        <f t="shared" si="151"/>
        <v>00:02:39.6 (154)</v>
      </c>
      <c r="Z106" s="53" t="str">
        <f t="shared" si="152"/>
        <v>DNS/DNF ()</v>
      </c>
      <c r="AA106" s="53" t="str">
        <f t="shared" si="153"/>
        <v>00:05:56.4 (135)</v>
      </c>
      <c r="AB106" s="53" t="str">
        <f t="shared" si="154"/>
        <v>DNS/DNF ()</v>
      </c>
      <c r="AC106" s="53" t="str">
        <f t="shared" si="155"/>
        <v>DNS/DNF ()</v>
      </c>
      <c r="AD106" s="53" t="str">
        <f t="shared" si="156"/>
        <v>DNS/DNF ()</v>
      </c>
      <c r="AE106" s="53">
        <v>0</v>
      </c>
      <c r="AF106" s="53">
        <v>0</v>
      </c>
      <c r="AG106" s="53">
        <v>36430034</v>
      </c>
      <c r="AH106" s="53">
        <v>36702289</v>
      </c>
      <c r="AI106" s="53">
        <v>40158144</v>
      </c>
      <c r="AJ106" s="53">
        <v>40317754</v>
      </c>
      <c r="AK106" s="53">
        <v>0</v>
      </c>
      <c r="AL106" s="53">
        <v>0</v>
      </c>
      <c r="AM106" s="53">
        <v>43656410</v>
      </c>
      <c r="AN106" s="53">
        <v>44012844</v>
      </c>
      <c r="AO106" s="53">
        <v>0</v>
      </c>
      <c r="AP106" s="53">
        <v>0</v>
      </c>
      <c r="AQ106" s="53">
        <v>0</v>
      </c>
      <c r="AR106" s="53">
        <v>0</v>
      </c>
      <c r="AS106" s="53">
        <v>0</v>
      </c>
      <c r="AT106" s="53">
        <v>0</v>
      </c>
      <c r="AU106" s="62" t="str">
        <f t="shared" si="157"/>
        <v>DNS/DNF</v>
      </c>
      <c r="AV106" s="62">
        <f t="shared" si="158"/>
        <v>3.1510995370370369E-3</v>
      </c>
      <c r="AW106" s="62">
        <f t="shared" si="159"/>
        <v>1.847337962962963E-3</v>
      </c>
      <c r="AX106" s="62" t="str">
        <f t="shared" si="160"/>
        <v>DNS/DNF</v>
      </c>
      <c r="AY106" s="62">
        <f t="shared" si="161"/>
        <v>4.1253935185185187E-3</v>
      </c>
      <c r="AZ106" s="62" t="str">
        <f t="shared" si="162"/>
        <v>DNS/DNF</v>
      </c>
      <c r="BA106" s="62" t="str">
        <f t="shared" si="163"/>
        <v>DNS/DNF</v>
      </c>
      <c r="BB106" s="62" t="str">
        <f t="shared" si="164"/>
        <v>DNS/DNF</v>
      </c>
      <c r="BC106" s="75">
        <f t="shared" si="165"/>
        <v>146</v>
      </c>
      <c r="BD106" s="53">
        <f t="shared" si="166"/>
        <v>480533</v>
      </c>
      <c r="BE106" s="53">
        <f t="shared" si="167"/>
        <v>271425</v>
      </c>
      <c r="BF106" s="53">
        <f t="shared" si="168"/>
        <v>157789</v>
      </c>
      <c r="BG106" s="53">
        <f t="shared" si="169"/>
        <v>691026.99999999988</v>
      </c>
      <c r="BH106" s="53">
        <f t="shared" si="170"/>
        <v>359633</v>
      </c>
      <c r="BI106" s="53" t="str">
        <f t="shared" si="171"/>
        <v/>
      </c>
      <c r="BJ106" s="53" t="str">
        <f t="shared" si="172"/>
        <v/>
      </c>
      <c r="BK106" s="53" t="str">
        <f t="shared" si="173"/>
        <v/>
      </c>
    </row>
    <row r="107" spans="1:63">
      <c r="A107" s="53">
        <v>245</v>
      </c>
      <c r="B107" s="89" t="str">
        <f>IFERROR(VLOOKUP($A107,EntryList!$A$3:$N$645,2,FALSE),"")</f>
        <v>Miles Henebrey</v>
      </c>
      <c r="C107" s="74"/>
      <c r="D107" s="53">
        <f t="shared" si="140"/>
        <v>5</v>
      </c>
      <c r="E107" s="62">
        <v>3.8716782407407411E-3</v>
      </c>
      <c r="F107" s="62">
        <v>3.1969097222222225E-3</v>
      </c>
      <c r="G107" s="62">
        <v>1.7546527777777777E-3</v>
      </c>
      <c r="H107" s="62">
        <v>3.6711921296296297E-3</v>
      </c>
      <c r="I107" s="62">
        <v>4.354895833333333E-3</v>
      </c>
      <c r="J107" s="62"/>
      <c r="K107" s="62"/>
      <c r="L107" s="62"/>
      <c r="M107" s="62">
        <v>1.6849328703703703E-2</v>
      </c>
      <c r="N107" s="62">
        <f t="shared" si="141"/>
        <v>1.6849328703703703E-2</v>
      </c>
      <c r="O107" s="53">
        <f t="shared" si="142"/>
        <v>126</v>
      </c>
      <c r="P107" s="53">
        <f t="shared" si="143"/>
        <v>163</v>
      </c>
      <c r="Q107" s="53">
        <f t="shared" si="144"/>
        <v>122</v>
      </c>
      <c r="R107" s="53">
        <f t="shared" si="145"/>
        <v>119</v>
      </c>
      <c r="S107" s="53">
        <f t="shared" si="146"/>
        <v>181</v>
      </c>
      <c r="T107" s="53" t="str">
        <f t="shared" si="147"/>
        <v/>
      </c>
      <c r="U107" s="53" t="str">
        <f t="shared" si="148"/>
        <v/>
      </c>
      <c r="V107" s="53" t="str">
        <f t="shared" si="149"/>
        <v/>
      </c>
      <c r="W107" s="53" t="str">
        <f t="shared" si="174"/>
        <v>00:05:34.5 (126)</v>
      </c>
      <c r="X107" s="53" t="str">
        <f t="shared" si="150"/>
        <v>00:04:36.2 (163)</v>
      </c>
      <c r="Y107" s="53" t="str">
        <f t="shared" si="151"/>
        <v>00:02:31.6 (122)</v>
      </c>
      <c r="Z107" s="53" t="str">
        <f t="shared" si="152"/>
        <v>00:05:17.2 (119)</v>
      </c>
      <c r="AA107" s="53" t="str">
        <f t="shared" si="153"/>
        <v>00:06:16.3 (181)</v>
      </c>
      <c r="AB107" s="53" t="str">
        <f t="shared" si="154"/>
        <v>DNS/DNF ()</v>
      </c>
      <c r="AC107" s="53" t="str">
        <f t="shared" si="155"/>
        <v>DNS/DNF ()</v>
      </c>
      <c r="AD107" s="53" t="str">
        <f t="shared" si="156"/>
        <v>DNS/DNF ()</v>
      </c>
      <c r="AE107" s="53">
        <v>31077674</v>
      </c>
      <c r="AF107" s="53">
        <v>31412187</v>
      </c>
      <c r="AG107" s="53">
        <v>35066564</v>
      </c>
      <c r="AH107" s="53">
        <v>35342777</v>
      </c>
      <c r="AI107" s="53">
        <v>37633093</v>
      </c>
      <c r="AJ107" s="53">
        <v>37784695</v>
      </c>
      <c r="AK107" s="53">
        <v>41807747</v>
      </c>
      <c r="AL107" s="53">
        <v>42124938</v>
      </c>
      <c r="AM107" s="53">
        <v>44012518</v>
      </c>
      <c r="AN107" s="53">
        <v>44388781</v>
      </c>
      <c r="AO107" s="53">
        <v>0</v>
      </c>
      <c r="AP107" s="53">
        <v>0</v>
      </c>
      <c r="AQ107" s="53">
        <v>0</v>
      </c>
      <c r="AR107" s="53">
        <v>0</v>
      </c>
      <c r="AS107" s="53">
        <v>0</v>
      </c>
      <c r="AT107" s="53">
        <v>0</v>
      </c>
      <c r="AU107" s="62">
        <f t="shared" si="157"/>
        <v>3.8716782407407406E-3</v>
      </c>
      <c r="AV107" s="62">
        <f t="shared" si="158"/>
        <v>3.1969097222222221E-3</v>
      </c>
      <c r="AW107" s="62">
        <f t="shared" si="159"/>
        <v>1.7546527777777777E-3</v>
      </c>
      <c r="AX107" s="62">
        <f t="shared" si="160"/>
        <v>3.6711921296296297E-3</v>
      </c>
      <c r="AY107" s="62">
        <f t="shared" si="161"/>
        <v>4.354895833333333E-3</v>
      </c>
      <c r="AZ107" s="62" t="str">
        <f t="shared" si="162"/>
        <v>DNS/DNF</v>
      </c>
      <c r="BA107" s="62" t="str">
        <f t="shared" si="163"/>
        <v>DNS/DNF</v>
      </c>
      <c r="BB107" s="62" t="str">
        <f t="shared" si="164"/>
        <v>DNS/DNF</v>
      </c>
      <c r="BC107" s="75">
        <f t="shared" si="165"/>
        <v>142</v>
      </c>
      <c r="BD107" s="53">
        <f t="shared" si="166"/>
        <v>407223</v>
      </c>
      <c r="BE107" s="53">
        <f t="shared" si="167"/>
        <v>269396</v>
      </c>
      <c r="BF107" s="53">
        <f t="shared" si="168"/>
        <v>155164</v>
      </c>
      <c r="BG107" s="53">
        <f t="shared" si="169"/>
        <v>442213</v>
      </c>
      <c r="BH107" s="53">
        <f t="shared" si="170"/>
        <v>358375</v>
      </c>
      <c r="BI107" s="53" t="str">
        <f t="shared" si="171"/>
        <v/>
      </c>
      <c r="BJ107" s="53" t="str">
        <f t="shared" si="172"/>
        <v/>
      </c>
      <c r="BK107" s="53" t="str">
        <f t="shared" si="173"/>
        <v/>
      </c>
    </row>
    <row r="108" spans="1:63">
      <c r="A108" s="53">
        <v>164</v>
      </c>
      <c r="B108" s="89" t="str">
        <f>IFERROR(VLOOKUP($A108,EntryList!$A$3:$N$645,2,FALSE),"")</f>
        <v>Joffre Venter</v>
      </c>
      <c r="C108" s="74"/>
      <c r="D108" s="53">
        <f t="shared" si="140"/>
        <v>3</v>
      </c>
      <c r="E108" s="62"/>
      <c r="F108" s="62">
        <v>3.2268518518518518E-3</v>
      </c>
      <c r="G108" s="62">
        <v>2.0251388888888888E-3</v>
      </c>
      <c r="H108" s="62"/>
      <c r="I108" s="62">
        <v>4.1599768518518513E-3</v>
      </c>
      <c r="J108" s="62"/>
      <c r="K108" s="62"/>
      <c r="L108" s="62"/>
      <c r="M108" s="62">
        <v>9.4119675925925916E-3</v>
      </c>
      <c r="N108" s="62">
        <f t="shared" si="141"/>
        <v>9.4119675925925933E-3</v>
      </c>
      <c r="O108" s="53" t="str">
        <f t="shared" si="142"/>
        <v/>
      </c>
      <c r="P108" s="53">
        <f t="shared" si="143"/>
        <v>173</v>
      </c>
      <c r="Q108" s="53">
        <f t="shared" si="144"/>
        <v>207</v>
      </c>
      <c r="R108" s="53" t="str">
        <f t="shared" si="145"/>
        <v/>
      </c>
      <c r="S108" s="53">
        <f t="shared" si="146"/>
        <v>144</v>
      </c>
      <c r="T108" s="53" t="str">
        <f t="shared" si="147"/>
        <v/>
      </c>
      <c r="U108" s="53" t="str">
        <f t="shared" si="148"/>
        <v/>
      </c>
      <c r="V108" s="53" t="str">
        <f t="shared" si="149"/>
        <v/>
      </c>
      <c r="W108" s="53" t="str">
        <f t="shared" si="174"/>
        <v>DNS/DNF ()</v>
      </c>
      <c r="X108" s="53" t="str">
        <f t="shared" si="150"/>
        <v>00:04:38.8 (173)</v>
      </c>
      <c r="Y108" s="53" t="str">
        <f t="shared" si="151"/>
        <v>00:02:55.0 (207)</v>
      </c>
      <c r="Z108" s="53" t="str">
        <f t="shared" si="152"/>
        <v>DNS/DNF ()</v>
      </c>
      <c r="AA108" s="53" t="str">
        <f t="shared" si="153"/>
        <v>00:05:59.4 (144)</v>
      </c>
      <c r="AB108" s="53" t="str">
        <f t="shared" si="154"/>
        <v>DNS/DNF ()</v>
      </c>
      <c r="AC108" s="53" t="str">
        <f t="shared" si="155"/>
        <v>DNS/DNF ()</v>
      </c>
      <c r="AD108" s="53" t="str">
        <f t="shared" si="156"/>
        <v>DNS/DNF ()</v>
      </c>
      <c r="AE108" s="53">
        <v>0</v>
      </c>
      <c r="AF108" s="53">
        <v>0</v>
      </c>
      <c r="AG108" s="53">
        <v>34683169</v>
      </c>
      <c r="AH108" s="53">
        <v>34961969</v>
      </c>
      <c r="AI108" s="53">
        <v>38139739</v>
      </c>
      <c r="AJ108" s="53">
        <v>38314711</v>
      </c>
      <c r="AK108" s="53">
        <v>0</v>
      </c>
      <c r="AL108" s="53">
        <v>0</v>
      </c>
      <c r="AM108" s="53">
        <v>42951320</v>
      </c>
      <c r="AN108" s="53">
        <v>43310742</v>
      </c>
      <c r="AO108" s="53">
        <v>0</v>
      </c>
      <c r="AP108" s="53">
        <v>0</v>
      </c>
      <c r="AQ108" s="53">
        <v>0</v>
      </c>
      <c r="AR108" s="53">
        <v>0</v>
      </c>
      <c r="AS108" s="53">
        <v>0</v>
      </c>
      <c r="AT108" s="53">
        <v>0</v>
      </c>
      <c r="AU108" s="62" t="str">
        <f t="shared" si="157"/>
        <v>DNS/DNF</v>
      </c>
      <c r="AV108" s="62">
        <f t="shared" si="158"/>
        <v>3.2268518518518518E-3</v>
      </c>
      <c r="AW108" s="62">
        <f t="shared" si="159"/>
        <v>2.0251388888888888E-3</v>
      </c>
      <c r="AX108" s="62" t="str">
        <f t="shared" si="160"/>
        <v>DNS/DNF</v>
      </c>
      <c r="AY108" s="62">
        <f t="shared" si="161"/>
        <v>4.1599768518518522E-3</v>
      </c>
      <c r="AZ108" s="62" t="str">
        <f t="shared" si="162"/>
        <v>DNS/DNF</v>
      </c>
      <c r="BA108" s="62" t="str">
        <f t="shared" si="163"/>
        <v>DNS/DNF</v>
      </c>
      <c r="BB108" s="62" t="str">
        <f t="shared" si="164"/>
        <v>DNS/DNF</v>
      </c>
      <c r="BC108" s="75">
        <f t="shared" si="165"/>
        <v>175</v>
      </c>
      <c r="BD108" s="53" t="str">
        <f t="shared" si="166"/>
        <v/>
      </c>
      <c r="BE108" s="53">
        <f t="shared" si="167"/>
        <v>279753</v>
      </c>
      <c r="BF108" s="53">
        <f t="shared" si="168"/>
        <v>162017</v>
      </c>
      <c r="BG108" s="53" t="str">
        <f t="shared" si="169"/>
        <v/>
      </c>
      <c r="BH108" s="53">
        <f t="shared" si="170"/>
        <v>371891.00000000006</v>
      </c>
      <c r="BI108" s="53" t="str">
        <f t="shared" si="171"/>
        <v/>
      </c>
      <c r="BJ108" s="53" t="str">
        <f t="shared" si="172"/>
        <v/>
      </c>
      <c r="BK108" s="53" t="str">
        <f t="shared" si="173"/>
        <v/>
      </c>
    </row>
    <row r="109" spans="1:63">
      <c r="A109" s="53">
        <v>287</v>
      </c>
      <c r="B109" s="89" t="str">
        <f>IFERROR(VLOOKUP($A109,EntryList!$A$3:$N$645,2,FALSE),"")</f>
        <v>Dewald Oosthuizen</v>
      </c>
      <c r="C109" s="74"/>
      <c r="D109" s="53">
        <f t="shared" si="140"/>
        <v>5</v>
      </c>
      <c r="E109" s="62">
        <v>2.819212962962963E-3</v>
      </c>
      <c r="F109" s="62">
        <v>2.8111458333333335E-3</v>
      </c>
      <c r="G109" s="62">
        <v>1.6066203703703705E-3</v>
      </c>
      <c r="H109" s="62">
        <v>3.1343287037037038E-3</v>
      </c>
      <c r="I109" s="62">
        <v>3.8193402777777778E-3</v>
      </c>
      <c r="J109" s="62"/>
      <c r="K109" s="62"/>
      <c r="L109" s="62"/>
      <c r="M109" s="62">
        <v>1.4190648148148148E-2</v>
      </c>
      <c r="N109" s="62">
        <f t="shared" si="141"/>
        <v>1.4190648148148148E-2</v>
      </c>
      <c r="O109" s="53">
        <f t="shared" si="142"/>
        <v>63</v>
      </c>
      <c r="P109" s="53">
        <f t="shared" si="143"/>
        <v>72</v>
      </c>
      <c r="Q109" s="53">
        <f t="shared" si="144"/>
        <v>77</v>
      </c>
      <c r="R109" s="53">
        <f t="shared" si="145"/>
        <v>65</v>
      </c>
      <c r="S109" s="53">
        <f t="shared" si="146"/>
        <v>69</v>
      </c>
      <c r="T109" s="53" t="str">
        <f t="shared" si="147"/>
        <v/>
      </c>
      <c r="U109" s="53" t="str">
        <f t="shared" si="148"/>
        <v/>
      </c>
      <c r="V109" s="53" t="str">
        <f t="shared" si="149"/>
        <v/>
      </c>
      <c r="W109" s="53" t="str">
        <f t="shared" si="174"/>
        <v>00:04:03.6 (63)</v>
      </c>
      <c r="X109" s="53" t="str">
        <f t="shared" si="150"/>
        <v>00:04:02.9 (72)</v>
      </c>
      <c r="Y109" s="53" t="str">
        <f t="shared" si="151"/>
        <v>00:02:18.8 (77)</v>
      </c>
      <c r="Z109" s="53" t="str">
        <f t="shared" si="152"/>
        <v>00:04:30.8 (65)</v>
      </c>
      <c r="AA109" s="53" t="str">
        <f t="shared" si="153"/>
        <v>00:05:30.0 (69)</v>
      </c>
      <c r="AB109" s="53" t="str">
        <f t="shared" si="154"/>
        <v>DNS/DNF ()</v>
      </c>
      <c r="AC109" s="53" t="str">
        <f t="shared" si="155"/>
        <v>DNS/DNF ()</v>
      </c>
      <c r="AD109" s="53" t="str">
        <f t="shared" si="156"/>
        <v>DNS/DNF ()</v>
      </c>
      <c r="AE109" s="53">
        <v>31068801</v>
      </c>
      <c r="AF109" s="53">
        <v>31312381</v>
      </c>
      <c r="AG109" s="53">
        <v>35059130</v>
      </c>
      <c r="AH109" s="53">
        <v>35302013</v>
      </c>
      <c r="AI109" s="53">
        <v>37630543</v>
      </c>
      <c r="AJ109" s="53">
        <v>37769355</v>
      </c>
      <c r="AK109" s="53">
        <v>41803952</v>
      </c>
      <c r="AL109" s="53">
        <v>42074758</v>
      </c>
      <c r="AM109" s="53">
        <v>44008500</v>
      </c>
      <c r="AN109" s="53">
        <v>44338491</v>
      </c>
      <c r="AO109" s="53">
        <v>0</v>
      </c>
      <c r="AP109" s="53">
        <v>0</v>
      </c>
      <c r="AQ109" s="53">
        <v>0</v>
      </c>
      <c r="AR109" s="53">
        <v>0</v>
      </c>
      <c r="AS109" s="53">
        <v>0</v>
      </c>
      <c r="AT109" s="53">
        <v>0</v>
      </c>
      <c r="AU109" s="62">
        <f t="shared" si="157"/>
        <v>2.819212962962963E-3</v>
      </c>
      <c r="AV109" s="62">
        <f t="shared" si="158"/>
        <v>2.8111458333333335E-3</v>
      </c>
      <c r="AW109" s="62">
        <f t="shared" si="159"/>
        <v>1.6066203703703705E-3</v>
      </c>
      <c r="AX109" s="62">
        <f t="shared" si="160"/>
        <v>3.1343287037037038E-3</v>
      </c>
      <c r="AY109" s="62">
        <f t="shared" si="161"/>
        <v>3.8193402777777778E-3</v>
      </c>
      <c r="AZ109" s="62" t="str">
        <f t="shared" si="162"/>
        <v>DNS/DNF</v>
      </c>
      <c r="BA109" s="62" t="str">
        <f t="shared" si="163"/>
        <v>DNS/DNF</v>
      </c>
      <c r="BB109" s="62" t="str">
        <f t="shared" si="164"/>
        <v>DNS/DNF</v>
      </c>
      <c r="BC109" s="75">
        <f t="shared" si="165"/>
        <v>69</v>
      </c>
      <c r="BD109" s="53">
        <f t="shared" si="166"/>
        <v>249133</v>
      </c>
      <c r="BE109" s="53">
        <f t="shared" si="167"/>
        <v>241733</v>
      </c>
      <c r="BF109" s="53">
        <f t="shared" si="168"/>
        <v>135884</v>
      </c>
      <c r="BG109" s="53">
        <f t="shared" si="169"/>
        <v>273902</v>
      </c>
      <c r="BH109" s="53">
        <f t="shared" si="170"/>
        <v>329991</v>
      </c>
      <c r="BI109" s="53" t="str">
        <f t="shared" si="171"/>
        <v/>
      </c>
      <c r="BJ109" s="53" t="str">
        <f t="shared" si="172"/>
        <v/>
      </c>
      <c r="BK109" s="53" t="str">
        <f t="shared" si="173"/>
        <v/>
      </c>
    </row>
    <row r="110" spans="1:63">
      <c r="A110" s="53">
        <v>287</v>
      </c>
      <c r="B110" s="89" t="str">
        <f>IFERROR(VLOOKUP($A110,EntryList!$A$3:$N$645,2,FALSE),"")</f>
        <v>Dewald Oosthuizen</v>
      </c>
      <c r="C110" s="74"/>
      <c r="D110" s="53">
        <f t="shared" si="140"/>
        <v>5</v>
      </c>
      <c r="E110" s="62">
        <v>2.819212962962963E-3</v>
      </c>
      <c r="F110" s="62">
        <v>2.8111458333333335E-3</v>
      </c>
      <c r="G110" s="62">
        <v>1.6066203703703705E-3</v>
      </c>
      <c r="H110" s="62">
        <v>3.1343287037037038E-3</v>
      </c>
      <c r="I110" s="62">
        <v>3.8193402777777778E-3</v>
      </c>
      <c r="J110" s="62"/>
      <c r="K110" s="62"/>
      <c r="L110" s="62"/>
      <c r="M110" s="62">
        <v>1.4190648148148148E-2</v>
      </c>
      <c r="N110" s="62">
        <f t="shared" si="141"/>
        <v>1.4190648148148148E-2</v>
      </c>
      <c r="O110" s="53">
        <f t="shared" si="142"/>
        <v>63</v>
      </c>
      <c r="P110" s="53">
        <f t="shared" si="143"/>
        <v>72</v>
      </c>
      <c r="Q110" s="53">
        <f t="shared" si="144"/>
        <v>77</v>
      </c>
      <c r="R110" s="53">
        <f t="shared" si="145"/>
        <v>65</v>
      </c>
      <c r="S110" s="53">
        <f t="shared" si="146"/>
        <v>69</v>
      </c>
      <c r="T110" s="53" t="str">
        <f t="shared" si="147"/>
        <v/>
      </c>
      <c r="U110" s="53" t="str">
        <f t="shared" si="148"/>
        <v/>
      </c>
      <c r="V110" s="53" t="str">
        <f t="shared" si="149"/>
        <v/>
      </c>
      <c r="W110" s="53" t="str">
        <f t="shared" si="174"/>
        <v>00:04:03.6 (63)</v>
      </c>
      <c r="X110" s="53" t="str">
        <f t="shared" si="150"/>
        <v>00:04:02.9 (72)</v>
      </c>
      <c r="Y110" s="53" t="str">
        <f t="shared" si="151"/>
        <v>00:02:18.8 (77)</v>
      </c>
      <c r="Z110" s="53" t="str">
        <f t="shared" si="152"/>
        <v>00:04:30.8 (65)</v>
      </c>
      <c r="AA110" s="53" t="str">
        <f t="shared" si="153"/>
        <v>00:05:30.0 (69)</v>
      </c>
      <c r="AB110" s="53" t="str">
        <f t="shared" si="154"/>
        <v>DNS/DNF ()</v>
      </c>
      <c r="AC110" s="53" t="str">
        <f t="shared" si="155"/>
        <v>DNS/DNF ()</v>
      </c>
      <c r="AD110" s="53" t="str">
        <f t="shared" si="156"/>
        <v>DNS/DNF ()</v>
      </c>
      <c r="AE110" s="53">
        <v>31068801</v>
      </c>
      <c r="AF110" s="53">
        <v>31312381</v>
      </c>
      <c r="AG110" s="53">
        <v>35059130</v>
      </c>
      <c r="AH110" s="53">
        <v>35302013</v>
      </c>
      <c r="AI110" s="53">
        <v>37630543</v>
      </c>
      <c r="AJ110" s="53">
        <v>37769355</v>
      </c>
      <c r="AK110" s="53">
        <v>41803952</v>
      </c>
      <c r="AL110" s="53">
        <v>42074758</v>
      </c>
      <c r="AM110" s="53">
        <v>44008500</v>
      </c>
      <c r="AN110" s="53">
        <v>44338491</v>
      </c>
      <c r="AO110" s="53">
        <v>0</v>
      </c>
      <c r="AP110" s="53">
        <v>0</v>
      </c>
      <c r="AQ110" s="53">
        <v>0</v>
      </c>
      <c r="AR110" s="53">
        <v>0</v>
      </c>
      <c r="AS110" s="53">
        <v>0</v>
      </c>
      <c r="AT110" s="53">
        <v>0</v>
      </c>
      <c r="AU110" s="62">
        <f t="shared" si="157"/>
        <v>2.819212962962963E-3</v>
      </c>
      <c r="AV110" s="62">
        <f t="shared" si="158"/>
        <v>2.8111458333333335E-3</v>
      </c>
      <c r="AW110" s="62">
        <f t="shared" si="159"/>
        <v>1.6066203703703705E-3</v>
      </c>
      <c r="AX110" s="62">
        <f t="shared" si="160"/>
        <v>3.1343287037037038E-3</v>
      </c>
      <c r="AY110" s="62">
        <f t="shared" si="161"/>
        <v>3.8193402777777778E-3</v>
      </c>
      <c r="AZ110" s="62" t="str">
        <f t="shared" si="162"/>
        <v>DNS/DNF</v>
      </c>
      <c r="BA110" s="62" t="str">
        <f t="shared" si="163"/>
        <v>DNS/DNF</v>
      </c>
      <c r="BB110" s="62" t="str">
        <f t="shared" si="164"/>
        <v>DNS/DNF</v>
      </c>
      <c r="BC110" s="75">
        <f t="shared" si="165"/>
        <v>69</v>
      </c>
      <c r="BD110" s="53">
        <f t="shared" si="166"/>
        <v>249133</v>
      </c>
      <c r="BE110" s="53">
        <f t="shared" si="167"/>
        <v>241733</v>
      </c>
      <c r="BF110" s="53">
        <f t="shared" si="168"/>
        <v>135884</v>
      </c>
      <c r="BG110" s="53">
        <f t="shared" si="169"/>
        <v>273902</v>
      </c>
      <c r="BH110" s="53">
        <f t="shared" si="170"/>
        <v>329991</v>
      </c>
      <c r="BI110" s="53" t="str">
        <f t="shared" si="171"/>
        <v/>
      </c>
      <c r="BJ110" s="53" t="str">
        <f t="shared" si="172"/>
        <v/>
      </c>
      <c r="BK110" s="53" t="str">
        <f t="shared" si="173"/>
        <v/>
      </c>
    </row>
    <row r="111" spans="1:63">
      <c r="A111" s="53">
        <v>120</v>
      </c>
      <c r="B111" s="89" t="str">
        <f>IFERROR(VLOOKUP($A111,EntryList!$A$3:$N$645,2,FALSE),"")</f>
        <v>Gregg Blomeyer</v>
      </c>
      <c r="C111" s="74"/>
      <c r="D111" s="53">
        <f t="shared" si="140"/>
        <v>3</v>
      </c>
      <c r="E111" s="62"/>
      <c r="F111" s="62">
        <v>3.421412037037037E-3</v>
      </c>
      <c r="G111" s="62">
        <v>2.0737731481481479E-3</v>
      </c>
      <c r="H111" s="62"/>
      <c r="I111" s="62">
        <v>4.8692013888888891E-3</v>
      </c>
      <c r="J111" s="62"/>
      <c r="K111" s="62"/>
      <c r="L111" s="62"/>
      <c r="M111" s="62">
        <v>1.0364386574074074E-2</v>
      </c>
      <c r="N111" s="62">
        <f t="shared" si="141"/>
        <v>1.0364386574074073E-2</v>
      </c>
      <c r="O111" s="53" t="str">
        <f t="shared" si="142"/>
        <v/>
      </c>
      <c r="P111" s="53">
        <f t="shared" si="143"/>
        <v>206</v>
      </c>
      <c r="Q111" s="53">
        <f t="shared" si="144"/>
        <v>215</v>
      </c>
      <c r="R111" s="53" t="str">
        <f t="shared" si="145"/>
        <v/>
      </c>
      <c r="S111" s="53">
        <f t="shared" si="146"/>
        <v>225</v>
      </c>
      <c r="T111" s="53" t="str">
        <f t="shared" si="147"/>
        <v/>
      </c>
      <c r="U111" s="53" t="str">
        <f t="shared" si="148"/>
        <v/>
      </c>
      <c r="V111" s="53" t="str">
        <f t="shared" si="149"/>
        <v/>
      </c>
      <c r="W111" s="53" t="str">
        <f t="shared" si="174"/>
        <v>DNS/DNF ()</v>
      </c>
      <c r="X111" s="53" t="str">
        <f t="shared" si="150"/>
        <v>00:04:55.6 (206)</v>
      </c>
      <c r="Y111" s="53" t="str">
        <f t="shared" si="151"/>
        <v>00:02:59.2 (215)</v>
      </c>
      <c r="Z111" s="53" t="str">
        <f t="shared" si="152"/>
        <v>DNS/DNF ()</v>
      </c>
      <c r="AA111" s="53" t="str">
        <f t="shared" si="153"/>
        <v>00:07:00.7 (225)</v>
      </c>
      <c r="AB111" s="53" t="str">
        <f t="shared" si="154"/>
        <v>DNS/DNF ()</v>
      </c>
      <c r="AC111" s="53" t="str">
        <f t="shared" si="155"/>
        <v>DNS/DNF ()</v>
      </c>
      <c r="AD111" s="53" t="str">
        <f t="shared" si="156"/>
        <v>DNS/DNF ()</v>
      </c>
      <c r="AE111" s="53">
        <v>0</v>
      </c>
      <c r="AF111" s="53">
        <v>0</v>
      </c>
      <c r="AG111" s="53">
        <v>38016533</v>
      </c>
      <c r="AH111" s="53">
        <v>38312143</v>
      </c>
      <c r="AI111" s="53">
        <v>32964876</v>
      </c>
      <c r="AJ111" s="53">
        <v>33144050</v>
      </c>
      <c r="AK111" s="53">
        <v>0</v>
      </c>
      <c r="AL111" s="53">
        <v>0</v>
      </c>
      <c r="AM111" s="53">
        <v>44047976</v>
      </c>
      <c r="AN111" s="53">
        <v>44468675</v>
      </c>
      <c r="AO111" s="53">
        <v>0</v>
      </c>
      <c r="AP111" s="53">
        <v>0</v>
      </c>
      <c r="AQ111" s="53">
        <v>0</v>
      </c>
      <c r="AR111" s="53">
        <v>0</v>
      </c>
      <c r="AS111" s="53">
        <v>0</v>
      </c>
      <c r="AT111" s="53">
        <v>0</v>
      </c>
      <c r="AU111" s="62" t="str">
        <f t="shared" si="157"/>
        <v>DNS/DNF</v>
      </c>
      <c r="AV111" s="62">
        <f t="shared" si="158"/>
        <v>3.421412037037037E-3</v>
      </c>
      <c r="AW111" s="62">
        <f t="shared" si="159"/>
        <v>2.0737731481481479E-3</v>
      </c>
      <c r="AX111" s="62" t="str">
        <f t="shared" si="160"/>
        <v>DNS/DNF</v>
      </c>
      <c r="AY111" s="62">
        <f t="shared" si="161"/>
        <v>4.8692013888888891E-3</v>
      </c>
      <c r="AZ111" s="62" t="str">
        <f t="shared" si="162"/>
        <v>DNS/DNF</v>
      </c>
      <c r="BA111" s="62" t="str">
        <f t="shared" si="163"/>
        <v>DNS/DNF</v>
      </c>
      <c r="BB111" s="62" t="str">
        <f t="shared" si="164"/>
        <v>DNS/DNF</v>
      </c>
      <c r="BC111" s="75">
        <f t="shared" si="165"/>
        <v>215</v>
      </c>
      <c r="BD111" s="53" t="str">
        <f t="shared" si="166"/>
        <v/>
      </c>
      <c r="BE111" s="53">
        <f t="shared" si="167"/>
        <v>303186</v>
      </c>
      <c r="BF111" s="53">
        <f t="shared" si="168"/>
        <v>179173.99999999997</v>
      </c>
      <c r="BG111" s="53" t="str">
        <f t="shared" si="169"/>
        <v/>
      </c>
      <c r="BH111" s="53">
        <f t="shared" si="170"/>
        <v>404573.99999999994</v>
      </c>
      <c r="BI111" s="53" t="str">
        <f t="shared" si="171"/>
        <v/>
      </c>
      <c r="BJ111" s="53" t="str">
        <f t="shared" si="172"/>
        <v/>
      </c>
      <c r="BK111" s="53" t="str">
        <f t="shared" si="173"/>
        <v/>
      </c>
    </row>
    <row r="112" spans="1:63">
      <c r="A112" s="53">
        <v>224</v>
      </c>
      <c r="B112" s="89" t="str">
        <f>IFERROR(VLOOKUP($A112,EntryList!$A$3:$N$645,2,FALSE),"")</f>
        <v>Dj Oosthuizen</v>
      </c>
      <c r="C112" s="74"/>
      <c r="D112" s="53">
        <f t="shared" si="140"/>
        <v>3</v>
      </c>
      <c r="E112" s="62"/>
      <c r="F112" s="62">
        <v>3.4275810185185186E-3</v>
      </c>
      <c r="G112" s="62">
        <v>2.0822222222222223E-3</v>
      </c>
      <c r="H112" s="62"/>
      <c r="I112" s="62">
        <v>4.9735648148148152E-3</v>
      </c>
      <c r="J112" s="62"/>
      <c r="K112" s="62"/>
      <c r="L112" s="62"/>
      <c r="M112" s="62">
        <v>1.0483368055555555E-2</v>
      </c>
      <c r="N112" s="62">
        <f t="shared" si="141"/>
        <v>1.0483368055555557E-2</v>
      </c>
      <c r="O112" s="53" t="str">
        <f t="shared" si="142"/>
        <v/>
      </c>
      <c r="P112" s="53">
        <f t="shared" si="143"/>
        <v>207</v>
      </c>
      <c r="Q112" s="53">
        <f t="shared" si="144"/>
        <v>217</v>
      </c>
      <c r="R112" s="53" t="str">
        <f t="shared" si="145"/>
        <v/>
      </c>
      <c r="S112" s="53">
        <f t="shared" si="146"/>
        <v>230</v>
      </c>
      <c r="T112" s="53" t="str">
        <f t="shared" si="147"/>
        <v/>
      </c>
      <c r="U112" s="53" t="str">
        <f t="shared" si="148"/>
        <v/>
      </c>
      <c r="V112" s="53" t="str">
        <f t="shared" si="149"/>
        <v/>
      </c>
      <c r="W112" s="53" t="str">
        <f t="shared" si="174"/>
        <v>DNS/DNF ()</v>
      </c>
      <c r="X112" s="53" t="str">
        <f t="shared" si="150"/>
        <v>00:04:56.1 (207)</v>
      </c>
      <c r="Y112" s="53" t="str">
        <f t="shared" si="151"/>
        <v>00:02:59.9 (217)</v>
      </c>
      <c r="Z112" s="53" t="str">
        <f t="shared" si="152"/>
        <v>DNS/DNF ()</v>
      </c>
      <c r="AA112" s="53" t="str">
        <f t="shared" si="153"/>
        <v>00:07:09.7 (230)</v>
      </c>
      <c r="AB112" s="53" t="str">
        <f t="shared" si="154"/>
        <v>DNS/DNF ()</v>
      </c>
      <c r="AC112" s="53" t="str">
        <f t="shared" si="155"/>
        <v>DNS/DNF ()</v>
      </c>
      <c r="AD112" s="53" t="str">
        <f t="shared" si="156"/>
        <v>DNS/DNF ()</v>
      </c>
      <c r="AE112" s="53">
        <v>0</v>
      </c>
      <c r="AF112" s="53">
        <v>0</v>
      </c>
      <c r="AG112" s="53">
        <v>38007440</v>
      </c>
      <c r="AH112" s="53">
        <v>38303583</v>
      </c>
      <c r="AI112" s="53">
        <v>32967861</v>
      </c>
      <c r="AJ112" s="53">
        <v>33147765</v>
      </c>
      <c r="AK112" s="53">
        <v>0</v>
      </c>
      <c r="AL112" s="53">
        <v>0</v>
      </c>
      <c r="AM112" s="53">
        <v>44042096</v>
      </c>
      <c r="AN112" s="53">
        <v>44471812</v>
      </c>
      <c r="AO112" s="53">
        <v>0</v>
      </c>
      <c r="AP112" s="53">
        <v>0</v>
      </c>
      <c r="AQ112" s="53">
        <v>0</v>
      </c>
      <c r="AR112" s="53">
        <v>0</v>
      </c>
      <c r="AS112" s="53">
        <v>0</v>
      </c>
      <c r="AT112" s="53">
        <v>0</v>
      </c>
      <c r="AU112" s="62" t="str">
        <f t="shared" si="157"/>
        <v>DNS/DNF</v>
      </c>
      <c r="AV112" s="62">
        <f t="shared" si="158"/>
        <v>3.4275810185185186E-3</v>
      </c>
      <c r="AW112" s="62">
        <f t="shared" si="159"/>
        <v>2.0822222222222223E-3</v>
      </c>
      <c r="AX112" s="62" t="str">
        <f t="shared" si="160"/>
        <v>DNS/DNF</v>
      </c>
      <c r="AY112" s="62">
        <f t="shared" si="161"/>
        <v>4.9735648148148152E-3</v>
      </c>
      <c r="AZ112" s="62" t="str">
        <f t="shared" si="162"/>
        <v>DNS/DNF</v>
      </c>
      <c r="BA112" s="62" t="str">
        <f t="shared" si="163"/>
        <v>DNS/DNF</v>
      </c>
      <c r="BB112" s="62" t="str">
        <f t="shared" si="164"/>
        <v>DNS/DNF</v>
      </c>
      <c r="BC112" s="75">
        <f t="shared" si="165"/>
        <v>218</v>
      </c>
      <c r="BD112" s="53" t="str">
        <f t="shared" si="166"/>
        <v/>
      </c>
      <c r="BE112" s="53">
        <f t="shared" si="167"/>
        <v>307489</v>
      </c>
      <c r="BF112" s="53">
        <f t="shared" si="168"/>
        <v>180738</v>
      </c>
      <c r="BG112" s="53" t="str">
        <f t="shared" si="169"/>
        <v/>
      </c>
      <c r="BH112" s="53">
        <f t="shared" si="170"/>
        <v>408123</v>
      </c>
      <c r="BI112" s="53" t="str">
        <f t="shared" si="171"/>
        <v/>
      </c>
      <c r="BJ112" s="53" t="str">
        <f t="shared" si="172"/>
        <v/>
      </c>
      <c r="BK112" s="53" t="str">
        <f t="shared" si="173"/>
        <v/>
      </c>
    </row>
    <row r="113" spans="1:63">
      <c r="A113" s="53">
        <v>236</v>
      </c>
      <c r="B113" s="89" t="str">
        <f>IFERROR(VLOOKUP($A113,EntryList!$A$3:$N$645,2,FALSE),"")</f>
        <v>Marc Carr</v>
      </c>
      <c r="C113" s="74"/>
      <c r="D113" s="53">
        <f t="shared" si="140"/>
        <v>5</v>
      </c>
      <c r="E113" s="62">
        <v>2.8999884259259257E-3</v>
      </c>
      <c r="F113" s="62">
        <v>2.7960879629629633E-3</v>
      </c>
      <c r="G113" s="62">
        <v>1.5697106481481482E-3</v>
      </c>
      <c r="H113" s="62">
        <v>3.1271180555555553E-3</v>
      </c>
      <c r="I113" s="62">
        <v>3.8544212962962968E-3</v>
      </c>
      <c r="J113" s="62"/>
      <c r="K113" s="62"/>
      <c r="L113" s="62"/>
      <c r="M113" s="62">
        <v>1.4247326388888889E-2</v>
      </c>
      <c r="N113" s="62">
        <f t="shared" si="141"/>
        <v>1.4247326388888891E-2</v>
      </c>
      <c r="O113" s="53">
        <f t="shared" si="142"/>
        <v>71</v>
      </c>
      <c r="P113" s="53">
        <f t="shared" si="143"/>
        <v>66</v>
      </c>
      <c r="Q113" s="53">
        <f t="shared" si="144"/>
        <v>65</v>
      </c>
      <c r="R113" s="53">
        <f t="shared" si="145"/>
        <v>62</v>
      </c>
      <c r="S113" s="53">
        <f t="shared" si="146"/>
        <v>76</v>
      </c>
      <c r="T113" s="53" t="str">
        <f t="shared" si="147"/>
        <v/>
      </c>
      <c r="U113" s="53" t="str">
        <f t="shared" si="148"/>
        <v/>
      </c>
      <c r="V113" s="53" t="str">
        <f t="shared" si="149"/>
        <v/>
      </c>
      <c r="W113" s="53" t="str">
        <f t="shared" si="174"/>
        <v>00:04:10.6 (71)</v>
      </c>
      <c r="X113" s="53" t="str">
        <f t="shared" si="150"/>
        <v>00:04:01.6 (66)</v>
      </c>
      <c r="Y113" s="53" t="str">
        <f t="shared" si="151"/>
        <v>00:02:15.6 (65)</v>
      </c>
      <c r="Z113" s="53" t="str">
        <f t="shared" si="152"/>
        <v>00:04:30.2 (62)</v>
      </c>
      <c r="AA113" s="53" t="str">
        <f t="shared" si="153"/>
        <v>00:05:33.0 (76)</v>
      </c>
      <c r="AB113" s="53" t="str">
        <f t="shared" si="154"/>
        <v>DNS/DNF ()</v>
      </c>
      <c r="AC113" s="53" t="str">
        <f t="shared" si="155"/>
        <v>DNS/DNF ()</v>
      </c>
      <c r="AD113" s="53" t="str">
        <f t="shared" si="156"/>
        <v>DNS/DNF ()</v>
      </c>
      <c r="AE113" s="53">
        <v>31075046</v>
      </c>
      <c r="AF113" s="53">
        <v>31325605</v>
      </c>
      <c r="AG113" s="53">
        <v>35063792</v>
      </c>
      <c r="AH113" s="53">
        <v>35305374</v>
      </c>
      <c r="AI113" s="53">
        <v>37618262</v>
      </c>
      <c r="AJ113" s="53">
        <v>37753885</v>
      </c>
      <c r="AK113" s="53">
        <v>41797526</v>
      </c>
      <c r="AL113" s="53">
        <v>42067709</v>
      </c>
      <c r="AM113" s="53">
        <v>44003508</v>
      </c>
      <c r="AN113" s="53">
        <v>44336530</v>
      </c>
      <c r="AO113" s="53">
        <v>0</v>
      </c>
      <c r="AP113" s="53">
        <v>0</v>
      </c>
      <c r="AQ113" s="53">
        <v>0</v>
      </c>
      <c r="AR113" s="53">
        <v>0</v>
      </c>
      <c r="AS113" s="53">
        <v>0</v>
      </c>
      <c r="AT113" s="53">
        <v>0</v>
      </c>
      <c r="AU113" s="62">
        <f t="shared" si="157"/>
        <v>2.8999884259259261E-3</v>
      </c>
      <c r="AV113" s="62">
        <f t="shared" si="158"/>
        <v>2.7960879629629629E-3</v>
      </c>
      <c r="AW113" s="62">
        <f t="shared" si="159"/>
        <v>1.5697106481481482E-3</v>
      </c>
      <c r="AX113" s="62">
        <f t="shared" si="160"/>
        <v>3.1271180555555557E-3</v>
      </c>
      <c r="AY113" s="62">
        <f t="shared" si="161"/>
        <v>3.8544212962962963E-3</v>
      </c>
      <c r="AZ113" s="62" t="str">
        <f t="shared" si="162"/>
        <v>DNS/DNF</v>
      </c>
      <c r="BA113" s="62" t="str">
        <f t="shared" si="163"/>
        <v>DNS/DNF</v>
      </c>
      <c r="BB113" s="62" t="str">
        <f t="shared" si="164"/>
        <v>DNS/DNF</v>
      </c>
      <c r="BC113" s="75">
        <f t="shared" si="165"/>
        <v>68</v>
      </c>
      <c r="BD113" s="53">
        <f t="shared" si="166"/>
        <v>246067</v>
      </c>
      <c r="BE113" s="53">
        <f t="shared" si="167"/>
        <v>241660.00000000003</v>
      </c>
      <c r="BF113" s="53">
        <f t="shared" si="168"/>
        <v>135848</v>
      </c>
      <c r="BG113" s="53">
        <f t="shared" si="169"/>
        <v>272370</v>
      </c>
      <c r="BH113" s="53">
        <f t="shared" si="170"/>
        <v>329294</v>
      </c>
      <c r="BI113" s="53" t="str">
        <f t="shared" si="171"/>
        <v/>
      </c>
      <c r="BJ113" s="53" t="str">
        <f t="shared" si="172"/>
        <v/>
      </c>
      <c r="BK113" s="53" t="str">
        <f t="shared" si="173"/>
        <v/>
      </c>
    </row>
    <row r="114" spans="1:63">
      <c r="A114" s="53">
        <v>236</v>
      </c>
      <c r="B114" s="89" t="str">
        <f>IFERROR(VLOOKUP($A114,EntryList!$A$3:$N$645,2,FALSE),"")</f>
        <v>Marc Carr</v>
      </c>
      <c r="C114" s="74"/>
      <c r="D114" s="53">
        <f t="shared" si="140"/>
        <v>5</v>
      </c>
      <c r="E114" s="62">
        <v>2.8999884259259257E-3</v>
      </c>
      <c r="F114" s="62">
        <v>2.7960879629629633E-3</v>
      </c>
      <c r="G114" s="62">
        <v>1.5697106481481482E-3</v>
      </c>
      <c r="H114" s="62">
        <v>3.1271180555555553E-3</v>
      </c>
      <c r="I114" s="62">
        <v>3.8544212962962968E-3</v>
      </c>
      <c r="J114" s="62"/>
      <c r="K114" s="62"/>
      <c r="L114" s="62"/>
      <c r="M114" s="62">
        <v>1.4247326388888889E-2</v>
      </c>
      <c r="N114" s="62">
        <f t="shared" si="141"/>
        <v>1.4247326388888891E-2</v>
      </c>
      <c r="O114" s="53">
        <f t="shared" si="142"/>
        <v>71</v>
      </c>
      <c r="P114" s="53">
        <f t="shared" si="143"/>
        <v>66</v>
      </c>
      <c r="Q114" s="53">
        <f t="shared" si="144"/>
        <v>65</v>
      </c>
      <c r="R114" s="53">
        <f t="shared" si="145"/>
        <v>62</v>
      </c>
      <c r="S114" s="53">
        <f t="shared" si="146"/>
        <v>76</v>
      </c>
      <c r="T114" s="53" t="str">
        <f t="shared" si="147"/>
        <v/>
      </c>
      <c r="U114" s="53" t="str">
        <f t="shared" si="148"/>
        <v/>
      </c>
      <c r="V114" s="53" t="str">
        <f t="shared" si="149"/>
        <v/>
      </c>
      <c r="W114" s="53" t="str">
        <f t="shared" si="174"/>
        <v>00:04:10.6 (71)</v>
      </c>
      <c r="X114" s="53" t="str">
        <f t="shared" si="150"/>
        <v>00:04:01.6 (66)</v>
      </c>
      <c r="Y114" s="53" t="str">
        <f t="shared" si="151"/>
        <v>00:02:15.6 (65)</v>
      </c>
      <c r="Z114" s="53" t="str">
        <f t="shared" si="152"/>
        <v>00:04:30.2 (62)</v>
      </c>
      <c r="AA114" s="53" t="str">
        <f t="shared" si="153"/>
        <v>00:05:33.0 (76)</v>
      </c>
      <c r="AB114" s="53" t="str">
        <f t="shared" si="154"/>
        <v>DNS/DNF ()</v>
      </c>
      <c r="AC114" s="53" t="str">
        <f t="shared" si="155"/>
        <v>DNS/DNF ()</v>
      </c>
      <c r="AD114" s="53" t="str">
        <f t="shared" si="156"/>
        <v>DNS/DNF ()</v>
      </c>
      <c r="AE114" s="53">
        <v>31075046</v>
      </c>
      <c r="AF114" s="53">
        <v>31325605</v>
      </c>
      <c r="AG114" s="53">
        <v>35063792</v>
      </c>
      <c r="AH114" s="53">
        <v>35305374</v>
      </c>
      <c r="AI114" s="53">
        <v>37618262</v>
      </c>
      <c r="AJ114" s="53">
        <v>37753885</v>
      </c>
      <c r="AK114" s="53">
        <v>41797526</v>
      </c>
      <c r="AL114" s="53">
        <v>42067709</v>
      </c>
      <c r="AM114" s="53">
        <v>44003508</v>
      </c>
      <c r="AN114" s="53">
        <v>44336530</v>
      </c>
      <c r="AO114" s="53">
        <v>0</v>
      </c>
      <c r="AP114" s="53">
        <v>0</v>
      </c>
      <c r="AQ114" s="53">
        <v>0</v>
      </c>
      <c r="AR114" s="53">
        <v>0</v>
      </c>
      <c r="AS114" s="53">
        <v>0</v>
      </c>
      <c r="AT114" s="53">
        <v>0</v>
      </c>
      <c r="AU114" s="62">
        <f t="shared" si="157"/>
        <v>2.8999884259259261E-3</v>
      </c>
      <c r="AV114" s="62">
        <f t="shared" si="158"/>
        <v>2.7960879629629629E-3</v>
      </c>
      <c r="AW114" s="62">
        <f t="shared" si="159"/>
        <v>1.5697106481481482E-3</v>
      </c>
      <c r="AX114" s="62">
        <f t="shared" si="160"/>
        <v>3.1271180555555557E-3</v>
      </c>
      <c r="AY114" s="62">
        <f t="shared" si="161"/>
        <v>3.8544212962962963E-3</v>
      </c>
      <c r="AZ114" s="62" t="str">
        <f t="shared" si="162"/>
        <v>DNS/DNF</v>
      </c>
      <c r="BA114" s="62" t="str">
        <f t="shared" si="163"/>
        <v>DNS/DNF</v>
      </c>
      <c r="BB114" s="62" t="str">
        <f t="shared" si="164"/>
        <v>DNS/DNF</v>
      </c>
      <c r="BC114" s="75">
        <f t="shared" si="165"/>
        <v>68</v>
      </c>
      <c r="BD114" s="53">
        <f t="shared" si="166"/>
        <v>246067</v>
      </c>
      <c r="BE114" s="53">
        <f t="shared" si="167"/>
        <v>241660.00000000003</v>
      </c>
      <c r="BF114" s="53">
        <f t="shared" si="168"/>
        <v>135848</v>
      </c>
      <c r="BG114" s="53">
        <f t="shared" si="169"/>
        <v>272370</v>
      </c>
      <c r="BH114" s="53">
        <f t="shared" si="170"/>
        <v>329294</v>
      </c>
      <c r="BI114" s="53" t="str">
        <f t="shared" si="171"/>
        <v/>
      </c>
      <c r="BJ114" s="53" t="str">
        <f t="shared" si="172"/>
        <v/>
      </c>
      <c r="BK114" s="53" t="str">
        <f t="shared" si="173"/>
        <v/>
      </c>
    </row>
    <row r="115" spans="1:63">
      <c r="A115" s="53">
        <v>28</v>
      </c>
      <c r="B115" s="89" t="str">
        <f>IFERROR(VLOOKUP($A115,EntryList!$A$3:$N$645,2,FALSE),"")</f>
        <v>Ridoh Gamildien</v>
      </c>
      <c r="C115" s="74"/>
      <c r="D115" s="53">
        <f t="shared" si="140"/>
        <v>3</v>
      </c>
      <c r="E115" s="62"/>
      <c r="F115" s="62">
        <v>3.7756018518518525E-3</v>
      </c>
      <c r="G115" s="62">
        <v>2.3425694444444444E-3</v>
      </c>
      <c r="H115" s="62"/>
      <c r="I115" s="62">
        <v>4.7082870370370369E-3</v>
      </c>
      <c r="J115" s="62"/>
      <c r="K115" s="62"/>
      <c r="L115" s="62"/>
      <c r="M115" s="62">
        <v>1.0826458333333332E-2</v>
      </c>
      <c r="N115" s="62">
        <f t="shared" si="141"/>
        <v>1.0826458333333334E-2</v>
      </c>
      <c r="O115" s="53" t="str">
        <f t="shared" si="142"/>
        <v/>
      </c>
      <c r="P115" s="53">
        <f t="shared" si="143"/>
        <v>235</v>
      </c>
      <c r="Q115" s="53">
        <f t="shared" si="144"/>
        <v>239</v>
      </c>
      <c r="R115" s="53" t="str">
        <f t="shared" si="145"/>
        <v/>
      </c>
      <c r="S115" s="53">
        <f t="shared" si="146"/>
        <v>216</v>
      </c>
      <c r="T115" s="53" t="str">
        <f t="shared" si="147"/>
        <v/>
      </c>
      <c r="U115" s="53" t="str">
        <f t="shared" si="148"/>
        <v/>
      </c>
      <c r="V115" s="53" t="str">
        <f t="shared" si="149"/>
        <v/>
      </c>
      <c r="W115" s="53" t="str">
        <f t="shared" si="174"/>
        <v>DNS/DNF ()</v>
      </c>
      <c r="X115" s="53" t="str">
        <f t="shared" si="150"/>
        <v>00:05:26.2 (235)</v>
      </c>
      <c r="Y115" s="53" t="str">
        <f t="shared" si="151"/>
        <v>00:03:22.4 (239)</v>
      </c>
      <c r="Z115" s="53" t="str">
        <f t="shared" si="152"/>
        <v>DNS/DNF ()</v>
      </c>
      <c r="AA115" s="53" t="str">
        <f t="shared" si="153"/>
        <v>00:06:46.8 (216)</v>
      </c>
      <c r="AB115" s="53" t="str">
        <f t="shared" si="154"/>
        <v>DNS/DNF ()</v>
      </c>
      <c r="AC115" s="53" t="str">
        <f t="shared" si="155"/>
        <v>DNS/DNF ()</v>
      </c>
      <c r="AD115" s="53" t="str">
        <f t="shared" si="156"/>
        <v>DNS/DNF ()</v>
      </c>
      <c r="AE115" s="53">
        <v>0</v>
      </c>
      <c r="AF115" s="53">
        <v>0</v>
      </c>
      <c r="AG115" s="53">
        <v>35653314</v>
      </c>
      <c r="AH115" s="53">
        <v>35979526</v>
      </c>
      <c r="AI115" s="53">
        <v>40240906</v>
      </c>
      <c r="AJ115" s="53">
        <v>40443304</v>
      </c>
      <c r="AK115" s="53">
        <v>0</v>
      </c>
      <c r="AL115" s="53">
        <v>0</v>
      </c>
      <c r="AM115" s="53">
        <v>44176846</v>
      </c>
      <c r="AN115" s="53">
        <v>44583642</v>
      </c>
      <c r="AO115" s="53">
        <v>0</v>
      </c>
      <c r="AP115" s="53">
        <v>0</v>
      </c>
      <c r="AQ115" s="53">
        <v>0</v>
      </c>
      <c r="AR115" s="53">
        <v>0</v>
      </c>
      <c r="AS115" s="53">
        <v>0</v>
      </c>
      <c r="AT115" s="53">
        <v>0</v>
      </c>
      <c r="AU115" s="62" t="str">
        <f t="shared" si="157"/>
        <v>DNS/DNF</v>
      </c>
      <c r="AV115" s="62">
        <f t="shared" si="158"/>
        <v>3.775601851851852E-3</v>
      </c>
      <c r="AW115" s="62">
        <f t="shared" si="159"/>
        <v>2.3425694444444444E-3</v>
      </c>
      <c r="AX115" s="62" t="str">
        <f t="shared" si="160"/>
        <v>DNS/DNF</v>
      </c>
      <c r="AY115" s="62">
        <f t="shared" si="161"/>
        <v>4.7082870370370369E-3</v>
      </c>
      <c r="AZ115" s="62" t="str">
        <f t="shared" si="162"/>
        <v>DNS/DNF</v>
      </c>
      <c r="BA115" s="62" t="str">
        <f t="shared" si="163"/>
        <v>DNS/DNF</v>
      </c>
      <c r="BB115" s="62" t="str">
        <f t="shared" si="164"/>
        <v>DNS/DNF</v>
      </c>
      <c r="BC115" s="75">
        <f t="shared" si="165"/>
        <v>230</v>
      </c>
      <c r="BD115" s="53" t="str">
        <f t="shared" si="166"/>
        <v/>
      </c>
      <c r="BE115" s="53">
        <f t="shared" si="167"/>
        <v>322437</v>
      </c>
      <c r="BF115" s="53">
        <f t="shared" si="168"/>
        <v>194326</v>
      </c>
      <c r="BG115" s="53" t="str">
        <f t="shared" si="169"/>
        <v/>
      </c>
      <c r="BH115" s="53">
        <f t="shared" si="170"/>
        <v>429716.00000000006</v>
      </c>
      <c r="BI115" s="53" t="str">
        <f t="shared" si="171"/>
        <v/>
      </c>
      <c r="BJ115" s="53" t="str">
        <f t="shared" si="172"/>
        <v/>
      </c>
      <c r="BK115" s="53" t="str">
        <f t="shared" si="173"/>
        <v/>
      </c>
    </row>
    <row r="116" spans="1:63">
      <c r="A116" s="53">
        <v>29</v>
      </c>
      <c r="B116" s="89" t="str">
        <f>IFERROR(VLOOKUP($A116,EntryList!$A$3:$N$645,2,FALSE),"")</f>
        <v>Adeeb Said</v>
      </c>
      <c r="C116" s="74"/>
      <c r="D116" s="53">
        <f t="shared" si="140"/>
        <v>3</v>
      </c>
      <c r="E116" s="62"/>
      <c r="F116" s="62">
        <v>3.603483796296296E-3</v>
      </c>
      <c r="G116" s="62">
        <v>1.9991666666666669E-3</v>
      </c>
      <c r="H116" s="62"/>
      <c r="I116" s="62">
        <v>4.6437847222222219E-3</v>
      </c>
      <c r="J116" s="62"/>
      <c r="K116" s="62"/>
      <c r="L116" s="62"/>
      <c r="M116" s="62">
        <v>1.0246435185185185E-2</v>
      </c>
      <c r="N116" s="62">
        <f t="shared" si="141"/>
        <v>1.0246435185185185E-2</v>
      </c>
      <c r="O116" s="53" t="str">
        <f t="shared" si="142"/>
        <v/>
      </c>
      <c r="P116" s="53">
        <f t="shared" si="143"/>
        <v>221</v>
      </c>
      <c r="Q116" s="53">
        <f t="shared" si="144"/>
        <v>201</v>
      </c>
      <c r="R116" s="53" t="str">
        <f t="shared" si="145"/>
        <v/>
      </c>
      <c r="S116" s="53">
        <f t="shared" si="146"/>
        <v>211</v>
      </c>
      <c r="T116" s="53" t="str">
        <f t="shared" si="147"/>
        <v/>
      </c>
      <c r="U116" s="53" t="str">
        <f t="shared" si="148"/>
        <v/>
      </c>
      <c r="V116" s="53" t="str">
        <f t="shared" si="149"/>
        <v/>
      </c>
      <c r="W116" s="53" t="str">
        <f t="shared" si="174"/>
        <v>DNS/DNF ()</v>
      </c>
      <c r="X116" s="53" t="str">
        <f t="shared" si="150"/>
        <v>00:05:11.3 (221)</v>
      </c>
      <c r="Y116" s="53" t="str">
        <f t="shared" si="151"/>
        <v>00:02:52.7 (201)</v>
      </c>
      <c r="Z116" s="53" t="str">
        <f t="shared" si="152"/>
        <v>DNS/DNF ()</v>
      </c>
      <c r="AA116" s="53" t="str">
        <f t="shared" si="153"/>
        <v>00:06:41.2 (211)</v>
      </c>
      <c r="AB116" s="53" t="str">
        <f t="shared" si="154"/>
        <v>DNS/DNF ()</v>
      </c>
      <c r="AC116" s="53" t="str">
        <f t="shared" si="155"/>
        <v>DNS/DNF ()</v>
      </c>
      <c r="AD116" s="53" t="str">
        <f t="shared" si="156"/>
        <v>DNS/DNF ()</v>
      </c>
      <c r="AE116" s="53">
        <v>0</v>
      </c>
      <c r="AF116" s="53">
        <v>0</v>
      </c>
      <c r="AG116" s="53">
        <v>35637472</v>
      </c>
      <c r="AH116" s="53">
        <v>35948813</v>
      </c>
      <c r="AI116" s="53">
        <v>40226424</v>
      </c>
      <c r="AJ116" s="53">
        <v>40399152</v>
      </c>
      <c r="AK116" s="53">
        <v>0</v>
      </c>
      <c r="AL116" s="53">
        <v>0</v>
      </c>
      <c r="AM116" s="53">
        <v>44138652</v>
      </c>
      <c r="AN116" s="53">
        <v>44539875</v>
      </c>
      <c r="AO116" s="53">
        <v>0</v>
      </c>
      <c r="AP116" s="53">
        <v>0</v>
      </c>
      <c r="AQ116" s="53">
        <v>0</v>
      </c>
      <c r="AR116" s="53">
        <v>0</v>
      </c>
      <c r="AS116" s="53">
        <v>0</v>
      </c>
      <c r="AT116" s="53">
        <v>0</v>
      </c>
      <c r="AU116" s="62" t="str">
        <f t="shared" si="157"/>
        <v>DNS/DNF</v>
      </c>
      <c r="AV116" s="62">
        <f t="shared" si="158"/>
        <v>3.6034837962962965E-3</v>
      </c>
      <c r="AW116" s="62">
        <f t="shared" si="159"/>
        <v>1.9991666666666665E-3</v>
      </c>
      <c r="AX116" s="62" t="str">
        <f t="shared" si="160"/>
        <v>DNS/DNF</v>
      </c>
      <c r="AY116" s="62">
        <f t="shared" si="161"/>
        <v>4.6437847222222219E-3</v>
      </c>
      <c r="AZ116" s="62" t="str">
        <f t="shared" si="162"/>
        <v>DNS/DNF</v>
      </c>
      <c r="BA116" s="62" t="str">
        <f t="shared" si="163"/>
        <v>DNS/DNF</v>
      </c>
      <c r="BB116" s="62" t="str">
        <f t="shared" si="164"/>
        <v>DNS/DNF</v>
      </c>
      <c r="BC116" s="75">
        <f t="shared" si="165"/>
        <v>211</v>
      </c>
      <c r="BD116" s="53" t="str">
        <f t="shared" si="166"/>
        <v/>
      </c>
      <c r="BE116" s="53">
        <f t="shared" si="167"/>
        <v>298504</v>
      </c>
      <c r="BF116" s="53">
        <f t="shared" si="168"/>
        <v>175706</v>
      </c>
      <c r="BG116" s="53" t="str">
        <f t="shared" si="169"/>
        <v/>
      </c>
      <c r="BH116" s="53">
        <f t="shared" si="170"/>
        <v>401223</v>
      </c>
      <c r="BI116" s="53" t="str">
        <f t="shared" si="171"/>
        <v/>
      </c>
      <c r="BJ116" s="53" t="str">
        <f t="shared" si="172"/>
        <v/>
      </c>
      <c r="BK116" s="53" t="str">
        <f t="shared" si="173"/>
        <v/>
      </c>
    </row>
    <row r="117" spans="1:63">
      <c r="A117" s="53">
        <v>43</v>
      </c>
      <c r="B117" s="89" t="str">
        <f>IFERROR(VLOOKUP($A117,EntryList!$A$3:$N$645,2,FALSE),"")</f>
        <v>Thaabit Toefy</v>
      </c>
      <c r="C117" s="74"/>
      <c r="D117" s="53">
        <f t="shared" si="140"/>
        <v>3</v>
      </c>
      <c r="E117" s="62"/>
      <c r="F117" s="62">
        <v>4.4946527777777771E-3</v>
      </c>
      <c r="G117" s="62">
        <v>2.2791898148148151E-3</v>
      </c>
      <c r="H117" s="62"/>
      <c r="I117" s="62">
        <v>5.156018518518519E-3</v>
      </c>
      <c r="J117" s="62"/>
      <c r="K117" s="62"/>
      <c r="L117" s="62"/>
      <c r="M117" s="62">
        <v>1.1929861111111112E-2</v>
      </c>
      <c r="N117" s="62">
        <f t="shared" si="141"/>
        <v>1.192986111111111E-2</v>
      </c>
      <c r="O117" s="53" t="str">
        <f t="shared" si="142"/>
        <v/>
      </c>
      <c r="P117" s="53">
        <f t="shared" si="143"/>
        <v>259</v>
      </c>
      <c r="Q117" s="53">
        <f t="shared" si="144"/>
        <v>234</v>
      </c>
      <c r="R117" s="53" t="str">
        <f t="shared" si="145"/>
        <v/>
      </c>
      <c r="S117" s="53">
        <f t="shared" si="146"/>
        <v>237</v>
      </c>
      <c r="T117" s="53" t="str">
        <f t="shared" si="147"/>
        <v/>
      </c>
      <c r="U117" s="53" t="str">
        <f t="shared" si="148"/>
        <v/>
      </c>
      <c r="V117" s="53" t="str">
        <f t="shared" si="149"/>
        <v/>
      </c>
      <c r="W117" s="53" t="str">
        <f t="shared" si="174"/>
        <v>DNS/DNF ()</v>
      </c>
      <c r="X117" s="53" t="str">
        <f t="shared" si="150"/>
        <v>00:06:28.3 (259)</v>
      </c>
      <c r="Y117" s="53" t="str">
        <f t="shared" si="151"/>
        <v>00:03:16.9 (234)</v>
      </c>
      <c r="Z117" s="53" t="str">
        <f t="shared" si="152"/>
        <v>DNS/DNF ()</v>
      </c>
      <c r="AA117" s="53" t="str">
        <f t="shared" si="153"/>
        <v>00:07:25.5 (237)</v>
      </c>
      <c r="AB117" s="53" t="str">
        <f t="shared" si="154"/>
        <v>DNS/DNF ()</v>
      </c>
      <c r="AC117" s="53" t="str">
        <f t="shared" si="155"/>
        <v>DNS/DNF ()</v>
      </c>
      <c r="AD117" s="53" t="str">
        <f t="shared" si="156"/>
        <v>DNS/DNF ()</v>
      </c>
      <c r="AE117" s="53">
        <v>0</v>
      </c>
      <c r="AF117" s="53">
        <v>0</v>
      </c>
      <c r="AG117" s="53">
        <v>35666058</v>
      </c>
      <c r="AH117" s="53">
        <v>36054396</v>
      </c>
      <c r="AI117" s="53">
        <v>40265656</v>
      </c>
      <c r="AJ117" s="53">
        <v>40462578</v>
      </c>
      <c r="AK117" s="53">
        <v>0</v>
      </c>
      <c r="AL117" s="53">
        <v>0</v>
      </c>
      <c r="AM117" s="53">
        <v>44209542</v>
      </c>
      <c r="AN117" s="53">
        <v>44655022</v>
      </c>
      <c r="AO117" s="53">
        <v>0</v>
      </c>
      <c r="AP117" s="53">
        <v>0</v>
      </c>
      <c r="AQ117" s="53">
        <v>0</v>
      </c>
      <c r="AR117" s="53">
        <v>0</v>
      </c>
      <c r="AS117" s="53">
        <v>0</v>
      </c>
      <c r="AT117" s="53">
        <v>0</v>
      </c>
      <c r="AU117" s="62" t="str">
        <f t="shared" si="157"/>
        <v>DNS/DNF</v>
      </c>
      <c r="AV117" s="62">
        <f t="shared" si="158"/>
        <v>4.494652777777778E-3</v>
      </c>
      <c r="AW117" s="62">
        <f t="shared" si="159"/>
        <v>2.2791898148148146E-3</v>
      </c>
      <c r="AX117" s="62" t="str">
        <f t="shared" si="160"/>
        <v>DNS/DNF</v>
      </c>
      <c r="AY117" s="62">
        <f t="shared" si="161"/>
        <v>5.1560185185185181E-3</v>
      </c>
      <c r="AZ117" s="62" t="str">
        <f t="shared" si="162"/>
        <v>DNS/DNF</v>
      </c>
      <c r="BA117" s="62" t="str">
        <f t="shared" si="163"/>
        <v>DNS/DNF</v>
      </c>
      <c r="BB117" s="62" t="str">
        <f t="shared" si="164"/>
        <v>DNS/DNF</v>
      </c>
      <c r="BC117" s="75">
        <f t="shared" si="165"/>
        <v>243</v>
      </c>
      <c r="BD117" s="53" t="str">
        <f t="shared" si="166"/>
        <v/>
      </c>
      <c r="BE117" s="53">
        <f t="shared" si="167"/>
        <v>332665</v>
      </c>
      <c r="BF117" s="53">
        <f t="shared" si="168"/>
        <v>208377</v>
      </c>
      <c r="BG117" s="53" t="str">
        <f t="shared" si="169"/>
        <v/>
      </c>
      <c r="BH117" s="53">
        <f t="shared" si="170"/>
        <v>462780</v>
      </c>
      <c r="BI117" s="53" t="str">
        <f t="shared" si="171"/>
        <v/>
      </c>
      <c r="BJ117" s="53" t="str">
        <f t="shared" si="172"/>
        <v/>
      </c>
      <c r="BK117" s="53" t="str">
        <f t="shared" si="173"/>
        <v/>
      </c>
    </row>
    <row r="118" spans="1:63">
      <c r="A118" s="53">
        <v>131</v>
      </c>
      <c r="B118" s="89" t="str">
        <f>IFERROR(VLOOKUP($A118,EntryList!$A$3:$N$645,2,FALSE),"")</f>
        <v>Dane Olsen</v>
      </c>
      <c r="C118" s="74"/>
      <c r="D118" s="53">
        <f t="shared" si="140"/>
        <v>5</v>
      </c>
      <c r="E118" s="62">
        <v>2.4131597222222219E-3</v>
      </c>
      <c r="F118" s="62">
        <v>2.4963657407407408E-3</v>
      </c>
      <c r="G118" s="62">
        <v>1.3993287037037036E-3</v>
      </c>
      <c r="H118" s="62">
        <v>2.7247222222222221E-3</v>
      </c>
      <c r="I118" s="62">
        <v>3.5031828703703705E-3</v>
      </c>
      <c r="J118" s="62"/>
      <c r="K118" s="62"/>
      <c r="L118" s="62"/>
      <c r="M118" s="62">
        <v>1.253675925925926E-2</v>
      </c>
      <c r="N118" s="62">
        <f t="shared" si="141"/>
        <v>1.2536759259259258E-2</v>
      </c>
      <c r="O118" s="53">
        <f t="shared" si="142"/>
        <v>19</v>
      </c>
      <c r="P118" s="53">
        <f t="shared" si="143"/>
        <v>12</v>
      </c>
      <c r="Q118" s="53">
        <f t="shared" si="144"/>
        <v>16</v>
      </c>
      <c r="R118" s="53">
        <f t="shared" si="145"/>
        <v>11</v>
      </c>
      <c r="S118" s="53">
        <f t="shared" si="146"/>
        <v>20</v>
      </c>
      <c r="T118" s="53" t="str">
        <f t="shared" si="147"/>
        <v/>
      </c>
      <c r="U118" s="53" t="str">
        <f t="shared" si="148"/>
        <v/>
      </c>
      <c r="V118" s="53" t="str">
        <f t="shared" si="149"/>
        <v/>
      </c>
      <c r="W118" s="53" t="str">
        <f t="shared" si="174"/>
        <v>00:03:28.5 (19)</v>
      </c>
      <c r="X118" s="53" t="str">
        <f t="shared" si="150"/>
        <v>00:03:35.7 (12)</v>
      </c>
      <c r="Y118" s="53" t="str">
        <f t="shared" si="151"/>
        <v>00:02:00.9 (16)</v>
      </c>
      <c r="Z118" s="53" t="str">
        <f t="shared" si="152"/>
        <v>00:03:55.4 (11)</v>
      </c>
      <c r="AA118" s="53" t="str">
        <f t="shared" si="153"/>
        <v>00:05:02.7 (20)</v>
      </c>
      <c r="AB118" s="53" t="str">
        <f t="shared" si="154"/>
        <v>DNS/DNF ()</v>
      </c>
      <c r="AC118" s="53" t="str">
        <f t="shared" si="155"/>
        <v>DNS/DNF ()</v>
      </c>
      <c r="AD118" s="53" t="str">
        <f t="shared" si="156"/>
        <v>DNS/DNF ()</v>
      </c>
      <c r="AE118" s="53">
        <v>34279008</v>
      </c>
      <c r="AF118" s="53">
        <v>34487505</v>
      </c>
      <c r="AG118" s="53">
        <v>31358962</v>
      </c>
      <c r="AH118" s="53">
        <v>31574648</v>
      </c>
      <c r="AI118" s="53">
        <v>36985677</v>
      </c>
      <c r="AJ118" s="53">
        <v>37106579</v>
      </c>
      <c r="AK118" s="53">
        <v>41188677</v>
      </c>
      <c r="AL118" s="53">
        <v>41424093</v>
      </c>
      <c r="AM118" s="53">
        <v>44326302</v>
      </c>
      <c r="AN118" s="53">
        <v>44628977</v>
      </c>
      <c r="AO118" s="53">
        <v>0</v>
      </c>
      <c r="AP118" s="53">
        <v>0</v>
      </c>
      <c r="AQ118" s="53">
        <v>0</v>
      </c>
      <c r="AR118" s="53">
        <v>0</v>
      </c>
      <c r="AS118" s="53">
        <v>0</v>
      </c>
      <c r="AT118" s="53">
        <v>0</v>
      </c>
      <c r="AU118" s="62">
        <f t="shared" si="157"/>
        <v>2.4131597222222224E-3</v>
      </c>
      <c r="AV118" s="62">
        <f t="shared" si="158"/>
        <v>2.4963657407407408E-3</v>
      </c>
      <c r="AW118" s="62">
        <f t="shared" si="159"/>
        <v>1.3993287037037036E-3</v>
      </c>
      <c r="AX118" s="62">
        <f t="shared" si="160"/>
        <v>2.7247222222222221E-3</v>
      </c>
      <c r="AY118" s="62">
        <f t="shared" si="161"/>
        <v>3.5031828703703705E-3</v>
      </c>
      <c r="AZ118" s="62" t="str">
        <f t="shared" si="162"/>
        <v>DNS/DNF</v>
      </c>
      <c r="BA118" s="62" t="str">
        <f t="shared" si="163"/>
        <v>DNS/DNF</v>
      </c>
      <c r="BB118" s="62" t="str">
        <f t="shared" si="164"/>
        <v>DNS/DNF</v>
      </c>
      <c r="BC118" s="75">
        <f t="shared" si="165"/>
        <v>16</v>
      </c>
      <c r="BD118" s="53">
        <f t="shared" si="166"/>
        <v>200916</v>
      </c>
      <c r="BE118" s="53">
        <f t="shared" si="167"/>
        <v>217540</v>
      </c>
      <c r="BF118" s="53">
        <f t="shared" si="168"/>
        <v>120902</v>
      </c>
      <c r="BG118" s="53">
        <f t="shared" si="169"/>
        <v>238751</v>
      </c>
      <c r="BH118" s="53">
        <f t="shared" si="170"/>
        <v>301133</v>
      </c>
      <c r="BI118" s="53" t="str">
        <f t="shared" si="171"/>
        <v/>
      </c>
      <c r="BJ118" s="53" t="str">
        <f t="shared" si="172"/>
        <v/>
      </c>
      <c r="BK118" s="53" t="str">
        <f t="shared" si="173"/>
        <v/>
      </c>
    </row>
    <row r="119" spans="1:63">
      <c r="A119" s="53">
        <v>190</v>
      </c>
      <c r="B119" s="89" t="str">
        <f>IFERROR(VLOOKUP($A119,EntryList!$A$3:$N$645,2,FALSE),"")</f>
        <v>Theuns Louw</v>
      </c>
      <c r="C119" s="74"/>
      <c r="D119" s="53">
        <f t="shared" si="140"/>
        <v>5</v>
      </c>
      <c r="E119" s="62">
        <v>2.6331018518518517E-3</v>
      </c>
      <c r="F119" s="62">
        <v>2.708125E-3</v>
      </c>
      <c r="G119" s="62">
        <v>1.4814583333333335E-3</v>
      </c>
      <c r="H119" s="62">
        <v>2.9958564814814817E-3</v>
      </c>
      <c r="I119" s="62">
        <v>3.7321874999999998E-3</v>
      </c>
      <c r="J119" s="62"/>
      <c r="K119" s="62"/>
      <c r="L119" s="62"/>
      <c r="M119" s="62">
        <v>1.3550729166666666E-2</v>
      </c>
      <c r="N119" s="62">
        <f t="shared" si="141"/>
        <v>1.3550729166666666E-2</v>
      </c>
      <c r="O119" s="53">
        <f t="shared" si="142"/>
        <v>49</v>
      </c>
      <c r="P119" s="53">
        <f t="shared" si="143"/>
        <v>50</v>
      </c>
      <c r="Q119" s="53">
        <f t="shared" si="144"/>
        <v>38</v>
      </c>
      <c r="R119" s="53">
        <f t="shared" si="145"/>
        <v>46</v>
      </c>
      <c r="S119" s="53">
        <f t="shared" si="146"/>
        <v>58</v>
      </c>
      <c r="T119" s="53" t="str">
        <f t="shared" si="147"/>
        <v/>
      </c>
      <c r="U119" s="53" t="str">
        <f t="shared" si="148"/>
        <v/>
      </c>
      <c r="V119" s="53" t="str">
        <f t="shared" si="149"/>
        <v/>
      </c>
      <c r="W119" s="53" t="str">
        <f t="shared" si="174"/>
        <v>00:03:47.5 (49)</v>
      </c>
      <c r="X119" s="53" t="str">
        <f t="shared" si="150"/>
        <v>00:03:54.0 (50)</v>
      </c>
      <c r="Y119" s="53" t="str">
        <f t="shared" si="151"/>
        <v>00:02:08.0 (38)</v>
      </c>
      <c r="Z119" s="53" t="str">
        <f t="shared" si="152"/>
        <v>00:04:18.8 (46)</v>
      </c>
      <c r="AA119" s="53" t="str">
        <f t="shared" si="153"/>
        <v>00:05:22.5 (58)</v>
      </c>
      <c r="AB119" s="53" t="str">
        <f t="shared" si="154"/>
        <v>DNS/DNF ()</v>
      </c>
      <c r="AC119" s="53" t="str">
        <f t="shared" si="155"/>
        <v>DNS/DNF ()</v>
      </c>
      <c r="AD119" s="53" t="str">
        <f t="shared" si="156"/>
        <v>DNS/DNF ()</v>
      </c>
      <c r="AE119" s="53">
        <v>34339495</v>
      </c>
      <c r="AF119" s="53">
        <v>34566995</v>
      </c>
      <c r="AG119" s="53">
        <v>31818942</v>
      </c>
      <c r="AH119" s="53">
        <v>32052924</v>
      </c>
      <c r="AI119" s="53">
        <v>37027910</v>
      </c>
      <c r="AJ119" s="53">
        <v>37155908</v>
      </c>
      <c r="AK119" s="53">
        <v>41220488</v>
      </c>
      <c r="AL119" s="53">
        <v>41479330</v>
      </c>
      <c r="AM119" s="53">
        <v>44365300</v>
      </c>
      <c r="AN119" s="53">
        <v>44687761</v>
      </c>
      <c r="AO119" s="53">
        <v>0</v>
      </c>
      <c r="AP119" s="53">
        <v>0</v>
      </c>
      <c r="AQ119" s="53">
        <v>0</v>
      </c>
      <c r="AR119" s="53">
        <v>0</v>
      </c>
      <c r="AS119" s="53">
        <v>0</v>
      </c>
      <c r="AT119" s="53">
        <v>0</v>
      </c>
      <c r="AU119" s="62">
        <f t="shared" si="157"/>
        <v>2.6331018518518517E-3</v>
      </c>
      <c r="AV119" s="62">
        <f t="shared" si="158"/>
        <v>2.708125E-3</v>
      </c>
      <c r="AW119" s="62">
        <f t="shared" si="159"/>
        <v>1.4814583333333333E-3</v>
      </c>
      <c r="AX119" s="62">
        <f t="shared" si="160"/>
        <v>2.9958564814814813E-3</v>
      </c>
      <c r="AY119" s="62">
        <f t="shared" si="161"/>
        <v>3.7321874999999998E-3</v>
      </c>
      <c r="AZ119" s="62" t="str">
        <f t="shared" si="162"/>
        <v>DNS/DNF</v>
      </c>
      <c r="BA119" s="62" t="str">
        <f t="shared" si="163"/>
        <v>DNS/DNF</v>
      </c>
      <c r="BB119" s="62" t="str">
        <f t="shared" si="164"/>
        <v>DNS/DNF</v>
      </c>
      <c r="BC119" s="75">
        <f t="shared" si="165"/>
        <v>48</v>
      </c>
      <c r="BD119" s="53">
        <f t="shared" si="166"/>
        <v>226125.99999999997</v>
      </c>
      <c r="BE119" s="53">
        <f t="shared" si="167"/>
        <v>233645</v>
      </c>
      <c r="BF119" s="53">
        <f t="shared" si="168"/>
        <v>130428</v>
      </c>
      <c r="BG119" s="53">
        <f t="shared" si="169"/>
        <v>260101</v>
      </c>
      <c r="BH119" s="53">
        <f t="shared" si="170"/>
        <v>315589</v>
      </c>
      <c r="BI119" s="53" t="str">
        <f t="shared" si="171"/>
        <v/>
      </c>
      <c r="BJ119" s="53" t="str">
        <f t="shared" si="172"/>
        <v/>
      </c>
      <c r="BK119" s="53" t="str">
        <f t="shared" si="173"/>
        <v/>
      </c>
    </row>
    <row r="120" spans="1:63">
      <c r="A120" s="53">
        <v>213</v>
      </c>
      <c r="B120" s="89" t="str">
        <f>IFERROR(VLOOKUP($A120,EntryList!$A$3:$N$645,2,FALSE),"")</f>
        <v>Ettienne Van Biljon</v>
      </c>
      <c r="C120" s="74"/>
      <c r="D120" s="53">
        <f t="shared" si="140"/>
        <v>2</v>
      </c>
      <c r="E120" s="62"/>
      <c r="F120" s="62">
        <v>3.0627083333333335E-3</v>
      </c>
      <c r="G120" s="62">
        <v>9.2053819444444449E-3</v>
      </c>
      <c r="H120" s="62"/>
      <c r="I120" s="62"/>
      <c r="J120" s="62"/>
      <c r="K120" s="62"/>
      <c r="L120" s="62"/>
      <c r="M120" s="62">
        <v>1.2268090277777777E-2</v>
      </c>
      <c r="N120" s="62">
        <f t="shared" si="141"/>
        <v>1.2268090277777779E-2</v>
      </c>
      <c r="O120" s="53" t="str">
        <f t="shared" si="142"/>
        <v/>
      </c>
      <c r="P120" s="53">
        <f t="shared" si="143"/>
        <v>126</v>
      </c>
      <c r="Q120" s="53">
        <f t="shared" si="144"/>
        <v>258</v>
      </c>
      <c r="R120" s="53" t="str">
        <f t="shared" si="145"/>
        <v/>
      </c>
      <c r="S120" s="53" t="str">
        <f t="shared" si="146"/>
        <v/>
      </c>
      <c r="T120" s="53" t="str">
        <f t="shared" si="147"/>
        <v/>
      </c>
      <c r="U120" s="53" t="str">
        <f t="shared" si="148"/>
        <v/>
      </c>
      <c r="V120" s="53" t="str">
        <f t="shared" si="149"/>
        <v/>
      </c>
      <c r="W120" s="53" t="str">
        <f t="shared" si="174"/>
        <v>DNS/DNF ()</v>
      </c>
      <c r="X120" s="53" t="str">
        <f t="shared" si="150"/>
        <v>00:04:24.6 (126)</v>
      </c>
      <c r="Y120" s="53" t="str">
        <f t="shared" si="151"/>
        <v>00:13:15.3 (258)</v>
      </c>
      <c r="Z120" s="53" t="str">
        <f t="shared" si="152"/>
        <v>DNS/DNF ()</v>
      </c>
      <c r="AA120" s="53" t="str">
        <f t="shared" si="153"/>
        <v>DNS/DNF ()</v>
      </c>
      <c r="AB120" s="53" t="str">
        <f t="shared" si="154"/>
        <v>DNS/DNF ()</v>
      </c>
      <c r="AC120" s="53" t="str">
        <f t="shared" si="155"/>
        <v>DNS/DNF ()</v>
      </c>
      <c r="AD120" s="53" t="str">
        <f t="shared" si="156"/>
        <v>DNS/DNF ()</v>
      </c>
      <c r="AE120" s="53">
        <v>0</v>
      </c>
      <c r="AF120" s="53">
        <v>0</v>
      </c>
      <c r="AG120" s="53">
        <v>34821447</v>
      </c>
      <c r="AH120" s="53">
        <v>35086065</v>
      </c>
      <c r="AI120" s="53">
        <v>38024943</v>
      </c>
      <c r="AJ120" s="53">
        <v>38820288</v>
      </c>
      <c r="AK120" s="53">
        <v>0</v>
      </c>
      <c r="AL120" s="53">
        <v>0</v>
      </c>
      <c r="AM120" s="53">
        <v>0</v>
      </c>
      <c r="AN120" s="53">
        <v>0</v>
      </c>
      <c r="AO120" s="53">
        <v>0</v>
      </c>
      <c r="AP120" s="53">
        <v>0</v>
      </c>
      <c r="AQ120" s="53">
        <v>0</v>
      </c>
      <c r="AR120" s="53">
        <v>0</v>
      </c>
      <c r="AS120" s="53">
        <v>0</v>
      </c>
      <c r="AT120" s="53">
        <v>0</v>
      </c>
      <c r="AU120" s="62" t="str">
        <f t="shared" si="157"/>
        <v>DNS/DNF</v>
      </c>
      <c r="AV120" s="62">
        <f t="shared" si="158"/>
        <v>3.0627083333333335E-3</v>
      </c>
      <c r="AW120" s="62">
        <f t="shared" si="159"/>
        <v>9.2053819444444449E-3</v>
      </c>
      <c r="AX120" s="62" t="str">
        <f t="shared" si="160"/>
        <v>DNS/DNF</v>
      </c>
      <c r="AY120" s="62" t="str">
        <f t="shared" si="161"/>
        <v>DNS/DNF</v>
      </c>
      <c r="AZ120" s="62" t="str">
        <f t="shared" si="162"/>
        <v>DNS/DNF</v>
      </c>
      <c r="BA120" s="62" t="str">
        <f t="shared" si="163"/>
        <v>DNS/DNF</v>
      </c>
      <c r="BB120" s="62" t="str">
        <f t="shared" si="164"/>
        <v>DNS/DNF</v>
      </c>
      <c r="BC120" s="75">
        <f t="shared" si="165"/>
        <v>192</v>
      </c>
      <c r="BD120" s="53" t="str">
        <f t="shared" si="166"/>
        <v/>
      </c>
      <c r="BE120" s="53">
        <f t="shared" si="167"/>
        <v>284552</v>
      </c>
      <c r="BF120" s="53">
        <f t="shared" si="168"/>
        <v>168940</v>
      </c>
      <c r="BG120" s="53" t="str">
        <f t="shared" si="169"/>
        <v/>
      </c>
      <c r="BH120" s="53">
        <f t="shared" si="170"/>
        <v>387927</v>
      </c>
      <c r="BI120" s="53" t="str">
        <f t="shared" si="171"/>
        <v/>
      </c>
      <c r="BJ120" s="53" t="str">
        <f t="shared" si="172"/>
        <v/>
      </c>
      <c r="BK120" s="53" t="str">
        <f t="shared" si="173"/>
        <v/>
      </c>
    </row>
    <row r="121" spans="1:63">
      <c r="A121" s="53">
        <v>12</v>
      </c>
      <c r="B121" s="89" t="str">
        <f>IFERROR(VLOOKUP($A121,EntryList!$A$3:$N$645,2,FALSE),"")</f>
        <v>Dylan Wiggill</v>
      </c>
      <c r="C121" s="74"/>
      <c r="D121" s="53">
        <f>COUNT($AU121:$BB121)</f>
        <v>3</v>
      </c>
      <c r="E121" s="62"/>
      <c r="F121" s="62">
        <v>3.663645833333333E-3</v>
      </c>
      <c r="G121" s="62">
        <v>2.4075347222222219E-3</v>
      </c>
      <c r="H121" s="62"/>
      <c r="I121" s="62">
        <v>4.6113078703703706E-3</v>
      </c>
      <c r="J121" s="62"/>
      <c r="K121" s="62"/>
      <c r="L121" s="62"/>
      <c r="M121" s="62">
        <v>1.0682488425925925E-2</v>
      </c>
      <c r="N121" s="62">
        <f>SUM($AU121:$BB121)</f>
        <v>1.0682488425925927E-2</v>
      </c>
      <c r="O121" s="53" t="str">
        <f>IFERROR(RANK($AU121,AU$3:AU$500,1),"")</f>
        <v/>
      </c>
      <c r="P121" s="53">
        <f>IFERROR(RANK($AV121,AV$3:AV$500,1),"")</f>
        <v>227</v>
      </c>
      <c r="Q121" s="53">
        <f>IFERROR(RANK($AW121,AW$3:AW$500,1),"")</f>
        <v>242</v>
      </c>
      <c r="R121" s="53" t="str">
        <f>IFERROR(RANK($AX121,AX$3:AX$500,1),"")</f>
        <v/>
      </c>
      <c r="S121" s="53">
        <f>IFERROR(RANK($AY121,AY$3:AY$500,1),"")</f>
        <v>209</v>
      </c>
      <c r="T121" s="53" t="str">
        <f>IFERROR(RANK($AZ121,AZ$3:AZ$500,1),"")</f>
        <v/>
      </c>
      <c r="U121" s="53" t="str">
        <f>IFERROR(RANK($BA121,BA$3:BA$500,1),"")</f>
        <v/>
      </c>
      <c r="V121" s="53" t="str">
        <f>IFERROR(RANK($BB121,BB$3:BB$500,1),"")</f>
        <v/>
      </c>
      <c r="W121" s="53" t="str">
        <f>CONCATENATE(TEXT($AU121,"[hh]:mm:ss.0")," ","(",$O121,")")</f>
        <v>DNS/DNF ()</v>
      </c>
      <c r="X121" s="53" t="str">
        <f>CONCATENATE(TEXT($AV121,"[hh]:mm:ss.0")," ","(",$P121,")")</f>
        <v>00:05:16.5 (227)</v>
      </c>
      <c r="Y121" s="53" t="str">
        <f>CONCATENATE(TEXT($AW121,"[hh]:mm:ss.0")," ","(",$Q121,")")</f>
        <v>00:03:28.0 (242)</v>
      </c>
      <c r="Z121" s="53" t="str">
        <f>CONCATENATE(TEXT($AX121,"[hh]:mm:ss.0")," ","(",$R121,")")</f>
        <v>DNS/DNF ()</v>
      </c>
      <c r="AA121" s="53" t="str">
        <f>CONCATENATE(TEXT($AY121,"[hh]:mm:ss.0")," ","(",$S121,")")</f>
        <v>00:06:38.4 (209)</v>
      </c>
      <c r="AB121" s="53" t="str">
        <f>CONCATENATE(TEXT($AZ121,"[hh]:mm:ss.0")," ","(",$T121,")")</f>
        <v>DNS/DNF ()</v>
      </c>
      <c r="AC121" s="53" t="str">
        <f>CONCATENATE(TEXT($BA121,"[hh]:mm:ss.0")," ","(",$U121,")")</f>
        <v>DNS/DNF ()</v>
      </c>
      <c r="AD121" s="53" t="str">
        <f>CONCATENATE(TEXT($BB121,"[hh]:mm:ss.0")," ","(",$V121,")")</f>
        <v>DNS/DNF ()</v>
      </c>
      <c r="AE121" s="53">
        <v>0</v>
      </c>
      <c r="AF121" s="53">
        <v>0</v>
      </c>
      <c r="AG121" s="53">
        <v>39879936</v>
      </c>
      <c r="AH121" s="53">
        <v>40196475</v>
      </c>
      <c r="AI121" s="53">
        <v>35049778</v>
      </c>
      <c r="AJ121" s="53">
        <v>35257789</v>
      </c>
      <c r="AK121" s="53">
        <v>0</v>
      </c>
      <c r="AL121" s="53">
        <v>0</v>
      </c>
      <c r="AM121" s="53">
        <v>44407406</v>
      </c>
      <c r="AN121" s="53">
        <v>44805823</v>
      </c>
      <c r="AO121" s="53">
        <v>0</v>
      </c>
      <c r="AP121" s="53">
        <v>0</v>
      </c>
      <c r="AQ121" s="53">
        <v>0</v>
      </c>
      <c r="AR121" s="53">
        <v>0</v>
      </c>
      <c r="AS121" s="53">
        <v>0</v>
      </c>
      <c r="AT121" s="53">
        <v>0</v>
      </c>
      <c r="AU121" s="62" t="str">
        <f>IF((OR($AE121=0,$AF121=0,$AF121-$AE121&lt;0)),"DNS/DNF",($AF121-$AE121)/86400000)</f>
        <v>DNS/DNF</v>
      </c>
      <c r="AV121" s="62">
        <f>IF((OR($AG121=0,$AH121=0,$AH121-$AG121&lt;0)),"DNS/DNF",($AH121-$AG121)/86400000)</f>
        <v>3.6636458333333334E-3</v>
      </c>
      <c r="AW121" s="62">
        <f>IF((OR($AI121=0,$AJ121=0,$AJ121-$AI121&lt;0)),"DNS/DNF",($AJ121-$AI121)/86400000)</f>
        <v>2.4075347222222224E-3</v>
      </c>
      <c r="AX121" s="62" t="str">
        <f>IF((OR($AK121=0,$AL121=0,$AL121-$AK121&lt;0)),"DNS/DNF",($AL121-$AK121)/86400000)</f>
        <v>DNS/DNF</v>
      </c>
      <c r="AY121" s="62">
        <f>IF((OR($AM121=0,$AM121=0,$AN121-$AM121&lt;0)),"DNS/DNF",($AN121-$AM121)/86400000)</f>
        <v>4.6113078703703706E-3</v>
      </c>
      <c r="AZ121" s="62" t="str">
        <f>IF((OR($AO121=0,$AP121=0,$AP121-$AO121&lt;0)),"DNS/DNF",($AP121-$AO121)/86400000)</f>
        <v>DNS/DNF</v>
      </c>
      <c r="BA121" s="62" t="str">
        <f>IF((OR($AQ121=0,$AR121=0,$AR121-$AQ121&lt;0)),"DNS/DNF",($AR121-$AQ121)/86400000)</f>
        <v>DNS/DNF</v>
      </c>
      <c r="BB121" s="62" t="str">
        <f>IF((OR($AS121=0,$AT121=0,$AT121-$AS121&lt;0)),"DNS/DNF",($AT121-$AS121)/86400000)</f>
        <v>DNS/DNF</v>
      </c>
      <c r="BC121" s="75">
        <f>IFERROR(ROUND(AVERAGE(O121:V121),0),"")</f>
        <v>226</v>
      </c>
      <c r="BD121" s="53" t="str">
        <f>IFERROR((INDEX(($AU$3:$AU$500)*86400000,MATCH(BC121,$O$3:$O$500,0))),"")</f>
        <v/>
      </c>
      <c r="BE121" s="53">
        <f>IFERROR((INDEX(($AV$3:$AV$500)*86400000,MATCH(BC121,$P$3:$P$500,0))),"")</f>
        <v>315578</v>
      </c>
      <c r="BF121" s="53">
        <f>IFERROR((INDEX(($AW$3:$AW$500)*86400000,MATCH(BC121,$Q$3:$Q$500,0))),"")</f>
        <v>190855</v>
      </c>
      <c r="BG121" s="53" t="str">
        <f>IFERROR((INDEX(($AX$3:$AX$500)*86400000,MATCH(BC121,$R$3:$R$500,0))),"")</f>
        <v/>
      </c>
      <c r="BH121" s="53">
        <f>IFERROR((INDEX(($AY$3:$AY$500)*86400000,MATCH(BC121,$S$3:$S$500,0))),"")</f>
        <v>421446.99999999994</v>
      </c>
      <c r="BI121" s="53" t="str">
        <f>IFERROR((INDEX(($AZ$3:$AZ$500)*86400000,MATCH(BC121,$T$3:$T$500,0))),"")</f>
        <v/>
      </c>
      <c r="BJ121" s="53" t="str">
        <f>IFERROR((INDEX(($BA$3:$BA$500)*86400000,MATCH(BC121,$U$3:$U$500,0))),"")</f>
        <v/>
      </c>
      <c r="BK121" s="53" t="str">
        <f>IFERROR((INDEX(($BB$3:$BB$500)*86400000,MATCH(BC121,$V$3:$V$500,0))),"")</f>
        <v/>
      </c>
    </row>
    <row r="122" spans="1:63">
      <c r="A122" s="53">
        <v>277</v>
      </c>
      <c r="B122" s="89" t="str">
        <f>IFERROR(VLOOKUP($A122,EntryList!$A$3:$N$645,2,FALSE),"")</f>
        <v>Stephen Wiggill</v>
      </c>
      <c r="C122" s="74"/>
      <c r="D122" s="53">
        <f t="shared" ref="D122:D123" si="175">COUNT($AU122:$BB122)</f>
        <v>5</v>
      </c>
      <c r="E122" s="62">
        <v>3.6482291666666664E-3</v>
      </c>
      <c r="F122" s="62">
        <v>3.1703703703703703E-3</v>
      </c>
      <c r="G122" s="62">
        <v>1.9763310185185183E-3</v>
      </c>
      <c r="H122" s="62">
        <v>3.6691550925925923E-3</v>
      </c>
      <c r="I122" s="62">
        <v>4.1305787037037031E-3</v>
      </c>
      <c r="J122" s="62"/>
      <c r="K122" s="62"/>
      <c r="L122" s="62"/>
      <c r="M122" s="62">
        <v>1.6594664351851852E-2</v>
      </c>
      <c r="N122" s="62">
        <f t="shared" ref="N122:N123" si="176">SUM($AU122:$BB122)</f>
        <v>1.6594664351851855E-2</v>
      </c>
      <c r="O122" s="53">
        <f t="shared" ref="O122:O123" si="177">IFERROR(RANK($AU122,AU$3:AU$500,1),"")</f>
        <v>121</v>
      </c>
      <c r="P122" s="53">
        <f t="shared" ref="P122:P123" si="178">IFERROR(RANK($AV122,AV$3:AV$500,1),"")</f>
        <v>158</v>
      </c>
      <c r="Q122" s="53">
        <f t="shared" ref="Q122:Q123" si="179">IFERROR(RANK($AW122,AW$3:AW$500,1),"")</f>
        <v>196</v>
      </c>
      <c r="R122" s="53">
        <f t="shared" ref="R122:R123" si="180">IFERROR(RANK($AX122,AX$3:AX$500,1),"")</f>
        <v>118</v>
      </c>
      <c r="S122" s="53">
        <f t="shared" ref="S122:S123" si="181">IFERROR(RANK($AY122,AY$3:AY$500,1),"")</f>
        <v>137</v>
      </c>
      <c r="T122" s="53" t="str">
        <f t="shared" ref="T122:T123" si="182">IFERROR(RANK($AZ122,AZ$3:AZ$500,1),"")</f>
        <v/>
      </c>
      <c r="U122" s="53" t="str">
        <f t="shared" ref="U122:U123" si="183">IFERROR(RANK($BA122,BA$3:BA$500,1),"")</f>
        <v/>
      </c>
      <c r="V122" s="53" t="str">
        <f t="shared" ref="V122:V123" si="184">IFERROR(RANK($BB122,BB$3:BB$500,1),"")</f>
        <v/>
      </c>
      <c r="W122" s="53" t="str">
        <f>CONCATENATE(TEXT($AU122,"[hh]:mm:ss.0")," ","(",$O122,")")</f>
        <v>00:05:15.2 (121)</v>
      </c>
      <c r="X122" s="53" t="str">
        <f t="shared" ref="X122:X123" si="185">CONCATENATE(TEXT($AV122,"[hh]:mm:ss.0")," ","(",$P122,")")</f>
        <v>00:04:33.9 (158)</v>
      </c>
      <c r="Y122" s="53" t="str">
        <f t="shared" ref="Y122:Y123" si="186">CONCATENATE(TEXT($AW122,"[hh]:mm:ss.0")," ","(",$Q122,")")</f>
        <v>00:02:50.8 (196)</v>
      </c>
      <c r="Z122" s="53" t="str">
        <f t="shared" ref="Z122:Z123" si="187">CONCATENATE(TEXT($AX122,"[hh]:mm:ss.0")," ","(",$R122,")")</f>
        <v>00:05:17.0 (118)</v>
      </c>
      <c r="AA122" s="53" t="str">
        <f t="shared" ref="AA122:AA123" si="188">CONCATENATE(TEXT($AY122,"[hh]:mm:ss.0")," ","(",$S122,")")</f>
        <v>00:05:56.9 (137)</v>
      </c>
      <c r="AB122" s="53" t="str">
        <f t="shared" ref="AB122:AB123" si="189">CONCATENATE(TEXT($AZ122,"[hh]:mm:ss.0")," ","(",$T122,")")</f>
        <v>DNS/DNF ()</v>
      </c>
      <c r="AC122" s="53" t="str">
        <f t="shared" ref="AC122:AC123" si="190">CONCATENATE(TEXT($BA122,"[hh]:mm:ss.0")," ","(",$U122,")")</f>
        <v>DNS/DNF ()</v>
      </c>
      <c r="AD122" s="53" t="str">
        <f t="shared" ref="AD122:AD123" si="191">CONCATENATE(TEXT($BB122,"[hh]:mm:ss.0")," ","(",$V122,")")</f>
        <v>DNS/DNF ()</v>
      </c>
      <c r="AE122" s="53">
        <v>32834123</v>
      </c>
      <c r="AF122" s="53">
        <v>33149330</v>
      </c>
      <c r="AG122" s="53">
        <v>30773473</v>
      </c>
      <c r="AH122" s="53">
        <v>31047393</v>
      </c>
      <c r="AI122" s="53">
        <v>35089105</v>
      </c>
      <c r="AJ122" s="53">
        <v>35259860</v>
      </c>
      <c r="AK122" s="53">
        <v>39905301</v>
      </c>
      <c r="AL122" s="53">
        <v>40222316</v>
      </c>
      <c r="AM122" s="53">
        <v>44461358</v>
      </c>
      <c r="AN122" s="53">
        <v>44818240</v>
      </c>
      <c r="AO122" s="53">
        <v>0</v>
      </c>
      <c r="AP122" s="53">
        <v>0</v>
      </c>
      <c r="AQ122" s="53">
        <v>0</v>
      </c>
      <c r="AR122" s="53">
        <v>0</v>
      </c>
      <c r="AS122" s="53">
        <v>0</v>
      </c>
      <c r="AT122" s="53">
        <v>0</v>
      </c>
      <c r="AU122" s="62">
        <f t="shared" ref="AU122:AU123" si="192">IF((OR($AE122=0,$AF122=0,$AF122-$AE122&lt;0)),"DNS/DNF",($AF122-$AE122)/86400000)</f>
        <v>3.6482291666666668E-3</v>
      </c>
      <c r="AV122" s="62">
        <f t="shared" ref="AV122:AV123" si="193">IF((OR($AG122=0,$AH122=0,$AH122-$AG122&lt;0)),"DNS/DNF",($AH122-$AG122)/86400000)</f>
        <v>3.1703703703703703E-3</v>
      </c>
      <c r="AW122" s="62">
        <f t="shared" ref="AW122:AW123" si="194">IF((OR($AI122=0,$AJ122=0,$AJ122-$AI122&lt;0)),"DNS/DNF",($AJ122-$AI122)/86400000)</f>
        <v>1.9763310185185183E-3</v>
      </c>
      <c r="AX122" s="62">
        <f t="shared" ref="AX122:AX123" si="195">IF((OR($AK122=0,$AL122=0,$AL122-$AK122&lt;0)),"DNS/DNF",($AL122-$AK122)/86400000)</f>
        <v>3.6691550925925928E-3</v>
      </c>
      <c r="AY122" s="62">
        <f t="shared" ref="AY122:AY123" si="196">IF((OR($AM122=0,$AM122=0,$AN122-$AM122&lt;0)),"DNS/DNF",($AN122-$AM122)/86400000)</f>
        <v>4.130578703703704E-3</v>
      </c>
      <c r="AZ122" s="62" t="str">
        <f t="shared" ref="AZ122:AZ123" si="197">IF((OR($AO122=0,$AP122=0,$AP122-$AO122&lt;0)),"DNS/DNF",($AP122-$AO122)/86400000)</f>
        <v>DNS/DNF</v>
      </c>
      <c r="BA122" s="62" t="str">
        <f t="shared" ref="BA122:BA123" si="198">IF((OR($AQ122=0,$AR122=0,$AR122-$AQ122&lt;0)),"DNS/DNF",($AR122-$AQ122)/86400000)</f>
        <v>DNS/DNF</v>
      </c>
      <c r="BB122" s="62" t="str">
        <f t="shared" ref="BB122:BB123" si="199">IF((OR($AS122=0,$AT122=0,$AT122-$AS122&lt;0)),"DNS/DNF",($AT122-$AS122)/86400000)</f>
        <v>DNS/DNF</v>
      </c>
      <c r="BC122" s="75">
        <f t="shared" ref="BC122:BC123" si="200">IFERROR(ROUND(AVERAGE(O122:V122),0),"")</f>
        <v>146</v>
      </c>
      <c r="BD122" s="53">
        <f t="shared" ref="BD122:BD123" si="201">IFERROR((INDEX(($AU$3:$AU$500)*86400000,MATCH(BC122,$O$3:$O$500,0))),"")</f>
        <v>480533</v>
      </c>
      <c r="BE122" s="53">
        <f t="shared" ref="BE122:BE123" si="202">IFERROR((INDEX(($AV$3:$AV$500)*86400000,MATCH(BC122,$P$3:$P$500,0))),"")</f>
        <v>271425</v>
      </c>
      <c r="BF122" s="53">
        <f t="shared" ref="BF122:BF123" si="203">IFERROR((INDEX(($AW$3:$AW$500)*86400000,MATCH(BC122,$Q$3:$Q$500,0))),"")</f>
        <v>157789</v>
      </c>
      <c r="BG122" s="53">
        <f t="shared" ref="BG122:BG123" si="204">IFERROR((INDEX(($AX$3:$AX$500)*86400000,MATCH(BC122,$R$3:$R$500,0))),"")</f>
        <v>691026.99999999988</v>
      </c>
      <c r="BH122" s="53">
        <f t="shared" ref="BH122:BH123" si="205">IFERROR((INDEX(($AY$3:$AY$500)*86400000,MATCH(BC122,$S$3:$S$500,0))),"")</f>
        <v>359633</v>
      </c>
      <c r="BI122" s="53" t="str">
        <f t="shared" ref="BI122:BI123" si="206">IFERROR((INDEX(($AZ$3:$AZ$500)*86400000,MATCH(BC122,$T$3:$T$500,0))),"")</f>
        <v/>
      </c>
      <c r="BJ122" s="53" t="str">
        <f t="shared" ref="BJ122:BJ123" si="207">IFERROR((INDEX(($BA$3:$BA$500)*86400000,MATCH(BC122,$U$3:$U$500,0))),"")</f>
        <v/>
      </c>
      <c r="BK122" s="53" t="str">
        <f t="shared" ref="BK122:BK123" si="208">IFERROR((INDEX(($BB$3:$BB$500)*86400000,MATCH(BC122,$V$3:$V$500,0))),"")</f>
        <v/>
      </c>
    </row>
    <row r="123" spans="1:63">
      <c r="A123" s="53">
        <v>253</v>
      </c>
      <c r="B123" s="89" t="str">
        <f>IFERROR(VLOOKUP($A123,EntryList!$A$3:$N$645,2,FALSE),"")</f>
        <v>Ethan Hunter</v>
      </c>
      <c r="C123" s="74"/>
      <c r="D123" s="53">
        <f t="shared" si="175"/>
        <v>5</v>
      </c>
      <c r="E123" s="62">
        <v>2.5298611111111108E-3</v>
      </c>
      <c r="F123" s="62">
        <v>2.5657523148148145E-3</v>
      </c>
      <c r="G123" s="62">
        <v>1.4077430555555553E-3</v>
      </c>
      <c r="H123" s="62">
        <v>2.8599652777777777E-3</v>
      </c>
      <c r="I123" s="62">
        <v>3.5483449074074076E-3</v>
      </c>
      <c r="J123" s="62"/>
      <c r="K123" s="62"/>
      <c r="L123" s="62"/>
      <c r="M123" s="62">
        <v>1.2911666666666667E-2</v>
      </c>
      <c r="N123" s="62">
        <f t="shared" si="176"/>
        <v>1.2911666666666667E-2</v>
      </c>
      <c r="O123" s="53">
        <f t="shared" si="177"/>
        <v>35</v>
      </c>
      <c r="P123" s="53">
        <f t="shared" si="178"/>
        <v>21</v>
      </c>
      <c r="Q123" s="53">
        <f t="shared" si="179"/>
        <v>17</v>
      </c>
      <c r="R123" s="53">
        <f t="shared" si="180"/>
        <v>26</v>
      </c>
      <c r="S123" s="53">
        <f t="shared" si="181"/>
        <v>26</v>
      </c>
      <c r="T123" s="53" t="str">
        <f t="shared" si="182"/>
        <v/>
      </c>
      <c r="U123" s="53" t="str">
        <f t="shared" si="183"/>
        <v/>
      </c>
      <c r="V123" s="53" t="str">
        <f t="shared" si="184"/>
        <v/>
      </c>
      <c r="W123" s="53" t="str">
        <f t="shared" ref="W123" si="209">CONCATENATE(TEXT($AU123,"[hh]:mm:ss.0")," ","(",$O123,")")</f>
        <v>00:03:38.6 (35)</v>
      </c>
      <c r="X123" s="53" t="str">
        <f t="shared" si="185"/>
        <v>00:03:41.7 (21)</v>
      </c>
      <c r="Y123" s="53" t="str">
        <f t="shared" si="186"/>
        <v>00:02:01.6 (17)</v>
      </c>
      <c r="Z123" s="53" t="str">
        <f t="shared" si="187"/>
        <v>00:04:07.1 (26)</v>
      </c>
      <c r="AA123" s="53" t="str">
        <f t="shared" si="188"/>
        <v>00:05:06.6 (26)</v>
      </c>
      <c r="AB123" s="53" t="str">
        <f t="shared" si="189"/>
        <v>DNS/DNF ()</v>
      </c>
      <c r="AC123" s="53" t="str">
        <f t="shared" si="190"/>
        <v>DNS/DNF ()</v>
      </c>
      <c r="AD123" s="53" t="str">
        <f t="shared" si="191"/>
        <v>DNS/DNF ()</v>
      </c>
      <c r="AE123" s="53">
        <v>31827678</v>
      </c>
      <c r="AF123" s="53">
        <v>32046258</v>
      </c>
      <c r="AG123" s="53">
        <v>35526449</v>
      </c>
      <c r="AH123" s="53">
        <v>35748130</v>
      </c>
      <c r="AI123" s="53">
        <v>38451216</v>
      </c>
      <c r="AJ123" s="53">
        <v>38572845</v>
      </c>
      <c r="AK123" s="53">
        <v>42249264</v>
      </c>
      <c r="AL123" s="53">
        <v>42496365</v>
      </c>
      <c r="AM123" s="53">
        <v>44600164</v>
      </c>
      <c r="AN123" s="53">
        <v>44906741</v>
      </c>
      <c r="AO123" s="53">
        <v>0</v>
      </c>
      <c r="AP123" s="53">
        <v>0</v>
      </c>
      <c r="AQ123" s="53">
        <v>0</v>
      </c>
      <c r="AR123" s="53">
        <v>0</v>
      </c>
      <c r="AS123" s="53">
        <v>0</v>
      </c>
      <c r="AT123" s="53">
        <v>0</v>
      </c>
      <c r="AU123" s="62">
        <f t="shared" si="192"/>
        <v>2.5298611111111112E-3</v>
      </c>
      <c r="AV123" s="62">
        <f t="shared" si="193"/>
        <v>2.565752314814815E-3</v>
      </c>
      <c r="AW123" s="62">
        <f t="shared" si="194"/>
        <v>1.4077430555555555E-3</v>
      </c>
      <c r="AX123" s="62">
        <f t="shared" si="195"/>
        <v>2.8599652777777777E-3</v>
      </c>
      <c r="AY123" s="62">
        <f t="shared" si="196"/>
        <v>3.5483449074074076E-3</v>
      </c>
      <c r="AZ123" s="62" t="str">
        <f t="shared" si="197"/>
        <v>DNS/DNF</v>
      </c>
      <c r="BA123" s="62" t="str">
        <f t="shared" si="198"/>
        <v>DNS/DNF</v>
      </c>
      <c r="BB123" s="62" t="str">
        <f t="shared" si="199"/>
        <v>DNS/DNF</v>
      </c>
      <c r="BC123" s="75">
        <f t="shared" si="200"/>
        <v>25</v>
      </c>
      <c r="BD123" s="53">
        <f t="shared" si="201"/>
        <v>212902.00000000003</v>
      </c>
      <c r="BE123" s="53">
        <f t="shared" si="202"/>
        <v>222882.99999999997</v>
      </c>
      <c r="BF123" s="53" t="str">
        <f t="shared" si="203"/>
        <v/>
      </c>
      <c r="BG123" s="53">
        <f t="shared" si="204"/>
        <v>246973.99999999997</v>
      </c>
      <c r="BH123" s="53">
        <f t="shared" si="205"/>
        <v>305208</v>
      </c>
      <c r="BI123" s="53" t="str">
        <f t="shared" si="206"/>
        <v/>
      </c>
      <c r="BJ123" s="53" t="str">
        <f t="shared" si="207"/>
        <v/>
      </c>
      <c r="BK123" s="53" t="str">
        <f t="shared" si="208"/>
        <v/>
      </c>
    </row>
    <row r="124" spans="1:63">
      <c r="A124" s="53">
        <v>85</v>
      </c>
      <c r="B124" s="89" t="str">
        <f>IFERROR(VLOOKUP($A124,EntryList!$A$3:$N$645,2,FALSE),"")</f>
        <v>Alec Retief</v>
      </c>
      <c r="C124" s="74"/>
      <c r="D124" s="53">
        <f>COUNT($AU124:$BB124)</f>
        <v>3</v>
      </c>
      <c r="E124" s="62"/>
      <c r="F124" s="62">
        <v>3.7067129629629624E-3</v>
      </c>
      <c r="G124" s="62">
        <v>1.91E-3</v>
      </c>
      <c r="H124" s="62"/>
      <c r="I124" s="62">
        <v>4.4531828703703704E-3</v>
      </c>
      <c r="J124" s="62"/>
      <c r="K124" s="62"/>
      <c r="L124" s="62"/>
      <c r="M124" s="62">
        <v>1.0069895833333333E-2</v>
      </c>
      <c r="N124" s="62">
        <f>SUM($AU124:$BB124)</f>
        <v>1.0069895833333333E-2</v>
      </c>
      <c r="O124" s="53" t="str">
        <f>IFERROR(RANK($AU124,AU$3:AU$500,1),"")</f>
        <v/>
      </c>
      <c r="P124" s="53">
        <f>IFERROR(RANK($AV124,AV$3:AV$500,1),"")</f>
        <v>229</v>
      </c>
      <c r="Q124" s="53">
        <f>IFERROR(RANK($AW124,AW$3:AW$500,1),"")</f>
        <v>184</v>
      </c>
      <c r="R124" s="53" t="str">
        <f>IFERROR(RANK($AX124,AX$3:AX$500,1),"")</f>
        <v/>
      </c>
      <c r="S124" s="53">
        <f>IFERROR(RANK($AY124,AY$3:AY$500,1),"")</f>
        <v>189</v>
      </c>
      <c r="T124" s="53" t="str">
        <f>IFERROR(RANK($AZ124,AZ$3:AZ$500,1),"")</f>
        <v/>
      </c>
      <c r="U124" s="53" t="str">
        <f>IFERROR(RANK($BA124,BA$3:BA$500,1),"")</f>
        <v/>
      </c>
      <c r="V124" s="53" t="str">
        <f>IFERROR(RANK($BB124,BB$3:BB$500,1),"")</f>
        <v/>
      </c>
      <c r="W124" s="53" t="str">
        <f>CONCATENATE(TEXT($AU124,"[hh]:mm:ss.0")," ","(",$O124,")")</f>
        <v>DNS/DNF ()</v>
      </c>
      <c r="X124" s="53" t="str">
        <f>CONCATENATE(TEXT($AV124,"[hh]:mm:ss.0")," ","(",$P124,")")</f>
        <v>00:05:20.3 (229)</v>
      </c>
      <c r="Y124" s="53" t="str">
        <f>CONCATENATE(TEXT($AW124,"[hh]:mm:ss.0")," ","(",$Q124,")")</f>
        <v>00:02:45.0 (184)</v>
      </c>
      <c r="Z124" s="53" t="str">
        <f>CONCATENATE(TEXT($AX124,"[hh]:mm:ss.0")," ","(",$R124,")")</f>
        <v>DNS/DNF ()</v>
      </c>
      <c r="AA124" s="53" t="str">
        <f>CONCATENATE(TEXT($AY124,"[hh]:mm:ss.0")," ","(",$S124,")")</f>
        <v>00:06:24.8 (189)</v>
      </c>
      <c r="AB124" s="53" t="str">
        <f>CONCATENATE(TEXT($AZ124,"[hh]:mm:ss.0")," ","(",$T124,")")</f>
        <v>DNS/DNF ()</v>
      </c>
      <c r="AC124" s="53" t="str">
        <f>CONCATENATE(TEXT($BA124,"[hh]:mm:ss.0")," ","(",$U124,")")</f>
        <v>DNS/DNF ()</v>
      </c>
      <c r="AD124" s="53" t="str">
        <f>CONCATENATE(TEXT($BB124,"[hh]:mm:ss.0")," ","(",$V124,")")</f>
        <v>DNS/DNF ()</v>
      </c>
      <c r="AE124" s="53">
        <v>0</v>
      </c>
      <c r="AF124" s="53">
        <v>0</v>
      </c>
      <c r="AG124" s="53">
        <v>36522238</v>
      </c>
      <c r="AH124" s="53">
        <v>36842498</v>
      </c>
      <c r="AI124" s="53">
        <v>40676272</v>
      </c>
      <c r="AJ124" s="53">
        <v>40841296</v>
      </c>
      <c r="AK124" s="53">
        <v>0</v>
      </c>
      <c r="AL124" s="53">
        <v>0</v>
      </c>
      <c r="AM124" s="53">
        <v>44705462</v>
      </c>
      <c r="AN124" s="53">
        <v>45090217</v>
      </c>
      <c r="AO124" s="53">
        <v>0</v>
      </c>
      <c r="AP124" s="53">
        <v>0</v>
      </c>
      <c r="AQ124" s="53">
        <v>0</v>
      </c>
      <c r="AR124" s="53">
        <v>0</v>
      </c>
      <c r="AS124" s="53">
        <v>0</v>
      </c>
      <c r="AT124" s="53">
        <v>0</v>
      </c>
      <c r="AU124" s="62" t="str">
        <f>IF((OR($AE124=0,$AF124=0,$AF124-$AE124&lt;0)),"DNS/DNF",($AF124-$AE124)/86400000)</f>
        <v>DNS/DNF</v>
      </c>
      <c r="AV124" s="62">
        <f>IF((OR($AG124=0,$AH124=0,$AH124-$AG124&lt;0)),"DNS/DNF",($AH124-$AG124)/86400000)</f>
        <v>3.7067129629629629E-3</v>
      </c>
      <c r="AW124" s="62">
        <f>IF((OR($AI124=0,$AJ124=0,$AJ124-$AI124&lt;0)),"DNS/DNF",($AJ124-$AI124)/86400000)</f>
        <v>1.91E-3</v>
      </c>
      <c r="AX124" s="62" t="str">
        <f>IF((OR($AK124=0,$AL124=0,$AL124-$AK124&lt;0)),"DNS/DNF",($AL124-$AK124)/86400000)</f>
        <v>DNS/DNF</v>
      </c>
      <c r="AY124" s="62">
        <f>IF((OR($AM124=0,$AM124=0,$AN124-$AM124&lt;0)),"DNS/DNF",($AN124-$AM124)/86400000)</f>
        <v>4.4531828703703704E-3</v>
      </c>
      <c r="AZ124" s="62" t="str">
        <f>IF((OR($AO124=0,$AP124=0,$AP124-$AO124&lt;0)),"DNS/DNF",($AP124-$AO124)/86400000)</f>
        <v>DNS/DNF</v>
      </c>
      <c r="BA124" s="62" t="str">
        <f>IF((OR($AQ124=0,$AR124=0,$AR124-$AQ124&lt;0)),"DNS/DNF",($AR124-$AQ124)/86400000)</f>
        <v>DNS/DNF</v>
      </c>
      <c r="BB124" s="62" t="str">
        <f>IF((OR($AS124=0,$AT124=0,$AT124-$AS124&lt;0)),"DNS/DNF",($AT124-$AS124)/86400000)</f>
        <v>DNS/DNF</v>
      </c>
      <c r="BC124" s="75">
        <f>IFERROR(ROUND(AVERAGE(O124:V124),0),"")</f>
        <v>201</v>
      </c>
      <c r="BD124" s="53" t="str">
        <f>IFERROR((INDEX(($AU$3:$AU$500)*86400000,MATCH(BC124,$O$3:$O$500,0))),"")</f>
        <v/>
      </c>
      <c r="BE124" s="53">
        <f>IFERROR((INDEX(($AV$3:$AV$500)*86400000,MATCH(BC124,$P$3:$P$500,0))),"")</f>
        <v>291250</v>
      </c>
      <c r="BF124" s="53">
        <f>IFERROR((INDEX(($AW$3:$AW$500)*86400000,MATCH(BC124,$Q$3:$Q$500,0))),"")</f>
        <v>172727.99999999997</v>
      </c>
      <c r="BG124" s="53" t="str">
        <f>IFERROR((INDEX(($AX$3:$AX$500)*86400000,MATCH(BC124,$R$3:$R$500,0))),"")</f>
        <v/>
      </c>
      <c r="BH124" s="53">
        <f>IFERROR((INDEX(($AY$3:$AY$500)*86400000,MATCH(BC124,$S$3:$S$500,0))),"")</f>
        <v>392688.99999999994</v>
      </c>
      <c r="BI124" s="53" t="str">
        <f>IFERROR((INDEX(($AZ$3:$AZ$500)*86400000,MATCH(BC124,$T$3:$T$500,0))),"")</f>
        <v/>
      </c>
      <c r="BJ124" s="53" t="str">
        <f>IFERROR((INDEX(($BA$3:$BA$500)*86400000,MATCH(BC124,$U$3:$U$500,0))),"")</f>
        <v/>
      </c>
      <c r="BK124" s="53" t="str">
        <f>IFERROR((INDEX(($BB$3:$BB$500)*86400000,MATCH(BC124,$V$3:$V$500,0))),"")</f>
        <v/>
      </c>
    </row>
    <row r="125" spans="1:63">
      <c r="A125" s="53">
        <v>51</v>
      </c>
      <c r="B125" s="89" t="str">
        <f>IFERROR(VLOOKUP($A125,EntryList!$A$3:$N$645,2,FALSE),"")</f>
        <v>Edwin De Swardt</v>
      </c>
      <c r="C125" s="74"/>
      <c r="D125" s="53">
        <f t="shared" ref="D125:D127" si="210">COUNT($AU125:$BB125)</f>
        <v>1</v>
      </c>
      <c r="E125" s="62">
        <v>3.2522569444444448E-3</v>
      </c>
      <c r="F125" s="62"/>
      <c r="G125" s="62"/>
      <c r="H125" s="62"/>
      <c r="I125" s="62"/>
      <c r="J125" s="62"/>
      <c r="K125" s="62"/>
      <c r="L125" s="62"/>
      <c r="M125" s="62">
        <v>3.2522569444444448E-3</v>
      </c>
      <c r="N125" s="62">
        <f t="shared" ref="N125:N127" si="211">SUM($AU125:$BB125)</f>
        <v>3.2522569444444443E-3</v>
      </c>
      <c r="O125" s="53">
        <f t="shared" ref="O125:O127" si="212">IFERROR(RANK($AU125,AU$3:AU$500,1),"")</f>
        <v>102</v>
      </c>
      <c r="P125" s="53" t="str">
        <f t="shared" ref="P125:P127" si="213">IFERROR(RANK($AV125,AV$3:AV$500,1),"")</f>
        <v/>
      </c>
      <c r="Q125" s="53" t="str">
        <f t="shared" ref="Q125:Q127" si="214">IFERROR(RANK($AW125,AW$3:AW$500,1),"")</f>
        <v/>
      </c>
      <c r="R125" s="53" t="str">
        <f t="shared" ref="R125:R127" si="215">IFERROR(RANK($AX125,AX$3:AX$500,1),"")</f>
        <v/>
      </c>
      <c r="S125" s="53" t="str">
        <f t="shared" ref="S125:S127" si="216">IFERROR(RANK($AY125,AY$3:AY$500,1),"")</f>
        <v/>
      </c>
      <c r="T125" s="53" t="str">
        <f t="shared" ref="T125:T127" si="217">IFERROR(RANK($AZ125,AZ$3:AZ$500,1),"")</f>
        <v/>
      </c>
      <c r="U125" s="53" t="str">
        <f t="shared" ref="U125:U127" si="218">IFERROR(RANK($BA125,BA$3:BA$500,1),"")</f>
        <v/>
      </c>
      <c r="V125" s="53" t="str">
        <f t="shared" ref="V125:V127" si="219">IFERROR(RANK($BB125,BB$3:BB$500,1),"")</f>
        <v/>
      </c>
      <c r="W125" s="53" t="str">
        <f>CONCATENATE(TEXT($AU125,"[hh]:mm:ss.0")," ","(",$O125,")")</f>
        <v>00:04:41.0 (102)</v>
      </c>
      <c r="X125" s="53" t="str">
        <f t="shared" ref="X125:X127" si="220">CONCATENATE(TEXT($AV125,"[hh]:mm:ss.0")," ","(",$P125,")")</f>
        <v>DNS/DNF ()</v>
      </c>
      <c r="Y125" s="53" t="str">
        <f t="shared" ref="Y125:Y127" si="221">CONCATENATE(TEXT($AW125,"[hh]:mm:ss.0")," ","(",$Q125,")")</f>
        <v>DNS/DNF ()</v>
      </c>
      <c r="Z125" s="53" t="str">
        <f t="shared" ref="Z125:Z127" si="222">CONCATENATE(TEXT($AX125,"[hh]:mm:ss.0")," ","(",$R125,")")</f>
        <v>DNS/DNF ()</v>
      </c>
      <c r="AA125" s="53" t="str">
        <f t="shared" ref="AA125:AA127" si="223">CONCATENATE(TEXT($AY125,"[hh]:mm:ss.0")," ","(",$S125,")")</f>
        <v>DNS/DNF ()</v>
      </c>
      <c r="AB125" s="53" t="str">
        <f t="shared" ref="AB125:AB127" si="224">CONCATENATE(TEXT($AZ125,"[hh]:mm:ss.0")," ","(",$T125,")")</f>
        <v>DNS/DNF ()</v>
      </c>
      <c r="AC125" s="53" t="str">
        <f t="shared" ref="AC125:AC127" si="225">CONCATENATE(TEXT($BA125,"[hh]:mm:ss.0")," ","(",$U125,")")</f>
        <v>DNS/DNF ()</v>
      </c>
      <c r="AD125" s="53" t="str">
        <f t="shared" ref="AD125:AD127" si="226">CONCATENATE(TEXT($BB125,"[hh]:mm:ss.0")," ","(",$V125,")")</f>
        <v>DNS/DNF ()</v>
      </c>
      <c r="AE125" s="53">
        <v>33064479</v>
      </c>
      <c r="AF125" s="53">
        <v>33345474</v>
      </c>
      <c r="AG125" s="53">
        <v>0</v>
      </c>
      <c r="AH125" s="53">
        <v>0</v>
      </c>
      <c r="AI125" s="53">
        <v>36511439</v>
      </c>
      <c r="AJ125" s="53">
        <v>0</v>
      </c>
      <c r="AK125" s="53">
        <v>0</v>
      </c>
      <c r="AL125" s="53">
        <v>0</v>
      </c>
      <c r="AM125" s="53">
        <v>0</v>
      </c>
      <c r="AN125" s="53">
        <v>0</v>
      </c>
      <c r="AO125" s="53">
        <v>0</v>
      </c>
      <c r="AP125" s="53">
        <v>0</v>
      </c>
      <c r="AQ125" s="53">
        <v>0</v>
      </c>
      <c r="AR125" s="53">
        <v>0</v>
      </c>
      <c r="AS125" s="53">
        <v>0</v>
      </c>
      <c r="AT125" s="53">
        <v>0</v>
      </c>
      <c r="AU125" s="62">
        <f t="shared" ref="AU125:AU127" si="227">IF((OR($AE125=0,$AF125=0,$AF125-$AE125&lt;0)),"DNS/DNF",($AF125-$AE125)/86400000)</f>
        <v>3.2522569444444443E-3</v>
      </c>
      <c r="AV125" s="62" t="str">
        <f t="shared" ref="AV125:AV127" si="228">IF((OR($AG125=0,$AH125=0,$AH125-$AG125&lt;0)),"DNS/DNF",($AH125-$AG125)/86400000)</f>
        <v>DNS/DNF</v>
      </c>
      <c r="AW125" s="62" t="str">
        <f t="shared" ref="AW125:AW127" si="229">IF((OR($AI125=0,$AJ125=0,$AJ125-$AI125&lt;0)),"DNS/DNF",($AJ125-$AI125)/86400000)</f>
        <v>DNS/DNF</v>
      </c>
      <c r="AX125" s="62" t="str">
        <f t="shared" ref="AX125:AX127" si="230">IF((OR($AK125=0,$AL125=0,$AL125-$AK125&lt;0)),"DNS/DNF",($AL125-$AK125)/86400000)</f>
        <v>DNS/DNF</v>
      </c>
      <c r="AY125" s="62" t="str">
        <f t="shared" ref="AY125:AY127" si="231">IF((OR($AM125=0,$AM125=0,$AN125-$AM125&lt;0)),"DNS/DNF",($AN125-$AM125)/86400000)</f>
        <v>DNS/DNF</v>
      </c>
      <c r="AZ125" s="62" t="str">
        <f t="shared" ref="AZ125:AZ127" si="232">IF((OR($AO125=0,$AP125=0,$AP125-$AO125&lt;0)),"DNS/DNF",($AP125-$AO125)/86400000)</f>
        <v>DNS/DNF</v>
      </c>
      <c r="BA125" s="62" t="str">
        <f t="shared" ref="BA125:BA127" si="233">IF((OR($AQ125=0,$AR125=0,$AR125-$AQ125&lt;0)),"DNS/DNF",($AR125-$AQ125)/86400000)</f>
        <v>DNS/DNF</v>
      </c>
      <c r="BB125" s="62" t="str">
        <f t="shared" ref="BB125:BB127" si="234">IF((OR($AS125=0,$AT125=0,$AT125-$AS125&lt;0)),"DNS/DNF",($AT125-$AS125)/86400000)</f>
        <v>DNS/DNF</v>
      </c>
      <c r="BC125" s="75">
        <f t="shared" ref="BC125:BC127" si="235">IFERROR(ROUND(AVERAGE(O125:V125),0),"")</f>
        <v>102</v>
      </c>
      <c r="BD125" s="53">
        <f t="shared" ref="BD125:BD127" si="236">IFERROR((INDEX(($AU$3:$AU$500)*86400000,MATCH(BC125,$O$3:$O$500,0))),"")</f>
        <v>280995</v>
      </c>
      <c r="BE125" s="53">
        <f t="shared" ref="BE125:BE127" si="237">IFERROR((INDEX(($AV$3:$AV$500)*86400000,MATCH(BC125,$P$3:$P$500,0))),"")</f>
        <v>254250</v>
      </c>
      <c r="BF125" s="53">
        <f t="shared" ref="BF125:BF127" si="238">IFERROR((INDEX(($AW$3:$AW$500)*86400000,MATCH(BC125,$Q$3:$Q$500,0))),"")</f>
        <v>146362</v>
      </c>
      <c r="BG125" s="53">
        <f t="shared" ref="BG125:BG127" si="239">IFERROR((INDEX(($AX$3:$AX$500)*86400000,MATCH(BC125,$R$3:$R$500,0))),"")</f>
        <v>301363</v>
      </c>
      <c r="BH125" s="53">
        <f t="shared" ref="BH125:BH127" si="240">IFERROR((INDEX(($AY$3:$AY$500)*86400000,MATCH(BC125,$S$3:$S$500,0))),"")</f>
        <v>343836</v>
      </c>
      <c r="BI125" s="53" t="str">
        <f t="shared" ref="BI125:BI127" si="241">IFERROR((INDEX(($AZ$3:$AZ$500)*86400000,MATCH(BC125,$T$3:$T$500,0))),"")</f>
        <v/>
      </c>
      <c r="BJ125" s="53" t="str">
        <f t="shared" ref="BJ125:BJ127" si="242">IFERROR((INDEX(($BA$3:$BA$500)*86400000,MATCH(BC125,$U$3:$U$500,0))),"")</f>
        <v/>
      </c>
      <c r="BK125" s="53" t="str">
        <f t="shared" ref="BK125:BK127" si="243">IFERROR((INDEX(($BB$3:$BB$500)*86400000,MATCH(BC125,$V$3:$V$500,0))),"")</f>
        <v/>
      </c>
    </row>
    <row r="126" spans="1:63">
      <c r="A126" s="53">
        <v>153</v>
      </c>
      <c r="B126" s="89" t="str">
        <f>IFERROR(VLOOKUP($A126,EntryList!$A$3:$N$645,2,FALSE),"")</f>
        <v>Harry Millar</v>
      </c>
      <c r="C126" s="74"/>
      <c r="D126" s="53">
        <f t="shared" si="210"/>
        <v>2</v>
      </c>
      <c r="E126" s="62"/>
      <c r="F126" s="62">
        <v>2.7959606481481481E-3</v>
      </c>
      <c r="G126" s="62">
        <v>1.7545601851851852E-3</v>
      </c>
      <c r="H126" s="62"/>
      <c r="I126" s="62"/>
      <c r="J126" s="62"/>
      <c r="K126" s="62"/>
      <c r="L126" s="62"/>
      <c r="M126" s="62">
        <v>4.5505208333333326E-3</v>
      </c>
      <c r="N126" s="62">
        <f t="shared" si="211"/>
        <v>4.5505208333333335E-3</v>
      </c>
      <c r="O126" s="53" t="str">
        <f t="shared" si="212"/>
        <v/>
      </c>
      <c r="P126" s="53">
        <f t="shared" si="213"/>
        <v>65</v>
      </c>
      <c r="Q126" s="53">
        <f t="shared" si="214"/>
        <v>121</v>
      </c>
      <c r="R126" s="53" t="str">
        <f t="shared" si="215"/>
        <v/>
      </c>
      <c r="S126" s="53" t="str">
        <f t="shared" si="216"/>
        <v/>
      </c>
      <c r="T126" s="53" t="str">
        <f t="shared" si="217"/>
        <v/>
      </c>
      <c r="U126" s="53" t="str">
        <f t="shared" si="218"/>
        <v/>
      </c>
      <c r="V126" s="53" t="str">
        <f t="shared" si="219"/>
        <v/>
      </c>
      <c r="W126" s="53" t="str">
        <f t="shared" ref="W126:W127" si="244">CONCATENATE(TEXT($AU126,"[hh]:mm:ss.0")," ","(",$O126,")")</f>
        <v>DNS/DNF ()</v>
      </c>
      <c r="X126" s="53" t="str">
        <f t="shared" si="220"/>
        <v>00:04:01.6 (65)</v>
      </c>
      <c r="Y126" s="53" t="str">
        <f t="shared" si="221"/>
        <v>00:02:31.6 (121)</v>
      </c>
      <c r="Z126" s="53" t="str">
        <f t="shared" si="222"/>
        <v>DNS/DNF ()</v>
      </c>
      <c r="AA126" s="53" t="str">
        <f t="shared" si="223"/>
        <v>DNS/DNF ()</v>
      </c>
      <c r="AB126" s="53" t="str">
        <f t="shared" si="224"/>
        <v>DNS/DNF ()</v>
      </c>
      <c r="AC126" s="53" t="str">
        <f t="shared" si="225"/>
        <v>DNS/DNF ()</v>
      </c>
      <c r="AD126" s="53" t="str">
        <f t="shared" si="226"/>
        <v>DNS/DNF ()</v>
      </c>
      <c r="AE126" s="53">
        <v>36312802</v>
      </c>
      <c r="AF126" s="53">
        <v>0</v>
      </c>
      <c r="AG126" s="53">
        <v>36941972</v>
      </c>
      <c r="AH126" s="53">
        <v>37183543</v>
      </c>
      <c r="AI126" s="53">
        <v>43947570</v>
      </c>
      <c r="AJ126" s="53">
        <v>44099164</v>
      </c>
      <c r="AK126" s="53">
        <v>0</v>
      </c>
      <c r="AL126" s="53">
        <v>0</v>
      </c>
      <c r="AM126" s="53">
        <v>0</v>
      </c>
      <c r="AN126" s="53">
        <v>44697079</v>
      </c>
      <c r="AO126" s="53">
        <v>0</v>
      </c>
      <c r="AP126" s="53">
        <v>0</v>
      </c>
      <c r="AQ126" s="53">
        <v>0</v>
      </c>
      <c r="AR126" s="53">
        <v>0</v>
      </c>
      <c r="AS126" s="53">
        <v>0</v>
      </c>
      <c r="AT126" s="53">
        <v>0</v>
      </c>
      <c r="AU126" s="62" t="str">
        <f t="shared" si="227"/>
        <v>DNS/DNF</v>
      </c>
      <c r="AV126" s="62">
        <f t="shared" si="228"/>
        <v>2.7959606481481481E-3</v>
      </c>
      <c r="AW126" s="62">
        <f t="shared" si="229"/>
        <v>1.7545601851851852E-3</v>
      </c>
      <c r="AX126" s="62" t="str">
        <f t="shared" si="230"/>
        <v>DNS/DNF</v>
      </c>
      <c r="AY126" s="62" t="str">
        <f t="shared" si="231"/>
        <v>DNS/DNF</v>
      </c>
      <c r="AZ126" s="62" t="str">
        <f t="shared" si="232"/>
        <v>DNS/DNF</v>
      </c>
      <c r="BA126" s="62" t="str">
        <f t="shared" si="233"/>
        <v>DNS/DNF</v>
      </c>
      <c r="BB126" s="62" t="str">
        <f t="shared" si="234"/>
        <v>DNS/DNF</v>
      </c>
      <c r="BC126" s="75">
        <f t="shared" si="235"/>
        <v>93</v>
      </c>
      <c r="BD126" s="53">
        <f t="shared" si="236"/>
        <v>271618</v>
      </c>
      <c r="BE126" s="53">
        <f t="shared" si="237"/>
        <v>250750</v>
      </c>
      <c r="BF126" s="53">
        <f t="shared" si="238"/>
        <v>143652</v>
      </c>
      <c r="BG126" s="53">
        <f t="shared" si="239"/>
        <v>294226</v>
      </c>
      <c r="BH126" s="53">
        <f t="shared" si="240"/>
        <v>340302</v>
      </c>
      <c r="BI126" s="53" t="str">
        <f t="shared" si="241"/>
        <v/>
      </c>
      <c r="BJ126" s="53" t="str">
        <f t="shared" si="242"/>
        <v/>
      </c>
      <c r="BK126" s="53" t="str">
        <f t="shared" si="243"/>
        <v/>
      </c>
    </row>
    <row r="127" spans="1:63">
      <c r="A127" s="53">
        <v>121</v>
      </c>
      <c r="B127" s="89" t="str">
        <f>IFERROR(VLOOKUP($A127,EntryList!$A$3:$N$645,2,FALSE),"")</f>
        <v>Gabriel Cohn</v>
      </c>
      <c r="C127" s="74"/>
      <c r="D127" s="53">
        <f t="shared" si="210"/>
        <v>3</v>
      </c>
      <c r="E127" s="62"/>
      <c r="F127" s="62">
        <v>3.8448842592592593E-3</v>
      </c>
      <c r="G127" s="62">
        <v>2.3341203703703701E-3</v>
      </c>
      <c r="H127" s="62"/>
      <c r="I127" s="62">
        <v>4.6370949074074075E-3</v>
      </c>
      <c r="J127" s="62"/>
      <c r="K127" s="62"/>
      <c r="L127" s="62"/>
      <c r="M127" s="62">
        <v>1.0816099537037037E-2</v>
      </c>
      <c r="N127" s="62">
        <f t="shared" si="211"/>
        <v>1.0816099537037037E-2</v>
      </c>
      <c r="O127" s="53" t="str">
        <f t="shared" si="212"/>
        <v/>
      </c>
      <c r="P127" s="53">
        <f t="shared" si="213"/>
        <v>242</v>
      </c>
      <c r="Q127" s="53">
        <f t="shared" si="214"/>
        <v>237</v>
      </c>
      <c r="R127" s="53" t="str">
        <f t="shared" si="215"/>
        <v/>
      </c>
      <c r="S127" s="53">
        <f t="shared" si="216"/>
        <v>210</v>
      </c>
      <c r="T127" s="53" t="str">
        <f t="shared" si="217"/>
        <v/>
      </c>
      <c r="U127" s="53" t="str">
        <f t="shared" si="218"/>
        <v/>
      </c>
      <c r="V127" s="53" t="str">
        <f t="shared" si="219"/>
        <v/>
      </c>
      <c r="W127" s="53" t="str">
        <f t="shared" si="244"/>
        <v>DNS/DNF ()</v>
      </c>
      <c r="X127" s="53" t="str">
        <f t="shared" si="220"/>
        <v>00:05:32.2 (242)</v>
      </c>
      <c r="Y127" s="53" t="str">
        <f t="shared" si="221"/>
        <v>00:03:21.7 (237)</v>
      </c>
      <c r="Z127" s="53" t="str">
        <f t="shared" si="222"/>
        <v>DNS/DNF ()</v>
      </c>
      <c r="AA127" s="53" t="str">
        <f t="shared" si="223"/>
        <v>00:06:40.6 (210)</v>
      </c>
      <c r="AB127" s="53" t="str">
        <f t="shared" si="224"/>
        <v>DNS/DNF ()</v>
      </c>
      <c r="AC127" s="53" t="str">
        <f t="shared" si="225"/>
        <v>DNS/DNF ()</v>
      </c>
      <c r="AD127" s="53" t="str">
        <f t="shared" si="226"/>
        <v>DNS/DNF ()</v>
      </c>
      <c r="AE127" s="53">
        <v>0</v>
      </c>
      <c r="AF127" s="53">
        <v>0</v>
      </c>
      <c r="AG127" s="53">
        <v>36495364</v>
      </c>
      <c r="AH127" s="53">
        <v>36827562</v>
      </c>
      <c r="AI127" s="53">
        <v>40654390</v>
      </c>
      <c r="AJ127" s="53">
        <v>40856058</v>
      </c>
      <c r="AK127" s="53">
        <v>0</v>
      </c>
      <c r="AL127" s="53">
        <v>0</v>
      </c>
      <c r="AM127" s="53">
        <v>44724682</v>
      </c>
      <c r="AN127" s="53">
        <v>45125327</v>
      </c>
      <c r="AO127" s="53">
        <v>0</v>
      </c>
      <c r="AP127" s="53">
        <v>0</v>
      </c>
      <c r="AQ127" s="53">
        <v>0</v>
      </c>
      <c r="AR127" s="53">
        <v>0</v>
      </c>
      <c r="AS127" s="53">
        <v>0</v>
      </c>
      <c r="AT127" s="53">
        <v>0</v>
      </c>
      <c r="AU127" s="62" t="str">
        <f t="shared" si="227"/>
        <v>DNS/DNF</v>
      </c>
      <c r="AV127" s="62">
        <f t="shared" si="228"/>
        <v>3.8448842592592593E-3</v>
      </c>
      <c r="AW127" s="62">
        <f t="shared" si="229"/>
        <v>2.3341203703703705E-3</v>
      </c>
      <c r="AX127" s="62" t="str">
        <f t="shared" si="230"/>
        <v>DNS/DNF</v>
      </c>
      <c r="AY127" s="62">
        <f t="shared" si="231"/>
        <v>4.6370949074074075E-3</v>
      </c>
      <c r="AZ127" s="62" t="str">
        <f t="shared" si="232"/>
        <v>DNS/DNF</v>
      </c>
      <c r="BA127" s="62" t="str">
        <f t="shared" si="233"/>
        <v>DNS/DNF</v>
      </c>
      <c r="BB127" s="62" t="str">
        <f t="shared" si="234"/>
        <v>DNS/DNF</v>
      </c>
      <c r="BC127" s="75">
        <f t="shared" si="235"/>
        <v>230</v>
      </c>
      <c r="BD127" s="53" t="str">
        <f t="shared" si="236"/>
        <v/>
      </c>
      <c r="BE127" s="53">
        <f t="shared" si="237"/>
        <v>322437</v>
      </c>
      <c r="BF127" s="53">
        <f t="shared" si="238"/>
        <v>194326</v>
      </c>
      <c r="BG127" s="53" t="str">
        <f t="shared" si="239"/>
        <v/>
      </c>
      <c r="BH127" s="53">
        <f t="shared" si="240"/>
        <v>429716.00000000006</v>
      </c>
      <c r="BI127" s="53" t="str">
        <f t="shared" si="241"/>
        <v/>
      </c>
      <c r="BJ127" s="53" t="str">
        <f t="shared" si="242"/>
        <v/>
      </c>
      <c r="BK127" s="53" t="str">
        <f t="shared" si="243"/>
        <v/>
      </c>
    </row>
    <row r="128" spans="1:63">
      <c r="A128" s="53">
        <v>76</v>
      </c>
      <c r="B128" s="89" t="str">
        <f>IFERROR(VLOOKUP($A128,EntryList!$A$3:$N$645,2,FALSE),"")</f>
        <v>Carter Spolander</v>
      </c>
      <c r="C128" s="74"/>
      <c r="D128" s="53">
        <f>COUNT($AU128:$BB128)</f>
        <v>3</v>
      </c>
      <c r="E128" s="62"/>
      <c r="F128" s="62">
        <v>3.4704050925925926E-3</v>
      </c>
      <c r="G128" s="62">
        <v>2.0161342592592596E-3</v>
      </c>
      <c r="H128" s="62"/>
      <c r="I128" s="62">
        <v>4.6505902777777769E-3</v>
      </c>
      <c r="J128" s="62"/>
      <c r="K128" s="62"/>
      <c r="L128" s="62"/>
      <c r="M128" s="62">
        <v>1.013712962962963E-2</v>
      </c>
      <c r="N128" s="62">
        <f>SUM($AU128:$BB128)</f>
        <v>1.013712962962963E-2</v>
      </c>
      <c r="O128" s="53" t="str">
        <f>IFERROR(RANK($AU128,AU$3:AU$500,1),"")</f>
        <v/>
      </c>
      <c r="P128" s="53">
        <f>IFERROR(RANK($AV128,AV$3:AV$500,1),"")</f>
        <v>212</v>
      </c>
      <c r="Q128" s="53">
        <f>IFERROR(RANK($AW128,AW$3:AW$500,1),"")</f>
        <v>205</v>
      </c>
      <c r="R128" s="53" t="str">
        <f>IFERROR(RANK($AX128,AX$3:AX$500,1),"")</f>
        <v/>
      </c>
      <c r="S128" s="53">
        <f>IFERROR(RANK($AY128,AY$3:AY$500,1),"")</f>
        <v>212</v>
      </c>
      <c r="T128" s="53" t="str">
        <f>IFERROR(RANK($AZ128,AZ$3:AZ$500,1),"")</f>
        <v/>
      </c>
      <c r="U128" s="53" t="str">
        <f>IFERROR(RANK($BA128,BA$3:BA$500,1),"")</f>
        <v/>
      </c>
      <c r="V128" s="53" t="str">
        <f>IFERROR(RANK($BB128,BB$3:BB$500,1),"")</f>
        <v/>
      </c>
      <c r="W128" s="53" t="str">
        <f>CONCATENATE(TEXT($AU128,"[hh]:mm:ss.0")," ","(",$O128,")")</f>
        <v>DNS/DNF ()</v>
      </c>
      <c r="X128" s="53" t="str">
        <f>CONCATENATE(TEXT($AV128,"[hh]:mm:ss.0")," ","(",$P128,")")</f>
        <v>00:04:59.8 (212)</v>
      </c>
      <c r="Y128" s="53" t="str">
        <f>CONCATENATE(TEXT($AW128,"[hh]:mm:ss.0")," ","(",$Q128,")")</f>
        <v>00:02:54.2 (205)</v>
      </c>
      <c r="Z128" s="53" t="str">
        <f>CONCATENATE(TEXT($AX128,"[hh]:mm:ss.0")," ","(",$R128,")")</f>
        <v>DNS/DNF ()</v>
      </c>
      <c r="AA128" s="53" t="str">
        <f>CONCATENATE(TEXT($AY128,"[hh]:mm:ss.0")," ","(",$S128,")")</f>
        <v>00:06:41.8 (212)</v>
      </c>
      <c r="AB128" s="53" t="str">
        <f>CONCATENATE(TEXT($AZ128,"[hh]:mm:ss.0")," ","(",$T128,")")</f>
        <v>DNS/DNF ()</v>
      </c>
      <c r="AC128" s="53" t="str">
        <f>CONCATENATE(TEXT($BA128,"[hh]:mm:ss.0")," ","(",$U128,")")</f>
        <v>DNS/DNF ()</v>
      </c>
      <c r="AD128" s="53" t="str">
        <f>CONCATENATE(TEXT($BB128,"[hh]:mm:ss.0")," ","(",$V128,")")</f>
        <v>DNS/DNF ()</v>
      </c>
      <c r="AE128" s="53">
        <v>0</v>
      </c>
      <c r="AF128" s="53">
        <v>0</v>
      </c>
      <c r="AG128" s="53">
        <v>36544402</v>
      </c>
      <c r="AH128" s="53">
        <v>36844245</v>
      </c>
      <c r="AI128" s="53">
        <v>40625750</v>
      </c>
      <c r="AJ128" s="53">
        <v>40799944</v>
      </c>
      <c r="AK128" s="53">
        <v>0</v>
      </c>
      <c r="AL128" s="53">
        <v>0</v>
      </c>
      <c r="AM128" s="53">
        <v>44748900</v>
      </c>
      <c r="AN128" s="53">
        <v>45150711</v>
      </c>
      <c r="AO128" s="53">
        <v>0</v>
      </c>
      <c r="AP128" s="53">
        <v>0</v>
      </c>
      <c r="AQ128" s="53">
        <v>0</v>
      </c>
      <c r="AR128" s="53">
        <v>0</v>
      </c>
      <c r="AS128" s="53">
        <v>0</v>
      </c>
      <c r="AT128" s="53">
        <v>0</v>
      </c>
      <c r="AU128" s="62" t="str">
        <f>IF((OR($AE128=0,$AF128=0,$AF128-$AE128&lt;0)),"DNS/DNF",($AF128-$AE128)/86400000)</f>
        <v>DNS/DNF</v>
      </c>
      <c r="AV128" s="62">
        <f>IF((OR($AG128=0,$AH128=0,$AH128-$AG128&lt;0)),"DNS/DNF",($AH128-$AG128)/86400000)</f>
        <v>3.4704050925925926E-3</v>
      </c>
      <c r="AW128" s="62">
        <f>IF((OR($AI128=0,$AJ128=0,$AJ128-$AI128&lt;0)),"DNS/DNF",($AJ128-$AI128)/86400000)</f>
        <v>2.0161342592592592E-3</v>
      </c>
      <c r="AX128" s="62" t="str">
        <f>IF((OR($AK128=0,$AL128=0,$AL128-$AK128&lt;0)),"DNS/DNF",($AL128-$AK128)/86400000)</f>
        <v>DNS/DNF</v>
      </c>
      <c r="AY128" s="62">
        <f>IF((OR($AM128=0,$AM128=0,$AN128-$AM128&lt;0)),"DNS/DNF",($AN128-$AM128)/86400000)</f>
        <v>4.6505902777777778E-3</v>
      </c>
      <c r="AZ128" s="62" t="str">
        <f>IF((OR($AO128=0,$AP128=0,$AP128-$AO128&lt;0)),"DNS/DNF",($AP128-$AO128)/86400000)</f>
        <v>DNS/DNF</v>
      </c>
      <c r="BA128" s="62" t="str">
        <f>IF((OR($AQ128=0,$AR128=0,$AR128-$AQ128&lt;0)),"DNS/DNF",($AR128-$AQ128)/86400000)</f>
        <v>DNS/DNF</v>
      </c>
      <c r="BB128" s="62" t="str">
        <f>IF((OR($AS128=0,$AT128=0,$AT128-$AS128&lt;0)),"DNS/DNF",($AT128-$AS128)/86400000)</f>
        <v>DNS/DNF</v>
      </c>
      <c r="BC128" s="75">
        <f>IFERROR(ROUND(AVERAGE(O128:V128),0),"")</f>
        <v>210</v>
      </c>
      <c r="BD128" s="53" t="str">
        <f>IFERROR((INDEX(($AU$3:$AU$500)*86400000,MATCH(BC128,$O$3:$O$500,0))),"")</f>
        <v/>
      </c>
      <c r="BE128" s="53">
        <f>IFERROR((INDEX(($AV$3:$AV$500)*86400000,MATCH(BC128,$P$3:$P$500,0))),"")</f>
        <v>298274</v>
      </c>
      <c r="BF128" s="53">
        <f>IFERROR((INDEX(($AW$3:$AW$500)*86400000,MATCH(BC128,$Q$3:$Q$500,0))),"")</f>
        <v>175568</v>
      </c>
      <c r="BG128" s="53" t="str">
        <f>IFERROR((INDEX(($AX$3:$AX$500)*86400000,MATCH(BC128,$R$3:$R$500,0))),"")</f>
        <v/>
      </c>
      <c r="BH128" s="53">
        <f>IFERROR((INDEX(($AY$3:$AY$500)*86400000,MATCH(BC128,$S$3:$S$500,0))),"")</f>
        <v>400645</v>
      </c>
      <c r="BI128" s="53" t="str">
        <f>IFERROR((INDEX(($AZ$3:$AZ$500)*86400000,MATCH(BC128,$T$3:$T$500,0))),"")</f>
        <v/>
      </c>
      <c r="BJ128" s="53" t="str">
        <f>IFERROR((INDEX(($BA$3:$BA$500)*86400000,MATCH(BC128,$U$3:$U$500,0))),"")</f>
        <v/>
      </c>
      <c r="BK128" s="53" t="str">
        <f>IFERROR((INDEX(($BB$3:$BB$500)*86400000,MATCH(BC128,$V$3:$V$500,0))),"")</f>
        <v/>
      </c>
    </row>
    <row r="129" spans="1:63">
      <c r="A129" s="53">
        <v>137</v>
      </c>
      <c r="B129" s="89" t="str">
        <f>IFERROR(VLOOKUP($A129,EntryList!$A$3:$N$645,2,FALSE),"")</f>
        <v>Lombard Rousseau</v>
      </c>
      <c r="C129" s="74"/>
      <c r="D129" s="53">
        <f t="shared" ref="D129:D139" si="245">COUNT($AU129:$BB129)</f>
        <v>3</v>
      </c>
      <c r="E129" s="62"/>
      <c r="F129" s="62">
        <v>3.4401157407407405E-3</v>
      </c>
      <c r="G129" s="62">
        <v>1.9268518518518517E-3</v>
      </c>
      <c r="H129" s="62"/>
      <c r="I129" s="62">
        <v>4.6595717592592591E-3</v>
      </c>
      <c r="J129" s="62"/>
      <c r="K129" s="62"/>
      <c r="L129" s="62"/>
      <c r="M129" s="62">
        <v>1.0026539351851852E-2</v>
      </c>
      <c r="N129" s="62">
        <f t="shared" ref="N129:N139" si="246">SUM($AU129:$BB129)</f>
        <v>1.0026539351851851E-2</v>
      </c>
      <c r="O129" s="53" t="str">
        <f t="shared" ref="O129:O139" si="247">IFERROR(RANK($AU129,AU$3:AU$500,1),"")</f>
        <v/>
      </c>
      <c r="P129" s="53">
        <f t="shared" ref="P129:P139" si="248">IFERROR(RANK($AV129,AV$3:AV$500,1),"")</f>
        <v>209</v>
      </c>
      <c r="Q129" s="53">
        <f t="shared" ref="Q129:Q139" si="249">IFERROR(RANK($AW129,AW$3:AW$500,1),"")</f>
        <v>189</v>
      </c>
      <c r="R129" s="53" t="str">
        <f t="shared" ref="R129:R139" si="250">IFERROR(RANK($AX129,AX$3:AX$500,1),"")</f>
        <v/>
      </c>
      <c r="S129" s="53">
        <f t="shared" ref="S129:S139" si="251">IFERROR(RANK($AY129,AY$3:AY$500,1),"")</f>
        <v>213</v>
      </c>
      <c r="T129" s="53" t="str">
        <f t="shared" ref="T129:T139" si="252">IFERROR(RANK($AZ129,AZ$3:AZ$500,1),"")</f>
        <v/>
      </c>
      <c r="U129" s="53" t="str">
        <f t="shared" ref="U129:U139" si="253">IFERROR(RANK($BA129,BA$3:BA$500,1),"")</f>
        <v/>
      </c>
      <c r="V129" s="53" t="str">
        <f t="shared" ref="V129:V139" si="254">IFERROR(RANK($BB129,BB$3:BB$500,1),"")</f>
        <v/>
      </c>
      <c r="W129" s="53" t="str">
        <f>CONCATENATE(TEXT($AU129,"[hh]:mm:ss.0")," ","(",$O129,")")</f>
        <v>DNS/DNF ()</v>
      </c>
      <c r="X129" s="53" t="str">
        <f t="shared" ref="X129:X139" si="255">CONCATENATE(TEXT($AV129,"[hh]:mm:ss.0")," ","(",$P129,")")</f>
        <v>00:04:57.2 (209)</v>
      </c>
      <c r="Y129" s="53" t="str">
        <f t="shared" ref="Y129:Y139" si="256">CONCATENATE(TEXT($AW129,"[hh]:mm:ss.0")," ","(",$Q129,")")</f>
        <v>00:02:46.5 (189)</v>
      </c>
      <c r="Z129" s="53" t="str">
        <f t="shared" ref="Z129:Z139" si="257">CONCATENATE(TEXT($AX129,"[hh]:mm:ss.0")," ","(",$R129,")")</f>
        <v>DNS/DNF ()</v>
      </c>
      <c r="AA129" s="53" t="str">
        <f t="shared" ref="AA129:AA139" si="258">CONCATENATE(TEXT($AY129,"[hh]:mm:ss.0")," ","(",$S129,")")</f>
        <v>00:06:42.6 (213)</v>
      </c>
      <c r="AB129" s="53" t="str">
        <f t="shared" ref="AB129:AB139" si="259">CONCATENATE(TEXT($AZ129,"[hh]:mm:ss.0")," ","(",$T129,")")</f>
        <v>DNS/DNF ()</v>
      </c>
      <c r="AC129" s="53" t="str">
        <f t="shared" ref="AC129:AC139" si="260">CONCATENATE(TEXT($BA129,"[hh]:mm:ss.0")," ","(",$U129,")")</f>
        <v>DNS/DNF ()</v>
      </c>
      <c r="AD129" s="53" t="str">
        <f t="shared" ref="AD129:AD139" si="261">CONCATENATE(TEXT($BB129,"[hh]:mm:ss.0")," ","(",$V129,")")</f>
        <v>DNS/DNF ()</v>
      </c>
      <c r="AE129" s="53">
        <v>0</v>
      </c>
      <c r="AF129" s="53">
        <v>0</v>
      </c>
      <c r="AG129" s="53">
        <v>36565876</v>
      </c>
      <c r="AH129" s="53">
        <v>36863102</v>
      </c>
      <c r="AI129" s="53">
        <v>40889644</v>
      </c>
      <c r="AJ129" s="53">
        <v>41056124</v>
      </c>
      <c r="AK129" s="53">
        <v>0</v>
      </c>
      <c r="AL129" s="53">
        <v>0</v>
      </c>
      <c r="AM129" s="53">
        <v>44774662</v>
      </c>
      <c r="AN129" s="53">
        <v>45177249</v>
      </c>
      <c r="AO129" s="53">
        <v>0</v>
      </c>
      <c r="AP129" s="53">
        <v>0</v>
      </c>
      <c r="AQ129" s="53">
        <v>0</v>
      </c>
      <c r="AR129" s="53">
        <v>0</v>
      </c>
      <c r="AS129" s="53">
        <v>0</v>
      </c>
      <c r="AT129" s="53">
        <v>0</v>
      </c>
      <c r="AU129" s="62" t="str">
        <f t="shared" ref="AU129:AU139" si="262">IF((OR($AE129=0,$AF129=0,$AF129-$AE129&lt;0)),"DNS/DNF",($AF129-$AE129)/86400000)</f>
        <v>DNS/DNF</v>
      </c>
      <c r="AV129" s="62">
        <f t="shared" ref="AV129:AV139" si="263">IF((OR($AG129=0,$AH129=0,$AH129-$AG129&lt;0)),"DNS/DNF",($AH129-$AG129)/86400000)</f>
        <v>3.4401157407407405E-3</v>
      </c>
      <c r="AW129" s="62">
        <f t="shared" ref="AW129:AW139" si="264">IF((OR($AI129=0,$AJ129=0,$AJ129-$AI129&lt;0)),"DNS/DNF",($AJ129-$AI129)/86400000)</f>
        <v>1.9268518518518519E-3</v>
      </c>
      <c r="AX129" s="62" t="str">
        <f t="shared" ref="AX129:AX139" si="265">IF((OR($AK129=0,$AL129=0,$AL129-$AK129&lt;0)),"DNS/DNF",($AL129-$AK129)/86400000)</f>
        <v>DNS/DNF</v>
      </c>
      <c r="AY129" s="62">
        <f t="shared" ref="AY129:AY139" si="266">IF((OR($AM129=0,$AM129=0,$AN129-$AM129&lt;0)),"DNS/DNF",($AN129-$AM129)/86400000)</f>
        <v>4.6595717592592591E-3</v>
      </c>
      <c r="AZ129" s="62" t="str">
        <f t="shared" ref="AZ129:AZ139" si="267">IF((OR($AO129=0,$AP129=0,$AP129-$AO129&lt;0)),"DNS/DNF",($AP129-$AO129)/86400000)</f>
        <v>DNS/DNF</v>
      </c>
      <c r="BA129" s="62" t="str">
        <f t="shared" ref="BA129:BA139" si="268">IF((OR($AQ129=0,$AR129=0,$AR129-$AQ129&lt;0)),"DNS/DNF",($AR129-$AQ129)/86400000)</f>
        <v>DNS/DNF</v>
      </c>
      <c r="BB129" s="62" t="str">
        <f t="shared" ref="BB129:BB139" si="269">IF((OR($AS129=0,$AT129=0,$AT129-$AS129&lt;0)),"DNS/DNF",($AT129-$AS129)/86400000)</f>
        <v>DNS/DNF</v>
      </c>
      <c r="BC129" s="75">
        <f t="shared" ref="BC129:BC139" si="270">IFERROR(ROUND(AVERAGE(O129:V129),0),"")</f>
        <v>204</v>
      </c>
      <c r="BD129" s="53" t="str">
        <f t="shared" ref="BD129:BD139" si="271">IFERROR((INDEX(($AU$3:$AU$500)*86400000,MATCH(BC129,$O$3:$O$500,0))),"")</f>
        <v/>
      </c>
      <c r="BE129" s="53">
        <f t="shared" ref="BE129:BE139" si="272">IFERROR((INDEX(($AV$3:$AV$500)*86400000,MATCH(BC129,$P$3:$P$500,0))),"")</f>
        <v>294025</v>
      </c>
      <c r="BF129" s="53">
        <f t="shared" ref="BF129:BF139" si="273">IFERROR((INDEX(($AW$3:$AW$500)*86400000,MATCH(BC129,$Q$3:$Q$500,0))),"")</f>
        <v>174108</v>
      </c>
      <c r="BG129" s="53" t="str">
        <f t="shared" ref="BG129:BG139" si="274">IFERROR((INDEX(($AX$3:$AX$500)*86400000,MATCH(BC129,$R$3:$R$500,0))),"")</f>
        <v/>
      </c>
      <c r="BH129" s="53">
        <f t="shared" ref="BH129:BH139" si="275">IFERROR((INDEX(($AY$3:$AY$500)*86400000,MATCH(BC129,$S$3:$S$500,0))),"")</f>
        <v>394907.00000000006</v>
      </c>
      <c r="BI129" s="53" t="str">
        <f t="shared" ref="BI129:BI139" si="276">IFERROR((INDEX(($AZ$3:$AZ$500)*86400000,MATCH(BC129,$T$3:$T$500,0))),"")</f>
        <v/>
      </c>
      <c r="BJ129" s="53" t="str">
        <f t="shared" ref="BJ129:BJ139" si="277">IFERROR((INDEX(($BA$3:$BA$500)*86400000,MATCH(BC129,$U$3:$U$500,0))),"")</f>
        <v/>
      </c>
      <c r="BK129" s="53" t="str">
        <f t="shared" ref="BK129:BK139" si="278">IFERROR((INDEX(($BB$3:$BB$500)*86400000,MATCH(BC129,$V$3:$V$500,0))),"")</f>
        <v/>
      </c>
    </row>
    <row r="130" spans="1:63">
      <c r="A130" s="53">
        <v>240</v>
      </c>
      <c r="B130" s="89" t="str">
        <f>IFERROR(VLOOKUP($A130,EntryList!$A$3:$N$645,2,FALSE),"")</f>
        <v>Robert Du Preez</v>
      </c>
      <c r="C130" s="74"/>
      <c r="D130" s="53">
        <f t="shared" si="245"/>
        <v>3</v>
      </c>
      <c r="E130" s="62"/>
      <c r="F130" s="62">
        <v>3.0882060185185183E-3</v>
      </c>
      <c r="G130" s="62">
        <v>1.9100694444444445E-3</v>
      </c>
      <c r="H130" s="62"/>
      <c r="I130" s="62">
        <v>4.322789351851852E-3</v>
      </c>
      <c r="J130" s="62"/>
      <c r="K130" s="62"/>
      <c r="L130" s="62"/>
      <c r="M130" s="62">
        <v>9.321064814814815E-3</v>
      </c>
      <c r="N130" s="62">
        <f t="shared" si="246"/>
        <v>9.321064814814815E-3</v>
      </c>
      <c r="O130" s="53" t="str">
        <f t="shared" si="247"/>
        <v/>
      </c>
      <c r="P130" s="53">
        <f t="shared" si="248"/>
        <v>133</v>
      </c>
      <c r="Q130" s="53">
        <f t="shared" si="249"/>
        <v>185</v>
      </c>
      <c r="R130" s="53" t="str">
        <f t="shared" si="250"/>
        <v/>
      </c>
      <c r="S130" s="53">
        <f t="shared" si="251"/>
        <v>176</v>
      </c>
      <c r="T130" s="53" t="str">
        <f t="shared" si="252"/>
        <v/>
      </c>
      <c r="U130" s="53" t="str">
        <f t="shared" si="253"/>
        <v/>
      </c>
      <c r="V130" s="53" t="str">
        <f t="shared" si="254"/>
        <v/>
      </c>
      <c r="W130" s="53" t="str">
        <f t="shared" ref="W130:W139" si="279">CONCATENATE(TEXT($AU130,"[hh]:mm:ss.0")," ","(",$O130,")")</f>
        <v>DNS/DNF ()</v>
      </c>
      <c r="X130" s="53" t="str">
        <f t="shared" si="255"/>
        <v>00:04:26.8 (133)</v>
      </c>
      <c r="Y130" s="53" t="str">
        <f t="shared" si="256"/>
        <v>00:02:45.0 (185)</v>
      </c>
      <c r="Z130" s="53" t="str">
        <f t="shared" si="257"/>
        <v>DNS/DNF ()</v>
      </c>
      <c r="AA130" s="53" t="str">
        <f t="shared" si="258"/>
        <v>00:06:13.5 (176)</v>
      </c>
      <c r="AB130" s="53" t="str">
        <f t="shared" si="259"/>
        <v>DNS/DNF ()</v>
      </c>
      <c r="AC130" s="53" t="str">
        <f t="shared" si="260"/>
        <v>DNS/DNF ()</v>
      </c>
      <c r="AD130" s="53" t="str">
        <f t="shared" si="261"/>
        <v>DNS/DNF ()</v>
      </c>
      <c r="AE130" s="53">
        <v>0</v>
      </c>
      <c r="AF130" s="53">
        <v>0</v>
      </c>
      <c r="AG130" s="53">
        <v>36598491</v>
      </c>
      <c r="AH130" s="53">
        <v>36865312</v>
      </c>
      <c r="AI130" s="53">
        <v>40900936</v>
      </c>
      <c r="AJ130" s="53">
        <v>41065966</v>
      </c>
      <c r="AK130" s="53">
        <v>0</v>
      </c>
      <c r="AL130" s="53">
        <v>0</v>
      </c>
      <c r="AM130" s="53">
        <v>44804812</v>
      </c>
      <c r="AN130" s="53">
        <v>45178301</v>
      </c>
      <c r="AO130" s="53">
        <v>0</v>
      </c>
      <c r="AP130" s="53">
        <v>0</v>
      </c>
      <c r="AQ130" s="53">
        <v>0</v>
      </c>
      <c r="AR130" s="53">
        <v>0</v>
      </c>
      <c r="AS130" s="53">
        <v>0</v>
      </c>
      <c r="AT130" s="53">
        <v>0</v>
      </c>
      <c r="AU130" s="62" t="str">
        <f t="shared" si="262"/>
        <v>DNS/DNF</v>
      </c>
      <c r="AV130" s="62">
        <f t="shared" si="263"/>
        <v>3.0882060185185183E-3</v>
      </c>
      <c r="AW130" s="62">
        <f t="shared" si="264"/>
        <v>1.9100694444444445E-3</v>
      </c>
      <c r="AX130" s="62" t="str">
        <f t="shared" si="265"/>
        <v>DNS/DNF</v>
      </c>
      <c r="AY130" s="62">
        <f t="shared" si="266"/>
        <v>4.322789351851852E-3</v>
      </c>
      <c r="AZ130" s="62" t="str">
        <f t="shared" si="267"/>
        <v>DNS/DNF</v>
      </c>
      <c r="BA130" s="62" t="str">
        <f t="shared" si="268"/>
        <v>DNS/DNF</v>
      </c>
      <c r="BB130" s="62" t="str">
        <f t="shared" si="269"/>
        <v>DNS/DNF</v>
      </c>
      <c r="BC130" s="75">
        <f t="shared" si="270"/>
        <v>165</v>
      </c>
      <c r="BD130" s="53" t="str">
        <f t="shared" si="271"/>
        <v/>
      </c>
      <c r="BE130" s="53">
        <f t="shared" si="272"/>
        <v>276707</v>
      </c>
      <c r="BF130" s="53">
        <f t="shared" si="273"/>
        <v>160794</v>
      </c>
      <c r="BG130" s="53" t="str">
        <f t="shared" si="274"/>
        <v/>
      </c>
      <c r="BH130" s="53">
        <f t="shared" si="275"/>
        <v>367998</v>
      </c>
      <c r="BI130" s="53" t="str">
        <f t="shared" si="276"/>
        <v/>
      </c>
      <c r="BJ130" s="53" t="str">
        <f t="shared" si="277"/>
        <v/>
      </c>
      <c r="BK130" s="53" t="str">
        <f t="shared" si="278"/>
        <v/>
      </c>
    </row>
    <row r="131" spans="1:63">
      <c r="A131" s="53">
        <v>30</v>
      </c>
      <c r="B131" s="89" t="str">
        <f>IFERROR(VLOOKUP($A131,EntryList!$A$3:$N$645,2,FALSE),"")</f>
        <v>Devin Toselli</v>
      </c>
      <c r="C131" s="74"/>
      <c r="D131" s="53">
        <f t="shared" si="245"/>
        <v>5</v>
      </c>
      <c r="E131" s="62">
        <v>2.6010763888888884E-3</v>
      </c>
      <c r="F131" s="62">
        <v>2.6584837962962964E-3</v>
      </c>
      <c r="G131" s="62">
        <v>1.5070833333333334E-3</v>
      </c>
      <c r="H131" s="62">
        <v>3.0464120370370371E-3</v>
      </c>
      <c r="I131" s="62">
        <v>3.6328472222222226E-3</v>
      </c>
      <c r="J131" s="62"/>
      <c r="K131" s="62"/>
      <c r="L131" s="62"/>
      <c r="M131" s="62">
        <v>1.3445902777777781E-2</v>
      </c>
      <c r="N131" s="62">
        <f t="shared" si="246"/>
        <v>1.3445902777777779E-2</v>
      </c>
      <c r="O131" s="53">
        <f t="shared" si="247"/>
        <v>45</v>
      </c>
      <c r="P131" s="53">
        <f t="shared" si="248"/>
        <v>35</v>
      </c>
      <c r="Q131" s="53">
        <f t="shared" si="249"/>
        <v>47</v>
      </c>
      <c r="R131" s="53">
        <f t="shared" si="250"/>
        <v>55</v>
      </c>
      <c r="S131" s="53">
        <f t="shared" si="251"/>
        <v>43</v>
      </c>
      <c r="T131" s="53" t="str">
        <f t="shared" si="252"/>
        <v/>
      </c>
      <c r="U131" s="53" t="str">
        <f t="shared" si="253"/>
        <v/>
      </c>
      <c r="V131" s="53" t="str">
        <f t="shared" si="254"/>
        <v/>
      </c>
      <c r="W131" s="53" t="str">
        <f t="shared" si="279"/>
        <v>00:03:44.7 (45)</v>
      </c>
      <c r="X131" s="53" t="str">
        <f t="shared" si="255"/>
        <v>00:03:49.7 (35)</v>
      </c>
      <c r="Y131" s="53" t="str">
        <f t="shared" si="256"/>
        <v>00:02:10.2 (47)</v>
      </c>
      <c r="Z131" s="53" t="str">
        <f t="shared" si="257"/>
        <v>00:04:23.2 (55)</v>
      </c>
      <c r="AA131" s="53" t="str">
        <f t="shared" si="258"/>
        <v>00:05:13.9 (43)</v>
      </c>
      <c r="AB131" s="53" t="str">
        <f t="shared" si="259"/>
        <v>DNS/DNF ()</v>
      </c>
      <c r="AC131" s="53" t="str">
        <f t="shared" si="260"/>
        <v>DNS/DNF ()</v>
      </c>
      <c r="AD131" s="53" t="str">
        <f t="shared" si="261"/>
        <v>DNS/DNF ()</v>
      </c>
      <c r="AE131" s="53">
        <v>34402064</v>
      </c>
      <c r="AF131" s="53">
        <v>34626797</v>
      </c>
      <c r="AG131" s="53">
        <v>37736090</v>
      </c>
      <c r="AH131" s="53">
        <v>37965783</v>
      </c>
      <c r="AI131" s="53">
        <v>31522911</v>
      </c>
      <c r="AJ131" s="53">
        <v>31653123</v>
      </c>
      <c r="AK131" s="53">
        <v>42058304</v>
      </c>
      <c r="AL131" s="53">
        <v>42321514</v>
      </c>
      <c r="AM131" s="53">
        <v>44622382</v>
      </c>
      <c r="AN131" s="53">
        <v>44936260</v>
      </c>
      <c r="AO131" s="53">
        <v>0</v>
      </c>
      <c r="AP131" s="53">
        <v>0</v>
      </c>
      <c r="AQ131" s="53">
        <v>0</v>
      </c>
      <c r="AR131" s="53">
        <v>0</v>
      </c>
      <c r="AS131" s="53">
        <v>0</v>
      </c>
      <c r="AT131" s="53">
        <v>0</v>
      </c>
      <c r="AU131" s="62">
        <f t="shared" si="262"/>
        <v>2.6010763888888889E-3</v>
      </c>
      <c r="AV131" s="62">
        <f t="shared" si="263"/>
        <v>2.6584837962962964E-3</v>
      </c>
      <c r="AW131" s="62">
        <f t="shared" si="264"/>
        <v>1.5070833333333334E-3</v>
      </c>
      <c r="AX131" s="62">
        <f t="shared" si="265"/>
        <v>3.0464120370370371E-3</v>
      </c>
      <c r="AY131" s="62">
        <f t="shared" si="266"/>
        <v>3.6328472222222222E-3</v>
      </c>
      <c r="AZ131" s="62" t="str">
        <f t="shared" si="267"/>
        <v>DNS/DNF</v>
      </c>
      <c r="BA131" s="62" t="str">
        <f t="shared" si="268"/>
        <v>DNS/DNF</v>
      </c>
      <c r="BB131" s="62" t="str">
        <f t="shared" si="269"/>
        <v>DNS/DNF</v>
      </c>
      <c r="BC131" s="75">
        <f t="shared" si="270"/>
        <v>45</v>
      </c>
      <c r="BD131" s="53">
        <f t="shared" si="271"/>
        <v>224733</v>
      </c>
      <c r="BE131" s="53">
        <f t="shared" si="272"/>
        <v>232737.00000000003</v>
      </c>
      <c r="BF131" s="53" t="str">
        <f t="shared" si="273"/>
        <v/>
      </c>
      <c r="BG131" s="53" t="str">
        <f t="shared" si="274"/>
        <v/>
      </c>
      <c r="BH131" s="53">
        <f t="shared" si="275"/>
        <v>315027</v>
      </c>
      <c r="BI131" s="53" t="str">
        <f t="shared" si="276"/>
        <v/>
      </c>
      <c r="BJ131" s="53" t="str">
        <f t="shared" si="277"/>
        <v/>
      </c>
      <c r="BK131" s="53" t="str">
        <f t="shared" si="278"/>
        <v/>
      </c>
    </row>
    <row r="132" spans="1:63">
      <c r="A132" s="53">
        <v>298</v>
      </c>
      <c r="B132" s="89" t="str">
        <f>IFERROR(VLOOKUP($A132,EntryList!$A$3:$N$645,2,FALSE),"")</f>
        <v>Nicholas Turvey</v>
      </c>
      <c r="C132" s="74"/>
      <c r="D132" s="53">
        <f t="shared" si="245"/>
        <v>5</v>
      </c>
      <c r="E132" s="62">
        <v>2.883993055555555E-3</v>
      </c>
      <c r="F132" s="62">
        <v>2.8443402777777777E-3</v>
      </c>
      <c r="G132" s="62">
        <v>1.6461574074074076E-3</v>
      </c>
      <c r="H132" s="62">
        <v>3.1524305555555559E-3</v>
      </c>
      <c r="I132" s="62">
        <v>3.8733912037037035E-3</v>
      </c>
      <c r="J132" s="62"/>
      <c r="K132" s="62"/>
      <c r="L132" s="62"/>
      <c r="M132" s="62">
        <v>1.44003125E-2</v>
      </c>
      <c r="N132" s="62">
        <f t="shared" si="246"/>
        <v>1.44003125E-2</v>
      </c>
      <c r="O132" s="53">
        <f t="shared" si="247"/>
        <v>70</v>
      </c>
      <c r="P132" s="53">
        <f t="shared" si="248"/>
        <v>80</v>
      </c>
      <c r="Q132" s="53">
        <f t="shared" si="249"/>
        <v>88</v>
      </c>
      <c r="R132" s="53">
        <f t="shared" si="250"/>
        <v>68</v>
      </c>
      <c r="S132" s="53">
        <f t="shared" si="251"/>
        <v>82</v>
      </c>
      <c r="T132" s="53" t="str">
        <f t="shared" si="252"/>
        <v/>
      </c>
      <c r="U132" s="53" t="str">
        <f t="shared" si="253"/>
        <v/>
      </c>
      <c r="V132" s="53" t="str">
        <f t="shared" si="254"/>
        <v/>
      </c>
      <c r="W132" s="53" t="str">
        <f t="shared" si="279"/>
        <v>00:04:09.2 (70)</v>
      </c>
      <c r="X132" s="53" t="str">
        <f t="shared" si="255"/>
        <v>00:04:05.8 (80)</v>
      </c>
      <c r="Y132" s="53" t="str">
        <f t="shared" si="256"/>
        <v>00:02:22.2 (88)</v>
      </c>
      <c r="Z132" s="53" t="str">
        <f t="shared" si="257"/>
        <v>00:04:32.4 (68)</v>
      </c>
      <c r="AA132" s="53" t="str">
        <f t="shared" si="258"/>
        <v>00:05:34.7 (82)</v>
      </c>
      <c r="AB132" s="53" t="str">
        <f t="shared" si="259"/>
        <v>DNS/DNF ()</v>
      </c>
      <c r="AC132" s="53" t="str">
        <f t="shared" si="260"/>
        <v>DNS/DNF ()</v>
      </c>
      <c r="AD132" s="53" t="str">
        <f t="shared" si="261"/>
        <v>DNS/DNF ()</v>
      </c>
      <c r="AE132" s="53">
        <v>34422028</v>
      </c>
      <c r="AF132" s="53">
        <v>34671205</v>
      </c>
      <c r="AG132" s="53">
        <v>37776747</v>
      </c>
      <c r="AH132" s="53">
        <v>38022498</v>
      </c>
      <c r="AI132" s="53">
        <v>31563820</v>
      </c>
      <c r="AJ132" s="53">
        <v>31706048</v>
      </c>
      <c r="AK132" s="53">
        <v>42077757</v>
      </c>
      <c r="AL132" s="53">
        <v>42350127</v>
      </c>
      <c r="AM132" s="53">
        <v>44639788</v>
      </c>
      <c r="AN132" s="53">
        <v>44974449</v>
      </c>
      <c r="AO132" s="53">
        <v>0</v>
      </c>
      <c r="AP132" s="53">
        <v>0</v>
      </c>
      <c r="AQ132" s="53">
        <v>0</v>
      </c>
      <c r="AR132" s="53">
        <v>0</v>
      </c>
      <c r="AS132" s="53">
        <v>0</v>
      </c>
      <c r="AT132" s="53">
        <v>0</v>
      </c>
      <c r="AU132" s="62">
        <f t="shared" si="262"/>
        <v>2.8839930555555554E-3</v>
      </c>
      <c r="AV132" s="62">
        <f t="shared" si="263"/>
        <v>2.8443402777777777E-3</v>
      </c>
      <c r="AW132" s="62">
        <f t="shared" si="264"/>
        <v>1.6461574074074074E-3</v>
      </c>
      <c r="AX132" s="62">
        <f t="shared" si="265"/>
        <v>3.1524305555555555E-3</v>
      </c>
      <c r="AY132" s="62">
        <f t="shared" si="266"/>
        <v>3.8733912037037035E-3</v>
      </c>
      <c r="AZ132" s="62" t="str">
        <f t="shared" si="267"/>
        <v>DNS/DNF</v>
      </c>
      <c r="BA132" s="62" t="str">
        <f t="shared" si="268"/>
        <v>DNS/DNF</v>
      </c>
      <c r="BB132" s="62" t="str">
        <f t="shared" si="269"/>
        <v>DNS/DNF</v>
      </c>
      <c r="BC132" s="75">
        <f t="shared" si="270"/>
        <v>78</v>
      </c>
      <c r="BD132" s="53">
        <f t="shared" si="271"/>
        <v>253083</v>
      </c>
      <c r="BE132" s="53" t="str">
        <f t="shared" si="272"/>
        <v/>
      </c>
      <c r="BF132" s="53" t="str">
        <f t="shared" si="273"/>
        <v/>
      </c>
      <c r="BG132" s="53">
        <f t="shared" si="274"/>
        <v>278526</v>
      </c>
      <c r="BH132" s="53">
        <f t="shared" si="275"/>
        <v>333759</v>
      </c>
      <c r="BI132" s="53" t="str">
        <f t="shared" si="276"/>
        <v/>
      </c>
      <c r="BJ132" s="53" t="str">
        <f t="shared" si="277"/>
        <v/>
      </c>
      <c r="BK132" s="53" t="str">
        <f t="shared" si="278"/>
        <v/>
      </c>
    </row>
    <row r="133" spans="1:63">
      <c r="A133" s="53">
        <v>198</v>
      </c>
      <c r="B133" s="89" t="str">
        <f>IFERROR(VLOOKUP($A133,EntryList!$A$3:$N$645,2,FALSE),"")</f>
        <v>John Rostance</v>
      </c>
      <c r="C133" s="74"/>
      <c r="D133" s="53">
        <f t="shared" si="245"/>
        <v>5</v>
      </c>
      <c r="E133" s="62">
        <v>2.9711921296296296E-3</v>
      </c>
      <c r="F133" s="62">
        <v>2.9213657407407404E-3</v>
      </c>
      <c r="G133" s="62">
        <v>1.7258333333333333E-3</v>
      </c>
      <c r="H133" s="62">
        <v>3.2236805555555556E-3</v>
      </c>
      <c r="I133" s="62">
        <v>3.9553819444444445E-3</v>
      </c>
      <c r="J133" s="62"/>
      <c r="K133" s="62"/>
      <c r="L133" s="62"/>
      <c r="M133" s="62">
        <v>1.4797453703703703E-2</v>
      </c>
      <c r="N133" s="62">
        <f t="shared" si="246"/>
        <v>1.4797453703703705E-2</v>
      </c>
      <c r="O133" s="53">
        <f t="shared" si="247"/>
        <v>82</v>
      </c>
      <c r="P133" s="53">
        <f t="shared" si="248"/>
        <v>96</v>
      </c>
      <c r="Q133" s="53">
        <f t="shared" si="249"/>
        <v>113</v>
      </c>
      <c r="R133" s="53">
        <f t="shared" si="250"/>
        <v>78</v>
      </c>
      <c r="S133" s="53">
        <f t="shared" si="251"/>
        <v>97</v>
      </c>
      <c r="T133" s="53" t="str">
        <f t="shared" si="252"/>
        <v/>
      </c>
      <c r="U133" s="53" t="str">
        <f t="shared" si="253"/>
        <v/>
      </c>
      <c r="V133" s="53" t="str">
        <f t="shared" si="254"/>
        <v/>
      </c>
      <c r="W133" s="53" t="str">
        <f t="shared" si="279"/>
        <v>00:04:16.7 (82)</v>
      </c>
      <c r="X133" s="53" t="str">
        <f t="shared" si="255"/>
        <v>00:04:12.4 (96)</v>
      </c>
      <c r="Y133" s="53" t="str">
        <f t="shared" si="256"/>
        <v>00:02:29.1 (113)</v>
      </c>
      <c r="Z133" s="53" t="str">
        <f t="shared" si="257"/>
        <v>00:04:38.5 (78)</v>
      </c>
      <c r="AA133" s="53" t="str">
        <f t="shared" si="258"/>
        <v>00:05:41.7 (97)</v>
      </c>
      <c r="AB133" s="53" t="str">
        <f t="shared" si="259"/>
        <v>DNS/DNF ()</v>
      </c>
      <c r="AC133" s="53" t="str">
        <f t="shared" si="260"/>
        <v>DNS/DNF ()</v>
      </c>
      <c r="AD133" s="53" t="str">
        <f t="shared" si="261"/>
        <v>DNS/DNF ()</v>
      </c>
      <c r="AE133" s="53">
        <v>34481548</v>
      </c>
      <c r="AF133" s="53">
        <v>34738259</v>
      </c>
      <c r="AG133" s="53">
        <v>37746279</v>
      </c>
      <c r="AH133" s="53">
        <v>37998685</v>
      </c>
      <c r="AI133" s="53">
        <v>31585141</v>
      </c>
      <c r="AJ133" s="53">
        <v>31734253</v>
      </c>
      <c r="AK133" s="53">
        <v>42101347</v>
      </c>
      <c r="AL133" s="53">
        <v>42379873</v>
      </c>
      <c r="AM133" s="53">
        <v>44628266</v>
      </c>
      <c r="AN133" s="53">
        <v>44970011</v>
      </c>
      <c r="AO133" s="53">
        <v>0</v>
      </c>
      <c r="AP133" s="53">
        <v>0</v>
      </c>
      <c r="AQ133" s="53">
        <v>0</v>
      </c>
      <c r="AR133" s="53">
        <v>0</v>
      </c>
      <c r="AS133" s="53">
        <v>0</v>
      </c>
      <c r="AT133" s="53">
        <v>0</v>
      </c>
      <c r="AU133" s="62">
        <f t="shared" si="262"/>
        <v>2.9711921296296296E-3</v>
      </c>
      <c r="AV133" s="62">
        <f t="shared" si="263"/>
        <v>2.9213657407407409E-3</v>
      </c>
      <c r="AW133" s="62">
        <f t="shared" si="264"/>
        <v>1.7258333333333333E-3</v>
      </c>
      <c r="AX133" s="62">
        <f t="shared" si="265"/>
        <v>3.2236805555555556E-3</v>
      </c>
      <c r="AY133" s="62">
        <f t="shared" si="266"/>
        <v>3.9553819444444445E-3</v>
      </c>
      <c r="AZ133" s="62" t="str">
        <f t="shared" si="267"/>
        <v>DNS/DNF</v>
      </c>
      <c r="BA133" s="62" t="str">
        <f t="shared" si="268"/>
        <v>DNS/DNF</v>
      </c>
      <c r="BB133" s="62" t="str">
        <f t="shared" si="269"/>
        <v>DNS/DNF</v>
      </c>
      <c r="BC133" s="75">
        <f t="shared" si="270"/>
        <v>93</v>
      </c>
      <c r="BD133" s="53">
        <f t="shared" si="271"/>
        <v>271618</v>
      </c>
      <c r="BE133" s="53">
        <f t="shared" si="272"/>
        <v>250750</v>
      </c>
      <c r="BF133" s="53">
        <f t="shared" si="273"/>
        <v>143652</v>
      </c>
      <c r="BG133" s="53">
        <f t="shared" si="274"/>
        <v>294226</v>
      </c>
      <c r="BH133" s="53">
        <f t="shared" si="275"/>
        <v>340302</v>
      </c>
      <c r="BI133" s="53" t="str">
        <f t="shared" si="276"/>
        <v/>
      </c>
      <c r="BJ133" s="53" t="str">
        <f t="shared" si="277"/>
        <v/>
      </c>
      <c r="BK133" s="53" t="str">
        <f t="shared" si="278"/>
        <v/>
      </c>
    </row>
    <row r="134" spans="1:63">
      <c r="A134" s="53">
        <v>15</v>
      </c>
      <c r="B134" s="89" t="str">
        <f>IFERROR(VLOOKUP($A134,EntryList!$A$3:$N$645,2,FALSE),"")</f>
        <v>Dale Barnard</v>
      </c>
      <c r="C134" s="74"/>
      <c r="D134" s="53">
        <f t="shared" si="245"/>
        <v>5</v>
      </c>
      <c r="E134" s="62">
        <v>2.8479976851851856E-3</v>
      </c>
      <c r="F134" s="62">
        <v>2.7935185185185185E-3</v>
      </c>
      <c r="G134" s="62">
        <v>1.5349884259259258E-3</v>
      </c>
      <c r="H134" s="62">
        <v>3.122013888888889E-3</v>
      </c>
      <c r="I134" s="62">
        <v>3.7962847222222217E-3</v>
      </c>
      <c r="J134" s="62"/>
      <c r="K134" s="62"/>
      <c r="L134" s="62"/>
      <c r="M134" s="62">
        <v>1.4094803240740741E-2</v>
      </c>
      <c r="N134" s="62">
        <f t="shared" si="246"/>
        <v>1.4094803240740741E-2</v>
      </c>
      <c r="O134" s="53">
        <f t="shared" si="247"/>
        <v>68</v>
      </c>
      <c r="P134" s="53">
        <f t="shared" si="248"/>
        <v>64</v>
      </c>
      <c r="Q134" s="53">
        <f t="shared" si="249"/>
        <v>59</v>
      </c>
      <c r="R134" s="53">
        <f t="shared" si="250"/>
        <v>61</v>
      </c>
      <c r="S134" s="53">
        <f t="shared" si="251"/>
        <v>67</v>
      </c>
      <c r="T134" s="53" t="str">
        <f t="shared" si="252"/>
        <v/>
      </c>
      <c r="U134" s="53" t="str">
        <f t="shared" si="253"/>
        <v/>
      </c>
      <c r="V134" s="53" t="str">
        <f t="shared" si="254"/>
        <v/>
      </c>
      <c r="W134" s="53" t="str">
        <f t="shared" si="279"/>
        <v>00:04:06.1 (68)</v>
      </c>
      <c r="X134" s="53" t="str">
        <f t="shared" si="255"/>
        <v>00:04:01.4 (64)</v>
      </c>
      <c r="Y134" s="53" t="str">
        <f t="shared" si="256"/>
        <v>00:02:12.6 (59)</v>
      </c>
      <c r="Z134" s="53" t="str">
        <f t="shared" si="257"/>
        <v>00:04:29.7 (61)</v>
      </c>
      <c r="AA134" s="53" t="str">
        <f t="shared" si="258"/>
        <v>00:05:28.0 (67)</v>
      </c>
      <c r="AB134" s="53" t="str">
        <f t="shared" si="259"/>
        <v>DNS/DNF ()</v>
      </c>
      <c r="AC134" s="53" t="str">
        <f t="shared" si="260"/>
        <v>DNS/DNF ()</v>
      </c>
      <c r="AD134" s="53" t="str">
        <f t="shared" si="261"/>
        <v>DNS/DNF ()</v>
      </c>
      <c r="AE134" s="53">
        <v>34580474</v>
      </c>
      <c r="AF134" s="53">
        <v>34826541</v>
      </c>
      <c r="AG134" s="53">
        <v>31200305</v>
      </c>
      <c r="AH134" s="53">
        <v>31441665</v>
      </c>
      <c r="AI134" s="53">
        <v>37862763</v>
      </c>
      <c r="AJ134" s="53">
        <v>37995386</v>
      </c>
      <c r="AK134" s="53">
        <v>41937059</v>
      </c>
      <c r="AL134" s="53">
        <v>42206801</v>
      </c>
      <c r="AM134" s="53">
        <v>44964686</v>
      </c>
      <c r="AN134" s="53">
        <v>45292685</v>
      </c>
      <c r="AO134" s="53">
        <v>0</v>
      </c>
      <c r="AP134" s="53">
        <v>0</v>
      </c>
      <c r="AQ134" s="53">
        <v>0</v>
      </c>
      <c r="AR134" s="53">
        <v>0</v>
      </c>
      <c r="AS134" s="53">
        <v>0</v>
      </c>
      <c r="AT134" s="53">
        <v>0</v>
      </c>
      <c r="AU134" s="62">
        <f t="shared" si="262"/>
        <v>2.8479976851851852E-3</v>
      </c>
      <c r="AV134" s="62">
        <f t="shared" si="263"/>
        <v>2.7935185185185185E-3</v>
      </c>
      <c r="AW134" s="62">
        <f t="shared" si="264"/>
        <v>1.534988425925926E-3</v>
      </c>
      <c r="AX134" s="62">
        <f t="shared" si="265"/>
        <v>3.122013888888889E-3</v>
      </c>
      <c r="AY134" s="62">
        <f t="shared" si="266"/>
        <v>3.7962847222222222E-3</v>
      </c>
      <c r="AZ134" s="62" t="str">
        <f t="shared" si="267"/>
        <v>DNS/DNF</v>
      </c>
      <c r="BA134" s="62" t="str">
        <f t="shared" si="268"/>
        <v>DNS/DNF</v>
      </c>
      <c r="BB134" s="62" t="str">
        <f t="shared" si="269"/>
        <v>DNS/DNF</v>
      </c>
      <c r="BC134" s="75">
        <f t="shared" si="270"/>
        <v>64</v>
      </c>
      <c r="BD134" s="53" t="str">
        <f t="shared" si="271"/>
        <v/>
      </c>
      <c r="BE134" s="53">
        <f t="shared" si="272"/>
        <v>241360</v>
      </c>
      <c r="BF134" s="53">
        <f t="shared" si="273"/>
        <v>135122</v>
      </c>
      <c r="BG134" s="53">
        <f t="shared" si="274"/>
        <v>270686</v>
      </c>
      <c r="BH134" s="53">
        <f t="shared" si="275"/>
        <v>326711</v>
      </c>
      <c r="BI134" s="53" t="str">
        <f t="shared" si="276"/>
        <v/>
      </c>
      <c r="BJ134" s="53" t="str">
        <f t="shared" si="277"/>
        <v/>
      </c>
      <c r="BK134" s="53" t="str">
        <f t="shared" si="278"/>
        <v/>
      </c>
    </row>
    <row r="135" spans="1:63">
      <c r="A135" s="53">
        <v>179</v>
      </c>
      <c r="B135" s="89" t="str">
        <f>IFERROR(VLOOKUP($A135,EntryList!$A$3:$N$645,2,FALSE),"")</f>
        <v>Daniel Jacobs</v>
      </c>
      <c r="C135" s="74"/>
      <c r="D135" s="53">
        <f t="shared" si="245"/>
        <v>5</v>
      </c>
      <c r="E135" s="62">
        <v>2.9407407407407407E-3</v>
      </c>
      <c r="F135" s="62">
        <v>2.9125578703703705E-3</v>
      </c>
      <c r="G135" s="62">
        <v>1.5727314814814816E-3</v>
      </c>
      <c r="H135" s="62">
        <v>3.1701620370370369E-3</v>
      </c>
      <c r="I135" s="62">
        <v>3.9156134259259257E-3</v>
      </c>
      <c r="J135" s="62"/>
      <c r="K135" s="62"/>
      <c r="L135" s="62"/>
      <c r="M135" s="62">
        <v>1.4511805555555556E-2</v>
      </c>
      <c r="N135" s="62">
        <f t="shared" si="246"/>
        <v>1.4511805555555556E-2</v>
      </c>
      <c r="O135" s="53">
        <f t="shared" si="247"/>
        <v>79</v>
      </c>
      <c r="P135" s="53">
        <f t="shared" si="248"/>
        <v>95</v>
      </c>
      <c r="Q135" s="53">
        <f t="shared" si="249"/>
        <v>69</v>
      </c>
      <c r="R135" s="53">
        <f t="shared" si="250"/>
        <v>69</v>
      </c>
      <c r="S135" s="53">
        <f t="shared" si="251"/>
        <v>89</v>
      </c>
      <c r="T135" s="53" t="str">
        <f t="shared" si="252"/>
        <v/>
      </c>
      <c r="U135" s="53" t="str">
        <f t="shared" si="253"/>
        <v/>
      </c>
      <c r="V135" s="53" t="str">
        <f t="shared" si="254"/>
        <v/>
      </c>
      <c r="W135" s="53" t="str">
        <f t="shared" si="279"/>
        <v>00:04:14.1 (79)</v>
      </c>
      <c r="X135" s="53" t="str">
        <f t="shared" si="255"/>
        <v>00:04:11.6 (95)</v>
      </c>
      <c r="Y135" s="53" t="str">
        <f t="shared" si="256"/>
        <v>00:02:15.9 (69)</v>
      </c>
      <c r="Z135" s="53" t="str">
        <f t="shared" si="257"/>
        <v>00:04:33.9 (69)</v>
      </c>
      <c r="AA135" s="53" t="str">
        <f t="shared" si="258"/>
        <v>00:05:38.3 (89)</v>
      </c>
      <c r="AB135" s="53" t="str">
        <f t="shared" si="259"/>
        <v>DNS/DNF ()</v>
      </c>
      <c r="AC135" s="53" t="str">
        <f t="shared" si="260"/>
        <v>DNS/DNF ()</v>
      </c>
      <c r="AD135" s="53" t="str">
        <f t="shared" si="261"/>
        <v>DNS/DNF ()</v>
      </c>
      <c r="AE135" s="53">
        <v>32501825</v>
      </c>
      <c r="AF135" s="53">
        <v>32755905</v>
      </c>
      <c r="AG135" s="53">
        <v>38395141</v>
      </c>
      <c r="AH135" s="53">
        <v>38646786</v>
      </c>
      <c r="AI135" s="53">
        <v>35200385</v>
      </c>
      <c r="AJ135" s="53">
        <v>35336269</v>
      </c>
      <c r="AK135" s="53">
        <v>42142307</v>
      </c>
      <c r="AL135" s="53">
        <v>42416209</v>
      </c>
      <c r="AM135" s="53">
        <v>44841388</v>
      </c>
      <c r="AN135" s="53">
        <v>45179697</v>
      </c>
      <c r="AO135" s="53">
        <v>0</v>
      </c>
      <c r="AP135" s="53">
        <v>0</v>
      </c>
      <c r="AQ135" s="53">
        <v>0</v>
      </c>
      <c r="AR135" s="53">
        <v>0</v>
      </c>
      <c r="AS135" s="53">
        <v>0</v>
      </c>
      <c r="AT135" s="53">
        <v>0</v>
      </c>
      <c r="AU135" s="62">
        <f t="shared" si="262"/>
        <v>2.9407407407407407E-3</v>
      </c>
      <c r="AV135" s="62">
        <f t="shared" si="263"/>
        <v>2.9125578703703705E-3</v>
      </c>
      <c r="AW135" s="62">
        <f t="shared" si="264"/>
        <v>1.5727314814814814E-3</v>
      </c>
      <c r="AX135" s="62">
        <f t="shared" si="265"/>
        <v>3.1701620370370369E-3</v>
      </c>
      <c r="AY135" s="62">
        <f t="shared" si="266"/>
        <v>3.9156134259259257E-3</v>
      </c>
      <c r="AZ135" s="62" t="str">
        <f t="shared" si="267"/>
        <v>DNS/DNF</v>
      </c>
      <c r="BA135" s="62" t="str">
        <f t="shared" si="268"/>
        <v>DNS/DNF</v>
      </c>
      <c r="BB135" s="62" t="str">
        <f t="shared" si="269"/>
        <v>DNS/DNF</v>
      </c>
      <c r="BC135" s="75">
        <f t="shared" si="270"/>
        <v>80</v>
      </c>
      <c r="BD135" s="53">
        <f t="shared" si="271"/>
        <v>254556</v>
      </c>
      <c r="BE135" s="53">
        <f t="shared" si="272"/>
        <v>245751</v>
      </c>
      <c r="BF135" s="53">
        <f t="shared" si="273"/>
        <v>139218</v>
      </c>
      <c r="BG135" s="53">
        <f t="shared" si="274"/>
        <v>280343</v>
      </c>
      <c r="BH135" s="53">
        <f t="shared" si="275"/>
        <v>334143</v>
      </c>
      <c r="BI135" s="53" t="str">
        <f t="shared" si="276"/>
        <v/>
      </c>
      <c r="BJ135" s="53" t="str">
        <f t="shared" si="277"/>
        <v/>
      </c>
      <c r="BK135" s="53" t="str">
        <f t="shared" si="278"/>
        <v/>
      </c>
    </row>
    <row r="136" spans="1:63">
      <c r="A136" s="53">
        <v>174</v>
      </c>
      <c r="B136" s="89" t="str">
        <f>IFERROR(VLOOKUP($A136,EntryList!$A$3:$N$645,2,FALSE),"")</f>
        <v>Chris Kistner</v>
      </c>
      <c r="C136" s="74"/>
      <c r="D136" s="53">
        <f t="shared" si="245"/>
        <v>5</v>
      </c>
      <c r="E136" s="62">
        <v>4.1548495370370368E-3</v>
      </c>
      <c r="F136" s="62">
        <v>3.1312037037037038E-3</v>
      </c>
      <c r="G136" s="62">
        <v>1.8479976851851852E-3</v>
      </c>
      <c r="H136" s="62">
        <v>3.7014004629629632E-3</v>
      </c>
      <c r="I136" s="62">
        <v>4.2778472222222219E-3</v>
      </c>
      <c r="J136" s="62"/>
      <c r="K136" s="62"/>
      <c r="L136" s="62"/>
      <c r="M136" s="62">
        <v>1.7113298611111109E-2</v>
      </c>
      <c r="N136" s="62">
        <f t="shared" si="246"/>
        <v>1.7113298611111109E-2</v>
      </c>
      <c r="O136" s="53">
        <f t="shared" si="247"/>
        <v>135</v>
      </c>
      <c r="P136" s="53">
        <f t="shared" si="248"/>
        <v>145</v>
      </c>
      <c r="Q136" s="53">
        <f t="shared" si="249"/>
        <v>156</v>
      </c>
      <c r="R136" s="53">
        <f t="shared" si="250"/>
        <v>122</v>
      </c>
      <c r="S136" s="53">
        <f t="shared" si="251"/>
        <v>172</v>
      </c>
      <c r="T136" s="53" t="str">
        <f t="shared" si="252"/>
        <v/>
      </c>
      <c r="U136" s="53" t="str">
        <f t="shared" si="253"/>
        <v/>
      </c>
      <c r="V136" s="53" t="str">
        <f t="shared" si="254"/>
        <v/>
      </c>
      <c r="W136" s="53" t="str">
        <f t="shared" si="279"/>
        <v>00:05:59.0 (135)</v>
      </c>
      <c r="X136" s="53" t="str">
        <f t="shared" si="255"/>
        <v>00:04:30.5 (145)</v>
      </c>
      <c r="Y136" s="53" t="str">
        <f t="shared" si="256"/>
        <v>00:02:39.7 (156)</v>
      </c>
      <c r="Z136" s="53" t="str">
        <f t="shared" si="257"/>
        <v>00:05:19.8 (122)</v>
      </c>
      <c r="AA136" s="53" t="str">
        <f t="shared" si="258"/>
        <v>00:06:09.6 (172)</v>
      </c>
      <c r="AB136" s="53" t="str">
        <f t="shared" si="259"/>
        <v>DNS/DNF ()</v>
      </c>
      <c r="AC136" s="53" t="str">
        <f t="shared" si="260"/>
        <v>DNS/DNF ()</v>
      </c>
      <c r="AD136" s="53" t="str">
        <f t="shared" si="261"/>
        <v>DNS/DNF ()</v>
      </c>
      <c r="AE136" s="53">
        <v>32517328</v>
      </c>
      <c r="AF136" s="53">
        <v>32876307</v>
      </c>
      <c r="AG136" s="53">
        <v>38416305</v>
      </c>
      <c r="AH136" s="53">
        <v>38686841</v>
      </c>
      <c r="AI136" s="53">
        <v>35213623</v>
      </c>
      <c r="AJ136" s="53">
        <v>35373290</v>
      </c>
      <c r="AK136" s="53">
        <v>42157883</v>
      </c>
      <c r="AL136" s="53">
        <v>42477684</v>
      </c>
      <c r="AM136" s="53">
        <v>44855784</v>
      </c>
      <c r="AN136" s="53">
        <v>45225390</v>
      </c>
      <c r="AO136" s="53">
        <v>0</v>
      </c>
      <c r="AP136" s="53">
        <v>0</v>
      </c>
      <c r="AQ136" s="53">
        <v>0</v>
      </c>
      <c r="AR136" s="53">
        <v>0</v>
      </c>
      <c r="AS136" s="53">
        <v>0</v>
      </c>
      <c r="AT136" s="53">
        <v>0</v>
      </c>
      <c r="AU136" s="62">
        <f t="shared" si="262"/>
        <v>4.1548495370370368E-3</v>
      </c>
      <c r="AV136" s="62">
        <f t="shared" si="263"/>
        <v>3.1312037037037038E-3</v>
      </c>
      <c r="AW136" s="62">
        <f t="shared" si="264"/>
        <v>1.8479976851851852E-3</v>
      </c>
      <c r="AX136" s="62">
        <f t="shared" si="265"/>
        <v>3.7014004629629628E-3</v>
      </c>
      <c r="AY136" s="62">
        <f t="shared" si="266"/>
        <v>4.2778472222222219E-3</v>
      </c>
      <c r="AZ136" s="62" t="str">
        <f t="shared" si="267"/>
        <v>DNS/DNF</v>
      </c>
      <c r="BA136" s="62" t="str">
        <f t="shared" si="268"/>
        <v>DNS/DNF</v>
      </c>
      <c r="BB136" s="62" t="str">
        <f t="shared" si="269"/>
        <v>DNS/DNF</v>
      </c>
      <c r="BC136" s="75">
        <f t="shared" si="270"/>
        <v>146</v>
      </c>
      <c r="BD136" s="53">
        <f t="shared" si="271"/>
        <v>480533</v>
      </c>
      <c r="BE136" s="53">
        <f t="shared" si="272"/>
        <v>271425</v>
      </c>
      <c r="BF136" s="53">
        <f t="shared" si="273"/>
        <v>157789</v>
      </c>
      <c r="BG136" s="53">
        <f t="shared" si="274"/>
        <v>691026.99999999988</v>
      </c>
      <c r="BH136" s="53">
        <f t="shared" si="275"/>
        <v>359633</v>
      </c>
      <c r="BI136" s="53" t="str">
        <f t="shared" si="276"/>
        <v/>
      </c>
      <c r="BJ136" s="53" t="str">
        <f t="shared" si="277"/>
        <v/>
      </c>
      <c r="BK136" s="53" t="str">
        <f t="shared" si="278"/>
        <v/>
      </c>
    </row>
    <row r="137" spans="1:63" ht="13.5" customHeight="1">
      <c r="A137" s="53">
        <v>16</v>
      </c>
      <c r="B137" s="89" t="str">
        <f>IFERROR(VLOOKUP($A137,EntryList!$A$3:$N$645,2,FALSE),"")</f>
        <v>Seth Barnard</v>
      </c>
      <c r="C137" s="74"/>
      <c r="D137" s="53">
        <f t="shared" si="245"/>
        <v>5</v>
      </c>
      <c r="E137" s="62">
        <v>2.6111458333333334E-3</v>
      </c>
      <c r="F137" s="62">
        <v>2.7042245370370375E-3</v>
      </c>
      <c r="G137" s="62">
        <v>1.4562500000000001E-3</v>
      </c>
      <c r="H137" s="62">
        <v>2.9251620370370373E-3</v>
      </c>
      <c r="I137" s="62">
        <v>3.6500578703703708E-3</v>
      </c>
      <c r="J137" s="62"/>
      <c r="K137" s="62"/>
      <c r="L137" s="62"/>
      <c r="M137" s="62">
        <v>1.3346840277777777E-2</v>
      </c>
      <c r="N137" s="62">
        <f t="shared" si="246"/>
        <v>1.3346840277777779E-2</v>
      </c>
      <c r="O137" s="53">
        <f t="shared" si="247"/>
        <v>47</v>
      </c>
      <c r="P137" s="53">
        <f t="shared" si="248"/>
        <v>48</v>
      </c>
      <c r="Q137" s="53">
        <f t="shared" si="249"/>
        <v>30</v>
      </c>
      <c r="R137" s="53">
        <f t="shared" si="250"/>
        <v>32</v>
      </c>
      <c r="S137" s="53">
        <f t="shared" si="251"/>
        <v>46</v>
      </c>
      <c r="T137" s="53" t="str">
        <f t="shared" si="252"/>
        <v/>
      </c>
      <c r="U137" s="53" t="str">
        <f t="shared" si="253"/>
        <v/>
      </c>
      <c r="V137" s="53" t="str">
        <f t="shared" si="254"/>
        <v/>
      </c>
      <c r="W137" s="53" t="str">
        <f t="shared" si="279"/>
        <v>00:03:45.6 (47)</v>
      </c>
      <c r="X137" s="53" t="str">
        <f t="shared" si="255"/>
        <v>00:03:53.6 (48)</v>
      </c>
      <c r="Y137" s="53" t="str">
        <f t="shared" si="256"/>
        <v>00:02:05.8 (30)</v>
      </c>
      <c r="Z137" s="53" t="str">
        <f t="shared" si="257"/>
        <v>00:04:12.7 (32)</v>
      </c>
      <c r="AA137" s="53" t="str">
        <f t="shared" si="258"/>
        <v>00:05:15.4 (46)</v>
      </c>
      <c r="AB137" s="53" t="str">
        <f t="shared" si="259"/>
        <v>DNS/DNF ()</v>
      </c>
      <c r="AC137" s="53" t="str">
        <f t="shared" si="260"/>
        <v>DNS/DNF ()</v>
      </c>
      <c r="AD137" s="53" t="str">
        <f t="shared" si="261"/>
        <v>DNS/DNF ()</v>
      </c>
      <c r="AE137" s="53">
        <v>34550133</v>
      </c>
      <c r="AF137" s="53">
        <v>34775736</v>
      </c>
      <c r="AG137" s="53">
        <v>31172711</v>
      </c>
      <c r="AH137" s="53">
        <v>31406356</v>
      </c>
      <c r="AI137" s="53">
        <v>37835880</v>
      </c>
      <c r="AJ137" s="53">
        <v>37961700</v>
      </c>
      <c r="AK137" s="53">
        <v>41904271</v>
      </c>
      <c r="AL137" s="53">
        <v>42157005</v>
      </c>
      <c r="AM137" s="53">
        <v>44937446</v>
      </c>
      <c r="AN137" s="53">
        <v>45252811</v>
      </c>
      <c r="AO137" s="53">
        <v>0</v>
      </c>
      <c r="AP137" s="53">
        <v>0</v>
      </c>
      <c r="AQ137" s="53">
        <v>0</v>
      </c>
      <c r="AR137" s="53">
        <v>0</v>
      </c>
      <c r="AS137" s="53">
        <v>0</v>
      </c>
      <c r="AT137" s="53">
        <v>0</v>
      </c>
      <c r="AU137" s="62">
        <f t="shared" si="262"/>
        <v>2.6111458333333334E-3</v>
      </c>
      <c r="AV137" s="62">
        <f t="shared" si="263"/>
        <v>2.7042245370370371E-3</v>
      </c>
      <c r="AW137" s="62">
        <f t="shared" si="264"/>
        <v>1.4562500000000001E-3</v>
      </c>
      <c r="AX137" s="62">
        <f t="shared" si="265"/>
        <v>2.9251620370370369E-3</v>
      </c>
      <c r="AY137" s="62">
        <f t="shared" si="266"/>
        <v>3.6500578703703703E-3</v>
      </c>
      <c r="AZ137" s="62" t="str">
        <f t="shared" si="267"/>
        <v>DNS/DNF</v>
      </c>
      <c r="BA137" s="62" t="str">
        <f t="shared" si="268"/>
        <v>DNS/DNF</v>
      </c>
      <c r="BB137" s="62" t="str">
        <f t="shared" si="269"/>
        <v>DNS/DNF</v>
      </c>
      <c r="BC137" s="75">
        <f t="shared" si="270"/>
        <v>41</v>
      </c>
      <c r="BD137" s="53">
        <f t="shared" si="271"/>
        <v>223683.00000000003</v>
      </c>
      <c r="BE137" s="53">
        <f t="shared" si="272"/>
        <v>231733</v>
      </c>
      <c r="BF137" s="53">
        <f t="shared" si="273"/>
        <v>129271</v>
      </c>
      <c r="BG137" s="53">
        <f t="shared" si="274"/>
        <v>256736</v>
      </c>
      <c r="BH137" s="53">
        <f t="shared" si="275"/>
        <v>312486</v>
      </c>
      <c r="BI137" s="53" t="str">
        <f t="shared" si="276"/>
        <v/>
      </c>
      <c r="BJ137" s="53" t="str">
        <f t="shared" si="277"/>
        <v/>
      </c>
      <c r="BK137" s="53" t="str">
        <f t="shared" si="278"/>
        <v/>
      </c>
    </row>
    <row r="138" spans="1:63">
      <c r="A138" s="53">
        <v>177</v>
      </c>
      <c r="B138" s="89" t="str">
        <f>IFERROR(VLOOKUP($A138,EntryList!$A$3:$N$645,2,FALSE),"")</f>
        <v>Daniel Fairbrother</v>
      </c>
      <c r="C138" s="74"/>
      <c r="D138" s="53">
        <f t="shared" si="245"/>
        <v>5</v>
      </c>
      <c r="E138" s="62">
        <v>2.7776620370370368E-3</v>
      </c>
      <c r="F138" s="62">
        <v>2.7978356481481478E-3</v>
      </c>
      <c r="G138" s="62">
        <v>1.4900115740740742E-3</v>
      </c>
      <c r="H138" s="62">
        <v>3.0298958333333337E-3</v>
      </c>
      <c r="I138" s="62">
        <v>3.7075694444444443E-3</v>
      </c>
      <c r="J138" s="62"/>
      <c r="K138" s="62"/>
      <c r="L138" s="62"/>
      <c r="M138" s="62">
        <v>1.3802974537037037E-2</v>
      </c>
      <c r="N138" s="62">
        <f t="shared" si="246"/>
        <v>1.3802974537037035E-2</v>
      </c>
      <c r="O138" s="53">
        <f t="shared" si="247"/>
        <v>58</v>
      </c>
      <c r="P138" s="53">
        <f t="shared" si="248"/>
        <v>69</v>
      </c>
      <c r="Q138" s="53">
        <f t="shared" si="249"/>
        <v>39</v>
      </c>
      <c r="R138" s="53">
        <f t="shared" si="250"/>
        <v>51</v>
      </c>
      <c r="S138" s="53">
        <f t="shared" si="251"/>
        <v>55</v>
      </c>
      <c r="T138" s="53" t="str">
        <f t="shared" si="252"/>
        <v/>
      </c>
      <c r="U138" s="53" t="str">
        <f t="shared" si="253"/>
        <v/>
      </c>
      <c r="V138" s="53" t="str">
        <f t="shared" si="254"/>
        <v/>
      </c>
      <c r="W138" s="53" t="str">
        <f t="shared" si="279"/>
        <v>00:04:00.0 (58)</v>
      </c>
      <c r="X138" s="53" t="str">
        <f t="shared" si="255"/>
        <v>00:04:01.7 (69)</v>
      </c>
      <c r="Y138" s="53" t="str">
        <f t="shared" si="256"/>
        <v>00:02:08.7 (39)</v>
      </c>
      <c r="Z138" s="53" t="str">
        <f t="shared" si="257"/>
        <v>00:04:21.8 (51)</v>
      </c>
      <c r="AA138" s="53" t="str">
        <f t="shared" si="258"/>
        <v>00:05:20.3 (55)</v>
      </c>
      <c r="AB138" s="53" t="str">
        <f t="shared" si="259"/>
        <v>DNS/DNF ()</v>
      </c>
      <c r="AC138" s="53" t="str">
        <f t="shared" si="260"/>
        <v>DNS/DNF ()</v>
      </c>
      <c r="AD138" s="53" t="str">
        <f t="shared" si="261"/>
        <v>DNS/DNF ()</v>
      </c>
      <c r="AE138" s="53">
        <v>34566326</v>
      </c>
      <c r="AF138" s="53">
        <v>34806316</v>
      </c>
      <c r="AG138" s="53">
        <v>31185143</v>
      </c>
      <c r="AH138" s="53">
        <v>31426876</v>
      </c>
      <c r="AI138" s="53">
        <v>37850046</v>
      </c>
      <c r="AJ138" s="53">
        <v>37978783</v>
      </c>
      <c r="AK138" s="53">
        <v>41921257</v>
      </c>
      <c r="AL138" s="53">
        <v>42183040</v>
      </c>
      <c r="AM138" s="53">
        <v>44951784</v>
      </c>
      <c r="AN138" s="53">
        <v>45272118</v>
      </c>
      <c r="AO138" s="53">
        <v>0</v>
      </c>
      <c r="AP138" s="53">
        <v>0</v>
      </c>
      <c r="AQ138" s="53">
        <v>0</v>
      </c>
      <c r="AR138" s="53">
        <v>0</v>
      </c>
      <c r="AS138" s="53">
        <v>0</v>
      </c>
      <c r="AT138" s="53">
        <v>0</v>
      </c>
      <c r="AU138" s="62">
        <f t="shared" si="262"/>
        <v>2.7776620370370373E-3</v>
      </c>
      <c r="AV138" s="62">
        <f t="shared" si="263"/>
        <v>2.7978356481481483E-3</v>
      </c>
      <c r="AW138" s="62">
        <f t="shared" si="264"/>
        <v>1.4900115740740742E-3</v>
      </c>
      <c r="AX138" s="62">
        <f t="shared" si="265"/>
        <v>3.0298958333333332E-3</v>
      </c>
      <c r="AY138" s="62">
        <f t="shared" si="266"/>
        <v>3.7075694444444443E-3</v>
      </c>
      <c r="AZ138" s="62" t="str">
        <f t="shared" si="267"/>
        <v>DNS/DNF</v>
      </c>
      <c r="BA138" s="62" t="str">
        <f t="shared" si="268"/>
        <v>DNS/DNF</v>
      </c>
      <c r="BB138" s="62" t="str">
        <f t="shared" si="269"/>
        <v>DNS/DNF</v>
      </c>
      <c r="BC138" s="75">
        <f t="shared" si="270"/>
        <v>54</v>
      </c>
      <c r="BD138" s="53">
        <f t="shared" si="271"/>
        <v>232106</v>
      </c>
      <c r="BE138" s="53">
        <f t="shared" si="272"/>
        <v>235953</v>
      </c>
      <c r="BF138" s="53" t="str">
        <f t="shared" si="273"/>
        <v/>
      </c>
      <c r="BG138" s="53">
        <f t="shared" si="274"/>
        <v>262777</v>
      </c>
      <c r="BH138" s="53">
        <f t="shared" si="275"/>
        <v>320104</v>
      </c>
      <c r="BI138" s="53" t="str">
        <f t="shared" si="276"/>
        <v/>
      </c>
      <c r="BJ138" s="53" t="str">
        <f t="shared" si="277"/>
        <v/>
      </c>
      <c r="BK138" s="53" t="str">
        <f t="shared" si="278"/>
        <v/>
      </c>
    </row>
    <row r="139" spans="1:63">
      <c r="A139" s="53">
        <v>3</v>
      </c>
      <c r="B139" s="89" t="str">
        <f>IFERROR(VLOOKUP($A139,EntryList!$A$3:$N$645,2,FALSE),"")</f>
        <v>Kevin De Kock</v>
      </c>
      <c r="C139" s="74"/>
      <c r="D139" s="53">
        <f t="shared" si="245"/>
        <v>5</v>
      </c>
      <c r="E139" s="62">
        <v>2.5964814814814813E-3</v>
      </c>
      <c r="F139" s="62">
        <v>2.7195949074074071E-3</v>
      </c>
      <c r="G139" s="62">
        <v>1.5231018518518519E-3</v>
      </c>
      <c r="H139" s="62">
        <v>2.9966666666666666E-3</v>
      </c>
      <c r="I139" s="62">
        <v>3.7201967592592595E-3</v>
      </c>
      <c r="J139" s="62"/>
      <c r="K139" s="62"/>
      <c r="L139" s="62"/>
      <c r="M139" s="62">
        <v>1.3556041666666669E-2</v>
      </c>
      <c r="N139" s="62">
        <f t="shared" si="246"/>
        <v>1.3556041666666668E-2</v>
      </c>
      <c r="O139" s="53">
        <f t="shared" si="247"/>
        <v>42</v>
      </c>
      <c r="P139" s="53">
        <f t="shared" si="248"/>
        <v>52</v>
      </c>
      <c r="Q139" s="53">
        <f t="shared" si="249"/>
        <v>57</v>
      </c>
      <c r="R139" s="53">
        <f t="shared" si="250"/>
        <v>47</v>
      </c>
      <c r="S139" s="53">
        <f t="shared" si="251"/>
        <v>57</v>
      </c>
      <c r="T139" s="53" t="str">
        <f t="shared" si="252"/>
        <v/>
      </c>
      <c r="U139" s="53" t="str">
        <f t="shared" si="253"/>
        <v/>
      </c>
      <c r="V139" s="53" t="str">
        <f t="shared" si="254"/>
        <v/>
      </c>
      <c r="W139" s="53" t="str">
        <f t="shared" si="279"/>
        <v>00:03:44.3 (42)</v>
      </c>
      <c r="X139" s="53" t="str">
        <f t="shared" si="255"/>
        <v>00:03:55.0 (52)</v>
      </c>
      <c r="Y139" s="53" t="str">
        <f t="shared" si="256"/>
        <v>00:02:11.6 (57)</v>
      </c>
      <c r="Z139" s="53" t="str">
        <f t="shared" si="257"/>
        <v>00:04:18.9 (47)</v>
      </c>
      <c r="AA139" s="53" t="str">
        <f t="shared" si="258"/>
        <v>00:05:21.4 (57)</v>
      </c>
      <c r="AB139" s="53" t="str">
        <f t="shared" si="259"/>
        <v>DNS/DNF ()</v>
      </c>
      <c r="AC139" s="53" t="str">
        <f t="shared" si="260"/>
        <v>DNS/DNF ()</v>
      </c>
      <c r="AD139" s="53" t="str">
        <f t="shared" si="261"/>
        <v>DNS/DNF ()</v>
      </c>
      <c r="AE139" s="53">
        <v>35419680</v>
      </c>
      <c r="AF139" s="53">
        <v>35644016</v>
      </c>
      <c r="AG139" s="53">
        <v>32346640</v>
      </c>
      <c r="AH139" s="53">
        <v>32581613</v>
      </c>
      <c r="AI139" s="53">
        <v>38306758</v>
      </c>
      <c r="AJ139" s="53">
        <v>38438354</v>
      </c>
      <c r="AK139" s="53">
        <v>42380379</v>
      </c>
      <c r="AL139" s="53">
        <v>42639291</v>
      </c>
      <c r="AM139" s="53">
        <v>45516996</v>
      </c>
      <c r="AN139" s="53">
        <v>45838421</v>
      </c>
      <c r="AO139" s="53">
        <v>0</v>
      </c>
      <c r="AP139" s="53">
        <v>0</v>
      </c>
      <c r="AQ139" s="53">
        <v>0</v>
      </c>
      <c r="AR139" s="53">
        <v>0</v>
      </c>
      <c r="AS139" s="53">
        <v>0</v>
      </c>
      <c r="AT139" s="53">
        <v>0</v>
      </c>
      <c r="AU139" s="62">
        <f t="shared" si="262"/>
        <v>2.5964814814814813E-3</v>
      </c>
      <c r="AV139" s="62">
        <f t="shared" si="263"/>
        <v>2.7195949074074076E-3</v>
      </c>
      <c r="AW139" s="62">
        <f t="shared" si="264"/>
        <v>1.5231018518518519E-3</v>
      </c>
      <c r="AX139" s="62">
        <f t="shared" si="265"/>
        <v>2.9966666666666666E-3</v>
      </c>
      <c r="AY139" s="62">
        <f t="shared" si="266"/>
        <v>3.7201967592592595E-3</v>
      </c>
      <c r="AZ139" s="62" t="str">
        <f t="shared" si="267"/>
        <v>DNS/DNF</v>
      </c>
      <c r="BA139" s="62" t="str">
        <f t="shared" si="268"/>
        <v>DNS/DNF</v>
      </c>
      <c r="BB139" s="62" t="str">
        <f t="shared" si="269"/>
        <v>DNS/DNF</v>
      </c>
      <c r="BC139" s="75">
        <f t="shared" si="270"/>
        <v>51</v>
      </c>
      <c r="BD139" s="53">
        <f t="shared" si="271"/>
        <v>231410</v>
      </c>
      <c r="BE139" s="53">
        <f t="shared" si="272"/>
        <v>234886</v>
      </c>
      <c r="BF139" s="53">
        <f t="shared" si="273"/>
        <v>130707.99999999999</v>
      </c>
      <c r="BG139" s="53">
        <f t="shared" si="274"/>
        <v>261783</v>
      </c>
      <c r="BH139" s="53">
        <f t="shared" si="275"/>
        <v>317590</v>
      </c>
      <c r="BI139" s="53" t="str">
        <f t="shared" si="276"/>
        <v/>
      </c>
      <c r="BJ139" s="53" t="str">
        <f t="shared" si="277"/>
        <v/>
      </c>
      <c r="BK139" s="53" t="str">
        <f t="shared" si="278"/>
        <v/>
      </c>
    </row>
    <row r="140" spans="1:63">
      <c r="A140" s="53">
        <v>246</v>
      </c>
      <c r="B140" s="89" t="str">
        <f>IFERROR(VLOOKUP($A140,EntryList!$A$3:$N$645,2,FALSE),"")</f>
        <v>Michard Meets</v>
      </c>
      <c r="C140" s="74"/>
      <c r="D140" s="53">
        <f>COUNT($AU140:$BB140)</f>
        <v>5</v>
      </c>
      <c r="E140" s="62">
        <v>2.253310185185185E-3</v>
      </c>
      <c r="F140" s="62">
        <v>2.5178240740740738E-3</v>
      </c>
      <c r="G140" s="62">
        <v>1.3771412037037036E-3</v>
      </c>
      <c r="H140" s="62">
        <v>2.6784027777777778E-3</v>
      </c>
      <c r="I140" s="62">
        <v>3.338275462962963E-3</v>
      </c>
      <c r="J140" s="62"/>
      <c r="K140" s="62"/>
      <c r="L140" s="62"/>
      <c r="M140" s="62">
        <v>1.2164953703703704E-2</v>
      </c>
      <c r="N140" s="62">
        <f>SUM($AU140:$BB140)</f>
        <v>1.2164953703703704E-2</v>
      </c>
      <c r="O140" s="53">
        <f>IFERROR(RANK($AU140,AU$3:AU$500,1),"")</f>
        <v>9</v>
      </c>
      <c r="P140" s="53">
        <f>IFERROR(RANK($AV140,AV$3:AV$500,1),"")</f>
        <v>16</v>
      </c>
      <c r="Q140" s="53">
        <f>IFERROR(RANK($AW140,AW$3:AW$500,1),"")</f>
        <v>11</v>
      </c>
      <c r="R140" s="53">
        <f>IFERROR(RANK($AX140,AX$3:AX$500,1),"")</f>
        <v>8</v>
      </c>
      <c r="S140" s="53">
        <f>IFERROR(RANK($AY140,AY$3:AY$500,1),"")</f>
        <v>5</v>
      </c>
      <c r="T140" s="53" t="str">
        <f>IFERROR(RANK($AZ140,AZ$3:AZ$500,1),"")</f>
        <v/>
      </c>
      <c r="U140" s="53" t="str">
        <f>IFERROR(RANK($BA140,BA$3:BA$500,1),"")</f>
        <v/>
      </c>
      <c r="V140" s="53" t="str">
        <f>IFERROR(RANK($BB140,BB$3:BB$500,1),"")</f>
        <v/>
      </c>
      <c r="W140" s="53" t="str">
        <f>CONCATENATE(TEXT($AU140,"[hh]:mm:ss.0")," ","(",$O140,")")</f>
        <v>00:03:14.7 (9)</v>
      </c>
      <c r="X140" s="53" t="str">
        <f>CONCATENATE(TEXT($AV140,"[hh]:mm:ss.0")," ","(",$P140,")")</f>
        <v>00:03:37.5 (16)</v>
      </c>
      <c r="Y140" s="53" t="str">
        <f>CONCATENATE(TEXT($AW140,"[hh]:mm:ss.0")," ","(",$Q140,")")</f>
        <v>00:01:59.0 (11)</v>
      </c>
      <c r="Z140" s="53" t="str">
        <f>CONCATENATE(TEXT($AX140,"[hh]:mm:ss.0")," ","(",$R140,")")</f>
        <v>00:03:51.4 (8)</v>
      </c>
      <c r="AA140" s="53" t="str">
        <f>CONCATENATE(TEXT($AY140,"[hh]:mm:ss.0")," ","(",$S140,")")</f>
        <v>00:04:48.4 (5)</v>
      </c>
      <c r="AB140" s="53" t="str">
        <f>CONCATENATE(TEXT($AZ140,"[hh]:mm:ss.0")," ","(",$T140,")")</f>
        <v>DNS/DNF ()</v>
      </c>
      <c r="AC140" s="53" t="str">
        <f>CONCATENATE(TEXT($BA140,"[hh]:mm:ss.0")," ","(",$U140,")")</f>
        <v>DNS/DNF ()</v>
      </c>
      <c r="AD140" s="53" t="str">
        <f>CONCATENATE(TEXT($BB140,"[hh]:mm:ss.0")," ","(",$V140,")")</f>
        <v>DNS/DNF ()</v>
      </c>
      <c r="AE140" s="53">
        <v>37547174</v>
      </c>
      <c r="AF140" s="53">
        <v>37741860</v>
      </c>
      <c r="AG140" s="53">
        <v>33927276</v>
      </c>
      <c r="AH140" s="53">
        <v>34144816</v>
      </c>
      <c r="AI140" s="53">
        <v>31061063</v>
      </c>
      <c r="AJ140" s="53">
        <v>31180048</v>
      </c>
      <c r="AK140" s="53">
        <v>40839568</v>
      </c>
      <c r="AL140" s="53">
        <v>41070982</v>
      </c>
      <c r="AM140" s="53">
        <v>45020126</v>
      </c>
      <c r="AN140" s="53">
        <v>45308553</v>
      </c>
      <c r="AO140" s="53">
        <v>0</v>
      </c>
      <c r="AP140" s="53">
        <v>0</v>
      </c>
      <c r="AQ140" s="53">
        <v>0</v>
      </c>
      <c r="AR140" s="53">
        <v>0</v>
      </c>
      <c r="AS140" s="53">
        <v>0</v>
      </c>
      <c r="AT140" s="53">
        <v>0</v>
      </c>
      <c r="AU140" s="62">
        <f>IF((OR($AE140=0,$AF140=0,$AF140-$AE140&lt;0)),"DNS/DNF",($AF140-$AE140)/86400000)</f>
        <v>2.253310185185185E-3</v>
      </c>
      <c r="AV140" s="62">
        <f>IF((OR($AG140=0,$AH140=0,$AH140-$AG140&lt;0)),"DNS/DNF",($AH140-$AG140)/86400000)</f>
        <v>2.5178240740740742E-3</v>
      </c>
      <c r="AW140" s="62">
        <f>IF((OR($AI140=0,$AJ140=0,$AJ140-$AI140&lt;0)),"DNS/DNF",($AJ140-$AI140)/86400000)</f>
        <v>1.3771412037037038E-3</v>
      </c>
      <c r="AX140" s="62">
        <f>IF((OR($AK140=0,$AL140=0,$AL140-$AK140&lt;0)),"DNS/DNF",($AL140-$AK140)/86400000)</f>
        <v>2.6784027777777778E-3</v>
      </c>
      <c r="AY140" s="62">
        <f>IF((OR($AM140=0,$AM140=0,$AN140-$AM140&lt;0)),"DNS/DNF",($AN140-$AM140)/86400000)</f>
        <v>3.338275462962963E-3</v>
      </c>
      <c r="AZ140" s="62" t="str">
        <f>IF((OR($AO140=0,$AP140=0,$AP140-$AO140&lt;0)),"DNS/DNF",($AP140-$AO140)/86400000)</f>
        <v>DNS/DNF</v>
      </c>
      <c r="BA140" s="62" t="str">
        <f>IF((OR($AQ140=0,$AR140=0,$AR140-$AQ140&lt;0)),"DNS/DNF",($AR140-$AQ140)/86400000)</f>
        <v>DNS/DNF</v>
      </c>
      <c r="BB140" s="62" t="str">
        <f>IF((OR($AS140=0,$AT140=0,$AT140-$AS140&lt;0)),"DNS/DNF",($AT140-$AS140)/86400000)</f>
        <v>DNS/DNF</v>
      </c>
      <c r="BC140" s="75">
        <f>IFERROR(ROUND(AVERAGE(O140:V140),0),"")</f>
        <v>10</v>
      </c>
      <c r="BD140" s="53">
        <f>IFERROR((INDEX(($AU$3:$AU$500)*86400000,MATCH(BC140,$O$3:$O$500,0))),"")</f>
        <v>195697.99999999997</v>
      </c>
      <c r="BE140" s="53">
        <f>IFERROR((INDEX(($AV$3:$AV$500)*86400000,MATCH(BC140,$P$3:$P$500,0))),"")</f>
        <v>213153</v>
      </c>
      <c r="BF140" s="53">
        <f>IFERROR((INDEX(($AW$3:$AW$500)*86400000,MATCH(BC140,$Q$3:$Q$500,0))),"")</f>
        <v>118956</v>
      </c>
      <c r="BG140" s="53">
        <f>IFERROR((INDEX(($AX$3:$AX$500)*86400000,MATCH(BC140,$R$3:$R$500,0))),"")</f>
        <v>232005.99999999997</v>
      </c>
      <c r="BH140" s="53">
        <f>IFERROR((INDEX(($AY$3:$AY$500)*86400000,MATCH(BC140,$S$3:$S$500,0))),"")</f>
        <v>292665</v>
      </c>
      <c r="BI140" s="53" t="str">
        <f>IFERROR((INDEX(($AZ$3:$AZ$500)*86400000,MATCH(BC140,$T$3:$T$500,0))),"")</f>
        <v/>
      </c>
      <c r="BJ140" s="53" t="str">
        <f>IFERROR((INDEX(($BA$3:$BA$500)*86400000,MATCH(BC140,$U$3:$U$500,0))),"")</f>
        <v/>
      </c>
      <c r="BK140" s="53" t="str">
        <f>IFERROR((INDEX(($BB$3:$BB$500)*86400000,MATCH(BC140,$V$3:$V$500,0))),"")</f>
        <v/>
      </c>
    </row>
    <row r="141" spans="1:63">
      <c r="A141" s="53">
        <v>175</v>
      </c>
      <c r="B141" s="89" t="str">
        <f>IFERROR(VLOOKUP($A141,EntryList!$A$3:$N$645,2,FALSE),"")</f>
        <v>Shane Robert</v>
      </c>
      <c r="C141" s="74"/>
      <c r="D141" s="53">
        <f t="shared" ref="D141:D166" si="280">COUNT($AU141:$BB141)</f>
        <v>3</v>
      </c>
      <c r="E141" s="62"/>
      <c r="F141" s="62">
        <v>3.4158333333333332E-3</v>
      </c>
      <c r="G141" s="62">
        <v>2.1130787037037034E-3</v>
      </c>
      <c r="H141" s="62"/>
      <c r="I141" s="62">
        <v>4.578356481481481E-3</v>
      </c>
      <c r="J141" s="62"/>
      <c r="K141" s="62"/>
      <c r="L141" s="62"/>
      <c r="M141" s="62">
        <v>1.0107268518518519E-2</v>
      </c>
      <c r="N141" s="62">
        <f t="shared" ref="N141:N166" si="281">SUM($AU141:$BB141)</f>
        <v>1.0107268518518519E-2</v>
      </c>
      <c r="O141" s="53" t="str">
        <f t="shared" ref="O141:O166" si="282">IFERROR(RANK($AU141,AU$3:AU$500,1),"")</f>
        <v/>
      </c>
      <c r="P141" s="53">
        <f t="shared" ref="P141:P166" si="283">IFERROR(RANK($AV141,AV$3:AV$500,1),"")</f>
        <v>205</v>
      </c>
      <c r="Q141" s="53">
        <f t="shared" ref="Q141:Q166" si="284">IFERROR(RANK($AW141,AW$3:AW$500,1),"")</f>
        <v>220</v>
      </c>
      <c r="R141" s="53" t="str">
        <f t="shared" ref="R141:R166" si="285">IFERROR(RANK($AX141,AX$3:AX$500,1),"")</f>
        <v/>
      </c>
      <c r="S141" s="53">
        <f t="shared" ref="S141:S166" si="286">IFERROR(RANK($AY141,AY$3:AY$500,1),"")</f>
        <v>205</v>
      </c>
      <c r="T141" s="53" t="str">
        <f t="shared" ref="T141:T166" si="287">IFERROR(RANK($AZ141,AZ$3:AZ$500,1),"")</f>
        <v/>
      </c>
      <c r="U141" s="53" t="str">
        <f t="shared" ref="U141:U166" si="288">IFERROR(RANK($BA141,BA$3:BA$500,1),"")</f>
        <v/>
      </c>
      <c r="V141" s="53" t="str">
        <f t="shared" ref="V141:V166" si="289">IFERROR(RANK($BB141,BB$3:BB$500,1),"")</f>
        <v/>
      </c>
      <c r="W141" s="53" t="str">
        <f>CONCATENATE(TEXT($AU141,"[hh]:mm:ss.0")," ","(",$O141,")")</f>
        <v>DNS/DNF ()</v>
      </c>
      <c r="X141" s="53" t="str">
        <f t="shared" ref="X141:X166" si="290">CONCATENATE(TEXT($AV141,"[hh]:mm:ss.0")," ","(",$P141,")")</f>
        <v>00:04:55.1 (205)</v>
      </c>
      <c r="Y141" s="53" t="str">
        <f t="shared" ref="Y141:Y166" si="291">CONCATENATE(TEXT($AW141,"[hh]:mm:ss.0")," ","(",$Q141,")")</f>
        <v>00:03:02.6 (220)</v>
      </c>
      <c r="Z141" s="53" t="str">
        <f t="shared" ref="Z141:Z166" si="292">CONCATENATE(TEXT($AX141,"[hh]:mm:ss.0")," ","(",$R141,")")</f>
        <v>DNS/DNF ()</v>
      </c>
      <c r="AA141" s="53" t="str">
        <f t="shared" ref="AA141:AA166" si="293">CONCATENATE(TEXT($AY141,"[hh]:mm:ss.0")," ","(",$S141,")")</f>
        <v>00:06:35.6 (205)</v>
      </c>
      <c r="AB141" s="53" t="str">
        <f t="shared" ref="AB141:AB166" si="294">CONCATENATE(TEXT($AZ141,"[hh]:mm:ss.0")," ","(",$T141,")")</f>
        <v>DNS/DNF ()</v>
      </c>
      <c r="AC141" s="53" t="str">
        <f t="shared" ref="AC141:AC166" si="295">CONCATENATE(TEXT($BA141,"[hh]:mm:ss.0")," ","(",$U141,")")</f>
        <v>DNS/DNF ()</v>
      </c>
      <c r="AD141" s="53" t="str">
        <f t="shared" ref="AD141:AD166" si="296">CONCATENATE(TEXT($BB141,"[hh]:mm:ss.0")," ","(",$V141,")")</f>
        <v>DNS/DNF ()</v>
      </c>
      <c r="AE141" s="53">
        <v>0</v>
      </c>
      <c r="AF141" s="53">
        <v>0</v>
      </c>
      <c r="AG141" s="53">
        <v>35325928</v>
      </c>
      <c r="AH141" s="53">
        <v>35621056</v>
      </c>
      <c r="AI141" s="53">
        <v>39200175</v>
      </c>
      <c r="AJ141" s="53">
        <v>39382745</v>
      </c>
      <c r="AK141" s="53">
        <v>0</v>
      </c>
      <c r="AL141" s="53">
        <v>0</v>
      </c>
      <c r="AM141" s="53">
        <v>45062202</v>
      </c>
      <c r="AN141" s="53">
        <v>45457772</v>
      </c>
      <c r="AO141" s="53">
        <v>0</v>
      </c>
      <c r="AP141" s="53">
        <v>0</v>
      </c>
      <c r="AQ141" s="53">
        <v>0</v>
      </c>
      <c r="AR141" s="53">
        <v>0</v>
      </c>
      <c r="AS141" s="53">
        <v>0</v>
      </c>
      <c r="AT141" s="53">
        <v>0</v>
      </c>
      <c r="AU141" s="62" t="str">
        <f t="shared" ref="AU141:AU166" si="297">IF((OR($AE141=0,$AF141=0,$AF141-$AE141&lt;0)),"DNS/DNF",($AF141-$AE141)/86400000)</f>
        <v>DNS/DNF</v>
      </c>
      <c r="AV141" s="62">
        <f t="shared" ref="AV141:AV166" si="298">IF((OR($AG141=0,$AH141=0,$AH141-$AG141&lt;0)),"DNS/DNF",($AH141-$AG141)/86400000)</f>
        <v>3.4158333333333332E-3</v>
      </c>
      <c r="AW141" s="62">
        <f t="shared" ref="AW141:AW166" si="299">IF((OR($AI141=0,$AJ141=0,$AJ141-$AI141&lt;0)),"DNS/DNF",($AJ141-$AI141)/86400000)</f>
        <v>2.1130787037037038E-3</v>
      </c>
      <c r="AX141" s="62" t="str">
        <f t="shared" ref="AX141:AX166" si="300">IF((OR($AK141=0,$AL141=0,$AL141-$AK141&lt;0)),"DNS/DNF",($AL141-$AK141)/86400000)</f>
        <v>DNS/DNF</v>
      </c>
      <c r="AY141" s="62">
        <f t="shared" ref="AY141:AY166" si="301">IF((OR($AM141=0,$AM141=0,$AN141-$AM141&lt;0)),"DNS/DNF",($AN141-$AM141)/86400000)</f>
        <v>4.5783564814814819E-3</v>
      </c>
      <c r="AZ141" s="62" t="str">
        <f t="shared" ref="AZ141:AZ166" si="302">IF((OR($AO141=0,$AP141=0,$AP141-$AO141&lt;0)),"DNS/DNF",($AP141-$AO141)/86400000)</f>
        <v>DNS/DNF</v>
      </c>
      <c r="BA141" s="62" t="str">
        <f t="shared" ref="BA141:BA166" si="303">IF((OR($AQ141=0,$AR141=0,$AR141-$AQ141&lt;0)),"DNS/DNF",($AR141-$AQ141)/86400000)</f>
        <v>DNS/DNF</v>
      </c>
      <c r="BB141" s="62" t="str">
        <f t="shared" ref="BB141:BB166" si="304">IF((OR($AS141=0,$AT141=0,$AT141-$AS141&lt;0)),"DNS/DNF",($AT141-$AS141)/86400000)</f>
        <v>DNS/DNF</v>
      </c>
      <c r="BC141" s="75">
        <f t="shared" ref="BC141:BC166" si="305">IFERROR(ROUND(AVERAGE(O141:V141),0),"")</f>
        <v>210</v>
      </c>
      <c r="BD141" s="53" t="str">
        <f t="shared" ref="BD141:BD166" si="306">IFERROR((INDEX(($AU$3:$AU$500)*86400000,MATCH(BC141,$O$3:$O$500,0))),"")</f>
        <v/>
      </c>
      <c r="BE141" s="53">
        <f t="shared" ref="BE141:BE166" si="307">IFERROR((INDEX(($AV$3:$AV$500)*86400000,MATCH(BC141,$P$3:$P$500,0))),"")</f>
        <v>298274</v>
      </c>
      <c r="BF141" s="53">
        <f t="shared" ref="BF141:BF166" si="308">IFERROR((INDEX(($AW$3:$AW$500)*86400000,MATCH(BC141,$Q$3:$Q$500,0))),"")</f>
        <v>175568</v>
      </c>
      <c r="BG141" s="53" t="str">
        <f t="shared" ref="BG141:BG166" si="309">IFERROR((INDEX(($AX$3:$AX$500)*86400000,MATCH(BC141,$R$3:$R$500,0))),"")</f>
        <v/>
      </c>
      <c r="BH141" s="53">
        <f t="shared" ref="BH141:BH166" si="310">IFERROR((INDEX(($AY$3:$AY$500)*86400000,MATCH(BC141,$S$3:$S$500,0))),"")</f>
        <v>400645</v>
      </c>
      <c r="BI141" s="53" t="str">
        <f t="shared" ref="BI141:BI166" si="311">IFERROR((INDEX(($AZ$3:$AZ$500)*86400000,MATCH(BC141,$T$3:$T$500,0))),"")</f>
        <v/>
      </c>
      <c r="BJ141" s="53" t="str">
        <f t="shared" ref="BJ141:BJ166" si="312">IFERROR((INDEX(($BA$3:$BA$500)*86400000,MATCH(BC141,$U$3:$U$500,0))),"")</f>
        <v/>
      </c>
      <c r="BK141" s="53" t="str">
        <f t="shared" ref="BK141:BK166" si="313">IFERROR((INDEX(($BB$3:$BB$500)*86400000,MATCH(BC141,$V$3:$V$500,0))),"")</f>
        <v/>
      </c>
    </row>
    <row r="142" spans="1:63">
      <c r="A142" s="53">
        <v>274</v>
      </c>
      <c r="B142" s="89" t="str">
        <f>IFERROR(VLOOKUP($A142,EntryList!$A$3:$N$645,2,FALSE),"")</f>
        <v>Luca Ruwiel</v>
      </c>
      <c r="C142" s="74"/>
      <c r="D142" s="53">
        <f t="shared" si="280"/>
        <v>5</v>
      </c>
      <c r="E142" s="62">
        <v>2.443946759259259E-3</v>
      </c>
      <c r="F142" s="62">
        <v>2.6937152777777779E-3</v>
      </c>
      <c r="G142" s="62">
        <v>1.5110185185185185E-3</v>
      </c>
      <c r="H142" s="62">
        <v>2.8414814814814813E-3</v>
      </c>
      <c r="I142" s="62">
        <v>3.4853356481481484E-3</v>
      </c>
      <c r="J142" s="62"/>
      <c r="K142" s="62"/>
      <c r="L142" s="62"/>
      <c r="M142" s="62">
        <v>1.2975497685185184E-2</v>
      </c>
      <c r="N142" s="62">
        <f t="shared" si="281"/>
        <v>1.2975497685185185E-2</v>
      </c>
      <c r="O142" s="53">
        <f t="shared" si="282"/>
        <v>23</v>
      </c>
      <c r="P142" s="53">
        <f t="shared" si="283"/>
        <v>45</v>
      </c>
      <c r="Q142" s="53">
        <f t="shared" si="284"/>
        <v>49</v>
      </c>
      <c r="R142" s="53">
        <f t="shared" si="285"/>
        <v>23</v>
      </c>
      <c r="S142" s="53">
        <f t="shared" si="286"/>
        <v>16</v>
      </c>
      <c r="T142" s="53" t="str">
        <f t="shared" si="287"/>
        <v/>
      </c>
      <c r="U142" s="53" t="str">
        <f t="shared" si="288"/>
        <v/>
      </c>
      <c r="V142" s="53" t="str">
        <f t="shared" si="289"/>
        <v/>
      </c>
      <c r="W142" s="53" t="str">
        <f t="shared" ref="W142:W166" si="314">CONCATENATE(TEXT($AU142,"[hh]:mm:ss.0")," ","(",$O142,")")</f>
        <v>00:03:31.2 (23)</v>
      </c>
      <c r="X142" s="53" t="str">
        <f t="shared" si="290"/>
        <v>00:03:52.7 (45)</v>
      </c>
      <c r="Y142" s="53" t="str">
        <f t="shared" si="291"/>
        <v>00:02:10.6 (49)</v>
      </c>
      <c r="Z142" s="53" t="str">
        <f t="shared" si="292"/>
        <v>00:04:05.5 (23)</v>
      </c>
      <c r="AA142" s="53" t="str">
        <f t="shared" si="293"/>
        <v>00:05:01.1 (16)</v>
      </c>
      <c r="AB142" s="53" t="str">
        <f t="shared" si="294"/>
        <v>DNS/DNF ()</v>
      </c>
      <c r="AC142" s="53" t="str">
        <f t="shared" si="295"/>
        <v>DNS/DNF ()</v>
      </c>
      <c r="AD142" s="53" t="str">
        <f t="shared" si="296"/>
        <v>DNS/DNF ()</v>
      </c>
      <c r="AE142" s="53">
        <v>35406730</v>
      </c>
      <c r="AF142" s="53">
        <v>35617887</v>
      </c>
      <c r="AG142" s="53">
        <v>32393129</v>
      </c>
      <c r="AH142" s="53">
        <v>32625866</v>
      </c>
      <c r="AI142" s="53">
        <v>38279459</v>
      </c>
      <c r="AJ142" s="53">
        <v>38410011</v>
      </c>
      <c r="AK142" s="53">
        <v>42362524</v>
      </c>
      <c r="AL142" s="53">
        <v>42608028</v>
      </c>
      <c r="AM142" s="53">
        <v>45501222</v>
      </c>
      <c r="AN142" s="53">
        <v>45802355</v>
      </c>
      <c r="AO142" s="53">
        <v>0</v>
      </c>
      <c r="AP142" s="53">
        <v>0</v>
      </c>
      <c r="AQ142" s="53">
        <v>0</v>
      </c>
      <c r="AR142" s="53">
        <v>0</v>
      </c>
      <c r="AS142" s="53">
        <v>0</v>
      </c>
      <c r="AT142" s="53">
        <v>0</v>
      </c>
      <c r="AU142" s="62">
        <f t="shared" si="297"/>
        <v>2.4439467592592594E-3</v>
      </c>
      <c r="AV142" s="62">
        <f t="shared" si="298"/>
        <v>2.6937152777777779E-3</v>
      </c>
      <c r="AW142" s="62">
        <f t="shared" si="299"/>
        <v>1.5110185185185185E-3</v>
      </c>
      <c r="AX142" s="62">
        <f t="shared" si="300"/>
        <v>2.8414814814814813E-3</v>
      </c>
      <c r="AY142" s="62">
        <f t="shared" si="301"/>
        <v>3.485335648148148E-3</v>
      </c>
      <c r="AZ142" s="62" t="str">
        <f t="shared" si="302"/>
        <v>DNS/DNF</v>
      </c>
      <c r="BA142" s="62" t="str">
        <f t="shared" si="303"/>
        <v>DNS/DNF</v>
      </c>
      <c r="BB142" s="62" t="str">
        <f t="shared" si="304"/>
        <v>DNS/DNF</v>
      </c>
      <c r="BC142" s="75">
        <f t="shared" si="305"/>
        <v>31</v>
      </c>
      <c r="BD142" s="53" t="str">
        <f t="shared" si="306"/>
        <v/>
      </c>
      <c r="BE142" s="53">
        <f t="shared" si="307"/>
        <v>227438</v>
      </c>
      <c r="BF142" s="53">
        <f t="shared" si="308"/>
        <v>126217.99999999999</v>
      </c>
      <c r="BG142" s="53">
        <f t="shared" si="309"/>
        <v>250654</v>
      </c>
      <c r="BH142" s="53">
        <f t="shared" si="310"/>
        <v>309117</v>
      </c>
      <c r="BI142" s="53" t="str">
        <f t="shared" si="311"/>
        <v/>
      </c>
      <c r="BJ142" s="53" t="str">
        <f t="shared" si="312"/>
        <v/>
      </c>
      <c r="BK142" s="53" t="str">
        <f t="shared" si="313"/>
        <v/>
      </c>
    </row>
    <row r="143" spans="1:63">
      <c r="A143" s="53">
        <v>126</v>
      </c>
      <c r="B143" s="89" t="str">
        <f>IFERROR(VLOOKUP($A143,EntryList!$A$3:$N$645,2,FALSE),"")</f>
        <v>Luke Moir</v>
      </c>
      <c r="C143" s="74"/>
      <c r="D143" s="53">
        <f t="shared" si="280"/>
        <v>5</v>
      </c>
      <c r="E143" s="62">
        <v>2.2386342592592592E-3</v>
      </c>
      <c r="F143" s="62">
        <v>2.5203240740740741E-3</v>
      </c>
      <c r="G143" s="62">
        <v>1.3768055555555556E-3</v>
      </c>
      <c r="H143" s="62">
        <v>3.9366550925925932E-3</v>
      </c>
      <c r="I143" s="62">
        <v>3.2884375000000001E-3</v>
      </c>
      <c r="J143" s="62"/>
      <c r="K143" s="62"/>
      <c r="L143" s="62"/>
      <c r="M143" s="62">
        <v>1.3360856481481482E-2</v>
      </c>
      <c r="N143" s="62">
        <f t="shared" si="281"/>
        <v>1.3360856481481482E-2</v>
      </c>
      <c r="O143" s="53">
        <f t="shared" si="282"/>
        <v>8</v>
      </c>
      <c r="P143" s="53">
        <f t="shared" si="283"/>
        <v>17</v>
      </c>
      <c r="Q143" s="53">
        <f t="shared" si="284"/>
        <v>10</v>
      </c>
      <c r="R143" s="53">
        <f t="shared" si="285"/>
        <v>134</v>
      </c>
      <c r="S143" s="53">
        <f t="shared" si="286"/>
        <v>3</v>
      </c>
      <c r="T143" s="53" t="str">
        <f t="shared" si="287"/>
        <v/>
      </c>
      <c r="U143" s="53" t="str">
        <f t="shared" si="288"/>
        <v/>
      </c>
      <c r="V143" s="53" t="str">
        <f t="shared" si="289"/>
        <v/>
      </c>
      <c r="W143" s="53" t="str">
        <f t="shared" si="314"/>
        <v>00:03:13.4 (8)</v>
      </c>
      <c r="X143" s="53" t="str">
        <f t="shared" si="290"/>
        <v>00:03:37.8 (17)</v>
      </c>
      <c r="Y143" s="53" t="str">
        <f t="shared" si="291"/>
        <v>00:01:59.0 (10)</v>
      </c>
      <c r="Z143" s="53" t="str">
        <f t="shared" si="292"/>
        <v>00:05:40.1 (134)</v>
      </c>
      <c r="AA143" s="53" t="str">
        <f t="shared" si="293"/>
        <v>00:04:44.1 (3)</v>
      </c>
      <c r="AB143" s="53" t="str">
        <f t="shared" si="294"/>
        <v>DNS/DNF ()</v>
      </c>
      <c r="AC143" s="53" t="str">
        <f t="shared" si="295"/>
        <v>DNS/DNF ()</v>
      </c>
      <c r="AD143" s="53" t="str">
        <f t="shared" si="296"/>
        <v>DNS/DNF ()</v>
      </c>
      <c r="AE143" s="53">
        <v>35322422</v>
      </c>
      <c r="AF143" s="53">
        <v>35515840</v>
      </c>
      <c r="AG143" s="53">
        <v>32366355</v>
      </c>
      <c r="AH143" s="53">
        <v>32584111</v>
      </c>
      <c r="AI143" s="53">
        <v>38254160</v>
      </c>
      <c r="AJ143" s="53">
        <v>38373116</v>
      </c>
      <c r="AK143" s="53">
        <v>42324079</v>
      </c>
      <c r="AL143" s="53">
        <v>42664206</v>
      </c>
      <c r="AM143" s="53">
        <v>45467288</v>
      </c>
      <c r="AN143" s="53">
        <v>45751409</v>
      </c>
      <c r="AO143" s="53">
        <v>0</v>
      </c>
      <c r="AP143" s="53">
        <v>0</v>
      </c>
      <c r="AQ143" s="53">
        <v>0</v>
      </c>
      <c r="AR143" s="53">
        <v>0</v>
      </c>
      <c r="AS143" s="53">
        <v>0</v>
      </c>
      <c r="AT143" s="53">
        <v>0</v>
      </c>
      <c r="AU143" s="62">
        <f t="shared" si="297"/>
        <v>2.2386342592592592E-3</v>
      </c>
      <c r="AV143" s="62">
        <f t="shared" si="298"/>
        <v>2.5203240740740741E-3</v>
      </c>
      <c r="AW143" s="62">
        <f t="shared" si="299"/>
        <v>1.3768055555555556E-3</v>
      </c>
      <c r="AX143" s="62">
        <f t="shared" si="300"/>
        <v>3.9366550925925923E-3</v>
      </c>
      <c r="AY143" s="62">
        <f t="shared" si="301"/>
        <v>3.2884375000000001E-3</v>
      </c>
      <c r="AZ143" s="62" t="str">
        <f t="shared" si="302"/>
        <v>DNS/DNF</v>
      </c>
      <c r="BA143" s="62" t="str">
        <f t="shared" si="303"/>
        <v>DNS/DNF</v>
      </c>
      <c r="BB143" s="62" t="str">
        <f t="shared" si="304"/>
        <v>DNS/DNF</v>
      </c>
      <c r="BC143" s="75">
        <f t="shared" si="305"/>
        <v>34</v>
      </c>
      <c r="BD143" s="53">
        <f t="shared" si="306"/>
        <v>218257</v>
      </c>
      <c r="BE143" s="53">
        <f t="shared" si="307"/>
        <v>228573.99999999997</v>
      </c>
      <c r="BF143" s="53">
        <f t="shared" si="308"/>
        <v>126705</v>
      </c>
      <c r="BG143" s="53">
        <f t="shared" si="309"/>
        <v>253722.99999999997</v>
      </c>
      <c r="BH143" s="53">
        <f t="shared" si="310"/>
        <v>310515</v>
      </c>
      <c r="BI143" s="53" t="str">
        <f t="shared" si="311"/>
        <v/>
      </c>
      <c r="BJ143" s="53" t="str">
        <f t="shared" si="312"/>
        <v/>
      </c>
      <c r="BK143" s="53" t="str">
        <f t="shared" si="313"/>
        <v/>
      </c>
    </row>
    <row r="144" spans="1:63">
      <c r="A144" s="53">
        <v>172</v>
      </c>
      <c r="B144" s="89" t="str">
        <f>IFERROR(VLOOKUP($A144,EntryList!$A$3:$N$645,2,FALSE),"")</f>
        <v>Jean-Luc Roux</v>
      </c>
      <c r="C144" s="74"/>
      <c r="D144" s="53">
        <f t="shared" si="280"/>
        <v>5</v>
      </c>
      <c r="E144" s="62">
        <v>3.3192824074074079E-3</v>
      </c>
      <c r="F144" s="62">
        <v>3.240011574074074E-3</v>
      </c>
      <c r="G144" s="62">
        <v>1.8821412037037038E-3</v>
      </c>
      <c r="H144" s="62">
        <v>3.6005787037037035E-3</v>
      </c>
      <c r="I144" s="62">
        <v>4.0959722222222222E-3</v>
      </c>
      <c r="J144" s="62"/>
      <c r="K144" s="62"/>
      <c r="L144" s="62"/>
      <c r="M144" s="62">
        <v>1.613798611111111E-2</v>
      </c>
      <c r="N144" s="62">
        <f t="shared" si="281"/>
        <v>1.613798611111111E-2</v>
      </c>
      <c r="O144" s="53">
        <f t="shared" si="282"/>
        <v>106</v>
      </c>
      <c r="P144" s="53">
        <f t="shared" si="283"/>
        <v>176</v>
      </c>
      <c r="Q144" s="53">
        <f t="shared" si="284"/>
        <v>176</v>
      </c>
      <c r="R144" s="53">
        <f t="shared" si="285"/>
        <v>113</v>
      </c>
      <c r="S144" s="53">
        <f t="shared" si="286"/>
        <v>130</v>
      </c>
      <c r="T144" s="53" t="str">
        <f t="shared" si="287"/>
        <v/>
      </c>
      <c r="U144" s="53" t="str">
        <f t="shared" si="288"/>
        <v/>
      </c>
      <c r="V144" s="53" t="str">
        <f t="shared" si="289"/>
        <v/>
      </c>
      <c r="W144" s="53" t="str">
        <f t="shared" si="314"/>
        <v>00:04:46.8 (106)</v>
      </c>
      <c r="X144" s="53" t="str">
        <f t="shared" si="290"/>
        <v>00:04:39.9 (176)</v>
      </c>
      <c r="Y144" s="53" t="str">
        <f t="shared" si="291"/>
        <v>00:02:42.6 (176)</v>
      </c>
      <c r="Z144" s="53" t="str">
        <f t="shared" si="292"/>
        <v>00:05:11.1 (113)</v>
      </c>
      <c r="AA144" s="53" t="str">
        <f t="shared" si="293"/>
        <v>00:05:53.9 (130)</v>
      </c>
      <c r="AB144" s="53" t="str">
        <f t="shared" si="294"/>
        <v>DNS/DNF ()</v>
      </c>
      <c r="AC144" s="53" t="str">
        <f t="shared" si="295"/>
        <v>DNS/DNF ()</v>
      </c>
      <c r="AD144" s="53" t="str">
        <f t="shared" si="296"/>
        <v>DNS/DNF ()</v>
      </c>
      <c r="AE144" s="53">
        <v>31325347</v>
      </c>
      <c r="AF144" s="53">
        <v>31612133</v>
      </c>
      <c r="AG144" s="53">
        <v>35474901</v>
      </c>
      <c r="AH144" s="53">
        <v>35754838</v>
      </c>
      <c r="AI144" s="53">
        <v>39064089</v>
      </c>
      <c r="AJ144" s="53">
        <v>39226706</v>
      </c>
      <c r="AK144" s="53">
        <v>43084496</v>
      </c>
      <c r="AL144" s="53">
        <v>43395586</v>
      </c>
      <c r="AM144" s="53">
        <v>45573470</v>
      </c>
      <c r="AN144" s="53">
        <v>45927362</v>
      </c>
      <c r="AO144" s="53">
        <v>0</v>
      </c>
      <c r="AP144" s="53">
        <v>0</v>
      </c>
      <c r="AQ144" s="53">
        <v>0</v>
      </c>
      <c r="AR144" s="53">
        <v>0</v>
      </c>
      <c r="AS144" s="53">
        <v>0</v>
      </c>
      <c r="AT144" s="53">
        <v>0</v>
      </c>
      <c r="AU144" s="62">
        <f t="shared" si="297"/>
        <v>3.3192824074074075E-3</v>
      </c>
      <c r="AV144" s="62">
        <f t="shared" si="298"/>
        <v>3.240011574074074E-3</v>
      </c>
      <c r="AW144" s="62">
        <f t="shared" si="299"/>
        <v>1.8821412037037038E-3</v>
      </c>
      <c r="AX144" s="62">
        <f t="shared" si="300"/>
        <v>3.6005787037037035E-3</v>
      </c>
      <c r="AY144" s="62">
        <f t="shared" si="301"/>
        <v>4.0959722222222222E-3</v>
      </c>
      <c r="AZ144" s="62" t="str">
        <f t="shared" si="302"/>
        <v>DNS/DNF</v>
      </c>
      <c r="BA144" s="62" t="str">
        <f t="shared" si="303"/>
        <v>DNS/DNF</v>
      </c>
      <c r="BB144" s="62" t="str">
        <f t="shared" si="304"/>
        <v>DNS/DNF</v>
      </c>
      <c r="BC144" s="75">
        <f t="shared" si="305"/>
        <v>140</v>
      </c>
      <c r="BD144" s="53">
        <f t="shared" si="306"/>
        <v>394387</v>
      </c>
      <c r="BE144" s="53">
        <f t="shared" si="307"/>
        <v>268842</v>
      </c>
      <c r="BF144" s="53">
        <f t="shared" si="308"/>
        <v>154974</v>
      </c>
      <c r="BG144" s="53">
        <f t="shared" si="309"/>
        <v>382083.00000000006</v>
      </c>
      <c r="BH144" s="53">
        <f t="shared" si="310"/>
        <v>358065</v>
      </c>
      <c r="BI144" s="53" t="str">
        <f t="shared" si="311"/>
        <v/>
      </c>
      <c r="BJ144" s="53" t="str">
        <f t="shared" si="312"/>
        <v/>
      </c>
      <c r="BK144" s="53" t="str">
        <f t="shared" si="313"/>
        <v/>
      </c>
    </row>
    <row r="145" spans="1:63">
      <c r="A145" s="53">
        <v>178</v>
      </c>
      <c r="B145" s="89" t="str">
        <f>IFERROR(VLOOKUP($A145,EntryList!$A$3:$N$645,2,FALSE),"")</f>
        <v>Gustav Raubenheimer</v>
      </c>
      <c r="C145" s="74"/>
      <c r="D145" s="53">
        <f t="shared" si="280"/>
        <v>5</v>
      </c>
      <c r="E145" s="62">
        <v>3.1043055555555559E-3</v>
      </c>
      <c r="F145" s="62">
        <v>2.9286342592592593E-3</v>
      </c>
      <c r="G145" s="62">
        <v>1.7098611111111114E-3</v>
      </c>
      <c r="H145" s="62">
        <v>3.3077314814814814E-3</v>
      </c>
      <c r="I145" s="62">
        <v>4.1463888888888887E-3</v>
      </c>
      <c r="J145" s="62"/>
      <c r="K145" s="62"/>
      <c r="L145" s="62"/>
      <c r="M145" s="62">
        <v>1.5196921296296297E-2</v>
      </c>
      <c r="N145" s="62">
        <f t="shared" si="281"/>
        <v>1.5196921296296295E-2</v>
      </c>
      <c r="O145" s="53">
        <f t="shared" si="282"/>
        <v>90</v>
      </c>
      <c r="P145" s="53">
        <f t="shared" si="283"/>
        <v>101</v>
      </c>
      <c r="Q145" s="53">
        <f t="shared" si="284"/>
        <v>109</v>
      </c>
      <c r="R145" s="53">
        <f t="shared" si="285"/>
        <v>82</v>
      </c>
      <c r="S145" s="53">
        <f t="shared" si="286"/>
        <v>141</v>
      </c>
      <c r="T145" s="53" t="str">
        <f t="shared" si="287"/>
        <v/>
      </c>
      <c r="U145" s="53" t="str">
        <f t="shared" si="288"/>
        <v/>
      </c>
      <c r="V145" s="53" t="str">
        <f t="shared" si="289"/>
        <v/>
      </c>
      <c r="W145" s="53" t="str">
        <f t="shared" si="314"/>
        <v>00:04:28.2 (90)</v>
      </c>
      <c r="X145" s="53" t="str">
        <f t="shared" si="290"/>
        <v>00:04:13.0 (101)</v>
      </c>
      <c r="Y145" s="53" t="str">
        <f t="shared" si="291"/>
        <v>00:02:27.7 (109)</v>
      </c>
      <c r="Z145" s="53" t="str">
        <f t="shared" si="292"/>
        <v>00:04:45.8 (82)</v>
      </c>
      <c r="AA145" s="53" t="str">
        <f t="shared" si="293"/>
        <v>00:05:58.2 (141)</v>
      </c>
      <c r="AB145" s="53" t="str">
        <f t="shared" si="294"/>
        <v>DNS/DNF ()</v>
      </c>
      <c r="AC145" s="53" t="str">
        <f t="shared" si="295"/>
        <v>DNS/DNF ()</v>
      </c>
      <c r="AD145" s="53" t="str">
        <f t="shared" si="296"/>
        <v>DNS/DNF ()</v>
      </c>
      <c r="AE145" s="53">
        <v>31984470</v>
      </c>
      <c r="AF145" s="53">
        <v>32252682</v>
      </c>
      <c r="AG145" s="53">
        <v>35433583</v>
      </c>
      <c r="AH145" s="53">
        <v>35686617</v>
      </c>
      <c r="AI145" s="53">
        <v>38771696</v>
      </c>
      <c r="AJ145" s="53">
        <v>38919428</v>
      </c>
      <c r="AK145" s="53">
        <v>43067972</v>
      </c>
      <c r="AL145" s="53">
        <v>43353760</v>
      </c>
      <c r="AM145" s="53">
        <v>45557844</v>
      </c>
      <c r="AN145" s="53">
        <v>45916092</v>
      </c>
      <c r="AO145" s="53">
        <v>0</v>
      </c>
      <c r="AP145" s="53">
        <v>0</v>
      </c>
      <c r="AQ145" s="53">
        <v>0</v>
      </c>
      <c r="AR145" s="53">
        <v>0</v>
      </c>
      <c r="AS145" s="53">
        <v>0</v>
      </c>
      <c r="AT145" s="53">
        <v>0</v>
      </c>
      <c r="AU145" s="62">
        <f t="shared" si="297"/>
        <v>3.1043055555555555E-3</v>
      </c>
      <c r="AV145" s="62">
        <f t="shared" si="298"/>
        <v>2.9286342592592593E-3</v>
      </c>
      <c r="AW145" s="62">
        <f t="shared" si="299"/>
        <v>1.7098611111111112E-3</v>
      </c>
      <c r="AX145" s="62">
        <f t="shared" si="300"/>
        <v>3.3077314814814814E-3</v>
      </c>
      <c r="AY145" s="62">
        <f t="shared" si="301"/>
        <v>4.1463888888888887E-3</v>
      </c>
      <c r="AZ145" s="62" t="str">
        <f t="shared" si="302"/>
        <v>DNS/DNF</v>
      </c>
      <c r="BA145" s="62" t="str">
        <f t="shared" si="303"/>
        <v>DNS/DNF</v>
      </c>
      <c r="BB145" s="62" t="str">
        <f t="shared" si="304"/>
        <v>DNS/DNF</v>
      </c>
      <c r="BC145" s="75">
        <f t="shared" si="305"/>
        <v>105</v>
      </c>
      <c r="BD145" s="53">
        <f t="shared" si="306"/>
        <v>283453</v>
      </c>
      <c r="BE145" s="53">
        <f t="shared" si="307"/>
        <v>256283</v>
      </c>
      <c r="BF145" s="53">
        <f t="shared" si="308"/>
        <v>147192</v>
      </c>
      <c r="BG145" s="53">
        <f t="shared" si="309"/>
        <v>303873</v>
      </c>
      <c r="BH145" s="53">
        <f t="shared" si="310"/>
        <v>345656</v>
      </c>
      <c r="BI145" s="53" t="str">
        <f t="shared" si="311"/>
        <v/>
      </c>
      <c r="BJ145" s="53" t="str">
        <f t="shared" si="312"/>
        <v/>
      </c>
      <c r="BK145" s="53" t="str">
        <f t="shared" si="313"/>
        <v/>
      </c>
    </row>
    <row r="146" spans="1:63">
      <c r="A146" s="53">
        <v>59</v>
      </c>
      <c r="B146" s="89" t="str">
        <f>IFERROR(VLOOKUP($A146,EntryList!$A$3:$N$645,2,FALSE),"")</f>
        <v>Kyle Collair</v>
      </c>
      <c r="C146" s="74"/>
      <c r="D146" s="53">
        <f t="shared" si="280"/>
        <v>5</v>
      </c>
      <c r="E146" s="62">
        <v>3.2213310185185179E-3</v>
      </c>
      <c r="F146" s="62">
        <v>2.904421296296296E-3</v>
      </c>
      <c r="G146" s="62">
        <v>1.7399884259259261E-3</v>
      </c>
      <c r="H146" s="62">
        <v>3.3578935185185183E-3</v>
      </c>
      <c r="I146" s="62">
        <v>3.9532986111111114E-3</v>
      </c>
      <c r="J146" s="62"/>
      <c r="K146" s="62"/>
      <c r="L146" s="62"/>
      <c r="M146" s="62">
        <v>1.517693287037037E-2</v>
      </c>
      <c r="N146" s="62">
        <f t="shared" si="281"/>
        <v>1.517693287037037E-2</v>
      </c>
      <c r="O146" s="53">
        <f t="shared" si="282"/>
        <v>100</v>
      </c>
      <c r="P146" s="53">
        <f t="shared" si="283"/>
        <v>94</v>
      </c>
      <c r="Q146" s="53">
        <f t="shared" si="284"/>
        <v>116</v>
      </c>
      <c r="R146" s="53">
        <f t="shared" si="285"/>
        <v>87</v>
      </c>
      <c r="S146" s="53">
        <f t="shared" si="286"/>
        <v>96</v>
      </c>
      <c r="T146" s="53" t="str">
        <f t="shared" si="287"/>
        <v/>
      </c>
      <c r="U146" s="53" t="str">
        <f t="shared" si="288"/>
        <v/>
      </c>
      <c r="V146" s="53" t="str">
        <f t="shared" si="289"/>
        <v/>
      </c>
      <c r="W146" s="53" t="str">
        <f t="shared" si="314"/>
        <v>00:04:38.3 (100)</v>
      </c>
      <c r="X146" s="53" t="str">
        <f t="shared" si="290"/>
        <v>00:04:10.9 (94)</v>
      </c>
      <c r="Y146" s="53" t="str">
        <f t="shared" si="291"/>
        <v>00:02:30.3 (116)</v>
      </c>
      <c r="Z146" s="53" t="str">
        <f t="shared" si="292"/>
        <v>00:04:50.1 (87)</v>
      </c>
      <c r="AA146" s="53" t="str">
        <f t="shared" si="293"/>
        <v>00:05:41.6 (96)</v>
      </c>
      <c r="AB146" s="53" t="str">
        <f t="shared" si="294"/>
        <v>DNS/DNF ()</v>
      </c>
      <c r="AC146" s="53" t="str">
        <f t="shared" si="295"/>
        <v>DNS/DNF ()</v>
      </c>
      <c r="AD146" s="53" t="str">
        <f t="shared" si="296"/>
        <v>DNS/DNF ()</v>
      </c>
      <c r="AE146" s="53">
        <v>34495906</v>
      </c>
      <c r="AF146" s="53">
        <v>34774229</v>
      </c>
      <c r="AG146" s="53">
        <v>37805386</v>
      </c>
      <c r="AH146" s="53">
        <v>38056328</v>
      </c>
      <c r="AI146" s="53">
        <v>31628804</v>
      </c>
      <c r="AJ146" s="53">
        <v>31779139</v>
      </c>
      <c r="AK146" s="53">
        <v>42558681</v>
      </c>
      <c r="AL146" s="53">
        <v>42848803</v>
      </c>
      <c r="AM146" s="53">
        <v>44652878</v>
      </c>
      <c r="AN146" s="53">
        <v>44994443</v>
      </c>
      <c r="AO146" s="53">
        <v>0</v>
      </c>
      <c r="AP146" s="53">
        <v>0</v>
      </c>
      <c r="AQ146" s="53">
        <v>0</v>
      </c>
      <c r="AR146" s="53">
        <v>0</v>
      </c>
      <c r="AS146" s="53">
        <v>0</v>
      </c>
      <c r="AT146" s="53">
        <v>0</v>
      </c>
      <c r="AU146" s="62">
        <f t="shared" si="297"/>
        <v>3.2213310185185183E-3</v>
      </c>
      <c r="AV146" s="62">
        <f t="shared" si="298"/>
        <v>2.9044212962962964E-3</v>
      </c>
      <c r="AW146" s="62">
        <f t="shared" si="299"/>
        <v>1.7399884259259259E-3</v>
      </c>
      <c r="AX146" s="62">
        <f t="shared" si="300"/>
        <v>3.3578935185185183E-3</v>
      </c>
      <c r="AY146" s="62">
        <f t="shared" si="301"/>
        <v>3.9532986111111114E-3</v>
      </c>
      <c r="AZ146" s="62" t="str">
        <f t="shared" si="302"/>
        <v>DNS/DNF</v>
      </c>
      <c r="BA146" s="62" t="str">
        <f t="shared" si="303"/>
        <v>DNS/DNF</v>
      </c>
      <c r="BB146" s="62" t="str">
        <f t="shared" si="304"/>
        <v>DNS/DNF</v>
      </c>
      <c r="BC146" s="75">
        <f t="shared" si="305"/>
        <v>99</v>
      </c>
      <c r="BD146" s="53">
        <f t="shared" si="306"/>
        <v>277296</v>
      </c>
      <c r="BE146" s="53">
        <f t="shared" si="307"/>
        <v>252794</v>
      </c>
      <c r="BF146" s="53">
        <f t="shared" si="308"/>
        <v>146148</v>
      </c>
      <c r="BG146" s="53">
        <f t="shared" si="309"/>
        <v>298397</v>
      </c>
      <c r="BH146" s="53">
        <f t="shared" si="310"/>
        <v>343065.00000000006</v>
      </c>
      <c r="BI146" s="53" t="str">
        <f t="shared" si="311"/>
        <v/>
      </c>
      <c r="BJ146" s="53" t="str">
        <f t="shared" si="312"/>
        <v/>
      </c>
      <c r="BK146" s="53" t="str">
        <f t="shared" si="313"/>
        <v/>
      </c>
    </row>
    <row r="147" spans="1:63">
      <c r="A147" s="53">
        <v>11</v>
      </c>
      <c r="B147" s="89" t="str">
        <f>IFERROR(VLOOKUP($A147,EntryList!$A$3:$N$645,2,FALSE),"")</f>
        <v>Spencer Van Zyl</v>
      </c>
      <c r="C147" s="74"/>
      <c r="D147" s="53">
        <f t="shared" si="280"/>
        <v>3</v>
      </c>
      <c r="E147" s="62"/>
      <c r="F147" s="62">
        <v>5.1973148148148152E-3</v>
      </c>
      <c r="G147" s="62">
        <v>2.4491666666666668E-3</v>
      </c>
      <c r="H147" s="62"/>
      <c r="I147" s="62">
        <v>4.9791898148148148E-3</v>
      </c>
      <c r="J147" s="62"/>
      <c r="K147" s="62"/>
      <c r="L147" s="62"/>
      <c r="M147" s="62">
        <v>1.2625671296296296E-2</v>
      </c>
      <c r="N147" s="62">
        <f t="shared" si="281"/>
        <v>1.2625671296296296E-2</v>
      </c>
      <c r="O147" s="53" t="str">
        <f t="shared" si="282"/>
        <v/>
      </c>
      <c r="P147" s="53">
        <f t="shared" si="283"/>
        <v>263</v>
      </c>
      <c r="Q147" s="53">
        <f t="shared" si="284"/>
        <v>246</v>
      </c>
      <c r="R147" s="53" t="str">
        <f t="shared" si="285"/>
        <v/>
      </c>
      <c r="S147" s="53">
        <f t="shared" si="286"/>
        <v>232</v>
      </c>
      <c r="T147" s="53" t="str">
        <f t="shared" si="287"/>
        <v/>
      </c>
      <c r="U147" s="53" t="str">
        <f t="shared" si="288"/>
        <v/>
      </c>
      <c r="V147" s="53" t="str">
        <f t="shared" si="289"/>
        <v/>
      </c>
      <c r="W147" s="53" t="str">
        <f t="shared" si="314"/>
        <v>DNS/DNF ()</v>
      </c>
      <c r="X147" s="53" t="str">
        <f t="shared" si="290"/>
        <v>00:07:29.0 (263)</v>
      </c>
      <c r="Y147" s="53" t="str">
        <f t="shared" si="291"/>
        <v>00:03:31.6 (246)</v>
      </c>
      <c r="Z147" s="53" t="str">
        <f t="shared" si="292"/>
        <v>DNS/DNF ()</v>
      </c>
      <c r="AA147" s="53" t="str">
        <f t="shared" si="293"/>
        <v>00:07:10.2 (232)</v>
      </c>
      <c r="AB147" s="53" t="str">
        <f t="shared" si="294"/>
        <v>DNS/DNF ()</v>
      </c>
      <c r="AC147" s="53" t="str">
        <f t="shared" si="295"/>
        <v>DNS/DNF ()</v>
      </c>
      <c r="AD147" s="53" t="str">
        <f t="shared" si="296"/>
        <v>DNS/DNF ()</v>
      </c>
      <c r="AE147" s="53">
        <v>0</v>
      </c>
      <c r="AF147" s="53">
        <v>0</v>
      </c>
      <c r="AG147" s="53">
        <v>36390089</v>
      </c>
      <c r="AH147" s="53">
        <v>36839137</v>
      </c>
      <c r="AI147" s="53">
        <v>41233230</v>
      </c>
      <c r="AJ147" s="53">
        <v>41444838</v>
      </c>
      <c r="AK147" s="53">
        <v>0</v>
      </c>
      <c r="AL147" s="53">
        <v>0</v>
      </c>
      <c r="AM147" s="53">
        <v>45196626</v>
      </c>
      <c r="AN147" s="53">
        <v>45626828</v>
      </c>
      <c r="AO147" s="53">
        <v>0</v>
      </c>
      <c r="AP147" s="53">
        <v>0</v>
      </c>
      <c r="AQ147" s="53">
        <v>0</v>
      </c>
      <c r="AR147" s="53">
        <v>0</v>
      </c>
      <c r="AS147" s="53">
        <v>0</v>
      </c>
      <c r="AT147" s="53">
        <v>0</v>
      </c>
      <c r="AU147" s="62" t="str">
        <f t="shared" si="297"/>
        <v>DNS/DNF</v>
      </c>
      <c r="AV147" s="62">
        <f t="shared" si="298"/>
        <v>5.1973148148148152E-3</v>
      </c>
      <c r="AW147" s="62">
        <f t="shared" si="299"/>
        <v>2.4491666666666668E-3</v>
      </c>
      <c r="AX147" s="62" t="str">
        <f t="shared" si="300"/>
        <v>DNS/DNF</v>
      </c>
      <c r="AY147" s="62">
        <f t="shared" si="301"/>
        <v>4.9791898148148148E-3</v>
      </c>
      <c r="AZ147" s="62" t="str">
        <f t="shared" si="302"/>
        <v>DNS/DNF</v>
      </c>
      <c r="BA147" s="62" t="str">
        <f t="shared" si="303"/>
        <v>DNS/DNF</v>
      </c>
      <c r="BB147" s="62" t="str">
        <f t="shared" si="304"/>
        <v>DNS/DNF</v>
      </c>
      <c r="BC147" s="75">
        <f t="shared" si="305"/>
        <v>247</v>
      </c>
      <c r="BD147" s="53" t="str">
        <f t="shared" si="306"/>
        <v/>
      </c>
      <c r="BE147" s="53">
        <f t="shared" si="307"/>
        <v>340194.99999999994</v>
      </c>
      <c r="BF147" s="53">
        <f t="shared" si="308"/>
        <v>215065</v>
      </c>
      <c r="BG147" s="53" t="str">
        <f t="shared" si="309"/>
        <v/>
      </c>
      <c r="BH147" s="53">
        <f t="shared" si="310"/>
        <v>474030</v>
      </c>
      <c r="BI147" s="53" t="str">
        <f t="shared" si="311"/>
        <v/>
      </c>
      <c r="BJ147" s="53" t="str">
        <f t="shared" si="312"/>
        <v/>
      </c>
      <c r="BK147" s="53" t="str">
        <f t="shared" si="313"/>
        <v/>
      </c>
    </row>
    <row r="148" spans="1:63">
      <c r="A148" s="53">
        <v>19</v>
      </c>
      <c r="B148" s="89" t="str">
        <f>IFERROR(VLOOKUP($A148,EntryList!$A$3:$N$645,2,FALSE),"")</f>
        <v>Isabella Stermin</v>
      </c>
      <c r="C148" s="74"/>
      <c r="D148" s="53">
        <f t="shared" si="280"/>
        <v>3</v>
      </c>
      <c r="E148" s="62"/>
      <c r="F148" s="62">
        <v>4.3562268518518516E-3</v>
      </c>
      <c r="G148" s="62">
        <v>2.8904398148148144E-3</v>
      </c>
      <c r="H148" s="62"/>
      <c r="I148" s="62">
        <v>5.5029050925925922E-3</v>
      </c>
      <c r="J148" s="62"/>
      <c r="K148" s="62"/>
      <c r="L148" s="62"/>
      <c r="M148" s="62">
        <v>1.2749571759259259E-2</v>
      </c>
      <c r="N148" s="62">
        <f t="shared" si="281"/>
        <v>1.2749571759259259E-2</v>
      </c>
      <c r="O148" s="53" t="str">
        <f t="shared" si="282"/>
        <v/>
      </c>
      <c r="P148" s="53">
        <f t="shared" si="283"/>
        <v>256</v>
      </c>
      <c r="Q148" s="53">
        <f t="shared" si="284"/>
        <v>253</v>
      </c>
      <c r="R148" s="53" t="str">
        <f t="shared" si="285"/>
        <v/>
      </c>
      <c r="S148" s="53">
        <f t="shared" si="286"/>
        <v>248</v>
      </c>
      <c r="T148" s="53" t="str">
        <f t="shared" si="287"/>
        <v/>
      </c>
      <c r="U148" s="53" t="str">
        <f t="shared" si="288"/>
        <v/>
      </c>
      <c r="V148" s="53" t="str">
        <f t="shared" si="289"/>
        <v/>
      </c>
      <c r="W148" s="53" t="str">
        <f t="shared" si="314"/>
        <v>DNS/DNF ()</v>
      </c>
      <c r="X148" s="53" t="str">
        <f t="shared" si="290"/>
        <v>00:06:16.4 (256)</v>
      </c>
      <c r="Y148" s="53" t="str">
        <f t="shared" si="291"/>
        <v>00:04:09.7 (253)</v>
      </c>
      <c r="Z148" s="53" t="str">
        <f t="shared" si="292"/>
        <v>DNS/DNF ()</v>
      </c>
      <c r="AA148" s="53" t="str">
        <f t="shared" si="293"/>
        <v>00:07:55.5 (248)</v>
      </c>
      <c r="AB148" s="53" t="str">
        <f t="shared" si="294"/>
        <v>DNS/DNF ()</v>
      </c>
      <c r="AC148" s="53" t="str">
        <f t="shared" si="295"/>
        <v>DNS/DNF ()</v>
      </c>
      <c r="AD148" s="53" t="str">
        <f t="shared" si="296"/>
        <v>DNS/DNF ()</v>
      </c>
      <c r="AE148" s="53">
        <v>0</v>
      </c>
      <c r="AF148" s="53">
        <v>0</v>
      </c>
      <c r="AG148" s="53">
        <v>36382038</v>
      </c>
      <c r="AH148" s="53">
        <v>36758416</v>
      </c>
      <c r="AI148" s="53">
        <v>41138004</v>
      </c>
      <c r="AJ148" s="53">
        <v>41387738</v>
      </c>
      <c r="AK148" s="53">
        <v>0</v>
      </c>
      <c r="AL148" s="53">
        <v>0</v>
      </c>
      <c r="AM148" s="53">
        <v>45137484</v>
      </c>
      <c r="AN148" s="53">
        <v>45612935</v>
      </c>
      <c r="AO148" s="53">
        <v>0</v>
      </c>
      <c r="AP148" s="53">
        <v>0</v>
      </c>
      <c r="AQ148" s="53">
        <v>0</v>
      </c>
      <c r="AR148" s="53">
        <v>0</v>
      </c>
      <c r="AS148" s="53">
        <v>0</v>
      </c>
      <c r="AT148" s="53">
        <v>0</v>
      </c>
      <c r="AU148" s="62" t="str">
        <f t="shared" si="297"/>
        <v>DNS/DNF</v>
      </c>
      <c r="AV148" s="62">
        <f t="shared" si="298"/>
        <v>4.3562268518518516E-3</v>
      </c>
      <c r="AW148" s="62">
        <f t="shared" si="299"/>
        <v>2.8904398148148149E-3</v>
      </c>
      <c r="AX148" s="62" t="str">
        <f t="shared" si="300"/>
        <v>DNS/DNF</v>
      </c>
      <c r="AY148" s="62">
        <f t="shared" si="301"/>
        <v>5.5029050925925922E-3</v>
      </c>
      <c r="AZ148" s="62" t="str">
        <f t="shared" si="302"/>
        <v>DNS/DNF</v>
      </c>
      <c r="BA148" s="62" t="str">
        <f t="shared" si="303"/>
        <v>DNS/DNF</v>
      </c>
      <c r="BB148" s="62" t="str">
        <f t="shared" si="304"/>
        <v>DNS/DNF</v>
      </c>
      <c r="BC148" s="75">
        <f t="shared" si="305"/>
        <v>252</v>
      </c>
      <c r="BD148" s="53" t="str">
        <f t="shared" si="306"/>
        <v/>
      </c>
      <c r="BE148" s="53">
        <f t="shared" si="307"/>
        <v>367400</v>
      </c>
      <c r="BF148" s="53">
        <f t="shared" si="308"/>
        <v>245350</v>
      </c>
      <c r="BG148" s="53" t="str">
        <f t="shared" si="309"/>
        <v/>
      </c>
      <c r="BH148" s="53" t="str">
        <f t="shared" si="310"/>
        <v/>
      </c>
      <c r="BI148" s="53" t="str">
        <f t="shared" si="311"/>
        <v/>
      </c>
      <c r="BJ148" s="53" t="str">
        <f t="shared" si="312"/>
        <v/>
      </c>
      <c r="BK148" s="53" t="str">
        <f t="shared" si="313"/>
        <v/>
      </c>
    </row>
    <row r="149" spans="1:63" ht="13.5" customHeight="1">
      <c r="A149" s="53">
        <v>37</v>
      </c>
      <c r="B149" s="89" t="str">
        <f>IFERROR(VLOOKUP($A149,EntryList!$A$3:$N$645,2,FALSE),"")</f>
        <v>Bradley Stow</v>
      </c>
      <c r="C149" s="74"/>
      <c r="D149" s="53">
        <f t="shared" si="280"/>
        <v>3</v>
      </c>
      <c r="E149" s="62"/>
      <c r="F149" s="62">
        <v>3.0503472222222221E-3</v>
      </c>
      <c r="G149" s="62">
        <v>2.0151388888888888E-3</v>
      </c>
      <c r="H149" s="62"/>
      <c r="I149" s="62">
        <v>5.4864583333333336E-3</v>
      </c>
      <c r="J149" s="62"/>
      <c r="K149" s="62"/>
      <c r="L149" s="62"/>
      <c r="M149" s="62">
        <v>1.0551944444444445E-2</v>
      </c>
      <c r="N149" s="62">
        <f t="shared" si="281"/>
        <v>1.0551944444444444E-2</v>
      </c>
      <c r="O149" s="53" t="str">
        <f t="shared" si="282"/>
        <v/>
      </c>
      <c r="P149" s="53">
        <f t="shared" si="283"/>
        <v>123</v>
      </c>
      <c r="Q149" s="53">
        <f t="shared" si="284"/>
        <v>204</v>
      </c>
      <c r="R149" s="53" t="str">
        <f t="shared" si="285"/>
        <v/>
      </c>
      <c r="S149" s="53">
        <f t="shared" si="286"/>
        <v>247</v>
      </c>
      <c r="T149" s="53" t="str">
        <f t="shared" si="287"/>
        <v/>
      </c>
      <c r="U149" s="53" t="str">
        <f t="shared" si="288"/>
        <v/>
      </c>
      <c r="V149" s="53" t="str">
        <f t="shared" si="289"/>
        <v/>
      </c>
      <c r="W149" s="53" t="str">
        <f t="shared" si="314"/>
        <v>DNS/DNF ()</v>
      </c>
      <c r="X149" s="53" t="str">
        <f t="shared" si="290"/>
        <v>00:04:23.5 (123)</v>
      </c>
      <c r="Y149" s="53" t="str">
        <f t="shared" si="291"/>
        <v>00:02:54.1 (204)</v>
      </c>
      <c r="Z149" s="53" t="str">
        <f t="shared" si="292"/>
        <v>DNS/DNF ()</v>
      </c>
      <c r="AA149" s="53" t="str">
        <f t="shared" si="293"/>
        <v>00:07:54.0 (247)</v>
      </c>
      <c r="AB149" s="53" t="str">
        <f t="shared" si="294"/>
        <v>DNS/DNF ()</v>
      </c>
      <c r="AC149" s="53" t="str">
        <f t="shared" si="295"/>
        <v>DNS/DNF ()</v>
      </c>
      <c r="AD149" s="53" t="str">
        <f t="shared" si="296"/>
        <v>DNS/DNF ()</v>
      </c>
      <c r="AE149" s="53">
        <v>0</v>
      </c>
      <c r="AF149" s="53">
        <v>0</v>
      </c>
      <c r="AG149" s="53">
        <v>36375135</v>
      </c>
      <c r="AH149" s="53">
        <v>36638685</v>
      </c>
      <c r="AI149" s="53">
        <v>41135110</v>
      </c>
      <c r="AJ149" s="53">
        <v>41309218</v>
      </c>
      <c r="AK149" s="53">
        <v>0</v>
      </c>
      <c r="AL149" s="53">
        <v>0</v>
      </c>
      <c r="AM149" s="53">
        <v>45140724</v>
      </c>
      <c r="AN149" s="53">
        <v>45614754</v>
      </c>
      <c r="AO149" s="53">
        <v>0</v>
      </c>
      <c r="AP149" s="53">
        <v>0</v>
      </c>
      <c r="AQ149" s="53">
        <v>0</v>
      </c>
      <c r="AR149" s="53">
        <v>0</v>
      </c>
      <c r="AS149" s="53">
        <v>0</v>
      </c>
      <c r="AT149" s="53">
        <v>0</v>
      </c>
      <c r="AU149" s="62" t="str">
        <f t="shared" si="297"/>
        <v>DNS/DNF</v>
      </c>
      <c r="AV149" s="62">
        <f t="shared" si="298"/>
        <v>3.0503472222222221E-3</v>
      </c>
      <c r="AW149" s="62">
        <f t="shared" si="299"/>
        <v>2.0151388888888888E-3</v>
      </c>
      <c r="AX149" s="62" t="str">
        <f t="shared" si="300"/>
        <v>DNS/DNF</v>
      </c>
      <c r="AY149" s="62">
        <f t="shared" si="301"/>
        <v>5.4864583333333336E-3</v>
      </c>
      <c r="AZ149" s="62" t="str">
        <f t="shared" si="302"/>
        <v>DNS/DNF</v>
      </c>
      <c r="BA149" s="62" t="str">
        <f t="shared" si="303"/>
        <v>DNS/DNF</v>
      </c>
      <c r="BB149" s="62" t="str">
        <f t="shared" si="304"/>
        <v>DNS/DNF</v>
      </c>
      <c r="BC149" s="75">
        <f t="shared" si="305"/>
        <v>191</v>
      </c>
      <c r="BD149" s="53" t="str">
        <f t="shared" si="306"/>
        <v/>
      </c>
      <c r="BE149" s="53">
        <f t="shared" si="307"/>
        <v>284497</v>
      </c>
      <c r="BF149" s="53">
        <f t="shared" si="308"/>
        <v>168567</v>
      </c>
      <c r="BG149" s="53" t="str">
        <f t="shared" si="309"/>
        <v/>
      </c>
      <c r="BH149" s="53">
        <f t="shared" si="310"/>
        <v>385800</v>
      </c>
      <c r="BI149" s="53" t="str">
        <f t="shared" si="311"/>
        <v/>
      </c>
      <c r="BJ149" s="53" t="str">
        <f t="shared" si="312"/>
        <v/>
      </c>
      <c r="BK149" s="53" t="str">
        <f t="shared" si="313"/>
        <v/>
      </c>
    </row>
    <row r="150" spans="1:63">
      <c r="A150" s="53">
        <v>38</v>
      </c>
      <c r="B150" s="89" t="str">
        <f>IFERROR(VLOOKUP($A150,EntryList!$A$3:$N$645,2,FALSE),"")</f>
        <v>James Marais</v>
      </c>
      <c r="C150" s="74"/>
      <c r="D150" s="53">
        <f t="shared" si="280"/>
        <v>3</v>
      </c>
      <c r="E150" s="62"/>
      <c r="F150" s="62">
        <v>3.2047569444444441E-3</v>
      </c>
      <c r="G150" s="62">
        <v>2.0336342592592593E-3</v>
      </c>
      <c r="H150" s="62"/>
      <c r="I150" s="62">
        <v>4.4258796296296294E-3</v>
      </c>
      <c r="J150" s="62"/>
      <c r="K150" s="62"/>
      <c r="L150" s="62"/>
      <c r="M150" s="62">
        <v>9.6642708333333337E-3</v>
      </c>
      <c r="N150" s="62">
        <f t="shared" si="281"/>
        <v>9.664270833333332E-3</v>
      </c>
      <c r="O150" s="53" t="str">
        <f t="shared" si="282"/>
        <v/>
      </c>
      <c r="P150" s="53">
        <f t="shared" si="283"/>
        <v>166</v>
      </c>
      <c r="Q150" s="53">
        <f t="shared" si="284"/>
        <v>211</v>
      </c>
      <c r="R150" s="53" t="str">
        <f t="shared" si="285"/>
        <v/>
      </c>
      <c r="S150" s="53">
        <f t="shared" si="286"/>
        <v>187</v>
      </c>
      <c r="T150" s="53" t="str">
        <f t="shared" si="287"/>
        <v/>
      </c>
      <c r="U150" s="53" t="str">
        <f t="shared" si="288"/>
        <v/>
      </c>
      <c r="V150" s="53" t="str">
        <f t="shared" si="289"/>
        <v/>
      </c>
      <c r="W150" s="53" t="str">
        <f t="shared" si="314"/>
        <v>DNS/DNF ()</v>
      </c>
      <c r="X150" s="53" t="str">
        <f t="shared" si="290"/>
        <v>00:04:36.9 (166)</v>
      </c>
      <c r="Y150" s="53" t="str">
        <f t="shared" si="291"/>
        <v>00:02:55.7 (211)</v>
      </c>
      <c r="Z150" s="53" t="str">
        <f t="shared" si="292"/>
        <v>DNS/DNF ()</v>
      </c>
      <c r="AA150" s="53" t="str">
        <f t="shared" si="293"/>
        <v>00:06:22.4 (187)</v>
      </c>
      <c r="AB150" s="53" t="str">
        <f t="shared" si="294"/>
        <v>DNS/DNF ()</v>
      </c>
      <c r="AC150" s="53" t="str">
        <f t="shared" si="295"/>
        <v>DNS/DNF ()</v>
      </c>
      <c r="AD150" s="53" t="str">
        <f t="shared" si="296"/>
        <v>DNS/DNF ()</v>
      </c>
      <c r="AE150" s="53">
        <v>0</v>
      </c>
      <c r="AF150" s="53">
        <v>0</v>
      </c>
      <c r="AG150" s="53">
        <v>36360047</v>
      </c>
      <c r="AH150" s="53">
        <v>36636938</v>
      </c>
      <c r="AI150" s="53">
        <v>41130144</v>
      </c>
      <c r="AJ150" s="53">
        <v>41305850</v>
      </c>
      <c r="AK150" s="53">
        <v>0</v>
      </c>
      <c r="AL150" s="53">
        <v>0</v>
      </c>
      <c r="AM150" s="53">
        <v>45125280</v>
      </c>
      <c r="AN150" s="53">
        <v>45507676</v>
      </c>
      <c r="AO150" s="53">
        <v>0</v>
      </c>
      <c r="AP150" s="53">
        <v>0</v>
      </c>
      <c r="AQ150" s="53">
        <v>0</v>
      </c>
      <c r="AR150" s="53">
        <v>0</v>
      </c>
      <c r="AS150" s="53">
        <v>0</v>
      </c>
      <c r="AT150" s="53">
        <v>0</v>
      </c>
      <c r="AU150" s="62" t="str">
        <f t="shared" si="297"/>
        <v>DNS/DNF</v>
      </c>
      <c r="AV150" s="62">
        <f t="shared" si="298"/>
        <v>3.2047569444444445E-3</v>
      </c>
      <c r="AW150" s="62">
        <f t="shared" si="299"/>
        <v>2.0336342592592593E-3</v>
      </c>
      <c r="AX150" s="62" t="str">
        <f t="shared" si="300"/>
        <v>DNS/DNF</v>
      </c>
      <c r="AY150" s="62">
        <f t="shared" si="301"/>
        <v>4.4258796296296294E-3</v>
      </c>
      <c r="AZ150" s="62" t="str">
        <f t="shared" si="302"/>
        <v>DNS/DNF</v>
      </c>
      <c r="BA150" s="62" t="str">
        <f t="shared" si="303"/>
        <v>DNS/DNF</v>
      </c>
      <c r="BB150" s="62" t="str">
        <f t="shared" si="304"/>
        <v>DNS/DNF</v>
      </c>
      <c r="BC150" s="75">
        <f t="shared" si="305"/>
        <v>188</v>
      </c>
      <c r="BD150" s="53" t="str">
        <f t="shared" si="306"/>
        <v/>
      </c>
      <c r="BE150" s="53">
        <f t="shared" si="307"/>
        <v>284416</v>
      </c>
      <c r="BF150" s="53">
        <f t="shared" si="308"/>
        <v>166315</v>
      </c>
      <c r="BG150" s="53" t="str">
        <f t="shared" si="309"/>
        <v/>
      </c>
      <c r="BH150" s="53">
        <f t="shared" si="310"/>
        <v>384202</v>
      </c>
      <c r="BI150" s="53" t="str">
        <f t="shared" si="311"/>
        <v/>
      </c>
      <c r="BJ150" s="53" t="str">
        <f t="shared" si="312"/>
        <v/>
      </c>
      <c r="BK150" s="53" t="str">
        <f t="shared" si="313"/>
        <v/>
      </c>
    </row>
    <row r="151" spans="1:63">
      <c r="A151" s="53">
        <v>86</v>
      </c>
      <c r="B151" s="89" t="str">
        <f>IFERROR(VLOOKUP($A151,EntryList!$A$3:$N$645,2,FALSE),"")</f>
        <v>Julian Burke</v>
      </c>
      <c r="C151" s="74"/>
      <c r="D151" s="53">
        <f t="shared" si="280"/>
        <v>5</v>
      </c>
      <c r="E151" s="62">
        <v>3.1859259259259258E-3</v>
      </c>
      <c r="F151" s="62">
        <v>3.0778009259259261E-3</v>
      </c>
      <c r="G151" s="62">
        <v>1.8558680555555557E-3</v>
      </c>
      <c r="H151" s="62">
        <v>3.4216550925925929E-3</v>
      </c>
      <c r="I151" s="62">
        <v>4.090578703703703E-3</v>
      </c>
      <c r="J151" s="62"/>
      <c r="K151" s="62"/>
      <c r="L151" s="62"/>
      <c r="M151" s="62">
        <v>1.5631828703703703E-2</v>
      </c>
      <c r="N151" s="62">
        <f t="shared" si="281"/>
        <v>1.5631828703703703E-2</v>
      </c>
      <c r="O151" s="53">
        <f t="shared" si="282"/>
        <v>95</v>
      </c>
      <c r="P151" s="53">
        <f t="shared" si="283"/>
        <v>129</v>
      </c>
      <c r="Q151" s="53">
        <f t="shared" si="284"/>
        <v>161</v>
      </c>
      <c r="R151" s="53">
        <f t="shared" si="285"/>
        <v>94</v>
      </c>
      <c r="S151" s="53">
        <f t="shared" si="286"/>
        <v>127</v>
      </c>
      <c r="T151" s="53" t="str">
        <f t="shared" si="287"/>
        <v/>
      </c>
      <c r="U151" s="53" t="str">
        <f t="shared" si="288"/>
        <v/>
      </c>
      <c r="V151" s="53" t="str">
        <f t="shared" si="289"/>
        <v/>
      </c>
      <c r="W151" s="53" t="str">
        <f t="shared" si="314"/>
        <v>00:04:35.3 (95)</v>
      </c>
      <c r="X151" s="53" t="str">
        <f t="shared" si="290"/>
        <v>00:04:25.9 (129)</v>
      </c>
      <c r="Y151" s="53" t="str">
        <f t="shared" si="291"/>
        <v>00:02:40.3 (161)</v>
      </c>
      <c r="Z151" s="53" t="str">
        <f t="shared" si="292"/>
        <v>00:04:55.6 (94)</v>
      </c>
      <c r="AA151" s="53" t="str">
        <f t="shared" si="293"/>
        <v>00:05:53.4 (127)</v>
      </c>
      <c r="AB151" s="53" t="str">
        <f t="shared" si="294"/>
        <v>DNS/DNF ()</v>
      </c>
      <c r="AC151" s="53" t="str">
        <f t="shared" si="295"/>
        <v>DNS/DNF ()</v>
      </c>
      <c r="AD151" s="53" t="str">
        <f t="shared" si="296"/>
        <v>DNS/DNF ()</v>
      </c>
      <c r="AE151" s="53">
        <v>35580772</v>
      </c>
      <c r="AF151" s="53">
        <v>35856036</v>
      </c>
      <c r="AG151" s="53">
        <v>38521841</v>
      </c>
      <c r="AH151" s="53">
        <v>38787763</v>
      </c>
      <c r="AI151" s="53">
        <v>32193365</v>
      </c>
      <c r="AJ151" s="53">
        <v>32353712</v>
      </c>
      <c r="AK151" s="53">
        <v>42439493</v>
      </c>
      <c r="AL151" s="53">
        <v>42735124</v>
      </c>
      <c r="AM151" s="53">
        <v>45526674</v>
      </c>
      <c r="AN151" s="53">
        <v>45880100</v>
      </c>
      <c r="AO151" s="53">
        <v>0</v>
      </c>
      <c r="AP151" s="53">
        <v>0</v>
      </c>
      <c r="AQ151" s="53">
        <v>0</v>
      </c>
      <c r="AR151" s="53">
        <v>0</v>
      </c>
      <c r="AS151" s="53">
        <v>0</v>
      </c>
      <c r="AT151" s="53">
        <v>0</v>
      </c>
      <c r="AU151" s="62">
        <f t="shared" si="297"/>
        <v>3.1859259259259258E-3</v>
      </c>
      <c r="AV151" s="62">
        <f t="shared" si="298"/>
        <v>3.0778009259259261E-3</v>
      </c>
      <c r="AW151" s="62">
        <f t="shared" si="299"/>
        <v>1.8558680555555555E-3</v>
      </c>
      <c r="AX151" s="62">
        <f t="shared" si="300"/>
        <v>3.4216550925925925E-3</v>
      </c>
      <c r="AY151" s="62">
        <f t="shared" si="301"/>
        <v>4.0905787037037039E-3</v>
      </c>
      <c r="AZ151" s="62" t="str">
        <f t="shared" si="302"/>
        <v>DNS/DNF</v>
      </c>
      <c r="BA151" s="62" t="str">
        <f t="shared" si="303"/>
        <v>DNS/DNF</v>
      </c>
      <c r="BB151" s="62" t="str">
        <f t="shared" si="304"/>
        <v>DNS/DNF</v>
      </c>
      <c r="BC151" s="75">
        <f t="shared" si="305"/>
        <v>121</v>
      </c>
      <c r="BD151" s="53">
        <f t="shared" si="306"/>
        <v>315207</v>
      </c>
      <c r="BE151" s="53">
        <f t="shared" si="307"/>
        <v>262699</v>
      </c>
      <c r="BF151" s="53">
        <f t="shared" si="308"/>
        <v>151594</v>
      </c>
      <c r="BG151" s="53">
        <f t="shared" si="309"/>
        <v>319571</v>
      </c>
      <c r="BH151" s="53">
        <f t="shared" si="310"/>
        <v>351985</v>
      </c>
      <c r="BI151" s="53" t="str">
        <f t="shared" si="311"/>
        <v/>
      </c>
      <c r="BJ151" s="53" t="str">
        <f t="shared" si="312"/>
        <v/>
      </c>
      <c r="BK151" s="53" t="str">
        <f t="shared" si="313"/>
        <v/>
      </c>
    </row>
    <row r="152" spans="1:63">
      <c r="A152" s="53">
        <v>227</v>
      </c>
      <c r="B152" s="89" t="str">
        <f>IFERROR(VLOOKUP($A152,EntryList!$A$3:$N$645,2,FALSE),"")</f>
        <v>Rigardt Griessel</v>
      </c>
      <c r="C152" s="74"/>
      <c r="D152" s="53">
        <f t="shared" si="280"/>
        <v>2</v>
      </c>
      <c r="E152" s="62"/>
      <c r="F152" s="62">
        <v>3.1458449074074075E-3</v>
      </c>
      <c r="G152" s="62"/>
      <c r="H152" s="62"/>
      <c r="I152" s="62">
        <v>4.255844907407407E-3</v>
      </c>
      <c r="J152" s="62"/>
      <c r="K152" s="62"/>
      <c r="L152" s="62"/>
      <c r="M152" s="62">
        <v>7.4016898148148149E-3</v>
      </c>
      <c r="N152" s="62">
        <f t="shared" si="281"/>
        <v>7.4016898148148158E-3</v>
      </c>
      <c r="O152" s="53" t="str">
        <f t="shared" si="282"/>
        <v/>
      </c>
      <c r="P152" s="53">
        <f t="shared" si="283"/>
        <v>147</v>
      </c>
      <c r="Q152" s="53" t="str">
        <f t="shared" si="284"/>
        <v/>
      </c>
      <c r="R152" s="53" t="str">
        <f t="shared" si="285"/>
        <v/>
      </c>
      <c r="S152" s="53">
        <f t="shared" si="286"/>
        <v>164</v>
      </c>
      <c r="T152" s="53" t="str">
        <f t="shared" si="287"/>
        <v/>
      </c>
      <c r="U152" s="53" t="str">
        <f t="shared" si="288"/>
        <v/>
      </c>
      <c r="V152" s="53" t="str">
        <f t="shared" si="289"/>
        <v/>
      </c>
      <c r="W152" s="53" t="str">
        <f t="shared" si="314"/>
        <v>DNS/DNF ()</v>
      </c>
      <c r="X152" s="53" t="str">
        <f t="shared" si="290"/>
        <v>00:04:31.8 (147)</v>
      </c>
      <c r="Y152" s="53" t="str">
        <f t="shared" si="291"/>
        <v>DNS/DNF ()</v>
      </c>
      <c r="Z152" s="53" t="str">
        <f t="shared" si="292"/>
        <v>DNS/DNF ()</v>
      </c>
      <c r="AA152" s="53" t="str">
        <f t="shared" si="293"/>
        <v>00:06:07.7 (164)</v>
      </c>
      <c r="AB152" s="53" t="str">
        <f t="shared" si="294"/>
        <v>DNS/DNF ()</v>
      </c>
      <c r="AC152" s="53" t="str">
        <f t="shared" si="295"/>
        <v>DNS/DNF ()</v>
      </c>
      <c r="AD152" s="53" t="str">
        <f t="shared" si="296"/>
        <v>DNS/DNF ()</v>
      </c>
      <c r="AE152" s="53">
        <v>0</v>
      </c>
      <c r="AF152" s="53">
        <v>0</v>
      </c>
      <c r="AG152" s="53">
        <v>28337299</v>
      </c>
      <c r="AH152" s="53">
        <v>28609100</v>
      </c>
      <c r="AI152" s="53">
        <v>0</v>
      </c>
      <c r="AJ152" s="53">
        <v>0</v>
      </c>
      <c r="AK152" s="53">
        <v>0</v>
      </c>
      <c r="AL152" s="53">
        <v>0</v>
      </c>
      <c r="AM152" s="53">
        <v>45759820</v>
      </c>
      <c r="AN152" s="53">
        <v>46127525</v>
      </c>
      <c r="AO152" s="53">
        <v>0</v>
      </c>
      <c r="AP152" s="53">
        <v>0</v>
      </c>
      <c r="AQ152" s="53">
        <v>0</v>
      </c>
      <c r="AR152" s="53">
        <v>0</v>
      </c>
      <c r="AS152" s="53">
        <v>0</v>
      </c>
      <c r="AT152" s="53">
        <v>0</v>
      </c>
      <c r="AU152" s="62" t="str">
        <f t="shared" si="297"/>
        <v>DNS/DNF</v>
      </c>
      <c r="AV152" s="62">
        <f t="shared" si="298"/>
        <v>3.1458449074074075E-3</v>
      </c>
      <c r="AW152" s="62" t="str">
        <f t="shared" si="299"/>
        <v>DNS/DNF</v>
      </c>
      <c r="AX152" s="62" t="str">
        <f t="shared" si="300"/>
        <v>DNS/DNF</v>
      </c>
      <c r="AY152" s="62">
        <f t="shared" si="301"/>
        <v>4.2558449074074078E-3</v>
      </c>
      <c r="AZ152" s="62" t="str">
        <f t="shared" si="302"/>
        <v>DNS/DNF</v>
      </c>
      <c r="BA152" s="62" t="str">
        <f t="shared" si="303"/>
        <v>DNS/DNF</v>
      </c>
      <c r="BB152" s="62" t="str">
        <f t="shared" si="304"/>
        <v>DNS/DNF</v>
      </c>
      <c r="BC152" s="75">
        <f t="shared" si="305"/>
        <v>156</v>
      </c>
      <c r="BD152" s="53" t="str">
        <f t="shared" si="306"/>
        <v/>
      </c>
      <c r="BE152" s="53">
        <f t="shared" si="307"/>
        <v>273544</v>
      </c>
      <c r="BF152" s="53">
        <f t="shared" si="308"/>
        <v>159667</v>
      </c>
      <c r="BG152" s="53" t="str">
        <f t="shared" si="309"/>
        <v/>
      </c>
      <c r="BH152" s="53">
        <f t="shared" si="310"/>
        <v>364341.00000000006</v>
      </c>
      <c r="BI152" s="53" t="str">
        <f t="shared" si="311"/>
        <v/>
      </c>
      <c r="BJ152" s="53" t="str">
        <f t="shared" si="312"/>
        <v/>
      </c>
      <c r="BK152" s="53" t="str">
        <f t="shared" si="313"/>
        <v/>
      </c>
    </row>
    <row r="153" spans="1:63">
      <c r="A153" s="53">
        <v>33</v>
      </c>
      <c r="B153" s="89" t="str">
        <f>IFERROR(VLOOKUP($A153,EntryList!$A$3:$N$645,2,FALSE),"")</f>
        <v>Rameez Abrahams</v>
      </c>
      <c r="C153" s="74"/>
      <c r="D153" s="53">
        <f t="shared" si="280"/>
        <v>5</v>
      </c>
      <c r="E153" s="62">
        <v>2.8834837962962967E-3</v>
      </c>
      <c r="F153" s="62">
        <v>2.7824652777777778E-3</v>
      </c>
      <c r="G153" s="62">
        <v>1.6915277777777777E-3</v>
      </c>
      <c r="H153" s="62">
        <v>3.1954398148148146E-3</v>
      </c>
      <c r="I153" s="62">
        <v>3.8235416666666674E-3</v>
      </c>
      <c r="J153" s="62"/>
      <c r="K153" s="62"/>
      <c r="L153" s="62"/>
      <c r="M153" s="62">
        <v>1.4376458333333335E-2</v>
      </c>
      <c r="N153" s="62">
        <f t="shared" si="281"/>
        <v>1.4376458333333333E-2</v>
      </c>
      <c r="O153" s="53">
        <f t="shared" si="282"/>
        <v>69</v>
      </c>
      <c r="P153" s="53">
        <f t="shared" si="283"/>
        <v>62</v>
      </c>
      <c r="Q153" s="53">
        <f t="shared" si="284"/>
        <v>99</v>
      </c>
      <c r="R153" s="53">
        <f t="shared" si="285"/>
        <v>74</v>
      </c>
      <c r="S153" s="53">
        <f t="shared" si="286"/>
        <v>72</v>
      </c>
      <c r="T153" s="53" t="str">
        <f t="shared" si="287"/>
        <v/>
      </c>
      <c r="U153" s="53" t="str">
        <f t="shared" si="288"/>
        <v/>
      </c>
      <c r="V153" s="53" t="str">
        <f t="shared" si="289"/>
        <v/>
      </c>
      <c r="W153" s="53" t="str">
        <f t="shared" si="314"/>
        <v>00:04:09.1 (69)</v>
      </c>
      <c r="X153" s="53" t="str">
        <f t="shared" si="290"/>
        <v>00:04:00.4 (62)</v>
      </c>
      <c r="Y153" s="53" t="str">
        <f t="shared" si="291"/>
        <v>00:02:26.1 (99)</v>
      </c>
      <c r="Z153" s="53" t="str">
        <f t="shared" si="292"/>
        <v>00:04:36.1 (74)</v>
      </c>
      <c r="AA153" s="53" t="str">
        <f t="shared" si="293"/>
        <v>00:05:30.4 (72)</v>
      </c>
      <c r="AB153" s="53" t="str">
        <f t="shared" si="294"/>
        <v>DNS/DNF ()</v>
      </c>
      <c r="AC153" s="53" t="str">
        <f t="shared" si="295"/>
        <v>DNS/DNF ()</v>
      </c>
      <c r="AD153" s="53" t="str">
        <f t="shared" si="296"/>
        <v>DNS/DNF ()</v>
      </c>
      <c r="AE153" s="53">
        <v>35563518</v>
      </c>
      <c r="AF153" s="53">
        <v>35812651</v>
      </c>
      <c r="AG153" s="53">
        <v>32412226</v>
      </c>
      <c r="AH153" s="53">
        <v>32652631</v>
      </c>
      <c r="AI153" s="53">
        <v>39251718</v>
      </c>
      <c r="AJ153" s="53">
        <v>39397866</v>
      </c>
      <c r="AK153" s="53">
        <v>42687001</v>
      </c>
      <c r="AL153" s="53">
        <v>42963087</v>
      </c>
      <c r="AM153" s="53">
        <v>45636752</v>
      </c>
      <c r="AN153" s="53">
        <v>45967106</v>
      </c>
      <c r="AO153" s="53">
        <v>0</v>
      </c>
      <c r="AP153" s="53">
        <v>0</v>
      </c>
      <c r="AQ153" s="53">
        <v>0</v>
      </c>
      <c r="AR153" s="53">
        <v>0</v>
      </c>
      <c r="AS153" s="53">
        <v>0</v>
      </c>
      <c r="AT153" s="53">
        <v>0</v>
      </c>
      <c r="AU153" s="62">
        <f t="shared" si="297"/>
        <v>2.8834837962962963E-3</v>
      </c>
      <c r="AV153" s="62">
        <f t="shared" si="298"/>
        <v>2.7824652777777778E-3</v>
      </c>
      <c r="AW153" s="62">
        <f t="shared" si="299"/>
        <v>1.6915277777777777E-3</v>
      </c>
      <c r="AX153" s="62">
        <f t="shared" si="300"/>
        <v>3.195439814814815E-3</v>
      </c>
      <c r="AY153" s="62">
        <f t="shared" si="301"/>
        <v>3.8235416666666665E-3</v>
      </c>
      <c r="AZ153" s="62" t="str">
        <f t="shared" si="302"/>
        <v>DNS/DNF</v>
      </c>
      <c r="BA153" s="62" t="str">
        <f t="shared" si="303"/>
        <v>DNS/DNF</v>
      </c>
      <c r="BB153" s="62" t="str">
        <f t="shared" si="304"/>
        <v>DNS/DNF</v>
      </c>
      <c r="BC153" s="75">
        <f t="shared" si="305"/>
        <v>75</v>
      </c>
      <c r="BD153" s="53">
        <f t="shared" si="306"/>
        <v>251230</v>
      </c>
      <c r="BE153" s="53">
        <f t="shared" si="307"/>
        <v>243648</v>
      </c>
      <c r="BF153" s="53">
        <f t="shared" si="308"/>
        <v>137833</v>
      </c>
      <c r="BG153" s="53">
        <f t="shared" si="309"/>
        <v>276381</v>
      </c>
      <c r="BH153" s="53">
        <f t="shared" si="310"/>
        <v>332404</v>
      </c>
      <c r="BI153" s="53" t="str">
        <f t="shared" si="311"/>
        <v/>
      </c>
      <c r="BJ153" s="53" t="str">
        <f t="shared" si="312"/>
        <v/>
      </c>
      <c r="BK153" s="53" t="str">
        <f t="shared" si="313"/>
        <v/>
      </c>
    </row>
    <row r="154" spans="1:63">
      <c r="A154" s="53">
        <v>225</v>
      </c>
      <c r="B154" s="89" t="str">
        <f>IFERROR(VLOOKUP($A154,EntryList!$A$3:$N$645,2,FALSE),"")</f>
        <v>Lance Morris</v>
      </c>
      <c r="C154" s="74"/>
      <c r="D154" s="53">
        <f t="shared" si="280"/>
        <v>5</v>
      </c>
      <c r="E154" s="62">
        <v>2.2297106481481482E-3</v>
      </c>
      <c r="F154" s="62">
        <v>2.4269675925925925E-3</v>
      </c>
      <c r="G154" s="62">
        <v>1.3771643518518519E-3</v>
      </c>
      <c r="H154" s="62">
        <v>2.6852546296296299E-3</v>
      </c>
      <c r="I154" s="62">
        <v>3.3805671296296296E-3</v>
      </c>
      <c r="J154" s="62"/>
      <c r="K154" s="62"/>
      <c r="L154" s="62"/>
      <c r="M154" s="62">
        <v>1.2099664351851851E-2</v>
      </c>
      <c r="N154" s="62">
        <f t="shared" si="281"/>
        <v>1.2099664351851851E-2</v>
      </c>
      <c r="O154" s="53">
        <f t="shared" si="282"/>
        <v>5</v>
      </c>
      <c r="P154" s="53">
        <f t="shared" si="283"/>
        <v>3</v>
      </c>
      <c r="Q154" s="53">
        <f t="shared" si="284"/>
        <v>12</v>
      </c>
      <c r="R154" s="53">
        <f t="shared" si="285"/>
        <v>10</v>
      </c>
      <c r="S154" s="53">
        <f t="shared" si="286"/>
        <v>9</v>
      </c>
      <c r="T154" s="53" t="str">
        <f t="shared" si="287"/>
        <v/>
      </c>
      <c r="U154" s="53" t="str">
        <f t="shared" si="288"/>
        <v/>
      </c>
      <c r="V154" s="53" t="str">
        <f t="shared" si="289"/>
        <v/>
      </c>
      <c r="W154" s="53" t="str">
        <f t="shared" si="314"/>
        <v>00:03:12.6 (5)</v>
      </c>
      <c r="X154" s="53" t="str">
        <f t="shared" si="290"/>
        <v>00:03:29.7 (3)</v>
      </c>
      <c r="Y154" s="53" t="str">
        <f t="shared" si="291"/>
        <v>00:01:59.0 (12)</v>
      </c>
      <c r="Z154" s="53" t="str">
        <f t="shared" si="292"/>
        <v>00:03:52.0 (10)</v>
      </c>
      <c r="AA154" s="53" t="str">
        <f t="shared" si="293"/>
        <v>00:04:52.1 (9)</v>
      </c>
      <c r="AB154" s="53" t="str">
        <f t="shared" si="294"/>
        <v>DNS/DNF ()</v>
      </c>
      <c r="AC154" s="53" t="str">
        <f t="shared" si="295"/>
        <v>DNS/DNF ()</v>
      </c>
      <c r="AD154" s="53" t="str">
        <f t="shared" si="296"/>
        <v>DNS/DNF ()</v>
      </c>
      <c r="AE154" s="53">
        <v>36520714</v>
      </c>
      <c r="AF154" s="53">
        <v>36713361</v>
      </c>
      <c r="AG154" s="53">
        <v>32466064</v>
      </c>
      <c r="AH154" s="53">
        <v>32675754</v>
      </c>
      <c r="AI154" s="53">
        <v>39400368</v>
      </c>
      <c r="AJ154" s="53">
        <v>39519355</v>
      </c>
      <c r="AK154" s="53">
        <v>43003345</v>
      </c>
      <c r="AL154" s="53">
        <v>43235351</v>
      </c>
      <c r="AM154" s="53">
        <v>45753932</v>
      </c>
      <c r="AN154" s="53">
        <v>46046013</v>
      </c>
      <c r="AO154" s="53">
        <v>0</v>
      </c>
      <c r="AP154" s="53">
        <v>0</v>
      </c>
      <c r="AQ154" s="53">
        <v>0</v>
      </c>
      <c r="AR154" s="53">
        <v>0</v>
      </c>
      <c r="AS154" s="53">
        <v>0</v>
      </c>
      <c r="AT154" s="53">
        <v>0</v>
      </c>
      <c r="AU154" s="62">
        <f t="shared" si="297"/>
        <v>2.2297106481481482E-3</v>
      </c>
      <c r="AV154" s="62">
        <f t="shared" si="298"/>
        <v>2.4269675925925925E-3</v>
      </c>
      <c r="AW154" s="62">
        <f t="shared" si="299"/>
        <v>1.3771643518518519E-3</v>
      </c>
      <c r="AX154" s="62">
        <f t="shared" si="300"/>
        <v>2.6852546296296294E-3</v>
      </c>
      <c r="AY154" s="62">
        <f t="shared" si="301"/>
        <v>3.3805671296296296E-3</v>
      </c>
      <c r="AZ154" s="62" t="str">
        <f t="shared" si="302"/>
        <v>DNS/DNF</v>
      </c>
      <c r="BA154" s="62" t="str">
        <f t="shared" si="303"/>
        <v>DNS/DNF</v>
      </c>
      <c r="BB154" s="62" t="str">
        <f t="shared" si="304"/>
        <v>DNS/DNF</v>
      </c>
      <c r="BC154" s="75">
        <f t="shared" si="305"/>
        <v>8</v>
      </c>
      <c r="BD154" s="53">
        <f t="shared" si="306"/>
        <v>193418</v>
      </c>
      <c r="BE154" s="53">
        <f t="shared" si="307"/>
        <v>212532</v>
      </c>
      <c r="BF154" s="53">
        <f t="shared" si="308"/>
        <v>118621</v>
      </c>
      <c r="BG154" s="53">
        <f t="shared" si="309"/>
        <v>231414</v>
      </c>
      <c r="BH154" s="53">
        <f t="shared" si="310"/>
        <v>291659</v>
      </c>
      <c r="BI154" s="53" t="str">
        <f t="shared" si="311"/>
        <v/>
      </c>
      <c r="BJ154" s="53" t="str">
        <f t="shared" si="312"/>
        <v/>
      </c>
      <c r="BK154" s="53" t="str">
        <f t="shared" si="313"/>
        <v/>
      </c>
    </row>
    <row r="155" spans="1:63">
      <c r="A155" s="53">
        <v>285</v>
      </c>
      <c r="B155" s="89" t="str">
        <f>IFERROR(VLOOKUP($A155,EntryList!$A$3:$N$645,2,FALSE),"")</f>
        <v>Piet Brummer</v>
      </c>
      <c r="C155" s="74"/>
      <c r="D155" s="53">
        <f t="shared" si="280"/>
        <v>5</v>
      </c>
      <c r="E155" s="62">
        <v>2.4370601851851853E-3</v>
      </c>
      <c r="F155" s="62">
        <v>2.736793981481482E-3</v>
      </c>
      <c r="G155" s="62">
        <v>1.5095833333333333E-3</v>
      </c>
      <c r="H155" s="62">
        <v>3.0498842592592591E-3</v>
      </c>
      <c r="I155" s="62">
        <v>3.5881134259259265E-3</v>
      </c>
      <c r="J155" s="62"/>
      <c r="K155" s="62"/>
      <c r="L155" s="62"/>
      <c r="M155" s="62">
        <v>1.3321435185185184E-2</v>
      </c>
      <c r="N155" s="62">
        <f t="shared" si="281"/>
        <v>1.3321435185185186E-2</v>
      </c>
      <c r="O155" s="53">
        <f t="shared" si="282"/>
        <v>22</v>
      </c>
      <c r="P155" s="53">
        <f t="shared" si="283"/>
        <v>56</v>
      </c>
      <c r="Q155" s="53">
        <f t="shared" si="284"/>
        <v>48</v>
      </c>
      <c r="R155" s="53">
        <f t="shared" si="285"/>
        <v>56</v>
      </c>
      <c r="S155" s="53">
        <f t="shared" si="286"/>
        <v>33</v>
      </c>
      <c r="T155" s="53" t="str">
        <f t="shared" si="287"/>
        <v/>
      </c>
      <c r="U155" s="53" t="str">
        <f t="shared" si="288"/>
        <v/>
      </c>
      <c r="V155" s="53" t="str">
        <f t="shared" si="289"/>
        <v/>
      </c>
      <c r="W155" s="53" t="str">
        <f t="shared" si="314"/>
        <v>00:03:30.6 (22)</v>
      </c>
      <c r="X155" s="53" t="str">
        <f t="shared" si="290"/>
        <v>00:03:56.5 (56)</v>
      </c>
      <c r="Y155" s="53" t="str">
        <f t="shared" si="291"/>
        <v>00:02:10.4 (48)</v>
      </c>
      <c r="Z155" s="53" t="str">
        <f t="shared" si="292"/>
        <v>00:04:23.5 (56)</v>
      </c>
      <c r="AA155" s="53" t="str">
        <f t="shared" si="293"/>
        <v>00:05:10.0 (33)</v>
      </c>
      <c r="AB155" s="53" t="str">
        <f t="shared" si="294"/>
        <v>DNS/DNF ()</v>
      </c>
      <c r="AC155" s="53" t="str">
        <f t="shared" si="295"/>
        <v>DNS/DNF ()</v>
      </c>
      <c r="AD155" s="53" t="str">
        <f t="shared" si="296"/>
        <v>DNS/DNF ()</v>
      </c>
      <c r="AE155" s="53">
        <v>36132559</v>
      </c>
      <c r="AF155" s="53">
        <v>36343121</v>
      </c>
      <c r="AG155" s="53">
        <v>32186880</v>
      </c>
      <c r="AH155" s="53">
        <v>32423339</v>
      </c>
      <c r="AI155" s="53">
        <v>39236075</v>
      </c>
      <c r="AJ155" s="53">
        <v>39366503</v>
      </c>
      <c r="AK155" s="53">
        <v>42885910</v>
      </c>
      <c r="AL155" s="53">
        <v>43149420</v>
      </c>
      <c r="AM155" s="53">
        <v>45670080</v>
      </c>
      <c r="AN155" s="53">
        <v>45980093</v>
      </c>
      <c r="AO155" s="53">
        <v>0</v>
      </c>
      <c r="AP155" s="53">
        <v>0</v>
      </c>
      <c r="AQ155" s="53">
        <v>0</v>
      </c>
      <c r="AR155" s="53">
        <v>0</v>
      </c>
      <c r="AS155" s="53">
        <v>0</v>
      </c>
      <c r="AT155" s="53">
        <v>0</v>
      </c>
      <c r="AU155" s="62">
        <f t="shared" si="297"/>
        <v>2.4370601851851853E-3</v>
      </c>
      <c r="AV155" s="62">
        <f t="shared" si="298"/>
        <v>2.7367939814814815E-3</v>
      </c>
      <c r="AW155" s="62">
        <f t="shared" si="299"/>
        <v>1.5095833333333333E-3</v>
      </c>
      <c r="AX155" s="62">
        <f t="shared" si="300"/>
        <v>3.0498842592592591E-3</v>
      </c>
      <c r="AY155" s="62">
        <f t="shared" si="301"/>
        <v>3.588113425925926E-3</v>
      </c>
      <c r="AZ155" s="62" t="str">
        <f t="shared" si="302"/>
        <v>DNS/DNF</v>
      </c>
      <c r="BA155" s="62" t="str">
        <f t="shared" si="303"/>
        <v>DNS/DNF</v>
      </c>
      <c r="BB155" s="62" t="str">
        <f t="shared" si="304"/>
        <v>DNS/DNF</v>
      </c>
      <c r="BC155" s="75">
        <f t="shared" si="305"/>
        <v>43</v>
      </c>
      <c r="BD155" s="53">
        <f t="shared" si="306"/>
        <v>224624</v>
      </c>
      <c r="BE155" s="53">
        <f t="shared" si="307"/>
        <v>232222.99999999997</v>
      </c>
      <c r="BF155" s="53">
        <f t="shared" si="308"/>
        <v>129543.99999999999</v>
      </c>
      <c r="BG155" s="53">
        <f t="shared" si="309"/>
        <v>257729</v>
      </c>
      <c r="BH155" s="53">
        <f t="shared" si="310"/>
        <v>313878</v>
      </c>
      <c r="BI155" s="53" t="str">
        <f t="shared" si="311"/>
        <v/>
      </c>
      <c r="BJ155" s="53" t="str">
        <f t="shared" si="312"/>
        <v/>
      </c>
      <c r="BK155" s="53" t="str">
        <f t="shared" si="313"/>
        <v/>
      </c>
    </row>
    <row r="156" spans="1:63">
      <c r="A156" s="53">
        <v>25</v>
      </c>
      <c r="B156" s="89" t="str">
        <f>IFERROR(VLOOKUP($A156,EntryList!$A$3:$N$645,2,FALSE),"")</f>
        <v>Stirling Kotze</v>
      </c>
      <c r="C156" s="74"/>
      <c r="D156" s="53">
        <f t="shared" si="280"/>
        <v>5</v>
      </c>
      <c r="E156" s="62">
        <v>2.8304282407407406E-3</v>
      </c>
      <c r="F156" s="62">
        <v>2.872881944444444E-3</v>
      </c>
      <c r="G156" s="62">
        <v>1.7095138888888889E-3</v>
      </c>
      <c r="H156" s="62">
        <v>3.1379629629629626E-3</v>
      </c>
      <c r="I156" s="62">
        <v>3.9625462962962965E-3</v>
      </c>
      <c r="J156" s="62"/>
      <c r="K156" s="62"/>
      <c r="L156" s="62"/>
      <c r="M156" s="62">
        <v>1.4513333333333335E-2</v>
      </c>
      <c r="N156" s="62">
        <f t="shared" si="281"/>
        <v>1.4513333333333333E-2</v>
      </c>
      <c r="O156" s="53">
        <f t="shared" si="282"/>
        <v>67</v>
      </c>
      <c r="P156" s="53">
        <f t="shared" si="283"/>
        <v>88</v>
      </c>
      <c r="Q156" s="53">
        <f t="shared" si="284"/>
        <v>108</v>
      </c>
      <c r="R156" s="53">
        <f t="shared" si="285"/>
        <v>67</v>
      </c>
      <c r="S156" s="53">
        <f t="shared" si="286"/>
        <v>98</v>
      </c>
      <c r="T156" s="53" t="str">
        <f t="shared" si="287"/>
        <v/>
      </c>
      <c r="U156" s="53" t="str">
        <f t="shared" si="288"/>
        <v/>
      </c>
      <c r="V156" s="53" t="str">
        <f t="shared" si="289"/>
        <v/>
      </c>
      <c r="W156" s="53" t="str">
        <f t="shared" si="314"/>
        <v>00:04:04.5 (67)</v>
      </c>
      <c r="X156" s="53" t="str">
        <f t="shared" si="290"/>
        <v>00:04:08.2 (88)</v>
      </c>
      <c r="Y156" s="53" t="str">
        <f t="shared" si="291"/>
        <v>00:02:27.7 (108)</v>
      </c>
      <c r="Z156" s="53" t="str">
        <f t="shared" si="292"/>
        <v>00:04:31.1 (67)</v>
      </c>
      <c r="AA156" s="53" t="str">
        <f t="shared" si="293"/>
        <v>00:05:42.4 (98)</v>
      </c>
      <c r="AB156" s="53" t="str">
        <f t="shared" si="294"/>
        <v>DNS/DNF ()</v>
      </c>
      <c r="AC156" s="53" t="str">
        <f t="shared" si="295"/>
        <v>DNS/DNF ()</v>
      </c>
      <c r="AD156" s="53" t="str">
        <f t="shared" si="296"/>
        <v>DNS/DNF ()</v>
      </c>
      <c r="AE156" s="53">
        <v>34460101</v>
      </c>
      <c r="AF156" s="53">
        <v>34704650</v>
      </c>
      <c r="AG156" s="53">
        <v>37792278</v>
      </c>
      <c r="AH156" s="53">
        <v>38040495</v>
      </c>
      <c r="AI156" s="53">
        <v>31618765</v>
      </c>
      <c r="AJ156" s="53">
        <v>31766467</v>
      </c>
      <c r="AK156" s="53">
        <v>43247449</v>
      </c>
      <c r="AL156" s="53">
        <v>43518569</v>
      </c>
      <c r="AM156" s="53">
        <v>45602926</v>
      </c>
      <c r="AN156" s="53">
        <v>45945290</v>
      </c>
      <c r="AO156" s="53">
        <v>0</v>
      </c>
      <c r="AP156" s="53">
        <v>0</v>
      </c>
      <c r="AQ156" s="53">
        <v>0</v>
      </c>
      <c r="AR156" s="53">
        <v>0</v>
      </c>
      <c r="AS156" s="53">
        <v>0</v>
      </c>
      <c r="AT156" s="53">
        <v>0</v>
      </c>
      <c r="AU156" s="62">
        <f t="shared" si="297"/>
        <v>2.8304282407407406E-3</v>
      </c>
      <c r="AV156" s="62">
        <f t="shared" si="298"/>
        <v>2.8728819444444444E-3</v>
      </c>
      <c r="AW156" s="62">
        <f t="shared" si="299"/>
        <v>1.7095138888888889E-3</v>
      </c>
      <c r="AX156" s="62">
        <f t="shared" si="300"/>
        <v>3.1379629629629631E-3</v>
      </c>
      <c r="AY156" s="62">
        <f t="shared" si="301"/>
        <v>3.9625462962962965E-3</v>
      </c>
      <c r="AZ156" s="62" t="str">
        <f t="shared" si="302"/>
        <v>DNS/DNF</v>
      </c>
      <c r="BA156" s="62" t="str">
        <f t="shared" si="303"/>
        <v>DNS/DNF</v>
      </c>
      <c r="BB156" s="62" t="str">
        <f t="shared" si="304"/>
        <v>DNS/DNF</v>
      </c>
      <c r="BC156" s="75">
        <f t="shared" si="305"/>
        <v>86</v>
      </c>
      <c r="BD156" s="53">
        <f t="shared" si="306"/>
        <v>262403</v>
      </c>
      <c r="BE156" s="53">
        <f t="shared" si="307"/>
        <v>247772</v>
      </c>
      <c r="BF156" s="53">
        <f t="shared" si="308"/>
        <v>141770</v>
      </c>
      <c r="BG156" s="53">
        <f t="shared" si="309"/>
        <v>289559</v>
      </c>
      <c r="BH156" s="53">
        <f t="shared" si="310"/>
        <v>337139</v>
      </c>
      <c r="BI156" s="53" t="str">
        <f t="shared" si="311"/>
        <v/>
      </c>
      <c r="BJ156" s="53" t="str">
        <f t="shared" si="312"/>
        <v/>
      </c>
      <c r="BK156" s="53" t="str">
        <f t="shared" si="313"/>
        <v/>
      </c>
    </row>
    <row r="157" spans="1:63">
      <c r="A157" s="53">
        <v>211</v>
      </c>
      <c r="B157" s="89" t="str">
        <f>IFERROR(VLOOKUP($A157,EntryList!$A$3:$N$645,2,FALSE),"")</f>
        <v>Jonathan Dunkley</v>
      </c>
      <c r="C157" s="74"/>
      <c r="D157" s="53">
        <f t="shared" si="280"/>
        <v>3</v>
      </c>
      <c r="E157" s="62"/>
      <c r="F157" s="62">
        <v>2.9228703703703704E-3</v>
      </c>
      <c r="G157" s="62">
        <v>1.7577314814814816E-3</v>
      </c>
      <c r="H157" s="62"/>
      <c r="I157" s="62">
        <v>3.9795833333333332E-3</v>
      </c>
      <c r="J157" s="62"/>
      <c r="K157" s="62"/>
      <c r="L157" s="62"/>
      <c r="M157" s="62">
        <v>8.6601851851851857E-3</v>
      </c>
      <c r="N157" s="62">
        <f t="shared" si="281"/>
        <v>8.660185185185184E-3</v>
      </c>
      <c r="O157" s="53" t="str">
        <f t="shared" si="282"/>
        <v/>
      </c>
      <c r="P157" s="53">
        <f t="shared" si="283"/>
        <v>97</v>
      </c>
      <c r="Q157" s="53">
        <f t="shared" si="284"/>
        <v>126</v>
      </c>
      <c r="R157" s="53" t="str">
        <f t="shared" si="285"/>
        <v/>
      </c>
      <c r="S157" s="53">
        <f t="shared" si="286"/>
        <v>102</v>
      </c>
      <c r="T157" s="53" t="str">
        <f t="shared" si="287"/>
        <v/>
      </c>
      <c r="U157" s="53" t="str">
        <f t="shared" si="288"/>
        <v/>
      </c>
      <c r="V157" s="53" t="str">
        <f t="shared" si="289"/>
        <v/>
      </c>
      <c r="W157" s="53" t="str">
        <f t="shared" si="314"/>
        <v>DNS/DNF ()</v>
      </c>
      <c r="X157" s="53" t="str">
        <f t="shared" si="290"/>
        <v>00:04:12.5 (97)</v>
      </c>
      <c r="Y157" s="53" t="str">
        <f t="shared" si="291"/>
        <v>00:02:31.9 (126)</v>
      </c>
      <c r="Z157" s="53" t="str">
        <f t="shared" si="292"/>
        <v>DNS/DNF ()</v>
      </c>
      <c r="AA157" s="53" t="str">
        <f t="shared" si="293"/>
        <v>00:05:43.8 (102)</v>
      </c>
      <c r="AB157" s="53" t="str">
        <f t="shared" si="294"/>
        <v>DNS/DNF ()</v>
      </c>
      <c r="AC157" s="53" t="str">
        <f t="shared" si="295"/>
        <v>DNS/DNF ()</v>
      </c>
      <c r="AD157" s="53" t="str">
        <f t="shared" si="296"/>
        <v>DNS/DNF ()</v>
      </c>
      <c r="AE157" s="53">
        <v>0</v>
      </c>
      <c r="AF157" s="53">
        <v>0</v>
      </c>
      <c r="AG157" s="53">
        <v>36183700</v>
      </c>
      <c r="AH157" s="53">
        <v>36436236</v>
      </c>
      <c r="AI157" s="53">
        <v>40586972</v>
      </c>
      <c r="AJ157" s="53">
        <v>40738840</v>
      </c>
      <c r="AK157" s="53">
        <v>0</v>
      </c>
      <c r="AL157" s="53">
        <v>0</v>
      </c>
      <c r="AM157" s="53">
        <v>45872088</v>
      </c>
      <c r="AN157" s="53">
        <v>46215924</v>
      </c>
      <c r="AO157" s="53">
        <v>0</v>
      </c>
      <c r="AP157" s="53">
        <v>0</v>
      </c>
      <c r="AQ157" s="53">
        <v>0</v>
      </c>
      <c r="AR157" s="53">
        <v>0</v>
      </c>
      <c r="AS157" s="53">
        <v>0</v>
      </c>
      <c r="AT157" s="53">
        <v>0</v>
      </c>
      <c r="AU157" s="62" t="str">
        <f t="shared" si="297"/>
        <v>DNS/DNF</v>
      </c>
      <c r="AV157" s="62">
        <f t="shared" si="298"/>
        <v>2.9228703703703704E-3</v>
      </c>
      <c r="AW157" s="62">
        <f t="shared" si="299"/>
        <v>1.7577314814814814E-3</v>
      </c>
      <c r="AX157" s="62" t="str">
        <f t="shared" si="300"/>
        <v>DNS/DNF</v>
      </c>
      <c r="AY157" s="62">
        <f t="shared" si="301"/>
        <v>3.9795833333333332E-3</v>
      </c>
      <c r="AZ157" s="62" t="str">
        <f t="shared" si="302"/>
        <v>DNS/DNF</v>
      </c>
      <c r="BA157" s="62" t="str">
        <f t="shared" si="303"/>
        <v>DNS/DNF</v>
      </c>
      <c r="BB157" s="62" t="str">
        <f t="shared" si="304"/>
        <v>DNS/DNF</v>
      </c>
      <c r="BC157" s="75">
        <f t="shared" si="305"/>
        <v>108</v>
      </c>
      <c r="BD157" s="53">
        <f t="shared" si="306"/>
        <v>289099</v>
      </c>
      <c r="BE157" s="53">
        <f t="shared" si="307"/>
        <v>256902</v>
      </c>
      <c r="BF157" s="53">
        <f t="shared" si="308"/>
        <v>147702</v>
      </c>
      <c r="BG157" s="53">
        <f t="shared" si="309"/>
        <v>306594</v>
      </c>
      <c r="BH157" s="53">
        <f t="shared" si="310"/>
        <v>348108</v>
      </c>
      <c r="BI157" s="53" t="str">
        <f t="shared" si="311"/>
        <v/>
      </c>
      <c r="BJ157" s="53" t="str">
        <f t="shared" si="312"/>
        <v/>
      </c>
      <c r="BK157" s="53" t="str">
        <f t="shared" si="313"/>
        <v/>
      </c>
    </row>
    <row r="158" spans="1:63">
      <c r="A158" s="53">
        <v>96</v>
      </c>
      <c r="B158" s="89" t="str">
        <f>IFERROR(VLOOKUP($A158,EntryList!$A$3:$N$645,2,FALSE),"")</f>
        <v>Sven Etsebeth</v>
      </c>
      <c r="C158" s="74"/>
      <c r="D158" s="53">
        <f t="shared" si="280"/>
        <v>3</v>
      </c>
      <c r="E158" s="62"/>
      <c r="F158" s="62">
        <v>2.7578819444444447E-3</v>
      </c>
      <c r="G158" s="62">
        <v>1.5622222222222224E-3</v>
      </c>
      <c r="H158" s="62"/>
      <c r="I158" s="62">
        <v>3.6167361111111109E-3</v>
      </c>
      <c r="J158" s="62"/>
      <c r="K158" s="62"/>
      <c r="L158" s="62"/>
      <c r="M158" s="62">
        <v>7.9368402777777788E-3</v>
      </c>
      <c r="N158" s="62">
        <f t="shared" si="281"/>
        <v>7.936840277777777E-3</v>
      </c>
      <c r="O158" s="53" t="str">
        <f t="shared" si="282"/>
        <v/>
      </c>
      <c r="P158" s="53">
        <f t="shared" si="283"/>
        <v>59</v>
      </c>
      <c r="Q158" s="53">
        <f t="shared" si="284"/>
        <v>63</v>
      </c>
      <c r="R158" s="53" t="str">
        <f t="shared" si="285"/>
        <v/>
      </c>
      <c r="S158" s="53">
        <f t="shared" si="286"/>
        <v>41</v>
      </c>
      <c r="T158" s="53" t="str">
        <f t="shared" si="287"/>
        <v/>
      </c>
      <c r="U158" s="53" t="str">
        <f t="shared" si="288"/>
        <v/>
      </c>
      <c r="V158" s="53" t="str">
        <f t="shared" si="289"/>
        <v/>
      </c>
      <c r="W158" s="53" t="str">
        <f t="shared" si="314"/>
        <v>DNS/DNF ()</v>
      </c>
      <c r="X158" s="53" t="str">
        <f t="shared" si="290"/>
        <v>00:03:58.3 (59)</v>
      </c>
      <c r="Y158" s="53" t="str">
        <f t="shared" si="291"/>
        <v>00:02:15.0 (63)</v>
      </c>
      <c r="Z158" s="53" t="str">
        <f t="shared" si="292"/>
        <v>DNS/DNF ()</v>
      </c>
      <c r="AA158" s="53" t="str">
        <f t="shared" si="293"/>
        <v>00:05:12.5 (41)</v>
      </c>
      <c r="AB158" s="53" t="str">
        <f t="shared" si="294"/>
        <v>DNS/DNF ()</v>
      </c>
      <c r="AC158" s="53" t="str">
        <f t="shared" si="295"/>
        <v>DNS/DNF ()</v>
      </c>
      <c r="AD158" s="53" t="str">
        <f t="shared" si="296"/>
        <v>DNS/DNF ()</v>
      </c>
      <c r="AE158" s="53">
        <v>0</v>
      </c>
      <c r="AF158" s="53">
        <v>0</v>
      </c>
      <c r="AG158" s="53">
        <v>36132152</v>
      </c>
      <c r="AH158" s="53">
        <v>36370433</v>
      </c>
      <c r="AI158" s="53">
        <v>40546034</v>
      </c>
      <c r="AJ158" s="53">
        <v>40681010</v>
      </c>
      <c r="AK158" s="53">
        <v>0</v>
      </c>
      <c r="AL158" s="53">
        <v>0</v>
      </c>
      <c r="AM158" s="53">
        <v>45826192</v>
      </c>
      <c r="AN158" s="53">
        <v>46138678</v>
      </c>
      <c r="AO158" s="53">
        <v>0</v>
      </c>
      <c r="AP158" s="53">
        <v>0</v>
      </c>
      <c r="AQ158" s="53">
        <v>0</v>
      </c>
      <c r="AR158" s="53">
        <v>0</v>
      </c>
      <c r="AS158" s="53">
        <v>0</v>
      </c>
      <c r="AT158" s="53">
        <v>0</v>
      </c>
      <c r="AU158" s="62" t="str">
        <f t="shared" si="297"/>
        <v>DNS/DNF</v>
      </c>
      <c r="AV158" s="62">
        <f t="shared" si="298"/>
        <v>2.7578819444444443E-3</v>
      </c>
      <c r="AW158" s="62">
        <f t="shared" si="299"/>
        <v>1.5622222222222222E-3</v>
      </c>
      <c r="AX158" s="62" t="str">
        <f t="shared" si="300"/>
        <v>DNS/DNF</v>
      </c>
      <c r="AY158" s="62">
        <f t="shared" si="301"/>
        <v>3.6167361111111109E-3</v>
      </c>
      <c r="AZ158" s="62" t="str">
        <f t="shared" si="302"/>
        <v>DNS/DNF</v>
      </c>
      <c r="BA158" s="62" t="str">
        <f t="shared" si="303"/>
        <v>DNS/DNF</v>
      </c>
      <c r="BB158" s="62" t="str">
        <f t="shared" si="304"/>
        <v>DNS/DNF</v>
      </c>
      <c r="BC158" s="75">
        <f t="shared" si="305"/>
        <v>54</v>
      </c>
      <c r="BD158" s="53">
        <f t="shared" si="306"/>
        <v>232106</v>
      </c>
      <c r="BE158" s="53">
        <f t="shared" si="307"/>
        <v>235953</v>
      </c>
      <c r="BF158" s="53" t="str">
        <f t="shared" si="308"/>
        <v/>
      </c>
      <c r="BG158" s="53">
        <f t="shared" si="309"/>
        <v>262777</v>
      </c>
      <c r="BH158" s="53">
        <f t="shared" si="310"/>
        <v>320104</v>
      </c>
      <c r="BI158" s="53" t="str">
        <f t="shared" si="311"/>
        <v/>
      </c>
      <c r="BJ158" s="53" t="str">
        <f t="shared" si="312"/>
        <v/>
      </c>
      <c r="BK158" s="53" t="str">
        <f t="shared" si="313"/>
        <v/>
      </c>
    </row>
    <row r="159" spans="1:63">
      <c r="A159" s="53">
        <v>66</v>
      </c>
      <c r="B159" s="89" t="str">
        <f>IFERROR(VLOOKUP($A159,EntryList!$A$3:$N$645,2,FALSE),"")</f>
        <v>Neo Dekker</v>
      </c>
      <c r="C159" s="74"/>
      <c r="D159" s="53">
        <f t="shared" si="280"/>
        <v>5</v>
      </c>
      <c r="E159" s="62">
        <v>2.7937037037037041E-3</v>
      </c>
      <c r="F159" s="62">
        <v>2.6204050925925926E-3</v>
      </c>
      <c r="G159" s="62">
        <v>1.4421064814814817E-3</v>
      </c>
      <c r="H159" s="62">
        <v>3.0104282407407406E-3</v>
      </c>
      <c r="I159" s="62">
        <v>3.667488425925926E-3</v>
      </c>
      <c r="J159" s="62"/>
      <c r="K159" s="62"/>
      <c r="L159" s="62"/>
      <c r="M159" s="62">
        <v>1.3534131944444444E-2</v>
      </c>
      <c r="N159" s="62">
        <f t="shared" si="281"/>
        <v>1.3534131944444444E-2</v>
      </c>
      <c r="O159" s="53">
        <f t="shared" si="282"/>
        <v>61</v>
      </c>
      <c r="P159" s="53">
        <f t="shared" si="283"/>
        <v>29</v>
      </c>
      <c r="Q159" s="53">
        <f t="shared" si="284"/>
        <v>23</v>
      </c>
      <c r="R159" s="53">
        <f t="shared" si="285"/>
        <v>48</v>
      </c>
      <c r="S159" s="53">
        <f t="shared" si="286"/>
        <v>50</v>
      </c>
      <c r="T159" s="53" t="str">
        <f t="shared" si="287"/>
        <v/>
      </c>
      <c r="U159" s="53" t="str">
        <f t="shared" si="288"/>
        <v/>
      </c>
      <c r="V159" s="53" t="str">
        <f t="shared" si="289"/>
        <v/>
      </c>
      <c r="W159" s="53" t="str">
        <f t="shared" si="314"/>
        <v>00:04:01.4 (61)</v>
      </c>
      <c r="X159" s="53" t="str">
        <f t="shared" si="290"/>
        <v>00:03:46.4 (29)</v>
      </c>
      <c r="Y159" s="53" t="str">
        <f t="shared" si="291"/>
        <v>00:02:04.6 (23)</v>
      </c>
      <c r="Z159" s="53" t="str">
        <f t="shared" si="292"/>
        <v>00:04:20.1 (48)</v>
      </c>
      <c r="AA159" s="53" t="str">
        <f t="shared" si="293"/>
        <v>00:05:16.9 (50)</v>
      </c>
      <c r="AB159" s="53" t="str">
        <f t="shared" si="294"/>
        <v>DNS/DNF ()</v>
      </c>
      <c r="AC159" s="53" t="str">
        <f t="shared" si="295"/>
        <v>DNS/DNF ()</v>
      </c>
      <c r="AD159" s="53" t="str">
        <f t="shared" si="296"/>
        <v>DNS/DNF ()</v>
      </c>
      <c r="AE159" s="53">
        <v>34145954</v>
      </c>
      <c r="AF159" s="53">
        <v>34387330</v>
      </c>
      <c r="AG159" s="53">
        <v>38102504</v>
      </c>
      <c r="AH159" s="53">
        <v>38328907</v>
      </c>
      <c r="AI159" s="53">
        <v>31016861</v>
      </c>
      <c r="AJ159" s="53">
        <v>31141459</v>
      </c>
      <c r="AK159" s="53">
        <v>43307283</v>
      </c>
      <c r="AL159" s="53">
        <v>43567384</v>
      </c>
      <c r="AM159" s="53">
        <v>46130248</v>
      </c>
      <c r="AN159" s="53">
        <v>46447119</v>
      </c>
      <c r="AO159" s="53">
        <v>0</v>
      </c>
      <c r="AP159" s="53">
        <v>0</v>
      </c>
      <c r="AQ159" s="53">
        <v>0</v>
      </c>
      <c r="AR159" s="53">
        <v>0</v>
      </c>
      <c r="AS159" s="53">
        <v>0</v>
      </c>
      <c r="AT159" s="53">
        <v>0</v>
      </c>
      <c r="AU159" s="62">
        <f t="shared" si="297"/>
        <v>2.7937037037037036E-3</v>
      </c>
      <c r="AV159" s="62">
        <f t="shared" si="298"/>
        <v>2.6204050925925926E-3</v>
      </c>
      <c r="AW159" s="62">
        <f t="shared" si="299"/>
        <v>1.4421064814814815E-3</v>
      </c>
      <c r="AX159" s="62">
        <f t="shared" si="300"/>
        <v>3.0104282407407406E-3</v>
      </c>
      <c r="AY159" s="62">
        <f t="shared" si="301"/>
        <v>3.667488425925926E-3</v>
      </c>
      <c r="AZ159" s="62" t="str">
        <f t="shared" si="302"/>
        <v>DNS/DNF</v>
      </c>
      <c r="BA159" s="62" t="str">
        <f t="shared" si="303"/>
        <v>DNS/DNF</v>
      </c>
      <c r="BB159" s="62" t="str">
        <f t="shared" si="304"/>
        <v>DNS/DNF</v>
      </c>
      <c r="BC159" s="75">
        <f t="shared" si="305"/>
        <v>42</v>
      </c>
      <c r="BD159" s="53">
        <f t="shared" si="306"/>
        <v>224335.99999999997</v>
      </c>
      <c r="BE159" s="53">
        <f t="shared" si="307"/>
        <v>231936.99999999997</v>
      </c>
      <c r="BF159" s="53">
        <f t="shared" si="308"/>
        <v>129350</v>
      </c>
      <c r="BG159" s="53">
        <f t="shared" si="309"/>
        <v>257536</v>
      </c>
      <c r="BH159" s="53">
        <f t="shared" si="310"/>
        <v>312924</v>
      </c>
      <c r="BI159" s="53" t="str">
        <f t="shared" si="311"/>
        <v/>
      </c>
      <c r="BJ159" s="53" t="str">
        <f t="shared" si="312"/>
        <v/>
      </c>
      <c r="BK159" s="53" t="str">
        <f t="shared" si="313"/>
        <v/>
      </c>
    </row>
    <row r="160" spans="1:63">
      <c r="A160" s="53">
        <v>22</v>
      </c>
      <c r="B160" s="89" t="str">
        <f>IFERROR(VLOOKUP($A160,EntryList!$A$3:$N$645,2,FALSE),"")</f>
        <v>Annemi Pfister</v>
      </c>
      <c r="C160" s="74"/>
      <c r="D160" s="53">
        <f t="shared" si="280"/>
        <v>5</v>
      </c>
      <c r="E160" s="62">
        <v>3.5865046296296292E-3</v>
      </c>
      <c r="F160" s="62">
        <v>3.1115972222222222E-3</v>
      </c>
      <c r="G160" s="62">
        <v>1.8262615740740741E-3</v>
      </c>
      <c r="H160" s="62">
        <v>3.5530324074074075E-3</v>
      </c>
      <c r="I160" s="62">
        <v>4.131354166666666E-3</v>
      </c>
      <c r="J160" s="62"/>
      <c r="K160" s="62"/>
      <c r="L160" s="62"/>
      <c r="M160" s="62">
        <v>1.6208749999999997E-2</v>
      </c>
      <c r="N160" s="62">
        <f t="shared" si="281"/>
        <v>1.6208750000000001E-2</v>
      </c>
      <c r="O160" s="53">
        <f t="shared" si="282"/>
        <v>116</v>
      </c>
      <c r="P160" s="53">
        <f t="shared" si="283"/>
        <v>140</v>
      </c>
      <c r="Q160" s="53">
        <f t="shared" si="284"/>
        <v>146</v>
      </c>
      <c r="R160" s="53">
        <f t="shared" si="285"/>
        <v>109</v>
      </c>
      <c r="S160" s="53">
        <f t="shared" si="286"/>
        <v>138</v>
      </c>
      <c r="T160" s="53" t="str">
        <f t="shared" si="287"/>
        <v/>
      </c>
      <c r="U160" s="53" t="str">
        <f t="shared" si="288"/>
        <v/>
      </c>
      <c r="V160" s="53" t="str">
        <f t="shared" si="289"/>
        <v/>
      </c>
      <c r="W160" s="53" t="str">
        <f t="shared" si="314"/>
        <v>00:05:09.9 (116)</v>
      </c>
      <c r="X160" s="53" t="str">
        <f t="shared" si="290"/>
        <v>00:04:28.8 (140)</v>
      </c>
      <c r="Y160" s="53" t="str">
        <f t="shared" si="291"/>
        <v>00:02:37.8 (146)</v>
      </c>
      <c r="Z160" s="53" t="str">
        <f t="shared" si="292"/>
        <v>00:05:07.0 (109)</v>
      </c>
      <c r="AA160" s="53" t="str">
        <f t="shared" si="293"/>
        <v>00:05:56.9 (138)</v>
      </c>
      <c r="AB160" s="53" t="str">
        <f t="shared" si="294"/>
        <v>DNS/DNF ()</v>
      </c>
      <c r="AC160" s="53" t="str">
        <f t="shared" si="295"/>
        <v>DNS/DNF ()</v>
      </c>
      <c r="AD160" s="53" t="str">
        <f t="shared" si="296"/>
        <v>DNS/DNF ()</v>
      </c>
      <c r="AE160" s="53">
        <v>31551595</v>
      </c>
      <c r="AF160" s="53">
        <v>31861469</v>
      </c>
      <c r="AG160" s="53">
        <v>35852701</v>
      </c>
      <c r="AH160" s="53">
        <v>36121543</v>
      </c>
      <c r="AI160" s="53">
        <v>39313378</v>
      </c>
      <c r="AJ160" s="53">
        <v>39471167</v>
      </c>
      <c r="AK160" s="53">
        <v>43174741</v>
      </c>
      <c r="AL160" s="53">
        <v>43481723</v>
      </c>
      <c r="AM160" s="53">
        <v>46016828</v>
      </c>
      <c r="AN160" s="53">
        <v>46373777</v>
      </c>
      <c r="AO160" s="53">
        <v>0</v>
      </c>
      <c r="AP160" s="53">
        <v>0</v>
      </c>
      <c r="AQ160" s="53">
        <v>0</v>
      </c>
      <c r="AR160" s="53">
        <v>0</v>
      </c>
      <c r="AS160" s="53">
        <v>0</v>
      </c>
      <c r="AT160" s="53">
        <v>0</v>
      </c>
      <c r="AU160" s="62">
        <f t="shared" si="297"/>
        <v>3.5865046296296296E-3</v>
      </c>
      <c r="AV160" s="62">
        <f t="shared" si="298"/>
        <v>3.1115972222222222E-3</v>
      </c>
      <c r="AW160" s="62">
        <f t="shared" si="299"/>
        <v>1.8262615740740741E-3</v>
      </c>
      <c r="AX160" s="62">
        <f t="shared" si="300"/>
        <v>3.5530324074074075E-3</v>
      </c>
      <c r="AY160" s="62">
        <f t="shared" si="301"/>
        <v>4.1313541666666669E-3</v>
      </c>
      <c r="AZ160" s="62" t="str">
        <f t="shared" si="302"/>
        <v>DNS/DNF</v>
      </c>
      <c r="BA160" s="62" t="str">
        <f t="shared" si="303"/>
        <v>DNS/DNF</v>
      </c>
      <c r="BB160" s="62" t="str">
        <f t="shared" si="304"/>
        <v>DNS/DNF</v>
      </c>
      <c r="BC160" s="75">
        <f t="shared" si="305"/>
        <v>130</v>
      </c>
      <c r="BD160" s="53">
        <f t="shared" si="306"/>
        <v>340636</v>
      </c>
      <c r="BE160" s="53">
        <f t="shared" si="307"/>
        <v>266153</v>
      </c>
      <c r="BF160" s="53">
        <f t="shared" si="308"/>
        <v>153196</v>
      </c>
      <c r="BG160" s="53">
        <f t="shared" si="309"/>
        <v>333270</v>
      </c>
      <c r="BH160" s="53">
        <f t="shared" si="310"/>
        <v>353892</v>
      </c>
      <c r="BI160" s="53" t="str">
        <f t="shared" si="311"/>
        <v/>
      </c>
      <c r="BJ160" s="53" t="str">
        <f t="shared" si="312"/>
        <v/>
      </c>
      <c r="BK160" s="53" t="str">
        <f t="shared" si="313"/>
        <v/>
      </c>
    </row>
    <row r="161" spans="1:63">
      <c r="A161" s="53">
        <v>24</v>
      </c>
      <c r="B161" s="89" t="str">
        <f>IFERROR(VLOOKUP($A161,EntryList!$A$3:$N$645,2,FALSE),"")</f>
        <v>Enrique Julyan</v>
      </c>
      <c r="C161" s="74"/>
      <c r="D161" s="53">
        <f t="shared" si="280"/>
        <v>5</v>
      </c>
      <c r="E161" s="62">
        <v>2.9077546296296295E-3</v>
      </c>
      <c r="F161" s="62">
        <v>2.8483680555555558E-3</v>
      </c>
      <c r="G161" s="62">
        <v>1.6269675925925924E-3</v>
      </c>
      <c r="H161" s="62">
        <v>3.0783796296296293E-3</v>
      </c>
      <c r="I161" s="62">
        <v>3.8395023148148147E-3</v>
      </c>
      <c r="J161" s="62"/>
      <c r="K161" s="62"/>
      <c r="L161" s="62"/>
      <c r="M161" s="62">
        <v>1.4300972222222222E-2</v>
      </c>
      <c r="N161" s="62">
        <f t="shared" si="281"/>
        <v>1.4300972222222222E-2</v>
      </c>
      <c r="O161" s="53">
        <f t="shared" si="282"/>
        <v>75</v>
      </c>
      <c r="P161" s="53">
        <f t="shared" si="283"/>
        <v>81</v>
      </c>
      <c r="Q161" s="53">
        <f t="shared" si="284"/>
        <v>83</v>
      </c>
      <c r="R161" s="53">
        <f t="shared" si="285"/>
        <v>59</v>
      </c>
      <c r="S161" s="53">
        <f t="shared" si="286"/>
        <v>73</v>
      </c>
      <c r="T161" s="53" t="str">
        <f t="shared" si="287"/>
        <v/>
      </c>
      <c r="U161" s="53" t="str">
        <f t="shared" si="288"/>
        <v/>
      </c>
      <c r="V161" s="53" t="str">
        <f t="shared" si="289"/>
        <v/>
      </c>
      <c r="W161" s="53" t="str">
        <f t="shared" si="314"/>
        <v>00:04:11.2 (75)</v>
      </c>
      <c r="X161" s="53" t="str">
        <f t="shared" si="290"/>
        <v>00:04:06.1 (81)</v>
      </c>
      <c r="Y161" s="53" t="str">
        <f t="shared" si="291"/>
        <v>00:02:20.6 (83)</v>
      </c>
      <c r="Z161" s="53" t="str">
        <f t="shared" si="292"/>
        <v>00:04:26.0 (59)</v>
      </c>
      <c r="AA161" s="53" t="str">
        <f t="shared" si="293"/>
        <v>00:05:31.7 (73)</v>
      </c>
      <c r="AB161" s="53" t="str">
        <f t="shared" si="294"/>
        <v>DNS/DNF ()</v>
      </c>
      <c r="AC161" s="53" t="str">
        <f t="shared" si="295"/>
        <v>DNS/DNF ()</v>
      </c>
      <c r="AD161" s="53" t="str">
        <f t="shared" si="296"/>
        <v>DNS/DNF ()</v>
      </c>
      <c r="AE161" s="53">
        <v>31386463</v>
      </c>
      <c r="AF161" s="53">
        <v>31637693</v>
      </c>
      <c r="AG161" s="53">
        <v>35835237</v>
      </c>
      <c r="AH161" s="53">
        <v>36081336</v>
      </c>
      <c r="AI161" s="53">
        <v>39301320</v>
      </c>
      <c r="AJ161" s="53">
        <v>39441890</v>
      </c>
      <c r="AK161" s="53">
        <v>43102442</v>
      </c>
      <c r="AL161" s="53">
        <v>43368414</v>
      </c>
      <c r="AM161" s="53">
        <v>45998406</v>
      </c>
      <c r="AN161" s="53">
        <v>46330139</v>
      </c>
      <c r="AO161" s="53">
        <v>0</v>
      </c>
      <c r="AP161" s="53">
        <v>0</v>
      </c>
      <c r="AQ161" s="53">
        <v>0</v>
      </c>
      <c r="AR161" s="53">
        <v>0</v>
      </c>
      <c r="AS161" s="53">
        <v>0</v>
      </c>
      <c r="AT161" s="53">
        <v>0</v>
      </c>
      <c r="AU161" s="62">
        <f t="shared" si="297"/>
        <v>2.9077546296296295E-3</v>
      </c>
      <c r="AV161" s="62">
        <f t="shared" si="298"/>
        <v>2.8483680555555554E-3</v>
      </c>
      <c r="AW161" s="62">
        <f t="shared" si="299"/>
        <v>1.6269675925925926E-3</v>
      </c>
      <c r="AX161" s="62">
        <f t="shared" si="300"/>
        <v>3.0783796296296297E-3</v>
      </c>
      <c r="AY161" s="62">
        <f t="shared" si="301"/>
        <v>3.8395023148148147E-3</v>
      </c>
      <c r="AZ161" s="62" t="str">
        <f t="shared" si="302"/>
        <v>DNS/DNF</v>
      </c>
      <c r="BA161" s="62" t="str">
        <f t="shared" si="303"/>
        <v>DNS/DNF</v>
      </c>
      <c r="BB161" s="62" t="str">
        <f t="shared" si="304"/>
        <v>DNS/DNF</v>
      </c>
      <c r="BC161" s="75">
        <f t="shared" si="305"/>
        <v>74</v>
      </c>
      <c r="BD161" s="53">
        <f t="shared" si="306"/>
        <v>251199</v>
      </c>
      <c r="BE161" s="53">
        <f t="shared" si="307"/>
        <v>243032</v>
      </c>
      <c r="BF161" s="53">
        <f t="shared" si="308"/>
        <v>137665</v>
      </c>
      <c r="BG161" s="53">
        <f t="shared" si="309"/>
        <v>276086</v>
      </c>
      <c r="BH161" s="53">
        <f t="shared" si="310"/>
        <v>331845</v>
      </c>
      <c r="BI161" s="53" t="str">
        <f t="shared" si="311"/>
        <v/>
      </c>
      <c r="BJ161" s="53" t="str">
        <f t="shared" si="312"/>
        <v/>
      </c>
      <c r="BK161" s="53" t="str">
        <f t="shared" si="313"/>
        <v/>
      </c>
    </row>
    <row r="162" spans="1:63">
      <c r="A162" s="53">
        <v>92</v>
      </c>
      <c r="B162" s="89" t="str">
        <f>IFERROR(VLOOKUP($A162,EntryList!$A$3:$N$645,2,FALSE),"")</f>
        <v>Jaco Van Der Linde</v>
      </c>
      <c r="C162" s="74"/>
      <c r="D162" s="53">
        <f t="shared" si="280"/>
        <v>5</v>
      </c>
      <c r="E162" s="62">
        <v>4.5646643518518519E-3</v>
      </c>
      <c r="F162" s="62">
        <v>2.82E-3</v>
      </c>
      <c r="G162" s="62">
        <v>1.7036111111111108E-3</v>
      </c>
      <c r="H162" s="62">
        <v>3.3886458333333334E-3</v>
      </c>
      <c r="I162" s="62">
        <v>4.0006481481481481E-3</v>
      </c>
      <c r="J162" s="62"/>
      <c r="K162" s="62"/>
      <c r="L162" s="62"/>
      <c r="M162" s="62">
        <v>1.6477569444444444E-2</v>
      </c>
      <c r="N162" s="62">
        <f t="shared" si="281"/>
        <v>1.6477569444444444E-2</v>
      </c>
      <c r="O162" s="53">
        <f t="shared" si="282"/>
        <v>140</v>
      </c>
      <c r="P162" s="53">
        <f t="shared" si="283"/>
        <v>75</v>
      </c>
      <c r="Q162" s="53">
        <f t="shared" si="284"/>
        <v>105</v>
      </c>
      <c r="R162" s="53">
        <f t="shared" si="285"/>
        <v>88</v>
      </c>
      <c r="S162" s="53">
        <f t="shared" si="286"/>
        <v>105</v>
      </c>
      <c r="T162" s="53" t="str">
        <f t="shared" si="287"/>
        <v/>
      </c>
      <c r="U162" s="53" t="str">
        <f t="shared" si="288"/>
        <v/>
      </c>
      <c r="V162" s="53" t="str">
        <f t="shared" si="289"/>
        <v/>
      </c>
      <c r="W162" s="53" t="str">
        <f t="shared" si="314"/>
        <v>00:06:34.4 (140)</v>
      </c>
      <c r="X162" s="53" t="str">
        <f t="shared" si="290"/>
        <v>00:04:03.6 (75)</v>
      </c>
      <c r="Y162" s="53" t="str">
        <f t="shared" si="291"/>
        <v>00:02:27.2 (105)</v>
      </c>
      <c r="Z162" s="53" t="str">
        <f t="shared" si="292"/>
        <v>00:04:52.8 (88)</v>
      </c>
      <c r="AA162" s="53" t="str">
        <f t="shared" si="293"/>
        <v>00:05:45.7 (105)</v>
      </c>
      <c r="AB162" s="53" t="str">
        <f t="shared" si="294"/>
        <v>DNS/DNF ()</v>
      </c>
      <c r="AC162" s="53" t="str">
        <f t="shared" si="295"/>
        <v>DNS/DNF ()</v>
      </c>
      <c r="AD162" s="53" t="str">
        <f t="shared" si="296"/>
        <v>DNS/DNF ()</v>
      </c>
      <c r="AE162" s="53">
        <v>35623929</v>
      </c>
      <c r="AF162" s="53">
        <v>36018316</v>
      </c>
      <c r="AG162" s="53">
        <v>32266586</v>
      </c>
      <c r="AH162" s="53">
        <v>32510234</v>
      </c>
      <c r="AI162" s="53">
        <v>39277038</v>
      </c>
      <c r="AJ162" s="53">
        <v>39424230</v>
      </c>
      <c r="AK162" s="53">
        <v>42932783</v>
      </c>
      <c r="AL162" s="53">
        <v>43225562</v>
      </c>
      <c r="AM162" s="53">
        <v>45690120</v>
      </c>
      <c r="AN162" s="53">
        <v>46035776</v>
      </c>
      <c r="AO162" s="53">
        <v>0</v>
      </c>
      <c r="AP162" s="53">
        <v>0</v>
      </c>
      <c r="AQ162" s="53">
        <v>0</v>
      </c>
      <c r="AR162" s="53">
        <v>0</v>
      </c>
      <c r="AS162" s="53">
        <v>0</v>
      </c>
      <c r="AT162" s="53">
        <v>0</v>
      </c>
      <c r="AU162" s="62">
        <f t="shared" si="297"/>
        <v>4.5646643518518519E-3</v>
      </c>
      <c r="AV162" s="62">
        <f t="shared" si="298"/>
        <v>2.82E-3</v>
      </c>
      <c r="AW162" s="62">
        <f t="shared" si="299"/>
        <v>1.703611111111111E-3</v>
      </c>
      <c r="AX162" s="62">
        <f t="shared" si="300"/>
        <v>3.3886458333333334E-3</v>
      </c>
      <c r="AY162" s="62">
        <f t="shared" si="301"/>
        <v>4.0006481481481481E-3</v>
      </c>
      <c r="AZ162" s="62" t="str">
        <f t="shared" si="302"/>
        <v>DNS/DNF</v>
      </c>
      <c r="BA162" s="62" t="str">
        <f t="shared" si="303"/>
        <v>DNS/DNF</v>
      </c>
      <c r="BB162" s="62" t="str">
        <f t="shared" si="304"/>
        <v>DNS/DNF</v>
      </c>
      <c r="BC162" s="75">
        <f t="shared" si="305"/>
        <v>103</v>
      </c>
      <c r="BD162" s="53">
        <f t="shared" si="306"/>
        <v>281325</v>
      </c>
      <c r="BE162" s="53">
        <f t="shared" si="307"/>
        <v>254490</v>
      </c>
      <c r="BF162" s="53">
        <f t="shared" si="308"/>
        <v>146705</v>
      </c>
      <c r="BG162" s="53">
        <f t="shared" si="309"/>
        <v>301759</v>
      </c>
      <c r="BH162" s="53">
        <f t="shared" si="310"/>
        <v>344306</v>
      </c>
      <c r="BI162" s="53" t="str">
        <f t="shared" si="311"/>
        <v/>
      </c>
      <c r="BJ162" s="53" t="str">
        <f t="shared" si="312"/>
        <v/>
      </c>
      <c r="BK162" s="53" t="str">
        <f t="shared" si="313"/>
        <v/>
      </c>
    </row>
    <row r="163" spans="1:63">
      <c r="A163" s="53">
        <v>73</v>
      </c>
      <c r="B163" s="89" t="str">
        <f>IFERROR(VLOOKUP($A163,EntryList!$A$3:$N$645,2,FALSE),"")</f>
        <v>Jean-Pierre Whitfield</v>
      </c>
      <c r="C163" s="74"/>
      <c r="D163" s="53">
        <f t="shared" si="280"/>
        <v>5</v>
      </c>
      <c r="E163" s="62">
        <v>2.7715393518518519E-3</v>
      </c>
      <c r="F163" s="62">
        <v>2.9427083333333332E-3</v>
      </c>
      <c r="G163" s="62">
        <v>1.6878009259259259E-3</v>
      </c>
      <c r="H163" s="62">
        <v>3.4743634259259259E-3</v>
      </c>
      <c r="I163" s="62">
        <v>4.0870370370370375E-3</v>
      </c>
      <c r="J163" s="62"/>
      <c r="K163" s="62"/>
      <c r="L163" s="62"/>
      <c r="M163" s="62">
        <v>1.4963449074074072E-2</v>
      </c>
      <c r="N163" s="62">
        <f t="shared" si="281"/>
        <v>1.4963449074074073E-2</v>
      </c>
      <c r="O163" s="53">
        <f t="shared" si="282"/>
        <v>57</v>
      </c>
      <c r="P163" s="53">
        <f t="shared" si="283"/>
        <v>102</v>
      </c>
      <c r="Q163" s="53">
        <f t="shared" si="284"/>
        <v>97</v>
      </c>
      <c r="R163" s="53">
        <f t="shared" si="285"/>
        <v>101</v>
      </c>
      <c r="S163" s="53">
        <f t="shared" si="286"/>
        <v>125</v>
      </c>
      <c r="T163" s="53" t="str">
        <f t="shared" si="287"/>
        <v/>
      </c>
      <c r="U163" s="53" t="str">
        <f t="shared" si="288"/>
        <v/>
      </c>
      <c r="V163" s="53" t="str">
        <f t="shared" si="289"/>
        <v/>
      </c>
      <c r="W163" s="53" t="str">
        <f t="shared" si="314"/>
        <v>00:03:59.5 (57)</v>
      </c>
      <c r="X163" s="53" t="str">
        <f t="shared" si="290"/>
        <v>00:04:14.2 (102)</v>
      </c>
      <c r="Y163" s="53" t="str">
        <f t="shared" si="291"/>
        <v>00:02:25.8 (97)</v>
      </c>
      <c r="Z163" s="53" t="str">
        <f t="shared" si="292"/>
        <v>00:05:00.2 (101)</v>
      </c>
      <c r="AA163" s="53" t="str">
        <f t="shared" si="293"/>
        <v>00:05:53.1 (125)</v>
      </c>
      <c r="AB163" s="53" t="str">
        <f t="shared" si="294"/>
        <v>DNS/DNF ()</v>
      </c>
      <c r="AC163" s="53" t="str">
        <f t="shared" si="295"/>
        <v>DNS/DNF ()</v>
      </c>
      <c r="AD163" s="53" t="str">
        <f t="shared" si="296"/>
        <v>DNS/DNF ()</v>
      </c>
      <c r="AE163" s="53">
        <v>35737812</v>
      </c>
      <c r="AF163" s="53">
        <v>35977273</v>
      </c>
      <c r="AG163" s="53">
        <v>32482461</v>
      </c>
      <c r="AH163" s="53">
        <v>32736711</v>
      </c>
      <c r="AI163" s="53">
        <v>39146933</v>
      </c>
      <c r="AJ163" s="53">
        <v>39292759</v>
      </c>
      <c r="AK163" s="53">
        <v>42772673</v>
      </c>
      <c r="AL163" s="53">
        <v>43072858</v>
      </c>
      <c r="AM163" s="53">
        <v>45393646</v>
      </c>
      <c r="AN163" s="53">
        <v>45746766</v>
      </c>
      <c r="AO163" s="53">
        <v>0</v>
      </c>
      <c r="AP163" s="53">
        <v>0</v>
      </c>
      <c r="AQ163" s="53">
        <v>0</v>
      </c>
      <c r="AR163" s="53">
        <v>0</v>
      </c>
      <c r="AS163" s="53">
        <v>0</v>
      </c>
      <c r="AT163" s="53">
        <v>0</v>
      </c>
      <c r="AU163" s="62">
        <f t="shared" si="297"/>
        <v>2.7715393518518519E-3</v>
      </c>
      <c r="AV163" s="62">
        <f t="shared" si="298"/>
        <v>2.9427083333333332E-3</v>
      </c>
      <c r="AW163" s="62">
        <f t="shared" si="299"/>
        <v>1.6878009259259259E-3</v>
      </c>
      <c r="AX163" s="62">
        <f t="shared" si="300"/>
        <v>3.4743634259259259E-3</v>
      </c>
      <c r="AY163" s="62">
        <f t="shared" si="301"/>
        <v>4.0870370370370375E-3</v>
      </c>
      <c r="AZ163" s="62" t="str">
        <f t="shared" si="302"/>
        <v>DNS/DNF</v>
      </c>
      <c r="BA163" s="62" t="str">
        <f t="shared" si="303"/>
        <v>DNS/DNF</v>
      </c>
      <c r="BB163" s="62" t="str">
        <f t="shared" si="304"/>
        <v>DNS/DNF</v>
      </c>
      <c r="BC163" s="75">
        <f t="shared" si="305"/>
        <v>96</v>
      </c>
      <c r="BD163" s="53">
        <f t="shared" si="306"/>
        <v>275746</v>
      </c>
      <c r="BE163" s="53">
        <f t="shared" si="307"/>
        <v>252406</v>
      </c>
      <c r="BF163" s="53">
        <f t="shared" si="308"/>
        <v>144900</v>
      </c>
      <c r="BG163" s="53">
        <f t="shared" si="309"/>
        <v>296542</v>
      </c>
      <c r="BH163" s="53">
        <f t="shared" si="310"/>
        <v>341565</v>
      </c>
      <c r="BI163" s="53" t="str">
        <f t="shared" si="311"/>
        <v/>
      </c>
      <c r="BJ163" s="53" t="str">
        <f t="shared" si="312"/>
        <v/>
      </c>
      <c r="BK163" s="53" t="str">
        <f t="shared" si="313"/>
        <v/>
      </c>
    </row>
    <row r="164" spans="1:63">
      <c r="A164" s="53">
        <v>269</v>
      </c>
      <c r="B164" s="89" t="str">
        <f>IFERROR(VLOOKUP($A164,EntryList!$A$3:$N$645,2,FALSE),"")</f>
        <v>Dean Van Niekerk Van Niekerk</v>
      </c>
      <c r="C164" s="74"/>
      <c r="D164" s="53">
        <f t="shared" si="280"/>
        <v>3</v>
      </c>
      <c r="E164" s="62"/>
      <c r="F164" s="62">
        <v>3.4522453703703698E-3</v>
      </c>
      <c r="G164" s="62">
        <v>1.8963888888888886E-3</v>
      </c>
      <c r="H164" s="62"/>
      <c r="I164" s="62">
        <v>4.5785300925925924E-3</v>
      </c>
      <c r="J164" s="62"/>
      <c r="K164" s="62"/>
      <c r="L164" s="62"/>
      <c r="M164" s="62">
        <v>9.9271643518518519E-3</v>
      </c>
      <c r="N164" s="62">
        <f t="shared" si="281"/>
        <v>9.9271643518518519E-3</v>
      </c>
      <c r="O164" s="53" t="str">
        <f t="shared" si="282"/>
        <v/>
      </c>
      <c r="P164" s="53">
        <f t="shared" si="283"/>
        <v>210</v>
      </c>
      <c r="Q164" s="53">
        <f t="shared" si="284"/>
        <v>180</v>
      </c>
      <c r="R164" s="53" t="str">
        <f t="shared" si="285"/>
        <v/>
      </c>
      <c r="S164" s="53">
        <f t="shared" si="286"/>
        <v>206</v>
      </c>
      <c r="T164" s="53" t="str">
        <f t="shared" si="287"/>
        <v/>
      </c>
      <c r="U164" s="53" t="str">
        <f t="shared" si="288"/>
        <v/>
      </c>
      <c r="V164" s="53" t="str">
        <f t="shared" si="289"/>
        <v/>
      </c>
      <c r="W164" s="53" t="str">
        <f t="shared" si="314"/>
        <v>DNS/DNF ()</v>
      </c>
      <c r="X164" s="53" t="str">
        <f t="shared" si="290"/>
        <v>00:04:58.3 (210)</v>
      </c>
      <c r="Y164" s="53" t="str">
        <f t="shared" si="291"/>
        <v>00:02:43.8 (180)</v>
      </c>
      <c r="Z164" s="53" t="str">
        <f t="shared" si="292"/>
        <v>DNS/DNF ()</v>
      </c>
      <c r="AA164" s="53" t="str">
        <f t="shared" si="293"/>
        <v>00:06:35.6 (206)</v>
      </c>
      <c r="AB164" s="53" t="str">
        <f t="shared" si="294"/>
        <v>DNS/DNF ()</v>
      </c>
      <c r="AC164" s="53" t="str">
        <f t="shared" si="295"/>
        <v>DNS/DNF ()</v>
      </c>
      <c r="AD164" s="53" t="str">
        <f t="shared" si="296"/>
        <v>DNS/DNF ()</v>
      </c>
      <c r="AE164" s="53">
        <v>0</v>
      </c>
      <c r="AF164" s="53">
        <v>0</v>
      </c>
      <c r="AG164" s="53">
        <v>36323861</v>
      </c>
      <c r="AH164" s="53">
        <v>36622135</v>
      </c>
      <c r="AI164" s="53">
        <v>40945898</v>
      </c>
      <c r="AJ164" s="53">
        <v>41109746</v>
      </c>
      <c r="AK164" s="53">
        <v>0</v>
      </c>
      <c r="AL164" s="53">
        <v>0</v>
      </c>
      <c r="AM164" s="53">
        <v>45094672</v>
      </c>
      <c r="AN164" s="53">
        <v>45490257</v>
      </c>
      <c r="AO164" s="53">
        <v>0</v>
      </c>
      <c r="AP164" s="53">
        <v>0</v>
      </c>
      <c r="AQ164" s="53">
        <v>0</v>
      </c>
      <c r="AR164" s="53">
        <v>0</v>
      </c>
      <c r="AS164" s="53">
        <v>0</v>
      </c>
      <c r="AT164" s="53">
        <v>0</v>
      </c>
      <c r="AU164" s="62" t="str">
        <f t="shared" si="297"/>
        <v>DNS/DNF</v>
      </c>
      <c r="AV164" s="62">
        <f t="shared" si="298"/>
        <v>3.4522453703703703E-3</v>
      </c>
      <c r="AW164" s="62">
        <f t="shared" si="299"/>
        <v>1.8963888888888889E-3</v>
      </c>
      <c r="AX164" s="62" t="str">
        <f t="shared" si="300"/>
        <v>DNS/DNF</v>
      </c>
      <c r="AY164" s="62">
        <f t="shared" si="301"/>
        <v>4.5785300925925924E-3</v>
      </c>
      <c r="AZ164" s="62" t="str">
        <f t="shared" si="302"/>
        <v>DNS/DNF</v>
      </c>
      <c r="BA164" s="62" t="str">
        <f t="shared" si="303"/>
        <v>DNS/DNF</v>
      </c>
      <c r="BB164" s="62" t="str">
        <f t="shared" si="304"/>
        <v>DNS/DNF</v>
      </c>
      <c r="BC164" s="75">
        <f t="shared" si="305"/>
        <v>199</v>
      </c>
      <c r="BD164" s="53" t="str">
        <f t="shared" si="306"/>
        <v/>
      </c>
      <c r="BE164" s="53">
        <f t="shared" si="307"/>
        <v>290213</v>
      </c>
      <c r="BF164" s="53">
        <f t="shared" si="308"/>
        <v>172284</v>
      </c>
      <c r="BG164" s="53" t="str">
        <f t="shared" si="309"/>
        <v/>
      </c>
      <c r="BH164" s="53">
        <f t="shared" si="310"/>
        <v>392397</v>
      </c>
      <c r="BI164" s="53" t="str">
        <f t="shared" si="311"/>
        <v/>
      </c>
      <c r="BJ164" s="53" t="str">
        <f t="shared" si="312"/>
        <v/>
      </c>
      <c r="BK164" s="53" t="str">
        <f t="shared" si="313"/>
        <v/>
      </c>
    </row>
    <row r="165" spans="1:63">
      <c r="A165" s="53">
        <v>268</v>
      </c>
      <c r="B165" s="89" t="str">
        <f>IFERROR(VLOOKUP($A165,EntryList!$A$3:$N$645,2,FALSE),"")</f>
        <v>Boetie Van Niekerk</v>
      </c>
      <c r="C165" s="74"/>
      <c r="D165" s="53">
        <f t="shared" si="280"/>
        <v>3</v>
      </c>
      <c r="E165" s="62"/>
      <c r="F165" s="62">
        <v>3.2865393518518517E-3</v>
      </c>
      <c r="G165" s="62">
        <v>1.9208796296296298E-3</v>
      </c>
      <c r="H165" s="62"/>
      <c r="I165" s="62">
        <v>4.421261574074074E-3</v>
      </c>
      <c r="J165" s="62"/>
      <c r="K165" s="62"/>
      <c r="L165" s="62"/>
      <c r="M165" s="62">
        <v>9.6286805555555553E-3</v>
      </c>
      <c r="N165" s="62">
        <f t="shared" si="281"/>
        <v>9.6286805555555553E-3</v>
      </c>
      <c r="O165" s="53" t="str">
        <f t="shared" si="282"/>
        <v/>
      </c>
      <c r="P165" s="53">
        <f t="shared" si="283"/>
        <v>185</v>
      </c>
      <c r="Q165" s="53">
        <f t="shared" si="284"/>
        <v>186</v>
      </c>
      <c r="R165" s="53" t="str">
        <f t="shared" si="285"/>
        <v/>
      </c>
      <c r="S165" s="53">
        <f t="shared" si="286"/>
        <v>186</v>
      </c>
      <c r="T165" s="53" t="str">
        <f t="shared" si="287"/>
        <v/>
      </c>
      <c r="U165" s="53" t="str">
        <f t="shared" si="288"/>
        <v/>
      </c>
      <c r="V165" s="53" t="str">
        <f t="shared" si="289"/>
        <v/>
      </c>
      <c r="W165" s="53" t="str">
        <f t="shared" si="314"/>
        <v>DNS/DNF ()</v>
      </c>
      <c r="X165" s="53" t="str">
        <f t="shared" si="290"/>
        <v>00:04:44.0 (185)</v>
      </c>
      <c r="Y165" s="53" t="str">
        <f t="shared" si="291"/>
        <v>00:02:46.0 (186)</v>
      </c>
      <c r="Z165" s="53" t="str">
        <f t="shared" si="292"/>
        <v>DNS/DNF ()</v>
      </c>
      <c r="AA165" s="53" t="str">
        <f t="shared" si="293"/>
        <v>00:06:22.0 (186)</v>
      </c>
      <c r="AB165" s="53" t="str">
        <f t="shared" si="294"/>
        <v>DNS/DNF ()</v>
      </c>
      <c r="AC165" s="53" t="str">
        <f t="shared" si="295"/>
        <v>DNS/DNF ()</v>
      </c>
      <c r="AD165" s="53" t="str">
        <f t="shared" si="296"/>
        <v>DNS/DNF ()</v>
      </c>
      <c r="AE165" s="53">
        <v>0</v>
      </c>
      <c r="AF165" s="53">
        <v>0</v>
      </c>
      <c r="AG165" s="53">
        <v>36330534</v>
      </c>
      <c r="AH165" s="53">
        <v>36614491</v>
      </c>
      <c r="AI165" s="53">
        <v>40925316</v>
      </c>
      <c r="AJ165" s="53">
        <v>41091280</v>
      </c>
      <c r="AK165" s="53">
        <v>0</v>
      </c>
      <c r="AL165" s="53">
        <v>0</v>
      </c>
      <c r="AM165" s="53">
        <v>45078778</v>
      </c>
      <c r="AN165" s="53">
        <v>45460775</v>
      </c>
      <c r="AO165" s="53">
        <v>0</v>
      </c>
      <c r="AP165" s="53">
        <v>0</v>
      </c>
      <c r="AQ165" s="53">
        <v>0</v>
      </c>
      <c r="AR165" s="53">
        <v>0</v>
      </c>
      <c r="AS165" s="53">
        <v>0</v>
      </c>
      <c r="AT165" s="53">
        <v>0</v>
      </c>
      <c r="AU165" s="62" t="str">
        <f t="shared" si="297"/>
        <v>DNS/DNF</v>
      </c>
      <c r="AV165" s="62">
        <f t="shared" si="298"/>
        <v>3.2865393518518517E-3</v>
      </c>
      <c r="AW165" s="62">
        <f t="shared" si="299"/>
        <v>1.9208796296296296E-3</v>
      </c>
      <c r="AX165" s="62" t="str">
        <f t="shared" si="300"/>
        <v>DNS/DNF</v>
      </c>
      <c r="AY165" s="62">
        <f t="shared" si="301"/>
        <v>4.421261574074074E-3</v>
      </c>
      <c r="AZ165" s="62" t="str">
        <f t="shared" si="302"/>
        <v>DNS/DNF</v>
      </c>
      <c r="BA165" s="62" t="str">
        <f t="shared" si="303"/>
        <v>DNS/DNF</v>
      </c>
      <c r="BB165" s="62" t="str">
        <f t="shared" si="304"/>
        <v>DNS/DNF</v>
      </c>
      <c r="BC165" s="75">
        <f t="shared" si="305"/>
        <v>186</v>
      </c>
      <c r="BD165" s="53" t="str">
        <f t="shared" si="306"/>
        <v/>
      </c>
      <c r="BE165" s="53">
        <f t="shared" si="307"/>
        <v>284150</v>
      </c>
      <c r="BF165" s="53">
        <f t="shared" si="308"/>
        <v>165964</v>
      </c>
      <c r="BG165" s="53" t="str">
        <f t="shared" si="309"/>
        <v/>
      </c>
      <c r="BH165" s="53">
        <f t="shared" si="310"/>
        <v>381997</v>
      </c>
      <c r="BI165" s="53" t="str">
        <f t="shared" si="311"/>
        <v/>
      </c>
      <c r="BJ165" s="53" t="str">
        <f t="shared" si="312"/>
        <v/>
      </c>
      <c r="BK165" s="53" t="str">
        <f t="shared" si="313"/>
        <v/>
      </c>
    </row>
    <row r="166" spans="1:63">
      <c r="A166" s="53">
        <v>295</v>
      </c>
      <c r="B166" s="89" t="str">
        <f>IFERROR(VLOOKUP($A166,EntryList!$A$3:$N$645,2,FALSE),"")</f>
        <v>Andrew Henwood</v>
      </c>
      <c r="C166" s="74"/>
      <c r="D166" s="53">
        <f t="shared" si="280"/>
        <v>5</v>
      </c>
      <c r="E166" s="62">
        <v>4.2264930555555554E-3</v>
      </c>
      <c r="F166" s="62">
        <v>3.509097222222222E-3</v>
      </c>
      <c r="G166" s="62">
        <v>2.0149768518518516E-3</v>
      </c>
      <c r="H166" s="62">
        <v>3.8572916666666669E-3</v>
      </c>
      <c r="I166" s="62">
        <v>4.3500810185185179E-3</v>
      </c>
      <c r="J166" s="62"/>
      <c r="K166" s="62"/>
      <c r="L166" s="62"/>
      <c r="M166" s="62">
        <v>1.7957939814814815E-2</v>
      </c>
      <c r="N166" s="62">
        <f t="shared" si="281"/>
        <v>1.7957939814814812E-2</v>
      </c>
      <c r="O166" s="53">
        <f t="shared" si="282"/>
        <v>136</v>
      </c>
      <c r="P166" s="53">
        <f t="shared" si="283"/>
        <v>215</v>
      </c>
      <c r="Q166" s="53">
        <f t="shared" si="284"/>
        <v>203</v>
      </c>
      <c r="R166" s="53">
        <f t="shared" si="285"/>
        <v>130</v>
      </c>
      <c r="S166" s="53">
        <f t="shared" si="286"/>
        <v>180</v>
      </c>
      <c r="T166" s="53" t="str">
        <f t="shared" si="287"/>
        <v/>
      </c>
      <c r="U166" s="53" t="str">
        <f t="shared" si="288"/>
        <v/>
      </c>
      <c r="V166" s="53" t="str">
        <f t="shared" si="289"/>
        <v/>
      </c>
      <c r="W166" s="53" t="str">
        <f t="shared" si="314"/>
        <v>00:06:05.2 (136)</v>
      </c>
      <c r="X166" s="53" t="str">
        <f t="shared" si="290"/>
        <v>00:05:03.2 (215)</v>
      </c>
      <c r="Y166" s="53" t="str">
        <f t="shared" si="291"/>
        <v>00:02:54.1 (203)</v>
      </c>
      <c r="Z166" s="53" t="str">
        <f t="shared" si="292"/>
        <v>00:05:33.3 (130)</v>
      </c>
      <c r="AA166" s="53" t="str">
        <f t="shared" si="293"/>
        <v>00:06:15.8 (180)</v>
      </c>
      <c r="AB166" s="53" t="str">
        <f t="shared" si="294"/>
        <v>DNS/DNF ()</v>
      </c>
      <c r="AC166" s="53" t="str">
        <f t="shared" si="295"/>
        <v>DNS/DNF ()</v>
      </c>
      <c r="AD166" s="53" t="str">
        <f t="shared" si="296"/>
        <v>DNS/DNF ()</v>
      </c>
      <c r="AE166" s="53">
        <v>35788540</v>
      </c>
      <c r="AF166" s="53">
        <v>36153709</v>
      </c>
      <c r="AG166" s="53">
        <v>32501362</v>
      </c>
      <c r="AH166" s="53">
        <v>32804548</v>
      </c>
      <c r="AI166" s="53">
        <v>39185210</v>
      </c>
      <c r="AJ166" s="53">
        <v>39359304</v>
      </c>
      <c r="AK166" s="53">
        <v>42787322</v>
      </c>
      <c r="AL166" s="53">
        <v>43120592</v>
      </c>
      <c r="AM166" s="53">
        <v>45396656</v>
      </c>
      <c r="AN166" s="53">
        <v>45772503</v>
      </c>
      <c r="AO166" s="53">
        <v>0</v>
      </c>
      <c r="AP166" s="53">
        <v>0</v>
      </c>
      <c r="AQ166" s="53">
        <v>0</v>
      </c>
      <c r="AR166" s="53">
        <v>0</v>
      </c>
      <c r="AS166" s="53">
        <v>0</v>
      </c>
      <c r="AT166" s="53">
        <v>0</v>
      </c>
      <c r="AU166" s="62">
        <f t="shared" si="297"/>
        <v>4.2264930555555554E-3</v>
      </c>
      <c r="AV166" s="62">
        <f t="shared" si="298"/>
        <v>3.509097222222222E-3</v>
      </c>
      <c r="AW166" s="62">
        <f t="shared" si="299"/>
        <v>2.014976851851852E-3</v>
      </c>
      <c r="AX166" s="62">
        <f t="shared" si="300"/>
        <v>3.8572916666666669E-3</v>
      </c>
      <c r="AY166" s="62">
        <f t="shared" si="301"/>
        <v>4.3500810185185187E-3</v>
      </c>
      <c r="AZ166" s="62" t="str">
        <f t="shared" si="302"/>
        <v>DNS/DNF</v>
      </c>
      <c r="BA166" s="62" t="str">
        <f t="shared" si="303"/>
        <v>DNS/DNF</v>
      </c>
      <c r="BB166" s="62" t="str">
        <f t="shared" si="304"/>
        <v>DNS/DNF</v>
      </c>
      <c r="BC166" s="75">
        <f t="shared" si="305"/>
        <v>173</v>
      </c>
      <c r="BD166" s="53" t="str">
        <f t="shared" si="306"/>
        <v/>
      </c>
      <c r="BE166" s="53">
        <f t="shared" si="307"/>
        <v>278800</v>
      </c>
      <c r="BF166" s="53">
        <f t="shared" si="308"/>
        <v>161646</v>
      </c>
      <c r="BG166" s="53" t="str">
        <f t="shared" si="309"/>
        <v/>
      </c>
      <c r="BH166" s="53">
        <f t="shared" si="310"/>
        <v>370911</v>
      </c>
      <c r="BI166" s="53" t="str">
        <f t="shared" si="311"/>
        <v/>
      </c>
      <c r="BJ166" s="53" t="str">
        <f t="shared" si="312"/>
        <v/>
      </c>
      <c r="BK166" s="53" t="str">
        <f t="shared" si="313"/>
        <v/>
      </c>
    </row>
    <row r="167" spans="1:63">
      <c r="A167" s="53">
        <v>263</v>
      </c>
      <c r="B167" s="89" t="str">
        <f>IFERROR(VLOOKUP($A167,EntryList!$A$3:$N$645,2,FALSE),"")</f>
        <v>Julian Robin Oosthuizen</v>
      </c>
      <c r="C167" s="74"/>
      <c r="D167" s="53">
        <f>COUNT($AU167:$BB167)</f>
        <v>4</v>
      </c>
      <c r="E167" s="62">
        <v>4.6783101851851855E-3</v>
      </c>
      <c r="F167" s="62">
        <v>3.3709490740740744E-3</v>
      </c>
      <c r="G167" s="62">
        <v>2.367766203703704E-3</v>
      </c>
      <c r="H167" s="62">
        <v>4.1671643518518516E-3</v>
      </c>
      <c r="I167" s="62"/>
      <c r="J167" s="62"/>
      <c r="K167" s="62"/>
      <c r="L167" s="62"/>
      <c r="M167" s="62">
        <v>1.4584189814814812E-2</v>
      </c>
      <c r="N167" s="62">
        <f>SUM($AU167:$BB167)</f>
        <v>1.4584189814814814E-2</v>
      </c>
      <c r="O167" s="53">
        <f>IFERROR(RANK($AU167,AU$3:AU$500,1),"")</f>
        <v>141</v>
      </c>
      <c r="P167" s="53">
        <f>IFERROR(RANK($AV167,AV$3:AV$500,1),"")</f>
        <v>201</v>
      </c>
      <c r="Q167" s="53">
        <f>IFERROR(RANK($AW167,AW$3:AW$500,1),"")</f>
        <v>240</v>
      </c>
      <c r="R167" s="53">
        <f>IFERROR(RANK($AX167,AX$3:AX$500,1),"")</f>
        <v>137</v>
      </c>
      <c r="S167" s="53" t="str">
        <f>IFERROR(RANK($AY167,AY$3:AY$500,1),"")</f>
        <v/>
      </c>
      <c r="T167" s="53" t="str">
        <f>IFERROR(RANK($AZ167,AZ$3:AZ$500,1),"")</f>
        <v/>
      </c>
      <c r="U167" s="53" t="str">
        <f>IFERROR(RANK($BA167,BA$3:BA$500,1),"")</f>
        <v/>
      </c>
      <c r="V167" s="53" t="str">
        <f>IFERROR(RANK($BB167,BB$3:BB$500,1),"")</f>
        <v/>
      </c>
      <c r="W167" s="53" t="str">
        <f>CONCATENATE(TEXT($AU167,"[hh]:mm:ss.0")," ","(",$O167,")")</f>
        <v>00:06:44.2 (141)</v>
      </c>
      <c r="X167" s="53" t="str">
        <f>CONCATENATE(TEXT($AV167,"[hh]:mm:ss.0")," ","(",$P167,")")</f>
        <v>00:04:51.2 (201)</v>
      </c>
      <c r="Y167" s="53" t="str">
        <f>CONCATENATE(TEXT($AW167,"[hh]:mm:ss.0")," ","(",$Q167,")")</f>
        <v>00:03:24.6 (240)</v>
      </c>
      <c r="Z167" s="53" t="str">
        <f>CONCATENATE(TEXT($AX167,"[hh]:mm:ss.0")," ","(",$R167,")")</f>
        <v>00:06:00.0 (137)</v>
      </c>
      <c r="AA167" s="53" t="str">
        <f>CONCATENATE(TEXT($AY167,"[hh]:mm:ss.0")," ","(",$S167,")")</f>
        <v>DNS/DNF ()</v>
      </c>
      <c r="AB167" s="53" t="str">
        <f>CONCATENATE(TEXT($AZ167,"[hh]:mm:ss.0")," ","(",$T167,")")</f>
        <v>DNS/DNF ()</v>
      </c>
      <c r="AC167" s="53" t="str">
        <f>CONCATENATE(TEXT($BA167,"[hh]:mm:ss.0")," ","(",$U167,")")</f>
        <v>DNS/DNF ()</v>
      </c>
      <c r="AD167" s="53" t="str">
        <f>CONCATENATE(TEXT($BB167,"[hh]:mm:ss.0")," ","(",$V167,")")</f>
        <v>DNS/DNF ()</v>
      </c>
      <c r="AE167" s="53">
        <v>34601462</v>
      </c>
      <c r="AF167" s="53">
        <v>35005668</v>
      </c>
      <c r="AG167" s="53">
        <v>32038638</v>
      </c>
      <c r="AH167" s="53">
        <v>32329888</v>
      </c>
      <c r="AI167" s="53">
        <v>37295303</v>
      </c>
      <c r="AJ167" s="53">
        <v>37499878</v>
      </c>
      <c r="AK167" s="53">
        <v>41957879</v>
      </c>
      <c r="AL167" s="53">
        <v>42317922</v>
      </c>
      <c r="AM167" s="53">
        <v>0</v>
      </c>
      <c r="AN167" s="53">
        <v>0</v>
      </c>
      <c r="AO167" s="53">
        <v>0</v>
      </c>
      <c r="AP167" s="53">
        <v>0</v>
      </c>
      <c r="AQ167" s="53">
        <v>0</v>
      </c>
      <c r="AR167" s="53">
        <v>0</v>
      </c>
      <c r="AS167" s="53">
        <v>0</v>
      </c>
      <c r="AT167" s="53">
        <v>0</v>
      </c>
      <c r="AU167" s="62">
        <f>IF((OR($AE167=0,$AF167=0,$AF167-$AE167&lt;0)),"DNS/DNF",($AF167-$AE167)/86400000)</f>
        <v>4.6783101851851855E-3</v>
      </c>
      <c r="AV167" s="62">
        <f>IF((OR($AG167=0,$AH167=0,$AH167-$AG167&lt;0)),"DNS/DNF",($AH167-$AG167)/86400000)</f>
        <v>3.370949074074074E-3</v>
      </c>
      <c r="AW167" s="62">
        <f>IF((OR($AI167=0,$AJ167=0,$AJ167-$AI167&lt;0)),"DNS/DNF",($AJ167-$AI167)/86400000)</f>
        <v>2.3677662037037035E-3</v>
      </c>
      <c r="AX167" s="62">
        <f>IF((OR($AK167=0,$AL167=0,$AL167-$AK167&lt;0)),"DNS/DNF",($AL167-$AK167)/86400000)</f>
        <v>4.1671643518518516E-3</v>
      </c>
      <c r="AY167" s="62" t="str">
        <f>IF((OR($AM167=0,$AM167=0,$AN167-$AM167&lt;0)),"DNS/DNF",($AN167-$AM167)/86400000)</f>
        <v>DNS/DNF</v>
      </c>
      <c r="AZ167" s="62" t="str">
        <f>IF((OR($AO167=0,$AP167=0,$AP167-$AO167&lt;0)),"DNS/DNF",($AP167-$AO167)/86400000)</f>
        <v>DNS/DNF</v>
      </c>
      <c r="BA167" s="62" t="str">
        <f>IF((OR($AQ167=0,$AR167=0,$AR167-$AQ167&lt;0)),"DNS/DNF",($AR167-$AQ167)/86400000)</f>
        <v>DNS/DNF</v>
      </c>
      <c r="BB167" s="62" t="str">
        <f>IF((OR($AS167=0,$AT167=0,$AT167-$AS167&lt;0)),"DNS/DNF",($AT167-$AS167)/86400000)</f>
        <v>DNS/DNF</v>
      </c>
      <c r="BC167" s="75">
        <f>IFERROR(ROUND(AVERAGE(O167:V167),0),"")</f>
        <v>180</v>
      </c>
      <c r="BD167" s="53" t="str">
        <f>IFERROR((INDEX(($AU$3:$AU$500)*86400000,MATCH(BC167,$O$3:$O$500,0))),"")</f>
        <v/>
      </c>
      <c r="BE167" s="53">
        <f>IFERROR((INDEX(($AV$3:$AV$500)*86400000,MATCH(BC167,$P$3:$P$500,0))),"")</f>
        <v>280650</v>
      </c>
      <c r="BF167" s="53">
        <f>IFERROR((INDEX(($AW$3:$AW$500)*86400000,MATCH(BC167,$Q$3:$Q$500,0))),"")</f>
        <v>163848</v>
      </c>
      <c r="BG167" s="53" t="str">
        <f>IFERROR((INDEX(($AX$3:$AX$500)*86400000,MATCH(BC167,$R$3:$R$500,0))),"")</f>
        <v/>
      </c>
      <c r="BH167" s="53">
        <f>IFERROR((INDEX(($AY$3:$AY$500)*86400000,MATCH(BC167,$S$3:$S$500,0))),"")</f>
        <v>375847</v>
      </c>
      <c r="BI167" s="53" t="str">
        <f>IFERROR((INDEX(($AZ$3:$AZ$500)*86400000,MATCH(BC167,$T$3:$T$500,0))),"")</f>
        <v/>
      </c>
      <c r="BJ167" s="53" t="str">
        <f>IFERROR((INDEX(($BA$3:$BA$500)*86400000,MATCH(BC167,$U$3:$U$500,0))),"")</f>
        <v/>
      </c>
      <c r="BK167" s="53" t="str">
        <f>IFERROR((INDEX(($BB$3:$BB$500)*86400000,MATCH(BC167,$V$3:$V$500,0))),"")</f>
        <v/>
      </c>
    </row>
    <row r="168" spans="1:63">
      <c r="A168" s="53">
        <v>250</v>
      </c>
      <c r="B168" s="89" t="str">
        <f>IFERROR(VLOOKUP($A168,EntryList!$A$3:$N$645,2,FALSE),"")</f>
        <v>Johann Potgieter</v>
      </c>
      <c r="C168" s="74"/>
      <c r="D168" s="53">
        <f>COUNT($AU168:$BB168)</f>
        <v>5</v>
      </c>
      <c r="E168" s="62">
        <v>2.0795370370370369E-3</v>
      </c>
      <c r="F168" s="62">
        <v>2.4325347222222222E-3</v>
      </c>
      <c r="G168" s="62">
        <v>1.3588078703703705E-3</v>
      </c>
      <c r="H168" s="62">
        <v>2.5782754629629632E-3</v>
      </c>
      <c r="I168" s="62">
        <v>3.2409027777777779E-3</v>
      </c>
      <c r="J168" s="62"/>
      <c r="K168" s="62"/>
      <c r="L168" s="62"/>
      <c r="M168" s="62">
        <v>1.169005787037037E-2</v>
      </c>
      <c r="N168" s="62">
        <f>SUM($AU168:$BB168)</f>
        <v>1.1690057870370371E-2</v>
      </c>
      <c r="O168" s="53">
        <f>IFERROR(RANK($AU168,AU$3:AU$500,1),"")</f>
        <v>1</v>
      </c>
      <c r="P168" s="53">
        <f>IFERROR(RANK($AV168,AV$3:AV$500,1),"")</f>
        <v>5</v>
      </c>
      <c r="Q168" s="53">
        <f>IFERROR(RANK($AW168,AW$3:AW$500,1),"")</f>
        <v>6</v>
      </c>
      <c r="R168" s="53">
        <f>IFERROR(RANK($AX168,AX$3:AX$500,1),"")</f>
        <v>2</v>
      </c>
      <c r="S168" s="53">
        <f>IFERROR(RANK($AY168,AY$3:AY$500,1),"")</f>
        <v>1</v>
      </c>
      <c r="T168" s="53" t="str">
        <f>IFERROR(RANK($AZ168,AZ$3:AZ$500,1),"")</f>
        <v/>
      </c>
      <c r="U168" s="53" t="str">
        <f>IFERROR(RANK($BA168,BA$3:BA$500,1),"")</f>
        <v/>
      </c>
      <c r="V168" s="53" t="str">
        <f>IFERROR(RANK($BB168,BB$3:BB$500,1),"")</f>
        <v/>
      </c>
      <c r="W168" s="53" t="str">
        <f>CONCATENATE(TEXT($AU168,"[hh]:mm:ss.0")," ","(",$O168,")")</f>
        <v>00:02:59.7 (1)</v>
      </c>
      <c r="X168" s="53" t="str">
        <f>CONCATENATE(TEXT($AV168,"[hh]:mm:ss.0")," ","(",$P168,")")</f>
        <v>00:03:30.2 (5)</v>
      </c>
      <c r="Y168" s="53" t="str">
        <f>CONCATENATE(TEXT($AW168,"[hh]:mm:ss.0")," ","(",$Q168,")")</f>
        <v>00:01:57.4 (6)</v>
      </c>
      <c r="Z168" s="53" t="str">
        <f>CONCATENATE(TEXT($AX168,"[hh]:mm:ss.0")," ","(",$R168,")")</f>
        <v>00:03:42.8 (2)</v>
      </c>
      <c r="AA168" s="53" t="str">
        <f>CONCATENATE(TEXT($AY168,"[hh]:mm:ss.0")," ","(",$S168,")")</f>
        <v>00:04:40.0 (1)</v>
      </c>
      <c r="AB168" s="53" t="str">
        <f>CONCATENATE(TEXT($AZ168,"[hh]:mm:ss.0")," ","(",$T168,")")</f>
        <v>DNS/DNF ()</v>
      </c>
      <c r="AC168" s="53" t="str">
        <f>CONCATENATE(TEXT($BA168,"[hh]:mm:ss.0")," ","(",$U168,")")</f>
        <v>DNS/DNF ()</v>
      </c>
      <c r="AD168" s="53" t="str">
        <f>CONCATENATE(TEXT($BB168,"[hh]:mm:ss.0")," ","(",$V168,")")</f>
        <v>DNS/DNF ()</v>
      </c>
      <c r="AE168" s="53">
        <v>36053485</v>
      </c>
      <c r="AF168" s="53">
        <v>36233157</v>
      </c>
      <c r="AG168" s="53">
        <v>32155792</v>
      </c>
      <c r="AH168" s="53">
        <v>32365963</v>
      </c>
      <c r="AI168" s="53">
        <v>39492945</v>
      </c>
      <c r="AJ168" s="53">
        <v>39610346</v>
      </c>
      <c r="AK168" s="53">
        <v>43764662</v>
      </c>
      <c r="AL168" s="53">
        <v>43987425</v>
      </c>
      <c r="AM168" s="53">
        <v>46454242</v>
      </c>
      <c r="AN168" s="53">
        <v>46734256</v>
      </c>
      <c r="AO168" s="53">
        <v>0</v>
      </c>
      <c r="AP168" s="53">
        <v>0</v>
      </c>
      <c r="AQ168" s="53">
        <v>0</v>
      </c>
      <c r="AR168" s="53">
        <v>0</v>
      </c>
      <c r="AS168" s="53">
        <v>0</v>
      </c>
      <c r="AT168" s="53">
        <v>0</v>
      </c>
      <c r="AU168" s="62">
        <f>IF((OR($AE168=0,$AF168=0,$AF168-$AE168&lt;0)),"DNS/DNF",($AF168-$AE168)/86400000)</f>
        <v>2.0795370370370369E-3</v>
      </c>
      <c r="AV168" s="62">
        <f>IF((OR($AG168=0,$AH168=0,$AH168-$AG168&lt;0)),"DNS/DNF",($AH168-$AG168)/86400000)</f>
        <v>2.4325347222222222E-3</v>
      </c>
      <c r="AW168" s="62">
        <f>IF((OR($AI168=0,$AJ168=0,$AJ168-$AI168&lt;0)),"DNS/DNF",($AJ168-$AI168)/86400000)</f>
        <v>1.3588078703703705E-3</v>
      </c>
      <c r="AX168" s="62">
        <f>IF((OR($AK168=0,$AL168=0,$AL168-$AK168&lt;0)),"DNS/DNF",($AL168-$AK168)/86400000)</f>
        <v>2.5782754629629628E-3</v>
      </c>
      <c r="AY168" s="62">
        <f>IF((OR($AM168=0,$AM168=0,$AN168-$AM168&lt;0)),"DNS/DNF",($AN168-$AM168)/86400000)</f>
        <v>3.2409027777777779E-3</v>
      </c>
      <c r="AZ168" s="62" t="str">
        <f>IF((OR($AO168=0,$AP168=0,$AP168-$AO168&lt;0)),"DNS/DNF",($AP168-$AO168)/86400000)</f>
        <v>DNS/DNF</v>
      </c>
      <c r="BA168" s="62" t="str">
        <f>IF((OR($AQ168=0,$AR168=0,$AR168-$AQ168&lt;0)),"DNS/DNF",($AR168-$AQ168)/86400000)</f>
        <v>DNS/DNF</v>
      </c>
      <c r="BB168" s="62" t="str">
        <f>IF((OR($AS168=0,$AT168=0,$AT168-$AS168&lt;0)),"DNS/DNF",($AT168-$AS168)/86400000)</f>
        <v>DNS/DNF</v>
      </c>
      <c r="BC168" s="75">
        <f>IFERROR(ROUND(AVERAGE(O168:V168),0),"")</f>
        <v>3</v>
      </c>
      <c r="BD168" s="53">
        <f>IFERROR((INDEX(($AU$3:$AU$500)*86400000,MATCH(BC168,$O$3:$O$500,0))),"")</f>
        <v>183720.99999999997</v>
      </c>
      <c r="BE168" s="53">
        <f>IFERROR((INDEX(($AV$3:$AV$500)*86400000,MATCH(BC168,$P$3:$P$500,0))),"")</f>
        <v>209690</v>
      </c>
      <c r="BF168" s="53">
        <f>IFERROR((INDEX(($AW$3:$AW$500)*86400000,MATCH(BC168,$Q$3:$Q$500,0))),"")</f>
        <v>112237</v>
      </c>
      <c r="BG168" s="53">
        <f>IFERROR((INDEX(($AX$3:$AX$500)*86400000,MATCH(BC168,$R$3:$R$500,0))),"")</f>
        <v>226374</v>
      </c>
      <c r="BH168" s="53">
        <f>IFERROR((INDEX(($AY$3:$AY$500)*86400000,MATCH(BC168,$S$3:$S$500,0))),"")</f>
        <v>284121</v>
      </c>
      <c r="BI168" s="53" t="str">
        <f>IFERROR((INDEX(($AZ$3:$AZ$500)*86400000,MATCH(BC168,$T$3:$T$500,0))),"")</f>
        <v/>
      </c>
      <c r="BJ168" s="53" t="str">
        <f>IFERROR((INDEX(($BA$3:$BA$500)*86400000,MATCH(BC168,$U$3:$U$500,0))),"")</f>
        <v/>
      </c>
      <c r="BK168" s="53" t="str">
        <f>IFERROR((INDEX(($BB$3:$BB$500)*86400000,MATCH(BC168,$V$3:$V$500,0))),"")</f>
        <v/>
      </c>
    </row>
    <row r="169" spans="1:63">
      <c r="A169" s="53">
        <v>135</v>
      </c>
      <c r="B169" s="89" t="str">
        <f>IFERROR(VLOOKUP($A169,EntryList!$A$3:$N$645,2,FALSE),"")</f>
        <v>Fourie Van Wyk</v>
      </c>
      <c r="C169" s="74"/>
      <c r="D169" s="53">
        <f t="shared" ref="D169:D232" si="315">COUNT($AU169:$BB169)</f>
        <v>5</v>
      </c>
      <c r="E169" s="62">
        <v>2.295810185185185E-3</v>
      </c>
      <c r="F169" s="62">
        <v>2.6591550925925927E-3</v>
      </c>
      <c r="G169" s="62">
        <v>1.3962152777777777E-3</v>
      </c>
      <c r="H169" s="62">
        <v>2.8342129629629633E-3</v>
      </c>
      <c r="I169" s="62">
        <v>3.5569560185185188E-3</v>
      </c>
      <c r="J169" s="62"/>
      <c r="K169" s="62"/>
      <c r="L169" s="62"/>
      <c r="M169" s="62">
        <v>1.2742349537037038E-2</v>
      </c>
      <c r="N169" s="62">
        <f t="shared" ref="N169:N232" si="316">SUM($AU169:$BB169)</f>
        <v>1.2742349537037036E-2</v>
      </c>
      <c r="O169" s="53">
        <f t="shared" ref="O169:O232" si="317">IFERROR(RANK($AU169,AU$3:AU$500,1),"")</f>
        <v>14</v>
      </c>
      <c r="P169" s="53">
        <f t="shared" ref="P169:P232" si="318">IFERROR(RANK($AV169,AV$3:AV$500,1),"")</f>
        <v>36</v>
      </c>
      <c r="Q169" s="53">
        <f t="shared" ref="Q169:Q232" si="319">IFERROR(RANK($AW169,AW$3:AW$500,1),"")</f>
        <v>15</v>
      </c>
      <c r="R169" s="53">
        <f t="shared" ref="R169:R232" si="320">IFERROR(RANK($AX169,AX$3:AX$500,1),"")</f>
        <v>22</v>
      </c>
      <c r="S169" s="53">
        <f t="shared" ref="S169:S232" si="321">IFERROR(RANK($AY169,AY$3:AY$500,1),"")</f>
        <v>27</v>
      </c>
      <c r="T169" s="53" t="str">
        <f t="shared" ref="T169:T232" si="322">IFERROR(RANK($AZ169,AZ$3:AZ$500,1),"")</f>
        <v/>
      </c>
      <c r="U169" s="53" t="str">
        <f t="shared" ref="U169:U232" si="323">IFERROR(RANK($BA169,BA$3:BA$500,1),"")</f>
        <v/>
      </c>
      <c r="V169" s="53" t="str">
        <f t="shared" ref="V169:V232" si="324">IFERROR(RANK($BB169,BB$3:BB$500,1),"")</f>
        <v/>
      </c>
      <c r="W169" s="53" t="str">
        <f>CONCATENATE(TEXT($AU169,"[hh]:mm:ss.0")," ","(",$O169,")")</f>
        <v>00:03:18.4 (14)</v>
      </c>
      <c r="X169" s="53" t="str">
        <f t="shared" ref="X169:X232" si="325">CONCATENATE(TEXT($AV169,"[hh]:mm:ss.0")," ","(",$P169,")")</f>
        <v>00:03:49.8 (36)</v>
      </c>
      <c r="Y169" s="53" t="str">
        <f t="shared" ref="Y169:Y232" si="326">CONCATENATE(TEXT($AW169,"[hh]:mm:ss.0")," ","(",$Q169,")")</f>
        <v>00:02:00.6 (15)</v>
      </c>
      <c r="Z169" s="53" t="str">
        <f t="shared" ref="Z169:Z232" si="327">CONCATENATE(TEXT($AX169,"[hh]:mm:ss.0")," ","(",$R169,")")</f>
        <v>00:04:04.9 (22)</v>
      </c>
      <c r="AA169" s="53" t="str">
        <f t="shared" ref="AA169:AA232" si="328">CONCATENATE(TEXT($AY169,"[hh]:mm:ss.0")," ","(",$S169,")")</f>
        <v>00:05:07.3 (27)</v>
      </c>
      <c r="AB169" s="53" t="str">
        <f t="shared" ref="AB169:AB232" si="329">CONCATENATE(TEXT($AZ169,"[hh]:mm:ss.0")," ","(",$T169,")")</f>
        <v>DNS/DNF ()</v>
      </c>
      <c r="AC169" s="53" t="str">
        <f t="shared" ref="AC169:AC232" si="330">CONCATENATE(TEXT($BA169,"[hh]:mm:ss.0")," ","(",$U169,")")</f>
        <v>DNS/DNF ()</v>
      </c>
      <c r="AD169" s="53" t="str">
        <f t="shared" ref="AD169:AD232" si="331">CONCATENATE(TEXT($BB169,"[hh]:mm:ss.0")," ","(",$V169,")")</f>
        <v>DNS/DNF ()</v>
      </c>
      <c r="AE169" s="53">
        <v>35028765</v>
      </c>
      <c r="AF169" s="53">
        <v>35227123</v>
      </c>
      <c r="AG169" s="53">
        <v>31434919</v>
      </c>
      <c r="AH169" s="53">
        <v>31664670</v>
      </c>
      <c r="AI169" s="53">
        <v>38564606</v>
      </c>
      <c r="AJ169" s="53">
        <v>38685239</v>
      </c>
      <c r="AK169" s="53">
        <v>43628610</v>
      </c>
      <c r="AL169" s="53">
        <v>43873486</v>
      </c>
      <c r="AM169" s="53">
        <v>46499314</v>
      </c>
      <c r="AN169" s="53">
        <v>46806635</v>
      </c>
      <c r="AO169" s="53">
        <v>0</v>
      </c>
      <c r="AP169" s="53">
        <v>0</v>
      </c>
      <c r="AQ169" s="53">
        <v>0</v>
      </c>
      <c r="AR169" s="53">
        <v>0</v>
      </c>
      <c r="AS169" s="53">
        <v>0</v>
      </c>
      <c r="AT169" s="53">
        <v>0</v>
      </c>
      <c r="AU169" s="62">
        <f t="shared" ref="AU169:AU232" si="332">IF((OR($AE169=0,$AF169=0,$AF169-$AE169&lt;0)),"DNS/DNF",($AF169-$AE169)/86400000)</f>
        <v>2.295810185185185E-3</v>
      </c>
      <c r="AV169" s="62">
        <f t="shared" ref="AV169:AV232" si="333">IF((OR($AG169=0,$AH169=0,$AH169-$AG169&lt;0)),"DNS/DNF",($AH169-$AG169)/86400000)</f>
        <v>2.6591550925925927E-3</v>
      </c>
      <c r="AW169" s="62">
        <f t="shared" ref="AW169:AW232" si="334">IF((OR($AI169=0,$AJ169=0,$AJ169-$AI169&lt;0)),"DNS/DNF",($AJ169-$AI169)/86400000)</f>
        <v>1.3962152777777777E-3</v>
      </c>
      <c r="AX169" s="62">
        <f t="shared" ref="AX169:AX232" si="335">IF((OR($AK169=0,$AL169=0,$AL169-$AK169&lt;0)),"DNS/DNF",($AL169-$AK169)/86400000)</f>
        <v>2.8342129629629629E-3</v>
      </c>
      <c r="AY169" s="62">
        <f t="shared" ref="AY169:AY232" si="336">IF((OR($AM169=0,$AM169=0,$AN169-$AM169&lt;0)),"DNS/DNF",($AN169-$AM169)/86400000)</f>
        <v>3.5569560185185183E-3</v>
      </c>
      <c r="AZ169" s="62" t="str">
        <f t="shared" ref="AZ169:AZ232" si="337">IF((OR($AO169=0,$AP169=0,$AP169-$AO169&lt;0)),"DNS/DNF",($AP169-$AO169)/86400000)</f>
        <v>DNS/DNF</v>
      </c>
      <c r="BA169" s="62" t="str">
        <f t="shared" ref="BA169:BA232" si="338">IF((OR($AQ169=0,$AR169=0,$AR169-$AQ169&lt;0)),"DNS/DNF",($AR169-$AQ169)/86400000)</f>
        <v>DNS/DNF</v>
      </c>
      <c r="BB169" s="62" t="str">
        <f t="shared" ref="BB169:BB232" si="339">IF((OR($AS169=0,$AT169=0,$AT169-$AS169&lt;0)),"DNS/DNF",($AT169-$AS169)/86400000)</f>
        <v>DNS/DNF</v>
      </c>
      <c r="BC169" s="75">
        <f t="shared" ref="BC169:BC232" si="340">IFERROR(ROUND(AVERAGE(O169:V169),0),"")</f>
        <v>23</v>
      </c>
      <c r="BD169" s="53">
        <f t="shared" ref="BD169:BD232" si="341">IFERROR((INDEX(($AU$3:$AU$500)*86400000,MATCH(BC169,$O$3:$O$500,0))),"")</f>
        <v>211157</v>
      </c>
      <c r="BE169" s="53">
        <f t="shared" ref="BE169:BE232" si="342">IFERROR((INDEX(($AV$3:$AV$500)*86400000,MATCH(BC169,$P$3:$P$500,0))),"")</f>
        <v>222196.99999999997</v>
      </c>
      <c r="BF169" s="53">
        <f t="shared" ref="BF169:BF232" si="343">IFERROR((INDEX(($AW$3:$AW$500)*86400000,MATCH(BC169,$Q$3:$Q$500,0))),"")</f>
        <v>124598</v>
      </c>
      <c r="BG169" s="53">
        <f t="shared" ref="BG169:BG232" si="344">IFERROR((INDEX(($AX$3:$AX$500)*86400000,MATCH(BC169,$R$3:$R$500,0))),"")</f>
        <v>245503.99999999997</v>
      </c>
      <c r="BH169" s="53" t="str">
        <f t="shared" ref="BH169:BH232" si="345">IFERROR((INDEX(($AY$3:$AY$500)*86400000,MATCH(BC169,$S$3:$S$500,0))),"")</f>
        <v/>
      </c>
      <c r="BI169" s="53" t="str">
        <f t="shared" ref="BI169:BI232" si="346">IFERROR((INDEX(($AZ$3:$AZ$500)*86400000,MATCH(BC169,$T$3:$T$500,0))),"")</f>
        <v/>
      </c>
      <c r="BJ169" s="53" t="str">
        <f t="shared" ref="BJ169:BJ232" si="347">IFERROR((INDEX(($BA$3:$BA$500)*86400000,MATCH(BC169,$U$3:$U$500,0))),"")</f>
        <v/>
      </c>
      <c r="BK169" s="53" t="str">
        <f t="shared" ref="BK169:BK232" si="348">IFERROR((INDEX(($BB$3:$BB$500)*86400000,MATCH(BC169,$V$3:$V$500,0))),"")</f>
        <v/>
      </c>
    </row>
    <row r="170" spans="1:63">
      <c r="A170" s="53">
        <v>249</v>
      </c>
      <c r="B170" s="89" t="str">
        <f>IFERROR(VLOOKUP($A170,EntryList!$A$3:$N$645,2,FALSE),"")</f>
        <v>Henning Venter</v>
      </c>
      <c r="C170" s="74"/>
      <c r="D170" s="53">
        <f t="shared" si="315"/>
        <v>5</v>
      </c>
      <c r="E170" s="62">
        <v>2.4469328703703706E-3</v>
      </c>
      <c r="F170" s="62">
        <v>2.5302546296296297E-3</v>
      </c>
      <c r="G170" s="62">
        <v>1.4240625E-3</v>
      </c>
      <c r="H170" s="62">
        <v>2.7811111111111114E-3</v>
      </c>
      <c r="I170" s="62">
        <v>3.4752662037037039E-3</v>
      </c>
      <c r="J170" s="62"/>
      <c r="K170" s="62"/>
      <c r="L170" s="62"/>
      <c r="M170" s="62">
        <v>1.2657627314814816E-2</v>
      </c>
      <c r="N170" s="62">
        <f t="shared" si="316"/>
        <v>1.2657627314814814E-2</v>
      </c>
      <c r="O170" s="53">
        <f t="shared" si="317"/>
        <v>24</v>
      </c>
      <c r="P170" s="53">
        <f t="shared" si="318"/>
        <v>19</v>
      </c>
      <c r="Q170" s="53">
        <f t="shared" si="319"/>
        <v>19</v>
      </c>
      <c r="R170" s="53">
        <f t="shared" si="320"/>
        <v>19</v>
      </c>
      <c r="S170" s="53">
        <f t="shared" si="321"/>
        <v>14</v>
      </c>
      <c r="T170" s="53" t="str">
        <f t="shared" si="322"/>
        <v/>
      </c>
      <c r="U170" s="53" t="str">
        <f t="shared" si="323"/>
        <v/>
      </c>
      <c r="V170" s="53" t="str">
        <f t="shared" si="324"/>
        <v/>
      </c>
      <c r="W170" s="53" t="str">
        <f t="shared" ref="W170:W233" si="349">CONCATENATE(TEXT($AU170,"[hh]:mm:ss.0")," ","(",$O170,")")</f>
        <v>00:03:31.4 (24)</v>
      </c>
      <c r="X170" s="53" t="str">
        <f t="shared" si="325"/>
        <v>00:03:38.6 (19)</v>
      </c>
      <c r="Y170" s="53" t="str">
        <f t="shared" si="326"/>
        <v>00:02:03.0 (19)</v>
      </c>
      <c r="Z170" s="53" t="str">
        <f t="shared" si="327"/>
        <v>00:04:00.3 (19)</v>
      </c>
      <c r="AA170" s="53" t="str">
        <f t="shared" si="328"/>
        <v>00:05:00.3 (14)</v>
      </c>
      <c r="AB170" s="53" t="str">
        <f t="shared" si="329"/>
        <v>DNS/DNF ()</v>
      </c>
      <c r="AC170" s="53" t="str">
        <f t="shared" si="330"/>
        <v>DNS/DNF ()</v>
      </c>
      <c r="AD170" s="53" t="str">
        <f t="shared" si="331"/>
        <v>DNS/DNF ()</v>
      </c>
      <c r="AE170" s="53">
        <v>35200410</v>
      </c>
      <c r="AF170" s="53">
        <v>35411825</v>
      </c>
      <c r="AG170" s="53">
        <v>31477796</v>
      </c>
      <c r="AH170" s="53">
        <v>31696410</v>
      </c>
      <c r="AI170" s="53">
        <v>38506274</v>
      </c>
      <c r="AJ170" s="53">
        <v>38629313</v>
      </c>
      <c r="AK170" s="53">
        <v>43482986</v>
      </c>
      <c r="AL170" s="53">
        <v>43723274</v>
      </c>
      <c r="AM170" s="53">
        <v>46570718</v>
      </c>
      <c r="AN170" s="53">
        <v>46870981</v>
      </c>
      <c r="AO170" s="53">
        <v>0</v>
      </c>
      <c r="AP170" s="53">
        <v>0</v>
      </c>
      <c r="AQ170" s="53">
        <v>0</v>
      </c>
      <c r="AR170" s="53">
        <v>0</v>
      </c>
      <c r="AS170" s="53">
        <v>0</v>
      </c>
      <c r="AT170" s="53">
        <v>0</v>
      </c>
      <c r="AU170" s="62">
        <f t="shared" si="332"/>
        <v>2.4469328703703706E-3</v>
      </c>
      <c r="AV170" s="62">
        <f t="shared" si="333"/>
        <v>2.5302546296296297E-3</v>
      </c>
      <c r="AW170" s="62">
        <f t="shared" si="334"/>
        <v>1.4240625E-3</v>
      </c>
      <c r="AX170" s="62">
        <f t="shared" si="335"/>
        <v>2.7811111111111109E-3</v>
      </c>
      <c r="AY170" s="62">
        <f t="shared" si="336"/>
        <v>3.4752662037037035E-3</v>
      </c>
      <c r="AZ170" s="62" t="str">
        <f t="shared" si="337"/>
        <v>DNS/DNF</v>
      </c>
      <c r="BA170" s="62" t="str">
        <f t="shared" si="338"/>
        <v>DNS/DNF</v>
      </c>
      <c r="BB170" s="62" t="str">
        <f t="shared" si="339"/>
        <v>DNS/DNF</v>
      </c>
      <c r="BC170" s="75">
        <f t="shared" si="340"/>
        <v>19</v>
      </c>
      <c r="BD170" s="53">
        <f t="shared" si="341"/>
        <v>208497</v>
      </c>
      <c r="BE170" s="53">
        <f t="shared" si="342"/>
        <v>218614</v>
      </c>
      <c r="BF170" s="53">
        <f t="shared" si="343"/>
        <v>123039</v>
      </c>
      <c r="BG170" s="53">
        <f t="shared" si="344"/>
        <v>240287.99999999997</v>
      </c>
      <c r="BH170" s="53">
        <f t="shared" si="345"/>
        <v>302114</v>
      </c>
      <c r="BI170" s="53" t="str">
        <f t="shared" si="346"/>
        <v/>
      </c>
      <c r="BJ170" s="53" t="str">
        <f t="shared" si="347"/>
        <v/>
      </c>
      <c r="BK170" s="53" t="str">
        <f t="shared" si="348"/>
        <v/>
      </c>
    </row>
    <row r="171" spans="1:63">
      <c r="A171" s="53">
        <v>36</v>
      </c>
      <c r="B171" s="89" t="str">
        <f>IFERROR(VLOOKUP($A171,EntryList!$A$3:$N$645,2,FALSE),"")</f>
        <v>Philip Van Schalkwyk</v>
      </c>
      <c r="C171" s="74"/>
      <c r="D171" s="53">
        <f t="shared" si="315"/>
        <v>5</v>
      </c>
      <c r="E171" s="62">
        <v>2.2314004629629632E-3</v>
      </c>
      <c r="F171" s="62">
        <v>2.4298032407407406E-3</v>
      </c>
      <c r="G171" s="62">
        <v>1.277210648148148E-3</v>
      </c>
      <c r="H171" s="62">
        <v>2.6529050925925926E-3</v>
      </c>
      <c r="I171" s="62">
        <v>3.3499652777777777E-3</v>
      </c>
      <c r="J171" s="62"/>
      <c r="K171" s="62"/>
      <c r="L171" s="62"/>
      <c r="M171" s="62">
        <v>1.1941284722222223E-2</v>
      </c>
      <c r="N171" s="62">
        <f t="shared" si="316"/>
        <v>1.1941284722222223E-2</v>
      </c>
      <c r="O171" s="53">
        <f t="shared" si="317"/>
        <v>6</v>
      </c>
      <c r="P171" s="53">
        <f t="shared" si="318"/>
        <v>4</v>
      </c>
      <c r="Q171" s="53">
        <f t="shared" si="319"/>
        <v>1</v>
      </c>
      <c r="R171" s="53">
        <f t="shared" si="320"/>
        <v>5</v>
      </c>
      <c r="S171" s="53">
        <f t="shared" si="321"/>
        <v>7</v>
      </c>
      <c r="T171" s="53" t="str">
        <f t="shared" si="322"/>
        <v/>
      </c>
      <c r="U171" s="53" t="str">
        <f t="shared" si="323"/>
        <v/>
      </c>
      <c r="V171" s="53" t="str">
        <f t="shared" si="324"/>
        <v/>
      </c>
      <c r="W171" s="53" t="str">
        <f t="shared" si="349"/>
        <v>00:03:12.8 (6)</v>
      </c>
      <c r="X171" s="53" t="str">
        <f t="shared" si="325"/>
        <v>00:03:29.9 (4)</v>
      </c>
      <c r="Y171" s="53" t="str">
        <f t="shared" si="326"/>
        <v>00:01:50.4 (1)</v>
      </c>
      <c r="Z171" s="53" t="str">
        <f t="shared" si="327"/>
        <v>00:03:49.2 (5)</v>
      </c>
      <c r="AA171" s="53" t="str">
        <f t="shared" si="328"/>
        <v>00:04:49.4 (7)</v>
      </c>
      <c r="AB171" s="53" t="str">
        <f t="shared" si="329"/>
        <v>DNS/DNF ()</v>
      </c>
      <c r="AC171" s="53" t="str">
        <f t="shared" si="330"/>
        <v>DNS/DNF ()</v>
      </c>
      <c r="AD171" s="53" t="str">
        <f t="shared" si="331"/>
        <v>DNS/DNF ()</v>
      </c>
      <c r="AE171" s="53">
        <v>34990138</v>
      </c>
      <c r="AF171" s="53">
        <v>35182931</v>
      </c>
      <c r="AG171" s="53">
        <v>31413945</v>
      </c>
      <c r="AH171" s="53">
        <v>31623880</v>
      </c>
      <c r="AI171" s="53">
        <v>38503953</v>
      </c>
      <c r="AJ171" s="53">
        <v>38614304</v>
      </c>
      <c r="AK171" s="53">
        <v>43478966</v>
      </c>
      <c r="AL171" s="53">
        <v>43708177</v>
      </c>
      <c r="AM171" s="53">
        <v>46377430</v>
      </c>
      <c r="AN171" s="53">
        <v>46666867</v>
      </c>
      <c r="AO171" s="53">
        <v>0</v>
      </c>
      <c r="AP171" s="53">
        <v>0</v>
      </c>
      <c r="AQ171" s="53">
        <v>0</v>
      </c>
      <c r="AR171" s="53">
        <v>0</v>
      </c>
      <c r="AS171" s="53">
        <v>0</v>
      </c>
      <c r="AT171" s="53">
        <v>0</v>
      </c>
      <c r="AU171" s="62">
        <f t="shared" si="332"/>
        <v>2.2314004629629628E-3</v>
      </c>
      <c r="AV171" s="62">
        <f t="shared" si="333"/>
        <v>2.4298032407407406E-3</v>
      </c>
      <c r="AW171" s="62">
        <f t="shared" si="334"/>
        <v>1.2772106481481482E-3</v>
      </c>
      <c r="AX171" s="62">
        <f t="shared" si="335"/>
        <v>2.6529050925925926E-3</v>
      </c>
      <c r="AY171" s="62">
        <f t="shared" si="336"/>
        <v>3.3499652777777777E-3</v>
      </c>
      <c r="AZ171" s="62" t="str">
        <f t="shared" si="337"/>
        <v>DNS/DNF</v>
      </c>
      <c r="BA171" s="62" t="str">
        <f t="shared" si="338"/>
        <v>DNS/DNF</v>
      </c>
      <c r="BB171" s="62" t="str">
        <f t="shared" si="339"/>
        <v>DNS/DNF</v>
      </c>
      <c r="BC171" s="75">
        <f t="shared" si="340"/>
        <v>5</v>
      </c>
      <c r="BD171" s="53">
        <f t="shared" si="341"/>
        <v>192647</v>
      </c>
      <c r="BE171" s="53">
        <f t="shared" si="342"/>
        <v>210171</v>
      </c>
      <c r="BF171" s="53">
        <f t="shared" si="343"/>
        <v>115795</v>
      </c>
      <c r="BG171" s="53">
        <f t="shared" si="344"/>
        <v>229211</v>
      </c>
      <c r="BH171" s="53">
        <f t="shared" si="345"/>
        <v>288427</v>
      </c>
      <c r="BI171" s="53" t="str">
        <f t="shared" si="346"/>
        <v/>
      </c>
      <c r="BJ171" s="53" t="str">
        <f t="shared" si="347"/>
        <v/>
      </c>
      <c r="BK171" s="53" t="str">
        <f t="shared" si="348"/>
        <v/>
      </c>
    </row>
    <row r="172" spans="1:63">
      <c r="A172" s="53">
        <v>191</v>
      </c>
      <c r="B172" s="89" t="str">
        <f>IFERROR(VLOOKUP($A172,EntryList!$A$3:$N$645,2,FALSE),"")</f>
        <v>Pieter Heyns</v>
      </c>
      <c r="C172" s="74"/>
      <c r="D172" s="53">
        <f t="shared" si="315"/>
        <v>3</v>
      </c>
      <c r="E172" s="62"/>
      <c r="F172" s="62">
        <v>2.7617476851851852E-3</v>
      </c>
      <c r="G172" s="62">
        <v>1.5023148148148148E-3</v>
      </c>
      <c r="H172" s="62"/>
      <c r="I172" s="62">
        <v>3.7584606481481479E-3</v>
      </c>
      <c r="J172" s="62"/>
      <c r="K172" s="62"/>
      <c r="L172" s="62"/>
      <c r="M172" s="62">
        <v>8.0225231481481484E-3</v>
      </c>
      <c r="N172" s="62">
        <f t="shared" si="316"/>
        <v>8.0225231481481484E-3</v>
      </c>
      <c r="O172" s="53" t="str">
        <f t="shared" si="317"/>
        <v/>
      </c>
      <c r="P172" s="53">
        <f t="shared" si="318"/>
        <v>60</v>
      </c>
      <c r="Q172" s="53">
        <f t="shared" si="319"/>
        <v>44</v>
      </c>
      <c r="R172" s="53" t="str">
        <f t="shared" si="320"/>
        <v/>
      </c>
      <c r="S172" s="53">
        <f t="shared" si="321"/>
        <v>59</v>
      </c>
      <c r="T172" s="53" t="str">
        <f t="shared" si="322"/>
        <v/>
      </c>
      <c r="U172" s="53" t="str">
        <f t="shared" si="323"/>
        <v/>
      </c>
      <c r="V172" s="53" t="str">
        <f t="shared" si="324"/>
        <v/>
      </c>
      <c r="W172" s="53" t="str">
        <f t="shared" si="349"/>
        <v>DNS/DNF ()</v>
      </c>
      <c r="X172" s="53" t="str">
        <f t="shared" si="325"/>
        <v>00:03:58.6 (60)</v>
      </c>
      <c r="Y172" s="53" t="str">
        <f t="shared" si="326"/>
        <v>00:02:09.8 (44)</v>
      </c>
      <c r="Z172" s="53" t="str">
        <f t="shared" si="327"/>
        <v>DNS/DNF ()</v>
      </c>
      <c r="AA172" s="53" t="str">
        <f t="shared" si="328"/>
        <v>00:05:24.7 (59)</v>
      </c>
      <c r="AB172" s="53" t="str">
        <f t="shared" si="329"/>
        <v>DNS/DNF ()</v>
      </c>
      <c r="AC172" s="53" t="str">
        <f t="shared" si="330"/>
        <v>DNS/DNF ()</v>
      </c>
      <c r="AD172" s="53" t="str">
        <f t="shared" si="331"/>
        <v>DNS/DNF ()</v>
      </c>
      <c r="AE172" s="53">
        <v>0</v>
      </c>
      <c r="AF172" s="53">
        <v>0</v>
      </c>
      <c r="AG172" s="53">
        <v>36314310</v>
      </c>
      <c r="AH172" s="53">
        <v>36552925</v>
      </c>
      <c r="AI172" s="53">
        <v>40489524</v>
      </c>
      <c r="AJ172" s="53">
        <v>40619324</v>
      </c>
      <c r="AK172" s="53">
        <v>0</v>
      </c>
      <c r="AL172" s="53">
        <v>0</v>
      </c>
      <c r="AM172" s="53">
        <v>44682002</v>
      </c>
      <c r="AN172" s="53">
        <v>45006733</v>
      </c>
      <c r="AO172" s="53">
        <v>0</v>
      </c>
      <c r="AP172" s="53">
        <v>0</v>
      </c>
      <c r="AQ172" s="53">
        <v>0</v>
      </c>
      <c r="AR172" s="53">
        <v>0</v>
      </c>
      <c r="AS172" s="53">
        <v>0</v>
      </c>
      <c r="AT172" s="53">
        <v>0</v>
      </c>
      <c r="AU172" s="62" t="str">
        <f t="shared" si="332"/>
        <v>DNS/DNF</v>
      </c>
      <c r="AV172" s="62">
        <f t="shared" si="333"/>
        <v>2.7617476851851852E-3</v>
      </c>
      <c r="AW172" s="62">
        <f t="shared" si="334"/>
        <v>1.5023148148148148E-3</v>
      </c>
      <c r="AX172" s="62" t="str">
        <f t="shared" si="335"/>
        <v>DNS/DNF</v>
      </c>
      <c r="AY172" s="62">
        <f t="shared" si="336"/>
        <v>3.7584606481481484E-3</v>
      </c>
      <c r="AZ172" s="62" t="str">
        <f t="shared" si="337"/>
        <v>DNS/DNF</v>
      </c>
      <c r="BA172" s="62" t="str">
        <f t="shared" si="338"/>
        <v>DNS/DNF</v>
      </c>
      <c r="BB172" s="62" t="str">
        <f t="shared" si="339"/>
        <v>DNS/DNF</v>
      </c>
      <c r="BC172" s="75">
        <f t="shared" si="340"/>
        <v>54</v>
      </c>
      <c r="BD172" s="53">
        <f t="shared" si="341"/>
        <v>232106</v>
      </c>
      <c r="BE172" s="53">
        <f t="shared" si="342"/>
        <v>235953</v>
      </c>
      <c r="BF172" s="53" t="str">
        <f t="shared" si="343"/>
        <v/>
      </c>
      <c r="BG172" s="53">
        <f t="shared" si="344"/>
        <v>262777</v>
      </c>
      <c r="BH172" s="53">
        <f t="shared" si="345"/>
        <v>320104</v>
      </c>
      <c r="BI172" s="53" t="str">
        <f t="shared" si="346"/>
        <v/>
      </c>
      <c r="BJ172" s="53" t="str">
        <f t="shared" si="347"/>
        <v/>
      </c>
      <c r="BK172" s="53" t="str">
        <f t="shared" si="348"/>
        <v/>
      </c>
    </row>
    <row r="173" spans="1:63">
      <c r="A173" s="53">
        <v>191</v>
      </c>
      <c r="B173" s="89" t="str">
        <f>IFERROR(VLOOKUP($A173,EntryList!$A$3:$N$645,2,FALSE),"")</f>
        <v>Pieter Heyns</v>
      </c>
      <c r="C173" s="74"/>
      <c r="D173" s="53">
        <f t="shared" si="315"/>
        <v>3</v>
      </c>
      <c r="E173" s="62"/>
      <c r="F173" s="62">
        <v>2.7617476851851852E-3</v>
      </c>
      <c r="G173" s="62">
        <v>1.5023148148148148E-3</v>
      </c>
      <c r="H173" s="62"/>
      <c r="I173" s="62">
        <v>3.7584606481481479E-3</v>
      </c>
      <c r="J173" s="62"/>
      <c r="K173" s="62"/>
      <c r="L173" s="62"/>
      <c r="M173" s="62">
        <v>8.0225231481481484E-3</v>
      </c>
      <c r="N173" s="62">
        <f t="shared" si="316"/>
        <v>8.0225231481481484E-3</v>
      </c>
      <c r="O173" s="53" t="str">
        <f t="shared" si="317"/>
        <v/>
      </c>
      <c r="P173" s="53">
        <f t="shared" si="318"/>
        <v>60</v>
      </c>
      <c r="Q173" s="53">
        <f t="shared" si="319"/>
        <v>44</v>
      </c>
      <c r="R173" s="53" t="str">
        <f t="shared" si="320"/>
        <v/>
      </c>
      <c r="S173" s="53">
        <f t="shared" si="321"/>
        <v>59</v>
      </c>
      <c r="T173" s="53" t="str">
        <f t="shared" si="322"/>
        <v/>
      </c>
      <c r="U173" s="53" t="str">
        <f t="shared" si="323"/>
        <v/>
      </c>
      <c r="V173" s="53" t="str">
        <f t="shared" si="324"/>
        <v/>
      </c>
      <c r="W173" s="53" t="str">
        <f t="shared" si="349"/>
        <v>DNS/DNF ()</v>
      </c>
      <c r="X173" s="53" t="str">
        <f t="shared" si="325"/>
        <v>00:03:58.6 (60)</v>
      </c>
      <c r="Y173" s="53" t="str">
        <f t="shared" si="326"/>
        <v>00:02:09.8 (44)</v>
      </c>
      <c r="Z173" s="53" t="str">
        <f t="shared" si="327"/>
        <v>DNS/DNF ()</v>
      </c>
      <c r="AA173" s="53" t="str">
        <f t="shared" si="328"/>
        <v>00:05:24.7 (59)</v>
      </c>
      <c r="AB173" s="53" t="str">
        <f t="shared" si="329"/>
        <v>DNS/DNF ()</v>
      </c>
      <c r="AC173" s="53" t="str">
        <f t="shared" si="330"/>
        <v>DNS/DNF ()</v>
      </c>
      <c r="AD173" s="53" t="str">
        <f t="shared" si="331"/>
        <v>DNS/DNF ()</v>
      </c>
      <c r="AE173" s="53">
        <v>0</v>
      </c>
      <c r="AF173" s="53">
        <v>0</v>
      </c>
      <c r="AG173" s="53">
        <v>36314310</v>
      </c>
      <c r="AH173" s="53">
        <v>36552925</v>
      </c>
      <c r="AI173" s="53">
        <v>40489524</v>
      </c>
      <c r="AJ173" s="53">
        <v>40619324</v>
      </c>
      <c r="AK173" s="53">
        <v>0</v>
      </c>
      <c r="AL173" s="53">
        <v>0</v>
      </c>
      <c r="AM173" s="53">
        <v>44682002</v>
      </c>
      <c r="AN173" s="53">
        <v>45006733</v>
      </c>
      <c r="AO173" s="53">
        <v>0</v>
      </c>
      <c r="AP173" s="53">
        <v>0</v>
      </c>
      <c r="AQ173" s="53">
        <v>0</v>
      </c>
      <c r="AR173" s="53">
        <v>0</v>
      </c>
      <c r="AS173" s="53">
        <v>0</v>
      </c>
      <c r="AT173" s="53">
        <v>0</v>
      </c>
      <c r="AU173" s="62" t="str">
        <f t="shared" si="332"/>
        <v>DNS/DNF</v>
      </c>
      <c r="AV173" s="62">
        <f t="shared" si="333"/>
        <v>2.7617476851851852E-3</v>
      </c>
      <c r="AW173" s="62">
        <f t="shared" si="334"/>
        <v>1.5023148148148148E-3</v>
      </c>
      <c r="AX173" s="62" t="str">
        <f t="shared" si="335"/>
        <v>DNS/DNF</v>
      </c>
      <c r="AY173" s="62">
        <f t="shared" si="336"/>
        <v>3.7584606481481484E-3</v>
      </c>
      <c r="AZ173" s="62" t="str">
        <f t="shared" si="337"/>
        <v>DNS/DNF</v>
      </c>
      <c r="BA173" s="62" t="str">
        <f t="shared" si="338"/>
        <v>DNS/DNF</v>
      </c>
      <c r="BB173" s="62" t="str">
        <f t="shared" si="339"/>
        <v>DNS/DNF</v>
      </c>
      <c r="BC173" s="75">
        <f t="shared" si="340"/>
        <v>54</v>
      </c>
      <c r="BD173" s="53">
        <f t="shared" si="341"/>
        <v>232106</v>
      </c>
      <c r="BE173" s="53">
        <f t="shared" si="342"/>
        <v>235953</v>
      </c>
      <c r="BF173" s="53" t="str">
        <f t="shared" si="343"/>
        <v/>
      </c>
      <c r="BG173" s="53">
        <f t="shared" si="344"/>
        <v>262777</v>
      </c>
      <c r="BH173" s="53">
        <f t="shared" si="345"/>
        <v>320104</v>
      </c>
      <c r="BI173" s="53" t="str">
        <f t="shared" si="346"/>
        <v/>
      </c>
      <c r="BJ173" s="53" t="str">
        <f t="shared" si="347"/>
        <v/>
      </c>
      <c r="BK173" s="53" t="str">
        <f t="shared" si="348"/>
        <v/>
      </c>
    </row>
    <row r="174" spans="1:63">
      <c r="A174" s="53">
        <v>267</v>
      </c>
      <c r="B174" s="89" t="str">
        <f>IFERROR(VLOOKUP($A174,EntryList!$A$3:$N$645,2,FALSE),"")</f>
        <v>Calum Marriott</v>
      </c>
      <c r="C174" s="74"/>
      <c r="D174" s="53">
        <f t="shared" si="315"/>
        <v>3</v>
      </c>
      <c r="E174" s="62"/>
      <c r="F174" s="62">
        <v>2.9864004629629633E-3</v>
      </c>
      <c r="G174" s="62">
        <v>1.6940046296296295E-3</v>
      </c>
      <c r="H174" s="62"/>
      <c r="I174" s="62">
        <v>4.050868055555555E-3</v>
      </c>
      <c r="J174" s="62"/>
      <c r="K174" s="62"/>
      <c r="L174" s="62"/>
      <c r="M174" s="62">
        <v>8.7312731481481477E-3</v>
      </c>
      <c r="N174" s="62">
        <f t="shared" si="316"/>
        <v>8.7312731481481477E-3</v>
      </c>
      <c r="O174" s="53" t="str">
        <f t="shared" si="317"/>
        <v/>
      </c>
      <c r="P174" s="53">
        <f t="shared" si="318"/>
        <v>112</v>
      </c>
      <c r="Q174" s="53">
        <f t="shared" si="319"/>
        <v>102</v>
      </c>
      <c r="R174" s="53" t="str">
        <f t="shared" si="320"/>
        <v/>
      </c>
      <c r="S174" s="53">
        <f t="shared" si="321"/>
        <v>114</v>
      </c>
      <c r="T174" s="53" t="str">
        <f t="shared" si="322"/>
        <v/>
      </c>
      <c r="U174" s="53" t="str">
        <f t="shared" si="323"/>
        <v/>
      </c>
      <c r="V174" s="53" t="str">
        <f t="shared" si="324"/>
        <v/>
      </c>
      <c r="W174" s="53" t="str">
        <f t="shared" si="349"/>
        <v>DNS/DNF ()</v>
      </c>
      <c r="X174" s="53" t="str">
        <f t="shared" si="325"/>
        <v>00:04:18.0 (112)</v>
      </c>
      <c r="Y174" s="53" t="str">
        <f t="shared" si="326"/>
        <v>00:02:26.4 (102)</v>
      </c>
      <c r="Z174" s="53" t="str">
        <f t="shared" si="327"/>
        <v>DNS/DNF ()</v>
      </c>
      <c r="AA174" s="53" t="str">
        <f t="shared" si="328"/>
        <v>00:05:50.0 (114)</v>
      </c>
      <c r="AB174" s="53" t="str">
        <f t="shared" si="329"/>
        <v>DNS/DNF ()</v>
      </c>
      <c r="AC174" s="53" t="str">
        <f t="shared" si="330"/>
        <v>DNS/DNF ()</v>
      </c>
      <c r="AD174" s="53" t="str">
        <f t="shared" si="331"/>
        <v>DNS/DNF ()</v>
      </c>
      <c r="AE174" s="53">
        <v>0</v>
      </c>
      <c r="AF174" s="53">
        <v>0</v>
      </c>
      <c r="AG174" s="53">
        <v>36317426</v>
      </c>
      <c r="AH174" s="53">
        <v>36575451</v>
      </c>
      <c r="AI174" s="53">
        <v>40497138</v>
      </c>
      <c r="AJ174" s="53">
        <v>40643500</v>
      </c>
      <c r="AK174" s="53">
        <v>0</v>
      </c>
      <c r="AL174" s="53">
        <v>0</v>
      </c>
      <c r="AM174" s="53">
        <v>44693260</v>
      </c>
      <c r="AN174" s="53">
        <v>45043255</v>
      </c>
      <c r="AO174" s="53">
        <v>0</v>
      </c>
      <c r="AP174" s="53">
        <v>0</v>
      </c>
      <c r="AQ174" s="53">
        <v>0</v>
      </c>
      <c r="AR174" s="53">
        <v>0</v>
      </c>
      <c r="AS174" s="53">
        <v>0</v>
      </c>
      <c r="AT174" s="53">
        <v>0</v>
      </c>
      <c r="AU174" s="62" t="str">
        <f t="shared" si="332"/>
        <v>DNS/DNF</v>
      </c>
      <c r="AV174" s="62">
        <f t="shared" si="333"/>
        <v>2.9864004629629628E-3</v>
      </c>
      <c r="AW174" s="62">
        <f t="shared" si="334"/>
        <v>1.6940046296296297E-3</v>
      </c>
      <c r="AX174" s="62" t="str">
        <f t="shared" si="335"/>
        <v>DNS/DNF</v>
      </c>
      <c r="AY174" s="62">
        <f t="shared" si="336"/>
        <v>4.0508680555555558E-3</v>
      </c>
      <c r="AZ174" s="62" t="str">
        <f t="shared" si="337"/>
        <v>DNS/DNF</v>
      </c>
      <c r="BA174" s="62" t="str">
        <f t="shared" si="338"/>
        <v>DNS/DNF</v>
      </c>
      <c r="BB174" s="62" t="str">
        <f t="shared" si="339"/>
        <v>DNS/DNF</v>
      </c>
      <c r="BC174" s="75">
        <f t="shared" si="340"/>
        <v>109</v>
      </c>
      <c r="BD174" s="53">
        <f t="shared" si="341"/>
        <v>289640</v>
      </c>
      <c r="BE174" s="53">
        <f t="shared" si="342"/>
        <v>257553</v>
      </c>
      <c r="BF174" s="53">
        <f t="shared" si="343"/>
        <v>147732</v>
      </c>
      <c r="BG174" s="53">
        <f t="shared" si="344"/>
        <v>306982</v>
      </c>
      <c r="BH174" s="53">
        <f t="shared" si="345"/>
        <v>348270.99999999994</v>
      </c>
      <c r="BI174" s="53" t="str">
        <f t="shared" si="346"/>
        <v/>
      </c>
      <c r="BJ174" s="53" t="str">
        <f t="shared" si="347"/>
        <v/>
      </c>
      <c r="BK174" s="53" t="str">
        <f t="shared" si="348"/>
        <v/>
      </c>
    </row>
    <row r="175" spans="1:63">
      <c r="A175" s="53">
        <v>248</v>
      </c>
      <c r="B175" s="89" t="str">
        <f>IFERROR(VLOOKUP($A175,EntryList!$A$3:$N$645,2,FALSE),"")</f>
        <v>Pieter Venter</v>
      </c>
      <c r="C175" s="74"/>
      <c r="D175" s="53">
        <f t="shared" si="315"/>
        <v>5</v>
      </c>
      <c r="E175" s="62">
        <v>2.265023148148148E-3</v>
      </c>
      <c r="F175" s="62">
        <v>2.5786111111111109E-3</v>
      </c>
      <c r="G175" s="62">
        <v>1.3719328703703704E-3</v>
      </c>
      <c r="H175" s="62">
        <v>2.7336574074074073E-3</v>
      </c>
      <c r="I175" s="62">
        <v>3.4214583333333332E-3</v>
      </c>
      <c r="J175" s="62"/>
      <c r="K175" s="62"/>
      <c r="L175" s="62"/>
      <c r="M175" s="62">
        <v>1.2370682870370369E-2</v>
      </c>
      <c r="N175" s="62">
        <f t="shared" si="316"/>
        <v>1.237068287037037E-2</v>
      </c>
      <c r="O175" s="53">
        <f t="shared" si="317"/>
        <v>10</v>
      </c>
      <c r="P175" s="53">
        <f t="shared" si="318"/>
        <v>24</v>
      </c>
      <c r="Q175" s="53">
        <f t="shared" si="319"/>
        <v>7</v>
      </c>
      <c r="R175" s="53">
        <f t="shared" si="320"/>
        <v>13</v>
      </c>
      <c r="S175" s="53">
        <f t="shared" si="321"/>
        <v>13</v>
      </c>
      <c r="T175" s="53" t="str">
        <f t="shared" si="322"/>
        <v/>
      </c>
      <c r="U175" s="53" t="str">
        <f t="shared" si="323"/>
        <v/>
      </c>
      <c r="V175" s="53" t="str">
        <f t="shared" si="324"/>
        <v/>
      </c>
      <c r="W175" s="53" t="str">
        <f t="shared" si="349"/>
        <v>00:03:15.7 (10)</v>
      </c>
      <c r="X175" s="53" t="str">
        <f t="shared" si="325"/>
        <v>00:03:42.8 (24)</v>
      </c>
      <c r="Y175" s="53" t="str">
        <f t="shared" si="326"/>
        <v>00:01:58.5 (7)</v>
      </c>
      <c r="Z175" s="53" t="str">
        <f t="shared" si="327"/>
        <v>00:03:56.2 (13)</v>
      </c>
      <c r="AA175" s="53" t="str">
        <f t="shared" si="328"/>
        <v>00:04:55.6 (13)</v>
      </c>
      <c r="AB175" s="53" t="str">
        <f t="shared" si="329"/>
        <v>DNS/DNF ()</v>
      </c>
      <c r="AC175" s="53" t="str">
        <f t="shared" si="330"/>
        <v>DNS/DNF ()</v>
      </c>
      <c r="AD175" s="53" t="str">
        <f t="shared" si="331"/>
        <v>DNS/DNF ()</v>
      </c>
      <c r="AE175" s="53">
        <v>35129584</v>
      </c>
      <c r="AF175" s="53">
        <v>35325282</v>
      </c>
      <c r="AG175" s="53">
        <v>31459980</v>
      </c>
      <c r="AH175" s="53">
        <v>31682772</v>
      </c>
      <c r="AI175" s="53">
        <v>38539862</v>
      </c>
      <c r="AJ175" s="53">
        <v>38658397</v>
      </c>
      <c r="AK175" s="53">
        <v>43588979</v>
      </c>
      <c r="AL175" s="53">
        <v>43825167</v>
      </c>
      <c r="AM175" s="53">
        <v>46730400</v>
      </c>
      <c r="AN175" s="53">
        <v>47026014</v>
      </c>
      <c r="AO175" s="53">
        <v>0</v>
      </c>
      <c r="AP175" s="53">
        <v>0</v>
      </c>
      <c r="AQ175" s="53">
        <v>0</v>
      </c>
      <c r="AR175" s="53">
        <v>0</v>
      </c>
      <c r="AS175" s="53">
        <v>0</v>
      </c>
      <c r="AT175" s="53">
        <v>0</v>
      </c>
      <c r="AU175" s="62">
        <f t="shared" si="332"/>
        <v>2.265023148148148E-3</v>
      </c>
      <c r="AV175" s="62">
        <f t="shared" si="333"/>
        <v>2.5786111111111109E-3</v>
      </c>
      <c r="AW175" s="62">
        <f t="shared" si="334"/>
        <v>1.3719328703703704E-3</v>
      </c>
      <c r="AX175" s="62">
        <f t="shared" si="335"/>
        <v>2.7336574074074073E-3</v>
      </c>
      <c r="AY175" s="62">
        <f t="shared" si="336"/>
        <v>3.4214583333333332E-3</v>
      </c>
      <c r="AZ175" s="62" t="str">
        <f t="shared" si="337"/>
        <v>DNS/DNF</v>
      </c>
      <c r="BA175" s="62" t="str">
        <f t="shared" si="338"/>
        <v>DNS/DNF</v>
      </c>
      <c r="BB175" s="62" t="str">
        <f t="shared" si="339"/>
        <v>DNS/DNF</v>
      </c>
      <c r="BC175" s="75">
        <f t="shared" si="340"/>
        <v>13</v>
      </c>
      <c r="BD175" s="53">
        <f t="shared" si="341"/>
        <v>197731</v>
      </c>
      <c r="BE175" s="53">
        <f t="shared" si="342"/>
        <v>215733.00000000003</v>
      </c>
      <c r="BF175" s="53">
        <f t="shared" si="343"/>
        <v>119068</v>
      </c>
      <c r="BG175" s="53">
        <f t="shared" si="344"/>
        <v>236188</v>
      </c>
      <c r="BH175" s="53">
        <f t="shared" si="345"/>
        <v>295614</v>
      </c>
      <c r="BI175" s="53" t="str">
        <f t="shared" si="346"/>
        <v/>
      </c>
      <c r="BJ175" s="53" t="str">
        <f t="shared" si="347"/>
        <v/>
      </c>
      <c r="BK175" s="53" t="str">
        <f t="shared" si="348"/>
        <v/>
      </c>
    </row>
    <row r="176" spans="1:63">
      <c r="A176" s="53">
        <v>17</v>
      </c>
      <c r="B176" s="89" t="str">
        <f>IFERROR(VLOOKUP($A176,EntryList!$A$3:$N$645,2,FALSE),"")</f>
        <v>Alexander Jonker</v>
      </c>
      <c r="C176" s="74"/>
      <c r="D176" s="53">
        <f t="shared" si="315"/>
        <v>5</v>
      </c>
      <c r="E176" s="62">
        <v>2.4708912037037039E-3</v>
      </c>
      <c r="F176" s="62">
        <v>2.8231134259259255E-3</v>
      </c>
      <c r="G176" s="62">
        <v>1.5135069444444447E-3</v>
      </c>
      <c r="H176" s="62">
        <v>2.9883333333333337E-3</v>
      </c>
      <c r="I176" s="62">
        <v>3.6043402777777775E-3</v>
      </c>
      <c r="J176" s="62"/>
      <c r="K176" s="62"/>
      <c r="L176" s="62"/>
      <c r="M176" s="62">
        <v>1.3400185185185187E-2</v>
      </c>
      <c r="N176" s="62">
        <f t="shared" si="316"/>
        <v>1.3400185185185185E-2</v>
      </c>
      <c r="O176" s="53">
        <f t="shared" si="317"/>
        <v>26</v>
      </c>
      <c r="P176" s="53">
        <f t="shared" si="318"/>
        <v>77</v>
      </c>
      <c r="Q176" s="53">
        <f t="shared" si="319"/>
        <v>53</v>
      </c>
      <c r="R176" s="53">
        <f t="shared" si="320"/>
        <v>44</v>
      </c>
      <c r="S176" s="53">
        <f t="shared" si="321"/>
        <v>36</v>
      </c>
      <c r="T176" s="53" t="str">
        <f t="shared" si="322"/>
        <v/>
      </c>
      <c r="U176" s="53" t="str">
        <f t="shared" si="323"/>
        <v/>
      </c>
      <c r="V176" s="53" t="str">
        <f t="shared" si="324"/>
        <v/>
      </c>
      <c r="W176" s="53" t="str">
        <f t="shared" si="349"/>
        <v>00:03:33.5 (26)</v>
      </c>
      <c r="X176" s="53" t="str">
        <f t="shared" si="325"/>
        <v>00:04:03.9 (77)</v>
      </c>
      <c r="Y176" s="53" t="str">
        <f t="shared" si="326"/>
        <v>00:02:10.8 (53)</v>
      </c>
      <c r="Z176" s="53" t="str">
        <f t="shared" si="327"/>
        <v>00:04:18.2 (44)</v>
      </c>
      <c r="AA176" s="53" t="str">
        <f t="shared" si="328"/>
        <v>00:05:11.4 (36)</v>
      </c>
      <c r="AB176" s="53" t="str">
        <f t="shared" si="329"/>
        <v>DNS/DNF ()</v>
      </c>
      <c r="AC176" s="53" t="str">
        <f t="shared" si="330"/>
        <v>DNS/DNF ()</v>
      </c>
      <c r="AD176" s="53" t="str">
        <f t="shared" si="331"/>
        <v>DNS/DNF ()</v>
      </c>
      <c r="AE176" s="53">
        <v>35083980</v>
      </c>
      <c r="AF176" s="53">
        <v>35297465</v>
      </c>
      <c r="AG176" s="53">
        <v>31501424</v>
      </c>
      <c r="AH176" s="53">
        <v>31745341</v>
      </c>
      <c r="AI176" s="53">
        <v>38733428</v>
      </c>
      <c r="AJ176" s="53">
        <v>38864195</v>
      </c>
      <c r="AK176" s="53">
        <v>43486777</v>
      </c>
      <c r="AL176" s="53">
        <v>43744969</v>
      </c>
      <c r="AM176" s="53">
        <v>46169702</v>
      </c>
      <c r="AN176" s="53">
        <v>46481117</v>
      </c>
      <c r="AO176" s="53">
        <v>0</v>
      </c>
      <c r="AP176" s="53">
        <v>0</v>
      </c>
      <c r="AQ176" s="53">
        <v>0</v>
      </c>
      <c r="AR176" s="53">
        <v>0</v>
      </c>
      <c r="AS176" s="53">
        <v>0</v>
      </c>
      <c r="AT176" s="53">
        <v>0</v>
      </c>
      <c r="AU176" s="62">
        <f t="shared" si="332"/>
        <v>2.4708912037037039E-3</v>
      </c>
      <c r="AV176" s="62">
        <f t="shared" si="333"/>
        <v>2.823113425925926E-3</v>
      </c>
      <c r="AW176" s="62">
        <f t="shared" si="334"/>
        <v>1.5135069444444445E-3</v>
      </c>
      <c r="AX176" s="62">
        <f t="shared" si="335"/>
        <v>2.9883333333333333E-3</v>
      </c>
      <c r="AY176" s="62">
        <f t="shared" si="336"/>
        <v>3.6043402777777779E-3</v>
      </c>
      <c r="AZ176" s="62" t="str">
        <f t="shared" si="337"/>
        <v>DNS/DNF</v>
      </c>
      <c r="BA176" s="62" t="str">
        <f t="shared" si="338"/>
        <v>DNS/DNF</v>
      </c>
      <c r="BB176" s="62" t="str">
        <f t="shared" si="339"/>
        <v>DNS/DNF</v>
      </c>
      <c r="BC176" s="75">
        <f t="shared" si="340"/>
        <v>47</v>
      </c>
      <c r="BD176" s="53">
        <f t="shared" si="341"/>
        <v>225603</v>
      </c>
      <c r="BE176" s="53">
        <f t="shared" si="342"/>
        <v>233078</v>
      </c>
      <c r="BF176" s="53">
        <f t="shared" si="343"/>
        <v>130212</v>
      </c>
      <c r="BG176" s="53">
        <f t="shared" si="344"/>
        <v>258912</v>
      </c>
      <c r="BH176" s="53">
        <f t="shared" si="345"/>
        <v>315464</v>
      </c>
      <c r="BI176" s="53" t="str">
        <f t="shared" si="346"/>
        <v/>
      </c>
      <c r="BJ176" s="53" t="str">
        <f t="shared" si="347"/>
        <v/>
      </c>
      <c r="BK176" s="53" t="str">
        <f t="shared" si="348"/>
        <v/>
      </c>
    </row>
    <row r="177" spans="1:63" ht="13.5" customHeight="1">
      <c r="A177" s="53">
        <v>17</v>
      </c>
      <c r="B177" s="89" t="str">
        <f>IFERROR(VLOOKUP($A177,EntryList!$A$3:$N$645,2,FALSE),"")</f>
        <v>Alexander Jonker</v>
      </c>
      <c r="C177" s="74"/>
      <c r="D177" s="53">
        <f t="shared" si="315"/>
        <v>5</v>
      </c>
      <c r="E177" s="62">
        <v>2.4708912037037039E-3</v>
      </c>
      <c r="F177" s="62">
        <v>2.8231134259259255E-3</v>
      </c>
      <c r="G177" s="62">
        <v>1.5135069444444447E-3</v>
      </c>
      <c r="H177" s="62">
        <v>2.9883333333333337E-3</v>
      </c>
      <c r="I177" s="62">
        <v>3.6043402777777775E-3</v>
      </c>
      <c r="J177" s="62"/>
      <c r="K177" s="62"/>
      <c r="L177" s="62"/>
      <c r="M177" s="62">
        <v>1.3400185185185187E-2</v>
      </c>
      <c r="N177" s="62">
        <f t="shared" si="316"/>
        <v>1.3400185185185185E-2</v>
      </c>
      <c r="O177" s="53">
        <f t="shared" si="317"/>
        <v>26</v>
      </c>
      <c r="P177" s="53">
        <f t="shared" si="318"/>
        <v>77</v>
      </c>
      <c r="Q177" s="53">
        <f t="shared" si="319"/>
        <v>53</v>
      </c>
      <c r="R177" s="53">
        <f t="shared" si="320"/>
        <v>44</v>
      </c>
      <c r="S177" s="53">
        <f t="shared" si="321"/>
        <v>36</v>
      </c>
      <c r="T177" s="53" t="str">
        <f t="shared" si="322"/>
        <v/>
      </c>
      <c r="U177" s="53" t="str">
        <f t="shared" si="323"/>
        <v/>
      </c>
      <c r="V177" s="53" t="str">
        <f t="shared" si="324"/>
        <v/>
      </c>
      <c r="W177" s="53" t="str">
        <f t="shared" si="349"/>
        <v>00:03:33.5 (26)</v>
      </c>
      <c r="X177" s="53" t="str">
        <f t="shared" si="325"/>
        <v>00:04:03.9 (77)</v>
      </c>
      <c r="Y177" s="53" t="str">
        <f t="shared" si="326"/>
        <v>00:02:10.8 (53)</v>
      </c>
      <c r="Z177" s="53" t="str">
        <f t="shared" si="327"/>
        <v>00:04:18.2 (44)</v>
      </c>
      <c r="AA177" s="53" t="str">
        <f t="shared" si="328"/>
        <v>00:05:11.4 (36)</v>
      </c>
      <c r="AB177" s="53" t="str">
        <f t="shared" si="329"/>
        <v>DNS/DNF ()</v>
      </c>
      <c r="AC177" s="53" t="str">
        <f t="shared" si="330"/>
        <v>DNS/DNF ()</v>
      </c>
      <c r="AD177" s="53" t="str">
        <f t="shared" si="331"/>
        <v>DNS/DNF ()</v>
      </c>
      <c r="AE177" s="53">
        <v>35083980</v>
      </c>
      <c r="AF177" s="53">
        <v>35297465</v>
      </c>
      <c r="AG177" s="53">
        <v>31501424</v>
      </c>
      <c r="AH177" s="53">
        <v>31745341</v>
      </c>
      <c r="AI177" s="53">
        <v>38733428</v>
      </c>
      <c r="AJ177" s="53">
        <v>38864195</v>
      </c>
      <c r="AK177" s="53">
        <v>43486777</v>
      </c>
      <c r="AL177" s="53">
        <v>43744969</v>
      </c>
      <c r="AM177" s="53">
        <v>46169702</v>
      </c>
      <c r="AN177" s="53">
        <v>46481117</v>
      </c>
      <c r="AO177" s="53">
        <v>0</v>
      </c>
      <c r="AP177" s="53">
        <v>0</v>
      </c>
      <c r="AQ177" s="53">
        <v>0</v>
      </c>
      <c r="AR177" s="53">
        <v>0</v>
      </c>
      <c r="AS177" s="53">
        <v>0</v>
      </c>
      <c r="AT177" s="53">
        <v>0</v>
      </c>
      <c r="AU177" s="62">
        <f t="shared" si="332"/>
        <v>2.4708912037037039E-3</v>
      </c>
      <c r="AV177" s="62">
        <f t="shared" si="333"/>
        <v>2.823113425925926E-3</v>
      </c>
      <c r="AW177" s="62">
        <f t="shared" si="334"/>
        <v>1.5135069444444445E-3</v>
      </c>
      <c r="AX177" s="62">
        <f t="shared" si="335"/>
        <v>2.9883333333333333E-3</v>
      </c>
      <c r="AY177" s="62">
        <f t="shared" si="336"/>
        <v>3.6043402777777779E-3</v>
      </c>
      <c r="AZ177" s="62" t="str">
        <f t="shared" si="337"/>
        <v>DNS/DNF</v>
      </c>
      <c r="BA177" s="62" t="str">
        <f t="shared" si="338"/>
        <v>DNS/DNF</v>
      </c>
      <c r="BB177" s="62" t="str">
        <f t="shared" si="339"/>
        <v>DNS/DNF</v>
      </c>
      <c r="BC177" s="75">
        <f t="shared" si="340"/>
        <v>47</v>
      </c>
      <c r="BD177" s="53">
        <f t="shared" si="341"/>
        <v>225603</v>
      </c>
      <c r="BE177" s="53">
        <f t="shared" si="342"/>
        <v>233078</v>
      </c>
      <c r="BF177" s="53">
        <f t="shared" si="343"/>
        <v>130212</v>
      </c>
      <c r="BG177" s="53">
        <f t="shared" si="344"/>
        <v>258912</v>
      </c>
      <c r="BH177" s="53">
        <f t="shared" si="345"/>
        <v>315464</v>
      </c>
      <c r="BI177" s="53" t="str">
        <f t="shared" si="346"/>
        <v/>
      </c>
      <c r="BJ177" s="53" t="str">
        <f t="shared" si="347"/>
        <v/>
      </c>
      <c r="BK177" s="53" t="str">
        <f t="shared" si="348"/>
        <v/>
      </c>
    </row>
    <row r="178" spans="1:63">
      <c r="A178" s="53">
        <v>20</v>
      </c>
      <c r="B178" s="89" t="str">
        <f>IFERROR(VLOOKUP($A178,EntryList!$A$3:$N$645,2,FALSE),"")</f>
        <v>Luca Zietsman</v>
      </c>
      <c r="C178" s="74"/>
      <c r="D178" s="53">
        <f t="shared" si="315"/>
        <v>5</v>
      </c>
      <c r="E178" s="62">
        <v>2.4740393518518518E-3</v>
      </c>
      <c r="F178" s="62">
        <v>2.641863425925926E-3</v>
      </c>
      <c r="G178" s="62">
        <v>1.4664930555555553E-3</v>
      </c>
      <c r="H178" s="62">
        <v>2.9366087962962965E-3</v>
      </c>
      <c r="I178" s="62">
        <v>3.5764930555555554E-3</v>
      </c>
      <c r="J178" s="62"/>
      <c r="K178" s="62"/>
      <c r="L178" s="62"/>
      <c r="M178" s="62">
        <v>1.3095497685185184E-2</v>
      </c>
      <c r="N178" s="62">
        <f t="shared" si="316"/>
        <v>1.3095497685185186E-2</v>
      </c>
      <c r="O178" s="53">
        <f t="shared" si="317"/>
        <v>29</v>
      </c>
      <c r="P178" s="53">
        <f t="shared" si="318"/>
        <v>33</v>
      </c>
      <c r="Q178" s="53">
        <f t="shared" si="319"/>
        <v>34</v>
      </c>
      <c r="R178" s="53">
        <f t="shared" si="320"/>
        <v>34</v>
      </c>
      <c r="S178" s="53">
        <f t="shared" si="321"/>
        <v>30</v>
      </c>
      <c r="T178" s="53" t="str">
        <f t="shared" si="322"/>
        <v/>
      </c>
      <c r="U178" s="53" t="str">
        <f t="shared" si="323"/>
        <v/>
      </c>
      <c r="V178" s="53" t="str">
        <f t="shared" si="324"/>
        <v/>
      </c>
      <c r="W178" s="53" t="str">
        <f t="shared" si="349"/>
        <v>00:03:33.8 (29)</v>
      </c>
      <c r="X178" s="53" t="str">
        <f t="shared" si="325"/>
        <v>00:03:48.3 (33)</v>
      </c>
      <c r="Y178" s="53" t="str">
        <f t="shared" si="326"/>
        <v>00:02:06.7 (34)</v>
      </c>
      <c r="Z178" s="53" t="str">
        <f t="shared" si="327"/>
        <v>00:04:13.7 (34)</v>
      </c>
      <c r="AA178" s="53" t="str">
        <f t="shared" si="328"/>
        <v>00:05:09.0 (30)</v>
      </c>
      <c r="AB178" s="53" t="str">
        <f t="shared" si="329"/>
        <v>DNS/DNF ()</v>
      </c>
      <c r="AC178" s="53" t="str">
        <f t="shared" si="330"/>
        <v>DNS/DNF ()</v>
      </c>
      <c r="AD178" s="53" t="str">
        <f t="shared" si="331"/>
        <v>DNS/DNF ()</v>
      </c>
      <c r="AE178" s="53">
        <v>35168727</v>
      </c>
      <c r="AF178" s="53">
        <v>35382484</v>
      </c>
      <c r="AG178" s="53">
        <v>31580467</v>
      </c>
      <c r="AH178" s="53">
        <v>31808724</v>
      </c>
      <c r="AI178" s="53">
        <v>38615444</v>
      </c>
      <c r="AJ178" s="53">
        <v>38742149</v>
      </c>
      <c r="AK178" s="53">
        <v>43516701</v>
      </c>
      <c r="AL178" s="53">
        <v>43770424</v>
      </c>
      <c r="AM178" s="53">
        <v>46664846</v>
      </c>
      <c r="AN178" s="53">
        <v>46973855</v>
      </c>
      <c r="AO178" s="53">
        <v>0</v>
      </c>
      <c r="AP178" s="53">
        <v>0</v>
      </c>
      <c r="AQ178" s="53">
        <v>0</v>
      </c>
      <c r="AR178" s="53">
        <v>0</v>
      </c>
      <c r="AS178" s="53">
        <v>0</v>
      </c>
      <c r="AT178" s="53">
        <v>0</v>
      </c>
      <c r="AU178" s="62">
        <f t="shared" si="332"/>
        <v>2.4740393518518518E-3</v>
      </c>
      <c r="AV178" s="62">
        <f t="shared" si="333"/>
        <v>2.641863425925926E-3</v>
      </c>
      <c r="AW178" s="62">
        <f t="shared" si="334"/>
        <v>1.4664930555555555E-3</v>
      </c>
      <c r="AX178" s="62">
        <f t="shared" si="335"/>
        <v>2.9366087962962961E-3</v>
      </c>
      <c r="AY178" s="62">
        <f t="shared" si="336"/>
        <v>3.5764930555555554E-3</v>
      </c>
      <c r="AZ178" s="62" t="str">
        <f t="shared" si="337"/>
        <v>DNS/DNF</v>
      </c>
      <c r="BA178" s="62" t="str">
        <f t="shared" si="338"/>
        <v>DNS/DNF</v>
      </c>
      <c r="BB178" s="62" t="str">
        <f t="shared" si="339"/>
        <v>DNS/DNF</v>
      </c>
      <c r="BC178" s="75">
        <f t="shared" si="340"/>
        <v>32</v>
      </c>
      <c r="BD178" s="53">
        <f t="shared" si="341"/>
        <v>214654</v>
      </c>
      <c r="BE178" s="53">
        <f t="shared" si="342"/>
        <v>227701</v>
      </c>
      <c r="BF178" s="53">
        <f t="shared" si="343"/>
        <v>126358.00000000001</v>
      </c>
      <c r="BG178" s="53">
        <f t="shared" si="344"/>
        <v>252734</v>
      </c>
      <c r="BH178" s="53">
        <f t="shared" si="345"/>
        <v>309892</v>
      </c>
      <c r="BI178" s="53" t="str">
        <f t="shared" si="346"/>
        <v/>
      </c>
      <c r="BJ178" s="53" t="str">
        <f t="shared" si="347"/>
        <v/>
      </c>
      <c r="BK178" s="53" t="str">
        <f t="shared" si="348"/>
        <v/>
      </c>
    </row>
    <row r="179" spans="1:63">
      <c r="A179" s="53">
        <v>216</v>
      </c>
      <c r="B179" s="89" t="str">
        <f>IFERROR(VLOOKUP($A179,EntryList!$A$3:$N$645,2,FALSE),"")</f>
        <v>Johan Van Zyl</v>
      </c>
      <c r="C179" s="74"/>
      <c r="D179" s="53">
        <f t="shared" si="315"/>
        <v>5</v>
      </c>
      <c r="E179" s="62">
        <v>2.3601273148148149E-3</v>
      </c>
      <c r="F179" s="62">
        <v>2.5275694444444443E-3</v>
      </c>
      <c r="G179" s="62">
        <v>1.4660763888888889E-3</v>
      </c>
      <c r="H179" s="62">
        <v>2.7821874999999999E-3</v>
      </c>
      <c r="I179" s="62">
        <v>3.4132407407407406E-3</v>
      </c>
      <c r="J179" s="62"/>
      <c r="K179" s="62"/>
      <c r="L179" s="62"/>
      <c r="M179" s="62">
        <v>1.2549201388888889E-2</v>
      </c>
      <c r="N179" s="62">
        <f t="shared" si="316"/>
        <v>1.2549201388888889E-2</v>
      </c>
      <c r="O179" s="53">
        <f t="shared" si="317"/>
        <v>17</v>
      </c>
      <c r="P179" s="53">
        <f t="shared" si="318"/>
        <v>18</v>
      </c>
      <c r="Q179" s="53">
        <f t="shared" si="319"/>
        <v>33</v>
      </c>
      <c r="R179" s="53">
        <f t="shared" si="320"/>
        <v>20</v>
      </c>
      <c r="S179" s="53">
        <f t="shared" si="321"/>
        <v>11</v>
      </c>
      <c r="T179" s="53" t="str">
        <f t="shared" si="322"/>
        <v/>
      </c>
      <c r="U179" s="53" t="str">
        <f t="shared" si="323"/>
        <v/>
      </c>
      <c r="V179" s="53" t="str">
        <f t="shared" si="324"/>
        <v/>
      </c>
      <c r="W179" s="53" t="str">
        <f t="shared" si="349"/>
        <v>00:03:23.9 (17)</v>
      </c>
      <c r="X179" s="53" t="str">
        <f t="shared" si="325"/>
        <v>00:03:38.4 (18)</v>
      </c>
      <c r="Y179" s="53" t="str">
        <f t="shared" si="326"/>
        <v>00:02:06.7 (33)</v>
      </c>
      <c r="Z179" s="53" t="str">
        <f t="shared" si="327"/>
        <v>00:04:00.4 (20)</v>
      </c>
      <c r="AA179" s="53" t="str">
        <f t="shared" si="328"/>
        <v>00:04:54.9 (11)</v>
      </c>
      <c r="AB179" s="53" t="str">
        <f t="shared" si="329"/>
        <v>DNS/DNF ()</v>
      </c>
      <c r="AC179" s="53" t="str">
        <f t="shared" si="330"/>
        <v>DNS/DNF ()</v>
      </c>
      <c r="AD179" s="53" t="str">
        <f t="shared" si="331"/>
        <v>DNS/DNF ()</v>
      </c>
      <c r="AE179" s="53">
        <v>30869370</v>
      </c>
      <c r="AF179" s="53">
        <v>31073285</v>
      </c>
      <c r="AG179" s="53">
        <v>38511139</v>
      </c>
      <c r="AH179" s="53">
        <v>38729521</v>
      </c>
      <c r="AI179" s="53">
        <v>33177839</v>
      </c>
      <c r="AJ179" s="53">
        <v>33304508</v>
      </c>
      <c r="AK179" s="53">
        <v>43841168</v>
      </c>
      <c r="AL179" s="53">
        <v>44081549</v>
      </c>
      <c r="AM179" s="53">
        <v>46809178</v>
      </c>
      <c r="AN179" s="53">
        <v>47104082</v>
      </c>
      <c r="AO179" s="53">
        <v>0</v>
      </c>
      <c r="AP179" s="53">
        <v>0</v>
      </c>
      <c r="AQ179" s="53">
        <v>0</v>
      </c>
      <c r="AR179" s="53">
        <v>0</v>
      </c>
      <c r="AS179" s="53">
        <v>0</v>
      </c>
      <c r="AT179" s="53">
        <v>0</v>
      </c>
      <c r="AU179" s="62">
        <f t="shared" si="332"/>
        <v>2.3601273148148149E-3</v>
      </c>
      <c r="AV179" s="62">
        <f t="shared" si="333"/>
        <v>2.5275694444444443E-3</v>
      </c>
      <c r="AW179" s="62">
        <f t="shared" si="334"/>
        <v>1.4660763888888889E-3</v>
      </c>
      <c r="AX179" s="62">
        <f t="shared" si="335"/>
        <v>2.7821874999999999E-3</v>
      </c>
      <c r="AY179" s="62">
        <f t="shared" si="336"/>
        <v>3.4132407407407406E-3</v>
      </c>
      <c r="AZ179" s="62" t="str">
        <f t="shared" si="337"/>
        <v>DNS/DNF</v>
      </c>
      <c r="BA179" s="62" t="str">
        <f t="shared" si="338"/>
        <v>DNS/DNF</v>
      </c>
      <c r="BB179" s="62" t="str">
        <f t="shared" si="339"/>
        <v>DNS/DNF</v>
      </c>
      <c r="BC179" s="75">
        <f t="shared" si="340"/>
        <v>20</v>
      </c>
      <c r="BD179" s="53">
        <f t="shared" si="341"/>
        <v>209606</v>
      </c>
      <c r="BE179" s="53">
        <f t="shared" si="342"/>
        <v>221469</v>
      </c>
      <c r="BF179" s="53">
        <f t="shared" si="343"/>
        <v>123096</v>
      </c>
      <c r="BG179" s="53">
        <f t="shared" si="344"/>
        <v>240381</v>
      </c>
      <c r="BH179" s="53">
        <f t="shared" si="345"/>
        <v>302675</v>
      </c>
      <c r="BI179" s="53" t="str">
        <f t="shared" si="346"/>
        <v/>
      </c>
      <c r="BJ179" s="53" t="str">
        <f t="shared" si="347"/>
        <v/>
      </c>
      <c r="BK179" s="53" t="str">
        <f t="shared" si="348"/>
        <v/>
      </c>
    </row>
    <row r="180" spans="1:63">
      <c r="A180" s="53">
        <v>57</v>
      </c>
      <c r="B180" s="89" t="str">
        <f>IFERROR(VLOOKUP($A180,EntryList!$A$3:$N$645,2,FALSE),"")</f>
        <v>Hendre De Villiers</v>
      </c>
      <c r="C180" s="74"/>
      <c r="D180" s="53">
        <f t="shared" si="315"/>
        <v>5</v>
      </c>
      <c r="E180" s="62">
        <v>2.4641435185185183E-3</v>
      </c>
      <c r="F180" s="62">
        <v>2.659456018518518E-3</v>
      </c>
      <c r="G180" s="62">
        <v>1.4993518518518518E-3</v>
      </c>
      <c r="H180" s="62">
        <v>2.9479861111111113E-3</v>
      </c>
      <c r="I180" s="62">
        <v>3.4861342592592587E-3</v>
      </c>
      <c r="J180" s="62"/>
      <c r="K180" s="62"/>
      <c r="L180" s="62"/>
      <c r="M180" s="62">
        <v>1.3057071759259258E-2</v>
      </c>
      <c r="N180" s="62">
        <f t="shared" si="316"/>
        <v>1.305707175925926E-2</v>
      </c>
      <c r="O180" s="53">
        <f t="shared" si="317"/>
        <v>25</v>
      </c>
      <c r="P180" s="53">
        <f t="shared" si="318"/>
        <v>37</v>
      </c>
      <c r="Q180" s="53">
        <f t="shared" si="319"/>
        <v>43</v>
      </c>
      <c r="R180" s="53">
        <f t="shared" si="320"/>
        <v>37</v>
      </c>
      <c r="S180" s="53">
        <f t="shared" si="321"/>
        <v>17</v>
      </c>
      <c r="T180" s="53" t="str">
        <f t="shared" si="322"/>
        <v/>
      </c>
      <c r="U180" s="53" t="str">
        <f t="shared" si="323"/>
        <v/>
      </c>
      <c r="V180" s="53" t="str">
        <f t="shared" si="324"/>
        <v/>
      </c>
      <c r="W180" s="53" t="str">
        <f t="shared" si="349"/>
        <v>00:03:32.9 (25)</v>
      </c>
      <c r="X180" s="53" t="str">
        <f t="shared" si="325"/>
        <v>00:03:49.8 (37)</v>
      </c>
      <c r="Y180" s="53" t="str">
        <f t="shared" si="326"/>
        <v>00:02:09.5 (43)</v>
      </c>
      <c r="Z180" s="53" t="str">
        <f t="shared" si="327"/>
        <v>00:04:14.7 (37)</v>
      </c>
      <c r="AA180" s="53" t="str">
        <f t="shared" si="328"/>
        <v>00:05:01.2 (17)</v>
      </c>
      <c r="AB180" s="53" t="str">
        <f t="shared" si="329"/>
        <v>DNS/DNF ()</v>
      </c>
      <c r="AC180" s="53" t="str">
        <f t="shared" si="330"/>
        <v>DNS/DNF ()</v>
      </c>
      <c r="AD180" s="53" t="str">
        <f t="shared" si="331"/>
        <v>DNS/DNF ()</v>
      </c>
      <c r="AE180" s="53">
        <v>35453680</v>
      </c>
      <c r="AF180" s="53">
        <v>35666582</v>
      </c>
      <c r="AG180" s="53">
        <v>31490475</v>
      </c>
      <c r="AH180" s="53">
        <v>31720252</v>
      </c>
      <c r="AI180" s="53">
        <v>38752373</v>
      </c>
      <c r="AJ180" s="53">
        <v>38881917</v>
      </c>
      <c r="AK180" s="53">
        <v>43552574</v>
      </c>
      <c r="AL180" s="53">
        <v>43807280</v>
      </c>
      <c r="AM180" s="53">
        <v>46602940</v>
      </c>
      <c r="AN180" s="53">
        <v>46904142</v>
      </c>
      <c r="AO180" s="53">
        <v>0</v>
      </c>
      <c r="AP180" s="53">
        <v>0</v>
      </c>
      <c r="AQ180" s="53">
        <v>0</v>
      </c>
      <c r="AR180" s="53">
        <v>0</v>
      </c>
      <c r="AS180" s="53">
        <v>0</v>
      </c>
      <c r="AT180" s="53">
        <v>0</v>
      </c>
      <c r="AU180" s="62">
        <f t="shared" si="332"/>
        <v>2.4641435185185187E-3</v>
      </c>
      <c r="AV180" s="62">
        <f t="shared" si="333"/>
        <v>2.6594560185185185E-3</v>
      </c>
      <c r="AW180" s="62">
        <f t="shared" si="334"/>
        <v>1.4993518518518518E-3</v>
      </c>
      <c r="AX180" s="62">
        <f t="shared" si="335"/>
        <v>2.9479861111111113E-3</v>
      </c>
      <c r="AY180" s="62">
        <f t="shared" si="336"/>
        <v>3.4861342592592591E-3</v>
      </c>
      <c r="AZ180" s="62" t="str">
        <f t="shared" si="337"/>
        <v>DNS/DNF</v>
      </c>
      <c r="BA180" s="62" t="str">
        <f t="shared" si="338"/>
        <v>DNS/DNF</v>
      </c>
      <c r="BB180" s="62" t="str">
        <f t="shared" si="339"/>
        <v>DNS/DNF</v>
      </c>
      <c r="BC180" s="75">
        <f t="shared" si="340"/>
        <v>32</v>
      </c>
      <c r="BD180" s="53">
        <f t="shared" si="341"/>
        <v>214654</v>
      </c>
      <c r="BE180" s="53">
        <f t="shared" si="342"/>
        <v>227701</v>
      </c>
      <c r="BF180" s="53">
        <f t="shared" si="343"/>
        <v>126358.00000000001</v>
      </c>
      <c r="BG180" s="53">
        <f t="shared" si="344"/>
        <v>252734</v>
      </c>
      <c r="BH180" s="53">
        <f t="shared" si="345"/>
        <v>309892</v>
      </c>
      <c r="BI180" s="53" t="str">
        <f t="shared" si="346"/>
        <v/>
      </c>
      <c r="BJ180" s="53" t="str">
        <f t="shared" si="347"/>
        <v/>
      </c>
      <c r="BK180" s="53" t="str">
        <f t="shared" si="348"/>
        <v/>
      </c>
    </row>
    <row r="181" spans="1:63">
      <c r="A181" s="53">
        <v>166</v>
      </c>
      <c r="B181" s="89" t="str">
        <f>IFERROR(VLOOKUP($A181,EntryList!$A$3:$N$645,2,FALSE),"")</f>
        <v>Zivan Venter</v>
      </c>
      <c r="C181" s="74"/>
      <c r="D181" s="53">
        <f t="shared" si="315"/>
        <v>5</v>
      </c>
      <c r="E181" s="62">
        <v>2.6835300925925928E-3</v>
      </c>
      <c r="F181" s="62">
        <v>2.7552314814814818E-3</v>
      </c>
      <c r="G181" s="62">
        <v>1.5118865740740741E-3</v>
      </c>
      <c r="H181" s="62">
        <v>3.0617824074074072E-3</v>
      </c>
      <c r="I181" s="62">
        <v>3.7049074074074081E-3</v>
      </c>
      <c r="J181" s="62"/>
      <c r="K181" s="62"/>
      <c r="L181" s="62"/>
      <c r="M181" s="62">
        <v>1.3717337962962962E-2</v>
      </c>
      <c r="N181" s="62">
        <f t="shared" si="316"/>
        <v>1.3717337962962962E-2</v>
      </c>
      <c r="O181" s="53">
        <f t="shared" si="317"/>
        <v>53</v>
      </c>
      <c r="P181" s="53">
        <f t="shared" si="318"/>
        <v>58</v>
      </c>
      <c r="Q181" s="53">
        <f t="shared" si="319"/>
        <v>50</v>
      </c>
      <c r="R181" s="53">
        <f t="shared" si="320"/>
        <v>58</v>
      </c>
      <c r="S181" s="53">
        <f t="shared" si="321"/>
        <v>54</v>
      </c>
      <c r="T181" s="53" t="str">
        <f t="shared" si="322"/>
        <v/>
      </c>
      <c r="U181" s="53" t="str">
        <f t="shared" si="323"/>
        <v/>
      </c>
      <c r="V181" s="53" t="str">
        <f t="shared" si="324"/>
        <v/>
      </c>
      <c r="W181" s="53" t="str">
        <f t="shared" si="349"/>
        <v>00:03:51.9 (53)</v>
      </c>
      <c r="X181" s="53" t="str">
        <f t="shared" si="325"/>
        <v>00:03:58.1 (58)</v>
      </c>
      <c r="Y181" s="53" t="str">
        <f t="shared" si="326"/>
        <v>00:02:10.6 (50)</v>
      </c>
      <c r="Z181" s="53" t="str">
        <f t="shared" si="327"/>
        <v>00:04:24.5 (58)</v>
      </c>
      <c r="AA181" s="53" t="str">
        <f t="shared" si="328"/>
        <v>00:05:20.1 (54)</v>
      </c>
      <c r="AB181" s="53" t="str">
        <f t="shared" si="329"/>
        <v>DNS/DNF ()</v>
      </c>
      <c r="AC181" s="53" t="str">
        <f t="shared" si="330"/>
        <v>DNS/DNF ()</v>
      </c>
      <c r="AD181" s="53" t="str">
        <f t="shared" si="331"/>
        <v>DNS/DNF ()</v>
      </c>
      <c r="AE181" s="53">
        <v>35225797</v>
      </c>
      <c r="AF181" s="53">
        <v>35457654</v>
      </c>
      <c r="AG181" s="53">
        <v>31526830</v>
      </c>
      <c r="AH181" s="53">
        <v>31764882</v>
      </c>
      <c r="AI181" s="53">
        <v>38638810</v>
      </c>
      <c r="AJ181" s="53">
        <v>38769437</v>
      </c>
      <c r="AK181" s="53">
        <v>43639296</v>
      </c>
      <c r="AL181" s="53">
        <v>43903834</v>
      </c>
      <c r="AM181" s="53">
        <v>46740996</v>
      </c>
      <c r="AN181" s="53">
        <v>47061100</v>
      </c>
      <c r="AO181" s="53">
        <v>0</v>
      </c>
      <c r="AP181" s="53">
        <v>0</v>
      </c>
      <c r="AQ181" s="53">
        <v>0</v>
      </c>
      <c r="AR181" s="53">
        <v>0</v>
      </c>
      <c r="AS181" s="53">
        <v>0</v>
      </c>
      <c r="AT181" s="53">
        <v>0</v>
      </c>
      <c r="AU181" s="62">
        <f t="shared" si="332"/>
        <v>2.6835300925925924E-3</v>
      </c>
      <c r="AV181" s="62">
        <f t="shared" si="333"/>
        <v>2.7552314814814813E-3</v>
      </c>
      <c r="AW181" s="62">
        <f t="shared" si="334"/>
        <v>1.5118865740740741E-3</v>
      </c>
      <c r="AX181" s="62">
        <f t="shared" si="335"/>
        <v>3.0617824074074076E-3</v>
      </c>
      <c r="AY181" s="62">
        <f t="shared" si="336"/>
        <v>3.7049074074074072E-3</v>
      </c>
      <c r="AZ181" s="62" t="str">
        <f t="shared" si="337"/>
        <v>DNS/DNF</v>
      </c>
      <c r="BA181" s="62" t="str">
        <f t="shared" si="338"/>
        <v>DNS/DNF</v>
      </c>
      <c r="BB181" s="62" t="str">
        <f t="shared" si="339"/>
        <v>DNS/DNF</v>
      </c>
      <c r="BC181" s="75">
        <f t="shared" si="340"/>
        <v>55</v>
      </c>
      <c r="BD181" s="53">
        <f t="shared" si="341"/>
        <v>233632</v>
      </c>
      <c r="BE181" s="53">
        <f t="shared" si="342"/>
        <v>236008</v>
      </c>
      <c r="BF181" s="53">
        <f t="shared" si="343"/>
        <v>131146</v>
      </c>
      <c r="BG181" s="53">
        <f t="shared" si="344"/>
        <v>263210</v>
      </c>
      <c r="BH181" s="53">
        <f t="shared" si="345"/>
        <v>320334</v>
      </c>
      <c r="BI181" s="53" t="str">
        <f t="shared" si="346"/>
        <v/>
      </c>
      <c r="BJ181" s="53" t="str">
        <f t="shared" si="347"/>
        <v/>
      </c>
      <c r="BK181" s="53" t="str">
        <f t="shared" si="348"/>
        <v/>
      </c>
    </row>
    <row r="182" spans="1:63">
      <c r="A182" s="53">
        <v>44</v>
      </c>
      <c r="B182" s="89" t="str">
        <f>IFERROR(VLOOKUP($A182,EntryList!$A$3:$N$645,2,FALSE),"")</f>
        <v>Nigel Basel</v>
      </c>
      <c r="C182" s="74"/>
      <c r="D182" s="53">
        <f t="shared" si="315"/>
        <v>5</v>
      </c>
      <c r="E182" s="62">
        <v>3.2807060185185183E-3</v>
      </c>
      <c r="F182" s="62">
        <v>3.2026273148148148E-3</v>
      </c>
      <c r="G182" s="62">
        <v>1.8342361111111111E-3</v>
      </c>
      <c r="H182" s="62">
        <v>3.4925810185185181E-3</v>
      </c>
      <c r="I182" s="62">
        <v>4.3466666666666662E-3</v>
      </c>
      <c r="J182" s="62"/>
      <c r="K182" s="62"/>
      <c r="L182" s="62"/>
      <c r="M182" s="62">
        <v>1.6156817129629627E-2</v>
      </c>
      <c r="N182" s="62">
        <f t="shared" si="316"/>
        <v>1.615681712962963E-2</v>
      </c>
      <c r="O182" s="53">
        <f t="shared" si="317"/>
        <v>105</v>
      </c>
      <c r="P182" s="53">
        <f t="shared" si="318"/>
        <v>165</v>
      </c>
      <c r="Q182" s="53">
        <f t="shared" si="319"/>
        <v>149</v>
      </c>
      <c r="R182" s="53">
        <f t="shared" si="320"/>
        <v>103</v>
      </c>
      <c r="S182" s="53">
        <f t="shared" si="321"/>
        <v>179</v>
      </c>
      <c r="T182" s="53" t="str">
        <f t="shared" si="322"/>
        <v/>
      </c>
      <c r="U182" s="53" t="str">
        <f t="shared" si="323"/>
        <v/>
      </c>
      <c r="V182" s="53" t="str">
        <f t="shared" si="324"/>
        <v/>
      </c>
      <c r="W182" s="53" t="str">
        <f t="shared" si="349"/>
        <v>00:04:43.5 (105)</v>
      </c>
      <c r="X182" s="53" t="str">
        <f t="shared" si="325"/>
        <v>00:04:36.7 (165)</v>
      </c>
      <c r="Y182" s="53" t="str">
        <f t="shared" si="326"/>
        <v>00:02:38.5 (149)</v>
      </c>
      <c r="Z182" s="53" t="str">
        <f t="shared" si="327"/>
        <v>00:05:01.8 (103)</v>
      </c>
      <c r="AA182" s="53" t="str">
        <f t="shared" si="328"/>
        <v>00:06:15.6 (179)</v>
      </c>
      <c r="AB182" s="53" t="str">
        <f t="shared" si="329"/>
        <v>DNS/DNF ()</v>
      </c>
      <c r="AC182" s="53" t="str">
        <f t="shared" si="330"/>
        <v>DNS/DNF ()</v>
      </c>
      <c r="AD182" s="53" t="str">
        <f t="shared" si="331"/>
        <v>DNS/DNF ()</v>
      </c>
      <c r="AE182" s="53">
        <v>35656307</v>
      </c>
      <c r="AF182" s="53">
        <v>35939760</v>
      </c>
      <c r="AG182" s="53">
        <v>32493402</v>
      </c>
      <c r="AH182" s="53">
        <v>32770109</v>
      </c>
      <c r="AI182" s="53">
        <v>39167724</v>
      </c>
      <c r="AJ182" s="53">
        <v>39326202</v>
      </c>
      <c r="AK182" s="53">
        <v>43038898</v>
      </c>
      <c r="AL182" s="53">
        <v>43340657</v>
      </c>
      <c r="AM182" s="53">
        <v>45893276</v>
      </c>
      <c r="AN182" s="53">
        <v>46268828</v>
      </c>
      <c r="AO182" s="53">
        <v>0</v>
      </c>
      <c r="AP182" s="53">
        <v>0</v>
      </c>
      <c r="AQ182" s="53">
        <v>0</v>
      </c>
      <c r="AR182" s="53">
        <v>0</v>
      </c>
      <c r="AS182" s="53">
        <v>0</v>
      </c>
      <c r="AT182" s="53">
        <v>0</v>
      </c>
      <c r="AU182" s="62">
        <f t="shared" si="332"/>
        <v>3.2807060185185183E-3</v>
      </c>
      <c r="AV182" s="62">
        <f t="shared" si="333"/>
        <v>3.2026273148148148E-3</v>
      </c>
      <c r="AW182" s="62">
        <f t="shared" si="334"/>
        <v>1.8342361111111111E-3</v>
      </c>
      <c r="AX182" s="62">
        <f t="shared" si="335"/>
        <v>3.4925810185185186E-3</v>
      </c>
      <c r="AY182" s="62">
        <f t="shared" si="336"/>
        <v>4.3466666666666671E-3</v>
      </c>
      <c r="AZ182" s="62" t="str">
        <f t="shared" si="337"/>
        <v>DNS/DNF</v>
      </c>
      <c r="BA182" s="62" t="str">
        <f t="shared" si="338"/>
        <v>DNS/DNF</v>
      </c>
      <c r="BB182" s="62" t="str">
        <f t="shared" si="339"/>
        <v>DNS/DNF</v>
      </c>
      <c r="BC182" s="75">
        <f t="shared" si="340"/>
        <v>140</v>
      </c>
      <c r="BD182" s="53">
        <f t="shared" si="341"/>
        <v>394387</v>
      </c>
      <c r="BE182" s="53">
        <f t="shared" si="342"/>
        <v>268842</v>
      </c>
      <c r="BF182" s="53">
        <f t="shared" si="343"/>
        <v>154974</v>
      </c>
      <c r="BG182" s="53">
        <f t="shared" si="344"/>
        <v>382083.00000000006</v>
      </c>
      <c r="BH182" s="53">
        <f t="shared" si="345"/>
        <v>358065</v>
      </c>
      <c r="BI182" s="53" t="str">
        <f t="shared" si="346"/>
        <v/>
      </c>
      <c r="BJ182" s="53" t="str">
        <f t="shared" si="347"/>
        <v/>
      </c>
      <c r="BK182" s="53" t="str">
        <f t="shared" si="348"/>
        <v/>
      </c>
    </row>
    <row r="183" spans="1:63">
      <c r="A183" s="53">
        <v>283</v>
      </c>
      <c r="B183" s="89" t="str">
        <f>IFERROR(VLOOKUP($A183,EntryList!$A$3:$N$645,2,FALSE),"")</f>
        <v>Adrian Kritzinger</v>
      </c>
      <c r="C183" s="74"/>
      <c r="D183" s="53">
        <f t="shared" si="315"/>
        <v>5</v>
      </c>
      <c r="E183" s="62">
        <v>3.1668402777777775E-3</v>
      </c>
      <c r="F183" s="62">
        <v>3.2444097222222219E-3</v>
      </c>
      <c r="G183" s="62">
        <v>1.8405555555555553E-3</v>
      </c>
      <c r="H183" s="62">
        <v>3.517048611111111E-3</v>
      </c>
      <c r="I183" s="62">
        <v>4.1642013888888892E-3</v>
      </c>
      <c r="J183" s="62"/>
      <c r="K183" s="62"/>
      <c r="L183" s="62"/>
      <c r="M183" s="62">
        <v>1.5933055555555554E-2</v>
      </c>
      <c r="N183" s="62">
        <f t="shared" si="316"/>
        <v>1.5933055555555554E-2</v>
      </c>
      <c r="O183" s="53">
        <f t="shared" si="317"/>
        <v>94</v>
      </c>
      <c r="P183" s="53">
        <f t="shared" si="318"/>
        <v>179</v>
      </c>
      <c r="Q183" s="53">
        <f t="shared" si="319"/>
        <v>150</v>
      </c>
      <c r="R183" s="53">
        <f t="shared" si="320"/>
        <v>105</v>
      </c>
      <c r="S183" s="53">
        <f t="shared" si="321"/>
        <v>148</v>
      </c>
      <c r="T183" s="53" t="str">
        <f t="shared" si="322"/>
        <v/>
      </c>
      <c r="U183" s="53" t="str">
        <f t="shared" si="323"/>
        <v/>
      </c>
      <c r="V183" s="53" t="str">
        <f t="shared" si="324"/>
        <v/>
      </c>
      <c r="W183" s="53" t="str">
        <f t="shared" si="349"/>
        <v>00:04:33.6 (94)</v>
      </c>
      <c r="X183" s="53" t="str">
        <f t="shared" si="325"/>
        <v>00:04:40.3 (179)</v>
      </c>
      <c r="Y183" s="53" t="str">
        <f t="shared" si="326"/>
        <v>00:02:39.0 (150)</v>
      </c>
      <c r="Z183" s="53" t="str">
        <f t="shared" si="327"/>
        <v>00:05:03.9 (105)</v>
      </c>
      <c r="AA183" s="53" t="str">
        <f t="shared" si="328"/>
        <v>00:05:59.8 (148)</v>
      </c>
      <c r="AB183" s="53" t="str">
        <f t="shared" si="329"/>
        <v>DNS/DNF ()</v>
      </c>
      <c r="AC183" s="53" t="str">
        <f t="shared" si="330"/>
        <v>DNS/DNF ()</v>
      </c>
      <c r="AD183" s="53" t="str">
        <f t="shared" si="331"/>
        <v>DNS/DNF ()</v>
      </c>
      <c r="AE183" s="53">
        <v>36754129</v>
      </c>
      <c r="AF183" s="53">
        <v>37027744</v>
      </c>
      <c r="AG183" s="53">
        <v>32714576</v>
      </c>
      <c r="AH183" s="53">
        <v>32994893</v>
      </c>
      <c r="AI183" s="53">
        <v>39787800</v>
      </c>
      <c r="AJ183" s="53">
        <v>39946824</v>
      </c>
      <c r="AK183" s="53">
        <v>43950543</v>
      </c>
      <c r="AL183" s="53">
        <v>44254416</v>
      </c>
      <c r="AM183" s="53">
        <v>46933074</v>
      </c>
      <c r="AN183" s="53">
        <v>47292861</v>
      </c>
      <c r="AO183" s="53">
        <v>0</v>
      </c>
      <c r="AP183" s="53">
        <v>0</v>
      </c>
      <c r="AQ183" s="53">
        <v>0</v>
      </c>
      <c r="AR183" s="53">
        <v>0</v>
      </c>
      <c r="AS183" s="53">
        <v>0</v>
      </c>
      <c r="AT183" s="53">
        <v>0</v>
      </c>
      <c r="AU183" s="62">
        <f t="shared" si="332"/>
        <v>3.166840277777778E-3</v>
      </c>
      <c r="AV183" s="62">
        <f t="shared" si="333"/>
        <v>3.2444097222222223E-3</v>
      </c>
      <c r="AW183" s="62">
        <f t="shared" si="334"/>
        <v>1.8405555555555556E-3</v>
      </c>
      <c r="AX183" s="62">
        <f t="shared" si="335"/>
        <v>3.517048611111111E-3</v>
      </c>
      <c r="AY183" s="62">
        <f t="shared" si="336"/>
        <v>4.1642013888888892E-3</v>
      </c>
      <c r="AZ183" s="62" t="str">
        <f t="shared" si="337"/>
        <v>DNS/DNF</v>
      </c>
      <c r="BA183" s="62" t="str">
        <f t="shared" si="338"/>
        <v>DNS/DNF</v>
      </c>
      <c r="BB183" s="62" t="str">
        <f t="shared" si="339"/>
        <v>DNS/DNF</v>
      </c>
      <c r="BC183" s="75">
        <f t="shared" si="340"/>
        <v>135</v>
      </c>
      <c r="BD183" s="53">
        <f t="shared" si="341"/>
        <v>358979</v>
      </c>
      <c r="BE183" s="53">
        <f t="shared" si="342"/>
        <v>267588</v>
      </c>
      <c r="BF183" s="53">
        <f t="shared" si="343"/>
        <v>154152</v>
      </c>
      <c r="BG183" s="53">
        <f t="shared" si="344"/>
        <v>350614.00000000006</v>
      </c>
      <c r="BH183" s="53">
        <f t="shared" si="345"/>
        <v>356434</v>
      </c>
      <c r="BI183" s="53" t="str">
        <f t="shared" si="346"/>
        <v/>
      </c>
      <c r="BJ183" s="53" t="str">
        <f t="shared" si="347"/>
        <v/>
      </c>
      <c r="BK183" s="53" t="str">
        <f t="shared" si="348"/>
        <v/>
      </c>
    </row>
    <row r="184" spans="1:63">
      <c r="A184" s="53">
        <v>80</v>
      </c>
      <c r="B184" s="89" t="str">
        <f>IFERROR(VLOOKUP($A184,EntryList!$A$3:$N$645,2,FALSE),"")</f>
        <v>Matthias Christen</v>
      </c>
      <c r="C184" s="74"/>
      <c r="D184" s="53">
        <f t="shared" si="315"/>
        <v>5</v>
      </c>
      <c r="E184" s="62">
        <v>2.8169328703703707E-3</v>
      </c>
      <c r="F184" s="62">
        <v>2.7999537037037034E-3</v>
      </c>
      <c r="G184" s="62">
        <v>1.596412037037037E-3</v>
      </c>
      <c r="H184" s="62">
        <v>3.0134606481481484E-3</v>
      </c>
      <c r="I184" s="62">
        <v>3.7947453703703702E-3</v>
      </c>
      <c r="J184" s="62"/>
      <c r="K184" s="62"/>
      <c r="L184" s="62"/>
      <c r="M184" s="62">
        <v>1.402150462962963E-2</v>
      </c>
      <c r="N184" s="62">
        <f t="shared" si="316"/>
        <v>1.402150462962963E-2</v>
      </c>
      <c r="O184" s="53">
        <f t="shared" si="317"/>
        <v>62</v>
      </c>
      <c r="P184" s="53">
        <f t="shared" si="318"/>
        <v>70</v>
      </c>
      <c r="Q184" s="53">
        <f t="shared" si="319"/>
        <v>76</v>
      </c>
      <c r="R184" s="53">
        <f t="shared" si="320"/>
        <v>49</v>
      </c>
      <c r="S184" s="53">
        <f t="shared" si="321"/>
        <v>66</v>
      </c>
      <c r="T184" s="53" t="str">
        <f t="shared" si="322"/>
        <v/>
      </c>
      <c r="U184" s="53" t="str">
        <f t="shared" si="323"/>
        <v/>
      </c>
      <c r="V184" s="53" t="str">
        <f t="shared" si="324"/>
        <v/>
      </c>
      <c r="W184" s="53" t="str">
        <f t="shared" si="349"/>
        <v>00:04:03.4 (62)</v>
      </c>
      <c r="X184" s="53" t="str">
        <f t="shared" si="325"/>
        <v>00:04:01.9 (70)</v>
      </c>
      <c r="Y184" s="53" t="str">
        <f t="shared" si="326"/>
        <v>00:02:17.9 (76)</v>
      </c>
      <c r="Z184" s="53" t="str">
        <f t="shared" si="327"/>
        <v>00:04:20.4 (49)</v>
      </c>
      <c r="AA184" s="53" t="str">
        <f t="shared" si="328"/>
        <v>00:05:27.9 (66)</v>
      </c>
      <c r="AB184" s="53" t="str">
        <f t="shared" si="329"/>
        <v>DNS/DNF ()</v>
      </c>
      <c r="AC184" s="53" t="str">
        <f t="shared" si="330"/>
        <v>DNS/DNF ()</v>
      </c>
      <c r="AD184" s="53" t="str">
        <f t="shared" si="331"/>
        <v>DNS/DNF ()</v>
      </c>
      <c r="AE184" s="53">
        <v>32651539</v>
      </c>
      <c r="AF184" s="53">
        <v>32894922</v>
      </c>
      <c r="AG184" s="53">
        <v>36665037</v>
      </c>
      <c r="AH184" s="53">
        <v>36906953</v>
      </c>
      <c r="AI184" s="53">
        <v>39986504</v>
      </c>
      <c r="AJ184" s="53">
        <v>40124434</v>
      </c>
      <c r="AK184" s="53">
        <v>43904792</v>
      </c>
      <c r="AL184" s="53">
        <v>44165155</v>
      </c>
      <c r="AM184" s="53">
        <v>46900336</v>
      </c>
      <c r="AN184" s="53">
        <v>47228202</v>
      </c>
      <c r="AO184" s="53">
        <v>0</v>
      </c>
      <c r="AP184" s="53">
        <v>0</v>
      </c>
      <c r="AQ184" s="53">
        <v>0</v>
      </c>
      <c r="AR184" s="53">
        <v>0</v>
      </c>
      <c r="AS184" s="53">
        <v>0</v>
      </c>
      <c r="AT184" s="53">
        <v>0</v>
      </c>
      <c r="AU184" s="62">
        <f t="shared" si="332"/>
        <v>2.8169328703703703E-3</v>
      </c>
      <c r="AV184" s="62">
        <f t="shared" si="333"/>
        <v>2.7999537037037038E-3</v>
      </c>
      <c r="AW184" s="62">
        <f t="shared" si="334"/>
        <v>1.596412037037037E-3</v>
      </c>
      <c r="AX184" s="62">
        <f t="shared" si="335"/>
        <v>3.0134606481481484E-3</v>
      </c>
      <c r="AY184" s="62">
        <f t="shared" si="336"/>
        <v>3.7947453703703702E-3</v>
      </c>
      <c r="AZ184" s="62" t="str">
        <f t="shared" si="337"/>
        <v>DNS/DNF</v>
      </c>
      <c r="BA184" s="62" t="str">
        <f t="shared" si="338"/>
        <v>DNS/DNF</v>
      </c>
      <c r="BB184" s="62" t="str">
        <f t="shared" si="339"/>
        <v>DNS/DNF</v>
      </c>
      <c r="BC184" s="75">
        <f t="shared" si="340"/>
        <v>65</v>
      </c>
      <c r="BD184" s="53">
        <f t="shared" si="341"/>
        <v>243746</v>
      </c>
      <c r="BE184" s="53">
        <f t="shared" si="342"/>
        <v>241571</v>
      </c>
      <c r="BF184" s="53">
        <f t="shared" si="343"/>
        <v>135623</v>
      </c>
      <c r="BG184" s="53">
        <f t="shared" si="344"/>
        <v>270806</v>
      </c>
      <c r="BH184" s="53">
        <f t="shared" si="345"/>
        <v>327088</v>
      </c>
      <c r="BI184" s="53" t="str">
        <f t="shared" si="346"/>
        <v/>
      </c>
      <c r="BJ184" s="53" t="str">
        <f t="shared" si="347"/>
        <v/>
      </c>
      <c r="BK184" s="53" t="str">
        <f t="shared" si="348"/>
        <v/>
      </c>
    </row>
    <row r="185" spans="1:63">
      <c r="A185" s="53">
        <v>199</v>
      </c>
      <c r="B185" s="89" t="str">
        <f>IFERROR(VLOOKUP($A185,EntryList!$A$3:$N$645,2,FALSE),"")</f>
        <v>Frankie Du Toit</v>
      </c>
      <c r="C185" s="74"/>
      <c r="D185" s="53">
        <f t="shared" si="315"/>
        <v>5</v>
      </c>
      <c r="E185" s="62">
        <v>2.7929629629629628E-3</v>
      </c>
      <c r="F185" s="62">
        <v>2.6877662037037039E-3</v>
      </c>
      <c r="G185" s="62">
        <v>1.5178935185185185E-3</v>
      </c>
      <c r="H185" s="62">
        <v>3.0414004629629628E-3</v>
      </c>
      <c r="I185" s="62">
        <v>3.6461458333333333E-3</v>
      </c>
      <c r="J185" s="62"/>
      <c r="K185" s="62"/>
      <c r="L185" s="62"/>
      <c r="M185" s="62">
        <v>1.3686168981481483E-2</v>
      </c>
      <c r="N185" s="62">
        <f t="shared" si="316"/>
        <v>1.3686168981481481E-2</v>
      </c>
      <c r="O185" s="53">
        <f t="shared" si="317"/>
        <v>60</v>
      </c>
      <c r="P185" s="53">
        <f t="shared" si="318"/>
        <v>43</v>
      </c>
      <c r="Q185" s="53">
        <f t="shared" si="319"/>
        <v>55</v>
      </c>
      <c r="R185" s="53">
        <f t="shared" si="320"/>
        <v>54</v>
      </c>
      <c r="S185" s="53">
        <f t="shared" si="321"/>
        <v>45</v>
      </c>
      <c r="T185" s="53" t="str">
        <f t="shared" si="322"/>
        <v/>
      </c>
      <c r="U185" s="53" t="str">
        <f t="shared" si="323"/>
        <v/>
      </c>
      <c r="V185" s="53" t="str">
        <f t="shared" si="324"/>
        <v/>
      </c>
      <c r="W185" s="53" t="str">
        <f t="shared" si="349"/>
        <v>00:04:01.3 (60)</v>
      </c>
      <c r="X185" s="53" t="str">
        <f t="shared" si="325"/>
        <v>00:03:52.2 (43)</v>
      </c>
      <c r="Y185" s="53" t="str">
        <f t="shared" si="326"/>
        <v>00:02:11.1 (55)</v>
      </c>
      <c r="Z185" s="53" t="str">
        <f t="shared" si="327"/>
        <v>00:04:22.8 (54)</v>
      </c>
      <c r="AA185" s="53" t="str">
        <f t="shared" si="328"/>
        <v>00:05:15.0 (45)</v>
      </c>
      <c r="AB185" s="53" t="str">
        <f t="shared" si="329"/>
        <v>DNS/DNF ()</v>
      </c>
      <c r="AC185" s="53" t="str">
        <f t="shared" si="330"/>
        <v>DNS/DNF ()</v>
      </c>
      <c r="AD185" s="53" t="str">
        <f t="shared" si="331"/>
        <v>DNS/DNF ()</v>
      </c>
      <c r="AE185" s="53">
        <v>39256480</v>
      </c>
      <c r="AF185" s="53">
        <v>39497792</v>
      </c>
      <c r="AG185" s="53">
        <v>36893558</v>
      </c>
      <c r="AH185" s="53">
        <v>37125781</v>
      </c>
      <c r="AI185" s="53">
        <v>32828103</v>
      </c>
      <c r="AJ185" s="53">
        <v>32959249</v>
      </c>
      <c r="AK185" s="53">
        <v>43155851</v>
      </c>
      <c r="AL185" s="53">
        <v>43418628</v>
      </c>
      <c r="AM185" s="53">
        <v>46088484</v>
      </c>
      <c r="AN185" s="53">
        <v>46403511</v>
      </c>
      <c r="AO185" s="53">
        <v>0</v>
      </c>
      <c r="AP185" s="53">
        <v>0</v>
      </c>
      <c r="AQ185" s="53">
        <v>0</v>
      </c>
      <c r="AR185" s="53">
        <v>0</v>
      </c>
      <c r="AS185" s="53">
        <v>0</v>
      </c>
      <c r="AT185" s="53">
        <v>0</v>
      </c>
      <c r="AU185" s="62">
        <f t="shared" si="332"/>
        <v>2.7929629629629628E-3</v>
      </c>
      <c r="AV185" s="62">
        <f t="shared" si="333"/>
        <v>2.6877662037037035E-3</v>
      </c>
      <c r="AW185" s="62">
        <f t="shared" si="334"/>
        <v>1.5178935185185185E-3</v>
      </c>
      <c r="AX185" s="62">
        <f t="shared" si="335"/>
        <v>3.0414004629629628E-3</v>
      </c>
      <c r="AY185" s="62">
        <f t="shared" si="336"/>
        <v>3.6461458333333333E-3</v>
      </c>
      <c r="AZ185" s="62" t="str">
        <f t="shared" si="337"/>
        <v>DNS/DNF</v>
      </c>
      <c r="BA185" s="62" t="str">
        <f t="shared" si="338"/>
        <v>DNS/DNF</v>
      </c>
      <c r="BB185" s="62" t="str">
        <f t="shared" si="339"/>
        <v>DNS/DNF</v>
      </c>
      <c r="BC185" s="75">
        <f t="shared" si="340"/>
        <v>51</v>
      </c>
      <c r="BD185" s="53">
        <f t="shared" si="341"/>
        <v>231410</v>
      </c>
      <c r="BE185" s="53">
        <f t="shared" si="342"/>
        <v>234886</v>
      </c>
      <c r="BF185" s="53">
        <f t="shared" si="343"/>
        <v>130707.99999999999</v>
      </c>
      <c r="BG185" s="53">
        <f t="shared" si="344"/>
        <v>261783</v>
      </c>
      <c r="BH185" s="53">
        <f t="shared" si="345"/>
        <v>317590</v>
      </c>
      <c r="BI185" s="53" t="str">
        <f t="shared" si="346"/>
        <v/>
      </c>
      <c r="BJ185" s="53" t="str">
        <f t="shared" si="347"/>
        <v/>
      </c>
      <c r="BK185" s="53" t="str">
        <f t="shared" si="348"/>
        <v/>
      </c>
    </row>
    <row r="186" spans="1:63">
      <c r="A186" s="53">
        <v>202</v>
      </c>
      <c r="B186" s="89" t="str">
        <f>IFERROR(VLOOKUP($A186,EntryList!$A$3:$N$645,2,FALSE),"")</f>
        <v>Jaco Van Zyl</v>
      </c>
      <c r="C186" s="74"/>
      <c r="D186" s="53">
        <f t="shared" si="315"/>
        <v>5</v>
      </c>
      <c r="E186" s="62">
        <v>2.6834143518518518E-3</v>
      </c>
      <c r="F186" s="62">
        <v>2.7315740740740742E-3</v>
      </c>
      <c r="G186" s="62">
        <v>1.4771064814814814E-3</v>
      </c>
      <c r="H186" s="62">
        <v>2.9670486111111113E-3</v>
      </c>
      <c r="I186" s="62">
        <v>3.6601388888888886E-3</v>
      </c>
      <c r="J186" s="62"/>
      <c r="K186" s="62"/>
      <c r="L186" s="62"/>
      <c r="M186" s="62">
        <v>1.3519282407407407E-2</v>
      </c>
      <c r="N186" s="62">
        <f t="shared" si="316"/>
        <v>1.3519282407407407E-2</v>
      </c>
      <c r="O186" s="53">
        <f t="shared" si="317"/>
        <v>52</v>
      </c>
      <c r="P186" s="53">
        <f t="shared" si="318"/>
        <v>55</v>
      </c>
      <c r="Q186" s="53">
        <f t="shared" si="319"/>
        <v>36</v>
      </c>
      <c r="R186" s="53">
        <f t="shared" si="320"/>
        <v>40</v>
      </c>
      <c r="S186" s="53">
        <f t="shared" si="321"/>
        <v>49</v>
      </c>
      <c r="T186" s="53" t="str">
        <f t="shared" si="322"/>
        <v/>
      </c>
      <c r="U186" s="53" t="str">
        <f t="shared" si="323"/>
        <v/>
      </c>
      <c r="V186" s="53" t="str">
        <f t="shared" si="324"/>
        <v/>
      </c>
      <c r="W186" s="53" t="str">
        <f t="shared" si="349"/>
        <v>00:03:51.8 (52)</v>
      </c>
      <c r="X186" s="53" t="str">
        <f t="shared" si="325"/>
        <v>00:03:56.0 (55)</v>
      </c>
      <c r="Y186" s="53" t="str">
        <f t="shared" si="326"/>
        <v>00:02:07.6 (36)</v>
      </c>
      <c r="Z186" s="53" t="str">
        <f t="shared" si="327"/>
        <v>00:04:16.4 (40)</v>
      </c>
      <c r="AA186" s="53" t="str">
        <f t="shared" si="328"/>
        <v>00:05:16.2 (49)</v>
      </c>
      <c r="AB186" s="53" t="str">
        <f t="shared" si="329"/>
        <v>DNS/DNF ()</v>
      </c>
      <c r="AC186" s="53" t="str">
        <f t="shared" si="330"/>
        <v>DNS/DNF ()</v>
      </c>
      <c r="AD186" s="53" t="str">
        <f t="shared" si="331"/>
        <v>DNS/DNF ()</v>
      </c>
      <c r="AE186" s="53">
        <v>32058255</v>
      </c>
      <c r="AF186" s="53">
        <v>32290102</v>
      </c>
      <c r="AG186" s="53">
        <v>37177017</v>
      </c>
      <c r="AH186" s="53">
        <v>37413025</v>
      </c>
      <c r="AI186" s="53">
        <v>40356592</v>
      </c>
      <c r="AJ186" s="53">
        <v>40484214</v>
      </c>
      <c r="AK186" s="53">
        <v>43806039</v>
      </c>
      <c r="AL186" s="53">
        <v>44062392</v>
      </c>
      <c r="AM186" s="53">
        <v>46771478</v>
      </c>
      <c r="AN186" s="53">
        <v>47087714</v>
      </c>
      <c r="AO186" s="53">
        <v>0</v>
      </c>
      <c r="AP186" s="53">
        <v>0</v>
      </c>
      <c r="AQ186" s="53">
        <v>0</v>
      </c>
      <c r="AR186" s="53">
        <v>0</v>
      </c>
      <c r="AS186" s="53">
        <v>0</v>
      </c>
      <c r="AT186" s="53">
        <v>0</v>
      </c>
      <c r="AU186" s="62">
        <f t="shared" si="332"/>
        <v>2.6834143518518518E-3</v>
      </c>
      <c r="AV186" s="62">
        <f t="shared" si="333"/>
        <v>2.7315740740740742E-3</v>
      </c>
      <c r="AW186" s="62">
        <f t="shared" si="334"/>
        <v>1.4771064814814816E-3</v>
      </c>
      <c r="AX186" s="62">
        <f t="shared" si="335"/>
        <v>2.9670486111111113E-3</v>
      </c>
      <c r="AY186" s="62">
        <f t="shared" si="336"/>
        <v>3.660138888888889E-3</v>
      </c>
      <c r="AZ186" s="62" t="str">
        <f t="shared" si="337"/>
        <v>DNS/DNF</v>
      </c>
      <c r="BA186" s="62" t="str">
        <f t="shared" si="338"/>
        <v>DNS/DNF</v>
      </c>
      <c r="BB186" s="62" t="str">
        <f t="shared" si="339"/>
        <v>DNS/DNF</v>
      </c>
      <c r="BC186" s="75">
        <f t="shared" si="340"/>
        <v>46</v>
      </c>
      <c r="BD186" s="53">
        <f t="shared" si="341"/>
        <v>225088</v>
      </c>
      <c r="BE186" s="53">
        <f t="shared" si="342"/>
        <v>233049</v>
      </c>
      <c r="BF186" s="53">
        <f t="shared" si="343"/>
        <v>130023</v>
      </c>
      <c r="BG186" s="53">
        <f t="shared" si="344"/>
        <v>258841.99999999997</v>
      </c>
      <c r="BH186" s="53">
        <f t="shared" si="345"/>
        <v>315365</v>
      </c>
      <c r="BI186" s="53" t="str">
        <f t="shared" si="346"/>
        <v/>
      </c>
      <c r="BJ186" s="53" t="str">
        <f t="shared" si="347"/>
        <v/>
      </c>
      <c r="BK186" s="53" t="str">
        <f t="shared" si="348"/>
        <v/>
      </c>
    </row>
    <row r="187" spans="1:63">
      <c r="A187" s="53">
        <v>101</v>
      </c>
      <c r="B187" s="89" t="str">
        <f>IFERROR(VLOOKUP($A187,EntryList!$A$3:$N$645,2,FALSE),"")</f>
        <v>Samuel Courts</v>
      </c>
      <c r="C187" s="74"/>
      <c r="D187" s="53">
        <f t="shared" si="315"/>
        <v>5</v>
      </c>
      <c r="E187" s="62">
        <v>2.4728819444444446E-3</v>
      </c>
      <c r="F187" s="62">
        <v>2.5095023148148147E-3</v>
      </c>
      <c r="G187" s="62">
        <v>1.4247222222222222E-3</v>
      </c>
      <c r="H187" s="62">
        <v>2.8584953703703706E-3</v>
      </c>
      <c r="I187" s="62">
        <v>3.4966898148148149E-3</v>
      </c>
      <c r="J187" s="62"/>
      <c r="K187" s="62"/>
      <c r="L187" s="62"/>
      <c r="M187" s="62">
        <v>1.2762291666666668E-2</v>
      </c>
      <c r="N187" s="62">
        <f t="shared" si="316"/>
        <v>1.2762291666666667E-2</v>
      </c>
      <c r="O187" s="53">
        <f t="shared" si="317"/>
        <v>28</v>
      </c>
      <c r="P187" s="53">
        <f t="shared" si="318"/>
        <v>15</v>
      </c>
      <c r="Q187" s="53">
        <f t="shared" si="319"/>
        <v>20</v>
      </c>
      <c r="R187" s="53">
        <f t="shared" si="320"/>
        <v>25</v>
      </c>
      <c r="S187" s="53">
        <f t="shared" si="321"/>
        <v>19</v>
      </c>
      <c r="T187" s="53" t="str">
        <f t="shared" si="322"/>
        <v/>
      </c>
      <c r="U187" s="53" t="str">
        <f t="shared" si="323"/>
        <v/>
      </c>
      <c r="V187" s="53" t="str">
        <f t="shared" si="324"/>
        <v/>
      </c>
      <c r="W187" s="53" t="str">
        <f t="shared" si="349"/>
        <v>00:03:33.7 (28)</v>
      </c>
      <c r="X187" s="53" t="str">
        <f t="shared" si="325"/>
        <v>00:03:36.8 (15)</v>
      </c>
      <c r="Y187" s="53" t="str">
        <f t="shared" si="326"/>
        <v>00:02:03.1 (20)</v>
      </c>
      <c r="Z187" s="53" t="str">
        <f t="shared" si="327"/>
        <v>00:04:07.0 (25)</v>
      </c>
      <c r="AA187" s="53" t="str">
        <f t="shared" si="328"/>
        <v>00:05:02.1 (19)</v>
      </c>
      <c r="AB187" s="53" t="str">
        <f t="shared" si="329"/>
        <v>DNS/DNF ()</v>
      </c>
      <c r="AC187" s="53" t="str">
        <f t="shared" si="330"/>
        <v>DNS/DNF ()</v>
      </c>
      <c r="AD187" s="53" t="str">
        <f t="shared" si="331"/>
        <v>DNS/DNF ()</v>
      </c>
      <c r="AE187" s="53">
        <v>33183967</v>
      </c>
      <c r="AF187" s="53">
        <v>33397624</v>
      </c>
      <c r="AG187" s="53">
        <v>39489058</v>
      </c>
      <c r="AH187" s="53">
        <v>39705879</v>
      </c>
      <c r="AI187" s="53">
        <v>36415942</v>
      </c>
      <c r="AJ187" s="53">
        <v>36539038</v>
      </c>
      <c r="AK187" s="53">
        <v>44055297</v>
      </c>
      <c r="AL187" s="53">
        <v>44302271</v>
      </c>
      <c r="AM187" s="53">
        <v>47008280</v>
      </c>
      <c r="AN187" s="53">
        <v>47310394</v>
      </c>
      <c r="AO187" s="53">
        <v>0</v>
      </c>
      <c r="AP187" s="53">
        <v>0</v>
      </c>
      <c r="AQ187" s="53">
        <v>0</v>
      </c>
      <c r="AR187" s="53">
        <v>0</v>
      </c>
      <c r="AS187" s="53">
        <v>0</v>
      </c>
      <c r="AT187" s="53">
        <v>0</v>
      </c>
      <c r="AU187" s="62">
        <f t="shared" si="332"/>
        <v>2.4728819444444446E-3</v>
      </c>
      <c r="AV187" s="62">
        <f t="shared" si="333"/>
        <v>2.5095023148148147E-3</v>
      </c>
      <c r="AW187" s="62">
        <f t="shared" si="334"/>
        <v>1.4247222222222222E-3</v>
      </c>
      <c r="AX187" s="62">
        <f t="shared" si="335"/>
        <v>2.8584953703703702E-3</v>
      </c>
      <c r="AY187" s="62">
        <f t="shared" si="336"/>
        <v>3.4966898148148149E-3</v>
      </c>
      <c r="AZ187" s="62" t="str">
        <f t="shared" si="337"/>
        <v>DNS/DNF</v>
      </c>
      <c r="BA187" s="62" t="str">
        <f t="shared" si="338"/>
        <v>DNS/DNF</v>
      </c>
      <c r="BB187" s="62" t="str">
        <f t="shared" si="339"/>
        <v>DNS/DNF</v>
      </c>
      <c r="BC187" s="75">
        <f t="shared" si="340"/>
        <v>21</v>
      </c>
      <c r="BD187" s="53">
        <f t="shared" si="341"/>
        <v>210144</v>
      </c>
      <c r="BE187" s="53">
        <f t="shared" si="342"/>
        <v>221681</v>
      </c>
      <c r="BF187" s="53">
        <f t="shared" si="343"/>
        <v>123318.00000000001</v>
      </c>
      <c r="BG187" s="53">
        <f t="shared" si="344"/>
        <v>244870</v>
      </c>
      <c r="BH187" s="53">
        <f t="shared" si="345"/>
        <v>302882</v>
      </c>
      <c r="BI187" s="53" t="str">
        <f t="shared" si="346"/>
        <v/>
      </c>
      <c r="BJ187" s="53" t="str">
        <f t="shared" si="347"/>
        <v/>
      </c>
      <c r="BK187" s="53" t="str">
        <f t="shared" si="348"/>
        <v/>
      </c>
    </row>
    <row r="188" spans="1:63">
      <c r="A188" s="53">
        <v>55</v>
      </c>
      <c r="B188" s="89" t="str">
        <f>IFERROR(VLOOKUP($A188,EntryList!$A$3:$N$645,2,FALSE),"")</f>
        <v>Nic Rezelman</v>
      </c>
      <c r="C188" s="74"/>
      <c r="D188" s="53">
        <f t="shared" si="315"/>
        <v>5</v>
      </c>
      <c r="E188" s="62">
        <v>2.704074074074074E-3</v>
      </c>
      <c r="F188" s="62">
        <v>2.5717245370370369E-3</v>
      </c>
      <c r="G188" s="62">
        <v>1.4961921296296297E-3</v>
      </c>
      <c r="H188" s="62">
        <v>2.8818287037037037E-3</v>
      </c>
      <c r="I188" s="62">
        <v>3.586712962962963E-3</v>
      </c>
      <c r="J188" s="62"/>
      <c r="K188" s="62"/>
      <c r="L188" s="62"/>
      <c r="M188" s="62">
        <v>1.3240532407407407E-2</v>
      </c>
      <c r="N188" s="62">
        <f t="shared" si="316"/>
        <v>1.3240532407407407E-2</v>
      </c>
      <c r="O188" s="53">
        <f t="shared" si="317"/>
        <v>55</v>
      </c>
      <c r="P188" s="53">
        <f t="shared" si="318"/>
        <v>23</v>
      </c>
      <c r="Q188" s="53">
        <f t="shared" si="319"/>
        <v>41</v>
      </c>
      <c r="R188" s="53">
        <f t="shared" si="320"/>
        <v>29</v>
      </c>
      <c r="S188" s="53">
        <f t="shared" si="321"/>
        <v>32</v>
      </c>
      <c r="T188" s="53" t="str">
        <f t="shared" si="322"/>
        <v/>
      </c>
      <c r="U188" s="53" t="str">
        <f t="shared" si="323"/>
        <v/>
      </c>
      <c r="V188" s="53" t="str">
        <f t="shared" si="324"/>
        <v/>
      </c>
      <c r="W188" s="53" t="str">
        <f t="shared" si="349"/>
        <v>00:03:53.6 (55)</v>
      </c>
      <c r="X188" s="53" t="str">
        <f t="shared" si="325"/>
        <v>00:03:42.2 (23)</v>
      </c>
      <c r="Y188" s="53" t="str">
        <f t="shared" si="326"/>
        <v>00:02:09.3 (41)</v>
      </c>
      <c r="Z188" s="53" t="str">
        <f t="shared" si="327"/>
        <v>00:04:09.0 (29)</v>
      </c>
      <c r="AA188" s="53" t="str">
        <f t="shared" si="328"/>
        <v>00:05:09.9 (32)</v>
      </c>
      <c r="AB188" s="53" t="str">
        <f t="shared" si="329"/>
        <v>DNS/DNF ()</v>
      </c>
      <c r="AC188" s="53" t="str">
        <f t="shared" si="330"/>
        <v>DNS/DNF ()</v>
      </c>
      <c r="AD188" s="53" t="str">
        <f t="shared" si="331"/>
        <v>DNS/DNF ()</v>
      </c>
      <c r="AE188" s="53">
        <v>33043056</v>
      </c>
      <c r="AF188" s="53">
        <v>33276688</v>
      </c>
      <c r="AG188" s="53">
        <v>39477704</v>
      </c>
      <c r="AH188" s="53">
        <v>39699901</v>
      </c>
      <c r="AI188" s="53">
        <v>36393764</v>
      </c>
      <c r="AJ188" s="53">
        <v>36523035</v>
      </c>
      <c r="AK188" s="53">
        <v>44086849</v>
      </c>
      <c r="AL188" s="53">
        <v>44335839</v>
      </c>
      <c r="AM188" s="53">
        <v>47033866</v>
      </c>
      <c r="AN188" s="53">
        <v>47343758</v>
      </c>
      <c r="AO188" s="53">
        <v>0</v>
      </c>
      <c r="AP188" s="53">
        <v>0</v>
      </c>
      <c r="AQ188" s="53">
        <v>0</v>
      </c>
      <c r="AR188" s="53">
        <v>0</v>
      </c>
      <c r="AS188" s="53">
        <v>0</v>
      </c>
      <c r="AT188" s="53">
        <v>0</v>
      </c>
      <c r="AU188" s="62">
        <f t="shared" si="332"/>
        <v>2.704074074074074E-3</v>
      </c>
      <c r="AV188" s="62">
        <f t="shared" si="333"/>
        <v>2.5717245370370369E-3</v>
      </c>
      <c r="AW188" s="62">
        <f t="shared" si="334"/>
        <v>1.4961921296296297E-3</v>
      </c>
      <c r="AX188" s="62">
        <f t="shared" si="335"/>
        <v>2.8818287037037037E-3</v>
      </c>
      <c r="AY188" s="62">
        <f t="shared" si="336"/>
        <v>3.586712962962963E-3</v>
      </c>
      <c r="AZ188" s="62" t="str">
        <f t="shared" si="337"/>
        <v>DNS/DNF</v>
      </c>
      <c r="BA188" s="62" t="str">
        <f t="shared" si="338"/>
        <v>DNS/DNF</v>
      </c>
      <c r="BB188" s="62" t="str">
        <f t="shared" si="339"/>
        <v>DNS/DNF</v>
      </c>
      <c r="BC188" s="75">
        <f t="shared" si="340"/>
        <v>36</v>
      </c>
      <c r="BD188" s="53">
        <f t="shared" si="341"/>
        <v>219687</v>
      </c>
      <c r="BE188" s="53">
        <f t="shared" si="342"/>
        <v>229751</v>
      </c>
      <c r="BF188" s="53">
        <f t="shared" si="343"/>
        <v>127622.00000000001</v>
      </c>
      <c r="BG188" s="53" t="str">
        <f t="shared" si="344"/>
        <v/>
      </c>
      <c r="BH188" s="53">
        <f t="shared" si="345"/>
        <v>311415</v>
      </c>
      <c r="BI188" s="53" t="str">
        <f t="shared" si="346"/>
        <v/>
      </c>
      <c r="BJ188" s="53" t="str">
        <f t="shared" si="347"/>
        <v/>
      </c>
      <c r="BK188" s="53" t="str">
        <f t="shared" si="348"/>
        <v/>
      </c>
    </row>
    <row r="189" spans="1:63">
      <c r="A189" s="53">
        <v>187</v>
      </c>
      <c r="B189" s="89" t="str">
        <f>IFERROR(VLOOKUP($A189,EntryList!$A$3:$N$645,2,FALSE),"")</f>
        <v>James Owen</v>
      </c>
      <c r="C189" s="74"/>
      <c r="D189" s="53">
        <f t="shared" si="315"/>
        <v>5</v>
      </c>
      <c r="E189" s="62">
        <v>2.5889236111111113E-3</v>
      </c>
      <c r="F189" s="62">
        <v>2.5681828703703704E-3</v>
      </c>
      <c r="G189" s="62">
        <v>1.4752662037037037E-3</v>
      </c>
      <c r="H189" s="62">
        <v>2.9266550925925922E-3</v>
      </c>
      <c r="I189" s="62">
        <v>3.6790625E-3</v>
      </c>
      <c r="J189" s="62"/>
      <c r="K189" s="62"/>
      <c r="L189" s="62"/>
      <c r="M189" s="62">
        <v>1.3238090277777779E-2</v>
      </c>
      <c r="N189" s="62">
        <f t="shared" si="316"/>
        <v>1.3238090277777777E-2</v>
      </c>
      <c r="O189" s="53">
        <f t="shared" si="317"/>
        <v>41</v>
      </c>
      <c r="P189" s="53">
        <f t="shared" si="318"/>
        <v>22</v>
      </c>
      <c r="Q189" s="53">
        <f t="shared" si="319"/>
        <v>35</v>
      </c>
      <c r="R189" s="53">
        <f t="shared" si="320"/>
        <v>33</v>
      </c>
      <c r="S189" s="53">
        <f t="shared" si="321"/>
        <v>52</v>
      </c>
      <c r="T189" s="53" t="str">
        <f t="shared" si="322"/>
        <v/>
      </c>
      <c r="U189" s="53" t="str">
        <f t="shared" si="323"/>
        <v/>
      </c>
      <c r="V189" s="53" t="str">
        <f t="shared" si="324"/>
        <v/>
      </c>
      <c r="W189" s="53" t="str">
        <f t="shared" si="349"/>
        <v>00:03:43.7 (41)</v>
      </c>
      <c r="X189" s="53" t="str">
        <f t="shared" si="325"/>
        <v>00:03:41.9 (22)</v>
      </c>
      <c r="Y189" s="53" t="str">
        <f t="shared" si="326"/>
        <v>00:02:07.5 (35)</v>
      </c>
      <c r="Z189" s="53" t="str">
        <f t="shared" si="327"/>
        <v>00:04:12.9 (33)</v>
      </c>
      <c r="AA189" s="53" t="str">
        <f t="shared" si="328"/>
        <v>00:05:17.9 (52)</v>
      </c>
      <c r="AB189" s="53" t="str">
        <f t="shared" si="329"/>
        <v>DNS/DNF ()</v>
      </c>
      <c r="AC189" s="53" t="str">
        <f t="shared" si="330"/>
        <v>DNS/DNF ()</v>
      </c>
      <c r="AD189" s="53" t="str">
        <f t="shared" si="331"/>
        <v>DNS/DNF ()</v>
      </c>
      <c r="AE189" s="53">
        <v>33159770</v>
      </c>
      <c r="AF189" s="53">
        <v>33383453</v>
      </c>
      <c r="AG189" s="53">
        <v>39515274</v>
      </c>
      <c r="AH189" s="53">
        <v>39737165</v>
      </c>
      <c r="AI189" s="53">
        <v>36365065</v>
      </c>
      <c r="AJ189" s="53">
        <v>36492528</v>
      </c>
      <c r="AK189" s="53">
        <v>44107537</v>
      </c>
      <c r="AL189" s="53">
        <v>44360400</v>
      </c>
      <c r="AM189" s="53">
        <v>47060170</v>
      </c>
      <c r="AN189" s="53">
        <v>47378041</v>
      </c>
      <c r="AO189" s="53">
        <v>0</v>
      </c>
      <c r="AP189" s="53">
        <v>0</v>
      </c>
      <c r="AQ189" s="53">
        <v>0</v>
      </c>
      <c r="AR189" s="53">
        <v>0</v>
      </c>
      <c r="AS189" s="53">
        <v>0</v>
      </c>
      <c r="AT189" s="53">
        <v>0</v>
      </c>
      <c r="AU189" s="62">
        <f t="shared" si="332"/>
        <v>2.5889236111111113E-3</v>
      </c>
      <c r="AV189" s="62">
        <f t="shared" si="333"/>
        <v>2.5681828703703704E-3</v>
      </c>
      <c r="AW189" s="62">
        <f t="shared" si="334"/>
        <v>1.4752662037037037E-3</v>
      </c>
      <c r="AX189" s="62">
        <f t="shared" si="335"/>
        <v>2.9266550925925927E-3</v>
      </c>
      <c r="AY189" s="62">
        <f t="shared" si="336"/>
        <v>3.6790625E-3</v>
      </c>
      <c r="AZ189" s="62" t="str">
        <f t="shared" si="337"/>
        <v>DNS/DNF</v>
      </c>
      <c r="BA189" s="62" t="str">
        <f t="shared" si="338"/>
        <v>DNS/DNF</v>
      </c>
      <c r="BB189" s="62" t="str">
        <f t="shared" si="339"/>
        <v>DNS/DNF</v>
      </c>
      <c r="BC189" s="75">
        <f t="shared" si="340"/>
        <v>37</v>
      </c>
      <c r="BD189" s="53">
        <f t="shared" si="341"/>
        <v>220085.99999999997</v>
      </c>
      <c r="BE189" s="53">
        <f t="shared" si="342"/>
        <v>229777</v>
      </c>
      <c r="BF189" s="53">
        <f t="shared" si="343"/>
        <v>127997</v>
      </c>
      <c r="BG189" s="53">
        <f t="shared" si="344"/>
        <v>254706.00000000003</v>
      </c>
      <c r="BH189" s="53" t="str">
        <f t="shared" si="345"/>
        <v/>
      </c>
      <c r="BI189" s="53" t="str">
        <f t="shared" si="346"/>
        <v/>
      </c>
      <c r="BJ189" s="53" t="str">
        <f t="shared" si="347"/>
        <v/>
      </c>
      <c r="BK189" s="53" t="str">
        <f t="shared" si="348"/>
        <v/>
      </c>
    </row>
    <row r="190" spans="1:63">
      <c r="A190" s="53">
        <v>201</v>
      </c>
      <c r="B190" s="89" t="str">
        <f>IFERROR(VLOOKUP($A190,EntryList!$A$3:$N$645,2,FALSE),"")</f>
        <v>Jordan De Goede</v>
      </c>
      <c r="C190" s="74"/>
      <c r="D190" s="53">
        <f t="shared" si="315"/>
        <v>5</v>
      </c>
      <c r="E190" s="62">
        <v>2.4259953703703705E-3</v>
      </c>
      <c r="F190" s="62">
        <v>2.6282291666666663E-3</v>
      </c>
      <c r="G190" s="62">
        <v>3.224502314814815E-3</v>
      </c>
      <c r="H190" s="62">
        <v>2.775775462962963E-3</v>
      </c>
      <c r="I190" s="62">
        <v>3.4898148148148149E-3</v>
      </c>
      <c r="J190" s="62"/>
      <c r="K190" s="62"/>
      <c r="L190" s="62"/>
      <c r="M190" s="62">
        <v>1.4544317129629629E-2</v>
      </c>
      <c r="N190" s="62">
        <f t="shared" si="316"/>
        <v>1.4544317129629631E-2</v>
      </c>
      <c r="O190" s="53">
        <f t="shared" si="317"/>
        <v>20</v>
      </c>
      <c r="P190" s="53">
        <f t="shared" si="318"/>
        <v>30</v>
      </c>
      <c r="Q190" s="53">
        <f t="shared" si="319"/>
        <v>256</v>
      </c>
      <c r="R190" s="53">
        <f t="shared" si="320"/>
        <v>17</v>
      </c>
      <c r="S190" s="53">
        <f t="shared" si="321"/>
        <v>18</v>
      </c>
      <c r="T190" s="53" t="str">
        <f t="shared" si="322"/>
        <v/>
      </c>
      <c r="U190" s="53" t="str">
        <f t="shared" si="323"/>
        <v/>
      </c>
      <c r="V190" s="53" t="str">
        <f t="shared" si="324"/>
        <v/>
      </c>
      <c r="W190" s="53" t="str">
        <f t="shared" si="349"/>
        <v>00:03:29.6 (20)</v>
      </c>
      <c r="X190" s="53" t="str">
        <f t="shared" si="325"/>
        <v>00:03:47.1 (30)</v>
      </c>
      <c r="Y190" s="53" t="str">
        <f t="shared" si="326"/>
        <v>00:04:38.6 (256)</v>
      </c>
      <c r="Z190" s="53" t="str">
        <f t="shared" si="327"/>
        <v>00:03:59.8 (17)</v>
      </c>
      <c r="AA190" s="53" t="str">
        <f t="shared" si="328"/>
        <v>00:05:01.5 (18)</v>
      </c>
      <c r="AB190" s="53" t="str">
        <f t="shared" si="329"/>
        <v>DNS/DNF ()</v>
      </c>
      <c r="AC190" s="53" t="str">
        <f t="shared" si="330"/>
        <v>DNS/DNF ()</v>
      </c>
      <c r="AD190" s="53" t="str">
        <f t="shared" si="331"/>
        <v>DNS/DNF ()</v>
      </c>
      <c r="AE190" s="53">
        <v>31204863</v>
      </c>
      <c r="AF190" s="53">
        <v>31414469</v>
      </c>
      <c r="AG190" s="53">
        <v>36863422</v>
      </c>
      <c r="AH190" s="53">
        <v>37090501</v>
      </c>
      <c r="AI190" s="53">
        <v>39423487</v>
      </c>
      <c r="AJ190" s="53">
        <v>39702084</v>
      </c>
      <c r="AK190" s="53">
        <v>44218241</v>
      </c>
      <c r="AL190" s="53">
        <v>44458068</v>
      </c>
      <c r="AM190" s="53">
        <v>47163984</v>
      </c>
      <c r="AN190" s="53">
        <v>47465504</v>
      </c>
      <c r="AO190" s="53">
        <v>0</v>
      </c>
      <c r="AP190" s="53">
        <v>0</v>
      </c>
      <c r="AQ190" s="53">
        <v>0</v>
      </c>
      <c r="AR190" s="53">
        <v>0</v>
      </c>
      <c r="AS190" s="53">
        <v>0</v>
      </c>
      <c r="AT190" s="53">
        <v>0</v>
      </c>
      <c r="AU190" s="62">
        <f t="shared" si="332"/>
        <v>2.4259953703703705E-3</v>
      </c>
      <c r="AV190" s="62">
        <f t="shared" si="333"/>
        <v>2.6282291666666667E-3</v>
      </c>
      <c r="AW190" s="62">
        <f t="shared" si="334"/>
        <v>3.224502314814815E-3</v>
      </c>
      <c r="AX190" s="62">
        <f t="shared" si="335"/>
        <v>2.775775462962963E-3</v>
      </c>
      <c r="AY190" s="62">
        <f t="shared" si="336"/>
        <v>3.4898148148148149E-3</v>
      </c>
      <c r="AZ190" s="62" t="str">
        <f t="shared" si="337"/>
        <v>DNS/DNF</v>
      </c>
      <c r="BA190" s="62" t="str">
        <f t="shared" si="338"/>
        <v>DNS/DNF</v>
      </c>
      <c r="BB190" s="62" t="str">
        <f t="shared" si="339"/>
        <v>DNS/DNF</v>
      </c>
      <c r="BC190" s="75">
        <f t="shared" si="340"/>
        <v>68</v>
      </c>
      <c r="BD190" s="53">
        <f t="shared" si="341"/>
        <v>246067</v>
      </c>
      <c r="BE190" s="53">
        <f t="shared" si="342"/>
        <v>241660.00000000003</v>
      </c>
      <c r="BF190" s="53">
        <f t="shared" si="343"/>
        <v>135848</v>
      </c>
      <c r="BG190" s="53">
        <f t="shared" si="344"/>
        <v>272370</v>
      </c>
      <c r="BH190" s="53">
        <f t="shared" si="345"/>
        <v>329294</v>
      </c>
      <c r="BI190" s="53" t="str">
        <f t="shared" si="346"/>
        <v/>
      </c>
      <c r="BJ190" s="53" t="str">
        <f t="shared" si="347"/>
        <v/>
      </c>
      <c r="BK190" s="53" t="str">
        <f t="shared" si="348"/>
        <v/>
      </c>
    </row>
    <row r="191" spans="1:63">
      <c r="A191" s="53">
        <v>123</v>
      </c>
      <c r="B191" s="89" t="str">
        <f>IFERROR(VLOOKUP($A191,EntryList!$A$3:$N$645,2,FALSE),"")</f>
        <v>Dane Clifton</v>
      </c>
      <c r="C191" s="74"/>
      <c r="D191" s="53">
        <f t="shared" si="315"/>
        <v>5</v>
      </c>
      <c r="E191" s="62">
        <v>2.9734722222222215E-3</v>
      </c>
      <c r="F191" s="62">
        <v>3.0895023148148153E-3</v>
      </c>
      <c r="G191" s="62">
        <v>1.6565393518518517E-3</v>
      </c>
      <c r="H191" s="62">
        <v>3.715289351851852E-3</v>
      </c>
      <c r="I191" s="62">
        <v>4.0767592592592591E-3</v>
      </c>
      <c r="J191" s="62"/>
      <c r="K191" s="62"/>
      <c r="L191" s="62"/>
      <c r="M191" s="62">
        <v>1.5511562499999999E-2</v>
      </c>
      <c r="N191" s="62">
        <f t="shared" si="316"/>
        <v>1.5511562499999999E-2</v>
      </c>
      <c r="O191" s="53">
        <f t="shared" si="317"/>
        <v>83</v>
      </c>
      <c r="P191" s="53">
        <f t="shared" si="318"/>
        <v>134</v>
      </c>
      <c r="Q191" s="53">
        <f t="shared" si="319"/>
        <v>91</v>
      </c>
      <c r="R191" s="53">
        <f t="shared" si="320"/>
        <v>123</v>
      </c>
      <c r="S191" s="53">
        <f t="shared" si="321"/>
        <v>122</v>
      </c>
      <c r="T191" s="53" t="str">
        <f t="shared" si="322"/>
        <v/>
      </c>
      <c r="U191" s="53" t="str">
        <f t="shared" si="323"/>
        <v/>
      </c>
      <c r="V191" s="53" t="str">
        <f t="shared" si="324"/>
        <v/>
      </c>
      <c r="W191" s="53" t="str">
        <f t="shared" si="349"/>
        <v>00:04:16.9 (83)</v>
      </c>
      <c r="X191" s="53" t="str">
        <f t="shared" si="325"/>
        <v>00:04:26.9 (134)</v>
      </c>
      <c r="Y191" s="53" t="str">
        <f t="shared" si="326"/>
        <v>00:02:23.1 (91)</v>
      </c>
      <c r="Z191" s="53" t="str">
        <f t="shared" si="327"/>
        <v>00:05:21.0 (123)</v>
      </c>
      <c r="AA191" s="53" t="str">
        <f t="shared" si="328"/>
        <v>00:05:52.2 (122)</v>
      </c>
      <c r="AB191" s="53" t="str">
        <f t="shared" si="329"/>
        <v>DNS/DNF ()</v>
      </c>
      <c r="AC191" s="53" t="str">
        <f t="shared" si="330"/>
        <v>DNS/DNF ()</v>
      </c>
      <c r="AD191" s="53" t="str">
        <f t="shared" si="331"/>
        <v>DNS/DNF ()</v>
      </c>
      <c r="AE191" s="53">
        <v>33404812</v>
      </c>
      <c r="AF191" s="53">
        <v>33661720</v>
      </c>
      <c r="AG191" s="53">
        <v>39545962</v>
      </c>
      <c r="AH191" s="53">
        <v>39812895</v>
      </c>
      <c r="AI191" s="53">
        <v>36589497</v>
      </c>
      <c r="AJ191" s="53">
        <v>36732622</v>
      </c>
      <c r="AK191" s="53">
        <v>44161646</v>
      </c>
      <c r="AL191" s="53">
        <v>44482647</v>
      </c>
      <c r="AM191" s="53">
        <v>47192492</v>
      </c>
      <c r="AN191" s="53">
        <v>47544724</v>
      </c>
      <c r="AO191" s="53">
        <v>0</v>
      </c>
      <c r="AP191" s="53">
        <v>0</v>
      </c>
      <c r="AQ191" s="53">
        <v>0</v>
      </c>
      <c r="AR191" s="53">
        <v>0</v>
      </c>
      <c r="AS191" s="53">
        <v>0</v>
      </c>
      <c r="AT191" s="53">
        <v>0</v>
      </c>
      <c r="AU191" s="62">
        <f t="shared" si="332"/>
        <v>2.9734722222222224E-3</v>
      </c>
      <c r="AV191" s="62">
        <f t="shared" si="333"/>
        <v>3.0895023148148149E-3</v>
      </c>
      <c r="AW191" s="62">
        <f t="shared" si="334"/>
        <v>1.6565393518518517E-3</v>
      </c>
      <c r="AX191" s="62">
        <f t="shared" si="335"/>
        <v>3.715289351851852E-3</v>
      </c>
      <c r="AY191" s="62">
        <f t="shared" si="336"/>
        <v>4.0767592592592591E-3</v>
      </c>
      <c r="AZ191" s="62" t="str">
        <f t="shared" si="337"/>
        <v>DNS/DNF</v>
      </c>
      <c r="BA191" s="62" t="str">
        <f t="shared" si="338"/>
        <v>DNS/DNF</v>
      </c>
      <c r="BB191" s="62" t="str">
        <f t="shared" si="339"/>
        <v>DNS/DNF</v>
      </c>
      <c r="BC191" s="75">
        <f t="shared" si="340"/>
        <v>111</v>
      </c>
      <c r="BD191" s="53">
        <f t="shared" si="341"/>
        <v>296739</v>
      </c>
      <c r="BE191" s="53">
        <f t="shared" si="342"/>
        <v>257913</v>
      </c>
      <c r="BF191" s="53">
        <f t="shared" si="343"/>
        <v>148138</v>
      </c>
      <c r="BG191" s="53">
        <f t="shared" si="344"/>
        <v>310590</v>
      </c>
      <c r="BH191" s="53">
        <f t="shared" si="345"/>
        <v>348759</v>
      </c>
      <c r="BI191" s="53" t="str">
        <f t="shared" si="346"/>
        <v/>
      </c>
      <c r="BJ191" s="53" t="str">
        <f t="shared" si="347"/>
        <v/>
      </c>
      <c r="BK191" s="53" t="str">
        <f t="shared" si="348"/>
        <v/>
      </c>
    </row>
    <row r="192" spans="1:63">
      <c r="A192" s="53">
        <v>10</v>
      </c>
      <c r="B192" s="89" t="str">
        <f>IFERROR(VLOOKUP($A192,EntryList!$A$3:$N$645,2,FALSE),"")</f>
        <v>Conner Morrison</v>
      </c>
      <c r="C192" s="74"/>
      <c r="D192" s="53">
        <f t="shared" si="315"/>
        <v>5</v>
      </c>
      <c r="E192" s="62">
        <v>5.5617245370370369E-3</v>
      </c>
      <c r="F192" s="62">
        <v>2.6973263888888893E-3</v>
      </c>
      <c r="G192" s="62">
        <v>1.5199189814814817E-3</v>
      </c>
      <c r="H192" s="62">
        <v>2.8679398148148145E-3</v>
      </c>
      <c r="I192" s="62">
        <v>5.483900462962963E-3</v>
      </c>
      <c r="J192" s="62"/>
      <c r="K192" s="62"/>
      <c r="L192" s="62"/>
      <c r="M192" s="62">
        <v>1.8130810185185184E-2</v>
      </c>
      <c r="N192" s="62">
        <f t="shared" si="316"/>
        <v>1.8130810185185184E-2</v>
      </c>
      <c r="O192" s="53">
        <f t="shared" si="317"/>
        <v>146</v>
      </c>
      <c r="P192" s="53">
        <f t="shared" si="318"/>
        <v>46</v>
      </c>
      <c r="Q192" s="53">
        <f t="shared" si="319"/>
        <v>56</v>
      </c>
      <c r="R192" s="53">
        <f t="shared" si="320"/>
        <v>27</v>
      </c>
      <c r="S192" s="53">
        <f t="shared" si="321"/>
        <v>246</v>
      </c>
      <c r="T192" s="53" t="str">
        <f t="shared" si="322"/>
        <v/>
      </c>
      <c r="U192" s="53" t="str">
        <f t="shared" si="323"/>
        <v/>
      </c>
      <c r="V192" s="53" t="str">
        <f t="shared" si="324"/>
        <v/>
      </c>
      <c r="W192" s="53" t="str">
        <f t="shared" si="349"/>
        <v>00:08:00.5 (146)</v>
      </c>
      <c r="X192" s="53" t="str">
        <f t="shared" si="325"/>
        <v>00:03:53.0 (46)</v>
      </c>
      <c r="Y192" s="53" t="str">
        <f t="shared" si="326"/>
        <v>00:02:11.3 (56)</v>
      </c>
      <c r="Z192" s="53" t="str">
        <f t="shared" si="327"/>
        <v>00:04:07.8 (27)</v>
      </c>
      <c r="AA192" s="53" t="str">
        <f t="shared" si="328"/>
        <v>00:07:53.8 (246)</v>
      </c>
      <c r="AB192" s="53" t="str">
        <f t="shared" si="329"/>
        <v>DNS/DNF ()</v>
      </c>
      <c r="AC192" s="53" t="str">
        <f t="shared" si="330"/>
        <v>DNS/DNF ()</v>
      </c>
      <c r="AD192" s="53" t="str">
        <f t="shared" si="331"/>
        <v>DNS/DNF ()</v>
      </c>
      <c r="AE192" s="53">
        <v>31273355</v>
      </c>
      <c r="AF192" s="53">
        <v>31753888</v>
      </c>
      <c r="AG192" s="53">
        <v>36304886</v>
      </c>
      <c r="AH192" s="53">
        <v>36537935</v>
      </c>
      <c r="AI192" s="53">
        <v>39496527</v>
      </c>
      <c r="AJ192" s="53">
        <v>39627848</v>
      </c>
      <c r="AK192" s="53">
        <v>44221119</v>
      </c>
      <c r="AL192" s="53">
        <v>44468909</v>
      </c>
      <c r="AM192" s="53">
        <v>47166870</v>
      </c>
      <c r="AN192" s="53">
        <v>47640679</v>
      </c>
      <c r="AO192" s="53">
        <v>0</v>
      </c>
      <c r="AP192" s="53">
        <v>0</v>
      </c>
      <c r="AQ192" s="53">
        <v>0</v>
      </c>
      <c r="AR192" s="53">
        <v>0</v>
      </c>
      <c r="AS192" s="53">
        <v>0</v>
      </c>
      <c r="AT192" s="53">
        <v>0</v>
      </c>
      <c r="AU192" s="62">
        <f t="shared" si="332"/>
        <v>5.5617245370370369E-3</v>
      </c>
      <c r="AV192" s="62">
        <f t="shared" si="333"/>
        <v>2.6973263888888889E-3</v>
      </c>
      <c r="AW192" s="62">
        <f t="shared" si="334"/>
        <v>1.5199189814814815E-3</v>
      </c>
      <c r="AX192" s="62">
        <f t="shared" si="335"/>
        <v>2.8679398148148149E-3</v>
      </c>
      <c r="AY192" s="62">
        <f t="shared" si="336"/>
        <v>5.483900462962963E-3</v>
      </c>
      <c r="AZ192" s="62" t="str">
        <f t="shared" si="337"/>
        <v>DNS/DNF</v>
      </c>
      <c r="BA192" s="62" t="str">
        <f t="shared" si="338"/>
        <v>DNS/DNF</v>
      </c>
      <c r="BB192" s="62" t="str">
        <f t="shared" si="339"/>
        <v>DNS/DNF</v>
      </c>
      <c r="BC192" s="75">
        <f t="shared" si="340"/>
        <v>104</v>
      </c>
      <c r="BD192" s="53">
        <f t="shared" si="341"/>
        <v>283353</v>
      </c>
      <c r="BE192" s="53">
        <f t="shared" si="342"/>
        <v>256226</v>
      </c>
      <c r="BF192" s="53">
        <f t="shared" si="343"/>
        <v>147052</v>
      </c>
      <c r="BG192" s="53">
        <f t="shared" si="344"/>
        <v>302969</v>
      </c>
      <c r="BH192" s="53">
        <f t="shared" si="345"/>
        <v>344338</v>
      </c>
      <c r="BI192" s="53" t="str">
        <f t="shared" si="346"/>
        <v/>
      </c>
      <c r="BJ192" s="53" t="str">
        <f t="shared" si="347"/>
        <v/>
      </c>
      <c r="BK192" s="53" t="str">
        <f t="shared" si="348"/>
        <v/>
      </c>
    </row>
    <row r="193" spans="1:63">
      <c r="A193" s="53">
        <v>84</v>
      </c>
      <c r="B193" s="89" t="str">
        <f>IFERROR(VLOOKUP($A193,EntryList!$A$3:$N$645,2,FALSE),"")</f>
        <v>Stefan Boshoff</v>
      </c>
      <c r="C193" s="74"/>
      <c r="D193" s="53">
        <f t="shared" si="315"/>
        <v>5</v>
      </c>
      <c r="E193" s="62">
        <v>2.5506250000000004E-3</v>
      </c>
      <c r="F193" s="62">
        <v>2.697662037037037E-3</v>
      </c>
      <c r="G193" s="62">
        <v>1.4480787037037038E-3</v>
      </c>
      <c r="H193" s="62">
        <v>2.9625925925925926E-3</v>
      </c>
      <c r="I193" s="62">
        <v>3.7129861111111113E-3</v>
      </c>
      <c r="J193" s="62"/>
      <c r="K193" s="62"/>
      <c r="L193" s="62"/>
      <c r="M193" s="62">
        <v>1.3371944444444445E-2</v>
      </c>
      <c r="N193" s="62">
        <f t="shared" si="316"/>
        <v>1.3371944444444445E-2</v>
      </c>
      <c r="O193" s="53">
        <f t="shared" si="317"/>
        <v>39</v>
      </c>
      <c r="P193" s="53">
        <f t="shared" si="318"/>
        <v>47</v>
      </c>
      <c r="Q193" s="53">
        <f t="shared" si="319"/>
        <v>27</v>
      </c>
      <c r="R193" s="53">
        <f t="shared" si="320"/>
        <v>39</v>
      </c>
      <c r="S193" s="53">
        <f t="shared" si="321"/>
        <v>56</v>
      </c>
      <c r="T193" s="53" t="str">
        <f t="shared" si="322"/>
        <v/>
      </c>
      <c r="U193" s="53" t="str">
        <f t="shared" si="323"/>
        <v/>
      </c>
      <c r="V193" s="53" t="str">
        <f t="shared" si="324"/>
        <v/>
      </c>
      <c r="W193" s="53" t="str">
        <f t="shared" si="349"/>
        <v>00:03:40.4 (39)</v>
      </c>
      <c r="X193" s="53" t="str">
        <f t="shared" si="325"/>
        <v>00:03:53.1 (47)</v>
      </c>
      <c r="Y193" s="53" t="str">
        <f t="shared" si="326"/>
        <v>00:02:05.1 (27)</v>
      </c>
      <c r="Z193" s="53" t="str">
        <f t="shared" si="327"/>
        <v>00:04:16.0 (39)</v>
      </c>
      <c r="AA193" s="53" t="str">
        <f t="shared" si="328"/>
        <v>00:05:20.8 (56)</v>
      </c>
      <c r="AB193" s="53" t="str">
        <f t="shared" si="329"/>
        <v>DNS/DNF ()</v>
      </c>
      <c r="AC193" s="53" t="str">
        <f t="shared" si="330"/>
        <v>DNS/DNF ()</v>
      </c>
      <c r="AD193" s="53" t="str">
        <f t="shared" si="331"/>
        <v>DNS/DNF ()</v>
      </c>
      <c r="AE193" s="53">
        <v>31453012</v>
      </c>
      <c r="AF193" s="53">
        <v>31673386</v>
      </c>
      <c r="AG193" s="53">
        <v>35824460</v>
      </c>
      <c r="AH193" s="53">
        <v>36057538</v>
      </c>
      <c r="AI193" s="53">
        <v>39519772</v>
      </c>
      <c r="AJ193" s="53">
        <v>39644886</v>
      </c>
      <c r="AK193" s="53">
        <v>43776786</v>
      </c>
      <c r="AL193" s="53">
        <v>44032754</v>
      </c>
      <c r="AM193" s="53">
        <v>47095898</v>
      </c>
      <c r="AN193" s="53">
        <v>47416700</v>
      </c>
      <c r="AO193" s="53">
        <v>0</v>
      </c>
      <c r="AP193" s="53">
        <v>0</v>
      </c>
      <c r="AQ193" s="53">
        <v>0</v>
      </c>
      <c r="AR193" s="53">
        <v>0</v>
      </c>
      <c r="AS193" s="53">
        <v>0</v>
      </c>
      <c r="AT193" s="53">
        <v>0</v>
      </c>
      <c r="AU193" s="62">
        <f t="shared" si="332"/>
        <v>2.5506249999999999E-3</v>
      </c>
      <c r="AV193" s="62">
        <f t="shared" si="333"/>
        <v>2.697662037037037E-3</v>
      </c>
      <c r="AW193" s="62">
        <f t="shared" si="334"/>
        <v>1.4480787037037038E-3</v>
      </c>
      <c r="AX193" s="62">
        <f t="shared" si="335"/>
        <v>2.9625925925925926E-3</v>
      </c>
      <c r="AY193" s="62">
        <f t="shared" si="336"/>
        <v>3.7129861111111109E-3</v>
      </c>
      <c r="AZ193" s="62" t="str">
        <f t="shared" si="337"/>
        <v>DNS/DNF</v>
      </c>
      <c r="BA193" s="62" t="str">
        <f t="shared" si="338"/>
        <v>DNS/DNF</v>
      </c>
      <c r="BB193" s="62" t="str">
        <f t="shared" si="339"/>
        <v>DNS/DNF</v>
      </c>
      <c r="BC193" s="75">
        <f t="shared" si="340"/>
        <v>42</v>
      </c>
      <c r="BD193" s="53">
        <f t="shared" si="341"/>
        <v>224335.99999999997</v>
      </c>
      <c r="BE193" s="53">
        <f t="shared" si="342"/>
        <v>231936.99999999997</v>
      </c>
      <c r="BF193" s="53">
        <f t="shared" si="343"/>
        <v>129350</v>
      </c>
      <c r="BG193" s="53">
        <f t="shared" si="344"/>
        <v>257536</v>
      </c>
      <c r="BH193" s="53">
        <f t="shared" si="345"/>
        <v>312924</v>
      </c>
      <c r="BI193" s="53" t="str">
        <f t="shared" si="346"/>
        <v/>
      </c>
      <c r="BJ193" s="53" t="str">
        <f t="shared" si="347"/>
        <v/>
      </c>
      <c r="BK193" s="53" t="str">
        <f t="shared" si="348"/>
        <v/>
      </c>
    </row>
    <row r="194" spans="1:63">
      <c r="A194" s="53">
        <v>132</v>
      </c>
      <c r="B194" s="89" t="str">
        <f>IFERROR(VLOOKUP($A194,EntryList!$A$3:$N$645,2,FALSE),"")</f>
        <v>Warwick Davison</v>
      </c>
      <c r="C194" s="74"/>
      <c r="D194" s="53">
        <f t="shared" si="315"/>
        <v>4</v>
      </c>
      <c r="E194" s="62"/>
      <c r="F194" s="62">
        <v>3.7365509259259257E-3</v>
      </c>
      <c r="G194" s="62">
        <v>2.7022337962962963E-3</v>
      </c>
      <c r="H194" s="62">
        <v>4.66056712962963E-3</v>
      </c>
      <c r="I194" s="62">
        <v>4.9082291666666666E-3</v>
      </c>
      <c r="J194" s="62"/>
      <c r="K194" s="62"/>
      <c r="L194" s="62"/>
      <c r="M194" s="62">
        <v>1.6007581018518516E-2</v>
      </c>
      <c r="N194" s="62">
        <f t="shared" si="316"/>
        <v>1.600758101851852E-2</v>
      </c>
      <c r="O194" s="53" t="str">
        <f t="shared" si="317"/>
        <v/>
      </c>
      <c r="P194" s="53">
        <f t="shared" si="318"/>
        <v>231</v>
      </c>
      <c r="Q194" s="53">
        <f t="shared" si="319"/>
        <v>251</v>
      </c>
      <c r="R194" s="53">
        <f t="shared" si="320"/>
        <v>141</v>
      </c>
      <c r="S194" s="53">
        <f t="shared" si="321"/>
        <v>227</v>
      </c>
      <c r="T194" s="53" t="str">
        <f t="shared" si="322"/>
        <v/>
      </c>
      <c r="U194" s="53" t="str">
        <f t="shared" si="323"/>
        <v/>
      </c>
      <c r="V194" s="53" t="str">
        <f t="shared" si="324"/>
        <v/>
      </c>
      <c r="W194" s="53" t="str">
        <f t="shared" si="349"/>
        <v>DNS/DNF ()</v>
      </c>
      <c r="X194" s="53" t="str">
        <f t="shared" si="325"/>
        <v>00:05:22.8 (231)</v>
      </c>
      <c r="Y194" s="53" t="str">
        <f t="shared" si="326"/>
        <v>00:03:53.5 (251)</v>
      </c>
      <c r="Z194" s="53" t="str">
        <f t="shared" si="327"/>
        <v>00:06:42.7 (141)</v>
      </c>
      <c r="AA194" s="53" t="str">
        <f t="shared" si="328"/>
        <v>00:07:04.1 (227)</v>
      </c>
      <c r="AB194" s="53" t="str">
        <f t="shared" si="329"/>
        <v>DNS/DNF ()</v>
      </c>
      <c r="AC194" s="53" t="str">
        <f t="shared" si="330"/>
        <v>DNS/DNF ()</v>
      </c>
      <c r="AD194" s="53" t="str">
        <f t="shared" si="331"/>
        <v>DNS/DNF ()</v>
      </c>
      <c r="AE194" s="53">
        <v>0</v>
      </c>
      <c r="AF194" s="53">
        <v>0</v>
      </c>
      <c r="AG194" s="53">
        <v>34592498</v>
      </c>
      <c r="AH194" s="53">
        <v>34915336</v>
      </c>
      <c r="AI194" s="53">
        <v>37389628</v>
      </c>
      <c r="AJ194" s="53">
        <v>37623101</v>
      </c>
      <c r="AK194" s="53">
        <v>42474975</v>
      </c>
      <c r="AL194" s="53">
        <v>42877648</v>
      </c>
      <c r="AM194" s="53">
        <v>45915132</v>
      </c>
      <c r="AN194" s="53">
        <v>46339203</v>
      </c>
      <c r="AO194" s="53">
        <v>0</v>
      </c>
      <c r="AP194" s="53">
        <v>0</v>
      </c>
      <c r="AQ194" s="53">
        <v>0</v>
      </c>
      <c r="AR194" s="53">
        <v>0</v>
      </c>
      <c r="AS194" s="53">
        <v>0</v>
      </c>
      <c r="AT194" s="53">
        <v>0</v>
      </c>
      <c r="AU194" s="62" t="str">
        <f t="shared" si="332"/>
        <v>DNS/DNF</v>
      </c>
      <c r="AV194" s="62">
        <f t="shared" si="333"/>
        <v>3.7365509259259257E-3</v>
      </c>
      <c r="AW194" s="62">
        <f t="shared" si="334"/>
        <v>2.7022337962962963E-3</v>
      </c>
      <c r="AX194" s="62">
        <f t="shared" si="335"/>
        <v>4.66056712962963E-3</v>
      </c>
      <c r="AY194" s="62">
        <f t="shared" si="336"/>
        <v>4.9082291666666666E-3</v>
      </c>
      <c r="AZ194" s="62" t="str">
        <f t="shared" si="337"/>
        <v>DNS/DNF</v>
      </c>
      <c r="BA194" s="62" t="str">
        <f t="shared" si="338"/>
        <v>DNS/DNF</v>
      </c>
      <c r="BB194" s="62" t="str">
        <f t="shared" si="339"/>
        <v>DNS/DNF</v>
      </c>
      <c r="BC194" s="75">
        <f t="shared" si="340"/>
        <v>213</v>
      </c>
      <c r="BD194" s="53" t="str">
        <f t="shared" si="341"/>
        <v/>
      </c>
      <c r="BE194" s="53">
        <f t="shared" si="342"/>
        <v>301337</v>
      </c>
      <c r="BF194" s="53">
        <f t="shared" si="343"/>
        <v>177034.99999999997</v>
      </c>
      <c r="BG194" s="53" t="str">
        <f t="shared" si="344"/>
        <v/>
      </c>
      <c r="BH194" s="53">
        <f t="shared" si="345"/>
        <v>402587</v>
      </c>
      <c r="BI194" s="53" t="str">
        <f t="shared" si="346"/>
        <v/>
      </c>
      <c r="BJ194" s="53" t="str">
        <f t="shared" si="347"/>
        <v/>
      </c>
      <c r="BK194" s="53" t="str">
        <f t="shared" si="348"/>
        <v/>
      </c>
    </row>
    <row r="195" spans="1:63">
      <c r="A195" s="53">
        <v>235</v>
      </c>
      <c r="B195" s="89" t="str">
        <f>IFERROR(VLOOKUP($A195,EntryList!$A$3:$N$645,2,FALSE),"")</f>
        <v>Bjorn Train</v>
      </c>
      <c r="C195" s="74"/>
      <c r="D195" s="53">
        <f t="shared" si="315"/>
        <v>5</v>
      </c>
      <c r="E195" s="62">
        <v>3.4740856481481485E-3</v>
      </c>
      <c r="F195" s="62">
        <v>3.0510879629629633E-3</v>
      </c>
      <c r="G195" s="62">
        <v>1.6770833333333334E-3</v>
      </c>
      <c r="H195" s="62">
        <v>3.3347337962962961E-3</v>
      </c>
      <c r="I195" s="62">
        <v>4.0365624999999994E-3</v>
      </c>
      <c r="J195" s="62"/>
      <c r="K195" s="62"/>
      <c r="L195" s="62"/>
      <c r="M195" s="62">
        <v>1.5573553240740739E-2</v>
      </c>
      <c r="N195" s="62">
        <f t="shared" si="316"/>
        <v>1.557355324074074E-2</v>
      </c>
      <c r="O195" s="53">
        <f t="shared" si="317"/>
        <v>113</v>
      </c>
      <c r="P195" s="53">
        <f t="shared" si="318"/>
        <v>124</v>
      </c>
      <c r="Q195" s="53">
        <f t="shared" si="319"/>
        <v>96</v>
      </c>
      <c r="R195" s="53">
        <f t="shared" si="320"/>
        <v>83</v>
      </c>
      <c r="S195" s="53">
        <f t="shared" si="321"/>
        <v>111</v>
      </c>
      <c r="T195" s="53" t="str">
        <f t="shared" si="322"/>
        <v/>
      </c>
      <c r="U195" s="53" t="str">
        <f t="shared" si="323"/>
        <v/>
      </c>
      <c r="V195" s="53" t="str">
        <f t="shared" si="324"/>
        <v/>
      </c>
      <c r="W195" s="53" t="str">
        <f t="shared" si="349"/>
        <v>00:05:00.2 (113)</v>
      </c>
      <c r="X195" s="53" t="str">
        <f t="shared" si="325"/>
        <v>00:04:23.6 (124)</v>
      </c>
      <c r="Y195" s="53" t="str">
        <f t="shared" si="326"/>
        <v>00:02:24.9 (96)</v>
      </c>
      <c r="Z195" s="53" t="str">
        <f t="shared" si="327"/>
        <v>00:04:48.1 (83)</v>
      </c>
      <c r="AA195" s="53" t="str">
        <f t="shared" si="328"/>
        <v>00:05:48.8 (111)</v>
      </c>
      <c r="AB195" s="53" t="str">
        <f t="shared" si="329"/>
        <v>DNS/DNF ()</v>
      </c>
      <c r="AC195" s="53" t="str">
        <f t="shared" si="330"/>
        <v>DNS/DNF ()</v>
      </c>
      <c r="AD195" s="53" t="str">
        <f t="shared" si="331"/>
        <v>DNS/DNF ()</v>
      </c>
      <c r="AE195" s="53">
        <v>33372325</v>
      </c>
      <c r="AF195" s="53">
        <v>33672486</v>
      </c>
      <c r="AG195" s="53">
        <v>39588124</v>
      </c>
      <c r="AH195" s="53">
        <v>39851738</v>
      </c>
      <c r="AI195" s="53">
        <v>36465631</v>
      </c>
      <c r="AJ195" s="53">
        <v>36610531</v>
      </c>
      <c r="AK195" s="53">
        <v>44246409</v>
      </c>
      <c r="AL195" s="53">
        <v>44534530</v>
      </c>
      <c r="AM195" s="53">
        <v>47239574</v>
      </c>
      <c r="AN195" s="53">
        <v>47588333</v>
      </c>
      <c r="AO195" s="53">
        <v>0</v>
      </c>
      <c r="AP195" s="53">
        <v>0</v>
      </c>
      <c r="AQ195" s="53">
        <v>0</v>
      </c>
      <c r="AR195" s="53">
        <v>0</v>
      </c>
      <c r="AS195" s="53">
        <v>0</v>
      </c>
      <c r="AT195" s="53">
        <v>0</v>
      </c>
      <c r="AU195" s="62">
        <f t="shared" si="332"/>
        <v>3.474085648148148E-3</v>
      </c>
      <c r="AV195" s="62">
        <f t="shared" si="333"/>
        <v>3.0510879629629629E-3</v>
      </c>
      <c r="AW195" s="62">
        <f t="shared" si="334"/>
        <v>1.6770833333333334E-3</v>
      </c>
      <c r="AX195" s="62">
        <f t="shared" si="335"/>
        <v>3.3347337962962961E-3</v>
      </c>
      <c r="AY195" s="62">
        <f t="shared" si="336"/>
        <v>4.0365625000000002E-3</v>
      </c>
      <c r="AZ195" s="62" t="str">
        <f t="shared" si="337"/>
        <v>DNS/DNF</v>
      </c>
      <c r="BA195" s="62" t="str">
        <f t="shared" si="338"/>
        <v>DNS/DNF</v>
      </c>
      <c r="BB195" s="62" t="str">
        <f t="shared" si="339"/>
        <v>DNS/DNF</v>
      </c>
      <c r="BC195" s="75">
        <f t="shared" si="340"/>
        <v>105</v>
      </c>
      <c r="BD195" s="53">
        <f t="shared" si="341"/>
        <v>283453</v>
      </c>
      <c r="BE195" s="53">
        <f t="shared" si="342"/>
        <v>256283</v>
      </c>
      <c r="BF195" s="53">
        <f t="shared" si="343"/>
        <v>147192</v>
      </c>
      <c r="BG195" s="53">
        <f t="shared" si="344"/>
        <v>303873</v>
      </c>
      <c r="BH195" s="53">
        <f t="shared" si="345"/>
        <v>345656</v>
      </c>
      <c r="BI195" s="53" t="str">
        <f t="shared" si="346"/>
        <v/>
      </c>
      <c r="BJ195" s="53" t="str">
        <f t="shared" si="347"/>
        <v/>
      </c>
      <c r="BK195" s="53" t="str">
        <f t="shared" si="348"/>
        <v/>
      </c>
    </row>
    <row r="196" spans="1:63">
      <c r="A196" s="53">
        <v>68</v>
      </c>
      <c r="B196" s="89" t="str">
        <f>IFERROR(VLOOKUP($A196,EntryList!$A$3:$N$645,2,FALSE),"")</f>
        <v>Liam Coetzee</v>
      </c>
      <c r="C196" s="74"/>
      <c r="D196" s="53">
        <f t="shared" si="315"/>
        <v>5</v>
      </c>
      <c r="E196" s="62">
        <v>3.203541666666667E-3</v>
      </c>
      <c r="F196" s="62">
        <v>2.902199074074074E-3</v>
      </c>
      <c r="G196" s="62">
        <v>1.6707175925925926E-3</v>
      </c>
      <c r="H196" s="62">
        <v>3.1329398148148154E-3</v>
      </c>
      <c r="I196" s="62">
        <v>4.0309143518518515E-3</v>
      </c>
      <c r="J196" s="62"/>
      <c r="K196" s="62"/>
      <c r="L196" s="62"/>
      <c r="M196" s="62">
        <v>1.4940312500000002E-2</v>
      </c>
      <c r="N196" s="62">
        <f t="shared" si="316"/>
        <v>1.4940312499999999E-2</v>
      </c>
      <c r="O196" s="53">
        <f t="shared" si="317"/>
        <v>98</v>
      </c>
      <c r="P196" s="53">
        <f t="shared" si="318"/>
        <v>93</v>
      </c>
      <c r="Q196" s="53">
        <f t="shared" si="319"/>
        <v>94</v>
      </c>
      <c r="R196" s="53">
        <f t="shared" si="320"/>
        <v>64</v>
      </c>
      <c r="S196" s="53">
        <f t="shared" si="321"/>
        <v>109</v>
      </c>
      <c r="T196" s="53" t="str">
        <f t="shared" si="322"/>
        <v/>
      </c>
      <c r="U196" s="53" t="str">
        <f t="shared" si="323"/>
        <v/>
      </c>
      <c r="V196" s="53" t="str">
        <f t="shared" si="324"/>
        <v/>
      </c>
      <c r="W196" s="53" t="str">
        <f t="shared" si="349"/>
        <v>00:04:36.8 (98)</v>
      </c>
      <c r="X196" s="53" t="str">
        <f t="shared" si="325"/>
        <v>00:04:10.7 (93)</v>
      </c>
      <c r="Y196" s="53" t="str">
        <f t="shared" si="326"/>
        <v>00:02:24.4 (94)</v>
      </c>
      <c r="Z196" s="53" t="str">
        <f t="shared" si="327"/>
        <v>00:04:30.7 (64)</v>
      </c>
      <c r="AA196" s="53" t="str">
        <f t="shared" si="328"/>
        <v>00:05:48.3 (109)</v>
      </c>
      <c r="AB196" s="53" t="str">
        <f t="shared" si="329"/>
        <v>DNS/DNF ()</v>
      </c>
      <c r="AC196" s="53" t="str">
        <f t="shared" si="330"/>
        <v>DNS/DNF ()</v>
      </c>
      <c r="AD196" s="53" t="str">
        <f t="shared" si="331"/>
        <v>DNS/DNF ()</v>
      </c>
      <c r="AE196" s="53">
        <v>36857830</v>
      </c>
      <c r="AF196" s="53">
        <v>37134616</v>
      </c>
      <c r="AG196" s="53">
        <v>32892049</v>
      </c>
      <c r="AH196" s="53">
        <v>33142799</v>
      </c>
      <c r="AI196" s="53">
        <v>39951356</v>
      </c>
      <c r="AJ196" s="53">
        <v>40095706</v>
      </c>
      <c r="AK196" s="53">
        <v>44687468</v>
      </c>
      <c r="AL196" s="53">
        <v>44958154</v>
      </c>
      <c r="AM196" s="53">
        <v>47357062</v>
      </c>
      <c r="AN196" s="53">
        <v>47705333</v>
      </c>
      <c r="AO196" s="53">
        <v>0</v>
      </c>
      <c r="AP196" s="53">
        <v>0</v>
      </c>
      <c r="AQ196" s="53">
        <v>0</v>
      </c>
      <c r="AR196" s="53">
        <v>0</v>
      </c>
      <c r="AS196" s="53">
        <v>0</v>
      </c>
      <c r="AT196" s="53">
        <v>0</v>
      </c>
      <c r="AU196" s="62">
        <f t="shared" si="332"/>
        <v>3.2035416666666666E-3</v>
      </c>
      <c r="AV196" s="62">
        <f t="shared" si="333"/>
        <v>2.902199074074074E-3</v>
      </c>
      <c r="AW196" s="62">
        <f t="shared" si="334"/>
        <v>1.6707175925925926E-3</v>
      </c>
      <c r="AX196" s="62">
        <f t="shared" si="335"/>
        <v>3.132939814814815E-3</v>
      </c>
      <c r="AY196" s="62">
        <f t="shared" si="336"/>
        <v>4.0309143518518515E-3</v>
      </c>
      <c r="AZ196" s="62" t="str">
        <f t="shared" si="337"/>
        <v>DNS/DNF</v>
      </c>
      <c r="BA196" s="62" t="str">
        <f t="shared" si="338"/>
        <v>DNS/DNF</v>
      </c>
      <c r="BB196" s="62" t="str">
        <f t="shared" si="339"/>
        <v>DNS/DNF</v>
      </c>
      <c r="BC196" s="75">
        <f t="shared" si="340"/>
        <v>92</v>
      </c>
      <c r="BD196" s="53">
        <f t="shared" si="341"/>
        <v>269755</v>
      </c>
      <c r="BE196" s="53">
        <f t="shared" si="342"/>
        <v>250422.00000000003</v>
      </c>
      <c r="BF196" s="53">
        <f t="shared" si="343"/>
        <v>143496</v>
      </c>
      <c r="BG196" s="53">
        <f t="shared" si="344"/>
        <v>293971</v>
      </c>
      <c r="BH196" s="53">
        <f t="shared" si="345"/>
        <v>339972</v>
      </c>
      <c r="BI196" s="53" t="str">
        <f t="shared" si="346"/>
        <v/>
      </c>
      <c r="BJ196" s="53" t="str">
        <f t="shared" si="347"/>
        <v/>
      </c>
      <c r="BK196" s="53" t="str">
        <f t="shared" si="348"/>
        <v/>
      </c>
    </row>
    <row r="197" spans="1:63">
      <c r="A197" s="53">
        <v>103</v>
      </c>
      <c r="B197" s="89" t="str">
        <f>IFERROR(VLOOKUP($A197,EntryList!$A$3:$N$645,2,FALSE),"")</f>
        <v>Angus Fergusson</v>
      </c>
      <c r="C197" s="74"/>
      <c r="D197" s="53">
        <f t="shared" si="315"/>
        <v>5</v>
      </c>
      <c r="E197" s="62">
        <v>3.865150462962963E-3</v>
      </c>
      <c r="F197" s="62">
        <v>3.2167361111111112E-3</v>
      </c>
      <c r="G197" s="62">
        <v>1.7958796296296297E-3</v>
      </c>
      <c r="H197" s="62">
        <v>3.5747569444444442E-3</v>
      </c>
      <c r="I197" s="62">
        <v>4.2592361111111112E-3</v>
      </c>
      <c r="J197" s="62"/>
      <c r="K197" s="62"/>
      <c r="L197" s="62"/>
      <c r="M197" s="62">
        <v>1.671175925925926E-2</v>
      </c>
      <c r="N197" s="62">
        <f t="shared" si="316"/>
        <v>1.671175925925926E-2</v>
      </c>
      <c r="O197" s="53">
        <f t="shared" si="317"/>
        <v>125</v>
      </c>
      <c r="P197" s="53">
        <f t="shared" si="318"/>
        <v>171</v>
      </c>
      <c r="Q197" s="53">
        <f t="shared" si="319"/>
        <v>142</v>
      </c>
      <c r="R197" s="53">
        <f t="shared" si="320"/>
        <v>110</v>
      </c>
      <c r="S197" s="53">
        <f t="shared" si="321"/>
        <v>165</v>
      </c>
      <c r="T197" s="53" t="str">
        <f t="shared" si="322"/>
        <v/>
      </c>
      <c r="U197" s="53" t="str">
        <f t="shared" si="323"/>
        <v/>
      </c>
      <c r="V197" s="53" t="str">
        <f t="shared" si="324"/>
        <v/>
      </c>
      <c r="W197" s="53" t="str">
        <f t="shared" si="349"/>
        <v>00:05:33.9 (125)</v>
      </c>
      <c r="X197" s="53" t="str">
        <f t="shared" si="325"/>
        <v>00:04:37.9 (171)</v>
      </c>
      <c r="Y197" s="53" t="str">
        <f t="shared" si="326"/>
        <v>00:02:35.2 (142)</v>
      </c>
      <c r="Z197" s="53" t="str">
        <f t="shared" si="327"/>
        <v>00:05:08.9 (110)</v>
      </c>
      <c r="AA197" s="53" t="str">
        <f t="shared" si="328"/>
        <v>00:06:08.0 (165)</v>
      </c>
      <c r="AB197" s="53" t="str">
        <f t="shared" si="329"/>
        <v>DNS/DNF ()</v>
      </c>
      <c r="AC197" s="53" t="str">
        <f t="shared" si="330"/>
        <v>DNS/DNF ()</v>
      </c>
      <c r="AD197" s="53" t="str">
        <f t="shared" si="331"/>
        <v>DNS/DNF ()</v>
      </c>
      <c r="AE197" s="53">
        <v>32777666</v>
      </c>
      <c r="AF197" s="53">
        <v>33111615</v>
      </c>
      <c r="AG197" s="53">
        <v>37012357</v>
      </c>
      <c r="AH197" s="53">
        <v>37290283</v>
      </c>
      <c r="AI197" s="53">
        <v>39865180</v>
      </c>
      <c r="AJ197" s="53">
        <v>40020344</v>
      </c>
      <c r="AK197" s="53">
        <v>44120025</v>
      </c>
      <c r="AL197" s="53">
        <v>44428884</v>
      </c>
      <c r="AM197" s="53">
        <v>47280014</v>
      </c>
      <c r="AN197" s="53">
        <v>47648012</v>
      </c>
      <c r="AO197" s="53">
        <v>0</v>
      </c>
      <c r="AP197" s="53">
        <v>0</v>
      </c>
      <c r="AQ197" s="53">
        <v>0</v>
      </c>
      <c r="AR197" s="53">
        <v>0</v>
      </c>
      <c r="AS197" s="53">
        <v>0</v>
      </c>
      <c r="AT197" s="53">
        <v>0</v>
      </c>
      <c r="AU197" s="62">
        <f t="shared" si="332"/>
        <v>3.865150462962963E-3</v>
      </c>
      <c r="AV197" s="62">
        <f t="shared" si="333"/>
        <v>3.2167361111111112E-3</v>
      </c>
      <c r="AW197" s="62">
        <f t="shared" si="334"/>
        <v>1.7958796296296297E-3</v>
      </c>
      <c r="AX197" s="62">
        <f t="shared" si="335"/>
        <v>3.5747569444444446E-3</v>
      </c>
      <c r="AY197" s="62">
        <f t="shared" si="336"/>
        <v>4.2592361111111112E-3</v>
      </c>
      <c r="AZ197" s="62" t="str">
        <f t="shared" si="337"/>
        <v>DNS/DNF</v>
      </c>
      <c r="BA197" s="62" t="str">
        <f t="shared" si="338"/>
        <v>DNS/DNF</v>
      </c>
      <c r="BB197" s="62" t="str">
        <f t="shared" si="339"/>
        <v>DNS/DNF</v>
      </c>
      <c r="BC197" s="75">
        <f t="shared" si="340"/>
        <v>143</v>
      </c>
      <c r="BD197" s="53">
        <f t="shared" si="341"/>
        <v>414733</v>
      </c>
      <c r="BE197" s="53">
        <f t="shared" si="342"/>
        <v>270346</v>
      </c>
      <c r="BF197" s="53">
        <f t="shared" si="343"/>
        <v>156128</v>
      </c>
      <c r="BG197" s="53">
        <f t="shared" si="344"/>
        <v>464693</v>
      </c>
      <c r="BH197" s="53" t="str">
        <f t="shared" si="345"/>
        <v/>
      </c>
      <c r="BI197" s="53" t="str">
        <f t="shared" si="346"/>
        <v/>
      </c>
      <c r="BJ197" s="53" t="str">
        <f t="shared" si="347"/>
        <v/>
      </c>
      <c r="BK197" s="53" t="str">
        <f t="shared" si="348"/>
        <v/>
      </c>
    </row>
    <row r="198" spans="1:63">
      <c r="A198" s="53">
        <v>129</v>
      </c>
      <c r="B198" s="89" t="str">
        <f>IFERROR(VLOOKUP($A198,EntryList!$A$3:$N$645,2,FALSE),"")</f>
        <v>Evan Lategan</v>
      </c>
      <c r="C198" s="74"/>
      <c r="D198" s="53">
        <f t="shared" si="315"/>
        <v>5</v>
      </c>
      <c r="E198" s="62">
        <v>3.1171412037037036E-3</v>
      </c>
      <c r="F198" s="62">
        <v>3.2180555555555556E-3</v>
      </c>
      <c r="G198" s="62">
        <v>1.765833333333333E-3</v>
      </c>
      <c r="H198" s="62">
        <v>3.4879976851851856E-3</v>
      </c>
      <c r="I198" s="62">
        <v>4.0869560185185184E-3</v>
      </c>
      <c r="J198" s="62"/>
      <c r="K198" s="62"/>
      <c r="L198" s="62"/>
      <c r="M198" s="62">
        <v>1.5675983796296297E-2</v>
      </c>
      <c r="N198" s="62">
        <f t="shared" si="316"/>
        <v>1.5675983796296297E-2</v>
      </c>
      <c r="O198" s="53">
        <f t="shared" si="317"/>
        <v>91</v>
      </c>
      <c r="P198" s="53">
        <f t="shared" si="318"/>
        <v>172</v>
      </c>
      <c r="Q198" s="53">
        <f t="shared" si="319"/>
        <v>128</v>
      </c>
      <c r="R198" s="53">
        <f t="shared" si="320"/>
        <v>102</v>
      </c>
      <c r="S198" s="53">
        <f t="shared" si="321"/>
        <v>124</v>
      </c>
      <c r="T198" s="53" t="str">
        <f t="shared" si="322"/>
        <v/>
      </c>
      <c r="U198" s="53" t="str">
        <f t="shared" si="323"/>
        <v/>
      </c>
      <c r="V198" s="53" t="str">
        <f t="shared" si="324"/>
        <v/>
      </c>
      <c r="W198" s="53" t="str">
        <f t="shared" si="349"/>
        <v>00:04:29.3 (91)</v>
      </c>
      <c r="X198" s="53" t="str">
        <f t="shared" si="325"/>
        <v>00:04:38.0 (172)</v>
      </c>
      <c r="Y198" s="53" t="str">
        <f t="shared" si="326"/>
        <v>00:02:32.6 (128)</v>
      </c>
      <c r="Z198" s="53" t="str">
        <f t="shared" si="327"/>
        <v>00:05:01.4 (102)</v>
      </c>
      <c r="AA198" s="53" t="str">
        <f t="shared" si="328"/>
        <v>00:05:53.1 (124)</v>
      </c>
      <c r="AB198" s="53" t="str">
        <f t="shared" si="329"/>
        <v>DNS/DNF ()</v>
      </c>
      <c r="AC198" s="53" t="str">
        <f t="shared" si="330"/>
        <v>DNS/DNF ()</v>
      </c>
      <c r="AD198" s="53" t="str">
        <f t="shared" si="331"/>
        <v>DNS/DNF ()</v>
      </c>
      <c r="AE198" s="53">
        <v>36892270</v>
      </c>
      <c r="AF198" s="53">
        <v>37161591</v>
      </c>
      <c r="AG198" s="53">
        <v>32919475</v>
      </c>
      <c r="AH198" s="53">
        <v>33197515</v>
      </c>
      <c r="AI198" s="53">
        <v>39898172</v>
      </c>
      <c r="AJ198" s="53">
        <v>40050740</v>
      </c>
      <c r="AK198" s="53">
        <v>44786712</v>
      </c>
      <c r="AL198" s="53">
        <v>45088075</v>
      </c>
      <c r="AM198" s="53">
        <v>47322038</v>
      </c>
      <c r="AN198" s="53">
        <v>47675151</v>
      </c>
      <c r="AO198" s="53">
        <v>0</v>
      </c>
      <c r="AP198" s="53">
        <v>0</v>
      </c>
      <c r="AQ198" s="53">
        <v>0</v>
      </c>
      <c r="AR198" s="53">
        <v>0</v>
      </c>
      <c r="AS198" s="53">
        <v>0</v>
      </c>
      <c r="AT198" s="53">
        <v>0</v>
      </c>
      <c r="AU198" s="62">
        <f t="shared" si="332"/>
        <v>3.1171412037037036E-3</v>
      </c>
      <c r="AV198" s="62">
        <f t="shared" si="333"/>
        <v>3.2180555555555556E-3</v>
      </c>
      <c r="AW198" s="62">
        <f t="shared" si="334"/>
        <v>1.7658333333333332E-3</v>
      </c>
      <c r="AX198" s="62">
        <f t="shared" si="335"/>
        <v>3.4879976851851851E-3</v>
      </c>
      <c r="AY198" s="62">
        <f t="shared" si="336"/>
        <v>4.0869560185185184E-3</v>
      </c>
      <c r="AZ198" s="62" t="str">
        <f t="shared" si="337"/>
        <v>DNS/DNF</v>
      </c>
      <c r="BA198" s="62" t="str">
        <f t="shared" si="338"/>
        <v>DNS/DNF</v>
      </c>
      <c r="BB198" s="62" t="str">
        <f t="shared" si="339"/>
        <v>DNS/DNF</v>
      </c>
      <c r="BC198" s="75">
        <f t="shared" si="340"/>
        <v>123</v>
      </c>
      <c r="BD198" s="53">
        <f t="shared" si="341"/>
        <v>322090</v>
      </c>
      <c r="BE198" s="53">
        <f t="shared" si="342"/>
        <v>263550</v>
      </c>
      <c r="BF198" s="53">
        <f t="shared" si="343"/>
        <v>151750</v>
      </c>
      <c r="BG198" s="53">
        <f t="shared" si="344"/>
        <v>321001</v>
      </c>
      <c r="BH198" s="53">
        <f t="shared" si="345"/>
        <v>352347</v>
      </c>
      <c r="BI198" s="53" t="str">
        <f t="shared" si="346"/>
        <v/>
      </c>
      <c r="BJ198" s="53" t="str">
        <f t="shared" si="347"/>
        <v/>
      </c>
      <c r="BK198" s="53" t="str">
        <f t="shared" si="348"/>
        <v/>
      </c>
    </row>
    <row r="199" spans="1:63">
      <c r="A199" s="53">
        <v>130</v>
      </c>
      <c r="B199" s="89" t="str">
        <f>IFERROR(VLOOKUP($A199,EntryList!$A$3:$N$645,2,FALSE),"")</f>
        <v>Jano Gildenhuys</v>
      </c>
      <c r="C199" s="74"/>
      <c r="D199" s="53">
        <f t="shared" si="315"/>
        <v>5</v>
      </c>
      <c r="E199" s="62">
        <v>2.6864120370370371E-3</v>
      </c>
      <c r="F199" s="62">
        <v>2.9655787037037033E-3</v>
      </c>
      <c r="G199" s="62">
        <v>1.5302314814814814E-3</v>
      </c>
      <c r="H199" s="62">
        <v>3.035717592592592E-3</v>
      </c>
      <c r="I199" s="62">
        <v>3.9511226851851851E-3</v>
      </c>
      <c r="J199" s="62"/>
      <c r="K199" s="62"/>
      <c r="L199" s="62"/>
      <c r="M199" s="62">
        <v>1.4169062500000001E-2</v>
      </c>
      <c r="N199" s="62">
        <f t="shared" si="316"/>
        <v>1.4169062499999999E-2</v>
      </c>
      <c r="O199" s="53">
        <f t="shared" si="317"/>
        <v>54</v>
      </c>
      <c r="P199" s="53">
        <f t="shared" si="318"/>
        <v>104</v>
      </c>
      <c r="Q199" s="53">
        <f t="shared" si="319"/>
        <v>58</v>
      </c>
      <c r="R199" s="53">
        <f t="shared" si="320"/>
        <v>53</v>
      </c>
      <c r="S199" s="53">
        <f t="shared" si="321"/>
        <v>95</v>
      </c>
      <c r="T199" s="53" t="str">
        <f t="shared" si="322"/>
        <v/>
      </c>
      <c r="U199" s="53" t="str">
        <f t="shared" si="323"/>
        <v/>
      </c>
      <c r="V199" s="53" t="str">
        <f t="shared" si="324"/>
        <v/>
      </c>
      <c r="W199" s="53" t="str">
        <f t="shared" si="349"/>
        <v>00:03:52.1 (54)</v>
      </c>
      <c r="X199" s="53" t="str">
        <f t="shared" si="325"/>
        <v>00:04:16.2 (104)</v>
      </c>
      <c r="Y199" s="53" t="str">
        <f t="shared" si="326"/>
        <v>00:02:12.2 (58)</v>
      </c>
      <c r="Z199" s="53" t="str">
        <f t="shared" si="327"/>
        <v>00:04:22.3 (53)</v>
      </c>
      <c r="AA199" s="53" t="str">
        <f t="shared" si="328"/>
        <v>00:05:41.4 (95)</v>
      </c>
      <c r="AB199" s="53" t="str">
        <f t="shared" si="329"/>
        <v>DNS/DNF ()</v>
      </c>
      <c r="AC199" s="53" t="str">
        <f t="shared" si="330"/>
        <v>DNS/DNF ()</v>
      </c>
      <c r="AD199" s="53" t="str">
        <f t="shared" si="331"/>
        <v>DNS/DNF ()</v>
      </c>
      <c r="AE199" s="53">
        <v>32055122</v>
      </c>
      <c r="AF199" s="53">
        <v>32287228</v>
      </c>
      <c r="AG199" s="53">
        <v>37154588</v>
      </c>
      <c r="AH199" s="53">
        <v>37410814</v>
      </c>
      <c r="AI199" s="53">
        <v>40326544</v>
      </c>
      <c r="AJ199" s="53">
        <v>40458756</v>
      </c>
      <c r="AK199" s="53">
        <v>43854089</v>
      </c>
      <c r="AL199" s="53">
        <v>44116375</v>
      </c>
      <c r="AM199" s="53">
        <v>47504390</v>
      </c>
      <c r="AN199" s="53">
        <v>47845767</v>
      </c>
      <c r="AO199" s="53">
        <v>0</v>
      </c>
      <c r="AP199" s="53">
        <v>0</v>
      </c>
      <c r="AQ199" s="53">
        <v>0</v>
      </c>
      <c r="AR199" s="53">
        <v>0</v>
      </c>
      <c r="AS199" s="53">
        <v>0</v>
      </c>
      <c r="AT199" s="53">
        <v>0</v>
      </c>
      <c r="AU199" s="62">
        <f t="shared" si="332"/>
        <v>2.6864120370370371E-3</v>
      </c>
      <c r="AV199" s="62">
        <f t="shared" si="333"/>
        <v>2.9655787037037038E-3</v>
      </c>
      <c r="AW199" s="62">
        <f t="shared" si="334"/>
        <v>1.5302314814814814E-3</v>
      </c>
      <c r="AX199" s="62">
        <f t="shared" si="335"/>
        <v>3.0357175925925925E-3</v>
      </c>
      <c r="AY199" s="62">
        <f t="shared" si="336"/>
        <v>3.9511226851851851E-3</v>
      </c>
      <c r="AZ199" s="62" t="str">
        <f t="shared" si="337"/>
        <v>DNS/DNF</v>
      </c>
      <c r="BA199" s="62" t="str">
        <f t="shared" si="338"/>
        <v>DNS/DNF</v>
      </c>
      <c r="BB199" s="62" t="str">
        <f t="shared" si="339"/>
        <v>DNS/DNF</v>
      </c>
      <c r="BC199" s="75">
        <f t="shared" si="340"/>
        <v>73</v>
      </c>
      <c r="BD199" s="53">
        <f t="shared" si="341"/>
        <v>250804</v>
      </c>
      <c r="BE199" s="53" t="str">
        <f t="shared" si="342"/>
        <v/>
      </c>
      <c r="BF199" s="53">
        <f t="shared" si="343"/>
        <v>137306</v>
      </c>
      <c r="BG199" s="53">
        <f t="shared" si="344"/>
        <v>275541</v>
      </c>
      <c r="BH199" s="53">
        <f t="shared" si="345"/>
        <v>331733</v>
      </c>
      <c r="BI199" s="53" t="str">
        <f t="shared" si="346"/>
        <v/>
      </c>
      <c r="BJ199" s="53" t="str">
        <f t="shared" si="347"/>
        <v/>
      </c>
      <c r="BK199" s="53" t="str">
        <f t="shared" si="348"/>
        <v/>
      </c>
    </row>
    <row r="200" spans="1:63">
      <c r="A200" s="53">
        <v>165</v>
      </c>
      <c r="B200" s="89" t="str">
        <f>IFERROR(VLOOKUP($A200,EntryList!$A$3:$N$645,2,FALSE),"")</f>
        <v>Christian Mocke'</v>
      </c>
      <c r="C200" s="74"/>
      <c r="D200" s="53">
        <f t="shared" si="315"/>
        <v>5</v>
      </c>
      <c r="E200" s="62">
        <v>2.548946759259259E-3</v>
      </c>
      <c r="F200" s="62">
        <v>2.808888888888889E-3</v>
      </c>
      <c r="G200" s="62">
        <v>1.5128240740740742E-3</v>
      </c>
      <c r="H200" s="62">
        <v>2.9532523148148148E-3</v>
      </c>
      <c r="I200" s="62">
        <v>3.6512037037037038E-3</v>
      </c>
      <c r="J200" s="62"/>
      <c r="K200" s="62"/>
      <c r="L200" s="62"/>
      <c r="M200" s="62">
        <v>1.3475115740740741E-2</v>
      </c>
      <c r="N200" s="62">
        <f t="shared" si="316"/>
        <v>1.3475115740740741E-2</v>
      </c>
      <c r="O200" s="53">
        <f t="shared" si="317"/>
        <v>38</v>
      </c>
      <c r="P200" s="53">
        <f t="shared" si="318"/>
        <v>71</v>
      </c>
      <c r="Q200" s="53">
        <f t="shared" si="319"/>
        <v>51</v>
      </c>
      <c r="R200" s="53">
        <f t="shared" si="320"/>
        <v>38</v>
      </c>
      <c r="S200" s="53">
        <f t="shared" si="321"/>
        <v>47</v>
      </c>
      <c r="T200" s="53" t="str">
        <f t="shared" si="322"/>
        <v/>
      </c>
      <c r="U200" s="53" t="str">
        <f t="shared" si="323"/>
        <v/>
      </c>
      <c r="V200" s="53" t="str">
        <f t="shared" si="324"/>
        <v/>
      </c>
      <c r="W200" s="53" t="str">
        <f t="shared" si="349"/>
        <v>00:03:40.2 (38)</v>
      </c>
      <c r="X200" s="53" t="str">
        <f t="shared" si="325"/>
        <v>00:04:02.7 (71)</v>
      </c>
      <c r="Y200" s="53" t="str">
        <f t="shared" si="326"/>
        <v>00:02:10.7 (51)</v>
      </c>
      <c r="Z200" s="53" t="str">
        <f t="shared" si="327"/>
        <v>00:04:15.2 (38)</v>
      </c>
      <c r="AA200" s="53" t="str">
        <f t="shared" si="328"/>
        <v>00:05:15.5 (47)</v>
      </c>
      <c r="AB200" s="53" t="str">
        <f t="shared" si="329"/>
        <v>DNS/DNF ()</v>
      </c>
      <c r="AC200" s="53" t="str">
        <f t="shared" si="330"/>
        <v>DNS/DNF ()</v>
      </c>
      <c r="AD200" s="53" t="str">
        <f t="shared" si="331"/>
        <v>DNS/DNF ()</v>
      </c>
      <c r="AE200" s="53">
        <v>35971708</v>
      </c>
      <c r="AF200" s="53">
        <v>36191937</v>
      </c>
      <c r="AG200" s="53">
        <v>31994988</v>
      </c>
      <c r="AH200" s="53">
        <v>32237676</v>
      </c>
      <c r="AI200" s="53">
        <v>39685908</v>
      </c>
      <c r="AJ200" s="53">
        <v>39816616</v>
      </c>
      <c r="AK200" s="53">
        <v>44756042</v>
      </c>
      <c r="AL200" s="53">
        <v>45011203</v>
      </c>
      <c r="AM200" s="53">
        <v>47478366</v>
      </c>
      <c r="AN200" s="53">
        <v>47793830</v>
      </c>
      <c r="AO200" s="53">
        <v>0</v>
      </c>
      <c r="AP200" s="53">
        <v>0</v>
      </c>
      <c r="AQ200" s="53">
        <v>0</v>
      </c>
      <c r="AR200" s="53">
        <v>0</v>
      </c>
      <c r="AS200" s="53">
        <v>0</v>
      </c>
      <c r="AT200" s="53">
        <v>0</v>
      </c>
      <c r="AU200" s="62">
        <f t="shared" si="332"/>
        <v>2.548946759259259E-3</v>
      </c>
      <c r="AV200" s="62">
        <f t="shared" si="333"/>
        <v>2.808888888888889E-3</v>
      </c>
      <c r="AW200" s="62">
        <f t="shared" si="334"/>
        <v>1.512824074074074E-3</v>
      </c>
      <c r="AX200" s="62">
        <f t="shared" si="335"/>
        <v>2.9532523148148148E-3</v>
      </c>
      <c r="AY200" s="62">
        <f t="shared" si="336"/>
        <v>3.6512037037037038E-3</v>
      </c>
      <c r="AZ200" s="62" t="str">
        <f t="shared" si="337"/>
        <v>DNS/DNF</v>
      </c>
      <c r="BA200" s="62" t="str">
        <f t="shared" si="338"/>
        <v>DNS/DNF</v>
      </c>
      <c r="BB200" s="62" t="str">
        <f t="shared" si="339"/>
        <v>DNS/DNF</v>
      </c>
      <c r="BC200" s="75">
        <f t="shared" si="340"/>
        <v>49</v>
      </c>
      <c r="BD200" s="53">
        <f t="shared" si="341"/>
        <v>227500</v>
      </c>
      <c r="BE200" s="53">
        <f t="shared" si="342"/>
        <v>233861</v>
      </c>
      <c r="BF200" s="53">
        <f t="shared" si="343"/>
        <v>130552</v>
      </c>
      <c r="BG200" s="53">
        <f t="shared" si="344"/>
        <v>260363.00000000003</v>
      </c>
      <c r="BH200" s="53">
        <f t="shared" si="345"/>
        <v>316236</v>
      </c>
      <c r="BI200" s="53" t="str">
        <f t="shared" si="346"/>
        <v/>
      </c>
      <c r="BJ200" s="53" t="str">
        <f t="shared" si="347"/>
        <v/>
      </c>
      <c r="BK200" s="53" t="str">
        <f t="shared" si="348"/>
        <v/>
      </c>
    </row>
    <row r="201" spans="1:63">
      <c r="A201" s="53">
        <v>258</v>
      </c>
      <c r="B201" s="89" t="str">
        <f>IFERROR(VLOOKUP($A201,EntryList!$A$3:$N$645,2,FALSE),"")</f>
        <v>Henlu Starke</v>
      </c>
      <c r="C201" s="74"/>
      <c r="D201" s="53">
        <f t="shared" si="315"/>
        <v>5</v>
      </c>
      <c r="E201" s="62">
        <v>2.4322222222222219E-3</v>
      </c>
      <c r="F201" s="62">
        <v>2.591585648148148E-3</v>
      </c>
      <c r="G201" s="62">
        <v>1.4501388888888888E-3</v>
      </c>
      <c r="H201" s="62">
        <v>2.901087962962963E-3</v>
      </c>
      <c r="I201" s="62">
        <v>3.6054976851851851E-3</v>
      </c>
      <c r="J201" s="62"/>
      <c r="K201" s="62"/>
      <c r="L201" s="62"/>
      <c r="M201" s="62">
        <v>1.2980532407407408E-2</v>
      </c>
      <c r="N201" s="62">
        <f t="shared" si="316"/>
        <v>1.2980532407407408E-2</v>
      </c>
      <c r="O201" s="53">
        <f t="shared" si="317"/>
        <v>21</v>
      </c>
      <c r="P201" s="53">
        <f t="shared" si="318"/>
        <v>27</v>
      </c>
      <c r="Q201" s="53">
        <f t="shared" si="319"/>
        <v>28</v>
      </c>
      <c r="R201" s="53">
        <f t="shared" si="320"/>
        <v>31</v>
      </c>
      <c r="S201" s="53">
        <f t="shared" si="321"/>
        <v>38</v>
      </c>
      <c r="T201" s="53" t="str">
        <f t="shared" si="322"/>
        <v/>
      </c>
      <c r="U201" s="53" t="str">
        <f t="shared" si="323"/>
        <v/>
      </c>
      <c r="V201" s="53" t="str">
        <f t="shared" si="324"/>
        <v/>
      </c>
      <c r="W201" s="53" t="str">
        <f t="shared" si="349"/>
        <v>00:03:30.1 (21)</v>
      </c>
      <c r="X201" s="53" t="str">
        <f t="shared" si="325"/>
        <v>00:03:43.9 (27)</v>
      </c>
      <c r="Y201" s="53" t="str">
        <f t="shared" si="326"/>
        <v>00:02:05.3 (28)</v>
      </c>
      <c r="Z201" s="53" t="str">
        <f t="shared" si="327"/>
        <v>00:04:10.7 (31)</v>
      </c>
      <c r="AA201" s="53" t="str">
        <f t="shared" si="328"/>
        <v>00:05:11.5 (38)</v>
      </c>
      <c r="AB201" s="53" t="str">
        <f t="shared" si="329"/>
        <v>DNS/DNF ()</v>
      </c>
      <c r="AC201" s="53" t="str">
        <f t="shared" si="330"/>
        <v>DNS/DNF ()</v>
      </c>
      <c r="AD201" s="53" t="str">
        <f t="shared" si="331"/>
        <v>DNS/DNF ()</v>
      </c>
      <c r="AE201" s="53">
        <v>37388037</v>
      </c>
      <c r="AF201" s="53">
        <v>37598181</v>
      </c>
      <c r="AG201" s="53">
        <v>33413747</v>
      </c>
      <c r="AH201" s="53">
        <v>33637660</v>
      </c>
      <c r="AI201" s="53">
        <v>40126652</v>
      </c>
      <c r="AJ201" s="53">
        <v>40251944</v>
      </c>
      <c r="AK201" s="53">
        <v>44302684</v>
      </c>
      <c r="AL201" s="53">
        <v>44553338</v>
      </c>
      <c r="AM201" s="53">
        <v>47417252</v>
      </c>
      <c r="AN201" s="53">
        <v>47728767</v>
      </c>
      <c r="AO201" s="53">
        <v>0</v>
      </c>
      <c r="AP201" s="53">
        <v>0</v>
      </c>
      <c r="AQ201" s="53">
        <v>0</v>
      </c>
      <c r="AR201" s="53">
        <v>0</v>
      </c>
      <c r="AS201" s="53">
        <v>0</v>
      </c>
      <c r="AT201" s="53">
        <v>0</v>
      </c>
      <c r="AU201" s="62">
        <f t="shared" si="332"/>
        <v>2.4322222222222223E-3</v>
      </c>
      <c r="AV201" s="62">
        <f t="shared" si="333"/>
        <v>2.591585648148148E-3</v>
      </c>
      <c r="AW201" s="62">
        <f t="shared" si="334"/>
        <v>1.4501388888888888E-3</v>
      </c>
      <c r="AX201" s="62">
        <f t="shared" si="335"/>
        <v>2.901087962962963E-3</v>
      </c>
      <c r="AY201" s="62">
        <f t="shared" si="336"/>
        <v>3.6054976851851851E-3</v>
      </c>
      <c r="AZ201" s="62" t="str">
        <f t="shared" si="337"/>
        <v>DNS/DNF</v>
      </c>
      <c r="BA201" s="62" t="str">
        <f t="shared" si="338"/>
        <v>DNS/DNF</v>
      </c>
      <c r="BB201" s="62" t="str">
        <f t="shared" si="339"/>
        <v>DNS/DNF</v>
      </c>
      <c r="BC201" s="75">
        <f t="shared" si="340"/>
        <v>29</v>
      </c>
      <c r="BD201" s="53">
        <f t="shared" si="341"/>
        <v>213757</v>
      </c>
      <c r="BE201" s="53">
        <f t="shared" si="342"/>
        <v>226403</v>
      </c>
      <c r="BF201" s="53">
        <f t="shared" si="343"/>
        <v>125450</v>
      </c>
      <c r="BG201" s="53">
        <f t="shared" si="344"/>
        <v>248990</v>
      </c>
      <c r="BH201" s="53">
        <f t="shared" si="345"/>
        <v>308361</v>
      </c>
      <c r="BI201" s="53" t="str">
        <f t="shared" si="346"/>
        <v/>
      </c>
      <c r="BJ201" s="53" t="str">
        <f t="shared" si="347"/>
        <v/>
      </c>
      <c r="BK201" s="53" t="str">
        <f t="shared" si="348"/>
        <v/>
      </c>
    </row>
    <row r="202" spans="1:63">
      <c r="A202" s="53">
        <v>102</v>
      </c>
      <c r="B202" s="89" t="str">
        <f>IFERROR(VLOOKUP($A202,EntryList!$A$3:$N$645,2,FALSE),"")</f>
        <v>Altus Rossouw</v>
      </c>
      <c r="C202" s="74"/>
      <c r="D202" s="53">
        <f t="shared" si="315"/>
        <v>5</v>
      </c>
      <c r="E202" s="62">
        <v>3.0759143518518518E-3</v>
      </c>
      <c r="F202" s="62">
        <v>2.898402777777778E-3</v>
      </c>
      <c r="G202" s="62">
        <v>1.6608333333333334E-3</v>
      </c>
      <c r="H202" s="62">
        <v>3.3495138888888884E-3</v>
      </c>
      <c r="I202" s="62">
        <v>3.8673958333333334E-3</v>
      </c>
      <c r="J202" s="62"/>
      <c r="K202" s="62"/>
      <c r="L202" s="62"/>
      <c r="M202" s="62">
        <v>1.4852060185185185E-2</v>
      </c>
      <c r="N202" s="62">
        <f t="shared" si="316"/>
        <v>1.4852060185185185E-2</v>
      </c>
      <c r="O202" s="53">
        <f t="shared" si="317"/>
        <v>89</v>
      </c>
      <c r="P202" s="53">
        <f t="shared" si="318"/>
        <v>92</v>
      </c>
      <c r="Q202" s="53">
        <f t="shared" si="319"/>
        <v>92</v>
      </c>
      <c r="R202" s="53">
        <f t="shared" si="320"/>
        <v>85</v>
      </c>
      <c r="S202" s="53">
        <f t="shared" si="321"/>
        <v>80</v>
      </c>
      <c r="T202" s="53" t="str">
        <f t="shared" si="322"/>
        <v/>
      </c>
      <c r="U202" s="53" t="str">
        <f t="shared" si="323"/>
        <v/>
      </c>
      <c r="V202" s="53" t="str">
        <f t="shared" si="324"/>
        <v/>
      </c>
      <c r="W202" s="53" t="str">
        <f t="shared" si="349"/>
        <v>00:04:25.8 (89)</v>
      </c>
      <c r="X202" s="53" t="str">
        <f t="shared" si="325"/>
        <v>00:04:10.4 (92)</v>
      </c>
      <c r="Y202" s="53" t="str">
        <f t="shared" si="326"/>
        <v>00:02:23.5 (92)</v>
      </c>
      <c r="Z202" s="53" t="str">
        <f t="shared" si="327"/>
        <v>00:04:49.4 (85)</v>
      </c>
      <c r="AA202" s="53" t="str">
        <f t="shared" si="328"/>
        <v>00:05:34.1 (80)</v>
      </c>
      <c r="AB202" s="53" t="str">
        <f t="shared" si="329"/>
        <v>DNS/DNF ()</v>
      </c>
      <c r="AC202" s="53" t="str">
        <f t="shared" si="330"/>
        <v>DNS/DNF ()</v>
      </c>
      <c r="AD202" s="53" t="str">
        <f t="shared" si="331"/>
        <v>DNS/DNF ()</v>
      </c>
      <c r="AE202" s="53">
        <v>32562267</v>
      </c>
      <c r="AF202" s="53">
        <v>32828026</v>
      </c>
      <c r="AG202" s="53">
        <v>36635255</v>
      </c>
      <c r="AH202" s="53">
        <v>36885677</v>
      </c>
      <c r="AI202" s="53">
        <v>39702702</v>
      </c>
      <c r="AJ202" s="53">
        <v>39846198</v>
      </c>
      <c r="AK202" s="53">
        <v>44773097</v>
      </c>
      <c r="AL202" s="53">
        <v>45062495</v>
      </c>
      <c r="AM202" s="53">
        <v>47532238</v>
      </c>
      <c r="AN202" s="53">
        <v>47866381</v>
      </c>
      <c r="AO202" s="53">
        <v>0</v>
      </c>
      <c r="AP202" s="53">
        <v>0</v>
      </c>
      <c r="AQ202" s="53">
        <v>0</v>
      </c>
      <c r="AR202" s="53">
        <v>0</v>
      </c>
      <c r="AS202" s="53">
        <v>0</v>
      </c>
      <c r="AT202" s="53">
        <v>0</v>
      </c>
      <c r="AU202" s="62">
        <f t="shared" si="332"/>
        <v>3.0759143518518518E-3</v>
      </c>
      <c r="AV202" s="62">
        <f t="shared" si="333"/>
        <v>2.898402777777778E-3</v>
      </c>
      <c r="AW202" s="62">
        <f t="shared" si="334"/>
        <v>1.6608333333333334E-3</v>
      </c>
      <c r="AX202" s="62">
        <f t="shared" si="335"/>
        <v>3.3495138888888889E-3</v>
      </c>
      <c r="AY202" s="62">
        <f t="shared" si="336"/>
        <v>3.8673958333333334E-3</v>
      </c>
      <c r="AZ202" s="62" t="str">
        <f t="shared" si="337"/>
        <v>DNS/DNF</v>
      </c>
      <c r="BA202" s="62" t="str">
        <f t="shared" si="338"/>
        <v>DNS/DNF</v>
      </c>
      <c r="BB202" s="62" t="str">
        <f t="shared" si="339"/>
        <v>DNS/DNF</v>
      </c>
      <c r="BC202" s="75">
        <f t="shared" si="340"/>
        <v>88</v>
      </c>
      <c r="BD202" s="53">
        <f t="shared" si="341"/>
        <v>265363</v>
      </c>
      <c r="BE202" s="53">
        <f t="shared" si="342"/>
        <v>248217</v>
      </c>
      <c r="BF202" s="53">
        <f t="shared" si="343"/>
        <v>142228</v>
      </c>
      <c r="BG202" s="53">
        <f t="shared" si="344"/>
        <v>292779</v>
      </c>
      <c r="BH202" s="53">
        <f t="shared" si="345"/>
        <v>338194</v>
      </c>
      <c r="BI202" s="53" t="str">
        <f t="shared" si="346"/>
        <v/>
      </c>
      <c r="BJ202" s="53" t="str">
        <f t="shared" si="347"/>
        <v/>
      </c>
      <c r="BK202" s="53" t="str">
        <f t="shared" si="348"/>
        <v/>
      </c>
    </row>
    <row r="203" spans="1:63">
      <c r="A203" s="53">
        <v>35</v>
      </c>
      <c r="B203" s="89" t="str">
        <f>IFERROR(VLOOKUP($A203,EntryList!$A$3:$N$645,2,FALSE),"")</f>
        <v>Corbin Mann</v>
      </c>
      <c r="C203" s="74"/>
      <c r="D203" s="53">
        <f t="shared" si="315"/>
        <v>5</v>
      </c>
      <c r="E203" s="62">
        <v>2.2885532407407407E-3</v>
      </c>
      <c r="F203" s="62">
        <v>2.500208333333333E-3</v>
      </c>
      <c r="G203" s="62">
        <v>1.3781018518518517E-3</v>
      </c>
      <c r="H203" s="62">
        <v>2.7317476851851856E-3</v>
      </c>
      <c r="I203" s="62">
        <v>3.4139236111111111E-3</v>
      </c>
      <c r="J203" s="62"/>
      <c r="K203" s="62"/>
      <c r="L203" s="62"/>
      <c r="M203" s="62">
        <v>1.2312534722222221E-2</v>
      </c>
      <c r="N203" s="62">
        <f t="shared" si="316"/>
        <v>1.2312534722222221E-2</v>
      </c>
      <c r="O203" s="53">
        <f t="shared" si="317"/>
        <v>13</v>
      </c>
      <c r="P203" s="53">
        <f t="shared" si="318"/>
        <v>14</v>
      </c>
      <c r="Q203" s="53">
        <f t="shared" si="319"/>
        <v>13</v>
      </c>
      <c r="R203" s="53">
        <f t="shared" si="320"/>
        <v>12</v>
      </c>
      <c r="S203" s="53">
        <f t="shared" si="321"/>
        <v>12</v>
      </c>
      <c r="T203" s="53" t="str">
        <f t="shared" si="322"/>
        <v/>
      </c>
      <c r="U203" s="53" t="str">
        <f t="shared" si="323"/>
        <v/>
      </c>
      <c r="V203" s="53" t="str">
        <f t="shared" si="324"/>
        <v/>
      </c>
      <c r="W203" s="53" t="str">
        <f t="shared" si="349"/>
        <v>00:03:17.7 (13)</v>
      </c>
      <c r="X203" s="53" t="str">
        <f t="shared" si="325"/>
        <v>00:03:36.0 (14)</v>
      </c>
      <c r="Y203" s="53" t="str">
        <f t="shared" si="326"/>
        <v>00:01:59.1 (13)</v>
      </c>
      <c r="Z203" s="53" t="str">
        <f t="shared" si="327"/>
        <v>00:03:56.0 (12)</v>
      </c>
      <c r="AA203" s="53" t="str">
        <f t="shared" si="328"/>
        <v>00:04:55.0 (12)</v>
      </c>
      <c r="AB203" s="53" t="str">
        <f t="shared" si="329"/>
        <v>DNS/DNF ()</v>
      </c>
      <c r="AC203" s="53" t="str">
        <f t="shared" si="330"/>
        <v>DNS/DNF ()</v>
      </c>
      <c r="AD203" s="53" t="str">
        <f t="shared" si="331"/>
        <v>DNS/DNF ()</v>
      </c>
      <c r="AE203" s="53">
        <v>35962556</v>
      </c>
      <c r="AF203" s="53">
        <v>36160287</v>
      </c>
      <c r="AG203" s="53">
        <v>31977219</v>
      </c>
      <c r="AH203" s="53">
        <v>32193237</v>
      </c>
      <c r="AI203" s="53">
        <v>39672232</v>
      </c>
      <c r="AJ203" s="53">
        <v>39791300</v>
      </c>
      <c r="AK203" s="53">
        <v>44669444</v>
      </c>
      <c r="AL203" s="53">
        <v>44905467</v>
      </c>
      <c r="AM203" s="53">
        <v>47472936</v>
      </c>
      <c r="AN203" s="53">
        <v>47767899</v>
      </c>
      <c r="AO203" s="53">
        <v>0</v>
      </c>
      <c r="AP203" s="53">
        <v>0</v>
      </c>
      <c r="AQ203" s="53">
        <v>0</v>
      </c>
      <c r="AR203" s="53">
        <v>0</v>
      </c>
      <c r="AS203" s="53">
        <v>0</v>
      </c>
      <c r="AT203" s="53">
        <v>0</v>
      </c>
      <c r="AU203" s="62">
        <f t="shared" si="332"/>
        <v>2.2885532407407407E-3</v>
      </c>
      <c r="AV203" s="62">
        <f t="shared" si="333"/>
        <v>2.5002083333333334E-3</v>
      </c>
      <c r="AW203" s="62">
        <f t="shared" si="334"/>
        <v>1.3781018518518519E-3</v>
      </c>
      <c r="AX203" s="62">
        <f t="shared" si="335"/>
        <v>2.7317476851851851E-3</v>
      </c>
      <c r="AY203" s="62">
        <f t="shared" si="336"/>
        <v>3.4139236111111111E-3</v>
      </c>
      <c r="AZ203" s="62" t="str">
        <f t="shared" si="337"/>
        <v>DNS/DNF</v>
      </c>
      <c r="BA203" s="62" t="str">
        <f t="shared" si="338"/>
        <v>DNS/DNF</v>
      </c>
      <c r="BB203" s="62" t="str">
        <f t="shared" si="339"/>
        <v>DNS/DNF</v>
      </c>
      <c r="BC203" s="75">
        <f t="shared" si="340"/>
        <v>13</v>
      </c>
      <c r="BD203" s="53">
        <f t="shared" si="341"/>
        <v>197731</v>
      </c>
      <c r="BE203" s="53">
        <f t="shared" si="342"/>
        <v>215733.00000000003</v>
      </c>
      <c r="BF203" s="53">
        <f t="shared" si="343"/>
        <v>119068</v>
      </c>
      <c r="BG203" s="53">
        <f t="shared" si="344"/>
        <v>236188</v>
      </c>
      <c r="BH203" s="53">
        <f t="shared" si="345"/>
        <v>295614</v>
      </c>
      <c r="BI203" s="53" t="str">
        <f t="shared" si="346"/>
        <v/>
      </c>
      <c r="BJ203" s="53" t="str">
        <f t="shared" si="347"/>
        <v/>
      </c>
      <c r="BK203" s="53" t="str">
        <f t="shared" si="348"/>
        <v/>
      </c>
    </row>
    <row r="204" spans="1:63">
      <c r="A204" s="53">
        <v>118</v>
      </c>
      <c r="B204" s="89" t="str">
        <f>IFERROR(VLOOKUP($A204,EntryList!$A$3:$N$645,2,FALSE),"")</f>
        <v>Robin Moore</v>
      </c>
      <c r="C204" s="74"/>
      <c r="D204" s="53">
        <f t="shared" si="315"/>
        <v>5</v>
      </c>
      <c r="E204" s="62">
        <v>5.341064814814815E-3</v>
      </c>
      <c r="F204" s="62">
        <v>2.7934837962962961E-3</v>
      </c>
      <c r="G204" s="62">
        <v>1.6420833333333337E-3</v>
      </c>
      <c r="H204" s="62">
        <v>3.244710648148148E-3</v>
      </c>
      <c r="I204" s="62">
        <v>3.8407986111111112E-3</v>
      </c>
      <c r="J204" s="62"/>
      <c r="K204" s="62"/>
      <c r="L204" s="62"/>
      <c r="M204" s="62">
        <v>1.6862141203703704E-2</v>
      </c>
      <c r="N204" s="62">
        <f t="shared" si="316"/>
        <v>1.6862141203703704E-2</v>
      </c>
      <c r="O204" s="53">
        <f t="shared" si="317"/>
        <v>144</v>
      </c>
      <c r="P204" s="53">
        <f t="shared" si="318"/>
        <v>63</v>
      </c>
      <c r="Q204" s="53">
        <f t="shared" si="319"/>
        <v>87</v>
      </c>
      <c r="R204" s="53">
        <f t="shared" si="320"/>
        <v>80</v>
      </c>
      <c r="S204" s="53">
        <f t="shared" si="321"/>
        <v>74</v>
      </c>
      <c r="T204" s="53" t="str">
        <f t="shared" si="322"/>
        <v/>
      </c>
      <c r="U204" s="53" t="str">
        <f t="shared" si="323"/>
        <v/>
      </c>
      <c r="V204" s="53" t="str">
        <f t="shared" si="324"/>
        <v/>
      </c>
      <c r="W204" s="53" t="str">
        <f t="shared" si="349"/>
        <v>00:07:41.5 (144)</v>
      </c>
      <c r="X204" s="53" t="str">
        <f t="shared" si="325"/>
        <v>00:04:01.4 (63)</v>
      </c>
      <c r="Y204" s="53" t="str">
        <f t="shared" si="326"/>
        <v>00:02:21.9 (87)</v>
      </c>
      <c r="Z204" s="53" t="str">
        <f t="shared" si="327"/>
        <v>00:04:40.3 (80)</v>
      </c>
      <c r="AA204" s="53" t="str">
        <f t="shared" si="328"/>
        <v>00:05:31.8 (74)</v>
      </c>
      <c r="AB204" s="53" t="str">
        <f t="shared" si="329"/>
        <v>DNS/DNF ()</v>
      </c>
      <c r="AC204" s="53" t="str">
        <f t="shared" si="330"/>
        <v>DNS/DNF ()</v>
      </c>
      <c r="AD204" s="53" t="str">
        <f t="shared" si="331"/>
        <v>DNS/DNF ()</v>
      </c>
      <c r="AE204" s="53">
        <v>32599148</v>
      </c>
      <c r="AF204" s="53">
        <v>33060616</v>
      </c>
      <c r="AG204" s="53">
        <v>37254334</v>
      </c>
      <c r="AH204" s="53">
        <v>37495691</v>
      </c>
      <c r="AI204" s="53">
        <v>40466866</v>
      </c>
      <c r="AJ204" s="53">
        <v>40608742</v>
      </c>
      <c r="AK204" s="53">
        <v>44859186</v>
      </c>
      <c r="AL204" s="53">
        <v>45139529</v>
      </c>
      <c r="AM204" s="53">
        <v>47770994</v>
      </c>
      <c r="AN204" s="53">
        <v>48102839</v>
      </c>
      <c r="AO204" s="53">
        <v>0</v>
      </c>
      <c r="AP204" s="53">
        <v>0</v>
      </c>
      <c r="AQ204" s="53">
        <v>0</v>
      </c>
      <c r="AR204" s="53">
        <v>0</v>
      </c>
      <c r="AS204" s="53">
        <v>0</v>
      </c>
      <c r="AT204" s="53">
        <v>0</v>
      </c>
      <c r="AU204" s="62">
        <f t="shared" si="332"/>
        <v>5.341064814814815E-3</v>
      </c>
      <c r="AV204" s="62">
        <f t="shared" si="333"/>
        <v>2.7934837962962961E-3</v>
      </c>
      <c r="AW204" s="62">
        <f t="shared" si="334"/>
        <v>1.6420833333333333E-3</v>
      </c>
      <c r="AX204" s="62">
        <f t="shared" si="335"/>
        <v>3.244710648148148E-3</v>
      </c>
      <c r="AY204" s="62">
        <f t="shared" si="336"/>
        <v>3.8407986111111112E-3</v>
      </c>
      <c r="AZ204" s="62" t="str">
        <f t="shared" si="337"/>
        <v>DNS/DNF</v>
      </c>
      <c r="BA204" s="62" t="str">
        <f t="shared" si="338"/>
        <v>DNS/DNF</v>
      </c>
      <c r="BB204" s="62" t="str">
        <f t="shared" si="339"/>
        <v>DNS/DNF</v>
      </c>
      <c r="BC204" s="75">
        <f t="shared" si="340"/>
        <v>90</v>
      </c>
      <c r="BD204" s="53">
        <f t="shared" si="341"/>
        <v>268212</v>
      </c>
      <c r="BE204" s="53" t="str">
        <f t="shared" si="342"/>
        <v/>
      </c>
      <c r="BF204" s="53">
        <f t="shared" si="343"/>
        <v>142979</v>
      </c>
      <c r="BG204" s="53">
        <f t="shared" si="344"/>
        <v>293107</v>
      </c>
      <c r="BH204" s="53">
        <f t="shared" si="345"/>
        <v>338496</v>
      </c>
      <c r="BI204" s="53" t="str">
        <f t="shared" si="346"/>
        <v/>
      </c>
      <c r="BJ204" s="53" t="str">
        <f t="shared" si="347"/>
        <v/>
      </c>
      <c r="BK204" s="53" t="str">
        <f t="shared" si="348"/>
        <v/>
      </c>
    </row>
    <row r="205" spans="1:63">
      <c r="A205" s="53">
        <v>146</v>
      </c>
      <c r="B205" s="89" t="str">
        <f>IFERROR(VLOOKUP($A205,EntryList!$A$3:$N$645,2,FALSE),"")</f>
        <v>Andrew Kenny</v>
      </c>
      <c r="C205" s="74"/>
      <c r="D205" s="53">
        <f t="shared" si="315"/>
        <v>5</v>
      </c>
      <c r="E205" s="62">
        <v>4.0785995370370368E-3</v>
      </c>
      <c r="F205" s="62">
        <v>3.0142013888888887E-3</v>
      </c>
      <c r="G205" s="62">
        <v>1.8421759259259259E-3</v>
      </c>
      <c r="H205" s="62">
        <v>3.4741898148148149E-3</v>
      </c>
      <c r="I205" s="62">
        <v>4.2179629629629624E-3</v>
      </c>
      <c r="J205" s="62"/>
      <c r="K205" s="62"/>
      <c r="L205" s="62"/>
      <c r="M205" s="62">
        <v>1.6627129629629631E-2</v>
      </c>
      <c r="N205" s="62">
        <f t="shared" si="316"/>
        <v>1.6627129629629631E-2</v>
      </c>
      <c r="O205" s="53">
        <f t="shared" si="317"/>
        <v>134</v>
      </c>
      <c r="P205" s="53">
        <f t="shared" si="318"/>
        <v>119</v>
      </c>
      <c r="Q205" s="53">
        <f t="shared" si="319"/>
        <v>151</v>
      </c>
      <c r="R205" s="53">
        <f t="shared" si="320"/>
        <v>100</v>
      </c>
      <c r="S205" s="53">
        <f t="shared" si="321"/>
        <v>157</v>
      </c>
      <c r="T205" s="53" t="str">
        <f t="shared" si="322"/>
        <v/>
      </c>
      <c r="U205" s="53" t="str">
        <f t="shared" si="323"/>
        <v/>
      </c>
      <c r="V205" s="53" t="str">
        <f t="shared" si="324"/>
        <v/>
      </c>
      <c r="W205" s="53" t="str">
        <f t="shared" si="349"/>
        <v>00:05:52.4 (134)</v>
      </c>
      <c r="X205" s="53" t="str">
        <f t="shared" si="325"/>
        <v>00:04:20.4 (119)</v>
      </c>
      <c r="Y205" s="53" t="str">
        <f t="shared" si="326"/>
        <v>00:02:39.2 (151)</v>
      </c>
      <c r="Z205" s="53" t="str">
        <f t="shared" si="327"/>
        <v>00:05:00.2 (100)</v>
      </c>
      <c r="AA205" s="53" t="str">
        <f t="shared" si="328"/>
        <v>00:06:04.4 (157)</v>
      </c>
      <c r="AB205" s="53" t="str">
        <f t="shared" si="329"/>
        <v>DNS/DNF ()</v>
      </c>
      <c r="AC205" s="53" t="str">
        <f t="shared" si="330"/>
        <v>DNS/DNF ()</v>
      </c>
      <c r="AD205" s="53" t="str">
        <f t="shared" si="331"/>
        <v>DNS/DNF ()</v>
      </c>
      <c r="AE205" s="53">
        <v>36386233</v>
      </c>
      <c r="AF205" s="53">
        <v>36738624</v>
      </c>
      <c r="AG205" s="53">
        <v>32610556</v>
      </c>
      <c r="AH205" s="53">
        <v>32870983</v>
      </c>
      <c r="AI205" s="53">
        <v>39858038</v>
      </c>
      <c r="AJ205" s="53">
        <v>40017202</v>
      </c>
      <c r="AK205" s="53">
        <v>44380717</v>
      </c>
      <c r="AL205" s="53">
        <v>44680887</v>
      </c>
      <c r="AM205" s="53">
        <v>47666074</v>
      </c>
      <c r="AN205" s="53">
        <v>48030506</v>
      </c>
      <c r="AO205" s="53">
        <v>0</v>
      </c>
      <c r="AP205" s="53">
        <v>0</v>
      </c>
      <c r="AQ205" s="53">
        <v>0</v>
      </c>
      <c r="AR205" s="53">
        <v>0</v>
      </c>
      <c r="AS205" s="53">
        <v>0</v>
      </c>
      <c r="AT205" s="53">
        <v>0</v>
      </c>
      <c r="AU205" s="62">
        <f t="shared" si="332"/>
        <v>4.0785995370370368E-3</v>
      </c>
      <c r="AV205" s="62">
        <f t="shared" si="333"/>
        <v>3.0142013888888887E-3</v>
      </c>
      <c r="AW205" s="62">
        <f t="shared" si="334"/>
        <v>1.8421759259259259E-3</v>
      </c>
      <c r="AX205" s="62">
        <f t="shared" si="335"/>
        <v>3.4741898148148149E-3</v>
      </c>
      <c r="AY205" s="62">
        <f t="shared" si="336"/>
        <v>4.2179629629629633E-3</v>
      </c>
      <c r="AZ205" s="62" t="str">
        <f t="shared" si="337"/>
        <v>DNS/DNF</v>
      </c>
      <c r="BA205" s="62" t="str">
        <f t="shared" si="338"/>
        <v>DNS/DNF</v>
      </c>
      <c r="BB205" s="62" t="str">
        <f t="shared" si="339"/>
        <v>DNS/DNF</v>
      </c>
      <c r="BC205" s="75">
        <f t="shared" si="340"/>
        <v>132</v>
      </c>
      <c r="BD205" s="53">
        <f t="shared" si="341"/>
        <v>344708</v>
      </c>
      <c r="BE205" s="53">
        <f t="shared" si="342"/>
        <v>266646</v>
      </c>
      <c r="BF205" s="53" t="str">
        <f t="shared" si="343"/>
        <v/>
      </c>
      <c r="BG205" s="53">
        <f t="shared" si="344"/>
        <v>336323</v>
      </c>
      <c r="BH205" s="53">
        <f t="shared" si="345"/>
        <v>354621</v>
      </c>
      <c r="BI205" s="53" t="str">
        <f t="shared" si="346"/>
        <v/>
      </c>
      <c r="BJ205" s="53" t="str">
        <f t="shared" si="347"/>
        <v/>
      </c>
      <c r="BK205" s="53" t="str">
        <f t="shared" si="348"/>
        <v/>
      </c>
    </row>
    <row r="206" spans="1:63">
      <c r="A206" s="53">
        <v>125</v>
      </c>
      <c r="B206" s="89" t="str">
        <f>IFERROR(VLOOKUP($A206,EntryList!$A$3:$N$645,2,FALSE),"")</f>
        <v>Nic Kenny</v>
      </c>
      <c r="C206" s="74"/>
      <c r="D206" s="53">
        <f t="shared" si="315"/>
        <v>5</v>
      </c>
      <c r="E206" s="62">
        <v>2.6007754629629632E-3</v>
      </c>
      <c r="F206" s="62">
        <v>2.7969907407407405E-3</v>
      </c>
      <c r="G206" s="62">
        <v>1.538587962962963E-3</v>
      </c>
      <c r="H206" s="62">
        <v>3.0552314814814817E-3</v>
      </c>
      <c r="I206" s="62">
        <v>3.9346412037037032E-3</v>
      </c>
      <c r="J206" s="62"/>
      <c r="K206" s="62"/>
      <c r="L206" s="62"/>
      <c r="M206" s="62">
        <v>1.3926226851851853E-2</v>
      </c>
      <c r="N206" s="62">
        <f t="shared" si="316"/>
        <v>1.3926226851851853E-2</v>
      </c>
      <c r="O206" s="53">
        <f t="shared" si="317"/>
        <v>44</v>
      </c>
      <c r="P206" s="53">
        <f t="shared" si="318"/>
        <v>68</v>
      </c>
      <c r="Q206" s="53">
        <f t="shared" si="319"/>
        <v>60</v>
      </c>
      <c r="R206" s="53">
        <f t="shared" si="320"/>
        <v>57</v>
      </c>
      <c r="S206" s="53">
        <f t="shared" si="321"/>
        <v>91</v>
      </c>
      <c r="T206" s="53" t="str">
        <f t="shared" si="322"/>
        <v/>
      </c>
      <c r="U206" s="53" t="str">
        <f t="shared" si="323"/>
        <v/>
      </c>
      <c r="V206" s="53" t="str">
        <f t="shared" si="324"/>
        <v/>
      </c>
      <c r="W206" s="53" t="str">
        <f t="shared" si="349"/>
        <v>00:03:44.7 (44)</v>
      </c>
      <c r="X206" s="53" t="str">
        <f t="shared" si="325"/>
        <v>00:04:01.7 (68)</v>
      </c>
      <c r="Y206" s="53" t="str">
        <f t="shared" si="326"/>
        <v>00:02:12.9 (60)</v>
      </c>
      <c r="Z206" s="53" t="str">
        <f t="shared" si="327"/>
        <v>00:04:24.0 (57)</v>
      </c>
      <c r="AA206" s="53" t="str">
        <f t="shared" si="328"/>
        <v>00:05:40.0 (91)</v>
      </c>
      <c r="AB206" s="53" t="str">
        <f t="shared" si="329"/>
        <v>DNS/DNF ()</v>
      </c>
      <c r="AC206" s="53" t="str">
        <f t="shared" si="330"/>
        <v>DNS/DNF ()</v>
      </c>
      <c r="AD206" s="53" t="str">
        <f t="shared" si="331"/>
        <v>DNS/DNF ()</v>
      </c>
      <c r="AE206" s="53">
        <v>36358523</v>
      </c>
      <c r="AF206" s="53">
        <v>36583230</v>
      </c>
      <c r="AG206" s="53">
        <v>32574114</v>
      </c>
      <c r="AH206" s="53">
        <v>32815774</v>
      </c>
      <c r="AI206" s="53">
        <v>39840522</v>
      </c>
      <c r="AJ206" s="53">
        <v>39973456</v>
      </c>
      <c r="AK206" s="53">
        <v>44322691</v>
      </c>
      <c r="AL206" s="53">
        <v>44586663</v>
      </c>
      <c r="AM206" s="53">
        <v>47585970</v>
      </c>
      <c r="AN206" s="53">
        <v>47925923</v>
      </c>
      <c r="AO206" s="53">
        <v>0</v>
      </c>
      <c r="AP206" s="53">
        <v>0</v>
      </c>
      <c r="AQ206" s="53">
        <v>0</v>
      </c>
      <c r="AR206" s="53">
        <v>0</v>
      </c>
      <c r="AS206" s="53">
        <v>0</v>
      </c>
      <c r="AT206" s="53">
        <v>0</v>
      </c>
      <c r="AU206" s="62">
        <f t="shared" si="332"/>
        <v>2.6007754629629632E-3</v>
      </c>
      <c r="AV206" s="62">
        <f t="shared" si="333"/>
        <v>2.7969907407407409E-3</v>
      </c>
      <c r="AW206" s="62">
        <f t="shared" si="334"/>
        <v>1.538587962962963E-3</v>
      </c>
      <c r="AX206" s="62">
        <f t="shared" si="335"/>
        <v>3.0552314814814817E-3</v>
      </c>
      <c r="AY206" s="62">
        <f t="shared" si="336"/>
        <v>3.9346412037037041E-3</v>
      </c>
      <c r="AZ206" s="62" t="str">
        <f t="shared" si="337"/>
        <v>DNS/DNF</v>
      </c>
      <c r="BA206" s="62" t="str">
        <f t="shared" si="338"/>
        <v>DNS/DNF</v>
      </c>
      <c r="BB206" s="62" t="str">
        <f t="shared" si="339"/>
        <v>DNS/DNF</v>
      </c>
      <c r="BC206" s="75">
        <f t="shared" si="340"/>
        <v>64</v>
      </c>
      <c r="BD206" s="53" t="str">
        <f t="shared" si="341"/>
        <v/>
      </c>
      <c r="BE206" s="53">
        <f t="shared" si="342"/>
        <v>241360</v>
      </c>
      <c r="BF206" s="53">
        <f t="shared" si="343"/>
        <v>135122</v>
      </c>
      <c r="BG206" s="53">
        <f t="shared" si="344"/>
        <v>270686</v>
      </c>
      <c r="BH206" s="53">
        <f t="shared" si="345"/>
        <v>326711</v>
      </c>
      <c r="BI206" s="53" t="str">
        <f t="shared" si="346"/>
        <v/>
      </c>
      <c r="BJ206" s="53" t="str">
        <f t="shared" si="347"/>
        <v/>
      </c>
      <c r="BK206" s="53" t="str">
        <f t="shared" si="348"/>
        <v/>
      </c>
    </row>
    <row r="207" spans="1:63">
      <c r="A207" s="53">
        <v>124</v>
      </c>
      <c r="B207" s="89" t="str">
        <f>IFERROR(VLOOKUP($A207,EntryList!$A$3:$N$645,2,FALSE),"")</f>
        <v>Matthew Halbert</v>
      </c>
      <c r="C207" s="74"/>
      <c r="D207" s="53">
        <f t="shared" si="315"/>
        <v>5</v>
      </c>
      <c r="E207" s="62">
        <v>3.3523148148148149E-3</v>
      </c>
      <c r="F207" s="62">
        <v>2.9258564814814811E-3</v>
      </c>
      <c r="G207" s="62">
        <v>1.6320601851851852E-3</v>
      </c>
      <c r="H207" s="62">
        <v>3.1988541666666663E-3</v>
      </c>
      <c r="I207" s="62">
        <v>3.9136226851851849E-3</v>
      </c>
      <c r="J207" s="62"/>
      <c r="K207" s="62"/>
      <c r="L207" s="62"/>
      <c r="M207" s="62">
        <v>1.5022708333333334E-2</v>
      </c>
      <c r="N207" s="62">
        <f t="shared" si="316"/>
        <v>1.5022708333333332E-2</v>
      </c>
      <c r="O207" s="53">
        <f t="shared" si="317"/>
        <v>109</v>
      </c>
      <c r="P207" s="53">
        <f t="shared" si="318"/>
        <v>99</v>
      </c>
      <c r="Q207" s="53">
        <f t="shared" si="319"/>
        <v>85</v>
      </c>
      <c r="R207" s="53">
        <f t="shared" si="320"/>
        <v>75</v>
      </c>
      <c r="S207" s="53">
        <f t="shared" si="321"/>
        <v>87</v>
      </c>
      <c r="T207" s="53" t="str">
        <f t="shared" si="322"/>
        <v/>
      </c>
      <c r="U207" s="53" t="str">
        <f t="shared" si="323"/>
        <v/>
      </c>
      <c r="V207" s="53" t="str">
        <f t="shared" si="324"/>
        <v/>
      </c>
      <c r="W207" s="53" t="str">
        <f t="shared" si="349"/>
        <v>00:04:49.6 (109)</v>
      </c>
      <c r="X207" s="53" t="str">
        <f t="shared" si="325"/>
        <v>00:04:12.8 (99)</v>
      </c>
      <c r="Y207" s="53" t="str">
        <f t="shared" si="326"/>
        <v>00:02:21.0 (85)</v>
      </c>
      <c r="Z207" s="53" t="str">
        <f t="shared" si="327"/>
        <v>00:04:36.4 (75)</v>
      </c>
      <c r="AA207" s="53" t="str">
        <f t="shared" si="328"/>
        <v>00:05:38.1 (87)</v>
      </c>
      <c r="AB207" s="53" t="str">
        <f t="shared" si="329"/>
        <v>DNS/DNF ()</v>
      </c>
      <c r="AC207" s="53" t="str">
        <f t="shared" si="330"/>
        <v>DNS/DNF ()</v>
      </c>
      <c r="AD207" s="53" t="str">
        <f t="shared" si="331"/>
        <v>DNS/DNF ()</v>
      </c>
      <c r="AE207" s="53">
        <v>36379570</v>
      </c>
      <c r="AF207" s="53">
        <v>36669210</v>
      </c>
      <c r="AG207" s="53">
        <v>32586293</v>
      </c>
      <c r="AH207" s="53">
        <v>32839087</v>
      </c>
      <c r="AI207" s="53">
        <v>39850430</v>
      </c>
      <c r="AJ207" s="53">
        <v>39991440</v>
      </c>
      <c r="AK207" s="53">
        <v>44359427</v>
      </c>
      <c r="AL207" s="53">
        <v>44635808</v>
      </c>
      <c r="AM207" s="53">
        <v>47634894</v>
      </c>
      <c r="AN207" s="53">
        <v>47973031</v>
      </c>
      <c r="AO207" s="53">
        <v>0</v>
      </c>
      <c r="AP207" s="53">
        <v>0</v>
      </c>
      <c r="AQ207" s="53">
        <v>0</v>
      </c>
      <c r="AR207" s="53">
        <v>0</v>
      </c>
      <c r="AS207" s="53">
        <v>0</v>
      </c>
      <c r="AT207" s="53">
        <v>0</v>
      </c>
      <c r="AU207" s="62">
        <f t="shared" si="332"/>
        <v>3.3523148148148149E-3</v>
      </c>
      <c r="AV207" s="62">
        <f t="shared" si="333"/>
        <v>2.9258564814814815E-3</v>
      </c>
      <c r="AW207" s="62">
        <f t="shared" si="334"/>
        <v>1.6320601851851852E-3</v>
      </c>
      <c r="AX207" s="62">
        <f t="shared" si="335"/>
        <v>3.1988541666666667E-3</v>
      </c>
      <c r="AY207" s="62">
        <f t="shared" si="336"/>
        <v>3.9136226851851849E-3</v>
      </c>
      <c r="AZ207" s="62" t="str">
        <f t="shared" si="337"/>
        <v>DNS/DNF</v>
      </c>
      <c r="BA207" s="62" t="str">
        <f t="shared" si="338"/>
        <v>DNS/DNF</v>
      </c>
      <c r="BB207" s="62" t="str">
        <f t="shared" si="339"/>
        <v>DNS/DNF</v>
      </c>
      <c r="BC207" s="75">
        <f t="shared" si="340"/>
        <v>91</v>
      </c>
      <c r="BD207" s="53">
        <f t="shared" si="341"/>
        <v>269321</v>
      </c>
      <c r="BE207" s="53">
        <f t="shared" si="342"/>
        <v>249041</v>
      </c>
      <c r="BF207" s="53">
        <f t="shared" si="343"/>
        <v>143125</v>
      </c>
      <c r="BG207" s="53">
        <f t="shared" si="344"/>
        <v>293826</v>
      </c>
      <c r="BH207" s="53">
        <f t="shared" si="345"/>
        <v>339953.00000000006</v>
      </c>
      <c r="BI207" s="53" t="str">
        <f t="shared" si="346"/>
        <v/>
      </c>
      <c r="BJ207" s="53" t="str">
        <f t="shared" si="347"/>
        <v/>
      </c>
      <c r="BK207" s="53" t="str">
        <f t="shared" si="348"/>
        <v/>
      </c>
    </row>
    <row r="208" spans="1:63">
      <c r="A208" s="53">
        <v>141</v>
      </c>
      <c r="B208" s="89" t="str">
        <f>IFERROR(VLOOKUP($A208,EntryList!$A$3:$N$645,2,FALSE),"")</f>
        <v>Philip Mccann</v>
      </c>
      <c r="C208" s="74"/>
      <c r="D208" s="53">
        <f t="shared" si="315"/>
        <v>5</v>
      </c>
      <c r="E208" s="62">
        <v>2.6783564814814812E-3</v>
      </c>
      <c r="F208" s="62">
        <v>2.9286226851851851E-3</v>
      </c>
      <c r="G208" s="62">
        <v>1.5723148148148148E-3</v>
      </c>
      <c r="H208" s="62">
        <v>3.2010300925925926E-3</v>
      </c>
      <c r="I208" s="62">
        <v>3.9727893518518515E-3</v>
      </c>
      <c r="J208" s="62"/>
      <c r="K208" s="62"/>
      <c r="L208" s="62"/>
      <c r="M208" s="62">
        <v>1.4353113425925927E-2</v>
      </c>
      <c r="N208" s="62">
        <f t="shared" si="316"/>
        <v>1.4353113425925924E-2</v>
      </c>
      <c r="O208" s="53">
        <f t="shared" si="317"/>
        <v>51</v>
      </c>
      <c r="P208" s="53">
        <f t="shared" si="318"/>
        <v>100</v>
      </c>
      <c r="Q208" s="53">
        <f t="shared" si="319"/>
        <v>68</v>
      </c>
      <c r="R208" s="53">
        <f t="shared" si="320"/>
        <v>76</v>
      </c>
      <c r="S208" s="53">
        <f t="shared" si="321"/>
        <v>101</v>
      </c>
      <c r="T208" s="53" t="str">
        <f t="shared" si="322"/>
        <v/>
      </c>
      <c r="U208" s="53" t="str">
        <f t="shared" si="323"/>
        <v/>
      </c>
      <c r="V208" s="53" t="str">
        <f t="shared" si="324"/>
        <v/>
      </c>
      <c r="W208" s="53" t="str">
        <f t="shared" si="349"/>
        <v>00:03:51.4 (51)</v>
      </c>
      <c r="X208" s="53" t="str">
        <f t="shared" si="325"/>
        <v>00:04:13.0 (100)</v>
      </c>
      <c r="Y208" s="53" t="str">
        <f t="shared" si="326"/>
        <v>00:02:15.8 (68)</v>
      </c>
      <c r="Z208" s="53" t="str">
        <f t="shared" si="327"/>
        <v>00:04:36.6 (76)</v>
      </c>
      <c r="AA208" s="53" t="str">
        <f t="shared" si="328"/>
        <v>00:05:43.2 (101)</v>
      </c>
      <c r="AB208" s="53" t="str">
        <f t="shared" si="329"/>
        <v>DNS/DNF ()</v>
      </c>
      <c r="AC208" s="53" t="str">
        <f t="shared" si="330"/>
        <v>DNS/DNF ()</v>
      </c>
      <c r="AD208" s="53" t="str">
        <f t="shared" si="331"/>
        <v>DNS/DNF ()</v>
      </c>
      <c r="AE208" s="53">
        <v>36188246</v>
      </c>
      <c r="AF208" s="53">
        <v>36419656</v>
      </c>
      <c r="AG208" s="53">
        <v>32685094</v>
      </c>
      <c r="AH208" s="53">
        <v>32938127</v>
      </c>
      <c r="AI208" s="53">
        <v>39727412</v>
      </c>
      <c r="AJ208" s="53">
        <v>39863260</v>
      </c>
      <c r="AK208" s="53">
        <v>44896658</v>
      </c>
      <c r="AL208" s="53">
        <v>45173227</v>
      </c>
      <c r="AM208" s="53">
        <v>48001608</v>
      </c>
      <c r="AN208" s="53">
        <v>48344857</v>
      </c>
      <c r="AO208" s="53">
        <v>0</v>
      </c>
      <c r="AP208" s="53">
        <v>0</v>
      </c>
      <c r="AQ208" s="53">
        <v>0</v>
      </c>
      <c r="AR208" s="53">
        <v>0</v>
      </c>
      <c r="AS208" s="53">
        <v>0</v>
      </c>
      <c r="AT208" s="53">
        <v>0</v>
      </c>
      <c r="AU208" s="62">
        <f t="shared" si="332"/>
        <v>2.6783564814814816E-3</v>
      </c>
      <c r="AV208" s="62">
        <f t="shared" si="333"/>
        <v>2.9286226851851851E-3</v>
      </c>
      <c r="AW208" s="62">
        <f t="shared" si="334"/>
        <v>1.5723148148148148E-3</v>
      </c>
      <c r="AX208" s="62">
        <f t="shared" si="335"/>
        <v>3.2010300925925926E-3</v>
      </c>
      <c r="AY208" s="62">
        <f t="shared" si="336"/>
        <v>3.9727893518518515E-3</v>
      </c>
      <c r="AZ208" s="62" t="str">
        <f t="shared" si="337"/>
        <v>DNS/DNF</v>
      </c>
      <c r="BA208" s="62" t="str">
        <f t="shared" si="338"/>
        <v>DNS/DNF</v>
      </c>
      <c r="BB208" s="62" t="str">
        <f t="shared" si="339"/>
        <v>DNS/DNF</v>
      </c>
      <c r="BC208" s="75">
        <f t="shared" si="340"/>
        <v>79</v>
      </c>
      <c r="BD208" s="53">
        <f t="shared" si="341"/>
        <v>254080</v>
      </c>
      <c r="BE208" s="53">
        <f t="shared" si="342"/>
        <v>244791</v>
      </c>
      <c r="BF208" s="53">
        <f t="shared" si="343"/>
        <v>139086</v>
      </c>
      <c r="BG208" s="53">
        <f t="shared" si="344"/>
        <v>280337</v>
      </c>
      <c r="BH208" s="53">
        <f t="shared" si="345"/>
        <v>333982</v>
      </c>
      <c r="BI208" s="53" t="str">
        <f t="shared" si="346"/>
        <v/>
      </c>
      <c r="BJ208" s="53" t="str">
        <f t="shared" si="347"/>
        <v/>
      </c>
      <c r="BK208" s="53" t="str">
        <f t="shared" si="348"/>
        <v/>
      </c>
    </row>
    <row r="209" spans="1:63">
      <c r="A209" s="53">
        <v>140</v>
      </c>
      <c r="B209" s="89" t="str">
        <f>IFERROR(VLOOKUP($A209,EntryList!$A$3:$N$645,2,FALSE),"")</f>
        <v>Gavin Dingley</v>
      </c>
      <c r="C209" s="74"/>
      <c r="D209" s="53">
        <f t="shared" si="315"/>
        <v>5</v>
      </c>
      <c r="E209" s="62">
        <v>3.989675925925926E-3</v>
      </c>
      <c r="F209" s="62">
        <v>2.9239583333333335E-3</v>
      </c>
      <c r="G209" s="62">
        <v>1.6626388888888888E-3</v>
      </c>
      <c r="H209" s="62">
        <v>3.2463310185185186E-3</v>
      </c>
      <c r="I209" s="62">
        <v>3.9853935185185183E-3</v>
      </c>
      <c r="J209" s="62"/>
      <c r="K209" s="62"/>
      <c r="L209" s="62"/>
      <c r="M209" s="62">
        <v>1.5807997685185187E-2</v>
      </c>
      <c r="N209" s="62">
        <f t="shared" si="316"/>
        <v>1.5807997685185184E-2</v>
      </c>
      <c r="O209" s="53">
        <f t="shared" si="317"/>
        <v>132</v>
      </c>
      <c r="P209" s="53">
        <f t="shared" si="318"/>
        <v>98</v>
      </c>
      <c r="Q209" s="53">
        <f t="shared" si="319"/>
        <v>93</v>
      </c>
      <c r="R209" s="53">
        <f t="shared" si="320"/>
        <v>81</v>
      </c>
      <c r="S209" s="53">
        <f t="shared" si="321"/>
        <v>104</v>
      </c>
      <c r="T209" s="53" t="str">
        <f t="shared" si="322"/>
        <v/>
      </c>
      <c r="U209" s="53" t="str">
        <f t="shared" si="323"/>
        <v/>
      </c>
      <c r="V209" s="53" t="str">
        <f t="shared" si="324"/>
        <v/>
      </c>
      <c r="W209" s="53" t="str">
        <f t="shared" si="349"/>
        <v>00:05:44.7 (132)</v>
      </c>
      <c r="X209" s="53" t="str">
        <f t="shared" si="325"/>
        <v>00:04:12.6 (98)</v>
      </c>
      <c r="Y209" s="53" t="str">
        <f t="shared" si="326"/>
        <v>00:02:23.7 (93)</v>
      </c>
      <c r="Z209" s="53" t="str">
        <f t="shared" si="327"/>
        <v>00:04:40.5 (81)</v>
      </c>
      <c r="AA209" s="53" t="str">
        <f t="shared" si="328"/>
        <v>00:05:44.3 (104)</v>
      </c>
      <c r="AB209" s="53" t="str">
        <f t="shared" si="329"/>
        <v>DNS/DNF ()</v>
      </c>
      <c r="AC209" s="53" t="str">
        <f t="shared" si="330"/>
        <v>DNS/DNF ()</v>
      </c>
      <c r="AD209" s="53" t="str">
        <f t="shared" si="331"/>
        <v>DNS/DNF ()</v>
      </c>
      <c r="AE209" s="53">
        <v>36371897</v>
      </c>
      <c r="AF209" s="53">
        <v>36716605</v>
      </c>
      <c r="AG209" s="53">
        <v>32607123</v>
      </c>
      <c r="AH209" s="53">
        <v>32859753</v>
      </c>
      <c r="AI209" s="53">
        <v>39845476</v>
      </c>
      <c r="AJ209" s="53">
        <v>39989128</v>
      </c>
      <c r="AK209" s="53">
        <v>44352542</v>
      </c>
      <c r="AL209" s="53">
        <v>44633025</v>
      </c>
      <c r="AM209" s="53">
        <v>47626480</v>
      </c>
      <c r="AN209" s="53">
        <v>47970818</v>
      </c>
      <c r="AO209" s="53">
        <v>0</v>
      </c>
      <c r="AP209" s="53">
        <v>0</v>
      </c>
      <c r="AQ209" s="53">
        <v>0</v>
      </c>
      <c r="AR209" s="53">
        <v>0</v>
      </c>
      <c r="AS209" s="53">
        <v>0</v>
      </c>
      <c r="AT209" s="53">
        <v>0</v>
      </c>
      <c r="AU209" s="62">
        <f t="shared" si="332"/>
        <v>3.989675925925926E-3</v>
      </c>
      <c r="AV209" s="62">
        <f t="shared" si="333"/>
        <v>2.9239583333333335E-3</v>
      </c>
      <c r="AW209" s="62">
        <f t="shared" si="334"/>
        <v>1.6626388888888888E-3</v>
      </c>
      <c r="AX209" s="62">
        <f t="shared" si="335"/>
        <v>3.2463310185185186E-3</v>
      </c>
      <c r="AY209" s="62">
        <f t="shared" si="336"/>
        <v>3.9853935185185183E-3</v>
      </c>
      <c r="AZ209" s="62" t="str">
        <f t="shared" si="337"/>
        <v>DNS/DNF</v>
      </c>
      <c r="BA209" s="62" t="str">
        <f t="shared" si="338"/>
        <v>DNS/DNF</v>
      </c>
      <c r="BB209" s="62" t="str">
        <f t="shared" si="339"/>
        <v>DNS/DNF</v>
      </c>
      <c r="BC209" s="75">
        <f t="shared" si="340"/>
        <v>102</v>
      </c>
      <c r="BD209" s="53">
        <f t="shared" si="341"/>
        <v>280995</v>
      </c>
      <c r="BE209" s="53">
        <f t="shared" si="342"/>
        <v>254250</v>
      </c>
      <c r="BF209" s="53">
        <f t="shared" si="343"/>
        <v>146362</v>
      </c>
      <c r="BG209" s="53">
        <f t="shared" si="344"/>
        <v>301363</v>
      </c>
      <c r="BH209" s="53">
        <f t="shared" si="345"/>
        <v>343836</v>
      </c>
      <c r="BI209" s="53" t="str">
        <f t="shared" si="346"/>
        <v/>
      </c>
      <c r="BJ209" s="53" t="str">
        <f t="shared" si="347"/>
        <v/>
      </c>
      <c r="BK209" s="53" t="str">
        <f t="shared" si="348"/>
        <v/>
      </c>
    </row>
    <row r="210" spans="1:63">
      <c r="A210" s="53">
        <v>279</v>
      </c>
      <c r="B210" s="89" t="str">
        <f>IFERROR(VLOOKUP($A210,EntryList!$A$3:$N$645,2,FALSE),"")</f>
        <v>Michelle Witteven</v>
      </c>
      <c r="C210" s="74"/>
      <c r="D210" s="53">
        <f t="shared" si="315"/>
        <v>2</v>
      </c>
      <c r="E210" s="62"/>
      <c r="F210" s="62">
        <v>4.3463541666666668E-3</v>
      </c>
      <c r="G210" s="62"/>
      <c r="H210" s="62"/>
      <c r="I210" s="62">
        <v>5.3648263888888886E-3</v>
      </c>
      <c r="J210" s="62"/>
      <c r="K210" s="62"/>
      <c r="L210" s="62"/>
      <c r="M210" s="62">
        <v>9.7111805555555545E-3</v>
      </c>
      <c r="N210" s="62">
        <f t="shared" si="316"/>
        <v>9.7111805555555562E-3</v>
      </c>
      <c r="O210" s="53" t="str">
        <f t="shared" si="317"/>
        <v/>
      </c>
      <c r="P210" s="53">
        <f t="shared" si="318"/>
        <v>255</v>
      </c>
      <c r="Q210" s="53" t="str">
        <f t="shared" si="319"/>
        <v/>
      </c>
      <c r="R210" s="53" t="str">
        <f t="shared" si="320"/>
        <v/>
      </c>
      <c r="S210" s="53">
        <f t="shared" si="321"/>
        <v>244</v>
      </c>
      <c r="T210" s="53" t="str">
        <f t="shared" si="322"/>
        <v/>
      </c>
      <c r="U210" s="53" t="str">
        <f t="shared" si="323"/>
        <v/>
      </c>
      <c r="V210" s="53" t="str">
        <f t="shared" si="324"/>
        <v/>
      </c>
      <c r="W210" s="53" t="str">
        <f t="shared" si="349"/>
        <v>DNS/DNF ()</v>
      </c>
      <c r="X210" s="53" t="str">
        <f t="shared" si="325"/>
        <v>00:06:15.5 (255)</v>
      </c>
      <c r="Y210" s="53" t="str">
        <f t="shared" si="326"/>
        <v>DNS/DNF ()</v>
      </c>
      <c r="Z210" s="53" t="str">
        <f t="shared" si="327"/>
        <v>DNS/DNF ()</v>
      </c>
      <c r="AA210" s="53" t="str">
        <f t="shared" si="328"/>
        <v>00:07:43.5 (244)</v>
      </c>
      <c r="AB210" s="53" t="str">
        <f t="shared" si="329"/>
        <v>DNS/DNF ()</v>
      </c>
      <c r="AC210" s="53" t="str">
        <f t="shared" si="330"/>
        <v>DNS/DNF ()</v>
      </c>
      <c r="AD210" s="53" t="str">
        <f t="shared" si="331"/>
        <v>DNS/DNF ()</v>
      </c>
      <c r="AE210" s="53">
        <v>0</v>
      </c>
      <c r="AF210" s="53">
        <v>0</v>
      </c>
      <c r="AG210" s="53">
        <v>42185668</v>
      </c>
      <c r="AH210" s="53">
        <v>42561193</v>
      </c>
      <c r="AI210" s="53">
        <v>0</v>
      </c>
      <c r="AJ210" s="53">
        <v>0</v>
      </c>
      <c r="AK210" s="53">
        <v>0</v>
      </c>
      <c r="AL210" s="53">
        <v>0</v>
      </c>
      <c r="AM210" s="53">
        <v>45213206</v>
      </c>
      <c r="AN210" s="53">
        <v>45676727</v>
      </c>
      <c r="AO210" s="53">
        <v>0</v>
      </c>
      <c r="AP210" s="53">
        <v>0</v>
      </c>
      <c r="AQ210" s="53">
        <v>0</v>
      </c>
      <c r="AR210" s="53">
        <v>0</v>
      </c>
      <c r="AS210" s="53">
        <v>0</v>
      </c>
      <c r="AT210" s="53">
        <v>0</v>
      </c>
      <c r="AU210" s="62" t="str">
        <f t="shared" si="332"/>
        <v>DNS/DNF</v>
      </c>
      <c r="AV210" s="62">
        <f t="shared" si="333"/>
        <v>4.3463541666666668E-3</v>
      </c>
      <c r="AW210" s="62" t="str">
        <f t="shared" si="334"/>
        <v>DNS/DNF</v>
      </c>
      <c r="AX210" s="62" t="str">
        <f t="shared" si="335"/>
        <v>DNS/DNF</v>
      </c>
      <c r="AY210" s="62">
        <f t="shared" si="336"/>
        <v>5.3648263888888886E-3</v>
      </c>
      <c r="AZ210" s="62" t="str">
        <f t="shared" si="337"/>
        <v>DNS/DNF</v>
      </c>
      <c r="BA210" s="62" t="str">
        <f t="shared" si="338"/>
        <v>DNS/DNF</v>
      </c>
      <c r="BB210" s="62" t="str">
        <f t="shared" si="339"/>
        <v>DNS/DNF</v>
      </c>
      <c r="BC210" s="75">
        <f t="shared" si="340"/>
        <v>250</v>
      </c>
      <c r="BD210" s="53" t="str">
        <f t="shared" si="341"/>
        <v/>
      </c>
      <c r="BE210" s="53">
        <f t="shared" si="342"/>
        <v>357326</v>
      </c>
      <c r="BF210" s="53">
        <f t="shared" si="343"/>
        <v>227730</v>
      </c>
      <c r="BG210" s="53" t="str">
        <f t="shared" si="344"/>
        <v/>
      </c>
      <c r="BH210" s="53">
        <f t="shared" si="345"/>
        <v>565308</v>
      </c>
      <c r="BI210" s="53" t="str">
        <f t="shared" si="346"/>
        <v/>
      </c>
      <c r="BJ210" s="53" t="str">
        <f t="shared" si="347"/>
        <v/>
      </c>
      <c r="BK210" s="53" t="str">
        <f t="shared" si="348"/>
        <v/>
      </c>
    </row>
    <row r="211" spans="1:63">
      <c r="A211" s="53">
        <v>91</v>
      </c>
      <c r="B211" s="89" t="str">
        <f>IFERROR(VLOOKUP($A211,EntryList!$A$3:$N$645,2,FALSE),"")</f>
        <v>Grant Morris</v>
      </c>
      <c r="C211" s="74"/>
      <c r="D211" s="53">
        <f t="shared" si="315"/>
        <v>5</v>
      </c>
      <c r="E211" s="62">
        <v>4.4259490740740743E-3</v>
      </c>
      <c r="F211" s="62">
        <v>3.1570949074074075E-3</v>
      </c>
      <c r="G211" s="62">
        <v>1.7089351851851851E-3</v>
      </c>
      <c r="H211" s="62">
        <v>3.5947916666666667E-3</v>
      </c>
      <c r="I211" s="62">
        <v>4.0938310185185183E-3</v>
      </c>
      <c r="J211" s="62"/>
      <c r="K211" s="62"/>
      <c r="L211" s="62"/>
      <c r="M211" s="62">
        <v>1.6980601851851854E-2</v>
      </c>
      <c r="N211" s="62">
        <f t="shared" si="316"/>
        <v>1.6980601851851851E-2</v>
      </c>
      <c r="O211" s="53">
        <f t="shared" si="317"/>
        <v>138</v>
      </c>
      <c r="P211" s="53">
        <f t="shared" si="318"/>
        <v>151</v>
      </c>
      <c r="Q211" s="53">
        <f t="shared" si="319"/>
        <v>107</v>
      </c>
      <c r="R211" s="53">
        <f t="shared" si="320"/>
        <v>111</v>
      </c>
      <c r="S211" s="53">
        <f t="shared" si="321"/>
        <v>128</v>
      </c>
      <c r="T211" s="53" t="str">
        <f t="shared" si="322"/>
        <v/>
      </c>
      <c r="U211" s="53" t="str">
        <f t="shared" si="323"/>
        <v/>
      </c>
      <c r="V211" s="53" t="str">
        <f t="shared" si="324"/>
        <v/>
      </c>
      <c r="W211" s="53" t="str">
        <f t="shared" si="349"/>
        <v>00:06:22.4 (138)</v>
      </c>
      <c r="X211" s="53" t="str">
        <f t="shared" si="325"/>
        <v>00:04:32.8 (151)</v>
      </c>
      <c r="Y211" s="53" t="str">
        <f t="shared" si="326"/>
        <v>00:02:27.7 (107)</v>
      </c>
      <c r="Z211" s="53" t="str">
        <f t="shared" si="327"/>
        <v>00:05:10.6 (111)</v>
      </c>
      <c r="AA211" s="53" t="str">
        <f t="shared" si="328"/>
        <v>00:05:53.7 (128)</v>
      </c>
      <c r="AB211" s="53" t="str">
        <f t="shared" si="329"/>
        <v>DNS/DNF ()</v>
      </c>
      <c r="AC211" s="53" t="str">
        <f t="shared" si="330"/>
        <v>DNS/DNF ()</v>
      </c>
      <c r="AD211" s="53" t="str">
        <f t="shared" si="331"/>
        <v>DNS/DNF ()</v>
      </c>
      <c r="AE211" s="53">
        <v>33479388</v>
      </c>
      <c r="AF211" s="53">
        <v>33861790</v>
      </c>
      <c r="AG211" s="53">
        <v>39797122</v>
      </c>
      <c r="AH211" s="53">
        <v>40069895</v>
      </c>
      <c r="AI211" s="53">
        <v>36561684</v>
      </c>
      <c r="AJ211" s="53">
        <v>36709336</v>
      </c>
      <c r="AK211" s="53">
        <v>44952344</v>
      </c>
      <c r="AL211" s="53">
        <v>45262934</v>
      </c>
      <c r="AM211" s="53">
        <v>47808420</v>
      </c>
      <c r="AN211" s="53">
        <v>48162127</v>
      </c>
      <c r="AO211" s="53">
        <v>0</v>
      </c>
      <c r="AP211" s="53">
        <v>0</v>
      </c>
      <c r="AQ211" s="53">
        <v>0</v>
      </c>
      <c r="AR211" s="53">
        <v>0</v>
      </c>
      <c r="AS211" s="53">
        <v>0</v>
      </c>
      <c r="AT211" s="53">
        <v>0</v>
      </c>
      <c r="AU211" s="62">
        <f t="shared" si="332"/>
        <v>4.4259490740740743E-3</v>
      </c>
      <c r="AV211" s="62">
        <f t="shared" si="333"/>
        <v>3.1570949074074075E-3</v>
      </c>
      <c r="AW211" s="62">
        <f t="shared" si="334"/>
        <v>1.7089351851851851E-3</v>
      </c>
      <c r="AX211" s="62">
        <f t="shared" si="335"/>
        <v>3.5947916666666667E-3</v>
      </c>
      <c r="AY211" s="62">
        <f t="shared" si="336"/>
        <v>4.0938310185185183E-3</v>
      </c>
      <c r="AZ211" s="62" t="str">
        <f t="shared" si="337"/>
        <v>DNS/DNF</v>
      </c>
      <c r="BA211" s="62" t="str">
        <f t="shared" si="338"/>
        <v>DNS/DNF</v>
      </c>
      <c r="BB211" s="62" t="str">
        <f t="shared" si="339"/>
        <v>DNS/DNF</v>
      </c>
      <c r="BC211" s="75">
        <f t="shared" si="340"/>
        <v>127</v>
      </c>
      <c r="BD211" s="53">
        <f t="shared" si="341"/>
        <v>335032</v>
      </c>
      <c r="BE211" s="53">
        <f t="shared" si="342"/>
        <v>265583</v>
      </c>
      <c r="BF211" s="53">
        <f t="shared" si="343"/>
        <v>152320</v>
      </c>
      <c r="BG211" s="53">
        <f t="shared" si="344"/>
        <v>328018</v>
      </c>
      <c r="BH211" s="53">
        <f t="shared" si="345"/>
        <v>353426</v>
      </c>
      <c r="BI211" s="53" t="str">
        <f t="shared" si="346"/>
        <v/>
      </c>
      <c r="BJ211" s="53" t="str">
        <f t="shared" si="347"/>
        <v/>
      </c>
      <c r="BK211" s="53" t="str">
        <f t="shared" si="348"/>
        <v/>
      </c>
    </row>
    <row r="212" spans="1:63">
      <c r="A212" s="53">
        <v>54</v>
      </c>
      <c r="B212" s="89" t="str">
        <f>IFERROR(VLOOKUP($A212,EntryList!$A$3:$N$645,2,FALSE),"")</f>
        <v>Warren Galley</v>
      </c>
      <c r="C212" s="74"/>
      <c r="D212" s="53">
        <f t="shared" si="315"/>
        <v>5</v>
      </c>
      <c r="E212" s="62">
        <v>3.3435069444444445E-3</v>
      </c>
      <c r="F212" s="62">
        <v>2.9974189814814815E-3</v>
      </c>
      <c r="G212" s="62">
        <v>1.7665046296296294E-3</v>
      </c>
      <c r="H212" s="62">
        <v>3.5065856481481489E-3</v>
      </c>
      <c r="I212" s="62">
        <v>4.1263773148148145E-3</v>
      </c>
      <c r="J212" s="62"/>
      <c r="K212" s="62"/>
      <c r="L212" s="62"/>
      <c r="M212" s="62">
        <v>1.5740393518518518E-2</v>
      </c>
      <c r="N212" s="62">
        <f t="shared" si="316"/>
        <v>1.5740393518518518E-2</v>
      </c>
      <c r="O212" s="53">
        <f t="shared" si="317"/>
        <v>107</v>
      </c>
      <c r="P212" s="53">
        <f t="shared" si="318"/>
        <v>113</v>
      </c>
      <c r="Q212" s="53">
        <f t="shared" si="319"/>
        <v>129</v>
      </c>
      <c r="R212" s="53">
        <f t="shared" si="320"/>
        <v>104</v>
      </c>
      <c r="S212" s="53">
        <f t="shared" si="321"/>
        <v>136</v>
      </c>
      <c r="T212" s="53" t="str">
        <f t="shared" si="322"/>
        <v/>
      </c>
      <c r="U212" s="53" t="str">
        <f t="shared" si="323"/>
        <v/>
      </c>
      <c r="V212" s="53" t="str">
        <f t="shared" si="324"/>
        <v/>
      </c>
      <c r="W212" s="53" t="str">
        <f t="shared" si="349"/>
        <v>00:04:48.9 (107)</v>
      </c>
      <c r="X212" s="53" t="str">
        <f t="shared" si="325"/>
        <v>00:04:19.0 (113)</v>
      </c>
      <c r="Y212" s="53" t="str">
        <f t="shared" si="326"/>
        <v>00:02:32.6 (129)</v>
      </c>
      <c r="Z212" s="53" t="str">
        <f t="shared" si="327"/>
        <v>00:05:03.0 (104)</v>
      </c>
      <c r="AA212" s="53" t="str">
        <f t="shared" si="328"/>
        <v>00:05:56.5 (136)</v>
      </c>
      <c r="AB212" s="53" t="str">
        <f t="shared" si="329"/>
        <v>DNS/DNF ()</v>
      </c>
      <c r="AC212" s="53" t="str">
        <f t="shared" si="330"/>
        <v>DNS/DNF ()</v>
      </c>
      <c r="AD212" s="53" t="str">
        <f t="shared" si="331"/>
        <v>DNS/DNF ()</v>
      </c>
      <c r="AE212" s="53">
        <v>33192417</v>
      </c>
      <c r="AF212" s="53">
        <v>33481296</v>
      </c>
      <c r="AG212" s="53">
        <v>39657608</v>
      </c>
      <c r="AH212" s="53">
        <v>39916585</v>
      </c>
      <c r="AI212" s="53">
        <v>36534559</v>
      </c>
      <c r="AJ212" s="53">
        <v>36687185</v>
      </c>
      <c r="AK212" s="53">
        <v>44934830</v>
      </c>
      <c r="AL212" s="53">
        <v>45237799</v>
      </c>
      <c r="AM212" s="53">
        <v>48105526</v>
      </c>
      <c r="AN212" s="53">
        <v>48462045</v>
      </c>
      <c r="AO212" s="53">
        <v>0</v>
      </c>
      <c r="AP212" s="53">
        <v>0</v>
      </c>
      <c r="AQ212" s="53">
        <v>0</v>
      </c>
      <c r="AR212" s="53">
        <v>0</v>
      </c>
      <c r="AS212" s="53">
        <v>0</v>
      </c>
      <c r="AT212" s="53">
        <v>0</v>
      </c>
      <c r="AU212" s="62">
        <f t="shared" si="332"/>
        <v>3.3435069444444445E-3</v>
      </c>
      <c r="AV212" s="62">
        <f t="shared" si="333"/>
        <v>2.9974189814814815E-3</v>
      </c>
      <c r="AW212" s="62">
        <f t="shared" si="334"/>
        <v>1.7665046296296296E-3</v>
      </c>
      <c r="AX212" s="62">
        <f t="shared" si="335"/>
        <v>3.506585648148148E-3</v>
      </c>
      <c r="AY212" s="62">
        <f t="shared" si="336"/>
        <v>4.1263773148148145E-3</v>
      </c>
      <c r="AZ212" s="62" t="str">
        <f t="shared" si="337"/>
        <v>DNS/DNF</v>
      </c>
      <c r="BA212" s="62" t="str">
        <f t="shared" si="338"/>
        <v>DNS/DNF</v>
      </c>
      <c r="BB212" s="62" t="str">
        <f t="shared" si="339"/>
        <v>DNS/DNF</v>
      </c>
      <c r="BC212" s="75">
        <f t="shared" si="340"/>
        <v>118</v>
      </c>
      <c r="BD212" s="53" t="str">
        <f t="shared" si="341"/>
        <v/>
      </c>
      <c r="BE212" s="53">
        <f t="shared" si="342"/>
        <v>260349</v>
      </c>
      <c r="BF212" s="53">
        <f t="shared" si="343"/>
        <v>151103</v>
      </c>
      <c r="BG212" s="53">
        <f t="shared" si="344"/>
        <v>317015</v>
      </c>
      <c r="BH212" s="53">
        <f t="shared" si="345"/>
        <v>351837</v>
      </c>
      <c r="BI212" s="53" t="str">
        <f t="shared" si="346"/>
        <v/>
      </c>
      <c r="BJ212" s="53" t="str">
        <f t="shared" si="347"/>
        <v/>
      </c>
      <c r="BK212" s="53" t="str">
        <f t="shared" si="348"/>
        <v/>
      </c>
    </row>
    <row r="213" spans="1:63">
      <c r="A213" s="53">
        <v>142</v>
      </c>
      <c r="B213" s="89" t="str">
        <f>IFERROR(VLOOKUP($A213,EntryList!$A$3:$N$645,2,FALSE),"")</f>
        <v>Dr Katzen</v>
      </c>
      <c r="C213" s="74"/>
      <c r="D213" s="53">
        <f t="shared" si="315"/>
        <v>5</v>
      </c>
      <c r="E213" s="62">
        <v>2.7123379629629628E-3</v>
      </c>
      <c r="F213" s="62">
        <v>2.706724537037037E-3</v>
      </c>
      <c r="G213" s="62">
        <v>1.5489583333333334E-3</v>
      </c>
      <c r="H213" s="62">
        <v>3.0353587962962964E-3</v>
      </c>
      <c r="I213" s="62">
        <v>3.6758101851851852E-3</v>
      </c>
      <c r="J213" s="62"/>
      <c r="K213" s="62"/>
      <c r="L213" s="62"/>
      <c r="M213" s="62">
        <v>1.3679189814814816E-2</v>
      </c>
      <c r="N213" s="62">
        <f t="shared" si="316"/>
        <v>1.3679189814814814E-2</v>
      </c>
      <c r="O213" s="53">
        <f t="shared" si="317"/>
        <v>56</v>
      </c>
      <c r="P213" s="53">
        <f t="shared" si="318"/>
        <v>49</v>
      </c>
      <c r="Q213" s="53">
        <f t="shared" si="319"/>
        <v>61</v>
      </c>
      <c r="R213" s="53">
        <f t="shared" si="320"/>
        <v>52</v>
      </c>
      <c r="S213" s="53">
        <f t="shared" si="321"/>
        <v>51</v>
      </c>
      <c r="T213" s="53" t="str">
        <f t="shared" si="322"/>
        <v/>
      </c>
      <c r="U213" s="53" t="str">
        <f t="shared" si="323"/>
        <v/>
      </c>
      <c r="V213" s="53" t="str">
        <f t="shared" si="324"/>
        <v/>
      </c>
      <c r="W213" s="53" t="str">
        <f t="shared" si="349"/>
        <v>00:03:54.3 (56)</v>
      </c>
      <c r="X213" s="53" t="str">
        <f t="shared" si="325"/>
        <v>00:03:53.9 (49)</v>
      </c>
      <c r="Y213" s="53" t="str">
        <f t="shared" si="326"/>
        <v>00:02:13.8 (61)</v>
      </c>
      <c r="Z213" s="53" t="str">
        <f t="shared" si="327"/>
        <v>00:04:22.3 (52)</v>
      </c>
      <c r="AA213" s="53" t="str">
        <f t="shared" si="328"/>
        <v>00:05:17.6 (51)</v>
      </c>
      <c r="AB213" s="53" t="str">
        <f t="shared" si="329"/>
        <v>DNS/DNF ()</v>
      </c>
      <c r="AC213" s="53" t="str">
        <f t="shared" si="330"/>
        <v>DNS/DNF ()</v>
      </c>
      <c r="AD213" s="53" t="str">
        <f t="shared" si="331"/>
        <v>DNS/DNF ()</v>
      </c>
      <c r="AE213" s="53">
        <v>32738502</v>
      </c>
      <c r="AF213" s="53">
        <v>32972848</v>
      </c>
      <c r="AG213" s="53">
        <v>37237425</v>
      </c>
      <c r="AH213" s="53">
        <v>37471286</v>
      </c>
      <c r="AI213" s="53">
        <v>40448760</v>
      </c>
      <c r="AJ213" s="53">
        <v>40582590</v>
      </c>
      <c r="AK213" s="53">
        <v>44847874</v>
      </c>
      <c r="AL213" s="53">
        <v>45110129</v>
      </c>
      <c r="AM213" s="53">
        <v>47767300</v>
      </c>
      <c r="AN213" s="53">
        <v>48084890</v>
      </c>
      <c r="AO213" s="53">
        <v>0</v>
      </c>
      <c r="AP213" s="53">
        <v>0</v>
      </c>
      <c r="AQ213" s="53">
        <v>0</v>
      </c>
      <c r="AR213" s="53">
        <v>0</v>
      </c>
      <c r="AS213" s="53">
        <v>0</v>
      </c>
      <c r="AT213" s="53">
        <v>0</v>
      </c>
      <c r="AU213" s="62">
        <f t="shared" si="332"/>
        <v>2.7123379629629628E-3</v>
      </c>
      <c r="AV213" s="62">
        <f t="shared" si="333"/>
        <v>2.706724537037037E-3</v>
      </c>
      <c r="AW213" s="62">
        <f t="shared" si="334"/>
        <v>1.5489583333333334E-3</v>
      </c>
      <c r="AX213" s="62">
        <f t="shared" si="335"/>
        <v>3.0353587962962964E-3</v>
      </c>
      <c r="AY213" s="62">
        <f t="shared" si="336"/>
        <v>3.6758101851851852E-3</v>
      </c>
      <c r="AZ213" s="62" t="str">
        <f t="shared" si="337"/>
        <v>DNS/DNF</v>
      </c>
      <c r="BA213" s="62" t="str">
        <f t="shared" si="338"/>
        <v>DNS/DNF</v>
      </c>
      <c r="BB213" s="62" t="str">
        <f t="shared" si="339"/>
        <v>DNS/DNF</v>
      </c>
      <c r="BC213" s="75">
        <f t="shared" si="340"/>
        <v>54</v>
      </c>
      <c r="BD213" s="53">
        <f t="shared" si="341"/>
        <v>232106</v>
      </c>
      <c r="BE213" s="53">
        <f t="shared" si="342"/>
        <v>235953</v>
      </c>
      <c r="BF213" s="53" t="str">
        <f t="shared" si="343"/>
        <v/>
      </c>
      <c r="BG213" s="53">
        <f t="shared" si="344"/>
        <v>262777</v>
      </c>
      <c r="BH213" s="53">
        <f t="shared" si="345"/>
        <v>320104</v>
      </c>
      <c r="BI213" s="53" t="str">
        <f t="shared" si="346"/>
        <v/>
      </c>
      <c r="BJ213" s="53" t="str">
        <f t="shared" si="347"/>
        <v/>
      </c>
      <c r="BK213" s="53" t="str">
        <f t="shared" si="348"/>
        <v/>
      </c>
    </row>
    <row r="214" spans="1:63">
      <c r="A214" s="53">
        <v>119</v>
      </c>
      <c r="B214" s="89" t="str">
        <f>IFERROR(VLOOKUP($A214,EntryList!$A$3:$N$645,2,FALSE),"")</f>
        <v>Ian Williams</v>
      </c>
      <c r="C214" s="74"/>
      <c r="D214" s="53">
        <f t="shared" si="315"/>
        <v>5</v>
      </c>
      <c r="E214" s="62">
        <v>3.6279166666666664E-3</v>
      </c>
      <c r="F214" s="62">
        <v>3.2007986111111109E-3</v>
      </c>
      <c r="G214" s="62">
        <v>1.856388888888889E-3</v>
      </c>
      <c r="H214" s="62">
        <v>3.5289583333333332E-3</v>
      </c>
      <c r="I214" s="62">
        <v>4.1626967592592592E-3</v>
      </c>
      <c r="J214" s="62"/>
      <c r="K214" s="62"/>
      <c r="L214" s="62"/>
      <c r="M214" s="62">
        <v>1.6376759259259261E-2</v>
      </c>
      <c r="N214" s="62">
        <f t="shared" si="316"/>
        <v>1.6376759259259261E-2</v>
      </c>
      <c r="O214" s="53">
        <f t="shared" si="317"/>
        <v>120</v>
      </c>
      <c r="P214" s="53">
        <f t="shared" si="318"/>
        <v>164</v>
      </c>
      <c r="Q214" s="53">
        <f t="shared" si="319"/>
        <v>162</v>
      </c>
      <c r="R214" s="53">
        <f t="shared" si="320"/>
        <v>107</v>
      </c>
      <c r="S214" s="53">
        <f t="shared" si="321"/>
        <v>147</v>
      </c>
      <c r="T214" s="53" t="str">
        <f t="shared" si="322"/>
        <v/>
      </c>
      <c r="U214" s="53" t="str">
        <f t="shared" si="323"/>
        <v/>
      </c>
      <c r="V214" s="53" t="str">
        <f t="shared" si="324"/>
        <v/>
      </c>
      <c r="W214" s="53" t="str">
        <f t="shared" si="349"/>
        <v>00:05:13.5 (120)</v>
      </c>
      <c r="X214" s="53" t="str">
        <f t="shared" si="325"/>
        <v>00:04:36.5 (164)</v>
      </c>
      <c r="Y214" s="53" t="str">
        <f t="shared" si="326"/>
        <v>00:02:40.4 (162)</v>
      </c>
      <c r="Z214" s="53" t="str">
        <f t="shared" si="327"/>
        <v>00:05:04.9 (107)</v>
      </c>
      <c r="AA214" s="53" t="str">
        <f t="shared" si="328"/>
        <v>00:05:59.7 (147)</v>
      </c>
      <c r="AB214" s="53" t="str">
        <f t="shared" si="329"/>
        <v>DNS/DNF ()</v>
      </c>
      <c r="AC214" s="53" t="str">
        <f t="shared" si="330"/>
        <v>DNS/DNF ()</v>
      </c>
      <c r="AD214" s="53" t="str">
        <f t="shared" si="331"/>
        <v>DNS/DNF ()</v>
      </c>
      <c r="AE214" s="53">
        <v>32594595</v>
      </c>
      <c r="AF214" s="53">
        <v>32908047</v>
      </c>
      <c r="AG214" s="53">
        <v>37261103</v>
      </c>
      <c r="AH214" s="53">
        <v>37537652</v>
      </c>
      <c r="AI214" s="53">
        <v>40479264</v>
      </c>
      <c r="AJ214" s="53">
        <v>40639656</v>
      </c>
      <c r="AK214" s="53">
        <v>44864619</v>
      </c>
      <c r="AL214" s="53">
        <v>45169521</v>
      </c>
      <c r="AM214" s="53">
        <v>47775502</v>
      </c>
      <c r="AN214" s="53">
        <v>48135159</v>
      </c>
      <c r="AO214" s="53">
        <v>0</v>
      </c>
      <c r="AP214" s="53">
        <v>0</v>
      </c>
      <c r="AQ214" s="53">
        <v>0</v>
      </c>
      <c r="AR214" s="53">
        <v>0</v>
      </c>
      <c r="AS214" s="53">
        <v>0</v>
      </c>
      <c r="AT214" s="53">
        <v>0</v>
      </c>
      <c r="AU214" s="62">
        <f t="shared" si="332"/>
        <v>3.6279166666666669E-3</v>
      </c>
      <c r="AV214" s="62">
        <f t="shared" si="333"/>
        <v>3.2007986111111113E-3</v>
      </c>
      <c r="AW214" s="62">
        <f t="shared" si="334"/>
        <v>1.856388888888889E-3</v>
      </c>
      <c r="AX214" s="62">
        <f t="shared" si="335"/>
        <v>3.5289583333333332E-3</v>
      </c>
      <c r="AY214" s="62">
        <f t="shared" si="336"/>
        <v>4.1626967592592592E-3</v>
      </c>
      <c r="AZ214" s="62" t="str">
        <f t="shared" si="337"/>
        <v>DNS/DNF</v>
      </c>
      <c r="BA214" s="62" t="str">
        <f t="shared" si="338"/>
        <v>DNS/DNF</v>
      </c>
      <c r="BB214" s="62" t="str">
        <f t="shared" si="339"/>
        <v>DNS/DNF</v>
      </c>
      <c r="BC214" s="75">
        <f t="shared" si="340"/>
        <v>140</v>
      </c>
      <c r="BD214" s="53">
        <f t="shared" si="341"/>
        <v>394387</v>
      </c>
      <c r="BE214" s="53">
        <f t="shared" si="342"/>
        <v>268842</v>
      </c>
      <c r="BF214" s="53">
        <f t="shared" si="343"/>
        <v>154974</v>
      </c>
      <c r="BG214" s="53">
        <f t="shared" si="344"/>
        <v>382083.00000000006</v>
      </c>
      <c r="BH214" s="53">
        <f t="shared" si="345"/>
        <v>358065</v>
      </c>
      <c r="BI214" s="53" t="str">
        <f t="shared" si="346"/>
        <v/>
      </c>
      <c r="BJ214" s="53" t="str">
        <f t="shared" si="347"/>
        <v/>
      </c>
      <c r="BK214" s="53" t="str">
        <f t="shared" si="348"/>
        <v/>
      </c>
    </row>
    <row r="215" spans="1:63">
      <c r="A215" s="53">
        <v>206</v>
      </c>
      <c r="B215" s="89" t="str">
        <f>IFERROR(VLOOKUP($A215,EntryList!$A$3:$N$645,2,FALSE),"")</f>
        <v>Waldo De Wet</v>
      </c>
      <c r="C215" s="74"/>
      <c r="D215" s="53">
        <f t="shared" si="315"/>
        <v>5</v>
      </c>
      <c r="E215" s="62">
        <v>2.542673611111111E-3</v>
      </c>
      <c r="F215" s="62">
        <v>2.6820949074074073E-3</v>
      </c>
      <c r="G215" s="62">
        <v>1.4944444444444447E-3</v>
      </c>
      <c r="H215" s="62">
        <v>3.029201388888889E-3</v>
      </c>
      <c r="I215" s="62">
        <v>3.8112731481481483E-3</v>
      </c>
      <c r="J215" s="62"/>
      <c r="K215" s="62"/>
      <c r="L215" s="62"/>
      <c r="M215" s="62">
        <v>1.3559687500000001E-2</v>
      </c>
      <c r="N215" s="62">
        <f t="shared" si="316"/>
        <v>1.3559687500000001E-2</v>
      </c>
      <c r="O215" s="53">
        <f t="shared" si="317"/>
        <v>36</v>
      </c>
      <c r="P215" s="53">
        <f t="shared" si="318"/>
        <v>41</v>
      </c>
      <c r="Q215" s="53">
        <f t="shared" si="319"/>
        <v>40</v>
      </c>
      <c r="R215" s="53">
        <f t="shared" si="320"/>
        <v>50</v>
      </c>
      <c r="S215" s="53">
        <f t="shared" si="321"/>
        <v>68</v>
      </c>
      <c r="T215" s="53" t="str">
        <f t="shared" si="322"/>
        <v/>
      </c>
      <c r="U215" s="53" t="str">
        <f t="shared" si="323"/>
        <v/>
      </c>
      <c r="V215" s="53" t="str">
        <f t="shared" si="324"/>
        <v/>
      </c>
      <c r="W215" s="53" t="str">
        <f t="shared" si="349"/>
        <v>00:03:39.7 (36)</v>
      </c>
      <c r="X215" s="53" t="str">
        <f t="shared" si="325"/>
        <v>00:03:51.7 (41)</v>
      </c>
      <c r="Y215" s="53" t="str">
        <f t="shared" si="326"/>
        <v>00:02:09.1 (40)</v>
      </c>
      <c r="Z215" s="53" t="str">
        <f t="shared" si="327"/>
        <v>00:04:21.7 (50)</v>
      </c>
      <c r="AA215" s="53" t="str">
        <f t="shared" si="328"/>
        <v>00:05:29.3 (68)</v>
      </c>
      <c r="AB215" s="53" t="str">
        <f t="shared" si="329"/>
        <v>DNS/DNF ()</v>
      </c>
      <c r="AC215" s="53" t="str">
        <f t="shared" si="330"/>
        <v>DNS/DNF ()</v>
      </c>
      <c r="AD215" s="53" t="str">
        <f t="shared" si="331"/>
        <v>DNS/DNF ()</v>
      </c>
      <c r="AE215" s="53">
        <v>36548236</v>
      </c>
      <c r="AF215" s="53">
        <v>36767923</v>
      </c>
      <c r="AG215" s="53">
        <v>32021310</v>
      </c>
      <c r="AH215" s="53">
        <v>32253043</v>
      </c>
      <c r="AI215" s="53">
        <v>40105040</v>
      </c>
      <c r="AJ215" s="53">
        <v>40234160</v>
      </c>
      <c r="AK215" s="53">
        <v>44724462</v>
      </c>
      <c r="AL215" s="53">
        <v>44986185</v>
      </c>
      <c r="AM215" s="53">
        <v>48069132</v>
      </c>
      <c r="AN215" s="53">
        <v>48398426</v>
      </c>
      <c r="AO215" s="53">
        <v>0</v>
      </c>
      <c r="AP215" s="53">
        <v>0</v>
      </c>
      <c r="AQ215" s="53">
        <v>0</v>
      </c>
      <c r="AR215" s="53">
        <v>0</v>
      </c>
      <c r="AS215" s="53">
        <v>0</v>
      </c>
      <c r="AT215" s="53">
        <v>0</v>
      </c>
      <c r="AU215" s="62">
        <f t="shared" si="332"/>
        <v>2.542673611111111E-3</v>
      </c>
      <c r="AV215" s="62">
        <f t="shared" si="333"/>
        <v>2.6820949074074073E-3</v>
      </c>
      <c r="AW215" s="62">
        <f t="shared" si="334"/>
        <v>1.4944444444444445E-3</v>
      </c>
      <c r="AX215" s="62">
        <f t="shared" si="335"/>
        <v>3.029201388888889E-3</v>
      </c>
      <c r="AY215" s="62">
        <f t="shared" si="336"/>
        <v>3.8112731481481483E-3</v>
      </c>
      <c r="AZ215" s="62" t="str">
        <f t="shared" si="337"/>
        <v>DNS/DNF</v>
      </c>
      <c r="BA215" s="62" t="str">
        <f t="shared" si="338"/>
        <v>DNS/DNF</v>
      </c>
      <c r="BB215" s="62" t="str">
        <f t="shared" si="339"/>
        <v>DNS/DNF</v>
      </c>
      <c r="BC215" s="75">
        <f t="shared" si="340"/>
        <v>47</v>
      </c>
      <c r="BD215" s="53">
        <f t="shared" si="341"/>
        <v>225603</v>
      </c>
      <c r="BE215" s="53">
        <f t="shared" si="342"/>
        <v>233078</v>
      </c>
      <c r="BF215" s="53">
        <f t="shared" si="343"/>
        <v>130212</v>
      </c>
      <c r="BG215" s="53">
        <f t="shared" si="344"/>
        <v>258912</v>
      </c>
      <c r="BH215" s="53">
        <f t="shared" si="345"/>
        <v>315464</v>
      </c>
      <c r="BI215" s="53" t="str">
        <f t="shared" si="346"/>
        <v/>
      </c>
      <c r="BJ215" s="53" t="str">
        <f t="shared" si="347"/>
        <v/>
      </c>
      <c r="BK215" s="53" t="str">
        <f t="shared" si="348"/>
        <v/>
      </c>
    </row>
    <row r="216" spans="1:63">
      <c r="A216" s="53">
        <v>231</v>
      </c>
      <c r="B216" s="89" t="str">
        <f>IFERROR(VLOOKUP($A216,EntryList!$A$3:$N$645,2,FALSE),"")</f>
        <v>Adriaan De Waard</v>
      </c>
      <c r="C216" s="74"/>
      <c r="D216" s="53">
        <f t="shared" si="315"/>
        <v>5</v>
      </c>
      <c r="E216" s="62">
        <v>2.9292013888888887E-3</v>
      </c>
      <c r="F216" s="62">
        <v>3.0615277777777776E-3</v>
      </c>
      <c r="G216" s="62">
        <v>1.713449074074074E-3</v>
      </c>
      <c r="H216" s="62">
        <v>3.6181828703703701E-3</v>
      </c>
      <c r="I216" s="62">
        <v>4.2686689814814818E-3</v>
      </c>
      <c r="J216" s="62"/>
      <c r="K216" s="62"/>
      <c r="L216" s="62"/>
      <c r="M216" s="62">
        <v>1.5591030092592592E-2</v>
      </c>
      <c r="N216" s="62">
        <f t="shared" si="316"/>
        <v>1.5591030092592592E-2</v>
      </c>
      <c r="O216" s="53">
        <f t="shared" si="317"/>
        <v>78</v>
      </c>
      <c r="P216" s="53">
        <f t="shared" si="318"/>
        <v>125</v>
      </c>
      <c r="Q216" s="53">
        <f t="shared" si="319"/>
        <v>110</v>
      </c>
      <c r="R216" s="53">
        <f t="shared" si="320"/>
        <v>114</v>
      </c>
      <c r="S216" s="53">
        <f t="shared" si="321"/>
        <v>167</v>
      </c>
      <c r="T216" s="53" t="str">
        <f t="shared" si="322"/>
        <v/>
      </c>
      <c r="U216" s="53" t="str">
        <f t="shared" si="323"/>
        <v/>
      </c>
      <c r="V216" s="53" t="str">
        <f t="shared" si="324"/>
        <v/>
      </c>
      <c r="W216" s="53" t="str">
        <f t="shared" si="349"/>
        <v>00:04:13.1 (78)</v>
      </c>
      <c r="X216" s="53" t="str">
        <f t="shared" si="325"/>
        <v>00:04:24.5 (125)</v>
      </c>
      <c r="Y216" s="53" t="str">
        <f t="shared" si="326"/>
        <v>00:02:28.0 (110)</v>
      </c>
      <c r="Z216" s="53" t="str">
        <f t="shared" si="327"/>
        <v>00:05:12.6 (114)</v>
      </c>
      <c r="AA216" s="53" t="str">
        <f t="shared" si="328"/>
        <v>00:06:08.8 (167)</v>
      </c>
      <c r="AB216" s="53" t="str">
        <f t="shared" si="329"/>
        <v>DNS/DNF ()</v>
      </c>
      <c r="AC216" s="53" t="str">
        <f t="shared" si="330"/>
        <v>DNS/DNF ()</v>
      </c>
      <c r="AD216" s="53" t="str">
        <f t="shared" si="331"/>
        <v>DNS/DNF ()</v>
      </c>
      <c r="AE216" s="53">
        <v>37038830</v>
      </c>
      <c r="AF216" s="53">
        <v>37291913</v>
      </c>
      <c r="AG216" s="53">
        <v>32865662</v>
      </c>
      <c r="AH216" s="53">
        <v>33130178</v>
      </c>
      <c r="AI216" s="53">
        <v>40720794</v>
      </c>
      <c r="AJ216" s="53">
        <v>40868836</v>
      </c>
      <c r="AK216" s="53">
        <v>47688291</v>
      </c>
      <c r="AL216" s="53">
        <v>48000902</v>
      </c>
      <c r="AM216" s="53">
        <v>44101258</v>
      </c>
      <c r="AN216" s="53">
        <v>44470071</v>
      </c>
      <c r="AO216" s="53">
        <v>0</v>
      </c>
      <c r="AP216" s="53">
        <v>0</v>
      </c>
      <c r="AQ216" s="53">
        <v>0</v>
      </c>
      <c r="AR216" s="53">
        <v>0</v>
      </c>
      <c r="AS216" s="53">
        <v>0</v>
      </c>
      <c r="AT216" s="53">
        <v>0</v>
      </c>
      <c r="AU216" s="62">
        <f t="shared" si="332"/>
        <v>2.9292013888888887E-3</v>
      </c>
      <c r="AV216" s="62">
        <f t="shared" si="333"/>
        <v>3.0615277777777776E-3</v>
      </c>
      <c r="AW216" s="62">
        <f t="shared" si="334"/>
        <v>1.713449074074074E-3</v>
      </c>
      <c r="AX216" s="62">
        <f t="shared" si="335"/>
        <v>3.6181828703703706E-3</v>
      </c>
      <c r="AY216" s="62">
        <f t="shared" si="336"/>
        <v>4.2686689814814818E-3</v>
      </c>
      <c r="AZ216" s="62" t="str">
        <f t="shared" si="337"/>
        <v>DNS/DNF</v>
      </c>
      <c r="BA216" s="62" t="str">
        <f t="shared" si="338"/>
        <v>DNS/DNF</v>
      </c>
      <c r="BB216" s="62" t="str">
        <f t="shared" si="339"/>
        <v>DNS/DNF</v>
      </c>
      <c r="BC216" s="75">
        <f t="shared" si="340"/>
        <v>119</v>
      </c>
      <c r="BD216" s="53">
        <f t="shared" si="341"/>
        <v>312390</v>
      </c>
      <c r="BE216" s="53">
        <f t="shared" si="342"/>
        <v>260427</v>
      </c>
      <c r="BF216" s="53">
        <f t="shared" si="343"/>
        <v>151317</v>
      </c>
      <c r="BG216" s="53">
        <f t="shared" si="344"/>
        <v>317191</v>
      </c>
      <c r="BH216" s="53">
        <f t="shared" si="345"/>
        <v>351876</v>
      </c>
      <c r="BI216" s="53" t="str">
        <f t="shared" si="346"/>
        <v/>
      </c>
      <c r="BJ216" s="53" t="str">
        <f t="shared" si="347"/>
        <v/>
      </c>
      <c r="BK216" s="53" t="str">
        <f t="shared" si="348"/>
        <v/>
      </c>
    </row>
    <row r="217" spans="1:63">
      <c r="A217" s="53">
        <v>273</v>
      </c>
      <c r="B217" s="89" t="str">
        <f>IFERROR(VLOOKUP($A217,EntryList!$A$3:$N$645,2,FALSE),"")</f>
        <v>Marc Ruwiel</v>
      </c>
      <c r="C217" s="74"/>
      <c r="D217" s="53">
        <f t="shared" si="315"/>
        <v>5</v>
      </c>
      <c r="E217" s="62">
        <v>3.9425462962962956E-3</v>
      </c>
      <c r="F217" s="62">
        <v>3.2121180555555553E-3</v>
      </c>
      <c r="G217" s="62">
        <v>1.9940277777777777E-3</v>
      </c>
      <c r="H217" s="62">
        <v>3.7965046296296301E-3</v>
      </c>
      <c r="I217" s="62">
        <v>4.1478587962962962E-3</v>
      </c>
      <c r="J217" s="62"/>
      <c r="K217" s="62"/>
      <c r="L217" s="62"/>
      <c r="M217" s="62">
        <v>1.7093055555555556E-2</v>
      </c>
      <c r="N217" s="62">
        <f t="shared" si="316"/>
        <v>1.7093055555555556E-2</v>
      </c>
      <c r="O217" s="53">
        <f t="shared" si="317"/>
        <v>130</v>
      </c>
      <c r="P217" s="53">
        <f t="shared" si="318"/>
        <v>167</v>
      </c>
      <c r="Q217" s="53">
        <f t="shared" si="319"/>
        <v>199</v>
      </c>
      <c r="R217" s="53">
        <f t="shared" si="320"/>
        <v>127</v>
      </c>
      <c r="S217" s="53">
        <f t="shared" si="321"/>
        <v>142</v>
      </c>
      <c r="T217" s="53" t="str">
        <f t="shared" si="322"/>
        <v/>
      </c>
      <c r="U217" s="53" t="str">
        <f t="shared" si="323"/>
        <v/>
      </c>
      <c r="V217" s="53" t="str">
        <f t="shared" si="324"/>
        <v/>
      </c>
      <c r="W217" s="53" t="str">
        <f t="shared" si="349"/>
        <v>00:05:40.6 (130)</v>
      </c>
      <c r="X217" s="53" t="str">
        <f t="shared" si="325"/>
        <v>00:04:37.5 (167)</v>
      </c>
      <c r="Y217" s="53" t="str">
        <f t="shared" si="326"/>
        <v>00:02:52.3 (199)</v>
      </c>
      <c r="Z217" s="53" t="str">
        <f t="shared" si="327"/>
        <v>00:05:28.0 (127)</v>
      </c>
      <c r="AA217" s="53" t="str">
        <f t="shared" si="328"/>
        <v>00:05:58.4 (142)</v>
      </c>
      <c r="AB217" s="53" t="str">
        <f t="shared" si="329"/>
        <v>DNS/DNF ()</v>
      </c>
      <c r="AC217" s="53" t="str">
        <f t="shared" si="330"/>
        <v>DNS/DNF ()</v>
      </c>
      <c r="AD217" s="53" t="str">
        <f t="shared" si="331"/>
        <v>DNS/DNF ()</v>
      </c>
      <c r="AE217" s="53">
        <v>37393096</v>
      </c>
      <c r="AF217" s="53">
        <v>37733732</v>
      </c>
      <c r="AG217" s="53">
        <v>33419235</v>
      </c>
      <c r="AH217" s="53">
        <v>33696762</v>
      </c>
      <c r="AI217" s="53">
        <v>40390652</v>
      </c>
      <c r="AJ217" s="53">
        <v>40562936</v>
      </c>
      <c r="AK217" s="53">
        <v>43868509</v>
      </c>
      <c r="AL217" s="53">
        <v>44196527</v>
      </c>
      <c r="AM217" s="53">
        <v>46816428</v>
      </c>
      <c r="AN217" s="53">
        <v>47174803</v>
      </c>
      <c r="AO217" s="53">
        <v>0</v>
      </c>
      <c r="AP217" s="53">
        <v>0</v>
      </c>
      <c r="AQ217" s="53">
        <v>0</v>
      </c>
      <c r="AR217" s="53">
        <v>0</v>
      </c>
      <c r="AS217" s="53">
        <v>0</v>
      </c>
      <c r="AT217" s="53">
        <v>0</v>
      </c>
      <c r="AU217" s="62">
        <f t="shared" si="332"/>
        <v>3.9425462962962964E-3</v>
      </c>
      <c r="AV217" s="62">
        <f t="shared" si="333"/>
        <v>3.2121180555555557E-3</v>
      </c>
      <c r="AW217" s="62">
        <f t="shared" si="334"/>
        <v>1.9940277777777777E-3</v>
      </c>
      <c r="AX217" s="62">
        <f t="shared" si="335"/>
        <v>3.7965046296296297E-3</v>
      </c>
      <c r="AY217" s="62">
        <f t="shared" si="336"/>
        <v>4.1478587962962962E-3</v>
      </c>
      <c r="AZ217" s="62" t="str">
        <f t="shared" si="337"/>
        <v>DNS/DNF</v>
      </c>
      <c r="BA217" s="62" t="str">
        <f t="shared" si="338"/>
        <v>DNS/DNF</v>
      </c>
      <c r="BB217" s="62" t="str">
        <f t="shared" si="339"/>
        <v>DNS/DNF</v>
      </c>
      <c r="BC217" s="75">
        <f t="shared" si="340"/>
        <v>153</v>
      </c>
      <c r="BD217" s="53" t="str">
        <f t="shared" si="341"/>
        <v/>
      </c>
      <c r="BE217" s="53">
        <f t="shared" si="342"/>
        <v>273206</v>
      </c>
      <c r="BF217" s="53">
        <f t="shared" si="343"/>
        <v>159462</v>
      </c>
      <c r="BG217" s="53" t="str">
        <f t="shared" si="344"/>
        <v/>
      </c>
      <c r="BH217" s="53">
        <f t="shared" si="345"/>
        <v>362397.99999999994</v>
      </c>
      <c r="BI217" s="53" t="str">
        <f t="shared" si="346"/>
        <v/>
      </c>
      <c r="BJ217" s="53" t="str">
        <f t="shared" si="347"/>
        <v/>
      </c>
      <c r="BK217" s="53" t="str">
        <f t="shared" si="348"/>
        <v/>
      </c>
    </row>
    <row r="218" spans="1:63">
      <c r="A218" s="53">
        <v>273</v>
      </c>
      <c r="B218" s="89" t="str">
        <f>IFERROR(VLOOKUP($A218,EntryList!$A$3:$N$645,2,FALSE),"")</f>
        <v>Marc Ruwiel</v>
      </c>
      <c r="C218" s="74"/>
      <c r="D218" s="53">
        <f t="shared" si="315"/>
        <v>5</v>
      </c>
      <c r="E218" s="62">
        <v>3.9425462962962956E-3</v>
      </c>
      <c r="F218" s="62">
        <v>3.2121180555555553E-3</v>
      </c>
      <c r="G218" s="62">
        <v>1.9940277777777777E-3</v>
      </c>
      <c r="H218" s="62">
        <v>3.7965046296296301E-3</v>
      </c>
      <c r="I218" s="62">
        <v>4.1478587962962962E-3</v>
      </c>
      <c r="J218" s="62"/>
      <c r="K218" s="62"/>
      <c r="L218" s="62"/>
      <c r="M218" s="62">
        <v>1.7093055555555556E-2</v>
      </c>
      <c r="N218" s="62">
        <f t="shared" si="316"/>
        <v>1.7093055555555556E-2</v>
      </c>
      <c r="O218" s="53">
        <f t="shared" si="317"/>
        <v>130</v>
      </c>
      <c r="P218" s="53">
        <f t="shared" si="318"/>
        <v>167</v>
      </c>
      <c r="Q218" s="53">
        <f t="shared" si="319"/>
        <v>199</v>
      </c>
      <c r="R218" s="53">
        <f t="shared" si="320"/>
        <v>127</v>
      </c>
      <c r="S218" s="53">
        <f t="shared" si="321"/>
        <v>142</v>
      </c>
      <c r="T218" s="53" t="str">
        <f t="shared" si="322"/>
        <v/>
      </c>
      <c r="U218" s="53" t="str">
        <f t="shared" si="323"/>
        <v/>
      </c>
      <c r="V218" s="53" t="str">
        <f t="shared" si="324"/>
        <v/>
      </c>
      <c r="W218" s="53" t="str">
        <f t="shared" si="349"/>
        <v>00:05:40.6 (130)</v>
      </c>
      <c r="X218" s="53" t="str">
        <f t="shared" si="325"/>
        <v>00:04:37.5 (167)</v>
      </c>
      <c r="Y218" s="53" t="str">
        <f t="shared" si="326"/>
        <v>00:02:52.3 (199)</v>
      </c>
      <c r="Z218" s="53" t="str">
        <f t="shared" si="327"/>
        <v>00:05:28.0 (127)</v>
      </c>
      <c r="AA218" s="53" t="str">
        <f t="shared" si="328"/>
        <v>00:05:58.4 (142)</v>
      </c>
      <c r="AB218" s="53" t="str">
        <f t="shared" si="329"/>
        <v>DNS/DNF ()</v>
      </c>
      <c r="AC218" s="53" t="str">
        <f t="shared" si="330"/>
        <v>DNS/DNF ()</v>
      </c>
      <c r="AD218" s="53" t="str">
        <f t="shared" si="331"/>
        <v>DNS/DNF ()</v>
      </c>
      <c r="AE218" s="53">
        <v>37393096</v>
      </c>
      <c r="AF218" s="53">
        <v>37733732</v>
      </c>
      <c r="AG218" s="53">
        <v>33419235</v>
      </c>
      <c r="AH218" s="53">
        <v>33696762</v>
      </c>
      <c r="AI218" s="53">
        <v>40390652</v>
      </c>
      <c r="AJ218" s="53">
        <v>40562936</v>
      </c>
      <c r="AK218" s="53">
        <v>43868509</v>
      </c>
      <c r="AL218" s="53">
        <v>44196527</v>
      </c>
      <c r="AM218" s="53">
        <v>46816428</v>
      </c>
      <c r="AN218" s="53">
        <v>47174803</v>
      </c>
      <c r="AO218" s="53">
        <v>0</v>
      </c>
      <c r="AP218" s="53">
        <v>0</v>
      </c>
      <c r="AQ218" s="53">
        <v>0</v>
      </c>
      <c r="AR218" s="53">
        <v>0</v>
      </c>
      <c r="AS218" s="53">
        <v>0</v>
      </c>
      <c r="AT218" s="53">
        <v>0</v>
      </c>
      <c r="AU218" s="62">
        <f t="shared" si="332"/>
        <v>3.9425462962962964E-3</v>
      </c>
      <c r="AV218" s="62">
        <f t="shared" si="333"/>
        <v>3.2121180555555557E-3</v>
      </c>
      <c r="AW218" s="62">
        <f t="shared" si="334"/>
        <v>1.9940277777777777E-3</v>
      </c>
      <c r="AX218" s="62">
        <f t="shared" si="335"/>
        <v>3.7965046296296297E-3</v>
      </c>
      <c r="AY218" s="62">
        <f t="shared" si="336"/>
        <v>4.1478587962962962E-3</v>
      </c>
      <c r="AZ218" s="62" t="str">
        <f t="shared" si="337"/>
        <v>DNS/DNF</v>
      </c>
      <c r="BA218" s="62" t="str">
        <f t="shared" si="338"/>
        <v>DNS/DNF</v>
      </c>
      <c r="BB218" s="62" t="str">
        <f t="shared" si="339"/>
        <v>DNS/DNF</v>
      </c>
      <c r="BC218" s="75">
        <f t="shared" si="340"/>
        <v>153</v>
      </c>
      <c r="BD218" s="53" t="str">
        <f t="shared" si="341"/>
        <v/>
      </c>
      <c r="BE218" s="53">
        <f t="shared" si="342"/>
        <v>273206</v>
      </c>
      <c r="BF218" s="53">
        <f t="shared" si="343"/>
        <v>159462</v>
      </c>
      <c r="BG218" s="53" t="str">
        <f t="shared" si="344"/>
        <v/>
      </c>
      <c r="BH218" s="53">
        <f t="shared" si="345"/>
        <v>362397.99999999994</v>
      </c>
      <c r="BI218" s="53" t="str">
        <f t="shared" si="346"/>
        <v/>
      </c>
      <c r="BJ218" s="53" t="str">
        <f t="shared" si="347"/>
        <v/>
      </c>
      <c r="BK218" s="53" t="str">
        <f t="shared" si="348"/>
        <v/>
      </c>
    </row>
    <row r="219" spans="1:63">
      <c r="A219" s="53">
        <v>88</v>
      </c>
      <c r="B219" s="89" t="str">
        <f>IFERROR(VLOOKUP($A219,EntryList!$A$3:$N$645,2,FALSE),"")</f>
        <v>John Dalton</v>
      </c>
      <c r="C219" s="74"/>
      <c r="D219" s="53">
        <f t="shared" si="315"/>
        <v>5</v>
      </c>
      <c r="E219" s="62">
        <v>3.2795486111111111E-3</v>
      </c>
      <c r="F219" s="62">
        <v>3.3200578703703708E-3</v>
      </c>
      <c r="G219" s="62">
        <v>1.8340509259259263E-3</v>
      </c>
      <c r="H219" s="62">
        <v>3.4321990740740741E-3</v>
      </c>
      <c r="I219" s="62">
        <v>4.0905092592592599E-3</v>
      </c>
      <c r="J219" s="62"/>
      <c r="K219" s="62"/>
      <c r="L219" s="62"/>
      <c r="M219" s="62">
        <v>1.595636574074074E-2</v>
      </c>
      <c r="N219" s="62">
        <f t="shared" si="316"/>
        <v>1.595636574074074E-2</v>
      </c>
      <c r="O219" s="53">
        <f t="shared" si="317"/>
        <v>104</v>
      </c>
      <c r="P219" s="53">
        <f t="shared" si="318"/>
        <v>196</v>
      </c>
      <c r="Q219" s="53">
        <f t="shared" si="319"/>
        <v>148</v>
      </c>
      <c r="R219" s="53">
        <f t="shared" si="320"/>
        <v>96</v>
      </c>
      <c r="S219" s="53">
        <f t="shared" si="321"/>
        <v>126</v>
      </c>
      <c r="T219" s="53" t="str">
        <f t="shared" si="322"/>
        <v/>
      </c>
      <c r="U219" s="53" t="str">
        <f t="shared" si="323"/>
        <v/>
      </c>
      <c r="V219" s="53" t="str">
        <f t="shared" si="324"/>
        <v/>
      </c>
      <c r="W219" s="53" t="str">
        <f t="shared" si="349"/>
        <v>00:04:43.4 (104)</v>
      </c>
      <c r="X219" s="53" t="str">
        <f t="shared" si="325"/>
        <v>00:04:46.9 (196)</v>
      </c>
      <c r="Y219" s="53" t="str">
        <f t="shared" si="326"/>
        <v>00:02:38.5 (148)</v>
      </c>
      <c r="Z219" s="53" t="str">
        <f t="shared" si="327"/>
        <v>00:04:56.5 (96)</v>
      </c>
      <c r="AA219" s="53" t="str">
        <f t="shared" si="328"/>
        <v>00:05:53.4 (126)</v>
      </c>
      <c r="AB219" s="53" t="str">
        <f t="shared" si="329"/>
        <v>DNS/DNF ()</v>
      </c>
      <c r="AC219" s="53" t="str">
        <f t="shared" si="330"/>
        <v>DNS/DNF ()</v>
      </c>
      <c r="AD219" s="53" t="str">
        <f t="shared" si="331"/>
        <v>DNS/DNF ()</v>
      </c>
      <c r="AE219" s="53">
        <v>32908215</v>
      </c>
      <c r="AF219" s="53">
        <v>33191568</v>
      </c>
      <c r="AG219" s="53">
        <v>37091003</v>
      </c>
      <c r="AH219" s="53">
        <v>37377856</v>
      </c>
      <c r="AI219" s="53">
        <v>41343074</v>
      </c>
      <c r="AJ219" s="53">
        <v>41501536</v>
      </c>
      <c r="AK219" s="53">
        <v>45329014</v>
      </c>
      <c r="AL219" s="53">
        <v>45625556</v>
      </c>
      <c r="AM219" s="53">
        <v>48169498</v>
      </c>
      <c r="AN219" s="53">
        <v>48522918</v>
      </c>
      <c r="AO219" s="53">
        <v>0</v>
      </c>
      <c r="AP219" s="53">
        <v>0</v>
      </c>
      <c r="AQ219" s="53">
        <v>0</v>
      </c>
      <c r="AR219" s="53">
        <v>0</v>
      </c>
      <c r="AS219" s="53">
        <v>0</v>
      </c>
      <c r="AT219" s="53">
        <v>0</v>
      </c>
      <c r="AU219" s="62">
        <f t="shared" si="332"/>
        <v>3.2795486111111111E-3</v>
      </c>
      <c r="AV219" s="62">
        <f t="shared" si="333"/>
        <v>3.3200578703703704E-3</v>
      </c>
      <c r="AW219" s="62">
        <f t="shared" si="334"/>
        <v>1.8340509259259258E-3</v>
      </c>
      <c r="AX219" s="62">
        <f t="shared" si="335"/>
        <v>3.4321990740740741E-3</v>
      </c>
      <c r="AY219" s="62">
        <f t="shared" si="336"/>
        <v>4.090509259259259E-3</v>
      </c>
      <c r="AZ219" s="62" t="str">
        <f t="shared" si="337"/>
        <v>DNS/DNF</v>
      </c>
      <c r="BA219" s="62" t="str">
        <f t="shared" si="338"/>
        <v>DNS/DNF</v>
      </c>
      <c r="BB219" s="62" t="str">
        <f t="shared" si="339"/>
        <v>DNS/DNF</v>
      </c>
      <c r="BC219" s="75">
        <f t="shared" si="340"/>
        <v>134</v>
      </c>
      <c r="BD219" s="53">
        <f t="shared" si="341"/>
        <v>352391</v>
      </c>
      <c r="BE219" s="53">
        <f t="shared" si="342"/>
        <v>266933</v>
      </c>
      <c r="BF219" s="53">
        <f t="shared" si="343"/>
        <v>154060</v>
      </c>
      <c r="BG219" s="53">
        <f t="shared" si="344"/>
        <v>340127</v>
      </c>
      <c r="BH219" s="53">
        <f t="shared" si="345"/>
        <v>356411</v>
      </c>
      <c r="BI219" s="53" t="str">
        <f t="shared" si="346"/>
        <v/>
      </c>
      <c r="BJ219" s="53" t="str">
        <f t="shared" si="347"/>
        <v/>
      </c>
      <c r="BK219" s="53" t="str">
        <f t="shared" si="348"/>
        <v/>
      </c>
    </row>
    <row r="220" spans="1:63">
      <c r="A220" s="53">
        <v>90</v>
      </c>
      <c r="B220" s="89" t="str">
        <f>IFERROR(VLOOKUP($A220,EntryList!$A$3:$N$645,2,FALSE),"")</f>
        <v>Jedri Visser</v>
      </c>
      <c r="C220" s="74"/>
      <c r="D220" s="53">
        <f t="shared" si="315"/>
        <v>5</v>
      </c>
      <c r="E220" s="62">
        <v>4.0084143518518515E-3</v>
      </c>
      <c r="F220" s="62">
        <v>3.6034953703703702E-3</v>
      </c>
      <c r="G220" s="62">
        <v>2.1162500000000001E-3</v>
      </c>
      <c r="H220" s="62">
        <v>3.8717592592592588E-3</v>
      </c>
      <c r="I220" s="62">
        <v>4.3696180555555554E-3</v>
      </c>
      <c r="J220" s="62"/>
      <c r="K220" s="62"/>
      <c r="L220" s="62"/>
      <c r="M220" s="62">
        <v>1.7969537037037037E-2</v>
      </c>
      <c r="N220" s="62">
        <f t="shared" si="316"/>
        <v>1.7969537037037034E-2</v>
      </c>
      <c r="O220" s="53">
        <f t="shared" si="317"/>
        <v>133</v>
      </c>
      <c r="P220" s="53">
        <f t="shared" si="318"/>
        <v>222</v>
      </c>
      <c r="Q220" s="53">
        <f t="shared" si="319"/>
        <v>221</v>
      </c>
      <c r="R220" s="53">
        <f t="shared" si="320"/>
        <v>131</v>
      </c>
      <c r="S220" s="53">
        <f t="shared" si="321"/>
        <v>182</v>
      </c>
      <c r="T220" s="53" t="str">
        <f t="shared" si="322"/>
        <v/>
      </c>
      <c r="U220" s="53" t="str">
        <f t="shared" si="323"/>
        <v/>
      </c>
      <c r="V220" s="53" t="str">
        <f t="shared" si="324"/>
        <v/>
      </c>
      <c r="W220" s="53" t="str">
        <f t="shared" si="349"/>
        <v>00:05:46.3 (133)</v>
      </c>
      <c r="X220" s="53" t="str">
        <f t="shared" si="325"/>
        <v>00:05:11.3 (222)</v>
      </c>
      <c r="Y220" s="53" t="str">
        <f t="shared" si="326"/>
        <v>00:03:02.8 (221)</v>
      </c>
      <c r="Z220" s="53" t="str">
        <f t="shared" si="327"/>
        <v>00:05:34.5 (131)</v>
      </c>
      <c r="AA220" s="53" t="str">
        <f t="shared" si="328"/>
        <v>00:06:17.5 (182)</v>
      </c>
      <c r="AB220" s="53" t="str">
        <f t="shared" si="329"/>
        <v>DNS/DNF ()</v>
      </c>
      <c r="AC220" s="53" t="str">
        <f t="shared" si="330"/>
        <v>DNS/DNF ()</v>
      </c>
      <c r="AD220" s="53" t="str">
        <f t="shared" si="331"/>
        <v>DNS/DNF ()</v>
      </c>
      <c r="AE220" s="53">
        <v>32912108</v>
      </c>
      <c r="AF220" s="53">
        <v>33258435</v>
      </c>
      <c r="AG220" s="53">
        <v>37590697</v>
      </c>
      <c r="AH220" s="53">
        <v>37902039</v>
      </c>
      <c r="AI220" s="53">
        <v>41345964</v>
      </c>
      <c r="AJ220" s="53">
        <v>41528808</v>
      </c>
      <c r="AK220" s="53">
        <v>45336233</v>
      </c>
      <c r="AL220" s="53">
        <v>45670753</v>
      </c>
      <c r="AM220" s="53">
        <v>48175690</v>
      </c>
      <c r="AN220" s="53">
        <v>48553225</v>
      </c>
      <c r="AO220" s="53">
        <v>0</v>
      </c>
      <c r="AP220" s="53">
        <v>0</v>
      </c>
      <c r="AQ220" s="53">
        <v>0</v>
      </c>
      <c r="AR220" s="53">
        <v>0</v>
      </c>
      <c r="AS220" s="53">
        <v>0</v>
      </c>
      <c r="AT220" s="53">
        <v>0</v>
      </c>
      <c r="AU220" s="62">
        <f t="shared" si="332"/>
        <v>4.0084143518518515E-3</v>
      </c>
      <c r="AV220" s="62">
        <f t="shared" si="333"/>
        <v>3.6034953703703702E-3</v>
      </c>
      <c r="AW220" s="62">
        <f t="shared" si="334"/>
        <v>2.1162500000000001E-3</v>
      </c>
      <c r="AX220" s="62">
        <f t="shared" si="335"/>
        <v>3.8717592592592593E-3</v>
      </c>
      <c r="AY220" s="62">
        <f t="shared" si="336"/>
        <v>4.3696180555555554E-3</v>
      </c>
      <c r="AZ220" s="62" t="str">
        <f t="shared" si="337"/>
        <v>DNS/DNF</v>
      </c>
      <c r="BA220" s="62" t="str">
        <f t="shared" si="338"/>
        <v>DNS/DNF</v>
      </c>
      <c r="BB220" s="62" t="str">
        <f t="shared" si="339"/>
        <v>DNS/DNF</v>
      </c>
      <c r="BC220" s="75">
        <f t="shared" si="340"/>
        <v>178</v>
      </c>
      <c r="BD220" s="53" t="str">
        <f t="shared" si="341"/>
        <v/>
      </c>
      <c r="BE220" s="53">
        <f t="shared" si="342"/>
        <v>280302</v>
      </c>
      <c r="BF220" s="53">
        <f t="shared" si="343"/>
        <v>163483</v>
      </c>
      <c r="BG220" s="53" t="str">
        <f t="shared" si="344"/>
        <v/>
      </c>
      <c r="BH220" s="53">
        <f t="shared" si="345"/>
        <v>374902</v>
      </c>
      <c r="BI220" s="53" t="str">
        <f t="shared" si="346"/>
        <v/>
      </c>
      <c r="BJ220" s="53" t="str">
        <f t="shared" si="347"/>
        <v/>
      </c>
      <c r="BK220" s="53" t="str">
        <f t="shared" si="348"/>
        <v/>
      </c>
    </row>
    <row r="221" spans="1:63">
      <c r="A221" s="53">
        <v>9</v>
      </c>
      <c r="B221" s="89" t="str">
        <f>IFERROR(VLOOKUP($A221,EntryList!$A$3:$N$645,2,FALSE),"")</f>
        <v>Charlie Thiry</v>
      </c>
      <c r="C221" s="74"/>
      <c r="D221" s="53">
        <f t="shared" si="315"/>
        <v>5</v>
      </c>
      <c r="E221" s="62">
        <v>3.6094907407407408E-3</v>
      </c>
      <c r="F221" s="62">
        <v>3.1290046296296292E-3</v>
      </c>
      <c r="G221" s="62">
        <v>1.7739120370370372E-3</v>
      </c>
      <c r="H221" s="62">
        <v>3.4353356481481479E-3</v>
      </c>
      <c r="I221" s="62">
        <v>4.20568287037037E-3</v>
      </c>
      <c r="J221" s="62"/>
      <c r="K221" s="62"/>
      <c r="L221" s="62"/>
      <c r="M221" s="62">
        <v>1.6153425925925925E-2</v>
      </c>
      <c r="N221" s="62">
        <f t="shared" si="316"/>
        <v>1.6153425925925925E-2</v>
      </c>
      <c r="O221" s="53">
        <f t="shared" si="317"/>
        <v>117</v>
      </c>
      <c r="P221" s="53">
        <f t="shared" si="318"/>
        <v>143</v>
      </c>
      <c r="Q221" s="53">
        <f t="shared" si="319"/>
        <v>131</v>
      </c>
      <c r="R221" s="53">
        <f t="shared" si="320"/>
        <v>97</v>
      </c>
      <c r="S221" s="53">
        <f t="shared" si="321"/>
        <v>154</v>
      </c>
      <c r="T221" s="53" t="str">
        <f t="shared" si="322"/>
        <v/>
      </c>
      <c r="U221" s="53" t="str">
        <f t="shared" si="323"/>
        <v/>
      </c>
      <c r="V221" s="53" t="str">
        <f t="shared" si="324"/>
        <v/>
      </c>
      <c r="W221" s="53" t="str">
        <f t="shared" si="349"/>
        <v>00:05:11.9 (117)</v>
      </c>
      <c r="X221" s="53" t="str">
        <f t="shared" si="325"/>
        <v>00:04:30.3 (143)</v>
      </c>
      <c r="Y221" s="53" t="str">
        <f t="shared" si="326"/>
        <v>00:02:33.3 (131)</v>
      </c>
      <c r="Z221" s="53" t="str">
        <f t="shared" si="327"/>
        <v>00:04:56.8 (97)</v>
      </c>
      <c r="AA221" s="53" t="str">
        <f t="shared" si="328"/>
        <v>00:06:03.4 (154)</v>
      </c>
      <c r="AB221" s="53" t="str">
        <f t="shared" si="329"/>
        <v>DNS/DNF ()</v>
      </c>
      <c r="AC221" s="53" t="str">
        <f t="shared" si="330"/>
        <v>DNS/DNF ()</v>
      </c>
      <c r="AD221" s="53" t="str">
        <f t="shared" si="331"/>
        <v>DNS/DNF ()</v>
      </c>
      <c r="AE221" s="53">
        <v>34166192</v>
      </c>
      <c r="AF221" s="53">
        <v>34478052</v>
      </c>
      <c r="AG221" s="53">
        <v>31107947</v>
      </c>
      <c r="AH221" s="53">
        <v>31378293</v>
      </c>
      <c r="AI221" s="53">
        <v>39537510</v>
      </c>
      <c r="AJ221" s="53">
        <v>39690776</v>
      </c>
      <c r="AK221" s="53">
        <v>44810647</v>
      </c>
      <c r="AL221" s="53">
        <v>45107460</v>
      </c>
      <c r="AM221" s="53">
        <v>48088480</v>
      </c>
      <c r="AN221" s="53">
        <v>48451851</v>
      </c>
      <c r="AO221" s="53">
        <v>0</v>
      </c>
      <c r="AP221" s="53">
        <v>0</v>
      </c>
      <c r="AQ221" s="53">
        <v>0</v>
      </c>
      <c r="AR221" s="53">
        <v>0</v>
      </c>
      <c r="AS221" s="53">
        <v>0</v>
      </c>
      <c r="AT221" s="53">
        <v>0</v>
      </c>
      <c r="AU221" s="62">
        <f t="shared" si="332"/>
        <v>3.6094907407407408E-3</v>
      </c>
      <c r="AV221" s="62">
        <f t="shared" si="333"/>
        <v>3.1290046296296296E-3</v>
      </c>
      <c r="AW221" s="62">
        <f t="shared" si="334"/>
        <v>1.773912037037037E-3</v>
      </c>
      <c r="AX221" s="62">
        <f t="shared" si="335"/>
        <v>3.4353356481481483E-3</v>
      </c>
      <c r="AY221" s="62">
        <f t="shared" si="336"/>
        <v>4.20568287037037E-3</v>
      </c>
      <c r="AZ221" s="62" t="str">
        <f t="shared" si="337"/>
        <v>DNS/DNF</v>
      </c>
      <c r="BA221" s="62" t="str">
        <f t="shared" si="338"/>
        <v>DNS/DNF</v>
      </c>
      <c r="BB221" s="62" t="str">
        <f t="shared" si="339"/>
        <v>DNS/DNF</v>
      </c>
      <c r="BC221" s="75">
        <f t="shared" si="340"/>
        <v>128</v>
      </c>
      <c r="BD221" s="53" t="str">
        <f t="shared" si="341"/>
        <v/>
      </c>
      <c r="BE221" s="53">
        <f t="shared" si="342"/>
        <v>265641</v>
      </c>
      <c r="BF221" s="53">
        <f t="shared" si="343"/>
        <v>152568</v>
      </c>
      <c r="BG221" s="53" t="str">
        <f t="shared" si="344"/>
        <v/>
      </c>
      <c r="BH221" s="53">
        <f t="shared" si="345"/>
        <v>353707</v>
      </c>
      <c r="BI221" s="53" t="str">
        <f t="shared" si="346"/>
        <v/>
      </c>
      <c r="BJ221" s="53" t="str">
        <f t="shared" si="347"/>
        <v/>
      </c>
      <c r="BK221" s="53" t="str">
        <f t="shared" si="348"/>
        <v/>
      </c>
    </row>
    <row r="222" spans="1:63">
      <c r="A222" s="53">
        <v>9</v>
      </c>
      <c r="B222" s="89" t="str">
        <f>IFERROR(VLOOKUP($A222,EntryList!$A$3:$N$645,2,FALSE),"")</f>
        <v>Charlie Thiry</v>
      </c>
      <c r="C222" s="74"/>
      <c r="D222" s="53">
        <f t="shared" si="315"/>
        <v>5</v>
      </c>
      <c r="E222" s="62">
        <v>3.6094907407407408E-3</v>
      </c>
      <c r="F222" s="62">
        <v>3.1290046296296292E-3</v>
      </c>
      <c r="G222" s="62">
        <v>1.7739120370370372E-3</v>
      </c>
      <c r="H222" s="62">
        <v>3.4353356481481479E-3</v>
      </c>
      <c r="I222" s="62">
        <v>4.20568287037037E-3</v>
      </c>
      <c r="J222" s="62"/>
      <c r="K222" s="62"/>
      <c r="L222" s="62"/>
      <c r="M222" s="62">
        <v>1.6153425925925925E-2</v>
      </c>
      <c r="N222" s="62">
        <f t="shared" si="316"/>
        <v>1.6153425925925925E-2</v>
      </c>
      <c r="O222" s="53">
        <f t="shared" si="317"/>
        <v>117</v>
      </c>
      <c r="P222" s="53">
        <f t="shared" si="318"/>
        <v>143</v>
      </c>
      <c r="Q222" s="53">
        <f t="shared" si="319"/>
        <v>131</v>
      </c>
      <c r="R222" s="53">
        <f t="shared" si="320"/>
        <v>97</v>
      </c>
      <c r="S222" s="53">
        <f t="shared" si="321"/>
        <v>154</v>
      </c>
      <c r="T222" s="53" t="str">
        <f t="shared" si="322"/>
        <v/>
      </c>
      <c r="U222" s="53" t="str">
        <f t="shared" si="323"/>
        <v/>
      </c>
      <c r="V222" s="53" t="str">
        <f t="shared" si="324"/>
        <v/>
      </c>
      <c r="W222" s="53" t="str">
        <f t="shared" si="349"/>
        <v>00:05:11.9 (117)</v>
      </c>
      <c r="X222" s="53" t="str">
        <f t="shared" si="325"/>
        <v>00:04:30.3 (143)</v>
      </c>
      <c r="Y222" s="53" t="str">
        <f t="shared" si="326"/>
        <v>00:02:33.3 (131)</v>
      </c>
      <c r="Z222" s="53" t="str">
        <f t="shared" si="327"/>
        <v>00:04:56.8 (97)</v>
      </c>
      <c r="AA222" s="53" t="str">
        <f t="shared" si="328"/>
        <v>00:06:03.4 (154)</v>
      </c>
      <c r="AB222" s="53" t="str">
        <f t="shared" si="329"/>
        <v>DNS/DNF ()</v>
      </c>
      <c r="AC222" s="53" t="str">
        <f t="shared" si="330"/>
        <v>DNS/DNF ()</v>
      </c>
      <c r="AD222" s="53" t="str">
        <f t="shared" si="331"/>
        <v>DNS/DNF ()</v>
      </c>
      <c r="AE222" s="53">
        <v>34166192</v>
      </c>
      <c r="AF222" s="53">
        <v>34478052</v>
      </c>
      <c r="AG222" s="53">
        <v>31107947</v>
      </c>
      <c r="AH222" s="53">
        <v>31378293</v>
      </c>
      <c r="AI222" s="53">
        <v>39537510</v>
      </c>
      <c r="AJ222" s="53">
        <v>39690776</v>
      </c>
      <c r="AK222" s="53">
        <v>44810647</v>
      </c>
      <c r="AL222" s="53">
        <v>45107460</v>
      </c>
      <c r="AM222" s="53">
        <v>48088480</v>
      </c>
      <c r="AN222" s="53">
        <v>48451851</v>
      </c>
      <c r="AO222" s="53">
        <v>0</v>
      </c>
      <c r="AP222" s="53">
        <v>0</v>
      </c>
      <c r="AQ222" s="53">
        <v>0</v>
      </c>
      <c r="AR222" s="53">
        <v>0</v>
      </c>
      <c r="AS222" s="53">
        <v>0</v>
      </c>
      <c r="AT222" s="53">
        <v>0</v>
      </c>
      <c r="AU222" s="62">
        <f t="shared" si="332"/>
        <v>3.6094907407407408E-3</v>
      </c>
      <c r="AV222" s="62">
        <f t="shared" si="333"/>
        <v>3.1290046296296296E-3</v>
      </c>
      <c r="AW222" s="62">
        <f t="shared" si="334"/>
        <v>1.773912037037037E-3</v>
      </c>
      <c r="AX222" s="62">
        <f t="shared" si="335"/>
        <v>3.4353356481481483E-3</v>
      </c>
      <c r="AY222" s="62">
        <f t="shared" si="336"/>
        <v>4.20568287037037E-3</v>
      </c>
      <c r="AZ222" s="62" t="str">
        <f t="shared" si="337"/>
        <v>DNS/DNF</v>
      </c>
      <c r="BA222" s="62" t="str">
        <f t="shared" si="338"/>
        <v>DNS/DNF</v>
      </c>
      <c r="BB222" s="62" t="str">
        <f t="shared" si="339"/>
        <v>DNS/DNF</v>
      </c>
      <c r="BC222" s="75">
        <f t="shared" si="340"/>
        <v>128</v>
      </c>
      <c r="BD222" s="53" t="str">
        <f t="shared" si="341"/>
        <v/>
      </c>
      <c r="BE222" s="53">
        <f t="shared" si="342"/>
        <v>265641</v>
      </c>
      <c r="BF222" s="53">
        <f t="shared" si="343"/>
        <v>152568</v>
      </c>
      <c r="BG222" s="53" t="str">
        <f t="shared" si="344"/>
        <v/>
      </c>
      <c r="BH222" s="53">
        <f t="shared" si="345"/>
        <v>353707</v>
      </c>
      <c r="BI222" s="53" t="str">
        <f t="shared" si="346"/>
        <v/>
      </c>
      <c r="BJ222" s="53" t="str">
        <f t="shared" si="347"/>
        <v/>
      </c>
      <c r="BK222" s="53" t="str">
        <f t="shared" si="348"/>
        <v/>
      </c>
    </row>
    <row r="223" spans="1:63">
      <c r="A223" s="53">
        <v>158</v>
      </c>
      <c r="B223" s="89" t="str">
        <f>IFERROR(VLOOKUP($A223,EntryList!$A$3:$N$645,2,FALSE),"")</f>
        <v>Morne Share</v>
      </c>
      <c r="C223" s="74"/>
      <c r="D223" s="53">
        <f t="shared" si="315"/>
        <v>3</v>
      </c>
      <c r="E223" s="62"/>
      <c r="F223" s="62">
        <v>4.4298148148148144E-3</v>
      </c>
      <c r="G223" s="62">
        <v>3.3097222222222221E-3</v>
      </c>
      <c r="H223" s="62"/>
      <c r="I223" s="62">
        <v>5.3562499999999999E-3</v>
      </c>
      <c r="J223" s="62"/>
      <c r="K223" s="62"/>
      <c r="L223" s="62"/>
      <c r="M223" s="62">
        <v>1.3095787037037036E-2</v>
      </c>
      <c r="N223" s="62">
        <f t="shared" si="316"/>
        <v>1.3095787037037038E-2</v>
      </c>
      <c r="O223" s="53" t="str">
        <f t="shared" si="317"/>
        <v/>
      </c>
      <c r="P223" s="53">
        <f t="shared" si="318"/>
        <v>257</v>
      </c>
      <c r="Q223" s="53">
        <f t="shared" si="319"/>
        <v>257</v>
      </c>
      <c r="R223" s="53" t="str">
        <f t="shared" si="320"/>
        <v/>
      </c>
      <c r="S223" s="53">
        <f t="shared" si="321"/>
        <v>243</v>
      </c>
      <c r="T223" s="53" t="str">
        <f t="shared" si="322"/>
        <v/>
      </c>
      <c r="U223" s="53" t="str">
        <f t="shared" si="323"/>
        <v/>
      </c>
      <c r="V223" s="53" t="str">
        <f t="shared" si="324"/>
        <v/>
      </c>
      <c r="W223" s="53" t="str">
        <f t="shared" si="349"/>
        <v>DNS/DNF ()</v>
      </c>
      <c r="X223" s="53" t="str">
        <f t="shared" si="325"/>
        <v>00:06:22.7 (257)</v>
      </c>
      <c r="Y223" s="53" t="str">
        <f t="shared" si="326"/>
        <v>00:04:46.0 (257)</v>
      </c>
      <c r="Z223" s="53" t="str">
        <f t="shared" si="327"/>
        <v>DNS/DNF ()</v>
      </c>
      <c r="AA223" s="53" t="str">
        <f t="shared" si="328"/>
        <v>00:07:42.8 (243)</v>
      </c>
      <c r="AB223" s="53" t="str">
        <f t="shared" si="329"/>
        <v>DNS/DNF ()</v>
      </c>
      <c r="AC223" s="53" t="str">
        <f t="shared" si="330"/>
        <v>DNS/DNF ()</v>
      </c>
      <c r="AD223" s="53" t="str">
        <f t="shared" si="331"/>
        <v>DNS/DNF ()</v>
      </c>
      <c r="AE223" s="53">
        <v>0</v>
      </c>
      <c r="AF223" s="53">
        <v>0</v>
      </c>
      <c r="AG223" s="53">
        <v>37413074</v>
      </c>
      <c r="AH223" s="53">
        <v>37795810</v>
      </c>
      <c r="AI223" s="53">
        <v>41515124</v>
      </c>
      <c r="AJ223" s="53">
        <v>41801084</v>
      </c>
      <c r="AK223" s="53">
        <v>0</v>
      </c>
      <c r="AL223" s="53">
        <v>0</v>
      </c>
      <c r="AM223" s="53">
        <v>47870726</v>
      </c>
      <c r="AN223" s="53">
        <v>48333506</v>
      </c>
      <c r="AO223" s="53">
        <v>0</v>
      </c>
      <c r="AP223" s="53">
        <v>0</v>
      </c>
      <c r="AQ223" s="53">
        <v>0</v>
      </c>
      <c r="AR223" s="53">
        <v>0</v>
      </c>
      <c r="AS223" s="53">
        <v>0</v>
      </c>
      <c r="AT223" s="53">
        <v>0</v>
      </c>
      <c r="AU223" s="62" t="str">
        <f t="shared" si="332"/>
        <v>DNS/DNF</v>
      </c>
      <c r="AV223" s="62">
        <f t="shared" si="333"/>
        <v>4.4298148148148152E-3</v>
      </c>
      <c r="AW223" s="62">
        <f t="shared" si="334"/>
        <v>3.3097222222222221E-3</v>
      </c>
      <c r="AX223" s="62" t="str">
        <f t="shared" si="335"/>
        <v>DNS/DNF</v>
      </c>
      <c r="AY223" s="62">
        <f t="shared" si="336"/>
        <v>5.3562499999999999E-3</v>
      </c>
      <c r="AZ223" s="62" t="str">
        <f t="shared" si="337"/>
        <v>DNS/DNF</v>
      </c>
      <c r="BA223" s="62" t="str">
        <f t="shared" si="338"/>
        <v>DNS/DNF</v>
      </c>
      <c r="BB223" s="62" t="str">
        <f t="shared" si="339"/>
        <v>DNS/DNF</v>
      </c>
      <c r="BC223" s="75">
        <f t="shared" si="340"/>
        <v>252</v>
      </c>
      <c r="BD223" s="53" t="str">
        <f t="shared" si="341"/>
        <v/>
      </c>
      <c r="BE223" s="53">
        <f t="shared" si="342"/>
        <v>367400</v>
      </c>
      <c r="BF223" s="53">
        <f t="shared" si="343"/>
        <v>245350</v>
      </c>
      <c r="BG223" s="53" t="str">
        <f t="shared" si="344"/>
        <v/>
      </c>
      <c r="BH223" s="53" t="str">
        <f t="shared" si="345"/>
        <v/>
      </c>
      <c r="BI223" s="53" t="str">
        <f t="shared" si="346"/>
        <v/>
      </c>
      <c r="BJ223" s="53" t="str">
        <f t="shared" si="347"/>
        <v/>
      </c>
      <c r="BK223" s="53" t="str">
        <f t="shared" si="348"/>
        <v/>
      </c>
    </row>
    <row r="224" spans="1:63">
      <c r="A224" s="53">
        <v>47</v>
      </c>
      <c r="B224" s="89" t="str">
        <f>IFERROR(VLOOKUP($A224,EntryList!$A$3:$N$645,2,FALSE),"")</f>
        <v>Ozair Hanware</v>
      </c>
      <c r="C224" s="74"/>
      <c r="D224" s="53">
        <f t="shared" si="315"/>
        <v>3</v>
      </c>
      <c r="E224" s="62"/>
      <c r="F224" s="62">
        <v>3.7847800925925931E-3</v>
      </c>
      <c r="G224" s="62">
        <v>2.8396990740740739E-3</v>
      </c>
      <c r="H224" s="62"/>
      <c r="I224" s="62">
        <v>5.0844791666666668E-3</v>
      </c>
      <c r="J224" s="62"/>
      <c r="K224" s="62"/>
      <c r="L224" s="62"/>
      <c r="M224" s="62">
        <v>1.1708958333333333E-2</v>
      </c>
      <c r="N224" s="62">
        <f t="shared" si="316"/>
        <v>1.1708958333333333E-2</v>
      </c>
      <c r="O224" s="53" t="str">
        <f t="shared" si="317"/>
        <v/>
      </c>
      <c r="P224" s="53">
        <f t="shared" si="318"/>
        <v>236</v>
      </c>
      <c r="Q224" s="53">
        <f t="shared" si="319"/>
        <v>252</v>
      </c>
      <c r="R224" s="53" t="str">
        <f t="shared" si="320"/>
        <v/>
      </c>
      <c r="S224" s="53">
        <f t="shared" si="321"/>
        <v>234</v>
      </c>
      <c r="T224" s="53" t="str">
        <f t="shared" si="322"/>
        <v/>
      </c>
      <c r="U224" s="53" t="str">
        <f t="shared" si="323"/>
        <v/>
      </c>
      <c r="V224" s="53" t="str">
        <f t="shared" si="324"/>
        <v/>
      </c>
      <c r="W224" s="53" t="str">
        <f t="shared" si="349"/>
        <v>DNS/DNF ()</v>
      </c>
      <c r="X224" s="53" t="str">
        <f t="shared" si="325"/>
        <v>00:05:27.0 (236)</v>
      </c>
      <c r="Y224" s="53" t="str">
        <f t="shared" si="326"/>
        <v>00:04:05.3 (252)</v>
      </c>
      <c r="Z224" s="53" t="str">
        <f t="shared" si="327"/>
        <v>DNS/DNF ()</v>
      </c>
      <c r="AA224" s="53" t="str">
        <f t="shared" si="328"/>
        <v>00:07:19.3 (234)</v>
      </c>
      <c r="AB224" s="53" t="str">
        <f t="shared" si="329"/>
        <v>DNS/DNF ()</v>
      </c>
      <c r="AC224" s="53" t="str">
        <f t="shared" si="330"/>
        <v>DNS/DNF ()</v>
      </c>
      <c r="AD224" s="53" t="str">
        <f t="shared" si="331"/>
        <v>DNS/DNF ()</v>
      </c>
      <c r="AE224" s="53">
        <v>0</v>
      </c>
      <c r="AF224" s="53">
        <v>0</v>
      </c>
      <c r="AG224" s="53">
        <v>35871428</v>
      </c>
      <c r="AH224" s="53">
        <v>36198433</v>
      </c>
      <c r="AI224" s="53">
        <v>41110808</v>
      </c>
      <c r="AJ224" s="53">
        <v>41356158</v>
      </c>
      <c r="AK224" s="53">
        <v>0</v>
      </c>
      <c r="AL224" s="53">
        <v>0</v>
      </c>
      <c r="AM224" s="53">
        <v>46202858</v>
      </c>
      <c r="AN224" s="53">
        <v>46642157</v>
      </c>
      <c r="AO224" s="53">
        <v>0</v>
      </c>
      <c r="AP224" s="53">
        <v>0</v>
      </c>
      <c r="AQ224" s="53">
        <v>0</v>
      </c>
      <c r="AR224" s="53">
        <v>0</v>
      </c>
      <c r="AS224" s="53">
        <v>0</v>
      </c>
      <c r="AT224" s="53">
        <v>0</v>
      </c>
      <c r="AU224" s="62" t="str">
        <f t="shared" si="332"/>
        <v>DNS/DNF</v>
      </c>
      <c r="AV224" s="62">
        <f t="shared" si="333"/>
        <v>3.7847800925925926E-3</v>
      </c>
      <c r="AW224" s="62">
        <f t="shared" si="334"/>
        <v>2.8396990740740739E-3</v>
      </c>
      <c r="AX224" s="62" t="str">
        <f t="shared" si="335"/>
        <v>DNS/DNF</v>
      </c>
      <c r="AY224" s="62">
        <f t="shared" si="336"/>
        <v>5.0844791666666668E-3</v>
      </c>
      <c r="AZ224" s="62" t="str">
        <f t="shared" si="337"/>
        <v>DNS/DNF</v>
      </c>
      <c r="BA224" s="62" t="str">
        <f t="shared" si="338"/>
        <v>DNS/DNF</v>
      </c>
      <c r="BB224" s="62" t="str">
        <f t="shared" si="339"/>
        <v>DNS/DNF</v>
      </c>
      <c r="BC224" s="75">
        <f t="shared" si="340"/>
        <v>241</v>
      </c>
      <c r="BD224" s="53" t="str">
        <f t="shared" si="341"/>
        <v/>
      </c>
      <c r="BE224" s="53">
        <f t="shared" si="342"/>
        <v>331550</v>
      </c>
      <c r="BF224" s="53">
        <f t="shared" si="343"/>
        <v>207428.00000000003</v>
      </c>
      <c r="BG224" s="53" t="str">
        <f t="shared" si="344"/>
        <v/>
      </c>
      <c r="BH224" s="53">
        <f t="shared" si="345"/>
        <v>462029</v>
      </c>
      <c r="BI224" s="53" t="str">
        <f t="shared" si="346"/>
        <v/>
      </c>
      <c r="BJ224" s="53" t="str">
        <f t="shared" si="347"/>
        <v/>
      </c>
      <c r="BK224" s="53" t="str">
        <f t="shared" si="348"/>
        <v/>
      </c>
    </row>
    <row r="225" spans="1:63">
      <c r="A225" s="53">
        <v>48</v>
      </c>
      <c r="B225" s="89" t="str">
        <f>IFERROR(VLOOKUP($A225,EntryList!$A$3:$N$645,2,FALSE),"")</f>
        <v>Rushdie Lagardien</v>
      </c>
      <c r="C225" s="74"/>
      <c r="D225" s="53">
        <f t="shared" si="315"/>
        <v>3</v>
      </c>
      <c r="E225" s="62"/>
      <c r="F225" s="62">
        <v>4.7767245370370368E-3</v>
      </c>
      <c r="G225" s="62">
        <v>2.6357638888888889E-3</v>
      </c>
      <c r="H225" s="62"/>
      <c r="I225" s="62">
        <v>6.5429166666666656E-3</v>
      </c>
      <c r="J225" s="62"/>
      <c r="K225" s="62"/>
      <c r="L225" s="62"/>
      <c r="M225" s="62">
        <v>1.3955405092592592E-2</v>
      </c>
      <c r="N225" s="62">
        <f t="shared" si="316"/>
        <v>1.3955405092592592E-2</v>
      </c>
      <c r="O225" s="53" t="str">
        <f t="shared" si="317"/>
        <v/>
      </c>
      <c r="P225" s="53">
        <f t="shared" si="318"/>
        <v>261</v>
      </c>
      <c r="Q225" s="53">
        <f t="shared" si="319"/>
        <v>250</v>
      </c>
      <c r="R225" s="53" t="str">
        <f t="shared" si="320"/>
        <v/>
      </c>
      <c r="S225" s="53">
        <f t="shared" si="321"/>
        <v>250</v>
      </c>
      <c r="T225" s="53" t="str">
        <f t="shared" si="322"/>
        <v/>
      </c>
      <c r="U225" s="53" t="str">
        <f t="shared" si="323"/>
        <v/>
      </c>
      <c r="V225" s="53" t="str">
        <f t="shared" si="324"/>
        <v/>
      </c>
      <c r="W225" s="53" t="str">
        <f t="shared" si="349"/>
        <v>DNS/DNF ()</v>
      </c>
      <c r="X225" s="53" t="str">
        <f t="shared" si="325"/>
        <v>00:06:52.7 (261)</v>
      </c>
      <c r="Y225" s="53" t="str">
        <f t="shared" si="326"/>
        <v>00:03:47.7 (250)</v>
      </c>
      <c r="Z225" s="53" t="str">
        <f t="shared" si="327"/>
        <v>DNS/DNF ()</v>
      </c>
      <c r="AA225" s="53" t="str">
        <f t="shared" si="328"/>
        <v>00:09:25.3 (250)</v>
      </c>
      <c r="AB225" s="53" t="str">
        <f t="shared" si="329"/>
        <v>DNS/DNF ()</v>
      </c>
      <c r="AC225" s="53" t="str">
        <f t="shared" si="330"/>
        <v>DNS/DNF ()</v>
      </c>
      <c r="AD225" s="53" t="str">
        <f t="shared" si="331"/>
        <v>DNS/DNF ()</v>
      </c>
      <c r="AE225" s="53">
        <v>0</v>
      </c>
      <c r="AF225" s="53">
        <v>0</v>
      </c>
      <c r="AG225" s="53">
        <v>35680765</v>
      </c>
      <c r="AH225" s="53">
        <v>36093474</v>
      </c>
      <c r="AI225" s="53">
        <v>41096248</v>
      </c>
      <c r="AJ225" s="53">
        <v>41323978</v>
      </c>
      <c r="AK225" s="53">
        <v>0</v>
      </c>
      <c r="AL225" s="53">
        <v>0</v>
      </c>
      <c r="AM225" s="53">
        <v>46187432</v>
      </c>
      <c r="AN225" s="53">
        <v>46752740</v>
      </c>
      <c r="AO225" s="53">
        <v>0</v>
      </c>
      <c r="AP225" s="53">
        <v>0</v>
      </c>
      <c r="AQ225" s="53">
        <v>0</v>
      </c>
      <c r="AR225" s="53">
        <v>0</v>
      </c>
      <c r="AS225" s="53">
        <v>0</v>
      </c>
      <c r="AT225" s="53">
        <v>0</v>
      </c>
      <c r="AU225" s="62" t="str">
        <f t="shared" si="332"/>
        <v>DNS/DNF</v>
      </c>
      <c r="AV225" s="62">
        <f t="shared" si="333"/>
        <v>4.7767245370370368E-3</v>
      </c>
      <c r="AW225" s="62">
        <f t="shared" si="334"/>
        <v>2.6357638888888889E-3</v>
      </c>
      <c r="AX225" s="62" t="str">
        <f t="shared" si="335"/>
        <v>DNS/DNF</v>
      </c>
      <c r="AY225" s="62">
        <f t="shared" si="336"/>
        <v>6.5429166666666665E-3</v>
      </c>
      <c r="AZ225" s="62" t="str">
        <f t="shared" si="337"/>
        <v>DNS/DNF</v>
      </c>
      <c r="BA225" s="62" t="str">
        <f t="shared" si="338"/>
        <v>DNS/DNF</v>
      </c>
      <c r="BB225" s="62" t="str">
        <f t="shared" si="339"/>
        <v>DNS/DNF</v>
      </c>
      <c r="BC225" s="75">
        <f t="shared" si="340"/>
        <v>254</v>
      </c>
      <c r="BD225" s="53" t="str">
        <f t="shared" si="341"/>
        <v/>
      </c>
      <c r="BE225" s="53">
        <f t="shared" si="342"/>
        <v>372157</v>
      </c>
      <c r="BF225" s="53">
        <f t="shared" si="343"/>
        <v>271328</v>
      </c>
      <c r="BG225" s="53" t="str">
        <f t="shared" si="344"/>
        <v/>
      </c>
      <c r="BH225" s="53" t="str">
        <f t="shared" si="345"/>
        <v/>
      </c>
      <c r="BI225" s="53" t="str">
        <f t="shared" si="346"/>
        <v/>
      </c>
      <c r="BJ225" s="53" t="str">
        <f t="shared" si="347"/>
        <v/>
      </c>
      <c r="BK225" s="53" t="str">
        <f t="shared" si="348"/>
        <v/>
      </c>
    </row>
    <row r="226" spans="1:63">
      <c r="A226" s="53">
        <v>122</v>
      </c>
      <c r="B226" s="89" t="str">
        <f>IFERROR(VLOOKUP($A226,EntryList!$A$3:$N$645,2,FALSE),"")</f>
        <v>Juri De Bruyn</v>
      </c>
      <c r="C226" s="74"/>
      <c r="D226" s="53">
        <f t="shared" si="315"/>
        <v>5</v>
      </c>
      <c r="E226" s="62">
        <v>2.4843634259259259E-3</v>
      </c>
      <c r="F226" s="62">
        <v>2.5796643518518521E-3</v>
      </c>
      <c r="G226" s="62">
        <v>1.4438425925925927E-3</v>
      </c>
      <c r="H226" s="62">
        <v>2.9385416666666661E-3</v>
      </c>
      <c r="I226" s="62">
        <v>3.5108680555555553E-3</v>
      </c>
      <c r="J226" s="62"/>
      <c r="K226" s="62"/>
      <c r="L226" s="62"/>
      <c r="M226" s="62">
        <v>1.2957280092592593E-2</v>
      </c>
      <c r="N226" s="62">
        <f t="shared" si="316"/>
        <v>1.2957280092592593E-2</v>
      </c>
      <c r="O226" s="53">
        <f t="shared" si="317"/>
        <v>30</v>
      </c>
      <c r="P226" s="53">
        <f t="shared" si="318"/>
        <v>25</v>
      </c>
      <c r="Q226" s="53">
        <f t="shared" si="319"/>
        <v>24</v>
      </c>
      <c r="R226" s="53">
        <f t="shared" si="320"/>
        <v>35</v>
      </c>
      <c r="S226" s="53">
        <f t="shared" si="321"/>
        <v>22</v>
      </c>
      <c r="T226" s="53" t="str">
        <f t="shared" si="322"/>
        <v/>
      </c>
      <c r="U226" s="53" t="str">
        <f t="shared" si="323"/>
        <v/>
      </c>
      <c r="V226" s="53" t="str">
        <f t="shared" si="324"/>
        <v/>
      </c>
      <c r="W226" s="53" t="str">
        <f t="shared" si="349"/>
        <v>00:03:34.6 (30)</v>
      </c>
      <c r="X226" s="53" t="str">
        <f t="shared" si="325"/>
        <v>00:03:42.9 (25)</v>
      </c>
      <c r="Y226" s="53" t="str">
        <f t="shared" si="326"/>
        <v>00:02:04.7 (24)</v>
      </c>
      <c r="Z226" s="53" t="str">
        <f t="shared" si="327"/>
        <v>00:04:13.9 (35)</v>
      </c>
      <c r="AA226" s="53" t="str">
        <f t="shared" si="328"/>
        <v>00:05:03.3 (22)</v>
      </c>
      <c r="AB226" s="53" t="str">
        <f t="shared" si="329"/>
        <v>DNS/DNF ()</v>
      </c>
      <c r="AC226" s="53" t="str">
        <f t="shared" si="330"/>
        <v>DNS/DNF ()</v>
      </c>
      <c r="AD226" s="53" t="str">
        <f t="shared" si="331"/>
        <v>DNS/DNF ()</v>
      </c>
      <c r="AE226" s="53">
        <v>36661143</v>
      </c>
      <c r="AF226" s="53">
        <v>36875792</v>
      </c>
      <c r="AG226" s="53">
        <v>40056788</v>
      </c>
      <c r="AH226" s="53">
        <v>40279671</v>
      </c>
      <c r="AI226" s="53">
        <v>32649320</v>
      </c>
      <c r="AJ226" s="53">
        <v>32774068</v>
      </c>
      <c r="AK226" s="53">
        <v>44471268</v>
      </c>
      <c r="AL226" s="53">
        <v>44725158</v>
      </c>
      <c r="AM226" s="53">
        <v>48307346</v>
      </c>
      <c r="AN226" s="53">
        <v>48610685</v>
      </c>
      <c r="AO226" s="53">
        <v>0</v>
      </c>
      <c r="AP226" s="53">
        <v>0</v>
      </c>
      <c r="AQ226" s="53">
        <v>0</v>
      </c>
      <c r="AR226" s="53">
        <v>0</v>
      </c>
      <c r="AS226" s="53">
        <v>0</v>
      </c>
      <c r="AT226" s="53">
        <v>0</v>
      </c>
      <c r="AU226" s="62">
        <f t="shared" si="332"/>
        <v>2.4843634259259259E-3</v>
      </c>
      <c r="AV226" s="62">
        <f t="shared" si="333"/>
        <v>2.5796643518518516E-3</v>
      </c>
      <c r="AW226" s="62">
        <f t="shared" si="334"/>
        <v>1.4438425925925925E-3</v>
      </c>
      <c r="AX226" s="62">
        <f t="shared" si="335"/>
        <v>2.9385416666666666E-3</v>
      </c>
      <c r="AY226" s="62">
        <f t="shared" si="336"/>
        <v>3.5108680555555557E-3</v>
      </c>
      <c r="AZ226" s="62" t="str">
        <f t="shared" si="337"/>
        <v>DNS/DNF</v>
      </c>
      <c r="BA226" s="62" t="str">
        <f t="shared" si="338"/>
        <v>DNS/DNF</v>
      </c>
      <c r="BB226" s="62" t="str">
        <f t="shared" si="339"/>
        <v>DNS/DNF</v>
      </c>
      <c r="BC226" s="75">
        <f t="shared" si="340"/>
        <v>27</v>
      </c>
      <c r="BD226" s="53" t="str">
        <f t="shared" si="341"/>
        <v/>
      </c>
      <c r="BE226" s="53">
        <f t="shared" si="342"/>
        <v>223913</v>
      </c>
      <c r="BF226" s="53">
        <f t="shared" si="343"/>
        <v>125114.00000000001</v>
      </c>
      <c r="BG226" s="53">
        <f t="shared" si="344"/>
        <v>247790</v>
      </c>
      <c r="BH226" s="53">
        <f t="shared" si="345"/>
        <v>307321</v>
      </c>
      <c r="BI226" s="53" t="str">
        <f t="shared" si="346"/>
        <v/>
      </c>
      <c r="BJ226" s="53" t="str">
        <f t="shared" si="347"/>
        <v/>
      </c>
      <c r="BK226" s="53" t="str">
        <f t="shared" si="348"/>
        <v/>
      </c>
    </row>
    <row r="227" spans="1:63">
      <c r="A227" s="53">
        <v>122</v>
      </c>
      <c r="B227" s="89" t="str">
        <f>IFERROR(VLOOKUP($A227,EntryList!$A$3:$N$645,2,FALSE),"")</f>
        <v>Juri De Bruyn</v>
      </c>
      <c r="C227" s="74"/>
      <c r="D227" s="53">
        <f t="shared" si="315"/>
        <v>5</v>
      </c>
      <c r="E227" s="62">
        <v>2.4843634259259259E-3</v>
      </c>
      <c r="F227" s="62">
        <v>2.5796643518518521E-3</v>
      </c>
      <c r="G227" s="62">
        <v>1.4438425925925927E-3</v>
      </c>
      <c r="H227" s="62">
        <v>2.9385416666666661E-3</v>
      </c>
      <c r="I227" s="62">
        <v>3.5108680555555553E-3</v>
      </c>
      <c r="J227" s="62"/>
      <c r="K227" s="62"/>
      <c r="L227" s="62"/>
      <c r="M227" s="62">
        <v>1.2957280092592593E-2</v>
      </c>
      <c r="N227" s="62">
        <f t="shared" si="316"/>
        <v>1.2957280092592593E-2</v>
      </c>
      <c r="O227" s="53">
        <f t="shared" si="317"/>
        <v>30</v>
      </c>
      <c r="P227" s="53">
        <f t="shared" si="318"/>
        <v>25</v>
      </c>
      <c r="Q227" s="53">
        <f t="shared" si="319"/>
        <v>24</v>
      </c>
      <c r="R227" s="53">
        <f t="shared" si="320"/>
        <v>35</v>
      </c>
      <c r="S227" s="53">
        <f t="shared" si="321"/>
        <v>22</v>
      </c>
      <c r="T227" s="53" t="str">
        <f t="shared" si="322"/>
        <v/>
      </c>
      <c r="U227" s="53" t="str">
        <f t="shared" si="323"/>
        <v/>
      </c>
      <c r="V227" s="53" t="str">
        <f t="shared" si="324"/>
        <v/>
      </c>
      <c r="W227" s="53" t="str">
        <f t="shared" si="349"/>
        <v>00:03:34.6 (30)</v>
      </c>
      <c r="X227" s="53" t="str">
        <f t="shared" si="325"/>
        <v>00:03:42.9 (25)</v>
      </c>
      <c r="Y227" s="53" t="str">
        <f t="shared" si="326"/>
        <v>00:02:04.7 (24)</v>
      </c>
      <c r="Z227" s="53" t="str">
        <f t="shared" si="327"/>
        <v>00:04:13.9 (35)</v>
      </c>
      <c r="AA227" s="53" t="str">
        <f t="shared" si="328"/>
        <v>00:05:03.3 (22)</v>
      </c>
      <c r="AB227" s="53" t="str">
        <f t="shared" si="329"/>
        <v>DNS/DNF ()</v>
      </c>
      <c r="AC227" s="53" t="str">
        <f t="shared" si="330"/>
        <v>DNS/DNF ()</v>
      </c>
      <c r="AD227" s="53" t="str">
        <f t="shared" si="331"/>
        <v>DNS/DNF ()</v>
      </c>
      <c r="AE227" s="53">
        <v>36661143</v>
      </c>
      <c r="AF227" s="53">
        <v>36875792</v>
      </c>
      <c r="AG227" s="53">
        <v>40056788</v>
      </c>
      <c r="AH227" s="53">
        <v>40279671</v>
      </c>
      <c r="AI227" s="53">
        <v>32649320</v>
      </c>
      <c r="AJ227" s="53">
        <v>32774068</v>
      </c>
      <c r="AK227" s="53">
        <v>44471268</v>
      </c>
      <c r="AL227" s="53">
        <v>44725158</v>
      </c>
      <c r="AM227" s="53">
        <v>48307346</v>
      </c>
      <c r="AN227" s="53">
        <v>48610685</v>
      </c>
      <c r="AO227" s="53">
        <v>0</v>
      </c>
      <c r="AP227" s="53">
        <v>0</v>
      </c>
      <c r="AQ227" s="53">
        <v>0</v>
      </c>
      <c r="AR227" s="53">
        <v>0</v>
      </c>
      <c r="AS227" s="53">
        <v>0</v>
      </c>
      <c r="AT227" s="53">
        <v>0</v>
      </c>
      <c r="AU227" s="62">
        <f t="shared" si="332"/>
        <v>2.4843634259259259E-3</v>
      </c>
      <c r="AV227" s="62">
        <f t="shared" si="333"/>
        <v>2.5796643518518516E-3</v>
      </c>
      <c r="AW227" s="62">
        <f t="shared" si="334"/>
        <v>1.4438425925925925E-3</v>
      </c>
      <c r="AX227" s="62">
        <f t="shared" si="335"/>
        <v>2.9385416666666666E-3</v>
      </c>
      <c r="AY227" s="62">
        <f t="shared" si="336"/>
        <v>3.5108680555555557E-3</v>
      </c>
      <c r="AZ227" s="62" t="str">
        <f t="shared" si="337"/>
        <v>DNS/DNF</v>
      </c>
      <c r="BA227" s="62" t="str">
        <f t="shared" si="338"/>
        <v>DNS/DNF</v>
      </c>
      <c r="BB227" s="62" t="str">
        <f t="shared" si="339"/>
        <v>DNS/DNF</v>
      </c>
      <c r="BC227" s="75">
        <f t="shared" si="340"/>
        <v>27</v>
      </c>
      <c r="BD227" s="53" t="str">
        <f t="shared" si="341"/>
        <v/>
      </c>
      <c r="BE227" s="53">
        <f t="shared" si="342"/>
        <v>223913</v>
      </c>
      <c r="BF227" s="53">
        <f t="shared" si="343"/>
        <v>125114.00000000001</v>
      </c>
      <c r="BG227" s="53">
        <f t="shared" si="344"/>
        <v>247790</v>
      </c>
      <c r="BH227" s="53">
        <f t="shared" si="345"/>
        <v>307321</v>
      </c>
      <c r="BI227" s="53" t="str">
        <f t="shared" si="346"/>
        <v/>
      </c>
      <c r="BJ227" s="53" t="str">
        <f t="shared" si="347"/>
        <v/>
      </c>
      <c r="BK227" s="53" t="str">
        <f t="shared" si="348"/>
        <v/>
      </c>
    </row>
    <row r="228" spans="1:63">
      <c r="A228" s="53">
        <v>160</v>
      </c>
      <c r="B228" s="89" t="str">
        <f>IFERROR(VLOOKUP($A228,EntryList!$A$3:$N$645,2,FALSE),"")</f>
        <v>Francois Van Schalkwyk</v>
      </c>
      <c r="C228" s="74"/>
      <c r="D228" s="53">
        <f t="shared" si="315"/>
        <v>5</v>
      </c>
      <c r="E228" s="62">
        <v>2.5472916666666669E-3</v>
      </c>
      <c r="F228" s="62">
        <v>2.6455324074074072E-3</v>
      </c>
      <c r="G228" s="62">
        <v>1.6268749999999998E-3</v>
      </c>
      <c r="H228" s="62">
        <v>2.8485416666666663E-3</v>
      </c>
      <c r="I228" s="62">
        <v>3.652650462962963E-3</v>
      </c>
      <c r="J228" s="62"/>
      <c r="K228" s="62"/>
      <c r="L228" s="62"/>
      <c r="M228" s="62">
        <v>1.3320891203703706E-2</v>
      </c>
      <c r="N228" s="62">
        <f t="shared" si="316"/>
        <v>1.3320891203703705E-2</v>
      </c>
      <c r="O228" s="53">
        <f t="shared" si="317"/>
        <v>37</v>
      </c>
      <c r="P228" s="53">
        <f t="shared" si="318"/>
        <v>34</v>
      </c>
      <c r="Q228" s="53">
        <f t="shared" si="319"/>
        <v>82</v>
      </c>
      <c r="R228" s="53">
        <f t="shared" si="320"/>
        <v>24</v>
      </c>
      <c r="S228" s="53">
        <f t="shared" si="321"/>
        <v>48</v>
      </c>
      <c r="T228" s="53" t="str">
        <f t="shared" si="322"/>
        <v/>
      </c>
      <c r="U228" s="53" t="str">
        <f t="shared" si="323"/>
        <v/>
      </c>
      <c r="V228" s="53" t="str">
        <f t="shared" si="324"/>
        <v/>
      </c>
      <c r="W228" s="53" t="str">
        <f t="shared" si="349"/>
        <v>00:03:40.1 (37)</v>
      </c>
      <c r="X228" s="53" t="str">
        <f t="shared" si="325"/>
        <v>00:03:48.6 (34)</v>
      </c>
      <c r="Y228" s="53" t="str">
        <f t="shared" si="326"/>
        <v>00:02:20.6 (82)</v>
      </c>
      <c r="Z228" s="53" t="str">
        <f t="shared" si="327"/>
        <v>00:04:06.1 (24)</v>
      </c>
      <c r="AA228" s="53" t="str">
        <f t="shared" si="328"/>
        <v>00:05:15.6 (48)</v>
      </c>
      <c r="AB228" s="53" t="str">
        <f t="shared" si="329"/>
        <v>DNS/DNF ()</v>
      </c>
      <c r="AC228" s="53" t="str">
        <f t="shared" si="330"/>
        <v>DNS/DNF ()</v>
      </c>
      <c r="AD228" s="53" t="str">
        <f t="shared" si="331"/>
        <v>DNS/DNF ()</v>
      </c>
      <c r="AE228" s="53">
        <v>36693521</v>
      </c>
      <c r="AF228" s="53">
        <v>36913607</v>
      </c>
      <c r="AG228" s="53">
        <v>40091324</v>
      </c>
      <c r="AH228" s="53">
        <v>40319898</v>
      </c>
      <c r="AI228" s="53">
        <v>32673352</v>
      </c>
      <c r="AJ228" s="53">
        <v>32813914</v>
      </c>
      <c r="AK228" s="53">
        <v>44497136</v>
      </c>
      <c r="AL228" s="53">
        <v>44743250</v>
      </c>
      <c r="AM228" s="53">
        <v>48346124</v>
      </c>
      <c r="AN228" s="53">
        <v>48661713</v>
      </c>
      <c r="AO228" s="53">
        <v>0</v>
      </c>
      <c r="AP228" s="53">
        <v>0</v>
      </c>
      <c r="AQ228" s="53">
        <v>0</v>
      </c>
      <c r="AR228" s="53">
        <v>0</v>
      </c>
      <c r="AS228" s="53">
        <v>0</v>
      </c>
      <c r="AT228" s="53">
        <v>0</v>
      </c>
      <c r="AU228" s="62">
        <f t="shared" si="332"/>
        <v>2.5472916666666665E-3</v>
      </c>
      <c r="AV228" s="62">
        <f t="shared" si="333"/>
        <v>2.6455324074074072E-3</v>
      </c>
      <c r="AW228" s="62">
        <f t="shared" si="334"/>
        <v>1.6268750000000001E-3</v>
      </c>
      <c r="AX228" s="62">
        <f t="shared" si="335"/>
        <v>2.8485416666666668E-3</v>
      </c>
      <c r="AY228" s="62">
        <f t="shared" si="336"/>
        <v>3.652650462962963E-3</v>
      </c>
      <c r="AZ228" s="62" t="str">
        <f t="shared" si="337"/>
        <v>DNS/DNF</v>
      </c>
      <c r="BA228" s="62" t="str">
        <f t="shared" si="338"/>
        <v>DNS/DNF</v>
      </c>
      <c r="BB228" s="62" t="str">
        <f t="shared" si="339"/>
        <v>DNS/DNF</v>
      </c>
      <c r="BC228" s="75">
        <f t="shared" si="340"/>
        <v>45</v>
      </c>
      <c r="BD228" s="53">
        <f t="shared" si="341"/>
        <v>224733</v>
      </c>
      <c r="BE228" s="53">
        <f t="shared" si="342"/>
        <v>232737.00000000003</v>
      </c>
      <c r="BF228" s="53" t="str">
        <f t="shared" si="343"/>
        <v/>
      </c>
      <c r="BG228" s="53" t="str">
        <f t="shared" si="344"/>
        <v/>
      </c>
      <c r="BH228" s="53">
        <f t="shared" si="345"/>
        <v>315027</v>
      </c>
      <c r="BI228" s="53" t="str">
        <f t="shared" si="346"/>
        <v/>
      </c>
      <c r="BJ228" s="53" t="str">
        <f t="shared" si="347"/>
        <v/>
      </c>
      <c r="BK228" s="53" t="str">
        <f t="shared" si="348"/>
        <v/>
      </c>
    </row>
    <row r="229" spans="1:63">
      <c r="A229" s="53">
        <v>184</v>
      </c>
      <c r="B229" s="89" t="str">
        <f>IFERROR(VLOOKUP($A229,EntryList!$A$3:$N$645,2,FALSE),"")</f>
        <v>Leon Bartel</v>
      </c>
      <c r="C229" s="74"/>
      <c r="D229" s="53">
        <f t="shared" si="315"/>
        <v>5</v>
      </c>
      <c r="E229" s="62">
        <v>3.1915046296296296E-3</v>
      </c>
      <c r="F229" s="62">
        <v>2.9851041666666667E-3</v>
      </c>
      <c r="G229" s="62">
        <v>1.8312847222222222E-3</v>
      </c>
      <c r="H229" s="62">
        <v>3.4007638888888889E-3</v>
      </c>
      <c r="I229" s="62">
        <v>3.9177777777777778E-3</v>
      </c>
      <c r="J229" s="62"/>
      <c r="K229" s="62"/>
      <c r="L229" s="62"/>
      <c r="M229" s="62">
        <v>1.5326435185185184E-2</v>
      </c>
      <c r="N229" s="62">
        <f t="shared" si="316"/>
        <v>1.5326435185185186E-2</v>
      </c>
      <c r="O229" s="53">
        <f t="shared" si="317"/>
        <v>96</v>
      </c>
      <c r="P229" s="53">
        <f t="shared" si="318"/>
        <v>111</v>
      </c>
      <c r="Q229" s="53">
        <f t="shared" si="319"/>
        <v>147</v>
      </c>
      <c r="R229" s="53">
        <f t="shared" si="320"/>
        <v>91</v>
      </c>
      <c r="S229" s="53">
        <f t="shared" si="321"/>
        <v>90</v>
      </c>
      <c r="T229" s="53" t="str">
        <f t="shared" si="322"/>
        <v/>
      </c>
      <c r="U229" s="53" t="str">
        <f t="shared" si="323"/>
        <v/>
      </c>
      <c r="V229" s="53" t="str">
        <f t="shared" si="324"/>
        <v/>
      </c>
      <c r="W229" s="53" t="str">
        <f t="shared" si="349"/>
        <v>00:04:35.7 (96)</v>
      </c>
      <c r="X229" s="53" t="str">
        <f t="shared" si="325"/>
        <v>00:04:17.9 (111)</v>
      </c>
      <c r="Y229" s="53" t="str">
        <f t="shared" si="326"/>
        <v>00:02:38.2 (147)</v>
      </c>
      <c r="Z229" s="53" t="str">
        <f t="shared" si="327"/>
        <v>00:04:53.8 (91)</v>
      </c>
      <c r="AA229" s="53" t="str">
        <f t="shared" si="328"/>
        <v>00:05:38.5 (90)</v>
      </c>
      <c r="AB229" s="53" t="str">
        <f t="shared" si="329"/>
        <v>DNS/DNF ()</v>
      </c>
      <c r="AC229" s="53" t="str">
        <f t="shared" si="330"/>
        <v>DNS/DNF ()</v>
      </c>
      <c r="AD229" s="53" t="str">
        <f t="shared" si="331"/>
        <v>DNS/DNF ()</v>
      </c>
      <c r="AE229" s="53">
        <v>36707494</v>
      </c>
      <c r="AF229" s="53">
        <v>36983240</v>
      </c>
      <c r="AG229" s="53">
        <v>40164004</v>
      </c>
      <c r="AH229" s="53">
        <v>40421917</v>
      </c>
      <c r="AI229" s="53">
        <v>32683961</v>
      </c>
      <c r="AJ229" s="53">
        <v>32842184</v>
      </c>
      <c r="AK229" s="53">
        <v>44522288</v>
      </c>
      <c r="AL229" s="53">
        <v>44816114</v>
      </c>
      <c r="AM229" s="53">
        <v>48365456</v>
      </c>
      <c r="AN229" s="53">
        <v>48703952</v>
      </c>
      <c r="AO229" s="53">
        <v>0</v>
      </c>
      <c r="AP229" s="53">
        <v>0</v>
      </c>
      <c r="AQ229" s="53">
        <v>0</v>
      </c>
      <c r="AR229" s="53">
        <v>0</v>
      </c>
      <c r="AS229" s="53">
        <v>0</v>
      </c>
      <c r="AT229" s="53">
        <v>0</v>
      </c>
      <c r="AU229" s="62">
        <f t="shared" si="332"/>
        <v>3.1915046296296296E-3</v>
      </c>
      <c r="AV229" s="62">
        <f t="shared" si="333"/>
        <v>2.9851041666666667E-3</v>
      </c>
      <c r="AW229" s="62">
        <f t="shared" si="334"/>
        <v>1.8312847222222222E-3</v>
      </c>
      <c r="AX229" s="62">
        <f t="shared" si="335"/>
        <v>3.4007638888888889E-3</v>
      </c>
      <c r="AY229" s="62">
        <f t="shared" si="336"/>
        <v>3.9177777777777778E-3</v>
      </c>
      <c r="AZ229" s="62" t="str">
        <f t="shared" si="337"/>
        <v>DNS/DNF</v>
      </c>
      <c r="BA229" s="62" t="str">
        <f t="shared" si="338"/>
        <v>DNS/DNF</v>
      </c>
      <c r="BB229" s="62" t="str">
        <f t="shared" si="339"/>
        <v>DNS/DNF</v>
      </c>
      <c r="BC229" s="75">
        <f t="shared" si="340"/>
        <v>107</v>
      </c>
      <c r="BD229" s="53">
        <f t="shared" si="341"/>
        <v>288879</v>
      </c>
      <c r="BE229" s="53">
        <f t="shared" si="342"/>
        <v>256622.99999999997</v>
      </c>
      <c r="BF229" s="53">
        <f t="shared" si="343"/>
        <v>147652</v>
      </c>
      <c r="BG229" s="53">
        <f t="shared" si="344"/>
        <v>304902</v>
      </c>
      <c r="BH229" s="53">
        <f t="shared" si="345"/>
        <v>347789.99999999994</v>
      </c>
      <c r="BI229" s="53" t="str">
        <f t="shared" si="346"/>
        <v/>
      </c>
      <c r="BJ229" s="53" t="str">
        <f t="shared" si="347"/>
        <v/>
      </c>
      <c r="BK229" s="53" t="str">
        <f t="shared" si="348"/>
        <v/>
      </c>
    </row>
    <row r="230" spans="1:63">
      <c r="A230" s="53">
        <v>157</v>
      </c>
      <c r="B230" s="89" t="str">
        <f>IFERROR(VLOOKUP($A230,EntryList!$A$3:$N$645,2,FALSE),"")</f>
        <v>Xander De Bruyn</v>
      </c>
      <c r="C230" s="74"/>
      <c r="D230" s="53">
        <f t="shared" si="315"/>
        <v>4</v>
      </c>
      <c r="E230" s="62"/>
      <c r="F230" s="62">
        <v>3.1099421296296292E-3</v>
      </c>
      <c r="G230" s="62">
        <v>1.7831018518518519E-3</v>
      </c>
      <c r="H230" s="62">
        <v>3.8341435185185184E-3</v>
      </c>
      <c r="I230" s="62">
        <v>4.1675115740740743E-3</v>
      </c>
      <c r="J230" s="62"/>
      <c r="K230" s="62"/>
      <c r="L230" s="62"/>
      <c r="M230" s="62">
        <v>1.2894699074074074E-2</v>
      </c>
      <c r="N230" s="62">
        <f t="shared" si="316"/>
        <v>1.2894699074074076E-2</v>
      </c>
      <c r="O230" s="53" t="str">
        <f t="shared" si="317"/>
        <v/>
      </c>
      <c r="P230" s="53">
        <f t="shared" si="318"/>
        <v>138</v>
      </c>
      <c r="Q230" s="53">
        <f t="shared" si="319"/>
        <v>134</v>
      </c>
      <c r="R230" s="53">
        <f t="shared" si="320"/>
        <v>129</v>
      </c>
      <c r="S230" s="53">
        <f t="shared" si="321"/>
        <v>150</v>
      </c>
      <c r="T230" s="53" t="str">
        <f t="shared" si="322"/>
        <v/>
      </c>
      <c r="U230" s="53" t="str">
        <f t="shared" si="323"/>
        <v/>
      </c>
      <c r="V230" s="53" t="str">
        <f t="shared" si="324"/>
        <v/>
      </c>
      <c r="W230" s="53" t="str">
        <f t="shared" si="349"/>
        <v>DNS/DNF ()</v>
      </c>
      <c r="X230" s="53" t="str">
        <f t="shared" si="325"/>
        <v>00:04:28.7 (138)</v>
      </c>
      <c r="Y230" s="53" t="str">
        <f t="shared" si="326"/>
        <v>00:02:34.1 (134)</v>
      </c>
      <c r="Z230" s="53" t="str">
        <f t="shared" si="327"/>
        <v>00:05:31.3 (129)</v>
      </c>
      <c r="AA230" s="53" t="str">
        <f t="shared" si="328"/>
        <v>00:06:00.1 (150)</v>
      </c>
      <c r="AB230" s="53" t="str">
        <f t="shared" si="329"/>
        <v>DNS/DNF ()</v>
      </c>
      <c r="AC230" s="53" t="str">
        <f t="shared" si="330"/>
        <v>DNS/DNF ()</v>
      </c>
      <c r="AD230" s="53" t="str">
        <f t="shared" si="331"/>
        <v>DNS/DNF ()</v>
      </c>
      <c r="AE230" s="53">
        <v>0</v>
      </c>
      <c r="AF230" s="53">
        <v>0</v>
      </c>
      <c r="AG230" s="53">
        <v>40126580</v>
      </c>
      <c r="AH230" s="53">
        <v>40395279</v>
      </c>
      <c r="AI230" s="53">
        <v>32703529</v>
      </c>
      <c r="AJ230" s="53">
        <v>32857589</v>
      </c>
      <c r="AK230" s="53">
        <v>44534191</v>
      </c>
      <c r="AL230" s="53">
        <v>44865461</v>
      </c>
      <c r="AM230" s="53">
        <v>48376968</v>
      </c>
      <c r="AN230" s="53">
        <v>48737041</v>
      </c>
      <c r="AO230" s="53">
        <v>0</v>
      </c>
      <c r="AP230" s="53">
        <v>0</v>
      </c>
      <c r="AQ230" s="53">
        <v>0</v>
      </c>
      <c r="AR230" s="53">
        <v>0</v>
      </c>
      <c r="AS230" s="53">
        <v>0</v>
      </c>
      <c r="AT230" s="53">
        <v>0</v>
      </c>
      <c r="AU230" s="62" t="str">
        <f t="shared" si="332"/>
        <v>DNS/DNF</v>
      </c>
      <c r="AV230" s="62">
        <f t="shared" si="333"/>
        <v>3.1099421296296296E-3</v>
      </c>
      <c r="AW230" s="62">
        <f t="shared" si="334"/>
        <v>1.7831018518518519E-3</v>
      </c>
      <c r="AX230" s="62">
        <f t="shared" si="335"/>
        <v>3.8341435185185184E-3</v>
      </c>
      <c r="AY230" s="62">
        <f t="shared" si="336"/>
        <v>4.1675115740740743E-3</v>
      </c>
      <c r="AZ230" s="62" t="str">
        <f t="shared" si="337"/>
        <v>DNS/DNF</v>
      </c>
      <c r="BA230" s="62" t="str">
        <f t="shared" si="338"/>
        <v>DNS/DNF</v>
      </c>
      <c r="BB230" s="62" t="str">
        <f t="shared" si="339"/>
        <v>DNS/DNF</v>
      </c>
      <c r="BC230" s="75">
        <f t="shared" si="340"/>
        <v>138</v>
      </c>
      <c r="BD230" s="53">
        <f t="shared" si="341"/>
        <v>382402</v>
      </c>
      <c r="BE230" s="53">
        <f t="shared" si="342"/>
        <v>268699</v>
      </c>
      <c r="BF230" s="53" t="str">
        <f t="shared" si="343"/>
        <v/>
      </c>
      <c r="BG230" s="53">
        <f t="shared" si="344"/>
        <v>361039</v>
      </c>
      <c r="BH230" s="53">
        <f t="shared" si="345"/>
        <v>356949</v>
      </c>
      <c r="BI230" s="53" t="str">
        <f t="shared" si="346"/>
        <v/>
      </c>
      <c r="BJ230" s="53" t="str">
        <f t="shared" si="347"/>
        <v/>
      </c>
      <c r="BK230" s="53" t="str">
        <f t="shared" si="348"/>
        <v/>
      </c>
    </row>
    <row r="231" spans="1:63">
      <c r="A231" s="53">
        <v>117</v>
      </c>
      <c r="B231" s="89" t="str">
        <f>IFERROR(VLOOKUP($A231,EntryList!$A$3:$N$645,2,FALSE),"")</f>
        <v>Mario Abrahams</v>
      </c>
      <c r="C231" s="74"/>
      <c r="D231" s="53">
        <f t="shared" si="315"/>
        <v>3</v>
      </c>
      <c r="E231" s="62"/>
      <c r="F231" s="62">
        <v>3.9976620370370365E-3</v>
      </c>
      <c r="G231" s="62">
        <v>2.520925925925926E-3</v>
      </c>
      <c r="H231" s="62"/>
      <c r="I231" s="62">
        <v>5.3475578703703697E-3</v>
      </c>
      <c r="J231" s="62"/>
      <c r="K231" s="62"/>
      <c r="L231" s="62"/>
      <c r="M231" s="62">
        <v>1.1866145833333334E-2</v>
      </c>
      <c r="N231" s="62">
        <f t="shared" si="316"/>
        <v>1.1866145833333334E-2</v>
      </c>
      <c r="O231" s="53" t="str">
        <f t="shared" si="317"/>
        <v/>
      </c>
      <c r="P231" s="53">
        <f t="shared" si="318"/>
        <v>248</v>
      </c>
      <c r="Q231" s="53">
        <f t="shared" si="319"/>
        <v>249</v>
      </c>
      <c r="R231" s="53" t="str">
        <f t="shared" si="320"/>
        <v/>
      </c>
      <c r="S231" s="53">
        <f t="shared" si="321"/>
        <v>241</v>
      </c>
      <c r="T231" s="53" t="str">
        <f t="shared" si="322"/>
        <v/>
      </c>
      <c r="U231" s="53" t="str">
        <f t="shared" si="323"/>
        <v/>
      </c>
      <c r="V231" s="53" t="str">
        <f t="shared" si="324"/>
        <v/>
      </c>
      <c r="W231" s="53" t="str">
        <f t="shared" si="349"/>
        <v>DNS/DNF ()</v>
      </c>
      <c r="X231" s="53" t="str">
        <f t="shared" si="325"/>
        <v>00:05:45.4 (248)</v>
      </c>
      <c r="Y231" s="53" t="str">
        <f t="shared" si="326"/>
        <v>00:03:37.8 (249)</v>
      </c>
      <c r="Z231" s="53" t="str">
        <f t="shared" si="327"/>
        <v>DNS/DNF ()</v>
      </c>
      <c r="AA231" s="53" t="str">
        <f t="shared" si="328"/>
        <v>00:07:42.0 (241)</v>
      </c>
      <c r="AB231" s="53" t="str">
        <f t="shared" si="329"/>
        <v>DNS/DNF ()</v>
      </c>
      <c r="AC231" s="53" t="str">
        <f t="shared" si="330"/>
        <v>DNS/DNF ()</v>
      </c>
      <c r="AD231" s="53" t="str">
        <f t="shared" si="331"/>
        <v>DNS/DNF ()</v>
      </c>
      <c r="AE231" s="53">
        <v>0</v>
      </c>
      <c r="AF231" s="53">
        <v>0</v>
      </c>
      <c r="AG231" s="53">
        <v>37337780</v>
      </c>
      <c r="AH231" s="53">
        <v>37683178</v>
      </c>
      <c r="AI231" s="53">
        <v>41820750</v>
      </c>
      <c r="AJ231" s="53">
        <v>42038558</v>
      </c>
      <c r="AK231" s="53">
        <v>0</v>
      </c>
      <c r="AL231" s="53">
        <v>0</v>
      </c>
      <c r="AM231" s="53">
        <v>48600066</v>
      </c>
      <c r="AN231" s="53">
        <v>49062095</v>
      </c>
      <c r="AO231" s="53">
        <v>0</v>
      </c>
      <c r="AP231" s="53">
        <v>0</v>
      </c>
      <c r="AQ231" s="53">
        <v>0</v>
      </c>
      <c r="AR231" s="53">
        <v>0</v>
      </c>
      <c r="AS231" s="53">
        <v>0</v>
      </c>
      <c r="AT231" s="53">
        <v>0</v>
      </c>
      <c r="AU231" s="62" t="str">
        <f t="shared" si="332"/>
        <v>DNS/DNF</v>
      </c>
      <c r="AV231" s="62">
        <f t="shared" si="333"/>
        <v>3.9976620370370374E-3</v>
      </c>
      <c r="AW231" s="62">
        <f t="shared" si="334"/>
        <v>2.520925925925926E-3</v>
      </c>
      <c r="AX231" s="62" t="str">
        <f t="shared" si="335"/>
        <v>DNS/DNF</v>
      </c>
      <c r="AY231" s="62">
        <f t="shared" si="336"/>
        <v>5.3475578703703706E-3</v>
      </c>
      <c r="AZ231" s="62" t="str">
        <f t="shared" si="337"/>
        <v>DNS/DNF</v>
      </c>
      <c r="BA231" s="62" t="str">
        <f t="shared" si="338"/>
        <v>DNS/DNF</v>
      </c>
      <c r="BB231" s="62" t="str">
        <f t="shared" si="339"/>
        <v>DNS/DNF</v>
      </c>
      <c r="BC231" s="75">
        <f t="shared" si="340"/>
        <v>246</v>
      </c>
      <c r="BD231" s="53" t="str">
        <f t="shared" si="341"/>
        <v/>
      </c>
      <c r="BE231" s="53">
        <f t="shared" si="342"/>
        <v>337816</v>
      </c>
      <c r="BF231" s="53">
        <f t="shared" si="343"/>
        <v>211608</v>
      </c>
      <c r="BG231" s="53" t="str">
        <f t="shared" si="344"/>
        <v/>
      </c>
      <c r="BH231" s="53">
        <f t="shared" si="345"/>
        <v>473809</v>
      </c>
      <c r="BI231" s="53" t="str">
        <f t="shared" si="346"/>
        <v/>
      </c>
      <c r="BJ231" s="53" t="str">
        <f t="shared" si="347"/>
        <v/>
      </c>
      <c r="BK231" s="53" t="str">
        <f t="shared" si="348"/>
        <v/>
      </c>
    </row>
    <row r="232" spans="1:63">
      <c r="A232" s="53">
        <v>111</v>
      </c>
      <c r="B232" s="89" t="str">
        <f>IFERROR(VLOOKUP($A232,EntryList!$A$3:$N$645,2,FALSE),"")</f>
        <v>Brian America</v>
      </c>
      <c r="C232" s="74"/>
      <c r="D232" s="53">
        <f t="shared" si="315"/>
        <v>3</v>
      </c>
      <c r="E232" s="62"/>
      <c r="F232" s="62">
        <v>4.7542939814814817E-3</v>
      </c>
      <c r="G232" s="62">
        <v>2.4909722222222221E-3</v>
      </c>
      <c r="H232" s="62"/>
      <c r="I232" s="62">
        <v>5.1437152777777774E-3</v>
      </c>
      <c r="J232" s="62"/>
      <c r="K232" s="62"/>
      <c r="L232" s="62"/>
      <c r="M232" s="62">
        <v>1.2388981481481482E-2</v>
      </c>
      <c r="N232" s="62">
        <f t="shared" si="316"/>
        <v>1.238898148148148E-2</v>
      </c>
      <c r="O232" s="53" t="str">
        <f t="shared" si="317"/>
        <v/>
      </c>
      <c r="P232" s="53">
        <f t="shared" si="318"/>
        <v>260</v>
      </c>
      <c r="Q232" s="53">
        <f t="shared" si="319"/>
        <v>248</v>
      </c>
      <c r="R232" s="53" t="str">
        <f t="shared" si="320"/>
        <v/>
      </c>
      <c r="S232" s="53">
        <f t="shared" si="321"/>
        <v>236</v>
      </c>
      <c r="T232" s="53" t="str">
        <f t="shared" si="322"/>
        <v/>
      </c>
      <c r="U232" s="53" t="str">
        <f t="shared" si="323"/>
        <v/>
      </c>
      <c r="V232" s="53" t="str">
        <f t="shared" si="324"/>
        <v/>
      </c>
      <c r="W232" s="53" t="str">
        <f t="shared" si="349"/>
        <v>DNS/DNF ()</v>
      </c>
      <c r="X232" s="53" t="str">
        <f t="shared" si="325"/>
        <v>00:06:50.8 (260)</v>
      </c>
      <c r="Y232" s="53" t="str">
        <f t="shared" si="326"/>
        <v>00:03:35.2 (248)</v>
      </c>
      <c r="Z232" s="53" t="str">
        <f t="shared" si="327"/>
        <v>DNS/DNF ()</v>
      </c>
      <c r="AA232" s="53" t="str">
        <f t="shared" si="328"/>
        <v>00:07:24.4 (236)</v>
      </c>
      <c r="AB232" s="53" t="str">
        <f t="shared" si="329"/>
        <v>DNS/DNF ()</v>
      </c>
      <c r="AC232" s="53" t="str">
        <f t="shared" si="330"/>
        <v>DNS/DNF ()</v>
      </c>
      <c r="AD232" s="53" t="str">
        <f t="shared" si="331"/>
        <v>DNS/DNF ()</v>
      </c>
      <c r="AE232" s="53">
        <v>0</v>
      </c>
      <c r="AF232" s="53">
        <v>0</v>
      </c>
      <c r="AG232" s="53">
        <v>37343197</v>
      </c>
      <c r="AH232" s="53">
        <v>37753968</v>
      </c>
      <c r="AI232" s="53">
        <v>41832030</v>
      </c>
      <c r="AJ232" s="53">
        <v>42047250</v>
      </c>
      <c r="AK232" s="53">
        <v>0</v>
      </c>
      <c r="AL232" s="53">
        <v>0</v>
      </c>
      <c r="AM232" s="53">
        <v>48416952</v>
      </c>
      <c r="AN232" s="53">
        <v>48861369</v>
      </c>
      <c r="AO232" s="53">
        <v>0</v>
      </c>
      <c r="AP232" s="53">
        <v>0</v>
      </c>
      <c r="AQ232" s="53">
        <v>0</v>
      </c>
      <c r="AR232" s="53">
        <v>0</v>
      </c>
      <c r="AS232" s="53">
        <v>0</v>
      </c>
      <c r="AT232" s="53">
        <v>0</v>
      </c>
      <c r="AU232" s="62" t="str">
        <f t="shared" si="332"/>
        <v>DNS/DNF</v>
      </c>
      <c r="AV232" s="62">
        <f t="shared" si="333"/>
        <v>4.7542939814814817E-3</v>
      </c>
      <c r="AW232" s="62">
        <f t="shared" si="334"/>
        <v>2.4909722222222221E-3</v>
      </c>
      <c r="AX232" s="62" t="str">
        <f t="shared" si="335"/>
        <v>DNS/DNF</v>
      </c>
      <c r="AY232" s="62">
        <f t="shared" si="336"/>
        <v>5.1437152777777774E-3</v>
      </c>
      <c r="AZ232" s="62" t="str">
        <f t="shared" si="337"/>
        <v>DNS/DNF</v>
      </c>
      <c r="BA232" s="62" t="str">
        <f t="shared" si="338"/>
        <v>DNS/DNF</v>
      </c>
      <c r="BB232" s="62" t="str">
        <f t="shared" si="339"/>
        <v>DNS/DNF</v>
      </c>
      <c r="BC232" s="75">
        <f t="shared" si="340"/>
        <v>248</v>
      </c>
      <c r="BD232" s="53" t="str">
        <f t="shared" si="341"/>
        <v/>
      </c>
      <c r="BE232" s="53">
        <f t="shared" si="342"/>
        <v>345398.00000000006</v>
      </c>
      <c r="BF232" s="53">
        <f t="shared" si="343"/>
        <v>215220</v>
      </c>
      <c r="BG232" s="53" t="str">
        <f t="shared" si="344"/>
        <v/>
      </c>
      <c r="BH232" s="53">
        <f t="shared" si="345"/>
        <v>475450.99999999994</v>
      </c>
      <c r="BI232" s="53" t="str">
        <f t="shared" si="346"/>
        <v/>
      </c>
      <c r="BJ232" s="53" t="str">
        <f t="shared" si="347"/>
        <v/>
      </c>
      <c r="BK232" s="53" t="str">
        <f t="shared" si="348"/>
        <v/>
      </c>
    </row>
    <row r="233" spans="1:63">
      <c r="A233" s="53">
        <v>110</v>
      </c>
      <c r="B233" s="89" t="str">
        <f>IFERROR(VLOOKUP($A233,EntryList!$A$3:$N$645,2,FALSE),"")</f>
        <v>Carlo Stephens</v>
      </c>
      <c r="C233" s="74"/>
      <c r="D233" s="53">
        <f t="shared" ref="D233:D255" si="350">COUNT($AU233:$BB233)</f>
        <v>3</v>
      </c>
      <c r="E233" s="62"/>
      <c r="F233" s="62">
        <v>3.1112499999999999E-3</v>
      </c>
      <c r="G233" s="62">
        <v>1.8612268518518518E-3</v>
      </c>
      <c r="H233" s="62"/>
      <c r="I233" s="62">
        <v>4.0375462962962969E-3</v>
      </c>
      <c r="J233" s="62"/>
      <c r="K233" s="62"/>
      <c r="L233" s="62"/>
      <c r="M233" s="62">
        <v>9.0100231481481489E-3</v>
      </c>
      <c r="N233" s="62">
        <f t="shared" ref="N233:N255" si="351">SUM($AU233:$BB233)</f>
        <v>9.0100231481481472E-3</v>
      </c>
      <c r="O233" s="53" t="str">
        <f t="shared" ref="O233:O255" si="352">IFERROR(RANK($AU233,AU$3:AU$500,1),"")</f>
        <v/>
      </c>
      <c r="P233" s="53">
        <f t="shared" ref="P233:P255" si="353">IFERROR(RANK($AV233,AV$3:AV$500,1),"")</f>
        <v>139</v>
      </c>
      <c r="Q233" s="53">
        <f t="shared" ref="Q233:Q255" si="354">IFERROR(RANK($AW233,AW$3:AW$500,1),"")</f>
        <v>166</v>
      </c>
      <c r="R233" s="53" t="str">
        <f t="shared" ref="R233:R255" si="355">IFERROR(RANK($AX233,AX$3:AX$500,1),"")</f>
        <v/>
      </c>
      <c r="S233" s="53">
        <f t="shared" ref="S233:S255" si="356">IFERROR(RANK($AY233,AY$3:AY$500,1),"")</f>
        <v>112</v>
      </c>
      <c r="T233" s="53" t="str">
        <f t="shared" ref="T233:T255" si="357">IFERROR(RANK($AZ233,AZ$3:AZ$500,1),"")</f>
        <v/>
      </c>
      <c r="U233" s="53" t="str">
        <f t="shared" ref="U233:U255" si="358">IFERROR(RANK($BA233,BA$3:BA$500,1),"")</f>
        <v/>
      </c>
      <c r="V233" s="53" t="str">
        <f t="shared" ref="V233:V255" si="359">IFERROR(RANK($BB233,BB$3:BB$500,1),"")</f>
        <v/>
      </c>
      <c r="W233" s="53" t="str">
        <f t="shared" si="349"/>
        <v>DNS/DNF ()</v>
      </c>
      <c r="X233" s="53" t="str">
        <f t="shared" ref="X233:X255" si="360">CONCATENATE(TEXT($AV233,"[hh]:mm:ss.0")," ","(",$P233,")")</f>
        <v>00:04:28.8 (139)</v>
      </c>
      <c r="Y233" s="53" t="str">
        <f t="shared" ref="Y233:Y255" si="361">CONCATENATE(TEXT($AW233,"[hh]:mm:ss.0")," ","(",$Q233,")")</f>
        <v>00:02:40.8 (166)</v>
      </c>
      <c r="Z233" s="53" t="str">
        <f t="shared" ref="Z233:Z255" si="362">CONCATENATE(TEXT($AX233,"[hh]:mm:ss.0")," ","(",$R233,")")</f>
        <v>DNS/DNF ()</v>
      </c>
      <c r="AA233" s="53" t="str">
        <f t="shared" ref="AA233:AA255" si="363">CONCATENATE(TEXT($AY233,"[hh]:mm:ss.0")," ","(",$S233,")")</f>
        <v>00:05:48.8 (112)</v>
      </c>
      <c r="AB233" s="53" t="str">
        <f t="shared" ref="AB233:AB255" si="364">CONCATENATE(TEXT($AZ233,"[hh]:mm:ss.0")," ","(",$T233,")")</f>
        <v>DNS/DNF ()</v>
      </c>
      <c r="AC233" s="53" t="str">
        <f t="shared" ref="AC233:AC255" si="365">CONCATENATE(TEXT($BA233,"[hh]:mm:ss.0")," ","(",$U233,")")</f>
        <v>DNS/DNF ()</v>
      </c>
      <c r="AD233" s="53" t="str">
        <f t="shared" ref="AD233:AD255" si="366">CONCATENATE(TEXT($BB233,"[hh]:mm:ss.0")," ","(",$V233,")")</f>
        <v>DNS/DNF ()</v>
      </c>
      <c r="AE233" s="53">
        <v>0</v>
      </c>
      <c r="AF233" s="53">
        <v>0</v>
      </c>
      <c r="AG233" s="53">
        <v>37299469</v>
      </c>
      <c r="AH233" s="53">
        <v>37568281</v>
      </c>
      <c r="AI233" s="53">
        <v>41782284</v>
      </c>
      <c r="AJ233" s="53">
        <v>41943094</v>
      </c>
      <c r="AK233" s="53">
        <v>0</v>
      </c>
      <c r="AL233" s="53">
        <v>0</v>
      </c>
      <c r="AM233" s="53">
        <v>48407828</v>
      </c>
      <c r="AN233" s="53">
        <v>48756672</v>
      </c>
      <c r="AO233" s="53">
        <v>0</v>
      </c>
      <c r="AP233" s="53">
        <v>0</v>
      </c>
      <c r="AQ233" s="53">
        <v>0</v>
      </c>
      <c r="AR233" s="53">
        <v>0</v>
      </c>
      <c r="AS233" s="53">
        <v>0</v>
      </c>
      <c r="AT233" s="53">
        <v>0</v>
      </c>
      <c r="AU233" s="62" t="str">
        <f t="shared" ref="AU233:AU255" si="367">IF((OR($AE233=0,$AF233=0,$AF233-$AE233&lt;0)),"DNS/DNF",($AF233-$AE233)/86400000)</f>
        <v>DNS/DNF</v>
      </c>
      <c r="AV233" s="62">
        <f t="shared" ref="AV233:AV255" si="368">IF((OR($AG233=0,$AH233=0,$AH233-$AG233&lt;0)),"DNS/DNF",($AH233-$AG233)/86400000)</f>
        <v>3.1112499999999999E-3</v>
      </c>
      <c r="AW233" s="62">
        <f t="shared" ref="AW233:AW255" si="369">IF((OR($AI233=0,$AJ233=0,$AJ233-$AI233&lt;0)),"DNS/DNF",($AJ233-$AI233)/86400000)</f>
        <v>1.8612268518518518E-3</v>
      </c>
      <c r="AX233" s="62" t="str">
        <f t="shared" ref="AX233:AX255" si="370">IF((OR($AK233=0,$AL233=0,$AL233-$AK233&lt;0)),"DNS/DNF",($AL233-$AK233)/86400000)</f>
        <v>DNS/DNF</v>
      </c>
      <c r="AY233" s="62">
        <f t="shared" ref="AY233:AY255" si="371">IF((OR($AM233=0,$AM233=0,$AN233-$AM233&lt;0)),"DNS/DNF",($AN233-$AM233)/86400000)</f>
        <v>4.037546296296296E-3</v>
      </c>
      <c r="AZ233" s="62" t="str">
        <f t="shared" ref="AZ233:AZ255" si="372">IF((OR($AO233=0,$AP233=0,$AP233-$AO233&lt;0)),"DNS/DNF",($AP233-$AO233)/86400000)</f>
        <v>DNS/DNF</v>
      </c>
      <c r="BA233" s="62" t="str">
        <f t="shared" ref="BA233:BA255" si="373">IF((OR($AQ233=0,$AR233=0,$AR233-$AQ233&lt;0)),"DNS/DNF",($AR233-$AQ233)/86400000)</f>
        <v>DNS/DNF</v>
      </c>
      <c r="BB233" s="62" t="str">
        <f t="shared" ref="BB233:BB255" si="374">IF((OR($AS233=0,$AT233=0,$AT233-$AS233&lt;0)),"DNS/DNF",($AT233-$AS233)/86400000)</f>
        <v>DNS/DNF</v>
      </c>
      <c r="BC233" s="75">
        <f t="shared" ref="BC233:BC255" si="375">IFERROR(ROUND(AVERAGE(O233:V233),0),"")</f>
        <v>139</v>
      </c>
      <c r="BD233" s="53">
        <f t="shared" ref="BD233:BD255" si="376">IFERROR((INDEX(($AU$3:$AU$500)*86400000,MATCH(BC233,$O$3:$O$500,0))),"")</f>
        <v>382900</v>
      </c>
      <c r="BE233" s="53">
        <f t="shared" ref="BE233:BE255" si="377">IFERROR((INDEX(($AV$3:$AV$500)*86400000,MATCH(BC233,$P$3:$P$500,0))),"")</f>
        <v>268812</v>
      </c>
      <c r="BF233" s="53">
        <f t="shared" ref="BF233:BF255" si="378">IFERROR((INDEX(($AW$3:$AW$500)*86400000,MATCH(BC233,$Q$3:$Q$500,0))),"")</f>
        <v>154764</v>
      </c>
      <c r="BG233" s="53">
        <f t="shared" ref="BG233:BG255" si="379">IFERROR((INDEX(($AX$3:$AX$500)*86400000,MATCH(BC233,$R$3:$R$500,0))),"")</f>
        <v>377798</v>
      </c>
      <c r="BH233" s="53">
        <f t="shared" ref="BH233:BH255" si="380">IFERROR((INDEX(($AY$3:$AY$500)*86400000,MATCH(BC233,$S$3:$S$500,0))),"")</f>
        <v>357086</v>
      </c>
      <c r="BI233" s="53" t="str">
        <f t="shared" ref="BI233:BI255" si="381">IFERROR((INDEX(($AZ$3:$AZ$500)*86400000,MATCH(BC233,$T$3:$T$500,0))),"")</f>
        <v/>
      </c>
      <c r="BJ233" s="53" t="str">
        <f t="shared" ref="BJ233:BJ255" si="382">IFERROR((INDEX(($BA$3:$BA$500)*86400000,MATCH(BC233,$U$3:$U$500,0))),"")</f>
        <v/>
      </c>
      <c r="BK233" s="53" t="str">
        <f t="shared" ref="BK233:BK255" si="383">IFERROR((INDEX(($BB$3:$BB$500)*86400000,MATCH(BC233,$V$3:$V$500,0))),"")</f>
        <v/>
      </c>
    </row>
    <row r="234" spans="1:63">
      <c r="A234" s="53">
        <v>42</v>
      </c>
      <c r="B234" s="89" t="str">
        <f>IFERROR(VLOOKUP($A234,EntryList!$A$3:$N$645,2,FALSE),"")</f>
        <v>Dylan Jones</v>
      </c>
      <c r="C234" s="74"/>
      <c r="D234" s="53">
        <f t="shared" si="350"/>
        <v>5</v>
      </c>
      <c r="E234" s="62">
        <v>3.3928472222222224E-3</v>
      </c>
      <c r="F234" s="62">
        <v>3.1540856481481476E-3</v>
      </c>
      <c r="G234" s="62">
        <v>1.7488773148148149E-3</v>
      </c>
      <c r="H234" s="62">
        <v>3.4536689814814812E-3</v>
      </c>
      <c r="I234" s="62">
        <v>4.4008912037037037E-3</v>
      </c>
      <c r="J234" s="62"/>
      <c r="K234" s="62"/>
      <c r="L234" s="62"/>
      <c r="M234" s="62">
        <v>1.615037037037037E-2</v>
      </c>
      <c r="N234" s="62">
        <f t="shared" si="351"/>
        <v>1.615037037037037E-2</v>
      </c>
      <c r="O234" s="53">
        <f t="shared" si="352"/>
        <v>110</v>
      </c>
      <c r="P234" s="53">
        <f t="shared" si="353"/>
        <v>149</v>
      </c>
      <c r="Q234" s="53">
        <f t="shared" si="354"/>
        <v>118</v>
      </c>
      <c r="R234" s="53">
        <f t="shared" si="355"/>
        <v>99</v>
      </c>
      <c r="S234" s="53">
        <f t="shared" si="356"/>
        <v>184</v>
      </c>
      <c r="T234" s="53" t="str">
        <f t="shared" si="357"/>
        <v/>
      </c>
      <c r="U234" s="53" t="str">
        <f t="shared" si="358"/>
        <v/>
      </c>
      <c r="V234" s="53" t="str">
        <f t="shared" si="359"/>
        <v/>
      </c>
      <c r="W234" s="53" t="str">
        <f t="shared" ref="W234:W255" si="384">CONCATENATE(TEXT($AU234,"[hh]:mm:ss.0")," ","(",$O234,")")</f>
        <v>00:04:53.1 (110)</v>
      </c>
      <c r="X234" s="53" t="str">
        <f t="shared" si="360"/>
        <v>00:04:32.5 (149)</v>
      </c>
      <c r="Y234" s="53" t="str">
        <f t="shared" si="361"/>
        <v>00:02:31.1 (118)</v>
      </c>
      <c r="Z234" s="53" t="str">
        <f t="shared" si="362"/>
        <v>00:04:58.4 (99)</v>
      </c>
      <c r="AA234" s="53" t="str">
        <f t="shared" si="363"/>
        <v>00:06:20.2 (184)</v>
      </c>
      <c r="AB234" s="53" t="str">
        <f t="shared" si="364"/>
        <v>DNS/DNF ()</v>
      </c>
      <c r="AC234" s="53" t="str">
        <f t="shared" si="365"/>
        <v>DNS/DNF ()</v>
      </c>
      <c r="AD234" s="53" t="str">
        <f t="shared" si="366"/>
        <v>DNS/DNF ()</v>
      </c>
      <c r="AE234" s="53">
        <v>33219913</v>
      </c>
      <c r="AF234" s="53">
        <v>33513055</v>
      </c>
      <c r="AG234" s="53">
        <v>39766656</v>
      </c>
      <c r="AH234" s="53">
        <v>40039169</v>
      </c>
      <c r="AI234" s="53">
        <v>36433159</v>
      </c>
      <c r="AJ234" s="53">
        <v>36584262</v>
      </c>
      <c r="AK234" s="53">
        <v>45141916</v>
      </c>
      <c r="AL234" s="53">
        <v>45440313</v>
      </c>
      <c r="AM234" s="53">
        <v>48729470</v>
      </c>
      <c r="AN234" s="53">
        <v>49109707</v>
      </c>
      <c r="AO234" s="53">
        <v>0</v>
      </c>
      <c r="AP234" s="53">
        <v>0</v>
      </c>
      <c r="AQ234" s="53">
        <v>0</v>
      </c>
      <c r="AR234" s="53">
        <v>0</v>
      </c>
      <c r="AS234" s="53">
        <v>0</v>
      </c>
      <c r="AT234" s="53">
        <v>0</v>
      </c>
      <c r="AU234" s="62">
        <f t="shared" si="367"/>
        <v>3.392847222222222E-3</v>
      </c>
      <c r="AV234" s="62">
        <f t="shared" si="368"/>
        <v>3.154085648148148E-3</v>
      </c>
      <c r="AW234" s="62">
        <f t="shared" si="369"/>
        <v>1.7488773148148149E-3</v>
      </c>
      <c r="AX234" s="62">
        <f t="shared" si="370"/>
        <v>3.4536689814814816E-3</v>
      </c>
      <c r="AY234" s="62">
        <f t="shared" si="371"/>
        <v>4.4008912037037037E-3</v>
      </c>
      <c r="AZ234" s="62" t="str">
        <f t="shared" si="372"/>
        <v>DNS/DNF</v>
      </c>
      <c r="BA234" s="62" t="str">
        <f t="shared" si="373"/>
        <v>DNS/DNF</v>
      </c>
      <c r="BB234" s="62" t="str">
        <f t="shared" si="374"/>
        <v>DNS/DNF</v>
      </c>
      <c r="BC234" s="75">
        <f t="shared" si="375"/>
        <v>132</v>
      </c>
      <c r="BD234" s="53">
        <f t="shared" si="376"/>
        <v>344708</v>
      </c>
      <c r="BE234" s="53">
        <f t="shared" si="377"/>
        <v>266646</v>
      </c>
      <c r="BF234" s="53" t="str">
        <f t="shared" si="378"/>
        <v/>
      </c>
      <c r="BG234" s="53">
        <f t="shared" si="379"/>
        <v>336323</v>
      </c>
      <c r="BH234" s="53">
        <f t="shared" si="380"/>
        <v>354621</v>
      </c>
      <c r="BI234" s="53" t="str">
        <f t="shared" si="381"/>
        <v/>
      </c>
      <c r="BJ234" s="53" t="str">
        <f t="shared" si="382"/>
        <v/>
      </c>
      <c r="BK234" s="53" t="str">
        <f t="shared" si="383"/>
        <v/>
      </c>
    </row>
    <row r="235" spans="1:63">
      <c r="A235" s="53">
        <v>162</v>
      </c>
      <c r="B235" s="89" t="str">
        <f>IFERROR(VLOOKUP($A235,EntryList!$A$3:$N$645,2,FALSE),"")</f>
        <v>Fritz Kolb</v>
      </c>
      <c r="C235" s="74"/>
      <c r="D235" s="53">
        <f t="shared" si="350"/>
        <v>5</v>
      </c>
      <c r="E235" s="62">
        <v>3.1975694444444443E-3</v>
      </c>
      <c r="F235" s="62">
        <v>3.0804745370370365E-3</v>
      </c>
      <c r="G235" s="62">
        <v>1.7082175925925926E-3</v>
      </c>
      <c r="H235" s="62">
        <v>3.405393518518519E-3</v>
      </c>
      <c r="I235" s="62">
        <v>3.9386805555555555E-3</v>
      </c>
      <c r="J235" s="62"/>
      <c r="K235" s="62"/>
      <c r="L235" s="62"/>
      <c r="M235" s="62">
        <v>1.5330335648148148E-2</v>
      </c>
      <c r="N235" s="62">
        <f t="shared" si="351"/>
        <v>1.533033564814815E-2</v>
      </c>
      <c r="O235" s="53">
        <f t="shared" si="352"/>
        <v>97</v>
      </c>
      <c r="P235" s="53">
        <f t="shared" si="353"/>
        <v>130</v>
      </c>
      <c r="Q235" s="53">
        <f t="shared" si="354"/>
        <v>106</v>
      </c>
      <c r="R235" s="53">
        <f t="shared" si="355"/>
        <v>93</v>
      </c>
      <c r="S235" s="53">
        <f t="shared" si="356"/>
        <v>93</v>
      </c>
      <c r="T235" s="53" t="str">
        <f t="shared" si="357"/>
        <v/>
      </c>
      <c r="U235" s="53" t="str">
        <f t="shared" si="358"/>
        <v/>
      </c>
      <c r="V235" s="53" t="str">
        <f t="shared" si="359"/>
        <v/>
      </c>
      <c r="W235" s="53" t="str">
        <f t="shared" si="384"/>
        <v>00:04:36.3 (97)</v>
      </c>
      <c r="X235" s="53" t="str">
        <f t="shared" si="360"/>
        <v>00:04:26.2 (130)</v>
      </c>
      <c r="Y235" s="53" t="str">
        <f t="shared" si="361"/>
        <v>00:02:27.6 (106)</v>
      </c>
      <c r="Z235" s="53" t="str">
        <f t="shared" si="362"/>
        <v>00:04:54.2 (93)</v>
      </c>
      <c r="AA235" s="53" t="str">
        <f t="shared" si="363"/>
        <v>00:05:40.3 (93)</v>
      </c>
      <c r="AB235" s="53" t="str">
        <f t="shared" si="364"/>
        <v>DNS/DNF ()</v>
      </c>
      <c r="AC235" s="53" t="str">
        <f t="shared" si="365"/>
        <v>DNS/DNF ()</v>
      </c>
      <c r="AD235" s="53" t="str">
        <f t="shared" si="366"/>
        <v>DNS/DNF ()</v>
      </c>
      <c r="AE235" s="53">
        <v>37090337</v>
      </c>
      <c r="AF235" s="53">
        <v>37366607</v>
      </c>
      <c r="AG235" s="53">
        <v>32698990</v>
      </c>
      <c r="AH235" s="53">
        <v>32965143</v>
      </c>
      <c r="AI235" s="53">
        <v>40992714</v>
      </c>
      <c r="AJ235" s="53">
        <v>41140304</v>
      </c>
      <c r="AK235" s="53">
        <v>45665629</v>
      </c>
      <c r="AL235" s="53">
        <v>45959855</v>
      </c>
      <c r="AM235" s="53">
        <v>48816690</v>
      </c>
      <c r="AN235" s="53">
        <v>49156992</v>
      </c>
      <c r="AO235" s="53">
        <v>0</v>
      </c>
      <c r="AP235" s="53">
        <v>0</v>
      </c>
      <c r="AQ235" s="53">
        <v>0</v>
      </c>
      <c r="AR235" s="53">
        <v>0</v>
      </c>
      <c r="AS235" s="53">
        <v>0</v>
      </c>
      <c r="AT235" s="53">
        <v>0</v>
      </c>
      <c r="AU235" s="62">
        <f t="shared" si="367"/>
        <v>3.1975694444444443E-3</v>
      </c>
      <c r="AV235" s="62">
        <f t="shared" si="368"/>
        <v>3.0804745370370369E-3</v>
      </c>
      <c r="AW235" s="62">
        <f t="shared" si="369"/>
        <v>1.7082175925925926E-3</v>
      </c>
      <c r="AX235" s="62">
        <f t="shared" si="370"/>
        <v>3.4053935185185185E-3</v>
      </c>
      <c r="AY235" s="62">
        <f t="shared" si="371"/>
        <v>3.9386805555555555E-3</v>
      </c>
      <c r="AZ235" s="62" t="str">
        <f t="shared" si="372"/>
        <v>DNS/DNF</v>
      </c>
      <c r="BA235" s="62" t="str">
        <f t="shared" si="373"/>
        <v>DNS/DNF</v>
      </c>
      <c r="BB235" s="62" t="str">
        <f t="shared" si="374"/>
        <v>DNS/DNF</v>
      </c>
      <c r="BC235" s="75">
        <f t="shared" si="375"/>
        <v>104</v>
      </c>
      <c r="BD235" s="53">
        <f t="shared" si="376"/>
        <v>283353</v>
      </c>
      <c r="BE235" s="53">
        <f t="shared" si="377"/>
        <v>256226</v>
      </c>
      <c r="BF235" s="53">
        <f t="shared" si="378"/>
        <v>147052</v>
      </c>
      <c r="BG235" s="53">
        <f t="shared" si="379"/>
        <v>302969</v>
      </c>
      <c r="BH235" s="53">
        <f t="shared" si="380"/>
        <v>344338</v>
      </c>
      <c r="BI235" s="53" t="str">
        <f t="shared" si="381"/>
        <v/>
      </c>
      <c r="BJ235" s="53" t="str">
        <f t="shared" si="382"/>
        <v/>
      </c>
      <c r="BK235" s="53" t="str">
        <f t="shared" si="383"/>
        <v/>
      </c>
    </row>
    <row r="236" spans="1:63">
      <c r="A236" s="53">
        <v>116</v>
      </c>
      <c r="B236" s="89" t="str">
        <f>IFERROR(VLOOKUP($A236,EntryList!$A$3:$N$645,2,FALSE),"")</f>
        <v>Dean Du Plooy</v>
      </c>
      <c r="C236" s="74"/>
      <c r="D236" s="53">
        <f t="shared" si="350"/>
        <v>3</v>
      </c>
      <c r="E236" s="62"/>
      <c r="F236" s="62">
        <v>3.7522106481481486E-3</v>
      </c>
      <c r="G236" s="62">
        <v>2.3365277777777781E-3</v>
      </c>
      <c r="H236" s="62"/>
      <c r="I236" s="62">
        <v>4.8778587962962968E-3</v>
      </c>
      <c r="J236" s="62"/>
      <c r="K236" s="62"/>
      <c r="L236" s="62"/>
      <c r="M236" s="62">
        <v>1.0966597222222221E-2</v>
      </c>
      <c r="N236" s="62">
        <f t="shared" si="351"/>
        <v>1.0966597222222221E-2</v>
      </c>
      <c r="O236" s="53" t="str">
        <f t="shared" si="352"/>
        <v/>
      </c>
      <c r="P236" s="53">
        <f t="shared" si="353"/>
        <v>233</v>
      </c>
      <c r="Q236" s="53">
        <f t="shared" si="354"/>
        <v>238</v>
      </c>
      <c r="R236" s="53" t="str">
        <f t="shared" si="355"/>
        <v/>
      </c>
      <c r="S236" s="53">
        <f t="shared" si="356"/>
        <v>226</v>
      </c>
      <c r="T236" s="53" t="str">
        <f t="shared" si="357"/>
        <v/>
      </c>
      <c r="U236" s="53" t="str">
        <f t="shared" si="358"/>
        <v/>
      </c>
      <c r="V236" s="53" t="str">
        <f t="shared" si="359"/>
        <v/>
      </c>
      <c r="W236" s="53" t="str">
        <f t="shared" si="384"/>
        <v>DNS/DNF ()</v>
      </c>
      <c r="X236" s="53" t="str">
        <f t="shared" si="360"/>
        <v>00:05:24.2 (233)</v>
      </c>
      <c r="Y236" s="53" t="str">
        <f t="shared" si="361"/>
        <v>00:03:21.9 (238)</v>
      </c>
      <c r="Z236" s="53" t="str">
        <f t="shared" si="362"/>
        <v>DNS/DNF ()</v>
      </c>
      <c r="AA236" s="53" t="str">
        <f t="shared" si="363"/>
        <v>00:07:01.4 (226)</v>
      </c>
      <c r="AB236" s="53" t="str">
        <f t="shared" si="364"/>
        <v>DNS/DNF ()</v>
      </c>
      <c r="AC236" s="53" t="str">
        <f t="shared" si="365"/>
        <v>DNS/DNF ()</v>
      </c>
      <c r="AD236" s="53" t="str">
        <f t="shared" si="366"/>
        <v>DNS/DNF ()</v>
      </c>
      <c r="AE236" s="53">
        <v>0</v>
      </c>
      <c r="AF236" s="53">
        <v>0</v>
      </c>
      <c r="AG236" s="53">
        <v>37327651</v>
      </c>
      <c r="AH236" s="53">
        <v>37651842</v>
      </c>
      <c r="AI236" s="53">
        <v>41816362</v>
      </c>
      <c r="AJ236" s="53">
        <v>42018238</v>
      </c>
      <c r="AK236" s="53">
        <v>0</v>
      </c>
      <c r="AL236" s="53">
        <v>0</v>
      </c>
      <c r="AM236" s="53">
        <v>48596138</v>
      </c>
      <c r="AN236" s="53">
        <v>49017585</v>
      </c>
      <c r="AO236" s="53">
        <v>0</v>
      </c>
      <c r="AP236" s="53">
        <v>0</v>
      </c>
      <c r="AQ236" s="53">
        <v>0</v>
      </c>
      <c r="AR236" s="53">
        <v>0</v>
      </c>
      <c r="AS236" s="53">
        <v>0</v>
      </c>
      <c r="AT236" s="53">
        <v>0</v>
      </c>
      <c r="AU236" s="62" t="str">
        <f t="shared" si="367"/>
        <v>DNS/DNF</v>
      </c>
      <c r="AV236" s="62">
        <f t="shared" si="368"/>
        <v>3.7522106481481482E-3</v>
      </c>
      <c r="AW236" s="62">
        <f t="shared" si="369"/>
        <v>2.3365277777777776E-3</v>
      </c>
      <c r="AX236" s="62" t="str">
        <f t="shared" si="370"/>
        <v>DNS/DNF</v>
      </c>
      <c r="AY236" s="62">
        <f t="shared" si="371"/>
        <v>4.8778587962962959E-3</v>
      </c>
      <c r="AZ236" s="62" t="str">
        <f t="shared" si="372"/>
        <v>DNS/DNF</v>
      </c>
      <c r="BA236" s="62" t="str">
        <f t="shared" si="373"/>
        <v>DNS/DNF</v>
      </c>
      <c r="BB236" s="62" t="str">
        <f t="shared" si="374"/>
        <v>DNS/DNF</v>
      </c>
      <c r="BC236" s="75">
        <f t="shared" si="375"/>
        <v>232</v>
      </c>
      <c r="BD236" s="53" t="str">
        <f t="shared" si="376"/>
        <v/>
      </c>
      <c r="BE236" s="53">
        <f t="shared" si="377"/>
        <v>323105</v>
      </c>
      <c r="BF236" s="53">
        <f t="shared" si="378"/>
        <v>195909.00000000003</v>
      </c>
      <c r="BG236" s="53" t="str">
        <f t="shared" si="379"/>
        <v/>
      </c>
      <c r="BH236" s="53">
        <f t="shared" si="380"/>
        <v>430202</v>
      </c>
      <c r="BI236" s="53" t="str">
        <f t="shared" si="381"/>
        <v/>
      </c>
      <c r="BJ236" s="53" t="str">
        <f t="shared" si="382"/>
        <v/>
      </c>
      <c r="BK236" s="53" t="str">
        <f t="shared" si="383"/>
        <v/>
      </c>
    </row>
    <row r="237" spans="1:63">
      <c r="A237" s="53">
        <v>109</v>
      </c>
      <c r="B237" s="89" t="str">
        <f>IFERROR(VLOOKUP($A237,EntryList!$A$3:$N$645,2,FALSE),"")</f>
        <v>Sean Stephens</v>
      </c>
      <c r="C237" s="74"/>
      <c r="D237" s="53">
        <f t="shared" si="350"/>
        <v>3</v>
      </c>
      <c r="E237" s="62"/>
      <c r="F237" s="62">
        <v>2.9846643518518516E-3</v>
      </c>
      <c r="G237" s="62">
        <v>1.7331944444444443E-3</v>
      </c>
      <c r="H237" s="62"/>
      <c r="I237" s="62">
        <v>4.0703819444444442E-3</v>
      </c>
      <c r="J237" s="62"/>
      <c r="K237" s="62"/>
      <c r="L237" s="62"/>
      <c r="M237" s="62">
        <v>8.7882407407407406E-3</v>
      </c>
      <c r="N237" s="62">
        <f t="shared" si="351"/>
        <v>8.7882407407407406E-3</v>
      </c>
      <c r="O237" s="53" t="str">
        <f t="shared" si="352"/>
        <v/>
      </c>
      <c r="P237" s="53">
        <f t="shared" si="353"/>
        <v>110</v>
      </c>
      <c r="Q237" s="53">
        <f t="shared" si="354"/>
        <v>115</v>
      </c>
      <c r="R237" s="53" t="str">
        <f t="shared" si="355"/>
        <v/>
      </c>
      <c r="S237" s="53">
        <f t="shared" si="356"/>
        <v>116</v>
      </c>
      <c r="T237" s="53" t="str">
        <f t="shared" si="357"/>
        <v/>
      </c>
      <c r="U237" s="53" t="str">
        <f t="shared" si="358"/>
        <v/>
      </c>
      <c r="V237" s="53" t="str">
        <f t="shared" si="359"/>
        <v/>
      </c>
      <c r="W237" s="53" t="str">
        <f t="shared" si="384"/>
        <v>DNS/DNF ()</v>
      </c>
      <c r="X237" s="53" t="str">
        <f t="shared" si="360"/>
        <v>00:04:17.9 (110)</v>
      </c>
      <c r="Y237" s="53" t="str">
        <f t="shared" si="361"/>
        <v>00:02:29.7 (115)</v>
      </c>
      <c r="Z237" s="53" t="str">
        <f t="shared" si="362"/>
        <v>DNS/DNF ()</v>
      </c>
      <c r="AA237" s="53" t="str">
        <f t="shared" si="363"/>
        <v>00:05:51.7 (116)</v>
      </c>
      <c r="AB237" s="53" t="str">
        <f t="shared" si="364"/>
        <v>DNS/DNF ()</v>
      </c>
      <c r="AC237" s="53" t="str">
        <f t="shared" si="365"/>
        <v>DNS/DNF ()</v>
      </c>
      <c r="AD237" s="53" t="str">
        <f t="shared" si="366"/>
        <v>DNS/DNF ()</v>
      </c>
      <c r="AE237" s="53">
        <v>0</v>
      </c>
      <c r="AF237" s="53">
        <v>0</v>
      </c>
      <c r="AG237" s="53">
        <v>37296120</v>
      </c>
      <c r="AH237" s="53">
        <v>37553995</v>
      </c>
      <c r="AI237" s="53">
        <v>41777480</v>
      </c>
      <c r="AJ237" s="53">
        <v>41927228</v>
      </c>
      <c r="AK237" s="53">
        <v>0</v>
      </c>
      <c r="AL237" s="53">
        <v>0</v>
      </c>
      <c r="AM237" s="53">
        <v>48403324</v>
      </c>
      <c r="AN237" s="53">
        <v>48755005</v>
      </c>
      <c r="AO237" s="53">
        <v>0</v>
      </c>
      <c r="AP237" s="53">
        <v>0</v>
      </c>
      <c r="AQ237" s="53">
        <v>0</v>
      </c>
      <c r="AR237" s="53">
        <v>0</v>
      </c>
      <c r="AS237" s="53">
        <v>0</v>
      </c>
      <c r="AT237" s="53">
        <v>0</v>
      </c>
      <c r="AU237" s="62" t="str">
        <f t="shared" si="367"/>
        <v>DNS/DNF</v>
      </c>
      <c r="AV237" s="62">
        <f t="shared" si="368"/>
        <v>2.9846643518518521E-3</v>
      </c>
      <c r="AW237" s="62">
        <f t="shared" si="369"/>
        <v>1.7331944444444445E-3</v>
      </c>
      <c r="AX237" s="62" t="str">
        <f t="shared" si="370"/>
        <v>DNS/DNF</v>
      </c>
      <c r="AY237" s="62">
        <f t="shared" si="371"/>
        <v>4.0703819444444442E-3</v>
      </c>
      <c r="AZ237" s="62" t="str">
        <f t="shared" si="372"/>
        <v>DNS/DNF</v>
      </c>
      <c r="BA237" s="62" t="str">
        <f t="shared" si="373"/>
        <v>DNS/DNF</v>
      </c>
      <c r="BB237" s="62" t="str">
        <f t="shared" si="374"/>
        <v>DNS/DNF</v>
      </c>
      <c r="BC237" s="75">
        <f t="shared" si="375"/>
        <v>114</v>
      </c>
      <c r="BD237" s="53">
        <f t="shared" si="376"/>
        <v>306062</v>
      </c>
      <c r="BE237" s="53">
        <f t="shared" si="377"/>
        <v>259110.99999999997</v>
      </c>
      <c r="BF237" s="53">
        <f t="shared" si="378"/>
        <v>149400</v>
      </c>
      <c r="BG237" s="53">
        <f t="shared" si="379"/>
        <v>312611</v>
      </c>
      <c r="BH237" s="53">
        <f t="shared" si="380"/>
        <v>349995</v>
      </c>
      <c r="BI237" s="53" t="str">
        <f t="shared" si="381"/>
        <v/>
      </c>
      <c r="BJ237" s="53" t="str">
        <f t="shared" si="382"/>
        <v/>
      </c>
      <c r="BK237" s="53" t="str">
        <f t="shared" si="383"/>
        <v/>
      </c>
    </row>
    <row r="238" spans="1:63">
      <c r="A238" s="53">
        <v>106</v>
      </c>
      <c r="B238" s="89" t="str">
        <f>IFERROR(VLOOKUP($A238,EntryList!$A$3:$N$645,2,FALSE),"")</f>
        <v>Rezah Levy</v>
      </c>
      <c r="C238" s="74"/>
      <c r="D238" s="53">
        <f t="shared" si="350"/>
        <v>3</v>
      </c>
      <c r="E238" s="62"/>
      <c r="F238" s="62">
        <v>3.3052430555555556E-3</v>
      </c>
      <c r="G238" s="62">
        <v>1.9469444444444445E-3</v>
      </c>
      <c r="H238" s="62"/>
      <c r="I238" s="62">
        <v>4.4935879629629631E-3</v>
      </c>
      <c r="J238" s="62"/>
      <c r="K238" s="62"/>
      <c r="L238" s="62"/>
      <c r="M238" s="62">
        <v>9.745775462962963E-3</v>
      </c>
      <c r="N238" s="62">
        <f t="shared" si="351"/>
        <v>9.745775462962963E-3</v>
      </c>
      <c r="O238" s="53" t="str">
        <f t="shared" si="352"/>
        <v/>
      </c>
      <c r="P238" s="53">
        <f t="shared" si="353"/>
        <v>194</v>
      </c>
      <c r="Q238" s="53">
        <f t="shared" si="354"/>
        <v>190</v>
      </c>
      <c r="R238" s="53" t="str">
        <f t="shared" si="355"/>
        <v/>
      </c>
      <c r="S238" s="53">
        <f t="shared" si="356"/>
        <v>193</v>
      </c>
      <c r="T238" s="53" t="str">
        <f t="shared" si="357"/>
        <v/>
      </c>
      <c r="U238" s="53" t="str">
        <f t="shared" si="358"/>
        <v/>
      </c>
      <c r="V238" s="53" t="str">
        <f t="shared" si="359"/>
        <v/>
      </c>
      <c r="W238" s="53" t="str">
        <f t="shared" si="384"/>
        <v>DNS/DNF ()</v>
      </c>
      <c r="X238" s="53" t="str">
        <f t="shared" si="360"/>
        <v>00:04:45.6 (194)</v>
      </c>
      <c r="Y238" s="53" t="str">
        <f t="shared" si="361"/>
        <v>00:02:48.2 (190)</v>
      </c>
      <c r="Z238" s="53" t="str">
        <f t="shared" si="362"/>
        <v>DNS/DNF ()</v>
      </c>
      <c r="AA238" s="53" t="str">
        <f t="shared" si="363"/>
        <v>00:06:28.2 (193)</v>
      </c>
      <c r="AB238" s="53" t="str">
        <f t="shared" si="364"/>
        <v>DNS/DNF ()</v>
      </c>
      <c r="AC238" s="53" t="str">
        <f t="shared" si="365"/>
        <v>DNS/DNF ()</v>
      </c>
      <c r="AD238" s="53" t="str">
        <f t="shared" si="366"/>
        <v>DNS/DNF ()</v>
      </c>
      <c r="AE238" s="53">
        <v>0</v>
      </c>
      <c r="AF238" s="53">
        <v>0</v>
      </c>
      <c r="AG238" s="53">
        <v>37304543</v>
      </c>
      <c r="AH238" s="53">
        <v>37590116</v>
      </c>
      <c r="AI238" s="53">
        <v>41789694</v>
      </c>
      <c r="AJ238" s="53">
        <v>41957910</v>
      </c>
      <c r="AK238" s="53">
        <v>0</v>
      </c>
      <c r="AL238" s="53">
        <v>0</v>
      </c>
      <c r="AM238" s="53">
        <v>48413252</v>
      </c>
      <c r="AN238" s="53">
        <v>48801498</v>
      </c>
      <c r="AO238" s="53">
        <v>0</v>
      </c>
      <c r="AP238" s="53">
        <v>0</v>
      </c>
      <c r="AQ238" s="53">
        <v>0</v>
      </c>
      <c r="AR238" s="53">
        <v>0</v>
      </c>
      <c r="AS238" s="53">
        <v>0</v>
      </c>
      <c r="AT238" s="53">
        <v>0</v>
      </c>
      <c r="AU238" s="62" t="str">
        <f t="shared" si="367"/>
        <v>DNS/DNF</v>
      </c>
      <c r="AV238" s="62">
        <f t="shared" si="368"/>
        <v>3.3052430555555556E-3</v>
      </c>
      <c r="AW238" s="62">
        <f t="shared" si="369"/>
        <v>1.9469444444444445E-3</v>
      </c>
      <c r="AX238" s="62" t="str">
        <f t="shared" si="370"/>
        <v>DNS/DNF</v>
      </c>
      <c r="AY238" s="62">
        <f t="shared" si="371"/>
        <v>4.4935879629629631E-3</v>
      </c>
      <c r="AZ238" s="62" t="str">
        <f t="shared" si="372"/>
        <v>DNS/DNF</v>
      </c>
      <c r="BA238" s="62" t="str">
        <f t="shared" si="373"/>
        <v>DNS/DNF</v>
      </c>
      <c r="BB238" s="62" t="str">
        <f t="shared" si="374"/>
        <v>DNS/DNF</v>
      </c>
      <c r="BC238" s="75">
        <f t="shared" si="375"/>
        <v>192</v>
      </c>
      <c r="BD238" s="53" t="str">
        <f t="shared" si="376"/>
        <v/>
      </c>
      <c r="BE238" s="53">
        <f t="shared" si="377"/>
        <v>284552</v>
      </c>
      <c r="BF238" s="53">
        <f t="shared" si="378"/>
        <v>168940</v>
      </c>
      <c r="BG238" s="53" t="str">
        <f t="shared" si="379"/>
        <v/>
      </c>
      <c r="BH238" s="53">
        <f t="shared" si="380"/>
        <v>387927</v>
      </c>
      <c r="BI238" s="53" t="str">
        <f t="shared" si="381"/>
        <v/>
      </c>
      <c r="BJ238" s="53" t="str">
        <f t="shared" si="382"/>
        <v/>
      </c>
      <c r="BK238" s="53" t="str">
        <f t="shared" si="383"/>
        <v/>
      </c>
    </row>
    <row r="239" spans="1:63">
      <c r="A239" s="53">
        <v>4</v>
      </c>
      <c r="B239" s="89" t="str">
        <f>IFERROR(VLOOKUP($A239,EntryList!$A$3:$N$645,2,FALSE),"")</f>
        <v>James Eatwell</v>
      </c>
      <c r="C239" s="74"/>
      <c r="D239" s="53">
        <f t="shared" si="350"/>
        <v>5</v>
      </c>
      <c r="E239" s="62">
        <v>3.4488773148148143E-3</v>
      </c>
      <c r="F239" s="62">
        <v>3.0745486111111108E-3</v>
      </c>
      <c r="G239" s="62">
        <v>1.845625E-3</v>
      </c>
      <c r="H239" s="62">
        <v>3.7604861111111107E-3</v>
      </c>
      <c r="I239" s="62">
        <v>4.1659027777777779E-3</v>
      </c>
      <c r="J239" s="62"/>
      <c r="K239" s="62"/>
      <c r="L239" s="62"/>
      <c r="M239" s="62">
        <v>1.6295439814814815E-2</v>
      </c>
      <c r="N239" s="62">
        <f t="shared" si="351"/>
        <v>1.6295439814814815E-2</v>
      </c>
      <c r="O239" s="53">
        <f t="shared" si="352"/>
        <v>112</v>
      </c>
      <c r="P239" s="53">
        <f t="shared" si="353"/>
        <v>128</v>
      </c>
      <c r="Q239" s="53">
        <f t="shared" si="354"/>
        <v>153</v>
      </c>
      <c r="R239" s="53">
        <f t="shared" si="355"/>
        <v>124</v>
      </c>
      <c r="S239" s="53">
        <f t="shared" si="356"/>
        <v>149</v>
      </c>
      <c r="T239" s="53" t="str">
        <f t="shared" si="357"/>
        <v/>
      </c>
      <c r="U239" s="53" t="str">
        <f t="shared" si="358"/>
        <v/>
      </c>
      <c r="V239" s="53" t="str">
        <f t="shared" si="359"/>
        <v/>
      </c>
      <c r="W239" s="53" t="str">
        <f t="shared" si="384"/>
        <v>00:04:58.0 (112)</v>
      </c>
      <c r="X239" s="53" t="str">
        <f t="shared" si="360"/>
        <v>00:04:25.6 (128)</v>
      </c>
      <c r="Y239" s="53" t="str">
        <f t="shared" si="361"/>
        <v>00:02:39.5 (153)</v>
      </c>
      <c r="Z239" s="53" t="str">
        <f t="shared" si="362"/>
        <v>00:05:24.9 (124)</v>
      </c>
      <c r="AA239" s="53" t="str">
        <f t="shared" si="363"/>
        <v>00:05:59.9 (149)</v>
      </c>
      <c r="AB239" s="53" t="str">
        <f t="shared" si="364"/>
        <v>DNS/DNF ()</v>
      </c>
      <c r="AC239" s="53" t="str">
        <f t="shared" si="365"/>
        <v>DNS/DNF ()</v>
      </c>
      <c r="AD239" s="53" t="str">
        <f t="shared" si="366"/>
        <v>DNS/DNF ()</v>
      </c>
      <c r="AE239" s="53">
        <v>31930925</v>
      </c>
      <c r="AF239" s="53">
        <v>32228908</v>
      </c>
      <c r="AG239" s="53">
        <v>36795017</v>
      </c>
      <c r="AH239" s="53">
        <v>37060658</v>
      </c>
      <c r="AI239" s="53">
        <v>40298006</v>
      </c>
      <c r="AJ239" s="53">
        <v>40457468</v>
      </c>
      <c r="AK239" s="53">
        <v>45245430</v>
      </c>
      <c r="AL239" s="53">
        <v>45570336</v>
      </c>
      <c r="AM239" s="53">
        <v>48665152</v>
      </c>
      <c r="AN239" s="53">
        <v>49025086</v>
      </c>
      <c r="AO239" s="53">
        <v>0</v>
      </c>
      <c r="AP239" s="53">
        <v>0</v>
      </c>
      <c r="AQ239" s="53">
        <v>0</v>
      </c>
      <c r="AR239" s="53">
        <v>0</v>
      </c>
      <c r="AS239" s="53">
        <v>0</v>
      </c>
      <c r="AT239" s="53">
        <v>0</v>
      </c>
      <c r="AU239" s="62">
        <f t="shared" si="367"/>
        <v>3.4488773148148148E-3</v>
      </c>
      <c r="AV239" s="62">
        <f t="shared" si="368"/>
        <v>3.0745486111111112E-3</v>
      </c>
      <c r="AW239" s="62">
        <f t="shared" si="369"/>
        <v>1.845625E-3</v>
      </c>
      <c r="AX239" s="62">
        <f t="shared" si="370"/>
        <v>3.7604861111111111E-3</v>
      </c>
      <c r="AY239" s="62">
        <f t="shared" si="371"/>
        <v>4.1659027777777779E-3</v>
      </c>
      <c r="AZ239" s="62" t="str">
        <f t="shared" si="372"/>
        <v>DNS/DNF</v>
      </c>
      <c r="BA239" s="62" t="str">
        <f t="shared" si="373"/>
        <v>DNS/DNF</v>
      </c>
      <c r="BB239" s="62" t="str">
        <f t="shared" si="374"/>
        <v>DNS/DNF</v>
      </c>
      <c r="BC239" s="75">
        <f t="shared" si="375"/>
        <v>133</v>
      </c>
      <c r="BD239" s="53">
        <f t="shared" si="376"/>
        <v>346327</v>
      </c>
      <c r="BE239" s="53">
        <f t="shared" si="377"/>
        <v>266821</v>
      </c>
      <c r="BF239" s="53">
        <f t="shared" si="378"/>
        <v>153913</v>
      </c>
      <c r="BG239" s="53">
        <f t="shared" si="379"/>
        <v>337938</v>
      </c>
      <c r="BH239" s="53">
        <f t="shared" si="380"/>
        <v>354863</v>
      </c>
      <c r="BI239" s="53" t="str">
        <f t="shared" si="381"/>
        <v/>
      </c>
      <c r="BJ239" s="53" t="str">
        <f t="shared" si="382"/>
        <v/>
      </c>
      <c r="BK239" s="53" t="str">
        <f t="shared" si="383"/>
        <v/>
      </c>
    </row>
    <row r="240" spans="1:63">
      <c r="A240" s="53">
        <v>128</v>
      </c>
      <c r="B240" s="89" t="str">
        <f>IFERROR(VLOOKUP($A240,EntryList!$A$3:$N$645,2,FALSE),"")</f>
        <v>Tiaan Van De Merwe</v>
      </c>
      <c r="C240" s="74"/>
      <c r="D240" s="53">
        <f t="shared" si="350"/>
        <v>5</v>
      </c>
      <c r="E240" s="62">
        <v>3.0370717592592589E-3</v>
      </c>
      <c r="F240" s="62">
        <v>2.821215277777778E-3</v>
      </c>
      <c r="G240" s="62">
        <v>1.5891898148148148E-3</v>
      </c>
      <c r="H240" s="62">
        <v>3.1102893518518519E-3</v>
      </c>
      <c r="I240" s="62">
        <v>3.8629513888888884E-3</v>
      </c>
      <c r="J240" s="62"/>
      <c r="K240" s="62"/>
      <c r="L240" s="62"/>
      <c r="M240" s="62">
        <v>1.4420717592592593E-2</v>
      </c>
      <c r="N240" s="62">
        <f t="shared" si="351"/>
        <v>1.4420717592592593E-2</v>
      </c>
      <c r="O240" s="53">
        <f t="shared" si="352"/>
        <v>86</v>
      </c>
      <c r="P240" s="53">
        <f t="shared" si="353"/>
        <v>76</v>
      </c>
      <c r="Q240" s="53">
        <f t="shared" si="354"/>
        <v>73</v>
      </c>
      <c r="R240" s="53">
        <f t="shared" si="355"/>
        <v>60</v>
      </c>
      <c r="S240" s="53">
        <f t="shared" si="356"/>
        <v>78</v>
      </c>
      <c r="T240" s="53" t="str">
        <f t="shared" si="357"/>
        <v/>
      </c>
      <c r="U240" s="53" t="str">
        <f t="shared" si="358"/>
        <v/>
      </c>
      <c r="V240" s="53" t="str">
        <f t="shared" si="359"/>
        <v/>
      </c>
      <c r="W240" s="53" t="str">
        <f t="shared" si="384"/>
        <v>00:04:22.4 (86)</v>
      </c>
      <c r="X240" s="53" t="str">
        <f t="shared" si="360"/>
        <v>00:04:03.8 (76)</v>
      </c>
      <c r="Y240" s="53" t="str">
        <f t="shared" si="361"/>
        <v>00:02:17.3 (73)</v>
      </c>
      <c r="Z240" s="53" t="str">
        <f t="shared" si="362"/>
        <v>00:04:28.7 (60)</v>
      </c>
      <c r="AA240" s="53" t="str">
        <f t="shared" si="363"/>
        <v>00:05:33.8 (78)</v>
      </c>
      <c r="AB240" s="53" t="str">
        <f t="shared" si="364"/>
        <v>DNS/DNF ()</v>
      </c>
      <c r="AC240" s="53" t="str">
        <f t="shared" si="365"/>
        <v>DNS/DNF ()</v>
      </c>
      <c r="AD240" s="53" t="str">
        <f t="shared" si="366"/>
        <v>DNS/DNF ()</v>
      </c>
      <c r="AE240" s="53">
        <v>36276409</v>
      </c>
      <c r="AF240" s="53">
        <v>36538812</v>
      </c>
      <c r="AG240" s="53">
        <v>31922900</v>
      </c>
      <c r="AH240" s="53">
        <v>32166653</v>
      </c>
      <c r="AI240" s="53">
        <v>40202596</v>
      </c>
      <c r="AJ240" s="53">
        <v>40339902</v>
      </c>
      <c r="AK240" s="53">
        <v>45110820</v>
      </c>
      <c r="AL240" s="53">
        <v>45379549</v>
      </c>
      <c r="AM240" s="53">
        <v>48146936</v>
      </c>
      <c r="AN240" s="53">
        <v>48480695</v>
      </c>
      <c r="AO240" s="53">
        <v>0</v>
      </c>
      <c r="AP240" s="53">
        <v>0</v>
      </c>
      <c r="AQ240" s="53">
        <v>0</v>
      </c>
      <c r="AR240" s="53">
        <v>0</v>
      </c>
      <c r="AS240" s="53">
        <v>0</v>
      </c>
      <c r="AT240" s="53">
        <v>0</v>
      </c>
      <c r="AU240" s="62">
        <f t="shared" si="367"/>
        <v>3.0370717592592593E-3</v>
      </c>
      <c r="AV240" s="62">
        <f t="shared" si="368"/>
        <v>2.821215277777778E-3</v>
      </c>
      <c r="AW240" s="62">
        <f t="shared" si="369"/>
        <v>1.5891898148148148E-3</v>
      </c>
      <c r="AX240" s="62">
        <f t="shared" si="370"/>
        <v>3.1102893518518519E-3</v>
      </c>
      <c r="AY240" s="62">
        <f t="shared" si="371"/>
        <v>3.8629513888888889E-3</v>
      </c>
      <c r="AZ240" s="62" t="str">
        <f t="shared" si="372"/>
        <v>DNS/DNF</v>
      </c>
      <c r="BA240" s="62" t="str">
        <f t="shared" si="373"/>
        <v>DNS/DNF</v>
      </c>
      <c r="BB240" s="62" t="str">
        <f t="shared" si="374"/>
        <v>DNS/DNF</v>
      </c>
      <c r="BC240" s="75">
        <f t="shared" si="375"/>
        <v>75</v>
      </c>
      <c r="BD240" s="53">
        <f t="shared" si="376"/>
        <v>251230</v>
      </c>
      <c r="BE240" s="53">
        <f t="shared" si="377"/>
        <v>243648</v>
      </c>
      <c r="BF240" s="53">
        <f t="shared" si="378"/>
        <v>137833</v>
      </c>
      <c r="BG240" s="53">
        <f t="shared" si="379"/>
        <v>276381</v>
      </c>
      <c r="BH240" s="53">
        <f t="shared" si="380"/>
        <v>332404</v>
      </c>
      <c r="BI240" s="53" t="str">
        <f t="shared" si="381"/>
        <v/>
      </c>
      <c r="BJ240" s="53" t="str">
        <f t="shared" si="382"/>
        <v/>
      </c>
      <c r="BK240" s="53" t="str">
        <f t="shared" si="383"/>
        <v/>
      </c>
    </row>
    <row r="241" spans="1:63">
      <c r="A241" s="53">
        <v>180</v>
      </c>
      <c r="B241" s="89" t="str">
        <f>IFERROR(VLOOKUP($A241,EntryList!$A$3:$N$645,2,FALSE),"")</f>
        <v>Robyn Emslie</v>
      </c>
      <c r="C241" s="74"/>
      <c r="D241" s="53">
        <f t="shared" si="350"/>
        <v>5</v>
      </c>
      <c r="E241" s="62">
        <v>3.8232175925925929E-3</v>
      </c>
      <c r="F241" s="62">
        <v>3.1180092592592592E-3</v>
      </c>
      <c r="G241" s="62">
        <v>1.8168402777777777E-3</v>
      </c>
      <c r="H241" s="62">
        <v>3.5269560185185182E-3</v>
      </c>
      <c r="I241" s="62">
        <v>4.0992824074074074E-3</v>
      </c>
      <c r="J241" s="62"/>
      <c r="K241" s="62"/>
      <c r="L241" s="62"/>
      <c r="M241" s="62">
        <v>1.6384305555555555E-2</v>
      </c>
      <c r="N241" s="62">
        <f t="shared" si="351"/>
        <v>1.6384305555555555E-2</v>
      </c>
      <c r="O241" s="53">
        <f t="shared" si="352"/>
        <v>124</v>
      </c>
      <c r="P241" s="53">
        <f t="shared" si="353"/>
        <v>142</v>
      </c>
      <c r="Q241" s="53">
        <f t="shared" si="354"/>
        <v>145</v>
      </c>
      <c r="R241" s="53">
        <f t="shared" si="355"/>
        <v>106</v>
      </c>
      <c r="S241" s="53">
        <f t="shared" si="356"/>
        <v>131</v>
      </c>
      <c r="T241" s="53" t="str">
        <f t="shared" si="357"/>
        <v/>
      </c>
      <c r="U241" s="53" t="str">
        <f t="shared" si="358"/>
        <v/>
      </c>
      <c r="V241" s="53" t="str">
        <f t="shared" si="359"/>
        <v/>
      </c>
      <c r="W241" s="53" t="str">
        <f t="shared" si="384"/>
        <v>00:05:30.3 (124)</v>
      </c>
      <c r="X241" s="53" t="str">
        <f t="shared" si="360"/>
        <v>00:04:29.4 (142)</v>
      </c>
      <c r="Y241" s="53" t="str">
        <f t="shared" si="361"/>
        <v>00:02:37.0 (145)</v>
      </c>
      <c r="Z241" s="53" t="str">
        <f t="shared" si="362"/>
        <v>00:05:04.7 (106)</v>
      </c>
      <c r="AA241" s="53" t="str">
        <f t="shared" si="363"/>
        <v>00:05:54.2 (131)</v>
      </c>
      <c r="AB241" s="53" t="str">
        <f t="shared" si="364"/>
        <v>DNS/DNF ()</v>
      </c>
      <c r="AC241" s="53" t="str">
        <f t="shared" si="365"/>
        <v>DNS/DNF ()</v>
      </c>
      <c r="AD241" s="53" t="str">
        <f t="shared" si="366"/>
        <v>DNS/DNF ()</v>
      </c>
      <c r="AE241" s="53">
        <v>33643977</v>
      </c>
      <c r="AF241" s="53">
        <v>33974303</v>
      </c>
      <c r="AG241" s="53">
        <v>40997304</v>
      </c>
      <c r="AH241" s="53">
        <v>41266700</v>
      </c>
      <c r="AI241" s="53">
        <v>37751180</v>
      </c>
      <c r="AJ241" s="53">
        <v>37908155</v>
      </c>
      <c r="AK241" s="53">
        <v>45278863</v>
      </c>
      <c r="AL241" s="53">
        <v>45583592</v>
      </c>
      <c r="AM241" s="53">
        <v>48775168</v>
      </c>
      <c r="AN241" s="53">
        <v>49129346</v>
      </c>
      <c r="AO241" s="53">
        <v>0</v>
      </c>
      <c r="AP241" s="53">
        <v>0</v>
      </c>
      <c r="AQ241" s="53">
        <v>0</v>
      </c>
      <c r="AR241" s="53">
        <v>0</v>
      </c>
      <c r="AS241" s="53">
        <v>0</v>
      </c>
      <c r="AT241" s="53">
        <v>0</v>
      </c>
      <c r="AU241" s="62">
        <f t="shared" si="367"/>
        <v>3.8232175925925925E-3</v>
      </c>
      <c r="AV241" s="62">
        <f t="shared" si="368"/>
        <v>3.1180092592592592E-3</v>
      </c>
      <c r="AW241" s="62">
        <f t="shared" si="369"/>
        <v>1.8168402777777777E-3</v>
      </c>
      <c r="AX241" s="62">
        <f t="shared" si="370"/>
        <v>3.5269560185185187E-3</v>
      </c>
      <c r="AY241" s="62">
        <f t="shared" si="371"/>
        <v>4.0992824074074074E-3</v>
      </c>
      <c r="AZ241" s="62" t="str">
        <f t="shared" si="372"/>
        <v>DNS/DNF</v>
      </c>
      <c r="BA241" s="62" t="str">
        <f t="shared" si="373"/>
        <v>DNS/DNF</v>
      </c>
      <c r="BB241" s="62" t="str">
        <f t="shared" si="374"/>
        <v>DNS/DNF</v>
      </c>
      <c r="BC241" s="75">
        <f t="shared" si="375"/>
        <v>130</v>
      </c>
      <c r="BD241" s="53">
        <f t="shared" si="376"/>
        <v>340636</v>
      </c>
      <c r="BE241" s="53">
        <f t="shared" si="377"/>
        <v>266153</v>
      </c>
      <c r="BF241" s="53">
        <f t="shared" si="378"/>
        <v>153196</v>
      </c>
      <c r="BG241" s="53">
        <f t="shared" si="379"/>
        <v>333270</v>
      </c>
      <c r="BH241" s="53">
        <f t="shared" si="380"/>
        <v>353892</v>
      </c>
      <c r="BI241" s="53" t="str">
        <f t="shared" si="381"/>
        <v/>
      </c>
      <c r="BJ241" s="53" t="str">
        <f t="shared" si="382"/>
        <v/>
      </c>
      <c r="BK241" s="53" t="str">
        <f t="shared" si="383"/>
        <v/>
      </c>
    </row>
    <row r="242" spans="1:63">
      <c r="A242" s="53">
        <v>100</v>
      </c>
      <c r="B242" s="89" t="str">
        <f>IFERROR(VLOOKUP($A242,EntryList!$A$3:$N$645,2,FALSE),"")</f>
        <v>Jan Cilliers</v>
      </c>
      <c r="C242" s="74"/>
      <c r="D242" s="53">
        <f t="shared" si="350"/>
        <v>5</v>
      </c>
      <c r="E242" s="62">
        <v>4.4317129629629628E-3</v>
      </c>
      <c r="F242" s="62">
        <v>3.7626736111111107E-3</v>
      </c>
      <c r="G242" s="62">
        <v>2.0768171296296294E-3</v>
      </c>
      <c r="H242" s="62">
        <v>4.3726620370370369E-3</v>
      </c>
      <c r="I242" s="62">
        <v>5.1378125E-3</v>
      </c>
      <c r="J242" s="62"/>
      <c r="K242" s="62"/>
      <c r="L242" s="62"/>
      <c r="M242" s="62">
        <v>1.978167824074074E-2</v>
      </c>
      <c r="N242" s="62">
        <f t="shared" si="351"/>
        <v>1.9781678240740744E-2</v>
      </c>
      <c r="O242" s="53">
        <f t="shared" si="352"/>
        <v>139</v>
      </c>
      <c r="P242" s="53">
        <f t="shared" si="353"/>
        <v>234</v>
      </c>
      <c r="Q242" s="53">
        <f t="shared" si="354"/>
        <v>216</v>
      </c>
      <c r="R242" s="53">
        <f t="shared" si="355"/>
        <v>139</v>
      </c>
      <c r="S242" s="53">
        <f t="shared" si="356"/>
        <v>235</v>
      </c>
      <c r="T242" s="53" t="str">
        <f t="shared" si="357"/>
        <v/>
      </c>
      <c r="U242" s="53" t="str">
        <f t="shared" si="358"/>
        <v/>
      </c>
      <c r="V242" s="53" t="str">
        <f t="shared" si="359"/>
        <v/>
      </c>
      <c r="W242" s="53" t="str">
        <f t="shared" si="384"/>
        <v>00:06:22.9 (139)</v>
      </c>
      <c r="X242" s="53" t="str">
        <f t="shared" si="360"/>
        <v>00:05:25.1 (234)</v>
      </c>
      <c r="Y242" s="53" t="str">
        <f t="shared" si="361"/>
        <v>00:02:59.4 (216)</v>
      </c>
      <c r="Z242" s="53" t="str">
        <f t="shared" si="362"/>
        <v>00:06:17.8 (139)</v>
      </c>
      <c r="AA242" s="53" t="str">
        <f t="shared" si="363"/>
        <v>00:07:23.9 (235)</v>
      </c>
      <c r="AB242" s="53" t="str">
        <f t="shared" si="364"/>
        <v>DNS/DNF ()</v>
      </c>
      <c r="AC242" s="53" t="str">
        <f t="shared" si="365"/>
        <v>DNS/DNF ()</v>
      </c>
      <c r="AD242" s="53" t="str">
        <f t="shared" si="366"/>
        <v>DNS/DNF ()</v>
      </c>
      <c r="AE242" s="53">
        <v>37197194</v>
      </c>
      <c r="AF242" s="53">
        <v>37580094</v>
      </c>
      <c r="AG242" s="53">
        <v>40748084</v>
      </c>
      <c r="AH242" s="53">
        <v>41073179</v>
      </c>
      <c r="AI242" s="53">
        <v>32581509</v>
      </c>
      <c r="AJ242" s="53">
        <v>32760946</v>
      </c>
      <c r="AK242" s="53">
        <v>45216842</v>
      </c>
      <c r="AL242" s="53">
        <v>45594640</v>
      </c>
      <c r="AM242" s="53">
        <v>48683112</v>
      </c>
      <c r="AN242" s="53">
        <v>49127019</v>
      </c>
      <c r="AO242" s="53">
        <v>0</v>
      </c>
      <c r="AP242" s="53">
        <v>0</v>
      </c>
      <c r="AQ242" s="53">
        <v>0</v>
      </c>
      <c r="AR242" s="53">
        <v>0</v>
      </c>
      <c r="AS242" s="53">
        <v>0</v>
      </c>
      <c r="AT242" s="53">
        <v>0</v>
      </c>
      <c r="AU242" s="62">
        <f t="shared" si="367"/>
        <v>4.4317129629629628E-3</v>
      </c>
      <c r="AV242" s="62">
        <f t="shared" si="368"/>
        <v>3.7626736111111112E-3</v>
      </c>
      <c r="AW242" s="62">
        <f t="shared" si="369"/>
        <v>2.0768171296296298E-3</v>
      </c>
      <c r="AX242" s="62">
        <f t="shared" si="370"/>
        <v>4.3726620370370369E-3</v>
      </c>
      <c r="AY242" s="62">
        <f t="shared" si="371"/>
        <v>5.1378125E-3</v>
      </c>
      <c r="AZ242" s="62" t="str">
        <f t="shared" si="372"/>
        <v>DNS/DNF</v>
      </c>
      <c r="BA242" s="62" t="str">
        <f t="shared" si="373"/>
        <v>DNS/DNF</v>
      </c>
      <c r="BB242" s="62" t="str">
        <f t="shared" si="374"/>
        <v>DNS/DNF</v>
      </c>
      <c r="BC242" s="75">
        <f t="shared" si="375"/>
        <v>193</v>
      </c>
      <c r="BD242" s="53" t="str">
        <f t="shared" si="376"/>
        <v/>
      </c>
      <c r="BE242" s="53">
        <f t="shared" si="377"/>
        <v>284625</v>
      </c>
      <c r="BF242" s="53">
        <f t="shared" si="378"/>
        <v>168945</v>
      </c>
      <c r="BG242" s="53" t="str">
        <f t="shared" si="379"/>
        <v/>
      </c>
      <c r="BH242" s="53">
        <f t="shared" si="380"/>
        <v>388246</v>
      </c>
      <c r="BI242" s="53" t="str">
        <f t="shared" si="381"/>
        <v/>
      </c>
      <c r="BJ242" s="53" t="str">
        <f t="shared" si="382"/>
        <v/>
      </c>
      <c r="BK242" s="53" t="str">
        <f t="shared" si="383"/>
        <v/>
      </c>
    </row>
    <row r="243" spans="1:63">
      <c r="A243" s="53">
        <v>296</v>
      </c>
      <c r="B243" s="89" t="str">
        <f>IFERROR(VLOOKUP($A243,EntryList!$A$3:$N$645,2,FALSE),"")</f>
        <v>Daniel Franken</v>
      </c>
      <c r="C243" s="74"/>
      <c r="D243" s="53">
        <f t="shared" si="350"/>
        <v>5</v>
      </c>
      <c r="E243" s="62">
        <v>3.877685185185185E-3</v>
      </c>
      <c r="F243" s="62">
        <v>3.2918518518518518E-3</v>
      </c>
      <c r="G243" s="62">
        <v>1.8619328703703703E-3</v>
      </c>
      <c r="H243" s="62">
        <v>3.6365046296296297E-3</v>
      </c>
      <c r="I243" s="62">
        <v>4.276134259259259E-3</v>
      </c>
      <c r="J243" s="62"/>
      <c r="K243" s="62"/>
      <c r="L243" s="62"/>
      <c r="M243" s="62">
        <v>1.6944108796296296E-2</v>
      </c>
      <c r="N243" s="62">
        <f t="shared" si="351"/>
        <v>1.6944108796296296E-2</v>
      </c>
      <c r="O243" s="53">
        <f t="shared" si="352"/>
        <v>127</v>
      </c>
      <c r="P243" s="53">
        <f t="shared" si="353"/>
        <v>188</v>
      </c>
      <c r="Q243" s="53">
        <f t="shared" si="354"/>
        <v>167</v>
      </c>
      <c r="R243" s="53">
        <f t="shared" si="355"/>
        <v>115</v>
      </c>
      <c r="S243" s="53">
        <f t="shared" si="356"/>
        <v>169</v>
      </c>
      <c r="T243" s="53" t="str">
        <f t="shared" si="357"/>
        <v/>
      </c>
      <c r="U243" s="53" t="str">
        <f t="shared" si="358"/>
        <v/>
      </c>
      <c r="V243" s="53" t="str">
        <f t="shared" si="359"/>
        <v/>
      </c>
      <c r="W243" s="53" t="str">
        <f t="shared" si="384"/>
        <v>00:05:35.0 (127)</v>
      </c>
      <c r="X243" s="53" t="str">
        <f t="shared" si="360"/>
        <v>00:04:44.4 (188)</v>
      </c>
      <c r="Y243" s="53" t="str">
        <f t="shared" si="361"/>
        <v>00:02:40.9 (167)</v>
      </c>
      <c r="Z243" s="53" t="str">
        <f t="shared" si="362"/>
        <v>00:05:14.2 (115)</v>
      </c>
      <c r="AA243" s="53" t="str">
        <f t="shared" si="363"/>
        <v>00:06:09.5 (169)</v>
      </c>
      <c r="AB243" s="53" t="str">
        <f t="shared" si="364"/>
        <v>DNS/DNF ()</v>
      </c>
      <c r="AC243" s="53" t="str">
        <f t="shared" si="365"/>
        <v>DNS/DNF ()</v>
      </c>
      <c r="AD243" s="53" t="str">
        <f t="shared" si="366"/>
        <v>DNS/DNF ()</v>
      </c>
      <c r="AE243" s="53">
        <v>37176136</v>
      </c>
      <c r="AF243" s="53">
        <v>37511168</v>
      </c>
      <c r="AG243" s="53">
        <v>40714420</v>
      </c>
      <c r="AH243" s="53">
        <v>40998836</v>
      </c>
      <c r="AI243" s="53">
        <v>32554556</v>
      </c>
      <c r="AJ243" s="53">
        <v>32715427</v>
      </c>
      <c r="AK243" s="53">
        <v>45183068</v>
      </c>
      <c r="AL243" s="53">
        <v>45497262</v>
      </c>
      <c r="AM243" s="53">
        <v>48573730</v>
      </c>
      <c r="AN243" s="53">
        <v>48943188</v>
      </c>
      <c r="AO243" s="53">
        <v>0</v>
      </c>
      <c r="AP243" s="53">
        <v>0</v>
      </c>
      <c r="AQ243" s="53">
        <v>0</v>
      </c>
      <c r="AR243" s="53">
        <v>0</v>
      </c>
      <c r="AS243" s="53">
        <v>0</v>
      </c>
      <c r="AT243" s="53">
        <v>0</v>
      </c>
      <c r="AU243" s="62">
        <f t="shared" si="367"/>
        <v>3.8776851851851854E-3</v>
      </c>
      <c r="AV243" s="62">
        <f t="shared" si="368"/>
        <v>3.2918518518518518E-3</v>
      </c>
      <c r="AW243" s="62">
        <f t="shared" si="369"/>
        <v>1.8619328703703703E-3</v>
      </c>
      <c r="AX243" s="62">
        <f t="shared" si="370"/>
        <v>3.6365046296296297E-3</v>
      </c>
      <c r="AY243" s="62">
        <f t="shared" si="371"/>
        <v>4.276134259259259E-3</v>
      </c>
      <c r="AZ243" s="62" t="str">
        <f t="shared" si="372"/>
        <v>DNS/DNF</v>
      </c>
      <c r="BA243" s="62" t="str">
        <f t="shared" si="373"/>
        <v>DNS/DNF</v>
      </c>
      <c r="BB243" s="62" t="str">
        <f t="shared" si="374"/>
        <v>DNS/DNF</v>
      </c>
      <c r="BC243" s="75">
        <f t="shared" si="375"/>
        <v>153</v>
      </c>
      <c r="BD243" s="53" t="str">
        <f t="shared" si="376"/>
        <v/>
      </c>
      <c r="BE243" s="53">
        <f t="shared" si="377"/>
        <v>273206</v>
      </c>
      <c r="BF243" s="53">
        <f t="shared" si="378"/>
        <v>159462</v>
      </c>
      <c r="BG243" s="53" t="str">
        <f t="shared" si="379"/>
        <v/>
      </c>
      <c r="BH243" s="53">
        <f t="shared" si="380"/>
        <v>362397.99999999994</v>
      </c>
      <c r="BI243" s="53" t="str">
        <f t="shared" si="381"/>
        <v/>
      </c>
      <c r="BJ243" s="53" t="str">
        <f t="shared" si="382"/>
        <v/>
      </c>
      <c r="BK243" s="53" t="str">
        <f t="shared" si="383"/>
        <v/>
      </c>
    </row>
    <row r="244" spans="1:63">
      <c r="A244" s="53">
        <v>296</v>
      </c>
      <c r="B244" s="89" t="str">
        <f>IFERROR(VLOOKUP($A244,EntryList!$A$3:$N$645,2,FALSE),"")</f>
        <v>Daniel Franken</v>
      </c>
      <c r="C244" s="74"/>
      <c r="D244" s="53">
        <f t="shared" si="350"/>
        <v>5</v>
      </c>
      <c r="E244" s="62">
        <v>3.877685185185185E-3</v>
      </c>
      <c r="F244" s="62">
        <v>3.2918518518518518E-3</v>
      </c>
      <c r="G244" s="62">
        <v>1.8619328703703703E-3</v>
      </c>
      <c r="H244" s="62">
        <v>3.6365046296296297E-3</v>
      </c>
      <c r="I244" s="62">
        <v>4.276134259259259E-3</v>
      </c>
      <c r="J244" s="62"/>
      <c r="K244" s="62"/>
      <c r="L244" s="62"/>
      <c r="M244" s="62">
        <v>1.6944108796296296E-2</v>
      </c>
      <c r="N244" s="62">
        <f t="shared" si="351"/>
        <v>1.6944108796296296E-2</v>
      </c>
      <c r="O244" s="53">
        <f t="shared" si="352"/>
        <v>127</v>
      </c>
      <c r="P244" s="53">
        <f t="shared" si="353"/>
        <v>188</v>
      </c>
      <c r="Q244" s="53">
        <f t="shared" si="354"/>
        <v>167</v>
      </c>
      <c r="R244" s="53">
        <f t="shared" si="355"/>
        <v>115</v>
      </c>
      <c r="S244" s="53">
        <f t="shared" si="356"/>
        <v>169</v>
      </c>
      <c r="T244" s="53" t="str">
        <f t="shared" si="357"/>
        <v/>
      </c>
      <c r="U244" s="53" t="str">
        <f t="shared" si="358"/>
        <v/>
      </c>
      <c r="V244" s="53" t="str">
        <f t="shared" si="359"/>
        <v/>
      </c>
      <c r="W244" s="53" t="str">
        <f t="shared" si="384"/>
        <v>00:05:35.0 (127)</v>
      </c>
      <c r="X244" s="53" t="str">
        <f t="shared" si="360"/>
        <v>00:04:44.4 (188)</v>
      </c>
      <c r="Y244" s="53" t="str">
        <f t="shared" si="361"/>
        <v>00:02:40.9 (167)</v>
      </c>
      <c r="Z244" s="53" t="str">
        <f t="shared" si="362"/>
        <v>00:05:14.2 (115)</v>
      </c>
      <c r="AA244" s="53" t="str">
        <f t="shared" si="363"/>
        <v>00:06:09.5 (169)</v>
      </c>
      <c r="AB244" s="53" t="str">
        <f t="shared" si="364"/>
        <v>DNS/DNF ()</v>
      </c>
      <c r="AC244" s="53" t="str">
        <f t="shared" si="365"/>
        <v>DNS/DNF ()</v>
      </c>
      <c r="AD244" s="53" t="str">
        <f t="shared" si="366"/>
        <v>DNS/DNF ()</v>
      </c>
      <c r="AE244" s="53">
        <v>37176136</v>
      </c>
      <c r="AF244" s="53">
        <v>37511168</v>
      </c>
      <c r="AG244" s="53">
        <v>40714420</v>
      </c>
      <c r="AH244" s="53">
        <v>40998836</v>
      </c>
      <c r="AI244" s="53">
        <v>32554556</v>
      </c>
      <c r="AJ244" s="53">
        <v>32715427</v>
      </c>
      <c r="AK244" s="53">
        <v>45183068</v>
      </c>
      <c r="AL244" s="53">
        <v>45497262</v>
      </c>
      <c r="AM244" s="53">
        <v>48573730</v>
      </c>
      <c r="AN244" s="53">
        <v>48943188</v>
      </c>
      <c r="AO244" s="53">
        <v>0</v>
      </c>
      <c r="AP244" s="53">
        <v>0</v>
      </c>
      <c r="AQ244" s="53">
        <v>0</v>
      </c>
      <c r="AR244" s="53">
        <v>0</v>
      </c>
      <c r="AS244" s="53">
        <v>0</v>
      </c>
      <c r="AT244" s="53">
        <v>0</v>
      </c>
      <c r="AU244" s="62">
        <f t="shared" si="367"/>
        <v>3.8776851851851854E-3</v>
      </c>
      <c r="AV244" s="62">
        <f t="shared" si="368"/>
        <v>3.2918518518518518E-3</v>
      </c>
      <c r="AW244" s="62">
        <f t="shared" si="369"/>
        <v>1.8619328703703703E-3</v>
      </c>
      <c r="AX244" s="62">
        <f t="shared" si="370"/>
        <v>3.6365046296296297E-3</v>
      </c>
      <c r="AY244" s="62">
        <f t="shared" si="371"/>
        <v>4.276134259259259E-3</v>
      </c>
      <c r="AZ244" s="62" t="str">
        <f t="shared" si="372"/>
        <v>DNS/DNF</v>
      </c>
      <c r="BA244" s="62" t="str">
        <f t="shared" si="373"/>
        <v>DNS/DNF</v>
      </c>
      <c r="BB244" s="62" t="str">
        <f t="shared" si="374"/>
        <v>DNS/DNF</v>
      </c>
      <c r="BC244" s="75">
        <f t="shared" si="375"/>
        <v>153</v>
      </c>
      <c r="BD244" s="53" t="str">
        <f t="shared" si="376"/>
        <v/>
      </c>
      <c r="BE244" s="53">
        <f t="shared" si="377"/>
        <v>273206</v>
      </c>
      <c r="BF244" s="53">
        <f t="shared" si="378"/>
        <v>159462</v>
      </c>
      <c r="BG244" s="53" t="str">
        <f t="shared" si="379"/>
        <v/>
      </c>
      <c r="BH244" s="53">
        <f t="shared" si="380"/>
        <v>362397.99999999994</v>
      </c>
      <c r="BI244" s="53" t="str">
        <f t="shared" si="381"/>
        <v/>
      </c>
      <c r="BJ244" s="53" t="str">
        <f t="shared" si="382"/>
        <v/>
      </c>
      <c r="BK244" s="53" t="str">
        <f t="shared" si="383"/>
        <v/>
      </c>
    </row>
    <row r="245" spans="1:63">
      <c r="A245" s="53">
        <v>296</v>
      </c>
      <c r="B245" s="89" t="str">
        <f>IFERROR(VLOOKUP($A245,EntryList!$A$3:$N$645,2,FALSE),"")</f>
        <v>Daniel Franken</v>
      </c>
      <c r="C245" s="74"/>
      <c r="D245" s="53">
        <f t="shared" si="350"/>
        <v>5</v>
      </c>
      <c r="E245" s="62">
        <v>3.877685185185185E-3</v>
      </c>
      <c r="F245" s="62">
        <v>3.2918518518518518E-3</v>
      </c>
      <c r="G245" s="62">
        <v>1.8619328703703703E-3</v>
      </c>
      <c r="H245" s="62">
        <v>3.6365046296296297E-3</v>
      </c>
      <c r="I245" s="62">
        <v>4.276134259259259E-3</v>
      </c>
      <c r="J245" s="62"/>
      <c r="K245" s="62"/>
      <c r="L245" s="62"/>
      <c r="M245" s="62">
        <v>1.6944108796296296E-2</v>
      </c>
      <c r="N245" s="62">
        <f t="shared" si="351"/>
        <v>1.6944108796296296E-2</v>
      </c>
      <c r="O245" s="53">
        <f t="shared" si="352"/>
        <v>127</v>
      </c>
      <c r="P245" s="53">
        <f t="shared" si="353"/>
        <v>188</v>
      </c>
      <c r="Q245" s="53">
        <f t="shared" si="354"/>
        <v>167</v>
      </c>
      <c r="R245" s="53">
        <f t="shared" si="355"/>
        <v>115</v>
      </c>
      <c r="S245" s="53">
        <f t="shared" si="356"/>
        <v>169</v>
      </c>
      <c r="T245" s="53" t="str">
        <f t="shared" si="357"/>
        <v/>
      </c>
      <c r="U245" s="53" t="str">
        <f t="shared" si="358"/>
        <v/>
      </c>
      <c r="V245" s="53" t="str">
        <f t="shared" si="359"/>
        <v/>
      </c>
      <c r="W245" s="53" t="str">
        <f t="shared" si="384"/>
        <v>00:05:35.0 (127)</v>
      </c>
      <c r="X245" s="53" t="str">
        <f t="shared" si="360"/>
        <v>00:04:44.4 (188)</v>
      </c>
      <c r="Y245" s="53" t="str">
        <f t="shared" si="361"/>
        <v>00:02:40.9 (167)</v>
      </c>
      <c r="Z245" s="53" t="str">
        <f t="shared" si="362"/>
        <v>00:05:14.2 (115)</v>
      </c>
      <c r="AA245" s="53" t="str">
        <f t="shared" si="363"/>
        <v>00:06:09.5 (169)</v>
      </c>
      <c r="AB245" s="53" t="str">
        <f t="shared" si="364"/>
        <v>DNS/DNF ()</v>
      </c>
      <c r="AC245" s="53" t="str">
        <f t="shared" si="365"/>
        <v>DNS/DNF ()</v>
      </c>
      <c r="AD245" s="53" t="str">
        <f t="shared" si="366"/>
        <v>DNS/DNF ()</v>
      </c>
      <c r="AE245" s="53">
        <v>37176136</v>
      </c>
      <c r="AF245" s="53">
        <v>37511168</v>
      </c>
      <c r="AG245" s="53">
        <v>40714420</v>
      </c>
      <c r="AH245" s="53">
        <v>40998836</v>
      </c>
      <c r="AI245" s="53">
        <v>32554556</v>
      </c>
      <c r="AJ245" s="53">
        <v>32715427</v>
      </c>
      <c r="AK245" s="53">
        <v>45183068</v>
      </c>
      <c r="AL245" s="53">
        <v>45497262</v>
      </c>
      <c r="AM245" s="53">
        <v>48573730</v>
      </c>
      <c r="AN245" s="53">
        <v>48943188</v>
      </c>
      <c r="AO245" s="53">
        <v>0</v>
      </c>
      <c r="AP245" s="53">
        <v>0</v>
      </c>
      <c r="AQ245" s="53">
        <v>0</v>
      </c>
      <c r="AR245" s="53">
        <v>0</v>
      </c>
      <c r="AS245" s="53">
        <v>0</v>
      </c>
      <c r="AT245" s="53">
        <v>0</v>
      </c>
      <c r="AU245" s="62">
        <f t="shared" si="367"/>
        <v>3.8776851851851854E-3</v>
      </c>
      <c r="AV245" s="62">
        <f t="shared" si="368"/>
        <v>3.2918518518518518E-3</v>
      </c>
      <c r="AW245" s="62">
        <f t="shared" si="369"/>
        <v>1.8619328703703703E-3</v>
      </c>
      <c r="AX245" s="62">
        <f t="shared" si="370"/>
        <v>3.6365046296296297E-3</v>
      </c>
      <c r="AY245" s="62">
        <f t="shared" si="371"/>
        <v>4.276134259259259E-3</v>
      </c>
      <c r="AZ245" s="62" t="str">
        <f t="shared" si="372"/>
        <v>DNS/DNF</v>
      </c>
      <c r="BA245" s="62" t="str">
        <f t="shared" si="373"/>
        <v>DNS/DNF</v>
      </c>
      <c r="BB245" s="62" t="str">
        <f t="shared" si="374"/>
        <v>DNS/DNF</v>
      </c>
      <c r="BC245" s="75">
        <f t="shared" si="375"/>
        <v>153</v>
      </c>
      <c r="BD245" s="53" t="str">
        <f t="shared" si="376"/>
        <v/>
      </c>
      <c r="BE245" s="53">
        <f t="shared" si="377"/>
        <v>273206</v>
      </c>
      <c r="BF245" s="53">
        <f t="shared" si="378"/>
        <v>159462</v>
      </c>
      <c r="BG245" s="53" t="str">
        <f t="shared" si="379"/>
        <v/>
      </c>
      <c r="BH245" s="53">
        <f t="shared" si="380"/>
        <v>362397.99999999994</v>
      </c>
      <c r="BI245" s="53" t="str">
        <f t="shared" si="381"/>
        <v/>
      </c>
      <c r="BJ245" s="53" t="str">
        <f t="shared" si="382"/>
        <v/>
      </c>
      <c r="BK245" s="53" t="str">
        <f t="shared" si="383"/>
        <v/>
      </c>
    </row>
    <row r="246" spans="1:63">
      <c r="A246" s="53">
        <v>195</v>
      </c>
      <c r="B246" s="89" t="str">
        <f>IFERROR(VLOOKUP($A246,EntryList!$A$3:$N$645,2,FALSE),"")</f>
        <v>Karl Van Niekerk</v>
      </c>
      <c r="C246" s="74"/>
      <c r="D246" s="53">
        <f t="shared" si="350"/>
        <v>3</v>
      </c>
      <c r="E246" s="62"/>
      <c r="F246" s="62">
        <v>3.6378703703703707E-3</v>
      </c>
      <c r="G246" s="62">
        <v>2.0918750000000004E-3</v>
      </c>
      <c r="H246" s="62"/>
      <c r="I246" s="62">
        <v>5.2807754629629637E-3</v>
      </c>
      <c r="J246" s="62"/>
      <c r="K246" s="62"/>
      <c r="L246" s="62"/>
      <c r="M246" s="62">
        <v>1.1010520833333334E-2</v>
      </c>
      <c r="N246" s="62">
        <f t="shared" si="351"/>
        <v>1.1010520833333332E-2</v>
      </c>
      <c r="O246" s="53" t="str">
        <f t="shared" si="352"/>
        <v/>
      </c>
      <c r="P246" s="53">
        <f t="shared" si="353"/>
        <v>225</v>
      </c>
      <c r="Q246" s="53">
        <f t="shared" si="354"/>
        <v>218</v>
      </c>
      <c r="R246" s="53" t="str">
        <f t="shared" si="355"/>
        <v/>
      </c>
      <c r="S246" s="53">
        <f t="shared" si="356"/>
        <v>240</v>
      </c>
      <c r="T246" s="53" t="str">
        <f t="shared" si="357"/>
        <v/>
      </c>
      <c r="U246" s="53" t="str">
        <f t="shared" si="358"/>
        <v/>
      </c>
      <c r="V246" s="53" t="str">
        <f t="shared" si="359"/>
        <v/>
      </c>
      <c r="W246" s="53" t="str">
        <f t="shared" si="384"/>
        <v>DNS/DNF ()</v>
      </c>
      <c r="X246" s="53" t="str">
        <f t="shared" si="360"/>
        <v>00:05:14.3 (225)</v>
      </c>
      <c r="Y246" s="53" t="str">
        <f t="shared" si="361"/>
        <v>00:03:00.7 (218)</v>
      </c>
      <c r="Z246" s="53" t="str">
        <f t="shared" si="362"/>
        <v>DNS/DNF ()</v>
      </c>
      <c r="AA246" s="53" t="str">
        <f t="shared" si="363"/>
        <v>00:07:36.3 (240)</v>
      </c>
      <c r="AB246" s="53" t="str">
        <f t="shared" si="364"/>
        <v>DNS/DNF ()</v>
      </c>
      <c r="AC246" s="53" t="str">
        <f t="shared" si="365"/>
        <v>DNS/DNF ()</v>
      </c>
      <c r="AD246" s="53" t="str">
        <f t="shared" si="366"/>
        <v>DNS/DNF ()</v>
      </c>
      <c r="AE246" s="53">
        <v>0</v>
      </c>
      <c r="AF246" s="53">
        <v>0</v>
      </c>
      <c r="AG246" s="53">
        <v>36744020</v>
      </c>
      <c r="AH246" s="53">
        <v>37058332</v>
      </c>
      <c r="AI246" s="53">
        <v>41419192</v>
      </c>
      <c r="AJ246" s="53">
        <v>41599930</v>
      </c>
      <c r="AK246" s="53">
        <v>0</v>
      </c>
      <c r="AL246" s="53">
        <v>0</v>
      </c>
      <c r="AM246" s="53">
        <v>47864724</v>
      </c>
      <c r="AN246" s="53">
        <v>48320983</v>
      </c>
      <c r="AO246" s="53">
        <v>0</v>
      </c>
      <c r="AP246" s="53">
        <v>0</v>
      </c>
      <c r="AQ246" s="53">
        <v>0</v>
      </c>
      <c r="AR246" s="53">
        <v>0</v>
      </c>
      <c r="AS246" s="53">
        <v>0</v>
      </c>
      <c r="AT246" s="53">
        <v>0</v>
      </c>
      <c r="AU246" s="62" t="str">
        <f t="shared" si="367"/>
        <v>DNS/DNF</v>
      </c>
      <c r="AV246" s="62">
        <f t="shared" si="368"/>
        <v>3.6378703703703703E-3</v>
      </c>
      <c r="AW246" s="62">
        <f t="shared" si="369"/>
        <v>2.091875E-3</v>
      </c>
      <c r="AX246" s="62" t="str">
        <f t="shared" si="370"/>
        <v>DNS/DNF</v>
      </c>
      <c r="AY246" s="62">
        <f t="shared" si="371"/>
        <v>5.2807754629629628E-3</v>
      </c>
      <c r="AZ246" s="62" t="str">
        <f t="shared" si="372"/>
        <v>DNS/DNF</v>
      </c>
      <c r="BA246" s="62" t="str">
        <f t="shared" si="373"/>
        <v>DNS/DNF</v>
      </c>
      <c r="BB246" s="62" t="str">
        <f t="shared" si="374"/>
        <v>DNS/DNF</v>
      </c>
      <c r="BC246" s="75">
        <f t="shared" si="375"/>
        <v>228</v>
      </c>
      <c r="BD246" s="53" t="str">
        <f t="shared" si="376"/>
        <v/>
      </c>
      <c r="BE246" s="53">
        <f t="shared" si="377"/>
        <v>318070</v>
      </c>
      <c r="BF246" s="53">
        <f t="shared" si="378"/>
        <v>192680</v>
      </c>
      <c r="BG246" s="53" t="str">
        <f t="shared" si="379"/>
        <v/>
      </c>
      <c r="BH246" s="53">
        <f t="shared" si="380"/>
        <v>426741</v>
      </c>
      <c r="BI246" s="53" t="str">
        <f t="shared" si="381"/>
        <v/>
      </c>
      <c r="BJ246" s="53" t="str">
        <f t="shared" si="382"/>
        <v/>
      </c>
      <c r="BK246" s="53" t="str">
        <f t="shared" si="383"/>
        <v/>
      </c>
    </row>
    <row r="247" spans="1:63">
      <c r="A247" s="53">
        <v>150</v>
      </c>
      <c r="B247" s="89" t="str">
        <f>IFERROR(VLOOKUP($A247,EntryList!$A$3:$N$645,2,FALSE),"")</f>
        <v>Jacques Van Zyl</v>
      </c>
      <c r="C247" s="74"/>
      <c r="D247" s="53">
        <f t="shared" si="350"/>
        <v>2</v>
      </c>
      <c r="E247" s="62">
        <v>3.4344791666666668E-3</v>
      </c>
      <c r="F247" s="62">
        <v>2.9809375000000005E-3</v>
      </c>
      <c r="G247" s="62"/>
      <c r="H247" s="62"/>
      <c r="I247" s="62"/>
      <c r="J247" s="62"/>
      <c r="K247" s="62"/>
      <c r="L247" s="62"/>
      <c r="M247" s="62">
        <v>6.4154166666666674E-3</v>
      </c>
      <c r="N247" s="62">
        <f t="shared" si="351"/>
        <v>6.4154166666666665E-3</v>
      </c>
      <c r="O247" s="53">
        <f t="shared" si="352"/>
        <v>111</v>
      </c>
      <c r="P247" s="53">
        <f t="shared" si="353"/>
        <v>109</v>
      </c>
      <c r="Q247" s="53" t="str">
        <f t="shared" si="354"/>
        <v/>
      </c>
      <c r="R247" s="53" t="str">
        <f t="shared" si="355"/>
        <v/>
      </c>
      <c r="S247" s="53" t="str">
        <f t="shared" si="356"/>
        <v/>
      </c>
      <c r="T247" s="53" t="str">
        <f t="shared" si="357"/>
        <v/>
      </c>
      <c r="U247" s="53" t="str">
        <f t="shared" si="358"/>
        <v/>
      </c>
      <c r="V247" s="53" t="str">
        <f t="shared" si="359"/>
        <v/>
      </c>
      <c r="W247" s="53" t="str">
        <f t="shared" si="384"/>
        <v>00:04:56.7 (111)</v>
      </c>
      <c r="X247" s="53" t="str">
        <f t="shared" si="360"/>
        <v>00:04:17.6 (109)</v>
      </c>
      <c r="Y247" s="53" t="str">
        <f t="shared" si="361"/>
        <v>DNS/DNF ()</v>
      </c>
      <c r="Z247" s="53" t="str">
        <f t="shared" si="362"/>
        <v>DNS/DNF ()</v>
      </c>
      <c r="AA247" s="53" t="str">
        <f t="shared" si="363"/>
        <v>DNS/DNF ()</v>
      </c>
      <c r="AB247" s="53" t="str">
        <f t="shared" si="364"/>
        <v>DNS/DNF ()</v>
      </c>
      <c r="AC247" s="53" t="str">
        <f t="shared" si="365"/>
        <v>DNS/DNF ()</v>
      </c>
      <c r="AD247" s="53" t="str">
        <f t="shared" si="366"/>
        <v>DNS/DNF ()</v>
      </c>
      <c r="AE247" s="53">
        <v>27953285</v>
      </c>
      <c r="AF247" s="53">
        <v>28250024</v>
      </c>
      <c r="AG247" s="53">
        <v>33653358</v>
      </c>
      <c r="AH247" s="53">
        <v>33910911</v>
      </c>
      <c r="AI247" s="53">
        <v>0</v>
      </c>
      <c r="AJ247" s="53">
        <v>0</v>
      </c>
      <c r="AK247" s="53">
        <v>49693309</v>
      </c>
      <c r="AL247" s="53">
        <v>48783416</v>
      </c>
      <c r="AM247" s="53">
        <v>0</v>
      </c>
      <c r="AN247" s="53">
        <v>0</v>
      </c>
      <c r="AO247" s="53">
        <v>0</v>
      </c>
      <c r="AP247" s="53">
        <v>0</v>
      </c>
      <c r="AQ247" s="53">
        <v>0</v>
      </c>
      <c r="AR247" s="53">
        <v>0</v>
      </c>
      <c r="AS247" s="53">
        <v>0</v>
      </c>
      <c r="AT247" s="53">
        <v>0</v>
      </c>
      <c r="AU247" s="62">
        <f t="shared" si="367"/>
        <v>3.4344791666666668E-3</v>
      </c>
      <c r="AV247" s="62">
        <f t="shared" si="368"/>
        <v>2.9809375000000001E-3</v>
      </c>
      <c r="AW247" s="62" t="str">
        <f t="shared" si="369"/>
        <v>DNS/DNF</v>
      </c>
      <c r="AX247" s="62" t="str">
        <f t="shared" si="370"/>
        <v>DNS/DNF</v>
      </c>
      <c r="AY247" s="62" t="str">
        <f t="shared" si="371"/>
        <v>DNS/DNF</v>
      </c>
      <c r="AZ247" s="62" t="str">
        <f t="shared" si="372"/>
        <v>DNS/DNF</v>
      </c>
      <c r="BA247" s="62" t="str">
        <f t="shared" si="373"/>
        <v>DNS/DNF</v>
      </c>
      <c r="BB247" s="62" t="str">
        <f t="shared" si="374"/>
        <v>DNS/DNF</v>
      </c>
      <c r="BC247" s="75">
        <f t="shared" si="375"/>
        <v>110</v>
      </c>
      <c r="BD247" s="53">
        <f t="shared" si="376"/>
        <v>293142</v>
      </c>
      <c r="BE247" s="53">
        <f t="shared" si="377"/>
        <v>257875.00000000003</v>
      </c>
      <c r="BF247" s="53">
        <f t="shared" si="378"/>
        <v>148042</v>
      </c>
      <c r="BG247" s="53">
        <f t="shared" si="379"/>
        <v>308859</v>
      </c>
      <c r="BH247" s="53">
        <f t="shared" si="380"/>
        <v>348729</v>
      </c>
      <c r="BI247" s="53" t="str">
        <f t="shared" si="381"/>
        <v/>
      </c>
      <c r="BJ247" s="53" t="str">
        <f t="shared" si="382"/>
        <v/>
      </c>
      <c r="BK247" s="53" t="str">
        <f t="shared" si="383"/>
        <v/>
      </c>
    </row>
    <row r="248" spans="1:63">
      <c r="A248" s="53">
        <v>78</v>
      </c>
      <c r="B248" s="89" t="str">
        <f>IFERROR(VLOOKUP($A248,EntryList!$A$3:$N$645,2,FALSE),"")</f>
        <v>Dacre Ewan</v>
      </c>
      <c r="C248" s="74"/>
      <c r="D248" s="53">
        <f t="shared" si="350"/>
        <v>3</v>
      </c>
      <c r="E248" s="62"/>
      <c r="F248" s="62">
        <v>3.8074421296296294E-3</v>
      </c>
      <c r="G248" s="62">
        <v>2.4007870370370368E-3</v>
      </c>
      <c r="H248" s="62"/>
      <c r="I248" s="62">
        <v>4.9391319444444448E-3</v>
      </c>
      <c r="J248" s="62"/>
      <c r="K248" s="62"/>
      <c r="L248" s="62"/>
      <c r="M248" s="62">
        <v>1.114736111111111E-2</v>
      </c>
      <c r="N248" s="62">
        <f t="shared" si="351"/>
        <v>1.1147361111111111E-2</v>
      </c>
      <c r="O248" s="53" t="str">
        <f t="shared" si="352"/>
        <v/>
      </c>
      <c r="P248" s="53">
        <f t="shared" si="353"/>
        <v>237</v>
      </c>
      <c r="Q248" s="53">
        <f t="shared" si="354"/>
        <v>241</v>
      </c>
      <c r="R248" s="53" t="str">
        <f t="shared" si="355"/>
        <v/>
      </c>
      <c r="S248" s="53">
        <f t="shared" si="356"/>
        <v>228</v>
      </c>
      <c r="T248" s="53" t="str">
        <f t="shared" si="357"/>
        <v/>
      </c>
      <c r="U248" s="53" t="str">
        <f t="shared" si="358"/>
        <v/>
      </c>
      <c r="V248" s="53" t="str">
        <f t="shared" si="359"/>
        <v/>
      </c>
      <c r="W248" s="53" t="str">
        <f t="shared" si="384"/>
        <v>DNS/DNF ()</v>
      </c>
      <c r="X248" s="53" t="str">
        <f t="shared" si="360"/>
        <v>00:05:29.0 (237)</v>
      </c>
      <c r="Y248" s="53" t="str">
        <f t="shared" si="361"/>
        <v>00:03:27.4 (241)</v>
      </c>
      <c r="Z248" s="53" t="str">
        <f t="shared" si="362"/>
        <v>DNS/DNF ()</v>
      </c>
      <c r="AA248" s="53" t="str">
        <f t="shared" si="363"/>
        <v>00:07:06.7 (228)</v>
      </c>
      <c r="AB248" s="53" t="str">
        <f t="shared" si="364"/>
        <v>DNS/DNF ()</v>
      </c>
      <c r="AC248" s="53" t="str">
        <f t="shared" si="365"/>
        <v>DNS/DNF ()</v>
      </c>
      <c r="AD248" s="53" t="str">
        <f t="shared" si="366"/>
        <v>DNS/DNF ()</v>
      </c>
      <c r="AE248" s="53">
        <v>0</v>
      </c>
      <c r="AF248" s="53">
        <v>0</v>
      </c>
      <c r="AG248" s="53">
        <v>36749401</v>
      </c>
      <c r="AH248" s="53">
        <v>37078364</v>
      </c>
      <c r="AI248" s="53">
        <v>41425228</v>
      </c>
      <c r="AJ248" s="53">
        <v>41632656</v>
      </c>
      <c r="AK248" s="53">
        <v>0</v>
      </c>
      <c r="AL248" s="53">
        <v>0</v>
      </c>
      <c r="AM248" s="53">
        <v>47836744</v>
      </c>
      <c r="AN248" s="53">
        <v>48263485</v>
      </c>
      <c r="AO248" s="53">
        <v>0</v>
      </c>
      <c r="AP248" s="53">
        <v>0</v>
      </c>
      <c r="AQ248" s="53">
        <v>0</v>
      </c>
      <c r="AR248" s="53">
        <v>0</v>
      </c>
      <c r="AS248" s="53">
        <v>0</v>
      </c>
      <c r="AT248" s="53">
        <v>0</v>
      </c>
      <c r="AU248" s="62" t="str">
        <f t="shared" si="367"/>
        <v>DNS/DNF</v>
      </c>
      <c r="AV248" s="62">
        <f t="shared" si="368"/>
        <v>3.8074421296296298E-3</v>
      </c>
      <c r="AW248" s="62">
        <f t="shared" si="369"/>
        <v>2.4007870370370372E-3</v>
      </c>
      <c r="AX248" s="62" t="str">
        <f t="shared" si="370"/>
        <v>DNS/DNF</v>
      </c>
      <c r="AY248" s="62">
        <f t="shared" si="371"/>
        <v>4.9391319444444448E-3</v>
      </c>
      <c r="AZ248" s="62" t="str">
        <f t="shared" si="372"/>
        <v>DNS/DNF</v>
      </c>
      <c r="BA248" s="62" t="str">
        <f t="shared" si="373"/>
        <v>DNS/DNF</v>
      </c>
      <c r="BB248" s="62" t="str">
        <f t="shared" si="374"/>
        <v>DNS/DNF</v>
      </c>
      <c r="BC248" s="75">
        <f t="shared" si="375"/>
        <v>235</v>
      </c>
      <c r="BD248" s="53" t="str">
        <f t="shared" si="376"/>
        <v/>
      </c>
      <c r="BE248" s="53">
        <f t="shared" si="377"/>
        <v>326212</v>
      </c>
      <c r="BF248" s="53">
        <f t="shared" si="378"/>
        <v>198213</v>
      </c>
      <c r="BG248" s="53" t="str">
        <f t="shared" si="379"/>
        <v/>
      </c>
      <c r="BH248" s="53">
        <f t="shared" si="380"/>
        <v>443907</v>
      </c>
      <c r="BI248" s="53" t="str">
        <f t="shared" si="381"/>
        <v/>
      </c>
      <c r="BJ248" s="53" t="str">
        <f t="shared" si="382"/>
        <v/>
      </c>
      <c r="BK248" s="53" t="str">
        <f t="shared" si="383"/>
        <v/>
      </c>
    </row>
    <row r="249" spans="1:63">
      <c r="A249" s="53">
        <v>64</v>
      </c>
      <c r="B249" s="89" t="str">
        <f>IFERROR(VLOOKUP($A249,EntryList!$A$3:$N$645,2,FALSE),"")</f>
        <v>Samantha Sharp</v>
      </c>
      <c r="C249" s="74"/>
      <c r="D249" s="53">
        <f t="shared" si="350"/>
        <v>3</v>
      </c>
      <c r="E249" s="62"/>
      <c r="F249" s="62">
        <v>3.8792013888888891E-3</v>
      </c>
      <c r="G249" s="62">
        <v>2.2300925925925925E-3</v>
      </c>
      <c r="H249" s="62"/>
      <c r="I249" s="62">
        <v>4.9690509259259262E-3</v>
      </c>
      <c r="J249" s="62"/>
      <c r="K249" s="62"/>
      <c r="L249" s="62"/>
      <c r="M249" s="62">
        <v>1.1078344907407408E-2</v>
      </c>
      <c r="N249" s="62">
        <f t="shared" si="351"/>
        <v>1.1078344907407407E-2</v>
      </c>
      <c r="O249" s="53" t="str">
        <f t="shared" si="352"/>
        <v/>
      </c>
      <c r="P249" s="53">
        <f t="shared" si="353"/>
        <v>245</v>
      </c>
      <c r="Q249" s="53">
        <f t="shared" si="354"/>
        <v>228</v>
      </c>
      <c r="R249" s="53" t="str">
        <f t="shared" si="355"/>
        <v/>
      </c>
      <c r="S249" s="53">
        <f t="shared" si="356"/>
        <v>229</v>
      </c>
      <c r="T249" s="53" t="str">
        <f t="shared" si="357"/>
        <v/>
      </c>
      <c r="U249" s="53" t="str">
        <f t="shared" si="358"/>
        <v/>
      </c>
      <c r="V249" s="53" t="str">
        <f t="shared" si="359"/>
        <v/>
      </c>
      <c r="W249" s="53" t="str">
        <f t="shared" si="384"/>
        <v>DNS/DNF ()</v>
      </c>
      <c r="X249" s="53" t="str">
        <f t="shared" si="360"/>
        <v>00:05:35.2 (245)</v>
      </c>
      <c r="Y249" s="53" t="str">
        <f t="shared" si="361"/>
        <v>00:03:12.7 (228)</v>
      </c>
      <c r="Z249" s="53" t="str">
        <f t="shared" si="362"/>
        <v>DNS/DNF ()</v>
      </c>
      <c r="AA249" s="53" t="str">
        <f t="shared" si="363"/>
        <v>00:07:09.3 (229)</v>
      </c>
      <c r="AB249" s="53" t="str">
        <f t="shared" si="364"/>
        <v>DNS/DNF ()</v>
      </c>
      <c r="AC249" s="53" t="str">
        <f t="shared" si="365"/>
        <v>DNS/DNF ()</v>
      </c>
      <c r="AD249" s="53" t="str">
        <f t="shared" si="366"/>
        <v>DNS/DNF ()</v>
      </c>
      <c r="AE249" s="53">
        <v>0</v>
      </c>
      <c r="AF249" s="53">
        <v>0</v>
      </c>
      <c r="AG249" s="53">
        <v>36698986</v>
      </c>
      <c r="AH249" s="53">
        <v>37034149</v>
      </c>
      <c r="AI249" s="53">
        <v>41403290</v>
      </c>
      <c r="AJ249" s="53">
        <v>41595970</v>
      </c>
      <c r="AK249" s="53">
        <v>0</v>
      </c>
      <c r="AL249" s="53">
        <v>0</v>
      </c>
      <c r="AM249" s="53">
        <v>47823616</v>
      </c>
      <c r="AN249" s="53">
        <v>48252942</v>
      </c>
      <c r="AO249" s="53">
        <v>0</v>
      </c>
      <c r="AP249" s="53">
        <v>0</v>
      </c>
      <c r="AQ249" s="53">
        <v>0</v>
      </c>
      <c r="AR249" s="53">
        <v>0</v>
      </c>
      <c r="AS249" s="53">
        <v>0</v>
      </c>
      <c r="AT249" s="53">
        <v>0</v>
      </c>
      <c r="AU249" s="62" t="str">
        <f t="shared" si="367"/>
        <v>DNS/DNF</v>
      </c>
      <c r="AV249" s="62">
        <f t="shared" si="368"/>
        <v>3.8792013888888891E-3</v>
      </c>
      <c r="AW249" s="62">
        <f t="shared" si="369"/>
        <v>2.2300925925925925E-3</v>
      </c>
      <c r="AX249" s="62" t="str">
        <f t="shared" si="370"/>
        <v>DNS/DNF</v>
      </c>
      <c r="AY249" s="62">
        <f t="shared" si="371"/>
        <v>4.9690509259259262E-3</v>
      </c>
      <c r="AZ249" s="62" t="str">
        <f t="shared" si="372"/>
        <v>DNS/DNF</v>
      </c>
      <c r="BA249" s="62" t="str">
        <f t="shared" si="373"/>
        <v>DNS/DNF</v>
      </c>
      <c r="BB249" s="62" t="str">
        <f t="shared" si="374"/>
        <v>DNS/DNF</v>
      </c>
      <c r="BC249" s="75">
        <f t="shared" si="375"/>
        <v>234</v>
      </c>
      <c r="BD249" s="53" t="str">
        <f t="shared" si="376"/>
        <v/>
      </c>
      <c r="BE249" s="53">
        <f t="shared" si="377"/>
        <v>325095</v>
      </c>
      <c r="BF249" s="53">
        <f t="shared" si="378"/>
        <v>196921.99999999997</v>
      </c>
      <c r="BG249" s="53" t="str">
        <f t="shared" si="379"/>
        <v/>
      </c>
      <c r="BH249" s="53">
        <f t="shared" si="380"/>
        <v>439299</v>
      </c>
      <c r="BI249" s="53" t="str">
        <f t="shared" si="381"/>
        <v/>
      </c>
      <c r="BJ249" s="53" t="str">
        <f t="shared" si="382"/>
        <v/>
      </c>
      <c r="BK249" s="53" t="str">
        <f t="shared" si="383"/>
        <v/>
      </c>
    </row>
    <row r="250" spans="1:63">
      <c r="A250" s="53">
        <v>63</v>
      </c>
      <c r="B250" s="89" t="str">
        <f>IFERROR(VLOOKUP($A250,EntryList!$A$3:$N$645,2,FALSE),"")</f>
        <v>Joshua Baptie</v>
      </c>
      <c r="C250" s="74"/>
      <c r="D250" s="53">
        <f t="shared" si="350"/>
        <v>3</v>
      </c>
      <c r="E250" s="62"/>
      <c r="F250" s="62">
        <v>3.0263773148148151E-3</v>
      </c>
      <c r="G250" s="62">
        <v>1.6936574074074074E-3</v>
      </c>
      <c r="H250" s="62"/>
      <c r="I250" s="62">
        <v>4.2253472222222224E-3</v>
      </c>
      <c r="J250" s="62"/>
      <c r="K250" s="62"/>
      <c r="L250" s="62"/>
      <c r="M250" s="62">
        <v>8.9453819444444433E-3</v>
      </c>
      <c r="N250" s="62">
        <f t="shared" si="351"/>
        <v>8.945381944444445E-3</v>
      </c>
      <c r="O250" s="53" t="str">
        <f t="shared" si="352"/>
        <v/>
      </c>
      <c r="P250" s="53">
        <f t="shared" si="353"/>
        <v>120</v>
      </c>
      <c r="Q250" s="53">
        <f t="shared" si="354"/>
        <v>101</v>
      </c>
      <c r="R250" s="53" t="str">
        <f t="shared" si="355"/>
        <v/>
      </c>
      <c r="S250" s="53">
        <f t="shared" si="356"/>
        <v>159</v>
      </c>
      <c r="T250" s="53" t="str">
        <f t="shared" si="357"/>
        <v/>
      </c>
      <c r="U250" s="53" t="str">
        <f t="shared" si="358"/>
        <v/>
      </c>
      <c r="V250" s="53" t="str">
        <f t="shared" si="359"/>
        <v/>
      </c>
      <c r="W250" s="53" t="str">
        <f t="shared" si="384"/>
        <v>DNS/DNF ()</v>
      </c>
      <c r="X250" s="53" t="str">
        <f t="shared" si="360"/>
        <v>00:04:21.5 (120)</v>
      </c>
      <c r="Y250" s="53" t="str">
        <f t="shared" si="361"/>
        <v>00:02:26.3 (101)</v>
      </c>
      <c r="Z250" s="53" t="str">
        <f t="shared" si="362"/>
        <v>DNS/DNF ()</v>
      </c>
      <c r="AA250" s="53" t="str">
        <f t="shared" si="363"/>
        <v>00:06:05.1 (159)</v>
      </c>
      <c r="AB250" s="53" t="str">
        <f t="shared" si="364"/>
        <v>DNS/DNF ()</v>
      </c>
      <c r="AC250" s="53" t="str">
        <f t="shared" si="365"/>
        <v>DNS/DNF ()</v>
      </c>
      <c r="AD250" s="53" t="str">
        <f t="shared" si="366"/>
        <v>DNS/DNF ()</v>
      </c>
      <c r="AE250" s="53">
        <v>0</v>
      </c>
      <c r="AF250" s="53">
        <v>0</v>
      </c>
      <c r="AG250" s="53">
        <v>36690346</v>
      </c>
      <c r="AH250" s="53">
        <v>36951825</v>
      </c>
      <c r="AI250" s="53">
        <v>41391546</v>
      </c>
      <c r="AJ250" s="53">
        <v>41537878</v>
      </c>
      <c r="AK250" s="53">
        <v>0</v>
      </c>
      <c r="AL250" s="53">
        <v>0</v>
      </c>
      <c r="AM250" s="53">
        <v>47814424</v>
      </c>
      <c r="AN250" s="53">
        <v>48179494</v>
      </c>
      <c r="AO250" s="53">
        <v>0</v>
      </c>
      <c r="AP250" s="53">
        <v>0</v>
      </c>
      <c r="AQ250" s="53">
        <v>0</v>
      </c>
      <c r="AR250" s="53">
        <v>0</v>
      </c>
      <c r="AS250" s="53">
        <v>0</v>
      </c>
      <c r="AT250" s="53">
        <v>0</v>
      </c>
      <c r="AU250" s="62" t="str">
        <f t="shared" si="367"/>
        <v>DNS/DNF</v>
      </c>
      <c r="AV250" s="62">
        <f t="shared" si="368"/>
        <v>3.0263773148148146E-3</v>
      </c>
      <c r="AW250" s="62">
        <f t="shared" si="369"/>
        <v>1.6936574074074074E-3</v>
      </c>
      <c r="AX250" s="62" t="str">
        <f t="shared" si="370"/>
        <v>DNS/DNF</v>
      </c>
      <c r="AY250" s="62">
        <f t="shared" si="371"/>
        <v>4.2253472222222224E-3</v>
      </c>
      <c r="AZ250" s="62" t="str">
        <f t="shared" si="372"/>
        <v>DNS/DNF</v>
      </c>
      <c r="BA250" s="62" t="str">
        <f t="shared" si="373"/>
        <v>DNS/DNF</v>
      </c>
      <c r="BB250" s="62" t="str">
        <f t="shared" si="374"/>
        <v>DNS/DNF</v>
      </c>
      <c r="BC250" s="75">
        <f t="shared" si="375"/>
        <v>127</v>
      </c>
      <c r="BD250" s="53">
        <f t="shared" si="376"/>
        <v>335032</v>
      </c>
      <c r="BE250" s="53">
        <f t="shared" si="377"/>
        <v>265583</v>
      </c>
      <c r="BF250" s="53">
        <f t="shared" si="378"/>
        <v>152320</v>
      </c>
      <c r="BG250" s="53">
        <f t="shared" si="379"/>
        <v>328018</v>
      </c>
      <c r="BH250" s="53">
        <f t="shared" si="380"/>
        <v>353426</v>
      </c>
      <c r="BI250" s="53" t="str">
        <f t="shared" si="381"/>
        <v/>
      </c>
      <c r="BJ250" s="53" t="str">
        <f t="shared" si="382"/>
        <v/>
      </c>
      <c r="BK250" s="53" t="str">
        <f t="shared" si="383"/>
        <v/>
      </c>
    </row>
    <row r="251" spans="1:63">
      <c r="A251" s="53">
        <v>204</v>
      </c>
      <c r="B251" s="89" t="str">
        <f>IFERROR(VLOOKUP($A251,EntryList!$A$3:$N$645,2,FALSE),"")</f>
        <v>Tyler Pearce Denovan</v>
      </c>
      <c r="C251" s="74"/>
      <c r="D251" s="53">
        <f t="shared" si="350"/>
        <v>5</v>
      </c>
      <c r="E251" s="62">
        <v>3.5751388888888886E-3</v>
      </c>
      <c r="F251" s="62">
        <v>3.2429282407407407E-3</v>
      </c>
      <c r="G251" s="62">
        <v>1.857824074074074E-3</v>
      </c>
      <c r="H251" s="62">
        <v>3.7938310185185189E-3</v>
      </c>
      <c r="I251" s="62">
        <v>4.4038541666666662E-3</v>
      </c>
      <c r="J251" s="62"/>
      <c r="K251" s="62"/>
      <c r="L251" s="62"/>
      <c r="M251" s="62">
        <v>1.6873576388888891E-2</v>
      </c>
      <c r="N251" s="62">
        <f t="shared" si="351"/>
        <v>1.6873576388888888E-2</v>
      </c>
      <c r="O251" s="53">
        <f t="shared" si="352"/>
        <v>115</v>
      </c>
      <c r="P251" s="53">
        <f t="shared" si="353"/>
        <v>177</v>
      </c>
      <c r="Q251" s="53">
        <f t="shared" si="354"/>
        <v>163</v>
      </c>
      <c r="R251" s="53">
        <f t="shared" si="355"/>
        <v>126</v>
      </c>
      <c r="S251" s="53">
        <f t="shared" si="356"/>
        <v>185</v>
      </c>
      <c r="T251" s="53" t="str">
        <f t="shared" si="357"/>
        <v/>
      </c>
      <c r="U251" s="53" t="str">
        <f t="shared" si="358"/>
        <v/>
      </c>
      <c r="V251" s="53" t="str">
        <f t="shared" si="359"/>
        <v/>
      </c>
      <c r="W251" s="53" t="str">
        <f t="shared" si="384"/>
        <v>00:05:08.9 (115)</v>
      </c>
      <c r="X251" s="53" t="str">
        <f t="shared" si="360"/>
        <v>00:04:40.2 (177)</v>
      </c>
      <c r="Y251" s="53" t="str">
        <f t="shared" si="361"/>
        <v>00:02:40.5 (163)</v>
      </c>
      <c r="Z251" s="53" t="str">
        <f t="shared" si="362"/>
        <v>00:05:27.8 (126)</v>
      </c>
      <c r="AA251" s="53" t="str">
        <f t="shared" si="363"/>
        <v>00:06:20.5 (185)</v>
      </c>
      <c r="AB251" s="53" t="str">
        <f t="shared" si="364"/>
        <v>DNS/DNF ()</v>
      </c>
      <c r="AC251" s="53" t="str">
        <f t="shared" si="365"/>
        <v>DNS/DNF ()</v>
      </c>
      <c r="AD251" s="53" t="str">
        <f t="shared" si="366"/>
        <v>DNS/DNF ()</v>
      </c>
      <c r="AE251" s="53">
        <v>37150617</v>
      </c>
      <c r="AF251" s="53">
        <v>37459509</v>
      </c>
      <c r="AG251" s="53">
        <v>32669151</v>
      </c>
      <c r="AH251" s="53">
        <v>32949340</v>
      </c>
      <c r="AI251" s="53">
        <v>41039800</v>
      </c>
      <c r="AJ251" s="53">
        <v>41200316</v>
      </c>
      <c r="AK251" s="53">
        <v>45734806</v>
      </c>
      <c r="AL251" s="53">
        <v>46062593</v>
      </c>
      <c r="AM251" s="53">
        <v>48861534</v>
      </c>
      <c r="AN251" s="53">
        <v>49242027</v>
      </c>
      <c r="AO251" s="53">
        <v>0</v>
      </c>
      <c r="AP251" s="53">
        <v>0</v>
      </c>
      <c r="AQ251" s="53">
        <v>0</v>
      </c>
      <c r="AR251" s="53">
        <v>0</v>
      </c>
      <c r="AS251" s="53">
        <v>0</v>
      </c>
      <c r="AT251" s="53">
        <v>0</v>
      </c>
      <c r="AU251" s="62">
        <f t="shared" si="367"/>
        <v>3.575138888888889E-3</v>
      </c>
      <c r="AV251" s="62">
        <f t="shared" si="368"/>
        <v>3.2429282407407407E-3</v>
      </c>
      <c r="AW251" s="62">
        <f t="shared" si="369"/>
        <v>1.857824074074074E-3</v>
      </c>
      <c r="AX251" s="62">
        <f t="shared" si="370"/>
        <v>3.7938310185185184E-3</v>
      </c>
      <c r="AY251" s="62">
        <f t="shared" si="371"/>
        <v>4.403854166666667E-3</v>
      </c>
      <c r="AZ251" s="62" t="str">
        <f t="shared" si="372"/>
        <v>DNS/DNF</v>
      </c>
      <c r="BA251" s="62" t="str">
        <f t="shared" si="373"/>
        <v>DNS/DNF</v>
      </c>
      <c r="BB251" s="62" t="str">
        <f t="shared" si="374"/>
        <v>DNS/DNF</v>
      </c>
      <c r="BC251" s="75">
        <f t="shared" si="375"/>
        <v>153</v>
      </c>
      <c r="BD251" s="53" t="str">
        <f t="shared" si="376"/>
        <v/>
      </c>
      <c r="BE251" s="53">
        <f t="shared" si="377"/>
        <v>273206</v>
      </c>
      <c r="BF251" s="53">
        <f t="shared" si="378"/>
        <v>159462</v>
      </c>
      <c r="BG251" s="53" t="str">
        <f t="shared" si="379"/>
        <v/>
      </c>
      <c r="BH251" s="53">
        <f t="shared" si="380"/>
        <v>362397.99999999994</v>
      </c>
      <c r="BI251" s="53" t="str">
        <f t="shared" si="381"/>
        <v/>
      </c>
      <c r="BJ251" s="53" t="str">
        <f t="shared" si="382"/>
        <v/>
      </c>
      <c r="BK251" s="53" t="str">
        <f t="shared" si="383"/>
        <v/>
      </c>
    </row>
    <row r="252" spans="1:63">
      <c r="A252" s="53">
        <v>147</v>
      </c>
      <c r="B252" s="89" t="str">
        <f>IFERROR(VLOOKUP($A252,EntryList!$A$3:$N$645,2,FALSE),"")</f>
        <v>Coenie Van Niekerk</v>
      </c>
      <c r="C252" s="74"/>
      <c r="D252" s="53">
        <f t="shared" si="350"/>
        <v>3</v>
      </c>
      <c r="E252" s="62">
        <v>3.0597569444444444E-3</v>
      </c>
      <c r="F252" s="62"/>
      <c r="G252" s="62">
        <v>1.6154050925925925E-3</v>
      </c>
      <c r="H252" s="62">
        <v>5.4871412037037041E-3</v>
      </c>
      <c r="I252" s="62"/>
      <c r="J252" s="62"/>
      <c r="K252" s="62"/>
      <c r="L252" s="62"/>
      <c r="M252" s="62">
        <v>1.0162303240740741E-2</v>
      </c>
      <c r="N252" s="62">
        <f t="shared" si="351"/>
        <v>1.0162303240740741E-2</v>
      </c>
      <c r="O252" s="53">
        <f t="shared" si="352"/>
        <v>87</v>
      </c>
      <c r="P252" s="53" t="str">
        <f t="shared" si="353"/>
        <v/>
      </c>
      <c r="Q252" s="53">
        <f t="shared" si="354"/>
        <v>81</v>
      </c>
      <c r="R252" s="53">
        <f t="shared" si="355"/>
        <v>144</v>
      </c>
      <c r="S252" s="53" t="str">
        <f t="shared" si="356"/>
        <v/>
      </c>
      <c r="T252" s="53" t="str">
        <f t="shared" si="357"/>
        <v/>
      </c>
      <c r="U252" s="53" t="str">
        <f t="shared" si="358"/>
        <v/>
      </c>
      <c r="V252" s="53" t="str">
        <f t="shared" si="359"/>
        <v/>
      </c>
      <c r="W252" s="53" t="str">
        <f t="shared" si="384"/>
        <v>00:04:24.4 (87)</v>
      </c>
      <c r="X252" s="53" t="str">
        <f t="shared" si="360"/>
        <v>DNS/DNF ()</v>
      </c>
      <c r="Y252" s="53" t="str">
        <f t="shared" si="361"/>
        <v>00:02:19.6 (81)</v>
      </c>
      <c r="Z252" s="53" t="str">
        <f t="shared" si="362"/>
        <v>00:07:54.1 (144)</v>
      </c>
      <c r="AA252" s="53" t="str">
        <f t="shared" si="363"/>
        <v>DNS/DNF ()</v>
      </c>
      <c r="AB252" s="53" t="str">
        <f t="shared" si="364"/>
        <v>DNS/DNF ()</v>
      </c>
      <c r="AC252" s="53" t="str">
        <f t="shared" si="365"/>
        <v>DNS/DNF ()</v>
      </c>
      <c r="AD252" s="53" t="str">
        <f t="shared" si="366"/>
        <v>DNS/DNF ()</v>
      </c>
      <c r="AE252" s="53">
        <v>27924310</v>
      </c>
      <c r="AF252" s="53">
        <v>28188673</v>
      </c>
      <c r="AG252" s="53">
        <v>0</v>
      </c>
      <c r="AH252" s="53">
        <v>0</v>
      </c>
      <c r="AI252" s="53">
        <v>30578078</v>
      </c>
      <c r="AJ252" s="53">
        <v>30717649</v>
      </c>
      <c r="AK252" s="53">
        <v>36751501</v>
      </c>
      <c r="AL252" s="53">
        <v>37225590</v>
      </c>
      <c r="AM252" s="53">
        <v>0</v>
      </c>
      <c r="AN252" s="53">
        <v>0</v>
      </c>
      <c r="AO252" s="53">
        <v>0</v>
      </c>
      <c r="AP252" s="53">
        <v>0</v>
      </c>
      <c r="AQ252" s="53">
        <v>0</v>
      </c>
      <c r="AR252" s="53">
        <v>0</v>
      </c>
      <c r="AS252" s="53">
        <v>0</v>
      </c>
      <c r="AT252" s="53">
        <v>0</v>
      </c>
      <c r="AU252" s="62">
        <f t="shared" si="367"/>
        <v>3.0597569444444444E-3</v>
      </c>
      <c r="AV252" s="62" t="str">
        <f t="shared" si="368"/>
        <v>DNS/DNF</v>
      </c>
      <c r="AW252" s="62">
        <f t="shared" si="369"/>
        <v>1.6154050925925925E-3</v>
      </c>
      <c r="AX252" s="62">
        <f t="shared" si="370"/>
        <v>5.4871412037037033E-3</v>
      </c>
      <c r="AY252" s="62" t="str">
        <f t="shared" si="371"/>
        <v>DNS/DNF</v>
      </c>
      <c r="AZ252" s="62" t="str">
        <f t="shared" si="372"/>
        <v>DNS/DNF</v>
      </c>
      <c r="BA252" s="62" t="str">
        <f t="shared" si="373"/>
        <v>DNS/DNF</v>
      </c>
      <c r="BB252" s="62" t="str">
        <f t="shared" si="374"/>
        <v>DNS/DNF</v>
      </c>
      <c r="BC252" s="75">
        <f t="shared" si="375"/>
        <v>104</v>
      </c>
      <c r="BD252" s="53">
        <f t="shared" si="376"/>
        <v>283353</v>
      </c>
      <c r="BE252" s="53">
        <f t="shared" si="377"/>
        <v>256226</v>
      </c>
      <c r="BF252" s="53">
        <f t="shared" si="378"/>
        <v>147052</v>
      </c>
      <c r="BG252" s="53">
        <f t="shared" si="379"/>
        <v>302969</v>
      </c>
      <c r="BH252" s="53">
        <f t="shared" si="380"/>
        <v>344338</v>
      </c>
      <c r="BI252" s="53" t="str">
        <f t="shared" si="381"/>
        <v/>
      </c>
      <c r="BJ252" s="53" t="str">
        <f t="shared" si="382"/>
        <v/>
      </c>
      <c r="BK252" s="53" t="str">
        <f t="shared" si="383"/>
        <v/>
      </c>
    </row>
    <row r="253" spans="1:63">
      <c r="A253" s="53">
        <v>214</v>
      </c>
      <c r="B253" s="89" t="str">
        <f>IFERROR(VLOOKUP($A253,EntryList!$A$3:$N$645,2,FALSE),"")</f>
        <v>James Mccann</v>
      </c>
      <c r="C253" s="74"/>
      <c r="D253" s="53">
        <f t="shared" si="350"/>
        <v>5</v>
      </c>
      <c r="E253" s="62">
        <v>2.995046296296296E-3</v>
      </c>
      <c r="F253" s="62">
        <v>3.2934259259259258E-3</v>
      </c>
      <c r="G253" s="62">
        <v>1.7145601851851853E-3</v>
      </c>
      <c r="H253" s="62">
        <v>3.3513773148148144E-3</v>
      </c>
      <c r="I253" s="62">
        <v>4.1329398148148141E-3</v>
      </c>
      <c r="J253" s="62"/>
      <c r="K253" s="62"/>
      <c r="L253" s="62"/>
      <c r="M253" s="62">
        <v>1.5487349537037037E-2</v>
      </c>
      <c r="N253" s="62">
        <f t="shared" si="351"/>
        <v>1.5487349537037037E-2</v>
      </c>
      <c r="O253" s="53">
        <f t="shared" si="352"/>
        <v>85</v>
      </c>
      <c r="P253" s="53">
        <f t="shared" si="353"/>
        <v>192</v>
      </c>
      <c r="Q253" s="53">
        <f t="shared" si="354"/>
        <v>111</v>
      </c>
      <c r="R253" s="53">
        <f t="shared" si="355"/>
        <v>86</v>
      </c>
      <c r="S253" s="53">
        <f t="shared" si="356"/>
        <v>139</v>
      </c>
      <c r="T253" s="53" t="str">
        <f t="shared" si="357"/>
        <v/>
      </c>
      <c r="U253" s="53" t="str">
        <f t="shared" si="358"/>
        <v/>
      </c>
      <c r="V253" s="53" t="str">
        <f t="shared" si="359"/>
        <v/>
      </c>
      <c r="W253" s="53" t="str">
        <f t="shared" si="384"/>
        <v>00:04:18.8 (85)</v>
      </c>
      <c r="X253" s="53" t="str">
        <f t="shared" si="360"/>
        <v>00:04:44.6 (192)</v>
      </c>
      <c r="Y253" s="53" t="str">
        <f t="shared" si="361"/>
        <v>00:02:28.1 (111)</v>
      </c>
      <c r="Z253" s="53" t="str">
        <f t="shared" si="362"/>
        <v>00:04:49.6 (86)</v>
      </c>
      <c r="AA253" s="53" t="str">
        <f t="shared" si="363"/>
        <v>00:05:57.1 (139)</v>
      </c>
      <c r="AB253" s="53" t="str">
        <f t="shared" si="364"/>
        <v>DNS/DNF ()</v>
      </c>
      <c r="AC253" s="53" t="str">
        <f t="shared" si="365"/>
        <v>DNS/DNF ()</v>
      </c>
      <c r="AD253" s="53" t="str">
        <f t="shared" si="366"/>
        <v>DNS/DNF ()</v>
      </c>
      <c r="AE253" s="53">
        <v>37122601</v>
      </c>
      <c r="AF253" s="53">
        <v>37381373</v>
      </c>
      <c r="AG253" s="53">
        <v>32652183</v>
      </c>
      <c r="AH253" s="53">
        <v>32936735</v>
      </c>
      <c r="AI253" s="53">
        <v>41017582</v>
      </c>
      <c r="AJ253" s="53">
        <v>41165720</v>
      </c>
      <c r="AK253" s="53">
        <v>45722352</v>
      </c>
      <c r="AL253" s="53">
        <v>46011911</v>
      </c>
      <c r="AM253" s="53">
        <v>48834972</v>
      </c>
      <c r="AN253" s="53">
        <v>49192058</v>
      </c>
      <c r="AO253" s="53">
        <v>0</v>
      </c>
      <c r="AP253" s="53">
        <v>0</v>
      </c>
      <c r="AQ253" s="53">
        <v>0</v>
      </c>
      <c r="AR253" s="53">
        <v>0</v>
      </c>
      <c r="AS253" s="53">
        <v>0</v>
      </c>
      <c r="AT253" s="53">
        <v>0</v>
      </c>
      <c r="AU253" s="62">
        <f t="shared" si="367"/>
        <v>2.9950462962962964E-3</v>
      </c>
      <c r="AV253" s="62">
        <f t="shared" si="368"/>
        <v>3.2934259259259258E-3</v>
      </c>
      <c r="AW253" s="62">
        <f t="shared" si="369"/>
        <v>1.7145601851851853E-3</v>
      </c>
      <c r="AX253" s="62">
        <f t="shared" si="370"/>
        <v>3.3513773148148148E-3</v>
      </c>
      <c r="AY253" s="62">
        <f t="shared" si="371"/>
        <v>4.132939814814815E-3</v>
      </c>
      <c r="AZ253" s="62" t="str">
        <f t="shared" si="372"/>
        <v>DNS/DNF</v>
      </c>
      <c r="BA253" s="62" t="str">
        <f t="shared" si="373"/>
        <v>DNS/DNF</v>
      </c>
      <c r="BB253" s="62" t="str">
        <f t="shared" si="374"/>
        <v>DNS/DNF</v>
      </c>
      <c r="BC253" s="75">
        <f t="shared" si="375"/>
        <v>123</v>
      </c>
      <c r="BD253" s="53">
        <f t="shared" si="376"/>
        <v>322090</v>
      </c>
      <c r="BE253" s="53">
        <f t="shared" si="377"/>
        <v>263550</v>
      </c>
      <c r="BF253" s="53">
        <f t="shared" si="378"/>
        <v>151750</v>
      </c>
      <c r="BG253" s="53">
        <f t="shared" si="379"/>
        <v>321001</v>
      </c>
      <c r="BH253" s="53">
        <f t="shared" si="380"/>
        <v>352347</v>
      </c>
      <c r="BI253" s="53" t="str">
        <f t="shared" si="381"/>
        <v/>
      </c>
      <c r="BJ253" s="53" t="str">
        <f t="shared" si="382"/>
        <v/>
      </c>
      <c r="BK253" s="53" t="str">
        <f t="shared" si="383"/>
        <v/>
      </c>
    </row>
    <row r="254" spans="1:63">
      <c r="A254" s="53">
        <v>262</v>
      </c>
      <c r="B254" s="89" t="str">
        <f>IFERROR(VLOOKUP($A254,EntryList!$A$3:$N$645,2,FALSE),"")</f>
        <v>Julian Peter Oosthuizen</v>
      </c>
      <c r="C254" s="74"/>
      <c r="D254" s="53">
        <f t="shared" si="350"/>
        <v>5</v>
      </c>
      <c r="E254" s="62">
        <v>6.0166666666666667E-3</v>
      </c>
      <c r="F254" s="62">
        <v>3.8634375000000001E-3</v>
      </c>
      <c r="G254" s="62">
        <v>2.4243981481481482E-3</v>
      </c>
      <c r="H254" s="62">
        <v>5.5647106481481494E-3</v>
      </c>
      <c r="I254" s="62">
        <v>5.4521296296296297E-3</v>
      </c>
      <c r="J254" s="62"/>
      <c r="K254" s="62"/>
      <c r="L254" s="62"/>
      <c r="M254" s="62">
        <v>2.3321342592592591E-2</v>
      </c>
      <c r="N254" s="62">
        <f t="shared" si="351"/>
        <v>2.3321342592592591E-2</v>
      </c>
      <c r="O254" s="53">
        <f t="shared" si="352"/>
        <v>148</v>
      </c>
      <c r="P254" s="53">
        <f t="shared" si="353"/>
        <v>244</v>
      </c>
      <c r="Q254" s="53">
        <f t="shared" si="354"/>
        <v>244</v>
      </c>
      <c r="R254" s="53">
        <f t="shared" si="355"/>
        <v>145</v>
      </c>
      <c r="S254" s="53">
        <f t="shared" si="356"/>
        <v>245</v>
      </c>
      <c r="T254" s="53" t="str">
        <f t="shared" si="357"/>
        <v/>
      </c>
      <c r="U254" s="53" t="str">
        <f t="shared" si="358"/>
        <v/>
      </c>
      <c r="V254" s="53" t="str">
        <f t="shared" si="359"/>
        <v/>
      </c>
      <c r="W254" s="53" t="str">
        <f t="shared" si="384"/>
        <v>00:08:39.8 (148)</v>
      </c>
      <c r="X254" s="53" t="str">
        <f t="shared" si="360"/>
        <v>00:05:33.8 (244)</v>
      </c>
      <c r="Y254" s="53" t="str">
        <f t="shared" si="361"/>
        <v>00:03:29.5 (244)</v>
      </c>
      <c r="Z254" s="53" t="str">
        <f t="shared" si="362"/>
        <v>00:08:00.8 (145)</v>
      </c>
      <c r="AA254" s="53" t="str">
        <f t="shared" si="363"/>
        <v>00:07:51.1 (245)</v>
      </c>
      <c r="AB254" s="53" t="str">
        <f t="shared" si="364"/>
        <v>DNS/DNF ()</v>
      </c>
      <c r="AC254" s="53" t="str">
        <f t="shared" si="365"/>
        <v>DNS/DNF ()</v>
      </c>
      <c r="AD254" s="53" t="str">
        <f t="shared" si="366"/>
        <v>DNS/DNF ()</v>
      </c>
      <c r="AE254" s="53">
        <v>36956400</v>
      </c>
      <c r="AF254" s="53">
        <v>37476240</v>
      </c>
      <c r="AG254" s="53">
        <v>32749621</v>
      </c>
      <c r="AH254" s="53">
        <v>33083422</v>
      </c>
      <c r="AI254" s="53">
        <v>40762172</v>
      </c>
      <c r="AJ254" s="53">
        <v>40971640</v>
      </c>
      <c r="AK254" s="53">
        <v>45968984</v>
      </c>
      <c r="AL254" s="53">
        <v>46449775</v>
      </c>
      <c r="AM254" s="53">
        <v>48896060</v>
      </c>
      <c r="AN254" s="53">
        <v>49367124</v>
      </c>
      <c r="AO254" s="53">
        <v>0</v>
      </c>
      <c r="AP254" s="53">
        <v>0</v>
      </c>
      <c r="AQ254" s="53">
        <v>0</v>
      </c>
      <c r="AR254" s="53">
        <v>0</v>
      </c>
      <c r="AS254" s="53">
        <v>0</v>
      </c>
      <c r="AT254" s="53">
        <v>0</v>
      </c>
      <c r="AU254" s="62">
        <f t="shared" si="367"/>
        <v>6.0166666666666667E-3</v>
      </c>
      <c r="AV254" s="62">
        <f t="shared" si="368"/>
        <v>3.8634375000000001E-3</v>
      </c>
      <c r="AW254" s="62">
        <f t="shared" si="369"/>
        <v>2.4243981481481482E-3</v>
      </c>
      <c r="AX254" s="62">
        <f t="shared" si="370"/>
        <v>5.5647106481481485E-3</v>
      </c>
      <c r="AY254" s="62">
        <f t="shared" si="371"/>
        <v>5.4521296296296297E-3</v>
      </c>
      <c r="AZ254" s="62" t="str">
        <f t="shared" si="372"/>
        <v>DNS/DNF</v>
      </c>
      <c r="BA254" s="62" t="str">
        <f t="shared" si="373"/>
        <v>DNS/DNF</v>
      </c>
      <c r="BB254" s="62" t="str">
        <f t="shared" si="374"/>
        <v>DNS/DNF</v>
      </c>
      <c r="BC254" s="75">
        <f t="shared" si="375"/>
        <v>205</v>
      </c>
      <c r="BD254" s="53" t="str">
        <f t="shared" si="376"/>
        <v/>
      </c>
      <c r="BE254" s="53">
        <f t="shared" si="377"/>
        <v>295128</v>
      </c>
      <c r="BF254" s="53">
        <f t="shared" si="378"/>
        <v>174194</v>
      </c>
      <c r="BG254" s="53" t="str">
        <f t="shared" si="379"/>
        <v/>
      </c>
      <c r="BH254" s="53">
        <f t="shared" si="380"/>
        <v>395570.00000000006</v>
      </c>
      <c r="BI254" s="53" t="str">
        <f t="shared" si="381"/>
        <v/>
      </c>
      <c r="BJ254" s="53" t="str">
        <f t="shared" si="382"/>
        <v/>
      </c>
      <c r="BK254" s="53" t="str">
        <f t="shared" si="383"/>
        <v/>
      </c>
    </row>
    <row r="255" spans="1:63">
      <c r="A255" s="53">
        <v>259</v>
      </c>
      <c r="B255" s="89" t="str">
        <f>IFERROR(VLOOKUP($A255,EntryList!$A$3:$N$645,2,FALSE),"")</f>
        <v>Jessi Nixon</v>
      </c>
      <c r="C255" s="74"/>
      <c r="D255" s="53">
        <f t="shared" si="350"/>
        <v>5</v>
      </c>
      <c r="E255" s="62">
        <v>2.9082407407407408E-3</v>
      </c>
      <c r="F255" s="62">
        <v>3.0115856481481482E-3</v>
      </c>
      <c r="G255" s="62">
        <v>1.6917245370370369E-3</v>
      </c>
      <c r="H255" s="62">
        <v>3.3924421296296294E-3</v>
      </c>
      <c r="I255" s="62">
        <v>4.0721875000000003E-3</v>
      </c>
      <c r="J255" s="62"/>
      <c r="K255" s="62"/>
      <c r="L255" s="62"/>
      <c r="M255" s="62">
        <v>1.5076180555555556E-2</v>
      </c>
      <c r="N255" s="62">
        <f t="shared" si="351"/>
        <v>1.5076180555555558E-2</v>
      </c>
      <c r="O255" s="53">
        <f t="shared" si="352"/>
        <v>76</v>
      </c>
      <c r="P255" s="53">
        <f t="shared" si="353"/>
        <v>117</v>
      </c>
      <c r="Q255" s="53">
        <f t="shared" si="354"/>
        <v>100</v>
      </c>
      <c r="R255" s="53">
        <f t="shared" si="355"/>
        <v>90</v>
      </c>
      <c r="S255" s="53">
        <f t="shared" si="356"/>
        <v>118</v>
      </c>
      <c r="T255" s="53" t="str">
        <f t="shared" si="357"/>
        <v/>
      </c>
      <c r="U255" s="53" t="str">
        <f t="shared" si="358"/>
        <v/>
      </c>
      <c r="V255" s="53" t="str">
        <f t="shared" si="359"/>
        <v/>
      </c>
      <c r="W255" s="53" t="str">
        <f t="shared" si="384"/>
        <v>00:04:11.3 (76)</v>
      </c>
      <c r="X255" s="53" t="str">
        <f t="shared" si="360"/>
        <v>00:04:20.2 (117)</v>
      </c>
      <c r="Y255" s="53" t="str">
        <f t="shared" si="361"/>
        <v>00:02:26.2 (100)</v>
      </c>
      <c r="Z255" s="53" t="str">
        <f t="shared" si="362"/>
        <v>00:04:53.1 (90)</v>
      </c>
      <c r="AA255" s="53" t="str">
        <f t="shared" si="363"/>
        <v>00:05:51.8 (118)</v>
      </c>
      <c r="AB255" s="53" t="str">
        <f t="shared" si="364"/>
        <v>DNS/DNF ()</v>
      </c>
      <c r="AC255" s="53" t="str">
        <f t="shared" si="365"/>
        <v>DNS/DNF ()</v>
      </c>
      <c r="AD255" s="53" t="str">
        <f t="shared" si="366"/>
        <v>DNS/DNF ()</v>
      </c>
      <c r="AE255" s="53">
        <v>35509219</v>
      </c>
      <c r="AF255" s="53">
        <v>35760491</v>
      </c>
      <c r="AG255" s="53">
        <v>39013962</v>
      </c>
      <c r="AH255" s="53">
        <v>39274163</v>
      </c>
      <c r="AI255" s="53">
        <v>31776794</v>
      </c>
      <c r="AJ255" s="53">
        <v>31922959</v>
      </c>
      <c r="AK255" s="53">
        <v>45045935</v>
      </c>
      <c r="AL255" s="53">
        <v>45339042</v>
      </c>
      <c r="AM255" s="53">
        <v>48545656</v>
      </c>
      <c r="AN255" s="53">
        <v>48897493</v>
      </c>
      <c r="AO255" s="53">
        <v>0</v>
      </c>
      <c r="AP255" s="53">
        <v>0</v>
      </c>
      <c r="AQ255" s="53">
        <v>0</v>
      </c>
      <c r="AR255" s="53">
        <v>0</v>
      </c>
      <c r="AS255" s="53">
        <v>0</v>
      </c>
      <c r="AT255" s="53">
        <v>0</v>
      </c>
      <c r="AU255" s="62">
        <f t="shared" si="367"/>
        <v>2.9082407407407408E-3</v>
      </c>
      <c r="AV255" s="62">
        <f t="shared" si="368"/>
        <v>3.0115856481481482E-3</v>
      </c>
      <c r="AW255" s="62">
        <f t="shared" si="369"/>
        <v>1.6917245370370369E-3</v>
      </c>
      <c r="AX255" s="62">
        <f t="shared" si="370"/>
        <v>3.3924421296296298E-3</v>
      </c>
      <c r="AY255" s="62">
        <f t="shared" si="371"/>
        <v>4.0721875000000003E-3</v>
      </c>
      <c r="AZ255" s="62" t="str">
        <f t="shared" si="372"/>
        <v>DNS/DNF</v>
      </c>
      <c r="BA255" s="62" t="str">
        <f t="shared" si="373"/>
        <v>DNS/DNF</v>
      </c>
      <c r="BB255" s="62" t="str">
        <f t="shared" si="374"/>
        <v>DNS/DNF</v>
      </c>
      <c r="BC255" s="75">
        <f t="shared" si="375"/>
        <v>100</v>
      </c>
      <c r="BD255" s="53">
        <f t="shared" si="376"/>
        <v>278323</v>
      </c>
      <c r="BE255" s="53">
        <f t="shared" si="377"/>
        <v>253033</v>
      </c>
      <c r="BF255" s="53">
        <f t="shared" si="378"/>
        <v>146165</v>
      </c>
      <c r="BG255" s="53">
        <f t="shared" si="379"/>
        <v>300170</v>
      </c>
      <c r="BH255" s="53">
        <f t="shared" si="380"/>
        <v>343196</v>
      </c>
      <c r="BI255" s="53" t="str">
        <f t="shared" si="381"/>
        <v/>
      </c>
      <c r="BJ255" s="53" t="str">
        <f t="shared" si="382"/>
        <v/>
      </c>
      <c r="BK255" s="53" t="str">
        <f t="shared" si="383"/>
        <v/>
      </c>
    </row>
    <row r="256" spans="1:63">
      <c r="A256" s="53">
        <v>89</v>
      </c>
      <c r="B256" s="89" t="str">
        <f>IFERROR(VLOOKUP($A256,EntryList!$A$3:$N$645,2,FALSE),"")</f>
        <v>Nicholas Thompson</v>
      </c>
      <c r="C256" s="74"/>
      <c r="D256" s="53">
        <f>COUNT($AU256:$BB256)</f>
        <v>5</v>
      </c>
      <c r="E256" s="62">
        <v>4.3679513888888891E-3</v>
      </c>
      <c r="F256" s="62">
        <v>3.3945833333333332E-3</v>
      </c>
      <c r="G256" s="62">
        <v>2.1856018518518522E-3</v>
      </c>
      <c r="H256" s="62">
        <v>4.4222569444444448E-3</v>
      </c>
      <c r="I256" s="62">
        <v>4.7301736111111112E-3</v>
      </c>
      <c r="J256" s="62"/>
      <c r="K256" s="62"/>
      <c r="L256" s="62"/>
      <c r="M256" s="62">
        <v>1.9100567129629629E-2</v>
      </c>
      <c r="N256" s="62">
        <f>SUM($AU256:$BB256)</f>
        <v>1.9100567129629629E-2</v>
      </c>
      <c r="O256" s="53">
        <f>IFERROR(RANK($AU256,AU$3:AU$500,1),"")</f>
        <v>137</v>
      </c>
      <c r="P256" s="53">
        <f>IFERROR(RANK($AV256,AV$3:AV$500,1),"")</f>
        <v>203</v>
      </c>
      <c r="Q256" s="53">
        <f>IFERROR(RANK($AW256,AW$3:AW$500,1),"")</f>
        <v>225</v>
      </c>
      <c r="R256" s="53">
        <f>IFERROR(RANK($AX256,AX$3:AX$500,1),"")</f>
        <v>140</v>
      </c>
      <c r="S256" s="53">
        <f>IFERROR(RANK($AY256,AY$3:AY$500,1),"")</f>
        <v>220</v>
      </c>
      <c r="T256" s="53" t="str">
        <f>IFERROR(RANK($AZ256,AZ$3:AZ$500,1),"")</f>
        <v/>
      </c>
      <c r="U256" s="53" t="str">
        <f>IFERROR(RANK($BA256,BA$3:BA$500,1),"")</f>
        <v/>
      </c>
      <c r="V256" s="53" t="str">
        <f>IFERROR(RANK($BB256,BB$3:BB$500,1),"")</f>
        <v/>
      </c>
      <c r="W256" s="53" t="str">
        <f>CONCATENATE(TEXT($AU256,"[hh]:mm:ss.0")," ","(",$O256,")")</f>
        <v>00:06:17.4 (137)</v>
      </c>
      <c r="X256" s="53" t="str">
        <f>CONCATENATE(TEXT($AV256,"[hh]:mm:ss.0")," ","(",$P256,")")</f>
        <v>00:04:53.3 (203)</v>
      </c>
      <c r="Y256" s="53" t="str">
        <f>CONCATENATE(TEXT($AW256,"[hh]:mm:ss.0")," ","(",$Q256,")")</f>
        <v>00:03:08.8 (225)</v>
      </c>
      <c r="Z256" s="53" t="str">
        <f>CONCATENATE(TEXT($AX256,"[hh]:mm:ss.0")," ","(",$R256,")")</f>
        <v>00:06:22.1 (140)</v>
      </c>
      <c r="AA256" s="53" t="str">
        <f>CONCATENATE(TEXT($AY256,"[hh]:mm:ss.0")," ","(",$S256,")")</f>
        <v>00:06:48.7 (220)</v>
      </c>
      <c r="AB256" s="53" t="str">
        <f>CONCATENATE(TEXT($AZ256,"[hh]:mm:ss.0")," ","(",$T256,")")</f>
        <v>DNS/DNF ()</v>
      </c>
      <c r="AC256" s="53" t="str">
        <f>CONCATENATE(TEXT($BA256,"[hh]:mm:ss.0")," ","(",$U256,")")</f>
        <v>DNS/DNF ()</v>
      </c>
      <c r="AD256" s="53" t="str">
        <f>CONCATENATE(TEXT($BB256,"[hh]:mm:ss.0")," ","(",$V256,")")</f>
        <v>DNS/DNF ()</v>
      </c>
      <c r="AE256" s="53">
        <v>32937395</v>
      </c>
      <c r="AF256" s="53">
        <v>33314786</v>
      </c>
      <c r="AG256" s="53">
        <v>37606572</v>
      </c>
      <c r="AH256" s="53">
        <v>37899864</v>
      </c>
      <c r="AI256" s="53">
        <v>41364038</v>
      </c>
      <c r="AJ256" s="53">
        <v>41552874</v>
      </c>
      <c r="AK256" s="53">
        <v>46096360</v>
      </c>
      <c r="AL256" s="53">
        <v>46478443</v>
      </c>
      <c r="AM256" s="53">
        <v>49054232</v>
      </c>
      <c r="AN256" s="53">
        <v>49462919</v>
      </c>
      <c r="AO256" s="53">
        <v>0</v>
      </c>
      <c r="AP256" s="53">
        <v>0</v>
      </c>
      <c r="AQ256" s="53">
        <v>0</v>
      </c>
      <c r="AR256" s="53">
        <v>0</v>
      </c>
      <c r="AS256" s="53">
        <v>0</v>
      </c>
      <c r="AT256" s="53">
        <v>0</v>
      </c>
      <c r="AU256" s="62">
        <f>IF((OR($AE256=0,$AF256=0,$AF256-$AE256&lt;0)),"DNS/DNF",($AF256-$AE256)/86400000)</f>
        <v>4.3679513888888891E-3</v>
      </c>
      <c r="AV256" s="62">
        <f>IF((OR($AG256=0,$AH256=0,$AH256-$AG256&lt;0)),"DNS/DNF",($AH256-$AG256)/86400000)</f>
        <v>3.3945833333333332E-3</v>
      </c>
      <c r="AW256" s="62">
        <f>IF((OR($AI256=0,$AJ256=0,$AJ256-$AI256&lt;0)),"DNS/DNF",($AJ256-$AI256)/86400000)</f>
        <v>2.1856018518518518E-3</v>
      </c>
      <c r="AX256" s="62">
        <f>IF((OR($AK256=0,$AL256=0,$AL256-$AK256&lt;0)),"DNS/DNF",($AL256-$AK256)/86400000)</f>
        <v>4.4222569444444448E-3</v>
      </c>
      <c r="AY256" s="62">
        <f>IF((OR($AM256=0,$AM256=0,$AN256-$AM256&lt;0)),"DNS/DNF",($AN256-$AM256)/86400000)</f>
        <v>4.7301736111111112E-3</v>
      </c>
      <c r="AZ256" s="62" t="str">
        <f>IF((OR($AO256=0,$AP256=0,$AP256-$AO256&lt;0)),"DNS/DNF",($AP256-$AO256)/86400000)</f>
        <v>DNS/DNF</v>
      </c>
      <c r="BA256" s="62" t="str">
        <f>IF((OR($AQ256=0,$AR256=0,$AR256-$AQ256&lt;0)),"DNS/DNF",($AR256-$AQ256)/86400000)</f>
        <v>DNS/DNF</v>
      </c>
      <c r="BB256" s="62" t="str">
        <f>IF((OR($AS256=0,$AT256=0,$AT256-$AS256&lt;0)),"DNS/DNF",($AT256-$AS256)/86400000)</f>
        <v>DNS/DNF</v>
      </c>
      <c r="BC256" s="75">
        <f>IFERROR(ROUND(AVERAGE(O256:V256),0),"")</f>
        <v>185</v>
      </c>
      <c r="BD256" s="53" t="str">
        <f>IFERROR((INDEX(($AU$3:$AU$500)*86400000,MATCH(BC256,$O$3:$O$500,0))),"")</f>
        <v/>
      </c>
      <c r="BE256" s="53">
        <f>IFERROR((INDEX(($AV$3:$AV$500)*86400000,MATCH(BC256,$P$3:$P$500,0))),"")</f>
        <v>283957</v>
      </c>
      <c r="BF256" s="53">
        <f>IFERROR((INDEX(($AW$3:$AW$500)*86400000,MATCH(BC256,$Q$3:$Q$500,0))),"")</f>
        <v>165030</v>
      </c>
      <c r="BG256" s="53" t="str">
        <f>IFERROR((INDEX(($AX$3:$AX$500)*86400000,MATCH(BC256,$R$3:$R$500,0))),"")</f>
        <v/>
      </c>
      <c r="BH256" s="53">
        <f>IFERROR((INDEX(($AY$3:$AY$500)*86400000,MATCH(BC256,$S$3:$S$500,0))),"")</f>
        <v>380493.00000000006</v>
      </c>
      <c r="BI256" s="53" t="str">
        <f>IFERROR((INDEX(($AZ$3:$AZ$500)*86400000,MATCH(BC256,$T$3:$T$500,0))),"")</f>
        <v/>
      </c>
      <c r="BJ256" s="53" t="str">
        <f>IFERROR((INDEX(($BA$3:$BA$500)*86400000,MATCH(BC256,$U$3:$U$500,0))),"")</f>
        <v/>
      </c>
      <c r="BK256" s="53" t="str">
        <f>IFERROR((INDEX(($BB$3:$BB$500)*86400000,MATCH(BC256,$V$3:$V$500,0))),"")</f>
        <v/>
      </c>
    </row>
    <row r="257" spans="1:63">
      <c r="A257" s="53">
        <v>40</v>
      </c>
      <c r="B257" s="89" t="str">
        <f>IFERROR(VLOOKUP($A257,EntryList!$A$3:$N$645,2,FALSE),"")</f>
        <v>Eugene Elliott</v>
      </c>
      <c r="C257" s="74"/>
      <c r="D257" s="53">
        <f t="shared" ref="D257:D260" si="385">COUNT($AU257:$BB257)</f>
        <v>5</v>
      </c>
      <c r="E257" s="62">
        <v>3.3460532407407402E-3</v>
      </c>
      <c r="F257" s="62">
        <v>3.1118171296296297E-3</v>
      </c>
      <c r="G257" s="62">
        <v>1.7841666666666665E-3</v>
      </c>
      <c r="H257" s="62">
        <v>3.430763888888889E-3</v>
      </c>
      <c r="I257" s="62">
        <v>3.9850231481481481E-3</v>
      </c>
      <c r="J257" s="62"/>
      <c r="K257" s="62"/>
      <c r="L257" s="62"/>
      <c r="M257" s="62">
        <v>1.5657824074074074E-2</v>
      </c>
      <c r="N257" s="62">
        <f t="shared" ref="N257:N260" si="386">SUM($AU257:$BB257)</f>
        <v>1.5657824074074074E-2</v>
      </c>
      <c r="O257" s="53">
        <f t="shared" ref="O257:O260" si="387">IFERROR(RANK($AU257,AU$3:AU$500,1),"")</f>
        <v>108</v>
      </c>
      <c r="P257" s="53">
        <f t="shared" ref="P257:P260" si="388">IFERROR(RANK($AV257,AV$3:AV$500,1),"")</f>
        <v>141</v>
      </c>
      <c r="Q257" s="53">
        <f t="shared" ref="Q257:Q260" si="389">IFERROR(RANK($AW257,AW$3:AW$500,1),"")</f>
        <v>135</v>
      </c>
      <c r="R257" s="53">
        <f t="shared" ref="R257:R260" si="390">IFERROR(RANK($AX257,AX$3:AX$500,1),"")</f>
        <v>95</v>
      </c>
      <c r="S257" s="53">
        <f t="shared" ref="S257:S260" si="391">IFERROR(RANK($AY257,AY$3:AY$500,1),"")</f>
        <v>103</v>
      </c>
      <c r="T257" s="53" t="str">
        <f t="shared" ref="T257:T260" si="392">IFERROR(RANK($AZ257,AZ$3:AZ$500,1),"")</f>
        <v/>
      </c>
      <c r="U257" s="53" t="str">
        <f t="shared" ref="U257:U260" si="393">IFERROR(RANK($BA257,BA$3:BA$500,1),"")</f>
        <v/>
      </c>
      <c r="V257" s="53" t="str">
        <f t="shared" ref="V257:V260" si="394">IFERROR(RANK($BB257,BB$3:BB$500,1),"")</f>
        <v/>
      </c>
      <c r="W257" s="53" t="str">
        <f>CONCATENATE(TEXT($AU257,"[hh]:mm:ss.0")," ","(",$O257,")")</f>
        <v>00:04:49.1 (108)</v>
      </c>
      <c r="X257" s="53" t="str">
        <f t="shared" ref="X257:X260" si="395">CONCATENATE(TEXT($AV257,"[hh]:mm:ss.0")," ","(",$P257,")")</f>
        <v>00:04:28.9 (141)</v>
      </c>
      <c r="Y257" s="53" t="str">
        <f t="shared" ref="Y257:Y260" si="396">CONCATENATE(TEXT($AW257,"[hh]:mm:ss.0")," ","(",$Q257,")")</f>
        <v>00:02:34.2 (135)</v>
      </c>
      <c r="Z257" s="53" t="str">
        <f t="shared" ref="Z257:Z260" si="397">CONCATENATE(TEXT($AX257,"[hh]:mm:ss.0")," ","(",$R257,")")</f>
        <v>00:04:56.4 (95)</v>
      </c>
      <c r="AA257" s="53" t="str">
        <f t="shared" ref="AA257:AA260" si="398">CONCATENATE(TEXT($AY257,"[hh]:mm:ss.0")," ","(",$S257,")")</f>
        <v>00:05:44.3 (103)</v>
      </c>
      <c r="AB257" s="53" t="str">
        <f t="shared" ref="AB257:AB260" si="399">CONCATENATE(TEXT($AZ257,"[hh]:mm:ss.0")," ","(",$T257,")")</f>
        <v>DNS/DNF ()</v>
      </c>
      <c r="AC257" s="53" t="str">
        <f t="shared" ref="AC257:AC260" si="400">CONCATENATE(TEXT($BA257,"[hh]:mm:ss.0")," ","(",$U257,")")</f>
        <v>DNS/DNF ()</v>
      </c>
      <c r="AD257" s="53" t="str">
        <f t="shared" ref="AD257:AD260" si="401">CONCATENATE(TEXT($BB257,"[hh]:mm:ss.0")," ","(",$V257,")")</f>
        <v>DNS/DNF ()</v>
      </c>
      <c r="AE257" s="53">
        <v>41399432</v>
      </c>
      <c r="AF257" s="53">
        <v>41688531</v>
      </c>
      <c r="AG257" s="53">
        <v>35145745</v>
      </c>
      <c r="AH257" s="53">
        <v>35414606</v>
      </c>
      <c r="AI257" s="53">
        <v>39039470</v>
      </c>
      <c r="AJ257" s="53">
        <v>39193622</v>
      </c>
      <c r="AK257" s="53">
        <v>46186800</v>
      </c>
      <c r="AL257" s="53">
        <v>46483218</v>
      </c>
      <c r="AM257" s="53">
        <v>48984046</v>
      </c>
      <c r="AN257" s="53">
        <v>49328352</v>
      </c>
      <c r="AO257" s="53">
        <v>0</v>
      </c>
      <c r="AP257" s="53">
        <v>0</v>
      </c>
      <c r="AQ257" s="53">
        <v>0</v>
      </c>
      <c r="AR257" s="53">
        <v>0</v>
      </c>
      <c r="AS257" s="53">
        <v>0</v>
      </c>
      <c r="AT257" s="53">
        <v>0</v>
      </c>
      <c r="AU257" s="62">
        <f t="shared" ref="AU257:AU260" si="402">IF((OR($AE257=0,$AF257=0,$AF257-$AE257&lt;0)),"DNS/DNF",($AF257-$AE257)/86400000)</f>
        <v>3.3460532407407406E-3</v>
      </c>
      <c r="AV257" s="62">
        <f t="shared" ref="AV257:AV260" si="403">IF((OR($AG257=0,$AH257=0,$AH257-$AG257&lt;0)),"DNS/DNF",($AH257-$AG257)/86400000)</f>
        <v>3.1118171296296297E-3</v>
      </c>
      <c r="AW257" s="62">
        <f t="shared" ref="AW257:AW260" si="404">IF((OR($AI257=0,$AJ257=0,$AJ257-$AI257&lt;0)),"DNS/DNF",($AJ257-$AI257)/86400000)</f>
        <v>1.7841666666666668E-3</v>
      </c>
      <c r="AX257" s="62">
        <f t="shared" ref="AX257:AX260" si="405">IF((OR($AK257=0,$AL257=0,$AL257-$AK257&lt;0)),"DNS/DNF",($AL257-$AK257)/86400000)</f>
        <v>3.430763888888889E-3</v>
      </c>
      <c r="AY257" s="62">
        <f t="shared" ref="AY257:AY260" si="406">IF((OR($AM257=0,$AM257=0,$AN257-$AM257&lt;0)),"DNS/DNF",($AN257-$AM257)/86400000)</f>
        <v>3.9850231481481481E-3</v>
      </c>
      <c r="AZ257" s="62" t="str">
        <f t="shared" ref="AZ257:AZ260" si="407">IF((OR($AO257=0,$AP257=0,$AP257-$AO257&lt;0)),"DNS/DNF",($AP257-$AO257)/86400000)</f>
        <v>DNS/DNF</v>
      </c>
      <c r="BA257" s="62" t="str">
        <f t="shared" ref="BA257:BA260" si="408">IF((OR($AQ257=0,$AR257=0,$AR257-$AQ257&lt;0)),"DNS/DNF",($AR257-$AQ257)/86400000)</f>
        <v>DNS/DNF</v>
      </c>
      <c r="BB257" s="62" t="str">
        <f t="shared" ref="BB257:BB260" si="409">IF((OR($AS257=0,$AT257=0,$AT257-$AS257&lt;0)),"DNS/DNF",($AT257-$AS257)/86400000)</f>
        <v>DNS/DNF</v>
      </c>
      <c r="BC257" s="75">
        <f t="shared" ref="BC257:BC260" si="410">IFERROR(ROUND(AVERAGE(O257:V257),0),"")</f>
        <v>116</v>
      </c>
      <c r="BD257" s="53">
        <f t="shared" ref="BD257:BD260" si="411">IFERROR((INDEX(($AU$3:$AU$500)*86400000,MATCH(BC257,$O$3:$O$500,0))),"")</f>
        <v>309874</v>
      </c>
      <c r="BE257" s="53">
        <f t="shared" ref="BE257:BE260" si="412">IFERROR((INDEX(($AV$3:$AV$500)*86400000,MATCH(BC257,$P$3:$P$500,0))),"")</f>
        <v>259331</v>
      </c>
      <c r="BF257" s="53">
        <f t="shared" ref="BF257:BF260" si="413">IFERROR((INDEX(($AW$3:$AW$500)*86400000,MATCH(BC257,$Q$3:$Q$500,0))),"")</f>
        <v>150335</v>
      </c>
      <c r="BG257" s="53" t="str">
        <f t="shared" ref="BG257:BG260" si="414">IFERROR((INDEX(($AX$3:$AX$500)*86400000,MATCH(BC257,$R$3:$R$500,0))),"")</f>
        <v/>
      </c>
      <c r="BH257" s="53">
        <f t="shared" ref="BH257:BH260" si="415">IFERROR((INDEX(($AY$3:$AY$500)*86400000,MATCH(BC257,$S$3:$S$500,0))),"")</f>
        <v>351681</v>
      </c>
      <c r="BI257" s="53" t="str">
        <f t="shared" ref="BI257:BI260" si="416">IFERROR((INDEX(($AZ$3:$AZ$500)*86400000,MATCH(BC257,$T$3:$T$500,0))),"")</f>
        <v/>
      </c>
      <c r="BJ257" s="53" t="str">
        <f t="shared" ref="BJ257:BJ260" si="417">IFERROR((INDEX(($BA$3:$BA$500)*86400000,MATCH(BC257,$U$3:$U$500,0))),"")</f>
        <v/>
      </c>
      <c r="BK257" s="53" t="str">
        <f t="shared" ref="BK257:BK260" si="418">IFERROR((INDEX(($BB$3:$BB$500)*86400000,MATCH(BC257,$V$3:$V$500,0))),"")</f>
        <v/>
      </c>
    </row>
    <row r="258" spans="1:63">
      <c r="A258" s="53">
        <v>145</v>
      </c>
      <c r="B258" s="89" t="str">
        <f>IFERROR(VLOOKUP($A258,EntryList!$A$3:$N$645,2,FALSE),"")</f>
        <v>Tristan Harley</v>
      </c>
      <c r="C258" s="74"/>
      <c r="D258" s="53">
        <f t="shared" si="385"/>
        <v>5</v>
      </c>
      <c r="E258" s="62">
        <v>4.8001504629629635E-3</v>
      </c>
      <c r="F258" s="62">
        <v>3.1660185185185181E-3</v>
      </c>
      <c r="G258" s="62">
        <v>1.9648611111111112E-3</v>
      </c>
      <c r="H258" s="62">
        <v>4.0737268518518518E-3</v>
      </c>
      <c r="I258" s="62">
        <v>4.2929513888888887E-3</v>
      </c>
      <c r="J258" s="62"/>
      <c r="K258" s="62"/>
      <c r="L258" s="62"/>
      <c r="M258" s="62">
        <v>1.8297708333333332E-2</v>
      </c>
      <c r="N258" s="62">
        <f t="shared" si="386"/>
        <v>1.8297708333333336E-2</v>
      </c>
      <c r="O258" s="53">
        <f t="shared" si="387"/>
        <v>143</v>
      </c>
      <c r="P258" s="53">
        <f t="shared" si="388"/>
        <v>156</v>
      </c>
      <c r="Q258" s="53">
        <f t="shared" si="389"/>
        <v>195</v>
      </c>
      <c r="R258" s="53">
        <f t="shared" si="390"/>
        <v>136</v>
      </c>
      <c r="S258" s="53">
        <f t="shared" si="391"/>
        <v>173</v>
      </c>
      <c r="T258" s="53" t="str">
        <f t="shared" si="392"/>
        <v/>
      </c>
      <c r="U258" s="53" t="str">
        <f t="shared" si="393"/>
        <v/>
      </c>
      <c r="V258" s="53" t="str">
        <f t="shared" si="394"/>
        <v/>
      </c>
      <c r="W258" s="53" t="str">
        <f t="shared" ref="W258:W260" si="419">CONCATENATE(TEXT($AU258,"[hh]:mm:ss.0")," ","(",$O258,")")</f>
        <v>00:06:54.7 (143)</v>
      </c>
      <c r="X258" s="53" t="str">
        <f t="shared" si="395"/>
        <v>00:04:33.5 (156)</v>
      </c>
      <c r="Y258" s="53" t="str">
        <f t="shared" si="396"/>
        <v>00:02:49.8 (195)</v>
      </c>
      <c r="Z258" s="53" t="str">
        <f t="shared" si="397"/>
        <v>00:05:52.0 (136)</v>
      </c>
      <c r="AA258" s="53" t="str">
        <f t="shared" si="398"/>
        <v>00:06:10.9 (173)</v>
      </c>
      <c r="AB258" s="53" t="str">
        <f t="shared" si="399"/>
        <v>DNS/DNF ()</v>
      </c>
      <c r="AC258" s="53" t="str">
        <f t="shared" si="400"/>
        <v>DNS/DNF ()</v>
      </c>
      <c r="AD258" s="53" t="str">
        <f t="shared" si="401"/>
        <v>DNS/DNF ()</v>
      </c>
      <c r="AE258" s="53">
        <v>41327178</v>
      </c>
      <c r="AF258" s="53">
        <v>41741911</v>
      </c>
      <c r="AG258" s="53">
        <v>35124567</v>
      </c>
      <c r="AH258" s="53">
        <v>35398111</v>
      </c>
      <c r="AI258" s="53">
        <v>38994946</v>
      </c>
      <c r="AJ258" s="53">
        <v>39164710</v>
      </c>
      <c r="AK258" s="53">
        <v>46058209</v>
      </c>
      <c r="AL258" s="53">
        <v>46410179</v>
      </c>
      <c r="AM258" s="53">
        <v>48926080</v>
      </c>
      <c r="AN258" s="53">
        <v>49296991</v>
      </c>
      <c r="AO258" s="53">
        <v>0</v>
      </c>
      <c r="AP258" s="53">
        <v>0</v>
      </c>
      <c r="AQ258" s="53">
        <v>0</v>
      </c>
      <c r="AR258" s="53">
        <v>0</v>
      </c>
      <c r="AS258" s="53">
        <v>0</v>
      </c>
      <c r="AT258" s="53">
        <v>0</v>
      </c>
      <c r="AU258" s="62">
        <f t="shared" si="402"/>
        <v>4.8001504629629627E-3</v>
      </c>
      <c r="AV258" s="62">
        <f t="shared" si="403"/>
        <v>3.1660185185185185E-3</v>
      </c>
      <c r="AW258" s="62">
        <f t="shared" si="404"/>
        <v>1.9648611111111112E-3</v>
      </c>
      <c r="AX258" s="62">
        <f t="shared" si="405"/>
        <v>4.0737268518518518E-3</v>
      </c>
      <c r="AY258" s="62">
        <f t="shared" si="406"/>
        <v>4.2929513888888887E-3</v>
      </c>
      <c r="AZ258" s="62" t="str">
        <f t="shared" si="407"/>
        <v>DNS/DNF</v>
      </c>
      <c r="BA258" s="62" t="str">
        <f t="shared" si="408"/>
        <v>DNS/DNF</v>
      </c>
      <c r="BB258" s="62" t="str">
        <f t="shared" si="409"/>
        <v>DNS/DNF</v>
      </c>
      <c r="BC258" s="75">
        <f t="shared" si="410"/>
        <v>161</v>
      </c>
      <c r="BD258" s="53" t="str">
        <f t="shared" si="411"/>
        <v/>
      </c>
      <c r="BE258" s="53">
        <f t="shared" si="412"/>
        <v>275800</v>
      </c>
      <c r="BF258" s="53">
        <f t="shared" si="413"/>
        <v>160347</v>
      </c>
      <c r="BG258" s="53" t="str">
        <f t="shared" si="414"/>
        <v/>
      </c>
      <c r="BH258" s="53">
        <f t="shared" si="415"/>
        <v>365534</v>
      </c>
      <c r="BI258" s="53" t="str">
        <f t="shared" si="416"/>
        <v/>
      </c>
      <c r="BJ258" s="53" t="str">
        <f t="shared" si="417"/>
        <v/>
      </c>
      <c r="BK258" s="53" t="str">
        <f t="shared" si="418"/>
        <v/>
      </c>
    </row>
    <row r="259" spans="1:63">
      <c r="A259" s="53">
        <v>163</v>
      </c>
      <c r="B259" s="89" t="str">
        <f>IFERROR(VLOOKUP($A259,EntryList!$A$3:$N$645,2,FALSE),"")</f>
        <v>Ethan Paton</v>
      </c>
      <c r="C259" s="74"/>
      <c r="D259" s="53">
        <f t="shared" si="385"/>
        <v>5</v>
      </c>
      <c r="E259" s="62">
        <v>2.8211342592592589E-3</v>
      </c>
      <c r="F259" s="62">
        <v>2.5995138888888891E-3</v>
      </c>
      <c r="G259" s="62">
        <v>1.6319907407407409E-3</v>
      </c>
      <c r="H259" s="62">
        <v>2.982974537037037E-3</v>
      </c>
      <c r="I259" s="62">
        <v>3.5960879629629628E-3</v>
      </c>
      <c r="J259" s="62"/>
      <c r="K259" s="62"/>
      <c r="L259" s="62"/>
      <c r="M259" s="62">
        <v>1.3631701388888889E-2</v>
      </c>
      <c r="N259" s="62">
        <f t="shared" si="386"/>
        <v>1.3631701388888889E-2</v>
      </c>
      <c r="O259" s="53">
        <f t="shared" si="387"/>
        <v>65</v>
      </c>
      <c r="P259" s="53">
        <f t="shared" si="388"/>
        <v>28</v>
      </c>
      <c r="Q259" s="53">
        <f t="shared" si="389"/>
        <v>84</v>
      </c>
      <c r="R259" s="53">
        <f t="shared" si="390"/>
        <v>43</v>
      </c>
      <c r="S259" s="53">
        <f t="shared" si="391"/>
        <v>35</v>
      </c>
      <c r="T259" s="53" t="str">
        <f t="shared" si="392"/>
        <v/>
      </c>
      <c r="U259" s="53" t="str">
        <f t="shared" si="393"/>
        <v/>
      </c>
      <c r="V259" s="53" t="str">
        <f t="shared" si="394"/>
        <v/>
      </c>
      <c r="W259" s="53" t="str">
        <f t="shared" si="419"/>
        <v>00:04:03.7 (65)</v>
      </c>
      <c r="X259" s="53" t="str">
        <f t="shared" si="395"/>
        <v>00:03:44.6 (28)</v>
      </c>
      <c r="Y259" s="53" t="str">
        <f t="shared" si="396"/>
        <v>00:02:21.0 (84)</v>
      </c>
      <c r="Z259" s="53" t="str">
        <f t="shared" si="397"/>
        <v>00:04:17.7 (43)</v>
      </c>
      <c r="AA259" s="53" t="str">
        <f t="shared" si="398"/>
        <v>00:05:10.7 (35)</v>
      </c>
      <c r="AB259" s="53" t="str">
        <f t="shared" si="399"/>
        <v>DNS/DNF ()</v>
      </c>
      <c r="AC259" s="53" t="str">
        <f t="shared" si="400"/>
        <v>DNS/DNF ()</v>
      </c>
      <c r="AD259" s="53" t="str">
        <f t="shared" si="401"/>
        <v>DNS/DNF ()</v>
      </c>
      <c r="AE259" s="53">
        <v>33437160</v>
      </c>
      <c r="AF259" s="53">
        <v>33680906</v>
      </c>
      <c r="AG259" s="53">
        <v>40910280</v>
      </c>
      <c r="AH259" s="53">
        <v>41134878</v>
      </c>
      <c r="AI259" s="53">
        <v>37439116</v>
      </c>
      <c r="AJ259" s="53">
        <v>37580120</v>
      </c>
      <c r="AK259" s="53">
        <v>45072996</v>
      </c>
      <c r="AL259" s="53">
        <v>45330725</v>
      </c>
      <c r="AM259" s="53">
        <v>48759506</v>
      </c>
      <c r="AN259" s="53">
        <v>49070208</v>
      </c>
      <c r="AO259" s="53">
        <v>0</v>
      </c>
      <c r="AP259" s="53">
        <v>0</v>
      </c>
      <c r="AQ259" s="53">
        <v>0</v>
      </c>
      <c r="AR259" s="53">
        <v>0</v>
      </c>
      <c r="AS259" s="53">
        <v>0</v>
      </c>
      <c r="AT259" s="53">
        <v>0</v>
      </c>
      <c r="AU259" s="62">
        <f t="shared" si="402"/>
        <v>2.8211342592592593E-3</v>
      </c>
      <c r="AV259" s="62">
        <f t="shared" si="403"/>
        <v>2.5995138888888891E-3</v>
      </c>
      <c r="AW259" s="62">
        <f t="shared" si="404"/>
        <v>1.6319907407407407E-3</v>
      </c>
      <c r="AX259" s="62">
        <f t="shared" si="405"/>
        <v>2.982974537037037E-3</v>
      </c>
      <c r="AY259" s="62">
        <f t="shared" si="406"/>
        <v>3.5960879629629628E-3</v>
      </c>
      <c r="AZ259" s="62" t="str">
        <f t="shared" si="407"/>
        <v>DNS/DNF</v>
      </c>
      <c r="BA259" s="62" t="str">
        <f t="shared" si="408"/>
        <v>DNS/DNF</v>
      </c>
      <c r="BB259" s="62" t="str">
        <f t="shared" si="409"/>
        <v>DNS/DNF</v>
      </c>
      <c r="BC259" s="75">
        <f t="shared" si="410"/>
        <v>51</v>
      </c>
      <c r="BD259" s="53">
        <f t="shared" si="411"/>
        <v>231410</v>
      </c>
      <c r="BE259" s="53">
        <f t="shared" si="412"/>
        <v>234886</v>
      </c>
      <c r="BF259" s="53">
        <f t="shared" si="413"/>
        <v>130707.99999999999</v>
      </c>
      <c r="BG259" s="53">
        <f t="shared" si="414"/>
        <v>261783</v>
      </c>
      <c r="BH259" s="53">
        <f t="shared" si="415"/>
        <v>317590</v>
      </c>
      <c r="BI259" s="53" t="str">
        <f t="shared" si="416"/>
        <v/>
      </c>
      <c r="BJ259" s="53" t="str">
        <f t="shared" si="417"/>
        <v/>
      </c>
      <c r="BK259" s="53" t="str">
        <f t="shared" si="418"/>
        <v/>
      </c>
    </row>
    <row r="260" spans="1:63">
      <c r="A260" s="53">
        <v>41</v>
      </c>
      <c r="B260" s="89" t="str">
        <f>IFERROR(VLOOKUP($A260,EntryList!$A$3:$N$645,2,FALSE),"")</f>
        <v>Kyle Ridge</v>
      </c>
      <c r="C260" s="74"/>
      <c r="D260" s="53">
        <f t="shared" si="385"/>
        <v>5</v>
      </c>
      <c r="E260" s="62">
        <v>2.9073958333333334E-3</v>
      </c>
      <c r="F260" s="62">
        <v>2.8502199074074072E-3</v>
      </c>
      <c r="G260" s="62">
        <v>1.6476388888888892E-3</v>
      </c>
      <c r="H260" s="62">
        <v>3.4024421296296298E-3</v>
      </c>
      <c r="I260" s="62">
        <v>4.0212499999999997E-3</v>
      </c>
      <c r="J260" s="62"/>
      <c r="K260" s="62"/>
      <c r="L260" s="62"/>
      <c r="M260" s="62">
        <v>1.482894675925926E-2</v>
      </c>
      <c r="N260" s="62">
        <f t="shared" si="386"/>
        <v>1.4828946759259259E-2</v>
      </c>
      <c r="O260" s="53">
        <f t="shared" si="387"/>
        <v>74</v>
      </c>
      <c r="P260" s="53">
        <f t="shared" si="388"/>
        <v>83</v>
      </c>
      <c r="Q260" s="53">
        <f t="shared" si="389"/>
        <v>89</v>
      </c>
      <c r="R260" s="53">
        <f t="shared" si="390"/>
        <v>92</v>
      </c>
      <c r="S260" s="53">
        <f t="shared" si="391"/>
        <v>106</v>
      </c>
      <c r="T260" s="53" t="str">
        <f t="shared" si="392"/>
        <v/>
      </c>
      <c r="U260" s="53" t="str">
        <f t="shared" si="393"/>
        <v/>
      </c>
      <c r="V260" s="53" t="str">
        <f t="shared" si="394"/>
        <v/>
      </c>
      <c r="W260" s="53" t="str">
        <f t="shared" si="419"/>
        <v>00:04:11.2 (74)</v>
      </c>
      <c r="X260" s="53" t="str">
        <f t="shared" si="395"/>
        <v>00:04:06.3 (83)</v>
      </c>
      <c r="Y260" s="53" t="str">
        <f t="shared" si="396"/>
        <v>00:02:22.4 (89)</v>
      </c>
      <c r="Z260" s="53" t="str">
        <f t="shared" si="397"/>
        <v>00:04:54.0 (92)</v>
      </c>
      <c r="AA260" s="53" t="str">
        <f t="shared" si="398"/>
        <v>00:05:47.4 (106)</v>
      </c>
      <c r="AB260" s="53" t="str">
        <f t="shared" si="399"/>
        <v>DNS/DNF ()</v>
      </c>
      <c r="AC260" s="53" t="str">
        <f t="shared" si="400"/>
        <v>DNS/DNF ()</v>
      </c>
      <c r="AD260" s="53" t="str">
        <f t="shared" si="401"/>
        <v>DNS/DNF ()</v>
      </c>
      <c r="AE260" s="53">
        <v>36207789</v>
      </c>
      <c r="AF260" s="53">
        <v>36458988</v>
      </c>
      <c r="AG260" s="53">
        <v>32236731</v>
      </c>
      <c r="AH260" s="53">
        <v>32482990</v>
      </c>
      <c r="AI260" s="53">
        <v>39742108</v>
      </c>
      <c r="AJ260" s="53">
        <v>39884464</v>
      </c>
      <c r="AK260" s="53">
        <v>44913612</v>
      </c>
      <c r="AL260" s="53">
        <v>45207583</v>
      </c>
      <c r="AM260" s="53">
        <v>48047968</v>
      </c>
      <c r="AN260" s="53">
        <v>48395404</v>
      </c>
      <c r="AO260" s="53">
        <v>0</v>
      </c>
      <c r="AP260" s="53">
        <v>0</v>
      </c>
      <c r="AQ260" s="53">
        <v>0</v>
      </c>
      <c r="AR260" s="53">
        <v>0</v>
      </c>
      <c r="AS260" s="53">
        <v>0</v>
      </c>
      <c r="AT260" s="53">
        <v>0</v>
      </c>
      <c r="AU260" s="62">
        <f t="shared" si="402"/>
        <v>2.9073958333333334E-3</v>
      </c>
      <c r="AV260" s="62">
        <f t="shared" si="403"/>
        <v>2.8502199074074072E-3</v>
      </c>
      <c r="AW260" s="62">
        <f t="shared" si="404"/>
        <v>1.6476388888888888E-3</v>
      </c>
      <c r="AX260" s="62">
        <f t="shared" si="405"/>
        <v>3.4024421296296298E-3</v>
      </c>
      <c r="AY260" s="62">
        <f t="shared" si="406"/>
        <v>4.0212499999999997E-3</v>
      </c>
      <c r="AZ260" s="62" t="str">
        <f t="shared" si="407"/>
        <v>DNS/DNF</v>
      </c>
      <c r="BA260" s="62" t="str">
        <f t="shared" si="408"/>
        <v>DNS/DNF</v>
      </c>
      <c r="BB260" s="62" t="str">
        <f t="shared" si="409"/>
        <v>DNS/DNF</v>
      </c>
      <c r="BC260" s="75">
        <f t="shared" si="410"/>
        <v>89</v>
      </c>
      <c r="BD260" s="53">
        <f t="shared" si="411"/>
        <v>265759</v>
      </c>
      <c r="BE260" s="53">
        <f t="shared" si="412"/>
        <v>248828</v>
      </c>
      <c r="BF260" s="53">
        <f t="shared" si="413"/>
        <v>142356</v>
      </c>
      <c r="BG260" s="53">
        <f t="shared" si="414"/>
        <v>292994</v>
      </c>
      <c r="BH260" s="53">
        <f t="shared" si="415"/>
        <v>338309</v>
      </c>
      <c r="BI260" s="53" t="str">
        <f t="shared" si="416"/>
        <v/>
      </c>
      <c r="BJ260" s="53" t="str">
        <f t="shared" si="417"/>
        <v/>
      </c>
      <c r="BK260" s="53" t="str">
        <f t="shared" si="418"/>
        <v/>
      </c>
    </row>
    <row r="261" spans="1:63">
      <c r="A261" s="53">
        <v>284</v>
      </c>
      <c r="B261" s="89" t="str">
        <f>IFERROR(VLOOKUP($A261,EntryList!$A$3:$N$645,2,FALSE),"")</f>
        <v>Jonathan Wareing</v>
      </c>
      <c r="C261" s="74"/>
      <c r="D261" s="53">
        <f>COUNT($AU261:$BB261)</f>
        <v>5</v>
      </c>
      <c r="E261" s="62">
        <v>3.0713310185185188E-3</v>
      </c>
      <c r="F261" s="62">
        <v>2.945486111111111E-3</v>
      </c>
      <c r="G261" s="62">
        <v>1.6113194444444445E-3</v>
      </c>
      <c r="H261" s="62">
        <v>3.2152083333333334E-3</v>
      </c>
      <c r="I261" s="62">
        <v>3.9388773148148143E-3</v>
      </c>
      <c r="J261" s="62"/>
      <c r="K261" s="62"/>
      <c r="L261" s="62"/>
      <c r="M261" s="62">
        <v>1.4782222222222223E-2</v>
      </c>
      <c r="N261" s="62">
        <f>SUM($AU261:$BB261)</f>
        <v>1.4782222222222223E-2</v>
      </c>
      <c r="O261" s="53">
        <f>IFERROR(RANK($AU261,AU$3:AU$500,1),"")</f>
        <v>88</v>
      </c>
      <c r="P261" s="53">
        <f>IFERROR(RANK($AV261,AV$3:AV$500,1),"")</f>
        <v>103</v>
      </c>
      <c r="Q261" s="53">
        <f>IFERROR(RANK($AW261,AW$3:AW$500,1),"")</f>
        <v>80</v>
      </c>
      <c r="R261" s="53">
        <f>IFERROR(RANK($AX261,AX$3:AX$500,1),"")</f>
        <v>77</v>
      </c>
      <c r="S261" s="53">
        <f>IFERROR(RANK($AY261,AY$3:AY$500,1),"")</f>
        <v>94</v>
      </c>
      <c r="T261" s="53" t="str">
        <f>IFERROR(RANK($AZ261,AZ$3:AZ$500,1),"")</f>
        <v/>
      </c>
      <c r="U261" s="53" t="str">
        <f>IFERROR(RANK($BA261,BA$3:BA$500,1),"")</f>
        <v/>
      </c>
      <c r="V261" s="53" t="str">
        <f>IFERROR(RANK($BB261,BB$3:BB$500,1),"")</f>
        <v/>
      </c>
      <c r="W261" s="53" t="str">
        <f>CONCATENATE(TEXT($AU261,"[hh]:mm:ss.0")," ","(",$O261,")")</f>
        <v>00:04:25.4 (88)</v>
      </c>
      <c r="X261" s="53" t="str">
        <f>CONCATENATE(TEXT($AV261,"[hh]:mm:ss.0")," ","(",$P261,")")</f>
        <v>00:04:14.5 (103)</v>
      </c>
      <c r="Y261" s="53" t="str">
        <f>CONCATENATE(TEXT($AW261,"[hh]:mm:ss.0")," ","(",$Q261,")")</f>
        <v>00:02:19.2 (80)</v>
      </c>
      <c r="Z261" s="53" t="str">
        <f>CONCATENATE(TEXT($AX261,"[hh]:mm:ss.0")," ","(",$R261,")")</f>
        <v>00:04:37.8 (77)</v>
      </c>
      <c r="AA261" s="53" t="str">
        <f>CONCATENATE(TEXT($AY261,"[hh]:mm:ss.0")," ","(",$S261,")")</f>
        <v>00:05:40.3 (94)</v>
      </c>
      <c r="AB261" s="53" t="str">
        <f>CONCATENATE(TEXT($AZ261,"[hh]:mm:ss.0")," ","(",$T261,")")</f>
        <v>DNS/DNF ()</v>
      </c>
      <c r="AC261" s="53" t="str">
        <f>CONCATENATE(TEXT($BA261,"[hh]:mm:ss.0")," ","(",$U261,")")</f>
        <v>DNS/DNF ()</v>
      </c>
      <c r="AD261" s="53" t="str">
        <f>CONCATENATE(TEXT($BB261,"[hh]:mm:ss.0")," ","(",$V261,")")</f>
        <v>DNS/DNF ()</v>
      </c>
      <c r="AE261" s="53">
        <v>37432629</v>
      </c>
      <c r="AF261" s="53">
        <v>37697992</v>
      </c>
      <c r="AG261" s="53">
        <v>33110015</v>
      </c>
      <c r="AH261" s="53">
        <v>33364505</v>
      </c>
      <c r="AI261" s="53">
        <v>40833944</v>
      </c>
      <c r="AJ261" s="53">
        <v>40973162</v>
      </c>
      <c r="AK261" s="53">
        <v>45892457</v>
      </c>
      <c r="AL261" s="53">
        <v>46170251</v>
      </c>
      <c r="AM261" s="53">
        <v>49211358</v>
      </c>
      <c r="AN261" s="53">
        <v>49551677</v>
      </c>
      <c r="AO261" s="53">
        <v>0</v>
      </c>
      <c r="AP261" s="53">
        <v>0</v>
      </c>
      <c r="AQ261" s="53">
        <v>0</v>
      </c>
      <c r="AR261" s="53">
        <v>0</v>
      </c>
      <c r="AS261" s="53">
        <v>0</v>
      </c>
      <c r="AT261" s="53">
        <v>0</v>
      </c>
      <c r="AU261" s="62">
        <f>IF((OR($AE261=0,$AF261=0,$AF261-$AE261&lt;0)),"DNS/DNF",($AF261-$AE261)/86400000)</f>
        <v>3.0713310185185184E-3</v>
      </c>
      <c r="AV261" s="62">
        <f>IF((OR($AG261=0,$AH261=0,$AH261-$AG261&lt;0)),"DNS/DNF",($AH261-$AG261)/86400000)</f>
        <v>2.945486111111111E-3</v>
      </c>
      <c r="AW261" s="62">
        <f>IF((OR($AI261=0,$AJ261=0,$AJ261-$AI261&lt;0)),"DNS/DNF",($AJ261-$AI261)/86400000)</f>
        <v>1.6113194444444445E-3</v>
      </c>
      <c r="AX261" s="62">
        <f>IF((OR($AK261=0,$AL261=0,$AL261-$AK261&lt;0)),"DNS/DNF",($AL261-$AK261)/86400000)</f>
        <v>3.2152083333333334E-3</v>
      </c>
      <c r="AY261" s="62">
        <f>IF((OR($AM261=0,$AM261=0,$AN261-$AM261&lt;0)),"DNS/DNF",($AN261-$AM261)/86400000)</f>
        <v>3.9388773148148152E-3</v>
      </c>
      <c r="AZ261" s="62" t="str">
        <f>IF((OR($AO261=0,$AP261=0,$AP261-$AO261&lt;0)),"DNS/DNF",($AP261-$AO261)/86400000)</f>
        <v>DNS/DNF</v>
      </c>
      <c r="BA261" s="62" t="str">
        <f>IF((OR($AQ261=0,$AR261=0,$AR261-$AQ261&lt;0)),"DNS/DNF",($AR261-$AQ261)/86400000)</f>
        <v>DNS/DNF</v>
      </c>
      <c r="BB261" s="62" t="str">
        <f>IF((OR($AS261=0,$AT261=0,$AT261-$AS261&lt;0)),"DNS/DNF",($AT261-$AS261)/86400000)</f>
        <v>DNS/DNF</v>
      </c>
      <c r="BC261" s="75">
        <f>IFERROR(ROUND(AVERAGE(O261:V261),0),"")</f>
        <v>88</v>
      </c>
      <c r="BD261" s="53">
        <f>IFERROR((INDEX(($AU$3:$AU$500)*86400000,MATCH(BC261,$O$3:$O$500,0))),"")</f>
        <v>265363</v>
      </c>
      <c r="BE261" s="53">
        <f>IFERROR((INDEX(($AV$3:$AV$500)*86400000,MATCH(BC261,$P$3:$P$500,0))),"")</f>
        <v>248217</v>
      </c>
      <c r="BF261" s="53">
        <f>IFERROR((INDEX(($AW$3:$AW$500)*86400000,MATCH(BC261,$Q$3:$Q$500,0))),"")</f>
        <v>142228</v>
      </c>
      <c r="BG261" s="53">
        <f>IFERROR((INDEX(($AX$3:$AX$500)*86400000,MATCH(BC261,$R$3:$R$500,0))),"")</f>
        <v>292779</v>
      </c>
      <c r="BH261" s="53">
        <f>IFERROR((INDEX(($AY$3:$AY$500)*86400000,MATCH(BC261,$S$3:$S$500,0))),"")</f>
        <v>338194</v>
      </c>
      <c r="BI261" s="53" t="str">
        <f>IFERROR((INDEX(($AZ$3:$AZ$500)*86400000,MATCH(BC261,$T$3:$T$500,0))),"")</f>
        <v/>
      </c>
      <c r="BJ261" s="53" t="str">
        <f>IFERROR((INDEX(($BA$3:$BA$500)*86400000,MATCH(BC261,$U$3:$U$500,0))),"")</f>
        <v/>
      </c>
      <c r="BK261" s="53" t="str">
        <f>IFERROR((INDEX(($BB$3:$BB$500)*86400000,MATCH(BC261,$V$3:$V$500,0))),"")</f>
        <v/>
      </c>
    </row>
    <row r="262" spans="1:63">
      <c r="A262" s="53">
        <v>234</v>
      </c>
      <c r="B262" s="89" t="str">
        <f>IFERROR(VLOOKUP($A262,EntryList!$A$3:$N$645,2,FALSE),"")</f>
        <v>Devon Coombe</v>
      </c>
      <c r="C262" s="74"/>
      <c r="D262" s="53">
        <f t="shared" ref="D262:D270" si="420">COUNT($AU262:$BB262)</f>
        <v>5</v>
      </c>
      <c r="E262" s="62">
        <v>8.1058217592592605E-3</v>
      </c>
      <c r="F262" s="62">
        <v>3.3177430555555551E-3</v>
      </c>
      <c r="G262" s="62">
        <v>2.2692361111111112E-3</v>
      </c>
      <c r="H262" s="62">
        <v>4.1786921296296303E-3</v>
      </c>
      <c r="I262" s="62">
        <v>4.4546180555555554E-3</v>
      </c>
      <c r="J262" s="62"/>
      <c r="K262" s="62"/>
      <c r="L262" s="62"/>
      <c r="M262" s="62">
        <v>2.2326111111111113E-2</v>
      </c>
      <c r="N262" s="62">
        <f t="shared" ref="N262:N270" si="421">SUM($AU262:$BB262)</f>
        <v>2.2326111111111109E-2</v>
      </c>
      <c r="O262" s="53">
        <f t="shared" ref="O262:O270" si="422">IFERROR(RANK($AU262,AU$3:AU$500,1),"")</f>
        <v>149</v>
      </c>
      <c r="P262" s="53">
        <f t="shared" ref="P262:P270" si="423">IFERROR(RANK($AV262,AV$3:AV$500,1),"")</f>
        <v>195</v>
      </c>
      <c r="Q262" s="53">
        <f t="shared" ref="Q262:Q270" si="424">IFERROR(RANK($AW262,AW$3:AW$500,1),"")</f>
        <v>233</v>
      </c>
      <c r="R262" s="53">
        <f t="shared" ref="R262:R270" si="425">IFERROR(RANK($AX262,AX$3:AX$500,1),"")</f>
        <v>138</v>
      </c>
      <c r="S262" s="53">
        <f t="shared" ref="S262:S270" si="426">IFERROR(RANK($AY262,AY$3:AY$500,1),"")</f>
        <v>190</v>
      </c>
      <c r="T262" s="53" t="str">
        <f t="shared" ref="T262:T270" si="427">IFERROR(RANK($AZ262,AZ$3:AZ$500,1),"")</f>
        <v/>
      </c>
      <c r="U262" s="53" t="str">
        <f t="shared" ref="U262:U270" si="428">IFERROR(RANK($BA262,BA$3:BA$500,1),"")</f>
        <v/>
      </c>
      <c r="V262" s="53" t="str">
        <f t="shared" ref="V262:V270" si="429">IFERROR(RANK($BB262,BB$3:BB$500,1),"")</f>
        <v/>
      </c>
      <c r="W262" s="53" t="str">
        <f>CONCATENATE(TEXT($AU262,"[hh]:mm:ss.0")," ","(",$O262,")")</f>
        <v>00:11:40.3 (149)</v>
      </c>
      <c r="X262" s="53" t="str">
        <f t="shared" ref="X262:X270" si="430">CONCATENATE(TEXT($AV262,"[hh]:mm:ss.0")," ","(",$P262,")")</f>
        <v>00:04:46.7 (195)</v>
      </c>
      <c r="Y262" s="53" t="str">
        <f t="shared" ref="Y262:Y270" si="431">CONCATENATE(TEXT($AW262,"[hh]:mm:ss.0")," ","(",$Q262,")")</f>
        <v>00:03:16.1 (233)</v>
      </c>
      <c r="Z262" s="53" t="str">
        <f t="shared" ref="Z262:Z270" si="432">CONCATENATE(TEXT($AX262,"[hh]:mm:ss.0")," ","(",$R262,")")</f>
        <v>00:06:01.0 (138)</v>
      </c>
      <c r="AA262" s="53" t="str">
        <f t="shared" ref="AA262:AA270" si="433">CONCATENATE(TEXT($AY262,"[hh]:mm:ss.0")," ","(",$S262,")")</f>
        <v>00:06:24.9 (190)</v>
      </c>
      <c r="AB262" s="53" t="str">
        <f t="shared" ref="AB262:AB270" si="434">CONCATENATE(TEXT($AZ262,"[hh]:mm:ss.0")," ","(",$T262,")")</f>
        <v>DNS/DNF ()</v>
      </c>
      <c r="AC262" s="53" t="str">
        <f t="shared" ref="AC262:AC270" si="435">CONCATENATE(TEXT($BA262,"[hh]:mm:ss.0")," ","(",$U262,")")</f>
        <v>DNS/DNF ()</v>
      </c>
      <c r="AD262" s="53" t="str">
        <f t="shared" ref="AD262:AD270" si="436">CONCATENATE(TEXT($BB262,"[hh]:mm:ss.0")," ","(",$V262,")")</f>
        <v>DNS/DNF ()</v>
      </c>
      <c r="AE262" s="53">
        <v>38072055</v>
      </c>
      <c r="AF262" s="53">
        <v>38772398</v>
      </c>
      <c r="AG262" s="53">
        <v>34434530</v>
      </c>
      <c r="AH262" s="53">
        <v>34721183</v>
      </c>
      <c r="AI262" s="53">
        <v>41654628</v>
      </c>
      <c r="AJ262" s="53">
        <v>41850690</v>
      </c>
      <c r="AK262" s="53">
        <v>46492747</v>
      </c>
      <c r="AL262" s="53">
        <v>46853786</v>
      </c>
      <c r="AM262" s="53">
        <v>49080476</v>
      </c>
      <c r="AN262" s="53">
        <v>49465355</v>
      </c>
      <c r="AO262" s="53">
        <v>0</v>
      </c>
      <c r="AP262" s="53">
        <v>0</v>
      </c>
      <c r="AQ262" s="53">
        <v>0</v>
      </c>
      <c r="AR262" s="53">
        <v>0</v>
      </c>
      <c r="AS262" s="53">
        <v>0</v>
      </c>
      <c r="AT262" s="53">
        <v>0</v>
      </c>
      <c r="AU262" s="62">
        <f t="shared" ref="AU262:AU270" si="437">IF((OR($AE262=0,$AF262=0,$AF262-$AE262&lt;0)),"DNS/DNF",($AF262-$AE262)/86400000)</f>
        <v>8.1058217592592588E-3</v>
      </c>
      <c r="AV262" s="62">
        <f t="shared" ref="AV262:AV270" si="438">IF((OR($AG262=0,$AH262=0,$AH262-$AG262&lt;0)),"DNS/DNF",($AH262-$AG262)/86400000)</f>
        <v>3.3177430555555555E-3</v>
      </c>
      <c r="AW262" s="62">
        <f t="shared" ref="AW262:AW270" si="439">IF((OR($AI262=0,$AJ262=0,$AJ262-$AI262&lt;0)),"DNS/DNF",($AJ262-$AI262)/86400000)</f>
        <v>2.2692361111111112E-3</v>
      </c>
      <c r="AX262" s="62">
        <f t="shared" ref="AX262:AX270" si="440">IF((OR($AK262=0,$AL262=0,$AL262-$AK262&lt;0)),"DNS/DNF",($AL262-$AK262)/86400000)</f>
        <v>4.1786921296296294E-3</v>
      </c>
      <c r="AY262" s="62">
        <f t="shared" ref="AY262:AY270" si="441">IF((OR($AM262=0,$AM262=0,$AN262-$AM262&lt;0)),"DNS/DNF",($AN262-$AM262)/86400000)</f>
        <v>4.4546180555555554E-3</v>
      </c>
      <c r="AZ262" s="62" t="str">
        <f t="shared" ref="AZ262:AZ270" si="442">IF((OR($AO262=0,$AP262=0,$AP262-$AO262&lt;0)),"DNS/DNF",($AP262-$AO262)/86400000)</f>
        <v>DNS/DNF</v>
      </c>
      <c r="BA262" s="62" t="str">
        <f t="shared" ref="BA262:BA270" si="443">IF((OR($AQ262=0,$AR262=0,$AR262-$AQ262&lt;0)),"DNS/DNF",($AR262-$AQ262)/86400000)</f>
        <v>DNS/DNF</v>
      </c>
      <c r="BB262" s="62" t="str">
        <f t="shared" ref="BB262:BB270" si="444">IF((OR($AS262=0,$AT262=0,$AT262-$AS262&lt;0)),"DNS/DNF",($AT262-$AS262)/86400000)</f>
        <v>DNS/DNF</v>
      </c>
      <c r="BC262" s="75">
        <f t="shared" ref="BC262:BC270" si="445">IFERROR(ROUND(AVERAGE(O262:V262),0),"")</f>
        <v>181</v>
      </c>
      <c r="BD262" s="53" t="str">
        <f t="shared" ref="BD262:BD270" si="446">IFERROR((INDEX(($AU$3:$AU$500)*86400000,MATCH(BC262,$O$3:$O$500,0))),"")</f>
        <v/>
      </c>
      <c r="BE262" s="53">
        <f t="shared" ref="BE262:BE270" si="447">IFERROR((INDEX(($AV$3:$AV$500)*86400000,MATCH(BC262,$P$3:$P$500,0))),"")</f>
        <v>280692</v>
      </c>
      <c r="BF262" s="53">
        <f t="shared" ref="BF262:BF270" si="448">IFERROR((INDEX(($AW$3:$AW$500)*86400000,MATCH(BC262,$Q$3:$Q$500,0))),"")</f>
        <v>163919</v>
      </c>
      <c r="BG262" s="53" t="str">
        <f t="shared" ref="BG262:BG270" si="449">IFERROR((INDEX(($AX$3:$AX$500)*86400000,MATCH(BC262,$R$3:$R$500,0))),"")</f>
        <v/>
      </c>
      <c r="BH262" s="53">
        <f t="shared" ref="BH262:BH270" si="450">IFERROR((INDEX(($AY$3:$AY$500)*86400000,MATCH(BC262,$S$3:$S$500,0))),"")</f>
        <v>376263</v>
      </c>
      <c r="BI262" s="53" t="str">
        <f t="shared" ref="BI262:BI270" si="451">IFERROR((INDEX(($AZ$3:$AZ$500)*86400000,MATCH(BC262,$T$3:$T$500,0))),"")</f>
        <v/>
      </c>
      <c r="BJ262" s="53" t="str">
        <f t="shared" ref="BJ262:BJ270" si="452">IFERROR((INDEX(($BA$3:$BA$500)*86400000,MATCH(BC262,$U$3:$U$500,0))),"")</f>
        <v/>
      </c>
      <c r="BK262" s="53" t="str">
        <f t="shared" ref="BK262:BK270" si="453">IFERROR((INDEX(($BB$3:$BB$500)*86400000,MATCH(BC262,$V$3:$V$500,0))),"")</f>
        <v/>
      </c>
    </row>
    <row r="263" spans="1:63">
      <c r="A263" s="53">
        <v>233</v>
      </c>
      <c r="B263" s="89" t="str">
        <f>IFERROR(VLOOKUP($A263,EntryList!$A$3:$N$645,2,FALSE),"")</f>
        <v>Jordon Evard</v>
      </c>
      <c r="C263" s="74"/>
      <c r="D263" s="53">
        <f t="shared" si="420"/>
        <v>5</v>
      </c>
      <c r="E263" s="62">
        <v>2.9462500000000005E-3</v>
      </c>
      <c r="F263" s="62">
        <v>2.848703703703704E-3</v>
      </c>
      <c r="G263" s="62">
        <v>1.6911574074074075E-3</v>
      </c>
      <c r="H263" s="62">
        <v>3.1795486111111109E-3</v>
      </c>
      <c r="I263" s="62">
        <v>4.0715509259259255E-3</v>
      </c>
      <c r="J263" s="62"/>
      <c r="K263" s="62"/>
      <c r="L263" s="62"/>
      <c r="M263" s="62">
        <v>1.4737210648148149E-2</v>
      </c>
      <c r="N263" s="62">
        <f t="shared" si="421"/>
        <v>1.4737210648148147E-2</v>
      </c>
      <c r="O263" s="53">
        <f t="shared" si="422"/>
        <v>80</v>
      </c>
      <c r="P263" s="53">
        <f t="shared" si="423"/>
        <v>82</v>
      </c>
      <c r="Q263" s="53">
        <f t="shared" si="424"/>
        <v>98</v>
      </c>
      <c r="R263" s="53">
        <f t="shared" si="425"/>
        <v>70</v>
      </c>
      <c r="S263" s="53">
        <f t="shared" si="426"/>
        <v>117</v>
      </c>
      <c r="T263" s="53" t="str">
        <f t="shared" si="427"/>
        <v/>
      </c>
      <c r="U263" s="53" t="str">
        <f t="shared" si="428"/>
        <v/>
      </c>
      <c r="V263" s="53" t="str">
        <f t="shared" si="429"/>
        <v/>
      </c>
      <c r="W263" s="53" t="str">
        <f t="shared" ref="W263:W270" si="454">CONCATENATE(TEXT($AU263,"[hh]:mm:ss.0")," ","(",$O263,")")</f>
        <v>00:04:14.6 (80)</v>
      </c>
      <c r="X263" s="53" t="str">
        <f t="shared" si="430"/>
        <v>00:04:06.1 (82)</v>
      </c>
      <c r="Y263" s="53" t="str">
        <f t="shared" si="431"/>
        <v>00:02:26.1 (98)</v>
      </c>
      <c r="Z263" s="53" t="str">
        <f t="shared" si="432"/>
        <v>00:04:34.7 (70)</v>
      </c>
      <c r="AA263" s="53" t="str">
        <f t="shared" si="433"/>
        <v>00:05:51.8 (117)</v>
      </c>
      <c r="AB263" s="53" t="str">
        <f t="shared" si="434"/>
        <v>DNS/DNF ()</v>
      </c>
      <c r="AC263" s="53" t="str">
        <f t="shared" si="435"/>
        <v>DNS/DNF ()</v>
      </c>
      <c r="AD263" s="53" t="str">
        <f t="shared" si="436"/>
        <v>DNS/DNF ()</v>
      </c>
      <c r="AE263" s="53">
        <v>38088768</v>
      </c>
      <c r="AF263" s="53">
        <v>38343324</v>
      </c>
      <c r="AG263" s="53">
        <v>34429235</v>
      </c>
      <c r="AH263" s="53">
        <v>34675363</v>
      </c>
      <c r="AI263" s="53">
        <v>41620578</v>
      </c>
      <c r="AJ263" s="53">
        <v>41766694</v>
      </c>
      <c r="AK263" s="53">
        <v>46472791</v>
      </c>
      <c r="AL263" s="53">
        <v>46747504</v>
      </c>
      <c r="AM263" s="53">
        <v>49115322</v>
      </c>
      <c r="AN263" s="53">
        <v>49467104</v>
      </c>
      <c r="AO263" s="53">
        <v>0</v>
      </c>
      <c r="AP263" s="53">
        <v>0</v>
      </c>
      <c r="AQ263" s="53">
        <v>0</v>
      </c>
      <c r="AR263" s="53">
        <v>0</v>
      </c>
      <c r="AS263" s="53">
        <v>0</v>
      </c>
      <c r="AT263" s="53">
        <v>0</v>
      </c>
      <c r="AU263" s="62">
        <f t="shared" si="437"/>
        <v>2.9462500000000001E-3</v>
      </c>
      <c r="AV263" s="62">
        <f t="shared" si="438"/>
        <v>2.8487037037037036E-3</v>
      </c>
      <c r="AW263" s="62">
        <f t="shared" si="439"/>
        <v>1.6911574074074075E-3</v>
      </c>
      <c r="AX263" s="62">
        <f t="shared" si="440"/>
        <v>3.1795486111111113E-3</v>
      </c>
      <c r="AY263" s="62">
        <f t="shared" si="441"/>
        <v>4.0715509259259255E-3</v>
      </c>
      <c r="AZ263" s="62" t="str">
        <f t="shared" si="442"/>
        <v>DNS/DNF</v>
      </c>
      <c r="BA263" s="62" t="str">
        <f t="shared" si="443"/>
        <v>DNS/DNF</v>
      </c>
      <c r="BB263" s="62" t="str">
        <f t="shared" si="444"/>
        <v>DNS/DNF</v>
      </c>
      <c r="BC263" s="75">
        <f t="shared" si="445"/>
        <v>89</v>
      </c>
      <c r="BD263" s="53">
        <f t="shared" si="446"/>
        <v>265759</v>
      </c>
      <c r="BE263" s="53">
        <f t="shared" si="447"/>
        <v>248828</v>
      </c>
      <c r="BF263" s="53">
        <f t="shared" si="448"/>
        <v>142356</v>
      </c>
      <c r="BG263" s="53">
        <f t="shared" si="449"/>
        <v>292994</v>
      </c>
      <c r="BH263" s="53">
        <f t="shared" si="450"/>
        <v>338309</v>
      </c>
      <c r="BI263" s="53" t="str">
        <f t="shared" si="451"/>
        <v/>
      </c>
      <c r="BJ263" s="53" t="str">
        <f t="shared" si="452"/>
        <v/>
      </c>
      <c r="BK263" s="53" t="str">
        <f t="shared" si="453"/>
        <v/>
      </c>
    </row>
    <row r="264" spans="1:63">
      <c r="A264" s="53">
        <v>243</v>
      </c>
      <c r="B264" s="89" t="str">
        <f>IFERROR(VLOOKUP($A264,EntryList!$A$3:$N$645,2,FALSE),"")</f>
        <v>Marc Van Der Meer</v>
      </c>
      <c r="C264" s="74"/>
      <c r="D264" s="53">
        <f t="shared" si="420"/>
        <v>5</v>
      </c>
      <c r="E264" s="62">
        <v>4.7132291666666668E-3</v>
      </c>
      <c r="F264" s="62">
        <v>3.4325810185185188E-3</v>
      </c>
      <c r="G264" s="62">
        <v>1.8983333333333335E-3</v>
      </c>
      <c r="H264" s="62">
        <v>4.0580324074074078E-3</v>
      </c>
      <c r="I264" s="62">
        <v>4.6694328703703698E-3</v>
      </c>
      <c r="J264" s="62"/>
      <c r="K264" s="62"/>
      <c r="L264" s="62"/>
      <c r="M264" s="62">
        <v>1.8771608796296295E-2</v>
      </c>
      <c r="N264" s="62">
        <f t="shared" si="421"/>
        <v>1.8771608796296295E-2</v>
      </c>
      <c r="O264" s="53">
        <f t="shared" si="422"/>
        <v>142</v>
      </c>
      <c r="P264" s="53">
        <f t="shared" si="423"/>
        <v>208</v>
      </c>
      <c r="Q264" s="53">
        <f t="shared" si="424"/>
        <v>182</v>
      </c>
      <c r="R264" s="53">
        <f t="shared" si="425"/>
        <v>135</v>
      </c>
      <c r="S264" s="53">
        <f t="shared" si="426"/>
        <v>214</v>
      </c>
      <c r="T264" s="53" t="str">
        <f t="shared" si="427"/>
        <v/>
      </c>
      <c r="U264" s="53" t="str">
        <f t="shared" si="428"/>
        <v/>
      </c>
      <c r="V264" s="53" t="str">
        <f t="shared" si="429"/>
        <v/>
      </c>
      <c r="W264" s="53" t="str">
        <f t="shared" si="454"/>
        <v>00:06:47.2 (142)</v>
      </c>
      <c r="X264" s="53" t="str">
        <f t="shared" si="430"/>
        <v>00:04:56.6 (208)</v>
      </c>
      <c r="Y264" s="53" t="str">
        <f t="shared" si="431"/>
        <v>00:02:44.0 (182)</v>
      </c>
      <c r="Z264" s="53" t="str">
        <f t="shared" si="432"/>
        <v>00:05:50.6 (135)</v>
      </c>
      <c r="AA264" s="53" t="str">
        <f t="shared" si="433"/>
        <v>00:06:43.4 (214)</v>
      </c>
      <c r="AB264" s="53" t="str">
        <f t="shared" si="434"/>
        <v>DNS/DNF ()</v>
      </c>
      <c r="AC264" s="53" t="str">
        <f t="shared" si="435"/>
        <v>DNS/DNF ()</v>
      </c>
      <c r="AD264" s="53" t="str">
        <f t="shared" si="436"/>
        <v>DNS/DNF ()</v>
      </c>
      <c r="AE264" s="53">
        <v>37449421</v>
      </c>
      <c r="AF264" s="53">
        <v>37856644</v>
      </c>
      <c r="AG264" s="53">
        <v>33120743</v>
      </c>
      <c r="AH264" s="53">
        <v>33417318</v>
      </c>
      <c r="AI264" s="53">
        <v>40850756</v>
      </c>
      <c r="AJ264" s="53">
        <v>41014772</v>
      </c>
      <c r="AK264" s="53">
        <v>45919659</v>
      </c>
      <c r="AL264" s="53">
        <v>46270273</v>
      </c>
      <c r="AM264" s="53">
        <v>49244960</v>
      </c>
      <c r="AN264" s="53">
        <v>49648399</v>
      </c>
      <c r="AO264" s="53">
        <v>0</v>
      </c>
      <c r="AP264" s="53">
        <v>0</v>
      </c>
      <c r="AQ264" s="53">
        <v>0</v>
      </c>
      <c r="AR264" s="53">
        <v>0</v>
      </c>
      <c r="AS264" s="53">
        <v>0</v>
      </c>
      <c r="AT264" s="53">
        <v>0</v>
      </c>
      <c r="AU264" s="62">
        <f t="shared" si="437"/>
        <v>4.7132291666666668E-3</v>
      </c>
      <c r="AV264" s="62">
        <f t="shared" si="438"/>
        <v>3.4325810185185184E-3</v>
      </c>
      <c r="AW264" s="62">
        <f t="shared" si="439"/>
        <v>1.8983333333333333E-3</v>
      </c>
      <c r="AX264" s="62">
        <f t="shared" si="440"/>
        <v>4.0580324074074078E-3</v>
      </c>
      <c r="AY264" s="62">
        <f t="shared" si="441"/>
        <v>4.6694328703703707E-3</v>
      </c>
      <c r="AZ264" s="62" t="str">
        <f t="shared" si="442"/>
        <v>DNS/DNF</v>
      </c>
      <c r="BA264" s="62" t="str">
        <f t="shared" si="443"/>
        <v>DNS/DNF</v>
      </c>
      <c r="BB264" s="62" t="str">
        <f t="shared" si="444"/>
        <v>DNS/DNF</v>
      </c>
      <c r="BC264" s="75">
        <f t="shared" si="445"/>
        <v>176</v>
      </c>
      <c r="BD264" s="53" t="str">
        <f t="shared" si="446"/>
        <v/>
      </c>
      <c r="BE264" s="53">
        <f t="shared" si="447"/>
        <v>279937</v>
      </c>
      <c r="BF264" s="53">
        <f t="shared" si="448"/>
        <v>162617</v>
      </c>
      <c r="BG264" s="53" t="str">
        <f t="shared" si="449"/>
        <v/>
      </c>
      <c r="BH264" s="53">
        <f t="shared" si="450"/>
        <v>373489</v>
      </c>
      <c r="BI264" s="53" t="str">
        <f t="shared" si="451"/>
        <v/>
      </c>
      <c r="BJ264" s="53" t="str">
        <f t="shared" si="452"/>
        <v/>
      </c>
      <c r="BK264" s="53" t="str">
        <f t="shared" si="453"/>
        <v/>
      </c>
    </row>
    <row r="265" spans="1:63">
      <c r="A265" s="53">
        <v>244</v>
      </c>
      <c r="B265" s="89" t="str">
        <f>IFERROR(VLOOKUP($A265,EntryList!$A$3:$N$645,2,FALSE),"")</f>
        <v>Devon Van Straten</v>
      </c>
      <c r="C265" s="74"/>
      <c r="D265" s="53">
        <f t="shared" si="420"/>
        <v>4</v>
      </c>
      <c r="E265" s="62"/>
      <c r="F265" s="62">
        <v>5.1179282407407415E-3</v>
      </c>
      <c r="G265" s="62">
        <v>3.1526620370370372E-3</v>
      </c>
      <c r="H265" s="62">
        <v>7.9979976851851844E-3</v>
      </c>
      <c r="I265" s="62">
        <v>6.302291666666667E-3</v>
      </c>
      <c r="J265" s="62"/>
      <c r="K265" s="62"/>
      <c r="L265" s="62"/>
      <c r="M265" s="62">
        <v>2.2570879629629628E-2</v>
      </c>
      <c r="N265" s="62">
        <f t="shared" si="421"/>
        <v>2.2570879629629628E-2</v>
      </c>
      <c r="O265" s="53" t="str">
        <f t="shared" si="422"/>
        <v/>
      </c>
      <c r="P265" s="53">
        <f t="shared" si="423"/>
        <v>262</v>
      </c>
      <c r="Q265" s="53">
        <f t="shared" si="424"/>
        <v>255</v>
      </c>
      <c r="R265" s="53">
        <f t="shared" si="425"/>
        <v>146</v>
      </c>
      <c r="S265" s="53">
        <f t="shared" si="426"/>
        <v>249</v>
      </c>
      <c r="T265" s="53" t="str">
        <f t="shared" si="427"/>
        <v/>
      </c>
      <c r="U265" s="53" t="str">
        <f t="shared" si="428"/>
        <v/>
      </c>
      <c r="V265" s="53" t="str">
        <f t="shared" si="429"/>
        <v/>
      </c>
      <c r="W265" s="53" t="str">
        <f t="shared" si="454"/>
        <v>DNS/DNF ()</v>
      </c>
      <c r="X265" s="53" t="str">
        <f t="shared" si="430"/>
        <v>00:07:22.2 (262)</v>
      </c>
      <c r="Y265" s="53" t="str">
        <f t="shared" si="431"/>
        <v>00:04:32.4 (255)</v>
      </c>
      <c r="Z265" s="53" t="str">
        <f t="shared" si="432"/>
        <v>00:11:31.0 (146)</v>
      </c>
      <c r="AA265" s="53" t="str">
        <f t="shared" si="433"/>
        <v>00:09:04.5 (249)</v>
      </c>
      <c r="AB265" s="53" t="str">
        <f t="shared" si="434"/>
        <v>DNS/DNF ()</v>
      </c>
      <c r="AC265" s="53" t="str">
        <f t="shared" si="435"/>
        <v>DNS/DNF ()</v>
      </c>
      <c r="AD265" s="53" t="str">
        <f t="shared" si="436"/>
        <v>DNS/DNF ()</v>
      </c>
      <c r="AE265" s="53">
        <v>0</v>
      </c>
      <c r="AF265" s="53">
        <v>0</v>
      </c>
      <c r="AG265" s="53">
        <v>33132710</v>
      </c>
      <c r="AH265" s="53">
        <v>33574899</v>
      </c>
      <c r="AI265" s="53">
        <v>40864664</v>
      </c>
      <c r="AJ265" s="53">
        <v>41137054</v>
      </c>
      <c r="AK265" s="53">
        <v>46135288</v>
      </c>
      <c r="AL265" s="53">
        <v>46826315</v>
      </c>
      <c r="AM265" s="53">
        <v>49280398</v>
      </c>
      <c r="AN265" s="53">
        <v>49824916</v>
      </c>
      <c r="AO265" s="53">
        <v>0</v>
      </c>
      <c r="AP265" s="53">
        <v>0</v>
      </c>
      <c r="AQ265" s="53">
        <v>0</v>
      </c>
      <c r="AR265" s="53">
        <v>0</v>
      </c>
      <c r="AS265" s="53">
        <v>0</v>
      </c>
      <c r="AT265" s="53">
        <v>0</v>
      </c>
      <c r="AU265" s="62" t="str">
        <f t="shared" si="437"/>
        <v>DNS/DNF</v>
      </c>
      <c r="AV265" s="62">
        <f t="shared" si="438"/>
        <v>5.1179282407407406E-3</v>
      </c>
      <c r="AW265" s="62">
        <f t="shared" si="439"/>
        <v>3.1526620370370372E-3</v>
      </c>
      <c r="AX265" s="62">
        <f t="shared" si="440"/>
        <v>7.9979976851851844E-3</v>
      </c>
      <c r="AY265" s="62">
        <f t="shared" si="441"/>
        <v>6.302291666666667E-3</v>
      </c>
      <c r="AZ265" s="62" t="str">
        <f t="shared" si="442"/>
        <v>DNS/DNF</v>
      </c>
      <c r="BA265" s="62" t="str">
        <f t="shared" si="443"/>
        <v>DNS/DNF</v>
      </c>
      <c r="BB265" s="62" t="str">
        <f t="shared" si="444"/>
        <v>DNS/DNF</v>
      </c>
      <c r="BC265" s="75">
        <f t="shared" si="445"/>
        <v>228</v>
      </c>
      <c r="BD265" s="53" t="str">
        <f t="shared" si="446"/>
        <v/>
      </c>
      <c r="BE265" s="53">
        <f t="shared" si="447"/>
        <v>318070</v>
      </c>
      <c r="BF265" s="53">
        <f t="shared" si="448"/>
        <v>192680</v>
      </c>
      <c r="BG265" s="53" t="str">
        <f t="shared" si="449"/>
        <v/>
      </c>
      <c r="BH265" s="53">
        <f t="shared" si="450"/>
        <v>426741</v>
      </c>
      <c r="BI265" s="53" t="str">
        <f t="shared" si="451"/>
        <v/>
      </c>
      <c r="BJ265" s="53" t="str">
        <f t="shared" si="452"/>
        <v/>
      </c>
      <c r="BK265" s="53" t="str">
        <f t="shared" si="453"/>
        <v/>
      </c>
    </row>
    <row r="266" spans="1:63">
      <c r="A266" s="53">
        <v>232</v>
      </c>
      <c r="B266" s="89" t="str">
        <f>IFERROR(VLOOKUP($A266,EntryList!$A$3:$N$645,2,FALSE),"")</f>
        <v>Pierre Evard</v>
      </c>
      <c r="C266" s="74"/>
      <c r="D266" s="53">
        <f t="shared" si="420"/>
        <v>2</v>
      </c>
      <c r="E266" s="62"/>
      <c r="F266" s="62">
        <v>3.4549074074074078E-3</v>
      </c>
      <c r="G266" s="62"/>
      <c r="H266" s="62"/>
      <c r="I266" s="62">
        <v>5.3491435185185178E-3</v>
      </c>
      <c r="J266" s="62"/>
      <c r="K266" s="62"/>
      <c r="L266" s="62"/>
      <c r="M266" s="62">
        <v>8.8040509259259252E-3</v>
      </c>
      <c r="N266" s="62">
        <f t="shared" si="421"/>
        <v>8.804050925925927E-3</v>
      </c>
      <c r="O266" s="53" t="str">
        <f t="shared" si="422"/>
        <v/>
      </c>
      <c r="P266" s="53">
        <f t="shared" si="423"/>
        <v>211</v>
      </c>
      <c r="Q266" s="53" t="str">
        <f t="shared" si="424"/>
        <v/>
      </c>
      <c r="R266" s="53" t="str">
        <f t="shared" si="425"/>
        <v/>
      </c>
      <c r="S266" s="53">
        <f t="shared" si="426"/>
        <v>242</v>
      </c>
      <c r="T266" s="53" t="str">
        <f t="shared" si="427"/>
        <v/>
      </c>
      <c r="U266" s="53" t="str">
        <f t="shared" si="428"/>
        <v/>
      </c>
      <c r="V266" s="53" t="str">
        <f t="shared" si="429"/>
        <v/>
      </c>
      <c r="W266" s="53" t="str">
        <f t="shared" si="454"/>
        <v>DNS/DNF ()</v>
      </c>
      <c r="X266" s="53" t="str">
        <f t="shared" si="430"/>
        <v>00:04:58.5 (211)</v>
      </c>
      <c r="Y266" s="53" t="str">
        <f t="shared" si="431"/>
        <v>DNS/DNF ()</v>
      </c>
      <c r="Z266" s="53" t="str">
        <f t="shared" si="432"/>
        <v>DNS/DNF ()</v>
      </c>
      <c r="AA266" s="53" t="str">
        <f t="shared" si="433"/>
        <v>00:07:42.2 (242)</v>
      </c>
      <c r="AB266" s="53" t="str">
        <f t="shared" si="434"/>
        <v>DNS/DNF ()</v>
      </c>
      <c r="AC266" s="53" t="str">
        <f t="shared" si="435"/>
        <v>DNS/DNF ()</v>
      </c>
      <c r="AD266" s="53" t="str">
        <f t="shared" si="436"/>
        <v>DNS/DNF ()</v>
      </c>
      <c r="AE266" s="53">
        <v>0</v>
      </c>
      <c r="AF266" s="53">
        <v>0</v>
      </c>
      <c r="AG266" s="53">
        <v>38542835</v>
      </c>
      <c r="AH266" s="53">
        <v>38841339</v>
      </c>
      <c r="AI266" s="53">
        <v>0</v>
      </c>
      <c r="AJ266" s="53">
        <v>0</v>
      </c>
      <c r="AK266" s="53">
        <v>0</v>
      </c>
      <c r="AL266" s="53">
        <v>0</v>
      </c>
      <c r="AM266" s="53">
        <v>49120978</v>
      </c>
      <c r="AN266" s="53">
        <v>49583144</v>
      </c>
      <c r="AO266" s="53">
        <v>0</v>
      </c>
      <c r="AP266" s="53">
        <v>0</v>
      </c>
      <c r="AQ266" s="53">
        <v>0</v>
      </c>
      <c r="AR266" s="53">
        <v>0</v>
      </c>
      <c r="AS266" s="53">
        <v>0</v>
      </c>
      <c r="AT266" s="53">
        <v>0</v>
      </c>
      <c r="AU266" s="62" t="str">
        <f t="shared" si="437"/>
        <v>DNS/DNF</v>
      </c>
      <c r="AV266" s="62">
        <f t="shared" si="438"/>
        <v>3.4549074074074074E-3</v>
      </c>
      <c r="AW266" s="62" t="str">
        <f t="shared" si="439"/>
        <v>DNS/DNF</v>
      </c>
      <c r="AX266" s="62" t="str">
        <f t="shared" si="440"/>
        <v>DNS/DNF</v>
      </c>
      <c r="AY266" s="62">
        <f t="shared" si="441"/>
        <v>5.3491435185185187E-3</v>
      </c>
      <c r="AZ266" s="62" t="str">
        <f t="shared" si="442"/>
        <v>DNS/DNF</v>
      </c>
      <c r="BA266" s="62" t="str">
        <f t="shared" si="443"/>
        <v>DNS/DNF</v>
      </c>
      <c r="BB266" s="62" t="str">
        <f t="shared" si="444"/>
        <v>DNS/DNF</v>
      </c>
      <c r="BC266" s="75">
        <f t="shared" si="445"/>
        <v>227</v>
      </c>
      <c r="BD266" s="53" t="str">
        <f t="shared" si="446"/>
        <v/>
      </c>
      <c r="BE266" s="53">
        <f t="shared" si="447"/>
        <v>316539</v>
      </c>
      <c r="BF266" s="53">
        <f t="shared" si="448"/>
        <v>191712</v>
      </c>
      <c r="BG266" s="53" t="str">
        <f t="shared" si="449"/>
        <v/>
      </c>
      <c r="BH266" s="53">
        <f t="shared" si="450"/>
        <v>424071</v>
      </c>
      <c r="BI266" s="53" t="str">
        <f t="shared" si="451"/>
        <v/>
      </c>
      <c r="BJ266" s="53" t="str">
        <f t="shared" si="452"/>
        <v/>
      </c>
      <c r="BK266" s="53" t="str">
        <f t="shared" si="453"/>
        <v/>
      </c>
    </row>
    <row r="267" spans="1:63">
      <c r="A267" s="53">
        <v>260</v>
      </c>
      <c r="B267" s="89" t="str">
        <f>IFERROR(VLOOKUP($A267,EntryList!$A$3:$N$645,2,FALSE),"")</f>
        <v>Dillan Rix</v>
      </c>
      <c r="C267" s="74"/>
      <c r="D267" s="53">
        <f t="shared" si="420"/>
        <v>5</v>
      </c>
      <c r="E267" s="62">
        <v>2.6171990740740739E-3</v>
      </c>
      <c r="F267" s="62">
        <v>2.7395023148148148E-3</v>
      </c>
      <c r="G267" s="62">
        <v>1.6097916666666665E-3</v>
      </c>
      <c r="H267" s="62">
        <v>3.9113194444444438E-3</v>
      </c>
      <c r="I267" s="62">
        <v>3.608321759259259E-3</v>
      </c>
      <c r="J267" s="62"/>
      <c r="K267" s="62"/>
      <c r="L267" s="62"/>
      <c r="M267" s="62">
        <v>1.4486134259259259E-2</v>
      </c>
      <c r="N267" s="62">
        <f t="shared" si="421"/>
        <v>1.4486134259259259E-2</v>
      </c>
      <c r="O267" s="53">
        <f t="shared" si="422"/>
        <v>48</v>
      </c>
      <c r="P267" s="53">
        <f t="shared" si="423"/>
        <v>57</v>
      </c>
      <c r="Q267" s="53">
        <f t="shared" si="424"/>
        <v>79</v>
      </c>
      <c r="R267" s="53">
        <f t="shared" si="425"/>
        <v>133</v>
      </c>
      <c r="S267" s="53">
        <f t="shared" si="426"/>
        <v>39</v>
      </c>
      <c r="T267" s="53" t="str">
        <f t="shared" si="427"/>
        <v/>
      </c>
      <c r="U267" s="53" t="str">
        <f t="shared" si="428"/>
        <v/>
      </c>
      <c r="V267" s="53" t="str">
        <f t="shared" si="429"/>
        <v/>
      </c>
      <c r="W267" s="53" t="str">
        <f t="shared" si="454"/>
        <v>00:03:46.1 (48)</v>
      </c>
      <c r="X267" s="53" t="str">
        <f t="shared" si="430"/>
        <v>00:03:56.7 (57)</v>
      </c>
      <c r="Y267" s="53" t="str">
        <f t="shared" si="431"/>
        <v>00:02:19.1 (79)</v>
      </c>
      <c r="Z267" s="53" t="str">
        <f t="shared" si="432"/>
        <v>00:05:37.9 (133)</v>
      </c>
      <c r="AA267" s="53" t="str">
        <f t="shared" si="433"/>
        <v>00:05:11.8 (39)</v>
      </c>
      <c r="AB267" s="53" t="str">
        <f t="shared" si="434"/>
        <v>DNS/DNF ()</v>
      </c>
      <c r="AC267" s="53" t="str">
        <f t="shared" si="435"/>
        <v>DNS/DNF ()</v>
      </c>
      <c r="AD267" s="53" t="str">
        <f t="shared" si="436"/>
        <v>DNS/DNF ()</v>
      </c>
      <c r="AE267" s="53">
        <v>35489935</v>
      </c>
      <c r="AF267" s="53">
        <v>35716061</v>
      </c>
      <c r="AG267" s="53">
        <v>38963972</v>
      </c>
      <c r="AH267" s="53">
        <v>39200665</v>
      </c>
      <c r="AI267" s="53">
        <v>31763783</v>
      </c>
      <c r="AJ267" s="53">
        <v>31902869</v>
      </c>
      <c r="AK267" s="53">
        <v>45027597</v>
      </c>
      <c r="AL267" s="53">
        <v>45365535</v>
      </c>
      <c r="AM267" s="53">
        <v>48530238</v>
      </c>
      <c r="AN267" s="53">
        <v>48841997</v>
      </c>
      <c r="AO267" s="53">
        <v>0</v>
      </c>
      <c r="AP267" s="53">
        <v>0</v>
      </c>
      <c r="AQ267" s="53">
        <v>0</v>
      </c>
      <c r="AR267" s="53">
        <v>0</v>
      </c>
      <c r="AS267" s="53">
        <v>0</v>
      </c>
      <c r="AT267" s="53">
        <v>0</v>
      </c>
      <c r="AU267" s="62">
        <f t="shared" si="437"/>
        <v>2.6171990740740739E-3</v>
      </c>
      <c r="AV267" s="62">
        <f t="shared" si="438"/>
        <v>2.7395023148148148E-3</v>
      </c>
      <c r="AW267" s="62">
        <f t="shared" si="439"/>
        <v>1.6097916666666667E-3</v>
      </c>
      <c r="AX267" s="62">
        <f t="shared" si="440"/>
        <v>3.9113194444444447E-3</v>
      </c>
      <c r="AY267" s="62">
        <f t="shared" si="441"/>
        <v>3.6083217592592595E-3</v>
      </c>
      <c r="AZ267" s="62" t="str">
        <f t="shared" si="442"/>
        <v>DNS/DNF</v>
      </c>
      <c r="BA267" s="62" t="str">
        <f t="shared" si="443"/>
        <v>DNS/DNF</v>
      </c>
      <c r="BB267" s="62" t="str">
        <f t="shared" si="444"/>
        <v>DNS/DNF</v>
      </c>
      <c r="BC267" s="75">
        <f t="shared" si="445"/>
        <v>71</v>
      </c>
      <c r="BD267" s="53">
        <f t="shared" si="446"/>
        <v>250559</v>
      </c>
      <c r="BE267" s="53">
        <f t="shared" si="447"/>
        <v>242688</v>
      </c>
      <c r="BF267" s="53">
        <f t="shared" si="448"/>
        <v>136641</v>
      </c>
      <c r="BG267" s="53">
        <f t="shared" si="449"/>
        <v>275494</v>
      </c>
      <c r="BH267" s="53">
        <f t="shared" si="450"/>
        <v>330060</v>
      </c>
      <c r="BI267" s="53" t="str">
        <f t="shared" si="451"/>
        <v/>
      </c>
      <c r="BJ267" s="53" t="str">
        <f t="shared" si="452"/>
        <v/>
      </c>
      <c r="BK267" s="53" t="str">
        <f t="shared" si="453"/>
        <v/>
      </c>
    </row>
    <row r="268" spans="1:63">
      <c r="A268" s="53">
        <v>173</v>
      </c>
      <c r="B268" s="89" t="str">
        <f>IFERROR(VLOOKUP($A268,EntryList!$A$3:$N$645,2,FALSE),"")</f>
        <v>Luca Hewitson</v>
      </c>
      <c r="C268" s="74"/>
      <c r="D268" s="53">
        <f t="shared" si="420"/>
        <v>5</v>
      </c>
      <c r="E268" s="62">
        <v>2.9028240740740746E-3</v>
      </c>
      <c r="F268" s="62">
        <v>3.0132986111111111E-3</v>
      </c>
      <c r="G268" s="62">
        <v>1.7019907407407409E-3</v>
      </c>
      <c r="H268" s="62">
        <v>3.3392708333333334E-3</v>
      </c>
      <c r="I268" s="62">
        <v>4.0944560185185181E-3</v>
      </c>
      <c r="J268" s="62"/>
      <c r="K268" s="62"/>
      <c r="L268" s="62"/>
      <c r="M268" s="62">
        <v>1.5051840277777777E-2</v>
      </c>
      <c r="N268" s="62">
        <f t="shared" si="421"/>
        <v>1.5051840277777779E-2</v>
      </c>
      <c r="O268" s="53">
        <f t="shared" si="422"/>
        <v>73</v>
      </c>
      <c r="P268" s="53">
        <f t="shared" si="423"/>
        <v>118</v>
      </c>
      <c r="Q268" s="53">
        <f t="shared" si="424"/>
        <v>104</v>
      </c>
      <c r="R268" s="53">
        <f t="shared" si="425"/>
        <v>84</v>
      </c>
      <c r="S268" s="53">
        <f t="shared" si="426"/>
        <v>129</v>
      </c>
      <c r="T268" s="53" t="str">
        <f t="shared" si="427"/>
        <v/>
      </c>
      <c r="U268" s="53" t="str">
        <f t="shared" si="428"/>
        <v/>
      </c>
      <c r="V268" s="53" t="str">
        <f t="shared" si="429"/>
        <v/>
      </c>
      <c r="W268" s="53" t="str">
        <f t="shared" si="454"/>
        <v>00:04:10.8 (73)</v>
      </c>
      <c r="X268" s="53" t="str">
        <f t="shared" si="430"/>
        <v>00:04:20.3 (118)</v>
      </c>
      <c r="Y268" s="53" t="str">
        <f t="shared" si="431"/>
        <v>00:02:27.1 (104)</v>
      </c>
      <c r="Z268" s="53" t="str">
        <f t="shared" si="432"/>
        <v>00:04:48.5 (84)</v>
      </c>
      <c r="AA268" s="53" t="str">
        <f t="shared" si="433"/>
        <v>00:05:53.8 (129)</v>
      </c>
      <c r="AB268" s="53" t="str">
        <f t="shared" si="434"/>
        <v>DNS/DNF ()</v>
      </c>
      <c r="AC268" s="53" t="str">
        <f t="shared" si="435"/>
        <v>DNS/DNF ()</v>
      </c>
      <c r="AD268" s="53" t="str">
        <f t="shared" si="436"/>
        <v>DNS/DNF ()</v>
      </c>
      <c r="AE268" s="53">
        <v>33466026</v>
      </c>
      <c r="AF268" s="53">
        <v>33716830</v>
      </c>
      <c r="AG268" s="53">
        <v>40983616</v>
      </c>
      <c r="AH268" s="53">
        <v>41243965</v>
      </c>
      <c r="AI268" s="53">
        <v>37782584</v>
      </c>
      <c r="AJ268" s="53">
        <v>37929636</v>
      </c>
      <c r="AK268" s="53">
        <v>46011526</v>
      </c>
      <c r="AL268" s="53">
        <v>46300039</v>
      </c>
      <c r="AM268" s="53">
        <v>49036152</v>
      </c>
      <c r="AN268" s="53">
        <v>49389913</v>
      </c>
      <c r="AO268" s="53">
        <v>0</v>
      </c>
      <c r="AP268" s="53">
        <v>0</v>
      </c>
      <c r="AQ268" s="53">
        <v>0</v>
      </c>
      <c r="AR268" s="53">
        <v>0</v>
      </c>
      <c r="AS268" s="53">
        <v>0</v>
      </c>
      <c r="AT268" s="53">
        <v>0</v>
      </c>
      <c r="AU268" s="62">
        <f t="shared" si="437"/>
        <v>2.9028240740740742E-3</v>
      </c>
      <c r="AV268" s="62">
        <f t="shared" si="438"/>
        <v>3.0132986111111111E-3</v>
      </c>
      <c r="AW268" s="62">
        <f t="shared" si="439"/>
        <v>1.7019907407407407E-3</v>
      </c>
      <c r="AX268" s="62">
        <f t="shared" si="440"/>
        <v>3.3392708333333334E-3</v>
      </c>
      <c r="AY268" s="62">
        <f t="shared" si="441"/>
        <v>4.0944560185185181E-3</v>
      </c>
      <c r="AZ268" s="62" t="str">
        <f t="shared" si="442"/>
        <v>DNS/DNF</v>
      </c>
      <c r="BA268" s="62" t="str">
        <f t="shared" si="443"/>
        <v>DNS/DNF</v>
      </c>
      <c r="BB268" s="62" t="str">
        <f t="shared" si="444"/>
        <v>DNS/DNF</v>
      </c>
      <c r="BC268" s="75">
        <f t="shared" si="445"/>
        <v>102</v>
      </c>
      <c r="BD268" s="53">
        <f t="shared" si="446"/>
        <v>280995</v>
      </c>
      <c r="BE268" s="53">
        <f t="shared" si="447"/>
        <v>254250</v>
      </c>
      <c r="BF268" s="53">
        <f t="shared" si="448"/>
        <v>146362</v>
      </c>
      <c r="BG268" s="53">
        <f t="shared" si="449"/>
        <v>301363</v>
      </c>
      <c r="BH268" s="53">
        <f t="shared" si="450"/>
        <v>343836</v>
      </c>
      <c r="BI268" s="53" t="str">
        <f t="shared" si="451"/>
        <v/>
      </c>
      <c r="BJ268" s="53" t="str">
        <f t="shared" si="452"/>
        <v/>
      </c>
      <c r="BK268" s="53" t="str">
        <f t="shared" si="453"/>
        <v/>
      </c>
    </row>
    <row r="269" spans="1:63">
      <c r="A269" s="53">
        <v>45</v>
      </c>
      <c r="B269" s="89" t="str">
        <f>IFERROR(VLOOKUP($A269,EntryList!$A$3:$N$645,2,FALSE),"")</f>
        <v>Rory Butler</v>
      </c>
      <c r="C269" s="74"/>
      <c r="D269" s="53">
        <f t="shared" si="420"/>
        <v>5</v>
      </c>
      <c r="E269" s="62">
        <v>3.6156250000000003E-3</v>
      </c>
      <c r="F269" s="62">
        <v>3.3490625E-3</v>
      </c>
      <c r="G269" s="62">
        <v>1.8709027777777778E-3</v>
      </c>
      <c r="H269" s="62">
        <v>3.8926273148148145E-3</v>
      </c>
      <c r="I269" s="62">
        <v>4.4652777777777772E-3</v>
      </c>
      <c r="J269" s="62"/>
      <c r="K269" s="62"/>
      <c r="L269" s="62"/>
      <c r="M269" s="62">
        <v>1.7193495370370369E-2</v>
      </c>
      <c r="N269" s="62">
        <f t="shared" si="421"/>
        <v>1.7193495370370369E-2</v>
      </c>
      <c r="O269" s="53">
        <f t="shared" si="422"/>
        <v>119</v>
      </c>
      <c r="P269" s="53">
        <f t="shared" si="423"/>
        <v>198</v>
      </c>
      <c r="Q269" s="53">
        <f t="shared" si="424"/>
        <v>173</v>
      </c>
      <c r="R269" s="53">
        <f t="shared" si="425"/>
        <v>132</v>
      </c>
      <c r="S269" s="53">
        <f t="shared" si="426"/>
        <v>191</v>
      </c>
      <c r="T269" s="53" t="str">
        <f t="shared" si="427"/>
        <v/>
      </c>
      <c r="U269" s="53" t="str">
        <f t="shared" si="428"/>
        <v/>
      </c>
      <c r="V269" s="53" t="str">
        <f t="shared" si="429"/>
        <v/>
      </c>
      <c r="W269" s="53" t="str">
        <f t="shared" si="454"/>
        <v>00:05:12.4 (119)</v>
      </c>
      <c r="X269" s="53" t="str">
        <f t="shared" si="430"/>
        <v>00:04:49.4 (198)</v>
      </c>
      <c r="Y269" s="53" t="str">
        <f t="shared" si="431"/>
        <v>00:02:41.6 (173)</v>
      </c>
      <c r="Z269" s="53" t="str">
        <f t="shared" si="432"/>
        <v>00:05:36.3 (132)</v>
      </c>
      <c r="AA269" s="53" t="str">
        <f t="shared" si="433"/>
        <v>00:06:25.8 (191)</v>
      </c>
      <c r="AB269" s="53" t="str">
        <f t="shared" si="434"/>
        <v>DNS/DNF ()</v>
      </c>
      <c r="AC269" s="53" t="str">
        <f t="shared" si="435"/>
        <v>DNS/DNF ()</v>
      </c>
      <c r="AD269" s="53" t="str">
        <f t="shared" si="436"/>
        <v>DNS/DNF ()</v>
      </c>
      <c r="AE269" s="53">
        <v>37568901</v>
      </c>
      <c r="AF269" s="53">
        <v>37881291</v>
      </c>
      <c r="AG269" s="53">
        <v>33442796</v>
      </c>
      <c r="AH269" s="53">
        <v>33732155</v>
      </c>
      <c r="AI269" s="53">
        <v>41072068</v>
      </c>
      <c r="AJ269" s="53">
        <v>41233714</v>
      </c>
      <c r="AK269" s="53">
        <v>45450513</v>
      </c>
      <c r="AL269" s="53">
        <v>45786836</v>
      </c>
      <c r="AM269" s="53">
        <v>48844644</v>
      </c>
      <c r="AN269" s="53">
        <v>49230444</v>
      </c>
      <c r="AO269" s="53">
        <v>0</v>
      </c>
      <c r="AP269" s="53">
        <v>0</v>
      </c>
      <c r="AQ269" s="53">
        <v>0</v>
      </c>
      <c r="AR269" s="53">
        <v>0</v>
      </c>
      <c r="AS269" s="53">
        <v>0</v>
      </c>
      <c r="AT269" s="53">
        <v>0</v>
      </c>
      <c r="AU269" s="62">
        <f t="shared" si="437"/>
        <v>3.6156249999999999E-3</v>
      </c>
      <c r="AV269" s="62">
        <f t="shared" si="438"/>
        <v>3.3490625E-3</v>
      </c>
      <c r="AW269" s="62">
        <f t="shared" si="439"/>
        <v>1.8709027777777778E-3</v>
      </c>
      <c r="AX269" s="62">
        <f t="shared" si="440"/>
        <v>3.8926273148148149E-3</v>
      </c>
      <c r="AY269" s="62">
        <f t="shared" si="441"/>
        <v>4.4652777777777781E-3</v>
      </c>
      <c r="AZ269" s="62" t="str">
        <f t="shared" si="442"/>
        <v>DNS/DNF</v>
      </c>
      <c r="BA269" s="62" t="str">
        <f t="shared" si="443"/>
        <v>DNS/DNF</v>
      </c>
      <c r="BB269" s="62" t="str">
        <f t="shared" si="444"/>
        <v>DNS/DNF</v>
      </c>
      <c r="BC269" s="75">
        <f t="shared" si="445"/>
        <v>163</v>
      </c>
      <c r="BD269" s="53" t="str">
        <f t="shared" si="446"/>
        <v/>
      </c>
      <c r="BE269" s="53">
        <f t="shared" si="447"/>
        <v>276213</v>
      </c>
      <c r="BF269" s="53">
        <f t="shared" si="448"/>
        <v>160516</v>
      </c>
      <c r="BG269" s="53" t="str">
        <f t="shared" si="449"/>
        <v/>
      </c>
      <c r="BH269" s="53">
        <f t="shared" si="450"/>
        <v>367684</v>
      </c>
      <c r="BI269" s="53" t="str">
        <f t="shared" si="451"/>
        <v/>
      </c>
      <c r="BJ269" s="53" t="str">
        <f t="shared" si="452"/>
        <v/>
      </c>
      <c r="BK269" s="53" t="str">
        <f t="shared" si="453"/>
        <v/>
      </c>
    </row>
    <row r="270" spans="1:63" ht="13.5" customHeight="1">
      <c r="A270" s="53">
        <v>104</v>
      </c>
      <c r="B270" s="89" t="str">
        <f>IFERROR(VLOOKUP($A270,EntryList!$A$3:$N$645,2,FALSE),"")</f>
        <v>Ryan Liversage</v>
      </c>
      <c r="C270" s="74"/>
      <c r="D270" s="53">
        <f t="shared" si="420"/>
        <v>5</v>
      </c>
      <c r="E270" s="62">
        <v>3.5423842592592594E-3</v>
      </c>
      <c r="F270" s="62">
        <v>3.3841435185185185E-3</v>
      </c>
      <c r="G270" s="62">
        <v>1.7900231481481482E-3</v>
      </c>
      <c r="H270" s="62">
        <v>3.6987384259259261E-3</v>
      </c>
      <c r="I270" s="62">
        <v>4.5593750000000001E-3</v>
      </c>
      <c r="J270" s="62"/>
      <c r="K270" s="62"/>
      <c r="L270" s="62"/>
      <c r="M270" s="62">
        <v>1.697466435185185E-2</v>
      </c>
      <c r="N270" s="62">
        <f t="shared" si="421"/>
        <v>1.6974664351851854E-2</v>
      </c>
      <c r="O270" s="53">
        <f t="shared" si="422"/>
        <v>114</v>
      </c>
      <c r="P270" s="53">
        <f t="shared" si="423"/>
        <v>202</v>
      </c>
      <c r="Q270" s="53">
        <f t="shared" si="424"/>
        <v>137</v>
      </c>
      <c r="R270" s="53">
        <f t="shared" si="425"/>
        <v>121</v>
      </c>
      <c r="S270" s="53">
        <f t="shared" si="426"/>
        <v>202</v>
      </c>
      <c r="T270" s="53" t="str">
        <f t="shared" si="427"/>
        <v/>
      </c>
      <c r="U270" s="53" t="str">
        <f t="shared" si="428"/>
        <v/>
      </c>
      <c r="V270" s="53" t="str">
        <f t="shared" si="429"/>
        <v/>
      </c>
      <c r="W270" s="53" t="str">
        <f t="shared" si="454"/>
        <v>00:05:06.1 (114)</v>
      </c>
      <c r="X270" s="53" t="str">
        <f t="shared" si="430"/>
        <v>00:04:52.4 (202)</v>
      </c>
      <c r="Y270" s="53" t="str">
        <f t="shared" si="431"/>
        <v>00:02:34.7 (137)</v>
      </c>
      <c r="Z270" s="53" t="str">
        <f t="shared" si="432"/>
        <v>00:05:19.6 (121)</v>
      </c>
      <c r="AA270" s="53" t="str">
        <f t="shared" si="433"/>
        <v>00:06:33.9 (202)</v>
      </c>
      <c r="AB270" s="53" t="str">
        <f t="shared" si="434"/>
        <v>DNS/DNF ()</v>
      </c>
      <c r="AC270" s="53" t="str">
        <f t="shared" si="435"/>
        <v>DNS/DNF ()</v>
      </c>
      <c r="AD270" s="53" t="str">
        <f t="shared" si="436"/>
        <v>DNS/DNF ()</v>
      </c>
      <c r="AE270" s="53">
        <v>32969343</v>
      </c>
      <c r="AF270" s="53">
        <v>33275405</v>
      </c>
      <c r="AG270" s="53">
        <v>37569710</v>
      </c>
      <c r="AH270" s="53">
        <v>37862100</v>
      </c>
      <c r="AI270" s="53">
        <v>41055658</v>
      </c>
      <c r="AJ270" s="53">
        <v>41210316</v>
      </c>
      <c r="AK270" s="53">
        <v>45303883</v>
      </c>
      <c r="AL270" s="53">
        <v>45623454</v>
      </c>
      <c r="AM270" s="53">
        <v>48463310</v>
      </c>
      <c r="AN270" s="53">
        <v>48857240</v>
      </c>
      <c r="AO270" s="53">
        <v>0</v>
      </c>
      <c r="AP270" s="53">
        <v>0</v>
      </c>
      <c r="AQ270" s="53">
        <v>0</v>
      </c>
      <c r="AR270" s="53">
        <v>0</v>
      </c>
      <c r="AS270" s="53">
        <v>0</v>
      </c>
      <c r="AT270" s="53">
        <v>0</v>
      </c>
      <c r="AU270" s="62">
        <f t="shared" si="437"/>
        <v>3.5423842592592594E-3</v>
      </c>
      <c r="AV270" s="62">
        <f t="shared" si="438"/>
        <v>3.3841435185185185E-3</v>
      </c>
      <c r="AW270" s="62">
        <f t="shared" si="439"/>
        <v>1.7900231481481482E-3</v>
      </c>
      <c r="AX270" s="62">
        <f t="shared" si="440"/>
        <v>3.6987384259259261E-3</v>
      </c>
      <c r="AY270" s="62">
        <f t="shared" si="441"/>
        <v>4.5593750000000001E-3</v>
      </c>
      <c r="AZ270" s="62" t="str">
        <f t="shared" si="442"/>
        <v>DNS/DNF</v>
      </c>
      <c r="BA270" s="62" t="str">
        <f t="shared" si="443"/>
        <v>DNS/DNF</v>
      </c>
      <c r="BB270" s="62" t="str">
        <f t="shared" si="444"/>
        <v>DNS/DNF</v>
      </c>
      <c r="BC270" s="75">
        <f t="shared" si="445"/>
        <v>155</v>
      </c>
      <c r="BD270" s="53" t="str">
        <f t="shared" si="446"/>
        <v/>
      </c>
      <c r="BE270" s="53">
        <f t="shared" si="447"/>
        <v>273529</v>
      </c>
      <c r="BF270" s="53">
        <f t="shared" si="448"/>
        <v>159611</v>
      </c>
      <c r="BG270" s="53" t="str">
        <f t="shared" si="449"/>
        <v/>
      </c>
      <c r="BH270" s="53" t="str">
        <f t="shared" si="450"/>
        <v/>
      </c>
      <c r="BI270" s="53" t="str">
        <f t="shared" si="451"/>
        <v/>
      </c>
      <c r="BJ270" s="53" t="str">
        <f t="shared" si="452"/>
        <v/>
      </c>
      <c r="BK270" s="53" t="str">
        <f t="shared" si="453"/>
        <v/>
      </c>
    </row>
    <row r="271" spans="1:63">
      <c r="A271" s="53">
        <v>264</v>
      </c>
      <c r="B271" s="89" t="str">
        <f>IFERROR(VLOOKUP($A271,EntryList!$A$3:$N$645,2,FALSE),"")</f>
        <v>Jeanie De Villiers</v>
      </c>
      <c r="C271" s="74"/>
      <c r="D271" s="53">
        <f>COUNT($AU271:$BB271)</f>
        <v>3</v>
      </c>
      <c r="E271" s="62"/>
      <c r="F271" s="62">
        <v>3.6525231481481482E-3</v>
      </c>
      <c r="G271" s="62">
        <v>2.0627777777777775E-3</v>
      </c>
      <c r="H271" s="62"/>
      <c r="I271" s="62">
        <v>4.5111574074074073E-3</v>
      </c>
      <c r="J271" s="62"/>
      <c r="K271" s="62"/>
      <c r="L271" s="62"/>
      <c r="M271" s="62">
        <v>1.0226458333333334E-2</v>
      </c>
      <c r="N271" s="62">
        <f>SUM($AU271:$BB271)</f>
        <v>1.0226458333333334E-2</v>
      </c>
      <c r="O271" s="53" t="str">
        <f>IFERROR(RANK($AU271,AU$3:AU$500,1),"")</f>
        <v/>
      </c>
      <c r="P271" s="53">
        <f>IFERROR(RANK($AV271,AV$3:AV$500,1),"")</f>
        <v>226</v>
      </c>
      <c r="Q271" s="53">
        <f>IFERROR(RANK($AW271,AW$3:AW$500,1),"")</f>
        <v>214</v>
      </c>
      <c r="R271" s="53" t="str">
        <f>IFERROR(RANK($AX271,AX$3:AX$500,1),"")</f>
        <v/>
      </c>
      <c r="S271" s="53">
        <f>IFERROR(RANK($AY271,AY$3:AY$500,1),"")</f>
        <v>196</v>
      </c>
      <c r="T271" s="53" t="str">
        <f>IFERROR(RANK($AZ271,AZ$3:AZ$500,1),"")</f>
        <v/>
      </c>
      <c r="U271" s="53" t="str">
        <f>IFERROR(RANK($BA271,BA$3:BA$500,1),"")</f>
        <v/>
      </c>
      <c r="V271" s="53" t="str">
        <f>IFERROR(RANK($BB271,BB$3:BB$500,1),"")</f>
        <v/>
      </c>
      <c r="W271" s="53" t="str">
        <f>CONCATENATE(TEXT($AU271,"[hh]:mm:ss.0")," ","(",$O271,")")</f>
        <v>DNS/DNF ()</v>
      </c>
      <c r="X271" s="53" t="str">
        <f>CONCATENATE(TEXT($AV271,"[hh]:mm:ss.0")," ","(",$P271,")")</f>
        <v>00:05:15.6 (226)</v>
      </c>
      <c r="Y271" s="53" t="str">
        <f>CONCATENATE(TEXT($AW271,"[hh]:mm:ss.0")," ","(",$Q271,")")</f>
        <v>00:02:58.2 (214)</v>
      </c>
      <c r="Z271" s="53" t="str">
        <f>CONCATENATE(TEXT($AX271,"[hh]:mm:ss.0")," ","(",$R271,")")</f>
        <v>DNS/DNF ()</v>
      </c>
      <c r="AA271" s="53" t="str">
        <f>CONCATENATE(TEXT($AY271,"[hh]:mm:ss.0")," ","(",$S271,")")</f>
        <v>00:06:29.8 (196)</v>
      </c>
      <c r="AB271" s="53" t="str">
        <f>CONCATENATE(TEXT($AZ271,"[hh]:mm:ss.0")," ","(",$T271,")")</f>
        <v>DNS/DNF ()</v>
      </c>
      <c r="AC271" s="53" t="str">
        <f>CONCATENATE(TEXT($BA271,"[hh]:mm:ss.0")," ","(",$U271,")")</f>
        <v>DNS/DNF ()</v>
      </c>
      <c r="AD271" s="53" t="str">
        <f>CONCATENATE(TEXT($BB271,"[hh]:mm:ss.0")," ","(",$V271,")")</f>
        <v>DNS/DNF ()</v>
      </c>
      <c r="AE271" s="53">
        <v>0</v>
      </c>
      <c r="AF271" s="53">
        <v>0</v>
      </c>
      <c r="AG271" s="53">
        <v>33582733</v>
      </c>
      <c r="AH271" s="53">
        <v>33898311</v>
      </c>
      <c r="AI271" s="53">
        <v>36152668</v>
      </c>
      <c r="AJ271" s="53">
        <v>36330892</v>
      </c>
      <c r="AK271" s="53">
        <v>0</v>
      </c>
      <c r="AL271" s="53">
        <v>0</v>
      </c>
      <c r="AM271" s="53">
        <v>39468269</v>
      </c>
      <c r="AN271" s="53">
        <v>39858033</v>
      </c>
      <c r="AO271" s="53">
        <v>0</v>
      </c>
      <c r="AP271" s="53">
        <v>0</v>
      </c>
      <c r="AQ271" s="53">
        <v>0</v>
      </c>
      <c r="AR271" s="53">
        <v>0</v>
      </c>
      <c r="AS271" s="53">
        <v>0</v>
      </c>
      <c r="AT271" s="53">
        <v>0</v>
      </c>
      <c r="AU271" s="62" t="str">
        <f>IF((OR($AE271=0,$AF271=0,$AF271-$AE271&lt;0)),"DNS/DNF",($AF271-$AE271)/86400000)</f>
        <v>DNS/DNF</v>
      </c>
      <c r="AV271" s="62">
        <f>IF((OR($AG271=0,$AH271=0,$AH271-$AG271&lt;0)),"DNS/DNF",($AH271-$AG271)/86400000)</f>
        <v>3.6525231481481482E-3</v>
      </c>
      <c r="AW271" s="62">
        <f>IF((OR($AI271=0,$AJ271=0,$AJ271-$AI271&lt;0)),"DNS/DNF",($AJ271-$AI271)/86400000)</f>
        <v>2.062777777777778E-3</v>
      </c>
      <c r="AX271" s="62" t="str">
        <f>IF((OR($AK271=0,$AL271=0,$AL271-$AK271&lt;0)),"DNS/DNF",($AL271-$AK271)/86400000)</f>
        <v>DNS/DNF</v>
      </c>
      <c r="AY271" s="62">
        <f>IF((OR($AM271=0,$AM271=0,$AN271-$AM271&lt;0)),"DNS/DNF",($AN271-$AM271)/86400000)</f>
        <v>4.5111574074074073E-3</v>
      </c>
      <c r="AZ271" s="62" t="str">
        <f>IF((OR($AO271=0,$AP271=0,$AP271-$AO271&lt;0)),"DNS/DNF",($AP271-$AO271)/86400000)</f>
        <v>DNS/DNF</v>
      </c>
      <c r="BA271" s="62" t="str">
        <f>IF((OR($AQ271=0,$AR271=0,$AR271-$AQ271&lt;0)),"DNS/DNF",($AR271-$AQ271)/86400000)</f>
        <v>DNS/DNF</v>
      </c>
      <c r="BB271" s="62" t="str">
        <f>IF((OR($AS271=0,$AT271=0,$AT271-$AS271&lt;0)),"DNS/DNF",($AT271-$AS271)/86400000)</f>
        <v>DNS/DNF</v>
      </c>
      <c r="BC271" s="75">
        <f>IFERROR(ROUND(AVERAGE(O271:V271),0),"")</f>
        <v>212</v>
      </c>
      <c r="BD271" s="53" t="str">
        <f>IFERROR((INDEX(($AU$3:$AU$500)*86400000,MATCH(BC271,$O$3:$O$500,0))),"")</f>
        <v/>
      </c>
      <c r="BE271" s="53">
        <f>IFERROR((INDEX(($AV$3:$AV$500)*86400000,MATCH(BC271,$P$3:$P$500,0))),"")</f>
        <v>299843</v>
      </c>
      <c r="BF271" s="53">
        <f>IFERROR((INDEX(($AW$3:$AW$500)*86400000,MATCH(BC271,$Q$3:$Q$500,0))),"")</f>
        <v>176051.00000000003</v>
      </c>
      <c r="BG271" s="53" t="str">
        <f>IFERROR((INDEX(($AX$3:$AX$500)*86400000,MATCH(BC271,$R$3:$R$500,0))),"")</f>
        <v/>
      </c>
      <c r="BH271" s="53">
        <f>IFERROR((INDEX(($AY$3:$AY$500)*86400000,MATCH(BC271,$S$3:$S$500,0))),"")</f>
        <v>401811</v>
      </c>
      <c r="BI271" s="53" t="str">
        <f>IFERROR((INDEX(($AZ$3:$AZ$500)*86400000,MATCH(BC271,$T$3:$T$500,0))),"")</f>
        <v/>
      </c>
      <c r="BJ271" s="53" t="str">
        <f>IFERROR((INDEX(($BA$3:$BA$500)*86400000,MATCH(BC271,$U$3:$U$500,0))),"")</f>
        <v/>
      </c>
      <c r="BK271" s="53" t="str">
        <f>IFERROR((INDEX(($BB$3:$BB$500)*86400000,MATCH(BC271,$V$3:$V$500,0))),"")</f>
        <v/>
      </c>
    </row>
    <row r="272" spans="1:63">
      <c r="A272" s="53">
        <v>226</v>
      </c>
      <c r="B272" s="89" t="str">
        <f>IFERROR(VLOOKUP($A272,EntryList!$A$3:$N$645,2,FALSE),"")</f>
        <v>Adriaan De Lange</v>
      </c>
      <c r="C272" s="74"/>
      <c r="D272" s="53">
        <f>COUNT($AU272:$BB272)</f>
        <v>5</v>
      </c>
      <c r="E272" s="62">
        <v>3.727893518518518E-3</v>
      </c>
      <c r="F272" s="62">
        <v>3.0970833333333336E-3</v>
      </c>
      <c r="G272" s="62">
        <v>1.5769444444444444E-3</v>
      </c>
      <c r="H272" s="62">
        <v>3.1891319444444441E-3</v>
      </c>
      <c r="I272" s="62">
        <v>3.7613425925925926E-3</v>
      </c>
      <c r="J272" s="62"/>
      <c r="K272" s="62"/>
      <c r="L272" s="62"/>
      <c r="M272" s="62">
        <v>1.5352395833333332E-2</v>
      </c>
      <c r="N272" s="62">
        <f>SUM($AU272:$BB272)</f>
        <v>1.5352395833333332E-2</v>
      </c>
      <c r="O272" s="53">
        <f>IFERROR(RANK($AU272,AU$3:AU$500,1),"")</f>
        <v>123</v>
      </c>
      <c r="P272" s="53">
        <f>IFERROR(RANK($AV272,AV$3:AV$500,1),"")</f>
        <v>135</v>
      </c>
      <c r="Q272" s="53">
        <f>IFERROR(RANK($AW272,AW$3:AW$500,1),"")</f>
        <v>70</v>
      </c>
      <c r="R272" s="53">
        <f>IFERROR(RANK($AX272,AX$3:AX$500,1),"")</f>
        <v>73</v>
      </c>
      <c r="S272" s="53">
        <f>IFERROR(RANK($AY272,AY$3:AY$500,1),"")</f>
        <v>61</v>
      </c>
      <c r="T272" s="53" t="str">
        <f>IFERROR(RANK($AZ272,AZ$3:AZ$500,1),"")</f>
        <v/>
      </c>
      <c r="U272" s="53" t="str">
        <f>IFERROR(RANK($BA272,BA$3:BA$500,1),"")</f>
        <v/>
      </c>
      <c r="V272" s="53" t="str">
        <f>IFERROR(RANK($BB272,BB$3:BB$500,1),"")</f>
        <v/>
      </c>
      <c r="W272" s="53" t="str">
        <f>CONCATENATE(TEXT($AU272,"[hh]:mm:ss.0")," ","(",$O272,")")</f>
        <v>00:05:22.1 (123)</v>
      </c>
      <c r="X272" s="53" t="str">
        <f>CONCATENATE(TEXT($AV272,"[hh]:mm:ss.0")," ","(",$P272,")")</f>
        <v>00:04:27.6 (135)</v>
      </c>
      <c r="Y272" s="53" t="str">
        <f>CONCATENATE(TEXT($AW272,"[hh]:mm:ss.0")," ","(",$Q272,")")</f>
        <v>00:02:16.2 (70)</v>
      </c>
      <c r="Z272" s="53" t="str">
        <f>CONCATENATE(TEXT($AX272,"[hh]:mm:ss.0")," ","(",$R272,")")</f>
        <v>00:04:35.5 (73)</v>
      </c>
      <c r="AA272" s="53" t="str">
        <f>CONCATENATE(TEXT($AY272,"[hh]:mm:ss.0")," ","(",$S272,")")</f>
        <v>00:05:25.0 (61)</v>
      </c>
      <c r="AB272" s="53" t="str">
        <f>CONCATENATE(TEXT($AZ272,"[hh]:mm:ss.0")," ","(",$T272,")")</f>
        <v>DNS/DNF ()</v>
      </c>
      <c r="AC272" s="53" t="str">
        <f>CONCATENATE(TEXT($BA272,"[hh]:mm:ss.0")," ","(",$U272,")")</f>
        <v>DNS/DNF ()</v>
      </c>
      <c r="AD272" s="53" t="str">
        <f>CONCATENATE(TEXT($BB272,"[hh]:mm:ss.0")," ","(",$V272,")")</f>
        <v>DNS/DNF ()</v>
      </c>
      <c r="AE272" s="53">
        <v>27549679</v>
      </c>
      <c r="AF272" s="53">
        <v>27871769</v>
      </c>
      <c r="AG272" s="53">
        <v>45074894</v>
      </c>
      <c r="AH272" s="53">
        <v>45342482</v>
      </c>
      <c r="AI272" s="53">
        <v>29806368</v>
      </c>
      <c r="AJ272" s="53">
        <v>29942616</v>
      </c>
      <c r="AK272" s="53">
        <v>48459270</v>
      </c>
      <c r="AL272" s="53">
        <v>48734811</v>
      </c>
      <c r="AM272" s="53">
        <v>50333006</v>
      </c>
      <c r="AN272" s="53">
        <v>50657986</v>
      </c>
      <c r="AO272" s="53">
        <v>0</v>
      </c>
      <c r="AP272" s="53">
        <v>0</v>
      </c>
      <c r="AQ272" s="53">
        <v>0</v>
      </c>
      <c r="AR272" s="53">
        <v>0</v>
      </c>
      <c r="AS272" s="53">
        <v>0</v>
      </c>
      <c r="AT272" s="53">
        <v>0</v>
      </c>
      <c r="AU272" s="62">
        <f>IF((OR($AE272=0,$AF272=0,$AF272-$AE272&lt;0)),"DNS/DNF",($AF272-$AE272)/86400000)</f>
        <v>3.7278935185185184E-3</v>
      </c>
      <c r="AV272" s="62">
        <f>IF((OR($AG272=0,$AH272=0,$AH272-$AG272&lt;0)),"DNS/DNF",($AH272-$AG272)/86400000)</f>
        <v>3.0970833333333332E-3</v>
      </c>
      <c r="AW272" s="62">
        <f>IF((OR($AI272=0,$AJ272=0,$AJ272-$AI272&lt;0)),"DNS/DNF",($AJ272-$AI272)/86400000)</f>
        <v>1.5769444444444444E-3</v>
      </c>
      <c r="AX272" s="62">
        <f>IF((OR($AK272=0,$AL272=0,$AL272-$AK272&lt;0)),"DNS/DNF",($AL272-$AK272)/86400000)</f>
        <v>3.1891319444444445E-3</v>
      </c>
      <c r="AY272" s="62">
        <f>IF((OR($AM272=0,$AM272=0,$AN272-$AM272&lt;0)),"DNS/DNF",($AN272-$AM272)/86400000)</f>
        <v>3.7613425925925926E-3</v>
      </c>
      <c r="AZ272" s="62" t="str">
        <f>IF((OR($AO272=0,$AP272=0,$AP272-$AO272&lt;0)),"DNS/DNF",($AP272-$AO272)/86400000)</f>
        <v>DNS/DNF</v>
      </c>
      <c r="BA272" s="62" t="str">
        <f>IF((OR($AQ272=0,$AR272=0,$AR272-$AQ272&lt;0)),"DNS/DNF",($AR272-$AQ272)/86400000)</f>
        <v>DNS/DNF</v>
      </c>
      <c r="BB272" s="62" t="str">
        <f>IF((OR($AS272=0,$AT272=0,$AT272-$AS272&lt;0)),"DNS/DNF",($AT272-$AS272)/86400000)</f>
        <v>DNS/DNF</v>
      </c>
      <c r="BC272" s="75">
        <f>IFERROR(ROUND(AVERAGE(O272:V272),0),"")</f>
        <v>92</v>
      </c>
      <c r="BD272" s="53">
        <f>IFERROR((INDEX(($AU$3:$AU$500)*86400000,MATCH(BC272,$O$3:$O$500,0))),"")</f>
        <v>269755</v>
      </c>
      <c r="BE272" s="53">
        <f>IFERROR((INDEX(($AV$3:$AV$500)*86400000,MATCH(BC272,$P$3:$P$500,0))),"")</f>
        <v>250422.00000000003</v>
      </c>
      <c r="BF272" s="53">
        <f>IFERROR((INDEX(($AW$3:$AW$500)*86400000,MATCH(BC272,$Q$3:$Q$500,0))),"")</f>
        <v>143496</v>
      </c>
      <c r="BG272" s="53">
        <f>IFERROR((INDEX(($AX$3:$AX$500)*86400000,MATCH(BC272,$R$3:$R$500,0))),"")</f>
        <v>293971</v>
      </c>
      <c r="BH272" s="53">
        <f>IFERROR((INDEX(($AY$3:$AY$500)*86400000,MATCH(BC272,$S$3:$S$500,0))),"")</f>
        <v>339972</v>
      </c>
      <c r="BI272" s="53" t="str">
        <f>IFERROR((INDEX(($AZ$3:$AZ$500)*86400000,MATCH(BC272,$T$3:$T$500,0))),"")</f>
        <v/>
      </c>
      <c r="BJ272" s="53" t="str">
        <f>IFERROR((INDEX(($BA$3:$BA$500)*86400000,MATCH(BC272,$U$3:$U$500,0))),"")</f>
        <v/>
      </c>
      <c r="BK272" s="53" t="str">
        <f>IFERROR((INDEX(($BB$3:$BB$500)*86400000,MATCH(BC272,$V$3:$V$500,0))),"")</f>
        <v/>
      </c>
    </row>
    <row r="273" spans="1:54" ht="13.5" customHeight="1">
      <c r="A273" s="53"/>
      <c r="B273" s="89"/>
      <c r="C273" s="74"/>
      <c r="D273" s="53"/>
      <c r="E273" s="62"/>
      <c r="F273" s="62"/>
      <c r="G273" s="62"/>
      <c r="H273" s="62"/>
      <c r="I273" s="62"/>
      <c r="J273" s="62"/>
      <c r="K273" s="62"/>
      <c r="L273" s="62"/>
      <c r="M273" s="62"/>
      <c r="N273" s="62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62"/>
      <c r="AV273" s="62"/>
      <c r="AW273" s="62"/>
      <c r="AX273" s="62"/>
      <c r="AY273" s="62"/>
      <c r="AZ273" s="62"/>
      <c r="BA273" s="62"/>
      <c r="BB273" s="62"/>
    </row>
    <row r="274" spans="1:54">
      <c r="A274" s="53"/>
      <c r="B274" s="89"/>
      <c r="C274" s="74"/>
      <c r="D274" s="53"/>
      <c r="E274" s="62"/>
      <c r="F274" s="62"/>
      <c r="G274" s="62"/>
      <c r="H274" s="62"/>
      <c r="I274" s="62"/>
      <c r="J274" s="62"/>
      <c r="K274" s="62"/>
      <c r="L274" s="62"/>
      <c r="M274" s="62"/>
      <c r="N274" s="62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62"/>
      <c r="AV274" s="62"/>
      <c r="AW274" s="62"/>
      <c r="AX274" s="62"/>
      <c r="AY274" s="62"/>
      <c r="AZ274" s="62"/>
      <c r="BA274" s="62"/>
      <c r="BB274" s="62"/>
    </row>
    <row r="275" spans="1:54">
      <c r="A275" s="53"/>
      <c r="B275" s="89"/>
      <c r="C275" s="74"/>
      <c r="D275" s="53"/>
      <c r="E275" s="62"/>
      <c r="F275" s="62"/>
      <c r="G275" s="62"/>
      <c r="H275" s="62"/>
      <c r="I275" s="62"/>
      <c r="J275" s="62"/>
      <c r="K275" s="62"/>
      <c r="L275" s="62"/>
      <c r="M275" s="62"/>
      <c r="N275" s="62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62"/>
      <c r="AV275" s="62"/>
      <c r="AW275" s="62"/>
      <c r="AX275" s="62"/>
      <c r="AY275" s="62"/>
      <c r="AZ275" s="62"/>
      <c r="BA275" s="62"/>
      <c r="BB275" s="62"/>
    </row>
    <row r="276" spans="1:54">
      <c r="A276" s="53"/>
      <c r="B276" s="89"/>
      <c r="C276" s="74"/>
      <c r="D276" s="53"/>
      <c r="E276" s="62"/>
      <c r="F276" s="62"/>
      <c r="G276" s="62"/>
      <c r="H276" s="62"/>
      <c r="I276" s="62"/>
      <c r="J276" s="62"/>
      <c r="K276" s="62"/>
      <c r="L276" s="62"/>
      <c r="M276" s="62"/>
      <c r="N276" s="62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62"/>
      <c r="AV276" s="62"/>
      <c r="AW276" s="62"/>
      <c r="AX276" s="62"/>
      <c r="AY276" s="62"/>
      <c r="AZ276" s="62"/>
      <c r="BA276" s="62"/>
      <c r="BB276" s="62"/>
    </row>
    <row r="277" spans="1:54">
      <c r="A277" s="53"/>
      <c r="B277" s="89"/>
      <c r="C277" s="74"/>
      <c r="D277" s="53"/>
      <c r="E277" s="62"/>
      <c r="F277" s="62"/>
      <c r="G277" s="62"/>
      <c r="H277" s="62"/>
      <c r="I277" s="62"/>
      <c r="J277" s="62"/>
      <c r="K277" s="62"/>
      <c r="L277" s="62"/>
      <c r="M277" s="62"/>
      <c r="N277" s="62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62"/>
      <c r="AV277" s="62"/>
      <c r="AW277" s="62"/>
      <c r="AX277" s="62"/>
      <c r="AY277" s="62"/>
      <c r="AZ277" s="62"/>
      <c r="BA277" s="62"/>
      <c r="BB277" s="62"/>
    </row>
    <row r="278" spans="1:54">
      <c r="A278" s="53"/>
      <c r="B278" s="89"/>
      <c r="C278" s="74"/>
      <c r="D278" s="53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62"/>
      <c r="AV278" s="62"/>
      <c r="AW278" s="62"/>
      <c r="AX278" s="62"/>
      <c r="AY278" s="62"/>
      <c r="AZ278" s="62"/>
      <c r="BA278" s="62"/>
      <c r="BB278" s="62"/>
    </row>
    <row r="279" spans="1:54">
      <c r="A279" s="53"/>
      <c r="B279" s="89"/>
      <c r="C279" s="74"/>
      <c r="D279" s="53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62"/>
      <c r="AV279" s="62"/>
      <c r="AW279" s="62"/>
      <c r="AX279" s="62"/>
      <c r="AY279" s="62"/>
      <c r="AZ279" s="62"/>
      <c r="BA279" s="62"/>
      <c r="BB279" s="62"/>
    </row>
    <row r="280" spans="1:54">
      <c r="A280" s="53"/>
      <c r="B280" s="89"/>
      <c r="C280" s="74"/>
      <c r="D280" s="53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62"/>
      <c r="AV280" s="62"/>
      <c r="AW280" s="62"/>
      <c r="AX280" s="62"/>
      <c r="AY280" s="62"/>
      <c r="AZ280" s="62"/>
      <c r="BA280" s="62"/>
      <c r="BB280" s="62"/>
    </row>
    <row r="281" spans="1:54">
      <c r="A281" s="53"/>
      <c r="B281" s="89"/>
      <c r="C281" s="74"/>
      <c r="D281" s="53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62"/>
      <c r="AV281" s="62"/>
      <c r="AW281" s="62"/>
      <c r="AX281" s="62"/>
      <c r="AY281" s="62"/>
      <c r="AZ281" s="62"/>
      <c r="BA281" s="62"/>
      <c r="BB281" s="62"/>
    </row>
    <row r="282" spans="1:54">
      <c r="A282" s="53"/>
      <c r="B282" s="89"/>
      <c r="C282" s="74"/>
      <c r="D282" s="53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62"/>
      <c r="AV282" s="62"/>
      <c r="AW282" s="62"/>
      <c r="AX282" s="62"/>
      <c r="AY282" s="62"/>
      <c r="AZ282" s="62"/>
      <c r="BA282" s="62"/>
      <c r="BB282" s="62"/>
    </row>
    <row r="283" spans="1:54">
      <c r="A283" s="53"/>
      <c r="B283" s="89"/>
      <c r="C283" s="74"/>
      <c r="D283" s="53"/>
      <c r="E283" s="62"/>
      <c r="F283" s="62"/>
      <c r="G283" s="62"/>
      <c r="H283" s="62"/>
      <c r="I283" s="62"/>
      <c r="J283" s="62"/>
      <c r="K283" s="62"/>
      <c r="L283" s="62"/>
      <c r="M283" s="62"/>
      <c r="N283" s="62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62"/>
      <c r="AV283" s="62"/>
      <c r="AW283" s="62"/>
      <c r="AX283" s="62"/>
      <c r="AY283" s="62"/>
      <c r="AZ283" s="62"/>
      <c r="BA283" s="62"/>
      <c r="BB283" s="62"/>
    </row>
    <row r="284" spans="1:54">
      <c r="A284" s="53"/>
      <c r="B284" s="89"/>
      <c r="C284" s="74"/>
      <c r="D284" s="53"/>
      <c r="E284" s="62"/>
      <c r="F284" s="62"/>
      <c r="G284" s="62"/>
      <c r="H284" s="62"/>
      <c r="I284" s="62"/>
      <c r="J284" s="62"/>
      <c r="K284" s="62"/>
      <c r="L284" s="62"/>
      <c r="M284" s="62"/>
      <c r="N284" s="62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62"/>
      <c r="AV284" s="62"/>
      <c r="AW284" s="62"/>
      <c r="AX284" s="62"/>
      <c r="AY284" s="62"/>
      <c r="AZ284" s="62"/>
      <c r="BA284" s="62"/>
      <c r="BB284" s="62"/>
    </row>
    <row r="285" spans="1:54">
      <c r="A285" s="53"/>
      <c r="B285" s="89"/>
      <c r="C285" s="74"/>
      <c r="D285" s="53"/>
      <c r="E285" s="62"/>
      <c r="F285" s="62"/>
      <c r="G285" s="62"/>
      <c r="H285" s="62"/>
      <c r="I285" s="62"/>
      <c r="J285" s="62"/>
      <c r="K285" s="62"/>
      <c r="L285" s="62"/>
      <c r="M285" s="62"/>
      <c r="N285" s="62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62"/>
      <c r="AV285" s="62"/>
      <c r="AW285" s="62"/>
      <c r="AX285" s="62"/>
      <c r="AY285" s="62"/>
      <c r="AZ285" s="62"/>
      <c r="BA285" s="62"/>
      <c r="BB285" s="62"/>
    </row>
    <row r="286" spans="1:54">
      <c r="A286" s="53"/>
      <c r="B286" s="89"/>
      <c r="C286" s="74"/>
      <c r="D286" s="53"/>
      <c r="E286" s="62"/>
      <c r="F286" s="62"/>
      <c r="G286" s="62"/>
      <c r="H286" s="62"/>
      <c r="I286" s="62"/>
      <c r="J286" s="62"/>
      <c r="K286" s="62"/>
      <c r="L286" s="62"/>
      <c r="M286" s="62"/>
      <c r="N286" s="62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62"/>
      <c r="AV286" s="62"/>
      <c r="AW286" s="62"/>
      <c r="AX286" s="62"/>
      <c r="AY286" s="62"/>
      <c r="AZ286" s="62"/>
      <c r="BA286" s="62"/>
      <c r="BB286" s="62"/>
    </row>
    <row r="287" spans="1:54">
      <c r="A287" s="53"/>
      <c r="B287" s="89"/>
      <c r="C287" s="74"/>
      <c r="D287" s="53"/>
      <c r="E287" s="62"/>
      <c r="F287" s="62"/>
      <c r="G287" s="62"/>
      <c r="H287" s="62"/>
      <c r="I287" s="62"/>
      <c r="J287" s="62"/>
      <c r="K287" s="62"/>
      <c r="L287" s="62"/>
      <c r="M287" s="62"/>
      <c r="N287" s="62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62"/>
      <c r="AV287" s="62"/>
      <c r="AW287" s="62"/>
      <c r="AX287" s="62"/>
      <c r="AY287" s="62"/>
      <c r="AZ287" s="62"/>
      <c r="BA287" s="62"/>
      <c r="BB287" s="62"/>
    </row>
    <row r="288" spans="1:54">
      <c r="A288" s="53"/>
      <c r="B288" s="89"/>
      <c r="C288" s="74"/>
      <c r="D288" s="53"/>
      <c r="E288" s="62"/>
      <c r="F288" s="62"/>
      <c r="G288" s="62"/>
      <c r="H288" s="62"/>
      <c r="I288" s="62"/>
      <c r="J288" s="62"/>
      <c r="K288" s="62"/>
      <c r="L288" s="62"/>
      <c r="M288" s="62"/>
      <c r="N288" s="62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62"/>
      <c r="AV288" s="62"/>
      <c r="AW288" s="62"/>
      <c r="AX288" s="62"/>
      <c r="AY288" s="62"/>
      <c r="AZ288" s="62"/>
      <c r="BA288" s="62"/>
      <c r="BB288" s="62"/>
    </row>
    <row r="289" spans="1:54">
      <c r="A289" s="53"/>
      <c r="B289" s="89"/>
      <c r="C289" s="74"/>
      <c r="D289" s="53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62"/>
      <c r="AV289" s="62"/>
      <c r="AW289" s="62"/>
      <c r="AX289" s="62"/>
      <c r="AY289" s="62"/>
      <c r="AZ289" s="62"/>
      <c r="BA289" s="62"/>
      <c r="BB289" s="62"/>
    </row>
    <row r="290" spans="1:54">
      <c r="A290" s="53"/>
      <c r="B290" s="89"/>
      <c r="C290" s="74"/>
      <c r="D290" s="53"/>
      <c r="E290" s="62"/>
      <c r="F290" s="62"/>
      <c r="G290" s="62"/>
      <c r="H290" s="62"/>
      <c r="I290" s="62"/>
      <c r="J290" s="62"/>
      <c r="K290" s="62"/>
      <c r="L290" s="62"/>
      <c r="M290" s="62"/>
      <c r="N290" s="62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62"/>
      <c r="AV290" s="62"/>
      <c r="AW290" s="62"/>
      <c r="AX290" s="62"/>
      <c r="AY290" s="62"/>
      <c r="AZ290" s="62"/>
      <c r="BA290" s="62"/>
      <c r="BB290" s="62"/>
    </row>
    <row r="291" spans="1:54">
      <c r="A291" s="53"/>
      <c r="B291" s="89"/>
      <c r="C291" s="74"/>
      <c r="D291" s="53"/>
      <c r="E291" s="62"/>
      <c r="F291" s="62"/>
      <c r="G291" s="62"/>
      <c r="H291" s="62"/>
      <c r="I291" s="62"/>
      <c r="J291" s="62"/>
      <c r="K291" s="62"/>
      <c r="L291" s="62"/>
      <c r="M291" s="62"/>
      <c r="N291" s="62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62"/>
      <c r="AV291" s="62"/>
      <c r="AW291" s="62"/>
      <c r="AX291" s="62"/>
      <c r="AY291" s="62"/>
      <c r="AZ291" s="62"/>
      <c r="BA291" s="62"/>
      <c r="BB291" s="62"/>
    </row>
    <row r="292" spans="1:54">
      <c r="A292" s="53"/>
      <c r="B292" s="89"/>
      <c r="C292" s="74"/>
      <c r="D292" s="53"/>
      <c r="E292" s="62"/>
      <c r="F292" s="62"/>
      <c r="G292" s="62"/>
      <c r="H292" s="62"/>
      <c r="I292" s="62"/>
      <c r="J292" s="62"/>
      <c r="K292" s="62"/>
      <c r="L292" s="62"/>
      <c r="M292" s="62"/>
      <c r="N292" s="62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62"/>
      <c r="AV292" s="62"/>
      <c r="AW292" s="62"/>
      <c r="AX292" s="62"/>
      <c r="AY292" s="62"/>
      <c r="AZ292" s="62"/>
      <c r="BA292" s="62"/>
      <c r="BB292" s="62"/>
    </row>
    <row r="293" spans="1:54">
      <c r="A293" s="53"/>
      <c r="B293" s="89"/>
      <c r="C293" s="74"/>
      <c r="D293" s="53"/>
      <c r="E293" s="62"/>
      <c r="F293" s="62"/>
      <c r="G293" s="62"/>
      <c r="H293" s="62"/>
      <c r="I293" s="62"/>
      <c r="J293" s="62"/>
      <c r="K293" s="62"/>
      <c r="L293" s="62"/>
      <c r="M293" s="62"/>
      <c r="N293" s="62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62"/>
      <c r="AV293" s="62"/>
      <c r="AW293" s="62"/>
      <c r="AX293" s="62"/>
      <c r="AY293" s="62"/>
      <c r="AZ293" s="62"/>
      <c r="BA293" s="62"/>
      <c r="BB293" s="62"/>
    </row>
    <row r="294" spans="1:54">
      <c r="A294" s="53"/>
      <c r="B294" s="89"/>
      <c r="C294" s="74"/>
      <c r="D294" s="53"/>
      <c r="E294" s="62"/>
      <c r="F294" s="62"/>
      <c r="G294" s="62"/>
      <c r="H294" s="62"/>
      <c r="I294" s="62"/>
      <c r="J294" s="62"/>
      <c r="K294" s="62"/>
      <c r="L294" s="62"/>
      <c r="M294" s="62"/>
      <c r="N294" s="62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62"/>
      <c r="AV294" s="62"/>
      <c r="AW294" s="62"/>
      <c r="AX294" s="62"/>
      <c r="AY294" s="62"/>
      <c r="AZ294" s="62"/>
      <c r="BA294" s="62"/>
      <c r="BB294" s="62"/>
    </row>
    <row r="295" spans="1:54">
      <c r="A295" s="53"/>
      <c r="B295" s="89"/>
      <c r="C295" s="74"/>
      <c r="D295" s="53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62"/>
      <c r="AV295" s="62"/>
      <c r="AW295" s="62"/>
      <c r="AX295" s="62"/>
      <c r="AY295" s="62"/>
      <c r="AZ295" s="62"/>
      <c r="BA295" s="62"/>
      <c r="BB295" s="62"/>
    </row>
  </sheetData>
  <autoFilter ref="A2:BB58">
    <sortState ref="A3:BB152">
      <sortCondition ref="A2:A60"/>
    </sortState>
  </autoFilter>
  <mergeCells count="1">
    <mergeCell ref="AA1:AM1"/>
  </mergeCells>
  <conditionalFormatting sqref="W3:AD3">
    <cfRule type="containsText" dxfId="1783" priority="808" stopIfTrue="1" operator="containsText" text="(3)">
      <formula>NOT(ISERROR(SEARCH("(3)",W3)))</formula>
    </cfRule>
    <cfRule type="containsText" dxfId="1782" priority="809" stopIfTrue="1" operator="containsText" text="(2)">
      <formula>NOT(ISERROR(SEARCH("(2)",W3)))</formula>
    </cfRule>
    <cfRule type="containsText" dxfId="1781" priority="810" stopIfTrue="1" operator="containsText" text="(1)">
      <formula>NOT(ISERROR(SEARCH("(1)",W3)))</formula>
    </cfRule>
  </conditionalFormatting>
  <conditionalFormatting sqref="W4:AD4">
    <cfRule type="containsText" dxfId="1780" priority="805" stopIfTrue="1" operator="containsText" text="(3)">
      <formula>NOT(ISERROR(SEARCH("(3)",W4)))</formula>
    </cfRule>
    <cfRule type="containsText" dxfId="1779" priority="806" stopIfTrue="1" operator="containsText" text="(2)">
      <formula>NOT(ISERROR(SEARCH("(2)",W4)))</formula>
    </cfRule>
    <cfRule type="containsText" dxfId="1778" priority="807" stopIfTrue="1" operator="containsText" text="(1)">
      <formula>NOT(ISERROR(SEARCH("(1)",W4)))</formula>
    </cfRule>
  </conditionalFormatting>
  <conditionalFormatting sqref="W5:AD5">
    <cfRule type="containsText" dxfId="1777" priority="802" stopIfTrue="1" operator="containsText" text="(3)">
      <formula>NOT(ISERROR(SEARCH("(3)",W5)))</formula>
    </cfRule>
    <cfRule type="containsText" dxfId="1776" priority="803" stopIfTrue="1" operator="containsText" text="(2)">
      <formula>NOT(ISERROR(SEARCH("(2)",W5)))</formula>
    </cfRule>
    <cfRule type="containsText" dxfId="1775" priority="804" stopIfTrue="1" operator="containsText" text="(1)">
      <formula>NOT(ISERROR(SEARCH("(1)",W5)))</formula>
    </cfRule>
  </conditionalFormatting>
  <conditionalFormatting sqref="W6:AD6">
    <cfRule type="containsText" dxfId="1774" priority="799" stopIfTrue="1" operator="containsText" text="(3)">
      <formula>NOT(ISERROR(SEARCH("(3)",W6)))</formula>
    </cfRule>
    <cfRule type="containsText" dxfId="1773" priority="800" stopIfTrue="1" operator="containsText" text="(2)">
      <formula>NOT(ISERROR(SEARCH("(2)",W6)))</formula>
    </cfRule>
    <cfRule type="containsText" dxfId="1772" priority="801" stopIfTrue="1" operator="containsText" text="(1)">
      <formula>NOT(ISERROR(SEARCH("(1)",W6)))</formula>
    </cfRule>
  </conditionalFormatting>
  <conditionalFormatting sqref="W7:AD7">
    <cfRule type="containsText" dxfId="1771" priority="796" stopIfTrue="1" operator="containsText" text="(3)">
      <formula>NOT(ISERROR(SEARCH("(3)",W7)))</formula>
    </cfRule>
    <cfRule type="containsText" dxfId="1770" priority="797" stopIfTrue="1" operator="containsText" text="(2)">
      <formula>NOT(ISERROR(SEARCH("(2)",W7)))</formula>
    </cfRule>
    <cfRule type="containsText" dxfId="1769" priority="798" stopIfTrue="1" operator="containsText" text="(1)">
      <formula>NOT(ISERROR(SEARCH("(1)",W7)))</formula>
    </cfRule>
  </conditionalFormatting>
  <conditionalFormatting sqref="W8:AD8">
    <cfRule type="containsText" dxfId="1768" priority="793" stopIfTrue="1" operator="containsText" text="(3)">
      <formula>NOT(ISERROR(SEARCH("(3)",W8)))</formula>
    </cfRule>
    <cfRule type="containsText" dxfId="1767" priority="794" stopIfTrue="1" operator="containsText" text="(2)">
      <formula>NOT(ISERROR(SEARCH("(2)",W8)))</formula>
    </cfRule>
    <cfRule type="containsText" dxfId="1766" priority="795" stopIfTrue="1" operator="containsText" text="(1)">
      <formula>NOT(ISERROR(SEARCH("(1)",W8)))</formula>
    </cfRule>
  </conditionalFormatting>
  <conditionalFormatting sqref="W9:AD9">
    <cfRule type="containsText" dxfId="1765" priority="790" stopIfTrue="1" operator="containsText" text="(3)">
      <formula>NOT(ISERROR(SEARCH("(3)",W9)))</formula>
    </cfRule>
    <cfRule type="containsText" dxfId="1764" priority="791" stopIfTrue="1" operator="containsText" text="(2)">
      <formula>NOT(ISERROR(SEARCH("(2)",W9)))</formula>
    </cfRule>
    <cfRule type="containsText" dxfId="1763" priority="792" stopIfTrue="1" operator="containsText" text="(1)">
      <formula>NOT(ISERROR(SEARCH("(1)",W9)))</formula>
    </cfRule>
  </conditionalFormatting>
  <conditionalFormatting sqref="W10:AD10">
    <cfRule type="containsText" dxfId="1762" priority="787" stopIfTrue="1" operator="containsText" text="(3)">
      <formula>NOT(ISERROR(SEARCH("(3)",W10)))</formula>
    </cfRule>
    <cfRule type="containsText" dxfId="1761" priority="788" stopIfTrue="1" operator="containsText" text="(2)">
      <formula>NOT(ISERROR(SEARCH("(2)",W10)))</formula>
    </cfRule>
    <cfRule type="containsText" dxfId="1760" priority="789" stopIfTrue="1" operator="containsText" text="(1)">
      <formula>NOT(ISERROR(SEARCH("(1)",W10)))</formula>
    </cfRule>
  </conditionalFormatting>
  <conditionalFormatting sqref="W11:AD11">
    <cfRule type="containsText" dxfId="1759" priority="784" stopIfTrue="1" operator="containsText" text="(3)">
      <formula>NOT(ISERROR(SEARCH("(3)",W11)))</formula>
    </cfRule>
    <cfRule type="containsText" dxfId="1758" priority="785" stopIfTrue="1" operator="containsText" text="(2)">
      <formula>NOT(ISERROR(SEARCH("(2)",W11)))</formula>
    </cfRule>
    <cfRule type="containsText" dxfId="1757" priority="786" stopIfTrue="1" operator="containsText" text="(1)">
      <formula>NOT(ISERROR(SEARCH("(1)",W11)))</formula>
    </cfRule>
  </conditionalFormatting>
  <conditionalFormatting sqref="W12:AD12">
    <cfRule type="containsText" dxfId="1756" priority="781" stopIfTrue="1" operator="containsText" text="(3)">
      <formula>NOT(ISERROR(SEARCH("(3)",W12)))</formula>
    </cfRule>
    <cfRule type="containsText" dxfId="1755" priority="782" stopIfTrue="1" operator="containsText" text="(2)">
      <formula>NOT(ISERROR(SEARCH("(2)",W12)))</formula>
    </cfRule>
    <cfRule type="containsText" dxfId="1754" priority="783" stopIfTrue="1" operator="containsText" text="(1)">
      <formula>NOT(ISERROR(SEARCH("(1)",W12)))</formula>
    </cfRule>
  </conditionalFormatting>
  <conditionalFormatting sqref="W13:AD13">
    <cfRule type="containsText" dxfId="1753" priority="778" stopIfTrue="1" operator="containsText" text="(3)">
      <formula>NOT(ISERROR(SEARCH("(3)",W13)))</formula>
    </cfRule>
    <cfRule type="containsText" dxfId="1752" priority="779" stopIfTrue="1" operator="containsText" text="(2)">
      <formula>NOT(ISERROR(SEARCH("(2)",W13)))</formula>
    </cfRule>
    <cfRule type="containsText" dxfId="1751" priority="780" stopIfTrue="1" operator="containsText" text="(1)">
      <formula>NOT(ISERROR(SEARCH("(1)",W13)))</formula>
    </cfRule>
  </conditionalFormatting>
  <conditionalFormatting sqref="W14:AD14">
    <cfRule type="containsText" dxfId="1750" priority="775" stopIfTrue="1" operator="containsText" text="(3)">
      <formula>NOT(ISERROR(SEARCH("(3)",W14)))</formula>
    </cfRule>
    <cfRule type="containsText" dxfId="1749" priority="776" stopIfTrue="1" operator="containsText" text="(2)">
      <formula>NOT(ISERROR(SEARCH("(2)",W14)))</formula>
    </cfRule>
    <cfRule type="containsText" dxfId="1748" priority="777" stopIfTrue="1" operator="containsText" text="(1)">
      <formula>NOT(ISERROR(SEARCH("(1)",W14)))</formula>
    </cfRule>
  </conditionalFormatting>
  <conditionalFormatting sqref="W15:AD15">
    <cfRule type="containsText" dxfId="1747" priority="772" stopIfTrue="1" operator="containsText" text="(3)">
      <formula>NOT(ISERROR(SEARCH("(3)",W15)))</formula>
    </cfRule>
    <cfRule type="containsText" dxfId="1746" priority="773" stopIfTrue="1" operator="containsText" text="(2)">
      <formula>NOT(ISERROR(SEARCH("(2)",W15)))</formula>
    </cfRule>
    <cfRule type="containsText" dxfId="1745" priority="774" stopIfTrue="1" operator="containsText" text="(1)">
      <formula>NOT(ISERROR(SEARCH("(1)",W15)))</formula>
    </cfRule>
  </conditionalFormatting>
  <conditionalFormatting sqref="W16:AD16">
    <cfRule type="containsText" dxfId="1744" priority="769" stopIfTrue="1" operator="containsText" text="(3)">
      <formula>NOT(ISERROR(SEARCH("(3)",W16)))</formula>
    </cfRule>
    <cfRule type="containsText" dxfId="1743" priority="770" stopIfTrue="1" operator="containsText" text="(2)">
      <formula>NOT(ISERROR(SEARCH("(2)",W16)))</formula>
    </cfRule>
    <cfRule type="containsText" dxfId="1742" priority="771" stopIfTrue="1" operator="containsText" text="(1)">
      <formula>NOT(ISERROR(SEARCH("(1)",W16)))</formula>
    </cfRule>
  </conditionalFormatting>
  <conditionalFormatting sqref="W17:AD17">
    <cfRule type="containsText" dxfId="1741" priority="766" stopIfTrue="1" operator="containsText" text="(3)">
      <formula>NOT(ISERROR(SEARCH("(3)",W17)))</formula>
    </cfRule>
    <cfRule type="containsText" dxfId="1740" priority="767" stopIfTrue="1" operator="containsText" text="(2)">
      <formula>NOT(ISERROR(SEARCH("(2)",W17)))</formula>
    </cfRule>
    <cfRule type="containsText" dxfId="1739" priority="768" stopIfTrue="1" operator="containsText" text="(1)">
      <formula>NOT(ISERROR(SEARCH("(1)",W17)))</formula>
    </cfRule>
  </conditionalFormatting>
  <conditionalFormatting sqref="W18:AD18">
    <cfRule type="containsText" dxfId="1738" priority="763" stopIfTrue="1" operator="containsText" text="(3)">
      <formula>NOT(ISERROR(SEARCH("(3)",W18)))</formula>
    </cfRule>
    <cfRule type="containsText" dxfId="1737" priority="764" stopIfTrue="1" operator="containsText" text="(2)">
      <formula>NOT(ISERROR(SEARCH("(2)",W18)))</formula>
    </cfRule>
    <cfRule type="containsText" dxfId="1736" priority="765" stopIfTrue="1" operator="containsText" text="(1)">
      <formula>NOT(ISERROR(SEARCH("(1)",W18)))</formula>
    </cfRule>
  </conditionalFormatting>
  <conditionalFormatting sqref="W19:AD19">
    <cfRule type="containsText" dxfId="1735" priority="760" stopIfTrue="1" operator="containsText" text="(3)">
      <formula>NOT(ISERROR(SEARCH("(3)",W19)))</formula>
    </cfRule>
    <cfRule type="containsText" dxfId="1734" priority="761" stopIfTrue="1" operator="containsText" text="(2)">
      <formula>NOT(ISERROR(SEARCH("(2)",W19)))</formula>
    </cfRule>
    <cfRule type="containsText" dxfId="1733" priority="762" stopIfTrue="1" operator="containsText" text="(1)">
      <formula>NOT(ISERROR(SEARCH("(1)",W19)))</formula>
    </cfRule>
  </conditionalFormatting>
  <conditionalFormatting sqref="W20:AD20">
    <cfRule type="containsText" dxfId="1732" priority="757" stopIfTrue="1" operator="containsText" text="(3)">
      <formula>NOT(ISERROR(SEARCH("(3)",W20)))</formula>
    </cfRule>
    <cfRule type="containsText" dxfId="1731" priority="758" stopIfTrue="1" operator="containsText" text="(2)">
      <formula>NOT(ISERROR(SEARCH("(2)",W20)))</formula>
    </cfRule>
    <cfRule type="containsText" dxfId="1730" priority="759" stopIfTrue="1" operator="containsText" text="(1)">
      <formula>NOT(ISERROR(SEARCH("(1)",W20)))</formula>
    </cfRule>
  </conditionalFormatting>
  <conditionalFormatting sqref="W21:AD21">
    <cfRule type="containsText" dxfId="1729" priority="754" stopIfTrue="1" operator="containsText" text="(3)">
      <formula>NOT(ISERROR(SEARCH("(3)",W21)))</formula>
    </cfRule>
    <cfRule type="containsText" dxfId="1728" priority="755" stopIfTrue="1" operator="containsText" text="(2)">
      <formula>NOT(ISERROR(SEARCH("(2)",W21)))</formula>
    </cfRule>
    <cfRule type="containsText" dxfId="1727" priority="756" stopIfTrue="1" operator="containsText" text="(1)">
      <formula>NOT(ISERROR(SEARCH("(1)",W21)))</formula>
    </cfRule>
  </conditionalFormatting>
  <conditionalFormatting sqref="W22:AD22">
    <cfRule type="containsText" dxfId="1726" priority="751" stopIfTrue="1" operator="containsText" text="(3)">
      <formula>NOT(ISERROR(SEARCH("(3)",W22)))</formula>
    </cfRule>
    <cfRule type="containsText" dxfId="1725" priority="752" stopIfTrue="1" operator="containsText" text="(2)">
      <formula>NOT(ISERROR(SEARCH("(2)",W22)))</formula>
    </cfRule>
    <cfRule type="containsText" dxfId="1724" priority="753" stopIfTrue="1" operator="containsText" text="(1)">
      <formula>NOT(ISERROR(SEARCH("(1)",W22)))</formula>
    </cfRule>
  </conditionalFormatting>
  <conditionalFormatting sqref="W23:AD23">
    <cfRule type="containsText" dxfId="1723" priority="748" stopIfTrue="1" operator="containsText" text="(3)">
      <formula>NOT(ISERROR(SEARCH("(3)",W23)))</formula>
    </cfRule>
    <cfRule type="containsText" dxfId="1722" priority="749" stopIfTrue="1" operator="containsText" text="(2)">
      <formula>NOT(ISERROR(SEARCH("(2)",W23)))</formula>
    </cfRule>
    <cfRule type="containsText" dxfId="1721" priority="750" stopIfTrue="1" operator="containsText" text="(1)">
      <formula>NOT(ISERROR(SEARCH("(1)",W23)))</formula>
    </cfRule>
  </conditionalFormatting>
  <conditionalFormatting sqref="W24:AD24">
    <cfRule type="containsText" dxfId="1720" priority="745" stopIfTrue="1" operator="containsText" text="(3)">
      <formula>NOT(ISERROR(SEARCH("(3)",W24)))</formula>
    </cfRule>
    <cfRule type="containsText" dxfId="1719" priority="746" stopIfTrue="1" operator="containsText" text="(2)">
      <formula>NOT(ISERROR(SEARCH("(2)",W24)))</formula>
    </cfRule>
    <cfRule type="containsText" dxfId="1718" priority="747" stopIfTrue="1" operator="containsText" text="(1)">
      <formula>NOT(ISERROR(SEARCH("(1)",W24)))</formula>
    </cfRule>
  </conditionalFormatting>
  <conditionalFormatting sqref="W25:AD25">
    <cfRule type="containsText" dxfId="1717" priority="742" stopIfTrue="1" operator="containsText" text="(3)">
      <formula>NOT(ISERROR(SEARCH("(3)",W25)))</formula>
    </cfRule>
    <cfRule type="containsText" dxfId="1716" priority="743" stopIfTrue="1" operator="containsText" text="(2)">
      <formula>NOT(ISERROR(SEARCH("(2)",W25)))</formula>
    </cfRule>
    <cfRule type="containsText" dxfId="1715" priority="744" stopIfTrue="1" operator="containsText" text="(1)">
      <formula>NOT(ISERROR(SEARCH("(1)",W25)))</formula>
    </cfRule>
  </conditionalFormatting>
  <conditionalFormatting sqref="W26:AD26">
    <cfRule type="containsText" dxfId="1714" priority="739" stopIfTrue="1" operator="containsText" text="(3)">
      <formula>NOT(ISERROR(SEARCH("(3)",W26)))</formula>
    </cfRule>
    <cfRule type="containsText" dxfId="1713" priority="740" stopIfTrue="1" operator="containsText" text="(2)">
      <formula>NOT(ISERROR(SEARCH("(2)",W26)))</formula>
    </cfRule>
    <cfRule type="containsText" dxfId="1712" priority="741" stopIfTrue="1" operator="containsText" text="(1)">
      <formula>NOT(ISERROR(SEARCH("(1)",W26)))</formula>
    </cfRule>
  </conditionalFormatting>
  <conditionalFormatting sqref="W27:AD27">
    <cfRule type="containsText" dxfId="1711" priority="736" stopIfTrue="1" operator="containsText" text="(3)">
      <formula>NOT(ISERROR(SEARCH("(3)",W27)))</formula>
    </cfRule>
    <cfRule type="containsText" dxfId="1710" priority="737" stopIfTrue="1" operator="containsText" text="(2)">
      <formula>NOT(ISERROR(SEARCH("(2)",W27)))</formula>
    </cfRule>
    <cfRule type="containsText" dxfId="1709" priority="738" stopIfTrue="1" operator="containsText" text="(1)">
      <formula>NOT(ISERROR(SEARCH("(1)",W27)))</formula>
    </cfRule>
  </conditionalFormatting>
  <conditionalFormatting sqref="W28:AD28">
    <cfRule type="containsText" dxfId="1708" priority="733" stopIfTrue="1" operator="containsText" text="(3)">
      <formula>NOT(ISERROR(SEARCH("(3)",W28)))</formula>
    </cfRule>
    <cfRule type="containsText" dxfId="1707" priority="734" stopIfTrue="1" operator="containsText" text="(2)">
      <formula>NOT(ISERROR(SEARCH("(2)",W28)))</formula>
    </cfRule>
    <cfRule type="containsText" dxfId="1706" priority="735" stopIfTrue="1" operator="containsText" text="(1)">
      <formula>NOT(ISERROR(SEARCH("(1)",W28)))</formula>
    </cfRule>
  </conditionalFormatting>
  <conditionalFormatting sqref="W29:AD29">
    <cfRule type="containsText" dxfId="1705" priority="730" stopIfTrue="1" operator="containsText" text="(3)">
      <formula>NOT(ISERROR(SEARCH("(3)",W29)))</formula>
    </cfRule>
    <cfRule type="containsText" dxfId="1704" priority="731" stopIfTrue="1" operator="containsText" text="(2)">
      <formula>NOT(ISERROR(SEARCH("(2)",W29)))</formula>
    </cfRule>
    <cfRule type="containsText" dxfId="1703" priority="732" stopIfTrue="1" operator="containsText" text="(1)">
      <formula>NOT(ISERROR(SEARCH("(1)",W29)))</formula>
    </cfRule>
  </conditionalFormatting>
  <conditionalFormatting sqref="W30:AD30">
    <cfRule type="containsText" dxfId="1702" priority="727" stopIfTrue="1" operator="containsText" text="(3)">
      <formula>NOT(ISERROR(SEARCH("(3)",W30)))</formula>
    </cfRule>
    <cfRule type="containsText" dxfId="1701" priority="728" stopIfTrue="1" operator="containsText" text="(2)">
      <formula>NOT(ISERROR(SEARCH("(2)",W30)))</formula>
    </cfRule>
    <cfRule type="containsText" dxfId="1700" priority="729" stopIfTrue="1" operator="containsText" text="(1)">
      <formula>NOT(ISERROR(SEARCH("(1)",W30)))</formula>
    </cfRule>
  </conditionalFormatting>
  <conditionalFormatting sqref="W31:AD31">
    <cfRule type="containsText" dxfId="1699" priority="724" stopIfTrue="1" operator="containsText" text="(3)">
      <formula>NOT(ISERROR(SEARCH("(3)",W31)))</formula>
    </cfRule>
    <cfRule type="containsText" dxfId="1698" priority="725" stopIfTrue="1" operator="containsText" text="(2)">
      <formula>NOT(ISERROR(SEARCH("(2)",W31)))</formula>
    </cfRule>
    <cfRule type="containsText" dxfId="1697" priority="726" stopIfTrue="1" operator="containsText" text="(1)">
      <formula>NOT(ISERROR(SEARCH("(1)",W31)))</formula>
    </cfRule>
  </conditionalFormatting>
  <conditionalFormatting sqref="W32:AD32">
    <cfRule type="containsText" dxfId="1696" priority="721" stopIfTrue="1" operator="containsText" text="(3)">
      <formula>NOT(ISERROR(SEARCH("(3)",W32)))</formula>
    </cfRule>
    <cfRule type="containsText" dxfId="1695" priority="722" stopIfTrue="1" operator="containsText" text="(2)">
      <formula>NOT(ISERROR(SEARCH("(2)",W32)))</formula>
    </cfRule>
    <cfRule type="containsText" dxfId="1694" priority="723" stopIfTrue="1" operator="containsText" text="(1)">
      <formula>NOT(ISERROR(SEARCH("(1)",W32)))</formula>
    </cfRule>
  </conditionalFormatting>
  <conditionalFormatting sqref="W33:AD33">
    <cfRule type="containsText" dxfId="1693" priority="718" stopIfTrue="1" operator="containsText" text="(3)">
      <formula>NOT(ISERROR(SEARCH("(3)",W33)))</formula>
    </cfRule>
    <cfRule type="containsText" dxfId="1692" priority="719" stopIfTrue="1" operator="containsText" text="(2)">
      <formula>NOT(ISERROR(SEARCH("(2)",W33)))</formula>
    </cfRule>
    <cfRule type="containsText" dxfId="1691" priority="720" stopIfTrue="1" operator="containsText" text="(1)">
      <formula>NOT(ISERROR(SEARCH("(1)",W33)))</formula>
    </cfRule>
  </conditionalFormatting>
  <conditionalFormatting sqref="W34:AD34">
    <cfRule type="containsText" dxfId="1690" priority="715" stopIfTrue="1" operator="containsText" text="(3)">
      <formula>NOT(ISERROR(SEARCH("(3)",W34)))</formula>
    </cfRule>
    <cfRule type="containsText" dxfId="1689" priority="716" stopIfTrue="1" operator="containsText" text="(2)">
      <formula>NOT(ISERROR(SEARCH("(2)",W34)))</formula>
    </cfRule>
    <cfRule type="containsText" dxfId="1688" priority="717" stopIfTrue="1" operator="containsText" text="(1)">
      <formula>NOT(ISERROR(SEARCH("(1)",W34)))</formula>
    </cfRule>
  </conditionalFormatting>
  <conditionalFormatting sqref="W35:AD35">
    <cfRule type="containsText" dxfId="1687" priority="712" stopIfTrue="1" operator="containsText" text="(3)">
      <formula>NOT(ISERROR(SEARCH("(3)",W35)))</formula>
    </cfRule>
    <cfRule type="containsText" dxfId="1686" priority="713" stopIfTrue="1" operator="containsText" text="(2)">
      <formula>NOT(ISERROR(SEARCH("(2)",W35)))</formula>
    </cfRule>
    <cfRule type="containsText" dxfId="1685" priority="714" stopIfTrue="1" operator="containsText" text="(1)">
      <formula>NOT(ISERROR(SEARCH("(1)",W35)))</formula>
    </cfRule>
  </conditionalFormatting>
  <conditionalFormatting sqref="W36:AD36">
    <cfRule type="containsText" dxfId="1684" priority="709" stopIfTrue="1" operator="containsText" text="(3)">
      <formula>NOT(ISERROR(SEARCH("(3)",W36)))</formula>
    </cfRule>
    <cfRule type="containsText" dxfId="1683" priority="710" stopIfTrue="1" operator="containsText" text="(2)">
      <formula>NOT(ISERROR(SEARCH("(2)",W36)))</formula>
    </cfRule>
    <cfRule type="containsText" dxfId="1682" priority="711" stopIfTrue="1" operator="containsText" text="(1)">
      <formula>NOT(ISERROR(SEARCH("(1)",W36)))</formula>
    </cfRule>
  </conditionalFormatting>
  <conditionalFormatting sqref="W37:AD37">
    <cfRule type="containsText" dxfId="1681" priority="706" stopIfTrue="1" operator="containsText" text="(3)">
      <formula>NOT(ISERROR(SEARCH("(3)",W37)))</formula>
    </cfRule>
    <cfRule type="containsText" dxfId="1680" priority="707" stopIfTrue="1" operator="containsText" text="(2)">
      <formula>NOT(ISERROR(SEARCH("(2)",W37)))</formula>
    </cfRule>
    <cfRule type="containsText" dxfId="1679" priority="708" stopIfTrue="1" operator="containsText" text="(1)">
      <formula>NOT(ISERROR(SEARCH("(1)",W37)))</formula>
    </cfRule>
  </conditionalFormatting>
  <conditionalFormatting sqref="W38:AD38">
    <cfRule type="containsText" dxfId="1678" priority="703" stopIfTrue="1" operator="containsText" text="(3)">
      <formula>NOT(ISERROR(SEARCH("(3)",W38)))</formula>
    </cfRule>
    <cfRule type="containsText" dxfId="1677" priority="704" stopIfTrue="1" operator="containsText" text="(2)">
      <formula>NOT(ISERROR(SEARCH("(2)",W38)))</formula>
    </cfRule>
    <cfRule type="containsText" dxfId="1676" priority="705" stopIfTrue="1" operator="containsText" text="(1)">
      <formula>NOT(ISERROR(SEARCH("(1)",W38)))</formula>
    </cfRule>
  </conditionalFormatting>
  <conditionalFormatting sqref="W39:AD39">
    <cfRule type="containsText" dxfId="1675" priority="700" stopIfTrue="1" operator="containsText" text="(3)">
      <formula>NOT(ISERROR(SEARCH("(3)",W39)))</formula>
    </cfRule>
    <cfRule type="containsText" dxfId="1674" priority="701" stopIfTrue="1" operator="containsText" text="(2)">
      <formula>NOT(ISERROR(SEARCH("(2)",W39)))</formula>
    </cfRule>
    <cfRule type="containsText" dxfId="1673" priority="702" stopIfTrue="1" operator="containsText" text="(1)">
      <formula>NOT(ISERROR(SEARCH("(1)",W39)))</formula>
    </cfRule>
  </conditionalFormatting>
  <conditionalFormatting sqref="W40:AD40">
    <cfRule type="containsText" dxfId="1672" priority="697" stopIfTrue="1" operator="containsText" text="(3)">
      <formula>NOT(ISERROR(SEARCH("(3)",W40)))</formula>
    </cfRule>
    <cfRule type="containsText" dxfId="1671" priority="698" stopIfTrue="1" operator="containsText" text="(2)">
      <formula>NOT(ISERROR(SEARCH("(2)",W40)))</formula>
    </cfRule>
    <cfRule type="containsText" dxfId="1670" priority="699" stopIfTrue="1" operator="containsText" text="(1)">
      <formula>NOT(ISERROR(SEARCH("(1)",W40)))</formula>
    </cfRule>
  </conditionalFormatting>
  <conditionalFormatting sqref="W41:AD41">
    <cfRule type="containsText" dxfId="1669" priority="694" stopIfTrue="1" operator="containsText" text="(3)">
      <formula>NOT(ISERROR(SEARCH("(3)",W41)))</formula>
    </cfRule>
    <cfRule type="containsText" dxfId="1668" priority="695" stopIfTrue="1" operator="containsText" text="(2)">
      <formula>NOT(ISERROR(SEARCH("(2)",W41)))</formula>
    </cfRule>
    <cfRule type="containsText" dxfId="1667" priority="696" stopIfTrue="1" operator="containsText" text="(1)">
      <formula>NOT(ISERROR(SEARCH("(1)",W41)))</formula>
    </cfRule>
  </conditionalFormatting>
  <conditionalFormatting sqref="W42:AD42">
    <cfRule type="containsText" dxfId="1666" priority="691" stopIfTrue="1" operator="containsText" text="(3)">
      <formula>NOT(ISERROR(SEARCH("(3)",W42)))</formula>
    </cfRule>
    <cfRule type="containsText" dxfId="1665" priority="692" stopIfTrue="1" operator="containsText" text="(2)">
      <formula>NOT(ISERROR(SEARCH("(2)",W42)))</formula>
    </cfRule>
    <cfRule type="containsText" dxfId="1664" priority="693" stopIfTrue="1" operator="containsText" text="(1)">
      <formula>NOT(ISERROR(SEARCH("(1)",W42)))</formula>
    </cfRule>
  </conditionalFormatting>
  <conditionalFormatting sqref="W43:AD43">
    <cfRule type="containsText" dxfId="1663" priority="688" stopIfTrue="1" operator="containsText" text="(3)">
      <formula>NOT(ISERROR(SEARCH("(3)",W43)))</formula>
    </cfRule>
    <cfRule type="containsText" dxfId="1662" priority="689" stopIfTrue="1" operator="containsText" text="(2)">
      <formula>NOT(ISERROR(SEARCH("(2)",W43)))</formula>
    </cfRule>
    <cfRule type="containsText" dxfId="1661" priority="690" stopIfTrue="1" operator="containsText" text="(1)">
      <formula>NOT(ISERROR(SEARCH("(1)",W43)))</formula>
    </cfRule>
  </conditionalFormatting>
  <conditionalFormatting sqref="W44:AD44">
    <cfRule type="containsText" dxfId="1660" priority="685" stopIfTrue="1" operator="containsText" text="(3)">
      <formula>NOT(ISERROR(SEARCH("(3)",W44)))</formula>
    </cfRule>
    <cfRule type="containsText" dxfId="1659" priority="686" stopIfTrue="1" operator="containsText" text="(2)">
      <formula>NOT(ISERROR(SEARCH("(2)",W44)))</formula>
    </cfRule>
    <cfRule type="containsText" dxfId="1658" priority="687" stopIfTrue="1" operator="containsText" text="(1)">
      <formula>NOT(ISERROR(SEARCH("(1)",W44)))</formula>
    </cfRule>
  </conditionalFormatting>
  <conditionalFormatting sqref="W45:AD45">
    <cfRule type="containsText" dxfId="1657" priority="682" stopIfTrue="1" operator="containsText" text="(3)">
      <formula>NOT(ISERROR(SEARCH("(3)",W45)))</formula>
    </cfRule>
    <cfRule type="containsText" dxfId="1656" priority="683" stopIfTrue="1" operator="containsText" text="(2)">
      <formula>NOT(ISERROR(SEARCH("(2)",W45)))</formula>
    </cfRule>
    <cfRule type="containsText" dxfId="1655" priority="684" stopIfTrue="1" operator="containsText" text="(1)">
      <formula>NOT(ISERROR(SEARCH("(1)",W45)))</formula>
    </cfRule>
  </conditionalFormatting>
  <conditionalFormatting sqref="W46:AD46">
    <cfRule type="containsText" dxfId="1654" priority="679" stopIfTrue="1" operator="containsText" text="(3)">
      <formula>NOT(ISERROR(SEARCH("(3)",W46)))</formula>
    </cfRule>
    <cfRule type="containsText" dxfId="1653" priority="680" stopIfTrue="1" operator="containsText" text="(2)">
      <formula>NOT(ISERROR(SEARCH("(2)",W46)))</formula>
    </cfRule>
    <cfRule type="containsText" dxfId="1652" priority="681" stopIfTrue="1" operator="containsText" text="(1)">
      <formula>NOT(ISERROR(SEARCH("(1)",W46)))</formula>
    </cfRule>
  </conditionalFormatting>
  <conditionalFormatting sqref="W47:AD47">
    <cfRule type="containsText" dxfId="1651" priority="676" stopIfTrue="1" operator="containsText" text="(3)">
      <formula>NOT(ISERROR(SEARCH("(3)",W47)))</formula>
    </cfRule>
    <cfRule type="containsText" dxfId="1650" priority="677" stopIfTrue="1" operator="containsText" text="(2)">
      <formula>NOT(ISERROR(SEARCH("(2)",W47)))</formula>
    </cfRule>
    <cfRule type="containsText" dxfId="1649" priority="678" stopIfTrue="1" operator="containsText" text="(1)">
      <formula>NOT(ISERROR(SEARCH("(1)",W47)))</formula>
    </cfRule>
  </conditionalFormatting>
  <conditionalFormatting sqref="W48:AD48">
    <cfRule type="containsText" dxfId="1648" priority="673" stopIfTrue="1" operator="containsText" text="(3)">
      <formula>NOT(ISERROR(SEARCH("(3)",W48)))</formula>
    </cfRule>
    <cfRule type="containsText" dxfId="1647" priority="674" stopIfTrue="1" operator="containsText" text="(2)">
      <formula>NOT(ISERROR(SEARCH("(2)",W48)))</formula>
    </cfRule>
    <cfRule type="containsText" dxfId="1646" priority="675" stopIfTrue="1" operator="containsText" text="(1)">
      <formula>NOT(ISERROR(SEARCH("(1)",W48)))</formula>
    </cfRule>
  </conditionalFormatting>
  <conditionalFormatting sqref="W49:AD49">
    <cfRule type="containsText" dxfId="1645" priority="670" stopIfTrue="1" operator="containsText" text="(3)">
      <formula>NOT(ISERROR(SEARCH("(3)",W49)))</formula>
    </cfRule>
    <cfRule type="containsText" dxfId="1644" priority="671" stopIfTrue="1" operator="containsText" text="(2)">
      <formula>NOT(ISERROR(SEARCH("(2)",W49)))</formula>
    </cfRule>
    <cfRule type="containsText" dxfId="1643" priority="672" stopIfTrue="1" operator="containsText" text="(1)">
      <formula>NOT(ISERROR(SEARCH("(1)",W49)))</formula>
    </cfRule>
  </conditionalFormatting>
  <conditionalFormatting sqref="W50:AD50">
    <cfRule type="containsText" dxfId="1642" priority="667" stopIfTrue="1" operator="containsText" text="(3)">
      <formula>NOT(ISERROR(SEARCH("(3)",W50)))</formula>
    </cfRule>
    <cfRule type="containsText" dxfId="1641" priority="668" stopIfTrue="1" operator="containsText" text="(2)">
      <formula>NOT(ISERROR(SEARCH("(2)",W50)))</formula>
    </cfRule>
    <cfRule type="containsText" dxfId="1640" priority="669" stopIfTrue="1" operator="containsText" text="(1)">
      <formula>NOT(ISERROR(SEARCH("(1)",W50)))</formula>
    </cfRule>
  </conditionalFormatting>
  <conditionalFormatting sqref="W51:AD51">
    <cfRule type="containsText" dxfId="1639" priority="664" stopIfTrue="1" operator="containsText" text="(3)">
      <formula>NOT(ISERROR(SEARCH("(3)",W51)))</formula>
    </cfRule>
    <cfRule type="containsText" dxfId="1638" priority="665" stopIfTrue="1" operator="containsText" text="(2)">
      <formula>NOT(ISERROR(SEARCH("(2)",W51)))</formula>
    </cfRule>
    <cfRule type="containsText" dxfId="1637" priority="666" stopIfTrue="1" operator="containsText" text="(1)">
      <formula>NOT(ISERROR(SEARCH("(1)",W51)))</formula>
    </cfRule>
  </conditionalFormatting>
  <conditionalFormatting sqref="W52:AD52">
    <cfRule type="containsText" dxfId="1636" priority="661" stopIfTrue="1" operator="containsText" text="(3)">
      <formula>NOT(ISERROR(SEARCH("(3)",W52)))</formula>
    </cfRule>
    <cfRule type="containsText" dxfId="1635" priority="662" stopIfTrue="1" operator="containsText" text="(2)">
      <formula>NOT(ISERROR(SEARCH("(2)",W52)))</formula>
    </cfRule>
    <cfRule type="containsText" dxfId="1634" priority="663" stopIfTrue="1" operator="containsText" text="(1)">
      <formula>NOT(ISERROR(SEARCH("(1)",W52)))</formula>
    </cfRule>
  </conditionalFormatting>
  <conditionalFormatting sqref="W53:AD53">
    <cfRule type="containsText" dxfId="1633" priority="658" stopIfTrue="1" operator="containsText" text="(3)">
      <formula>NOT(ISERROR(SEARCH("(3)",W53)))</formula>
    </cfRule>
    <cfRule type="containsText" dxfId="1632" priority="659" stopIfTrue="1" operator="containsText" text="(2)">
      <formula>NOT(ISERROR(SEARCH("(2)",W53)))</formula>
    </cfRule>
    <cfRule type="containsText" dxfId="1631" priority="660" stopIfTrue="1" operator="containsText" text="(1)">
      <formula>NOT(ISERROR(SEARCH("(1)",W53)))</formula>
    </cfRule>
  </conditionalFormatting>
  <conditionalFormatting sqref="W54:AD54">
    <cfRule type="containsText" dxfId="1630" priority="655" stopIfTrue="1" operator="containsText" text="(3)">
      <formula>NOT(ISERROR(SEARCH("(3)",W54)))</formula>
    </cfRule>
    <cfRule type="containsText" dxfId="1629" priority="656" stopIfTrue="1" operator="containsText" text="(2)">
      <formula>NOT(ISERROR(SEARCH("(2)",W54)))</formula>
    </cfRule>
    <cfRule type="containsText" dxfId="1628" priority="657" stopIfTrue="1" operator="containsText" text="(1)">
      <formula>NOT(ISERROR(SEARCH("(1)",W54)))</formula>
    </cfRule>
  </conditionalFormatting>
  <conditionalFormatting sqref="W55:AD55">
    <cfRule type="containsText" dxfId="1627" priority="652" stopIfTrue="1" operator="containsText" text="(3)">
      <formula>NOT(ISERROR(SEARCH("(3)",W55)))</formula>
    </cfRule>
    <cfRule type="containsText" dxfId="1626" priority="653" stopIfTrue="1" operator="containsText" text="(2)">
      <formula>NOT(ISERROR(SEARCH("(2)",W55)))</formula>
    </cfRule>
    <cfRule type="containsText" dxfId="1625" priority="654" stopIfTrue="1" operator="containsText" text="(1)">
      <formula>NOT(ISERROR(SEARCH("(1)",W55)))</formula>
    </cfRule>
  </conditionalFormatting>
  <conditionalFormatting sqref="W56:AD56">
    <cfRule type="containsText" dxfId="1624" priority="649" stopIfTrue="1" operator="containsText" text="(3)">
      <formula>NOT(ISERROR(SEARCH("(3)",W56)))</formula>
    </cfRule>
    <cfRule type="containsText" dxfId="1623" priority="650" stopIfTrue="1" operator="containsText" text="(2)">
      <formula>NOT(ISERROR(SEARCH("(2)",W56)))</formula>
    </cfRule>
    <cfRule type="containsText" dxfId="1622" priority="651" stopIfTrue="1" operator="containsText" text="(1)">
      <formula>NOT(ISERROR(SEARCH("(1)",W56)))</formula>
    </cfRule>
  </conditionalFormatting>
  <conditionalFormatting sqref="W57:AD57">
    <cfRule type="containsText" dxfId="1621" priority="646" stopIfTrue="1" operator="containsText" text="(3)">
      <formula>NOT(ISERROR(SEARCH("(3)",W57)))</formula>
    </cfRule>
    <cfRule type="containsText" dxfId="1620" priority="647" stopIfTrue="1" operator="containsText" text="(2)">
      <formula>NOT(ISERROR(SEARCH("(2)",W57)))</formula>
    </cfRule>
    <cfRule type="containsText" dxfId="1619" priority="648" stopIfTrue="1" operator="containsText" text="(1)">
      <formula>NOT(ISERROR(SEARCH("(1)",W57)))</formula>
    </cfRule>
  </conditionalFormatting>
  <conditionalFormatting sqref="W58:AD58">
    <cfRule type="containsText" dxfId="1618" priority="643" stopIfTrue="1" operator="containsText" text="(3)">
      <formula>NOT(ISERROR(SEARCH("(3)",W58)))</formula>
    </cfRule>
    <cfRule type="containsText" dxfId="1617" priority="644" stopIfTrue="1" operator="containsText" text="(2)">
      <formula>NOT(ISERROR(SEARCH("(2)",W58)))</formula>
    </cfRule>
    <cfRule type="containsText" dxfId="1616" priority="645" stopIfTrue="1" operator="containsText" text="(1)">
      <formula>NOT(ISERROR(SEARCH("(1)",W58)))</formula>
    </cfRule>
  </conditionalFormatting>
  <conditionalFormatting sqref="W59:AD59">
    <cfRule type="containsText" dxfId="1615" priority="640" stopIfTrue="1" operator="containsText" text="(3)">
      <formula>NOT(ISERROR(SEARCH("(3)",W59)))</formula>
    </cfRule>
    <cfRule type="containsText" dxfId="1614" priority="641" stopIfTrue="1" operator="containsText" text="(2)">
      <formula>NOT(ISERROR(SEARCH("(2)",W59)))</formula>
    </cfRule>
    <cfRule type="containsText" dxfId="1613" priority="642" stopIfTrue="1" operator="containsText" text="(1)">
      <formula>NOT(ISERROR(SEARCH("(1)",W59)))</formula>
    </cfRule>
  </conditionalFormatting>
  <conditionalFormatting sqref="W60:AD60">
    <cfRule type="containsText" dxfId="1612" priority="637" stopIfTrue="1" operator="containsText" text="(3)">
      <formula>NOT(ISERROR(SEARCH("(3)",W60)))</formula>
    </cfRule>
    <cfRule type="containsText" dxfId="1611" priority="638" stopIfTrue="1" operator="containsText" text="(2)">
      <formula>NOT(ISERROR(SEARCH("(2)",W60)))</formula>
    </cfRule>
    <cfRule type="containsText" dxfId="1610" priority="639" stopIfTrue="1" operator="containsText" text="(1)">
      <formula>NOT(ISERROR(SEARCH("(1)",W60)))</formula>
    </cfRule>
  </conditionalFormatting>
  <conditionalFormatting sqref="W61:AD61">
    <cfRule type="containsText" dxfId="1609" priority="634" stopIfTrue="1" operator="containsText" text="(3)">
      <formula>NOT(ISERROR(SEARCH("(3)",W61)))</formula>
    </cfRule>
    <cfRule type="containsText" dxfId="1608" priority="635" stopIfTrue="1" operator="containsText" text="(2)">
      <formula>NOT(ISERROR(SEARCH("(2)",W61)))</formula>
    </cfRule>
    <cfRule type="containsText" dxfId="1607" priority="636" stopIfTrue="1" operator="containsText" text="(1)">
      <formula>NOT(ISERROR(SEARCH("(1)",W61)))</formula>
    </cfRule>
  </conditionalFormatting>
  <conditionalFormatting sqref="W62:AD62">
    <cfRule type="containsText" dxfId="1606" priority="631" stopIfTrue="1" operator="containsText" text="(3)">
      <formula>NOT(ISERROR(SEARCH("(3)",W62)))</formula>
    </cfRule>
    <cfRule type="containsText" dxfId="1605" priority="632" stopIfTrue="1" operator="containsText" text="(2)">
      <formula>NOT(ISERROR(SEARCH("(2)",W62)))</formula>
    </cfRule>
    <cfRule type="containsText" dxfId="1604" priority="633" stopIfTrue="1" operator="containsText" text="(1)">
      <formula>NOT(ISERROR(SEARCH("(1)",W62)))</formula>
    </cfRule>
  </conditionalFormatting>
  <conditionalFormatting sqref="W63:AD63">
    <cfRule type="containsText" dxfId="1603" priority="628" stopIfTrue="1" operator="containsText" text="(3)">
      <formula>NOT(ISERROR(SEARCH("(3)",W63)))</formula>
    </cfRule>
    <cfRule type="containsText" dxfId="1602" priority="629" stopIfTrue="1" operator="containsText" text="(2)">
      <formula>NOT(ISERROR(SEARCH("(2)",W63)))</formula>
    </cfRule>
    <cfRule type="containsText" dxfId="1601" priority="630" stopIfTrue="1" operator="containsText" text="(1)">
      <formula>NOT(ISERROR(SEARCH("(1)",W63)))</formula>
    </cfRule>
  </conditionalFormatting>
  <conditionalFormatting sqref="W64:AD64">
    <cfRule type="containsText" dxfId="1600" priority="625" stopIfTrue="1" operator="containsText" text="(3)">
      <formula>NOT(ISERROR(SEARCH("(3)",W64)))</formula>
    </cfRule>
    <cfRule type="containsText" dxfId="1599" priority="626" stopIfTrue="1" operator="containsText" text="(2)">
      <formula>NOT(ISERROR(SEARCH("(2)",W64)))</formula>
    </cfRule>
    <cfRule type="containsText" dxfId="1598" priority="627" stopIfTrue="1" operator="containsText" text="(1)">
      <formula>NOT(ISERROR(SEARCH("(1)",W64)))</formula>
    </cfRule>
  </conditionalFormatting>
  <conditionalFormatting sqref="W65:AD65">
    <cfRule type="containsText" dxfId="1597" priority="622" stopIfTrue="1" operator="containsText" text="(3)">
      <formula>NOT(ISERROR(SEARCH("(3)",W65)))</formula>
    </cfRule>
    <cfRule type="containsText" dxfId="1596" priority="623" stopIfTrue="1" operator="containsText" text="(2)">
      <formula>NOT(ISERROR(SEARCH("(2)",W65)))</formula>
    </cfRule>
    <cfRule type="containsText" dxfId="1595" priority="624" stopIfTrue="1" operator="containsText" text="(1)">
      <formula>NOT(ISERROR(SEARCH("(1)",W65)))</formula>
    </cfRule>
  </conditionalFormatting>
  <conditionalFormatting sqref="W66:AD66">
    <cfRule type="containsText" dxfId="1594" priority="619" stopIfTrue="1" operator="containsText" text="(3)">
      <formula>NOT(ISERROR(SEARCH("(3)",W66)))</formula>
    </cfRule>
    <cfRule type="containsText" dxfId="1593" priority="620" stopIfTrue="1" operator="containsText" text="(2)">
      <formula>NOT(ISERROR(SEARCH("(2)",W66)))</formula>
    </cfRule>
    <cfRule type="containsText" dxfId="1592" priority="621" stopIfTrue="1" operator="containsText" text="(1)">
      <formula>NOT(ISERROR(SEARCH("(1)",W66)))</formula>
    </cfRule>
  </conditionalFormatting>
  <conditionalFormatting sqref="W67:AD67">
    <cfRule type="containsText" dxfId="1591" priority="616" stopIfTrue="1" operator="containsText" text="(3)">
      <formula>NOT(ISERROR(SEARCH("(3)",W67)))</formula>
    </cfRule>
    <cfRule type="containsText" dxfId="1590" priority="617" stopIfTrue="1" operator="containsText" text="(2)">
      <formula>NOT(ISERROR(SEARCH("(2)",W67)))</formula>
    </cfRule>
    <cfRule type="containsText" dxfId="1589" priority="618" stopIfTrue="1" operator="containsText" text="(1)">
      <formula>NOT(ISERROR(SEARCH("(1)",W67)))</formula>
    </cfRule>
  </conditionalFormatting>
  <conditionalFormatting sqref="W68:AD68">
    <cfRule type="containsText" dxfId="1588" priority="613" stopIfTrue="1" operator="containsText" text="(3)">
      <formula>NOT(ISERROR(SEARCH("(3)",W68)))</formula>
    </cfRule>
    <cfRule type="containsText" dxfId="1587" priority="614" stopIfTrue="1" operator="containsText" text="(2)">
      <formula>NOT(ISERROR(SEARCH("(2)",W68)))</formula>
    </cfRule>
    <cfRule type="containsText" dxfId="1586" priority="615" stopIfTrue="1" operator="containsText" text="(1)">
      <formula>NOT(ISERROR(SEARCH("(1)",W68)))</formula>
    </cfRule>
  </conditionalFormatting>
  <conditionalFormatting sqref="W69:AD69">
    <cfRule type="containsText" dxfId="1585" priority="610" stopIfTrue="1" operator="containsText" text="(3)">
      <formula>NOT(ISERROR(SEARCH("(3)",W69)))</formula>
    </cfRule>
    <cfRule type="containsText" dxfId="1584" priority="611" stopIfTrue="1" operator="containsText" text="(2)">
      <formula>NOT(ISERROR(SEARCH("(2)",W69)))</formula>
    </cfRule>
    <cfRule type="containsText" dxfId="1583" priority="612" stopIfTrue="1" operator="containsText" text="(1)">
      <formula>NOT(ISERROR(SEARCH("(1)",W69)))</formula>
    </cfRule>
  </conditionalFormatting>
  <conditionalFormatting sqref="W70:AD70">
    <cfRule type="containsText" dxfId="1582" priority="607" stopIfTrue="1" operator="containsText" text="(3)">
      <formula>NOT(ISERROR(SEARCH("(3)",W70)))</formula>
    </cfRule>
    <cfRule type="containsText" dxfId="1581" priority="608" stopIfTrue="1" operator="containsText" text="(2)">
      <formula>NOT(ISERROR(SEARCH("(2)",W70)))</formula>
    </cfRule>
    <cfRule type="containsText" dxfId="1580" priority="609" stopIfTrue="1" operator="containsText" text="(1)">
      <formula>NOT(ISERROR(SEARCH("(1)",W70)))</formula>
    </cfRule>
  </conditionalFormatting>
  <conditionalFormatting sqref="W71:AD71">
    <cfRule type="containsText" dxfId="1579" priority="604" stopIfTrue="1" operator="containsText" text="(3)">
      <formula>NOT(ISERROR(SEARCH("(3)",W71)))</formula>
    </cfRule>
    <cfRule type="containsText" dxfId="1578" priority="605" stopIfTrue="1" operator="containsText" text="(2)">
      <formula>NOT(ISERROR(SEARCH("(2)",W71)))</formula>
    </cfRule>
    <cfRule type="containsText" dxfId="1577" priority="606" stopIfTrue="1" operator="containsText" text="(1)">
      <formula>NOT(ISERROR(SEARCH("(1)",W71)))</formula>
    </cfRule>
  </conditionalFormatting>
  <conditionalFormatting sqref="W72:AD72">
    <cfRule type="containsText" dxfId="1576" priority="601" stopIfTrue="1" operator="containsText" text="(3)">
      <formula>NOT(ISERROR(SEARCH("(3)",W72)))</formula>
    </cfRule>
    <cfRule type="containsText" dxfId="1575" priority="602" stopIfTrue="1" operator="containsText" text="(2)">
      <formula>NOT(ISERROR(SEARCH("(2)",W72)))</formula>
    </cfRule>
    <cfRule type="containsText" dxfId="1574" priority="603" stopIfTrue="1" operator="containsText" text="(1)">
      <formula>NOT(ISERROR(SEARCH("(1)",W72)))</formula>
    </cfRule>
  </conditionalFormatting>
  <conditionalFormatting sqref="W73:AD73">
    <cfRule type="containsText" dxfId="1573" priority="598" stopIfTrue="1" operator="containsText" text="(3)">
      <formula>NOT(ISERROR(SEARCH("(3)",W73)))</formula>
    </cfRule>
    <cfRule type="containsText" dxfId="1572" priority="599" stopIfTrue="1" operator="containsText" text="(2)">
      <formula>NOT(ISERROR(SEARCH("(2)",W73)))</formula>
    </cfRule>
    <cfRule type="containsText" dxfId="1571" priority="600" stopIfTrue="1" operator="containsText" text="(1)">
      <formula>NOT(ISERROR(SEARCH("(1)",W73)))</formula>
    </cfRule>
  </conditionalFormatting>
  <conditionalFormatting sqref="W74:AD74">
    <cfRule type="containsText" dxfId="1570" priority="595" stopIfTrue="1" operator="containsText" text="(3)">
      <formula>NOT(ISERROR(SEARCH("(3)",W74)))</formula>
    </cfRule>
    <cfRule type="containsText" dxfId="1569" priority="596" stopIfTrue="1" operator="containsText" text="(2)">
      <formula>NOT(ISERROR(SEARCH("(2)",W74)))</formula>
    </cfRule>
    <cfRule type="containsText" dxfId="1568" priority="597" stopIfTrue="1" operator="containsText" text="(1)">
      <formula>NOT(ISERROR(SEARCH("(1)",W74)))</formula>
    </cfRule>
  </conditionalFormatting>
  <conditionalFormatting sqref="W75:AD75">
    <cfRule type="containsText" dxfId="1567" priority="592" stopIfTrue="1" operator="containsText" text="(3)">
      <formula>NOT(ISERROR(SEARCH("(3)",W75)))</formula>
    </cfRule>
    <cfRule type="containsText" dxfId="1566" priority="593" stopIfTrue="1" operator="containsText" text="(2)">
      <formula>NOT(ISERROR(SEARCH("(2)",W75)))</formula>
    </cfRule>
    <cfRule type="containsText" dxfId="1565" priority="594" stopIfTrue="1" operator="containsText" text="(1)">
      <formula>NOT(ISERROR(SEARCH("(1)",W75)))</formula>
    </cfRule>
  </conditionalFormatting>
  <conditionalFormatting sqref="W76:AD76">
    <cfRule type="containsText" dxfId="1564" priority="589" stopIfTrue="1" operator="containsText" text="(3)">
      <formula>NOT(ISERROR(SEARCH("(3)",W76)))</formula>
    </cfRule>
    <cfRule type="containsText" dxfId="1563" priority="590" stopIfTrue="1" operator="containsText" text="(2)">
      <formula>NOT(ISERROR(SEARCH("(2)",W76)))</formula>
    </cfRule>
    <cfRule type="containsText" dxfId="1562" priority="591" stopIfTrue="1" operator="containsText" text="(1)">
      <formula>NOT(ISERROR(SEARCH("(1)",W76)))</formula>
    </cfRule>
  </conditionalFormatting>
  <conditionalFormatting sqref="W77:AD77">
    <cfRule type="containsText" dxfId="1561" priority="586" stopIfTrue="1" operator="containsText" text="(3)">
      <formula>NOT(ISERROR(SEARCH("(3)",W77)))</formula>
    </cfRule>
    <cfRule type="containsText" dxfId="1560" priority="587" stopIfTrue="1" operator="containsText" text="(2)">
      <formula>NOT(ISERROR(SEARCH("(2)",W77)))</formula>
    </cfRule>
    <cfRule type="containsText" dxfId="1559" priority="588" stopIfTrue="1" operator="containsText" text="(1)">
      <formula>NOT(ISERROR(SEARCH("(1)",W77)))</formula>
    </cfRule>
  </conditionalFormatting>
  <conditionalFormatting sqref="W78:AD78">
    <cfRule type="containsText" dxfId="1558" priority="583" stopIfTrue="1" operator="containsText" text="(3)">
      <formula>NOT(ISERROR(SEARCH("(3)",W78)))</formula>
    </cfRule>
    <cfRule type="containsText" dxfId="1557" priority="584" stopIfTrue="1" operator="containsText" text="(2)">
      <formula>NOT(ISERROR(SEARCH("(2)",W78)))</formula>
    </cfRule>
    <cfRule type="containsText" dxfId="1556" priority="585" stopIfTrue="1" operator="containsText" text="(1)">
      <formula>NOT(ISERROR(SEARCH("(1)",W78)))</formula>
    </cfRule>
  </conditionalFormatting>
  <conditionalFormatting sqref="W79:AD79">
    <cfRule type="containsText" dxfId="1555" priority="580" stopIfTrue="1" operator="containsText" text="(3)">
      <formula>NOT(ISERROR(SEARCH("(3)",W79)))</formula>
    </cfRule>
    <cfRule type="containsText" dxfId="1554" priority="581" stopIfTrue="1" operator="containsText" text="(2)">
      <formula>NOT(ISERROR(SEARCH("(2)",W79)))</formula>
    </cfRule>
    <cfRule type="containsText" dxfId="1553" priority="582" stopIfTrue="1" operator="containsText" text="(1)">
      <formula>NOT(ISERROR(SEARCH("(1)",W79)))</formula>
    </cfRule>
  </conditionalFormatting>
  <conditionalFormatting sqref="W80:AD80">
    <cfRule type="containsText" dxfId="1552" priority="577" stopIfTrue="1" operator="containsText" text="(3)">
      <formula>NOT(ISERROR(SEARCH("(3)",W80)))</formula>
    </cfRule>
    <cfRule type="containsText" dxfId="1551" priority="578" stopIfTrue="1" operator="containsText" text="(2)">
      <formula>NOT(ISERROR(SEARCH("(2)",W80)))</formula>
    </cfRule>
    <cfRule type="containsText" dxfId="1550" priority="579" stopIfTrue="1" operator="containsText" text="(1)">
      <formula>NOT(ISERROR(SEARCH("(1)",W80)))</formula>
    </cfRule>
  </conditionalFormatting>
  <conditionalFormatting sqref="W81:AD81">
    <cfRule type="containsText" dxfId="1549" priority="574" stopIfTrue="1" operator="containsText" text="(3)">
      <formula>NOT(ISERROR(SEARCH("(3)",W81)))</formula>
    </cfRule>
    <cfRule type="containsText" dxfId="1548" priority="575" stopIfTrue="1" operator="containsText" text="(2)">
      <formula>NOT(ISERROR(SEARCH("(2)",W81)))</formula>
    </cfRule>
    <cfRule type="containsText" dxfId="1547" priority="576" stopIfTrue="1" operator="containsText" text="(1)">
      <formula>NOT(ISERROR(SEARCH("(1)",W81)))</formula>
    </cfRule>
  </conditionalFormatting>
  <conditionalFormatting sqref="W82:AD82">
    <cfRule type="containsText" dxfId="1546" priority="571" stopIfTrue="1" operator="containsText" text="(3)">
      <formula>NOT(ISERROR(SEARCH("(3)",W82)))</formula>
    </cfRule>
    <cfRule type="containsText" dxfId="1545" priority="572" stopIfTrue="1" operator="containsText" text="(2)">
      <formula>NOT(ISERROR(SEARCH("(2)",W82)))</formula>
    </cfRule>
    <cfRule type="containsText" dxfId="1544" priority="573" stopIfTrue="1" operator="containsText" text="(1)">
      <formula>NOT(ISERROR(SEARCH("(1)",W82)))</formula>
    </cfRule>
  </conditionalFormatting>
  <conditionalFormatting sqref="W83:AD83">
    <cfRule type="containsText" dxfId="1543" priority="568" stopIfTrue="1" operator="containsText" text="(3)">
      <formula>NOT(ISERROR(SEARCH("(3)",W83)))</formula>
    </cfRule>
    <cfRule type="containsText" dxfId="1542" priority="569" stopIfTrue="1" operator="containsText" text="(2)">
      <formula>NOT(ISERROR(SEARCH("(2)",W83)))</formula>
    </cfRule>
    <cfRule type="containsText" dxfId="1541" priority="570" stopIfTrue="1" operator="containsText" text="(1)">
      <formula>NOT(ISERROR(SEARCH("(1)",W83)))</formula>
    </cfRule>
  </conditionalFormatting>
  <conditionalFormatting sqref="W84:AD84">
    <cfRule type="containsText" dxfId="1540" priority="565" stopIfTrue="1" operator="containsText" text="(3)">
      <formula>NOT(ISERROR(SEARCH("(3)",W84)))</formula>
    </cfRule>
    <cfRule type="containsText" dxfId="1539" priority="566" stopIfTrue="1" operator="containsText" text="(2)">
      <formula>NOT(ISERROR(SEARCH("(2)",W84)))</formula>
    </cfRule>
    <cfRule type="containsText" dxfId="1538" priority="567" stopIfTrue="1" operator="containsText" text="(1)">
      <formula>NOT(ISERROR(SEARCH("(1)",W84)))</formula>
    </cfRule>
  </conditionalFormatting>
  <conditionalFormatting sqref="W85:AD85">
    <cfRule type="containsText" dxfId="1537" priority="562" stopIfTrue="1" operator="containsText" text="(3)">
      <formula>NOT(ISERROR(SEARCH("(3)",W85)))</formula>
    </cfRule>
    <cfRule type="containsText" dxfId="1536" priority="563" stopIfTrue="1" operator="containsText" text="(2)">
      <formula>NOT(ISERROR(SEARCH("(2)",W85)))</formula>
    </cfRule>
    <cfRule type="containsText" dxfId="1535" priority="564" stopIfTrue="1" operator="containsText" text="(1)">
      <formula>NOT(ISERROR(SEARCH("(1)",W85)))</formula>
    </cfRule>
  </conditionalFormatting>
  <conditionalFormatting sqref="W86:AD86">
    <cfRule type="containsText" dxfId="1534" priority="559" stopIfTrue="1" operator="containsText" text="(3)">
      <formula>NOT(ISERROR(SEARCH("(3)",W86)))</formula>
    </cfRule>
    <cfRule type="containsText" dxfId="1533" priority="560" stopIfTrue="1" operator="containsText" text="(2)">
      <formula>NOT(ISERROR(SEARCH("(2)",W86)))</formula>
    </cfRule>
    <cfRule type="containsText" dxfId="1532" priority="561" stopIfTrue="1" operator="containsText" text="(1)">
      <formula>NOT(ISERROR(SEARCH("(1)",W86)))</formula>
    </cfRule>
  </conditionalFormatting>
  <conditionalFormatting sqref="W87:AD87">
    <cfRule type="containsText" dxfId="1531" priority="556" stopIfTrue="1" operator="containsText" text="(3)">
      <formula>NOT(ISERROR(SEARCH("(3)",W87)))</formula>
    </cfRule>
    <cfRule type="containsText" dxfId="1530" priority="557" stopIfTrue="1" operator="containsText" text="(2)">
      <formula>NOT(ISERROR(SEARCH("(2)",W87)))</formula>
    </cfRule>
    <cfRule type="containsText" dxfId="1529" priority="558" stopIfTrue="1" operator="containsText" text="(1)">
      <formula>NOT(ISERROR(SEARCH("(1)",W87)))</formula>
    </cfRule>
  </conditionalFormatting>
  <conditionalFormatting sqref="W88:AD88">
    <cfRule type="containsText" dxfId="1528" priority="553" stopIfTrue="1" operator="containsText" text="(3)">
      <formula>NOT(ISERROR(SEARCH("(3)",W88)))</formula>
    </cfRule>
    <cfRule type="containsText" dxfId="1527" priority="554" stopIfTrue="1" operator="containsText" text="(2)">
      <formula>NOT(ISERROR(SEARCH("(2)",W88)))</formula>
    </cfRule>
    <cfRule type="containsText" dxfId="1526" priority="555" stopIfTrue="1" operator="containsText" text="(1)">
      <formula>NOT(ISERROR(SEARCH("(1)",W88)))</formula>
    </cfRule>
  </conditionalFormatting>
  <conditionalFormatting sqref="W89:AD89">
    <cfRule type="containsText" dxfId="1525" priority="550" stopIfTrue="1" operator="containsText" text="(3)">
      <formula>NOT(ISERROR(SEARCH("(3)",W89)))</formula>
    </cfRule>
    <cfRule type="containsText" dxfId="1524" priority="551" stopIfTrue="1" operator="containsText" text="(2)">
      <formula>NOT(ISERROR(SEARCH("(2)",W89)))</formula>
    </cfRule>
    <cfRule type="containsText" dxfId="1523" priority="552" stopIfTrue="1" operator="containsText" text="(1)">
      <formula>NOT(ISERROR(SEARCH("(1)",W89)))</formula>
    </cfRule>
  </conditionalFormatting>
  <conditionalFormatting sqref="W90:AD90">
    <cfRule type="containsText" dxfId="1522" priority="547" stopIfTrue="1" operator="containsText" text="(3)">
      <formula>NOT(ISERROR(SEARCH("(3)",W90)))</formula>
    </cfRule>
    <cfRule type="containsText" dxfId="1521" priority="548" stopIfTrue="1" operator="containsText" text="(2)">
      <formula>NOT(ISERROR(SEARCH("(2)",W90)))</formula>
    </cfRule>
    <cfRule type="containsText" dxfId="1520" priority="549" stopIfTrue="1" operator="containsText" text="(1)">
      <formula>NOT(ISERROR(SEARCH("(1)",W90)))</formula>
    </cfRule>
  </conditionalFormatting>
  <conditionalFormatting sqref="W91:AD91">
    <cfRule type="containsText" dxfId="1519" priority="544" stopIfTrue="1" operator="containsText" text="(3)">
      <formula>NOT(ISERROR(SEARCH("(3)",W91)))</formula>
    </cfRule>
    <cfRule type="containsText" dxfId="1518" priority="545" stopIfTrue="1" operator="containsText" text="(2)">
      <formula>NOT(ISERROR(SEARCH("(2)",W91)))</formula>
    </cfRule>
    <cfRule type="containsText" dxfId="1517" priority="546" stopIfTrue="1" operator="containsText" text="(1)">
      <formula>NOT(ISERROR(SEARCH("(1)",W91)))</formula>
    </cfRule>
  </conditionalFormatting>
  <conditionalFormatting sqref="W92:AD92">
    <cfRule type="containsText" dxfId="1516" priority="541" stopIfTrue="1" operator="containsText" text="(3)">
      <formula>NOT(ISERROR(SEARCH("(3)",W92)))</formula>
    </cfRule>
    <cfRule type="containsText" dxfId="1515" priority="542" stopIfTrue="1" operator="containsText" text="(2)">
      <formula>NOT(ISERROR(SEARCH("(2)",W92)))</formula>
    </cfRule>
    <cfRule type="containsText" dxfId="1514" priority="543" stopIfTrue="1" operator="containsText" text="(1)">
      <formula>NOT(ISERROR(SEARCH("(1)",W92)))</formula>
    </cfRule>
  </conditionalFormatting>
  <conditionalFormatting sqref="W93:AD93">
    <cfRule type="containsText" dxfId="1513" priority="538" stopIfTrue="1" operator="containsText" text="(3)">
      <formula>NOT(ISERROR(SEARCH("(3)",W93)))</formula>
    </cfRule>
    <cfRule type="containsText" dxfId="1512" priority="539" stopIfTrue="1" operator="containsText" text="(2)">
      <formula>NOT(ISERROR(SEARCH("(2)",W93)))</formula>
    </cfRule>
    <cfRule type="containsText" dxfId="1511" priority="540" stopIfTrue="1" operator="containsText" text="(1)">
      <formula>NOT(ISERROR(SEARCH("(1)",W93)))</formula>
    </cfRule>
  </conditionalFormatting>
  <conditionalFormatting sqref="W94:AD94">
    <cfRule type="containsText" dxfId="1510" priority="535" stopIfTrue="1" operator="containsText" text="(3)">
      <formula>NOT(ISERROR(SEARCH("(3)",W94)))</formula>
    </cfRule>
    <cfRule type="containsText" dxfId="1509" priority="536" stopIfTrue="1" operator="containsText" text="(2)">
      <formula>NOT(ISERROR(SEARCH("(2)",W94)))</formula>
    </cfRule>
    <cfRule type="containsText" dxfId="1508" priority="537" stopIfTrue="1" operator="containsText" text="(1)">
      <formula>NOT(ISERROR(SEARCH("(1)",W94)))</formula>
    </cfRule>
  </conditionalFormatting>
  <conditionalFormatting sqref="W95:AD95">
    <cfRule type="containsText" dxfId="1507" priority="532" stopIfTrue="1" operator="containsText" text="(3)">
      <formula>NOT(ISERROR(SEARCH("(3)",W95)))</formula>
    </cfRule>
    <cfRule type="containsText" dxfId="1506" priority="533" stopIfTrue="1" operator="containsText" text="(2)">
      <formula>NOT(ISERROR(SEARCH("(2)",W95)))</formula>
    </cfRule>
    <cfRule type="containsText" dxfId="1505" priority="534" stopIfTrue="1" operator="containsText" text="(1)">
      <formula>NOT(ISERROR(SEARCH("(1)",W95)))</formula>
    </cfRule>
  </conditionalFormatting>
  <conditionalFormatting sqref="W96:AD96">
    <cfRule type="containsText" dxfId="1504" priority="529" stopIfTrue="1" operator="containsText" text="(3)">
      <formula>NOT(ISERROR(SEARCH("(3)",W96)))</formula>
    </cfRule>
    <cfRule type="containsText" dxfId="1503" priority="530" stopIfTrue="1" operator="containsText" text="(2)">
      <formula>NOT(ISERROR(SEARCH("(2)",W96)))</formula>
    </cfRule>
    <cfRule type="containsText" dxfId="1502" priority="531" stopIfTrue="1" operator="containsText" text="(1)">
      <formula>NOT(ISERROR(SEARCH("(1)",W96)))</formula>
    </cfRule>
  </conditionalFormatting>
  <conditionalFormatting sqref="W97:AD97">
    <cfRule type="containsText" dxfId="1501" priority="526" stopIfTrue="1" operator="containsText" text="(3)">
      <formula>NOT(ISERROR(SEARCH("(3)",W97)))</formula>
    </cfRule>
    <cfRule type="containsText" dxfId="1500" priority="527" stopIfTrue="1" operator="containsText" text="(2)">
      <formula>NOT(ISERROR(SEARCH("(2)",W97)))</formula>
    </cfRule>
    <cfRule type="containsText" dxfId="1499" priority="528" stopIfTrue="1" operator="containsText" text="(1)">
      <formula>NOT(ISERROR(SEARCH("(1)",W97)))</formula>
    </cfRule>
  </conditionalFormatting>
  <conditionalFormatting sqref="W98:AD98">
    <cfRule type="containsText" dxfId="1498" priority="523" stopIfTrue="1" operator="containsText" text="(3)">
      <formula>NOT(ISERROR(SEARCH("(3)",W98)))</formula>
    </cfRule>
    <cfRule type="containsText" dxfId="1497" priority="524" stopIfTrue="1" operator="containsText" text="(2)">
      <formula>NOT(ISERROR(SEARCH("(2)",W98)))</formula>
    </cfRule>
    <cfRule type="containsText" dxfId="1496" priority="525" stopIfTrue="1" operator="containsText" text="(1)">
      <formula>NOT(ISERROR(SEARCH("(1)",W98)))</formula>
    </cfRule>
  </conditionalFormatting>
  <conditionalFormatting sqref="W99:AD99">
    <cfRule type="containsText" dxfId="1495" priority="520" stopIfTrue="1" operator="containsText" text="(3)">
      <formula>NOT(ISERROR(SEARCH("(3)",W99)))</formula>
    </cfRule>
    <cfRule type="containsText" dxfId="1494" priority="521" stopIfTrue="1" operator="containsText" text="(2)">
      <formula>NOT(ISERROR(SEARCH("(2)",W99)))</formula>
    </cfRule>
    <cfRule type="containsText" dxfId="1493" priority="522" stopIfTrue="1" operator="containsText" text="(1)">
      <formula>NOT(ISERROR(SEARCH("(1)",W99)))</formula>
    </cfRule>
  </conditionalFormatting>
  <conditionalFormatting sqref="W100:AD100">
    <cfRule type="containsText" dxfId="1492" priority="517" stopIfTrue="1" operator="containsText" text="(3)">
      <formula>NOT(ISERROR(SEARCH("(3)",W100)))</formula>
    </cfRule>
    <cfRule type="containsText" dxfId="1491" priority="518" stopIfTrue="1" operator="containsText" text="(2)">
      <formula>NOT(ISERROR(SEARCH("(2)",W100)))</formula>
    </cfRule>
    <cfRule type="containsText" dxfId="1490" priority="519" stopIfTrue="1" operator="containsText" text="(1)">
      <formula>NOT(ISERROR(SEARCH("(1)",W100)))</formula>
    </cfRule>
  </conditionalFormatting>
  <conditionalFormatting sqref="W101:AD101">
    <cfRule type="containsText" dxfId="1489" priority="514" stopIfTrue="1" operator="containsText" text="(3)">
      <formula>NOT(ISERROR(SEARCH("(3)",W101)))</formula>
    </cfRule>
    <cfRule type="containsText" dxfId="1488" priority="515" stopIfTrue="1" operator="containsText" text="(2)">
      <formula>NOT(ISERROR(SEARCH("(2)",W101)))</formula>
    </cfRule>
    <cfRule type="containsText" dxfId="1487" priority="516" stopIfTrue="1" operator="containsText" text="(1)">
      <formula>NOT(ISERROR(SEARCH("(1)",W101)))</formula>
    </cfRule>
  </conditionalFormatting>
  <conditionalFormatting sqref="W102:AD102">
    <cfRule type="containsText" dxfId="1486" priority="511" stopIfTrue="1" operator="containsText" text="(3)">
      <formula>NOT(ISERROR(SEARCH("(3)",W102)))</formula>
    </cfRule>
    <cfRule type="containsText" dxfId="1485" priority="512" stopIfTrue="1" operator="containsText" text="(2)">
      <formula>NOT(ISERROR(SEARCH("(2)",W102)))</formula>
    </cfRule>
    <cfRule type="containsText" dxfId="1484" priority="513" stopIfTrue="1" operator="containsText" text="(1)">
      <formula>NOT(ISERROR(SEARCH("(1)",W102)))</formula>
    </cfRule>
  </conditionalFormatting>
  <conditionalFormatting sqref="W103:AD103">
    <cfRule type="containsText" dxfId="1483" priority="508" stopIfTrue="1" operator="containsText" text="(3)">
      <formula>NOT(ISERROR(SEARCH("(3)",W103)))</formula>
    </cfRule>
    <cfRule type="containsText" dxfId="1482" priority="509" stopIfTrue="1" operator="containsText" text="(2)">
      <formula>NOT(ISERROR(SEARCH("(2)",W103)))</formula>
    </cfRule>
    <cfRule type="containsText" dxfId="1481" priority="510" stopIfTrue="1" operator="containsText" text="(1)">
      <formula>NOT(ISERROR(SEARCH("(1)",W103)))</formula>
    </cfRule>
  </conditionalFormatting>
  <conditionalFormatting sqref="W104:AD104">
    <cfRule type="containsText" dxfId="1480" priority="505" stopIfTrue="1" operator="containsText" text="(3)">
      <formula>NOT(ISERROR(SEARCH("(3)",W104)))</formula>
    </cfRule>
    <cfRule type="containsText" dxfId="1479" priority="506" stopIfTrue="1" operator="containsText" text="(2)">
      <formula>NOT(ISERROR(SEARCH("(2)",W104)))</formula>
    </cfRule>
    <cfRule type="containsText" dxfId="1478" priority="507" stopIfTrue="1" operator="containsText" text="(1)">
      <formula>NOT(ISERROR(SEARCH("(1)",W104)))</formula>
    </cfRule>
  </conditionalFormatting>
  <conditionalFormatting sqref="W105:AD105">
    <cfRule type="containsText" dxfId="1477" priority="502" stopIfTrue="1" operator="containsText" text="(3)">
      <formula>NOT(ISERROR(SEARCH("(3)",W105)))</formula>
    </cfRule>
    <cfRule type="containsText" dxfId="1476" priority="503" stopIfTrue="1" operator="containsText" text="(2)">
      <formula>NOT(ISERROR(SEARCH("(2)",W105)))</formula>
    </cfRule>
    <cfRule type="containsText" dxfId="1475" priority="504" stopIfTrue="1" operator="containsText" text="(1)">
      <formula>NOT(ISERROR(SEARCH("(1)",W105)))</formula>
    </cfRule>
  </conditionalFormatting>
  <conditionalFormatting sqref="W106:AD106">
    <cfRule type="containsText" dxfId="1474" priority="499" stopIfTrue="1" operator="containsText" text="(3)">
      <formula>NOT(ISERROR(SEARCH("(3)",W106)))</formula>
    </cfRule>
    <cfRule type="containsText" dxfId="1473" priority="500" stopIfTrue="1" operator="containsText" text="(2)">
      <formula>NOT(ISERROR(SEARCH("(2)",W106)))</formula>
    </cfRule>
    <cfRule type="containsText" dxfId="1472" priority="501" stopIfTrue="1" operator="containsText" text="(1)">
      <formula>NOT(ISERROR(SEARCH("(1)",W106)))</formula>
    </cfRule>
  </conditionalFormatting>
  <conditionalFormatting sqref="W107:AD107">
    <cfRule type="containsText" dxfId="1471" priority="496" stopIfTrue="1" operator="containsText" text="(3)">
      <formula>NOT(ISERROR(SEARCH("(3)",W107)))</formula>
    </cfRule>
    <cfRule type="containsText" dxfId="1470" priority="497" stopIfTrue="1" operator="containsText" text="(2)">
      <formula>NOT(ISERROR(SEARCH("(2)",W107)))</formula>
    </cfRule>
    <cfRule type="containsText" dxfId="1469" priority="498" stopIfTrue="1" operator="containsText" text="(1)">
      <formula>NOT(ISERROR(SEARCH("(1)",W107)))</formula>
    </cfRule>
  </conditionalFormatting>
  <conditionalFormatting sqref="W108:AD108">
    <cfRule type="containsText" dxfId="1468" priority="493" stopIfTrue="1" operator="containsText" text="(3)">
      <formula>NOT(ISERROR(SEARCH("(3)",W108)))</formula>
    </cfRule>
    <cfRule type="containsText" dxfId="1467" priority="494" stopIfTrue="1" operator="containsText" text="(2)">
      <formula>NOT(ISERROR(SEARCH("(2)",W108)))</formula>
    </cfRule>
    <cfRule type="containsText" dxfId="1466" priority="495" stopIfTrue="1" operator="containsText" text="(1)">
      <formula>NOT(ISERROR(SEARCH("(1)",W108)))</formula>
    </cfRule>
  </conditionalFormatting>
  <conditionalFormatting sqref="W109:AD109">
    <cfRule type="containsText" dxfId="1465" priority="490" stopIfTrue="1" operator="containsText" text="(3)">
      <formula>NOT(ISERROR(SEARCH("(3)",W109)))</formula>
    </cfRule>
    <cfRule type="containsText" dxfId="1464" priority="491" stopIfTrue="1" operator="containsText" text="(2)">
      <formula>NOT(ISERROR(SEARCH("(2)",W109)))</formula>
    </cfRule>
    <cfRule type="containsText" dxfId="1463" priority="492" stopIfTrue="1" operator="containsText" text="(1)">
      <formula>NOT(ISERROR(SEARCH("(1)",W109)))</formula>
    </cfRule>
  </conditionalFormatting>
  <conditionalFormatting sqref="W110:AD110">
    <cfRule type="containsText" dxfId="1462" priority="487" stopIfTrue="1" operator="containsText" text="(3)">
      <formula>NOT(ISERROR(SEARCH("(3)",W110)))</formula>
    </cfRule>
    <cfRule type="containsText" dxfId="1461" priority="488" stopIfTrue="1" operator="containsText" text="(2)">
      <formula>NOT(ISERROR(SEARCH("(2)",W110)))</formula>
    </cfRule>
    <cfRule type="containsText" dxfId="1460" priority="489" stopIfTrue="1" operator="containsText" text="(1)">
      <formula>NOT(ISERROR(SEARCH("(1)",W110)))</formula>
    </cfRule>
  </conditionalFormatting>
  <conditionalFormatting sqref="W111:AD111">
    <cfRule type="containsText" dxfId="1459" priority="484" stopIfTrue="1" operator="containsText" text="(3)">
      <formula>NOT(ISERROR(SEARCH("(3)",W111)))</formula>
    </cfRule>
    <cfRule type="containsText" dxfId="1458" priority="485" stopIfTrue="1" operator="containsText" text="(2)">
      <formula>NOT(ISERROR(SEARCH("(2)",W111)))</formula>
    </cfRule>
    <cfRule type="containsText" dxfId="1457" priority="486" stopIfTrue="1" operator="containsText" text="(1)">
      <formula>NOT(ISERROR(SEARCH("(1)",W111)))</formula>
    </cfRule>
  </conditionalFormatting>
  <conditionalFormatting sqref="W112:AD112">
    <cfRule type="containsText" dxfId="1456" priority="481" stopIfTrue="1" operator="containsText" text="(3)">
      <formula>NOT(ISERROR(SEARCH("(3)",W112)))</formula>
    </cfRule>
    <cfRule type="containsText" dxfId="1455" priority="482" stopIfTrue="1" operator="containsText" text="(2)">
      <formula>NOT(ISERROR(SEARCH("(2)",W112)))</formula>
    </cfRule>
    <cfRule type="containsText" dxfId="1454" priority="483" stopIfTrue="1" operator="containsText" text="(1)">
      <formula>NOT(ISERROR(SEARCH("(1)",W112)))</formula>
    </cfRule>
  </conditionalFormatting>
  <conditionalFormatting sqref="W113:AD113">
    <cfRule type="containsText" dxfId="1453" priority="478" stopIfTrue="1" operator="containsText" text="(3)">
      <formula>NOT(ISERROR(SEARCH("(3)",W113)))</formula>
    </cfRule>
    <cfRule type="containsText" dxfId="1452" priority="479" stopIfTrue="1" operator="containsText" text="(2)">
      <formula>NOT(ISERROR(SEARCH("(2)",W113)))</formula>
    </cfRule>
    <cfRule type="containsText" dxfId="1451" priority="480" stopIfTrue="1" operator="containsText" text="(1)">
      <formula>NOT(ISERROR(SEARCH("(1)",W113)))</formula>
    </cfRule>
  </conditionalFormatting>
  <conditionalFormatting sqref="W114:AD114">
    <cfRule type="containsText" dxfId="1450" priority="475" stopIfTrue="1" operator="containsText" text="(3)">
      <formula>NOT(ISERROR(SEARCH("(3)",W114)))</formula>
    </cfRule>
    <cfRule type="containsText" dxfId="1449" priority="476" stopIfTrue="1" operator="containsText" text="(2)">
      <formula>NOT(ISERROR(SEARCH("(2)",W114)))</formula>
    </cfRule>
    <cfRule type="containsText" dxfId="1448" priority="477" stopIfTrue="1" operator="containsText" text="(1)">
      <formula>NOT(ISERROR(SEARCH("(1)",W114)))</formula>
    </cfRule>
  </conditionalFormatting>
  <conditionalFormatting sqref="W115:AD115">
    <cfRule type="containsText" dxfId="1447" priority="472" stopIfTrue="1" operator="containsText" text="(3)">
      <formula>NOT(ISERROR(SEARCH("(3)",W115)))</formula>
    </cfRule>
    <cfRule type="containsText" dxfId="1446" priority="473" stopIfTrue="1" operator="containsText" text="(2)">
      <formula>NOT(ISERROR(SEARCH("(2)",W115)))</formula>
    </cfRule>
    <cfRule type="containsText" dxfId="1445" priority="474" stopIfTrue="1" operator="containsText" text="(1)">
      <formula>NOT(ISERROR(SEARCH("(1)",W115)))</formula>
    </cfRule>
  </conditionalFormatting>
  <conditionalFormatting sqref="W116:AD116">
    <cfRule type="containsText" dxfId="1444" priority="469" stopIfTrue="1" operator="containsText" text="(3)">
      <formula>NOT(ISERROR(SEARCH("(3)",W116)))</formula>
    </cfRule>
    <cfRule type="containsText" dxfId="1443" priority="470" stopIfTrue="1" operator="containsText" text="(2)">
      <formula>NOT(ISERROR(SEARCH("(2)",W116)))</formula>
    </cfRule>
    <cfRule type="containsText" dxfId="1442" priority="471" stopIfTrue="1" operator="containsText" text="(1)">
      <formula>NOT(ISERROR(SEARCH("(1)",W116)))</formula>
    </cfRule>
  </conditionalFormatting>
  <conditionalFormatting sqref="W117:AD117">
    <cfRule type="containsText" dxfId="1441" priority="466" stopIfTrue="1" operator="containsText" text="(3)">
      <formula>NOT(ISERROR(SEARCH("(3)",W117)))</formula>
    </cfRule>
    <cfRule type="containsText" dxfId="1440" priority="467" stopIfTrue="1" operator="containsText" text="(2)">
      <formula>NOT(ISERROR(SEARCH("(2)",W117)))</formula>
    </cfRule>
    <cfRule type="containsText" dxfId="1439" priority="468" stopIfTrue="1" operator="containsText" text="(1)">
      <formula>NOT(ISERROR(SEARCH("(1)",W117)))</formula>
    </cfRule>
  </conditionalFormatting>
  <conditionalFormatting sqref="W118:AD118">
    <cfRule type="containsText" dxfId="1438" priority="463" stopIfTrue="1" operator="containsText" text="(3)">
      <formula>NOT(ISERROR(SEARCH("(3)",W118)))</formula>
    </cfRule>
    <cfRule type="containsText" dxfId="1437" priority="464" stopIfTrue="1" operator="containsText" text="(2)">
      <formula>NOT(ISERROR(SEARCH("(2)",W118)))</formula>
    </cfRule>
    <cfRule type="containsText" dxfId="1436" priority="465" stopIfTrue="1" operator="containsText" text="(1)">
      <formula>NOT(ISERROR(SEARCH("(1)",W118)))</formula>
    </cfRule>
  </conditionalFormatting>
  <conditionalFormatting sqref="W119:AD119">
    <cfRule type="containsText" dxfId="1435" priority="460" stopIfTrue="1" operator="containsText" text="(3)">
      <formula>NOT(ISERROR(SEARCH("(3)",W119)))</formula>
    </cfRule>
    <cfRule type="containsText" dxfId="1434" priority="461" stopIfTrue="1" operator="containsText" text="(2)">
      <formula>NOT(ISERROR(SEARCH("(2)",W119)))</formula>
    </cfRule>
    <cfRule type="containsText" dxfId="1433" priority="462" stopIfTrue="1" operator="containsText" text="(1)">
      <formula>NOT(ISERROR(SEARCH("(1)",W119)))</formula>
    </cfRule>
  </conditionalFormatting>
  <conditionalFormatting sqref="W120:AD120">
    <cfRule type="containsText" dxfId="1432" priority="457" stopIfTrue="1" operator="containsText" text="(3)">
      <formula>NOT(ISERROR(SEARCH("(3)",W120)))</formula>
    </cfRule>
    <cfRule type="containsText" dxfId="1431" priority="458" stopIfTrue="1" operator="containsText" text="(2)">
      <formula>NOT(ISERROR(SEARCH("(2)",W120)))</formula>
    </cfRule>
    <cfRule type="containsText" dxfId="1430" priority="459" stopIfTrue="1" operator="containsText" text="(1)">
      <formula>NOT(ISERROR(SEARCH("(1)",W120)))</formula>
    </cfRule>
  </conditionalFormatting>
  <conditionalFormatting sqref="W121:AD121">
    <cfRule type="containsText" dxfId="1429" priority="454" stopIfTrue="1" operator="containsText" text="(3)">
      <formula>NOT(ISERROR(SEARCH("(3)",W121)))</formula>
    </cfRule>
    <cfRule type="containsText" dxfId="1428" priority="455" stopIfTrue="1" operator="containsText" text="(2)">
      <formula>NOT(ISERROR(SEARCH("(2)",W121)))</formula>
    </cfRule>
    <cfRule type="containsText" dxfId="1427" priority="456" stopIfTrue="1" operator="containsText" text="(1)">
      <formula>NOT(ISERROR(SEARCH("(1)",W121)))</formula>
    </cfRule>
  </conditionalFormatting>
  <conditionalFormatting sqref="W122:AD122">
    <cfRule type="containsText" dxfId="1426" priority="451" stopIfTrue="1" operator="containsText" text="(3)">
      <formula>NOT(ISERROR(SEARCH("(3)",W122)))</formula>
    </cfRule>
    <cfRule type="containsText" dxfId="1425" priority="452" stopIfTrue="1" operator="containsText" text="(2)">
      <formula>NOT(ISERROR(SEARCH("(2)",W122)))</formula>
    </cfRule>
    <cfRule type="containsText" dxfId="1424" priority="453" stopIfTrue="1" operator="containsText" text="(1)">
      <formula>NOT(ISERROR(SEARCH("(1)",W122)))</formula>
    </cfRule>
  </conditionalFormatting>
  <conditionalFormatting sqref="W123:AD123">
    <cfRule type="containsText" dxfId="1423" priority="448" stopIfTrue="1" operator="containsText" text="(3)">
      <formula>NOT(ISERROR(SEARCH("(3)",W123)))</formula>
    </cfRule>
    <cfRule type="containsText" dxfId="1422" priority="449" stopIfTrue="1" operator="containsText" text="(2)">
      <formula>NOT(ISERROR(SEARCH("(2)",W123)))</formula>
    </cfRule>
    <cfRule type="containsText" dxfId="1421" priority="450" stopIfTrue="1" operator="containsText" text="(1)">
      <formula>NOT(ISERROR(SEARCH("(1)",W123)))</formula>
    </cfRule>
  </conditionalFormatting>
  <conditionalFormatting sqref="W124:AD124">
    <cfRule type="containsText" dxfId="1420" priority="445" stopIfTrue="1" operator="containsText" text="(3)">
      <formula>NOT(ISERROR(SEARCH("(3)",W124)))</formula>
    </cfRule>
    <cfRule type="containsText" dxfId="1419" priority="446" stopIfTrue="1" operator="containsText" text="(2)">
      <formula>NOT(ISERROR(SEARCH("(2)",W124)))</formula>
    </cfRule>
    <cfRule type="containsText" dxfId="1418" priority="447" stopIfTrue="1" operator="containsText" text="(1)">
      <formula>NOT(ISERROR(SEARCH("(1)",W124)))</formula>
    </cfRule>
  </conditionalFormatting>
  <conditionalFormatting sqref="W125:AD125">
    <cfRule type="containsText" dxfId="1417" priority="442" stopIfTrue="1" operator="containsText" text="(3)">
      <formula>NOT(ISERROR(SEARCH("(3)",W125)))</formula>
    </cfRule>
    <cfRule type="containsText" dxfId="1416" priority="443" stopIfTrue="1" operator="containsText" text="(2)">
      <formula>NOT(ISERROR(SEARCH("(2)",W125)))</formula>
    </cfRule>
    <cfRule type="containsText" dxfId="1415" priority="444" stopIfTrue="1" operator="containsText" text="(1)">
      <formula>NOT(ISERROR(SEARCH("(1)",W125)))</formula>
    </cfRule>
  </conditionalFormatting>
  <conditionalFormatting sqref="W126:AD126">
    <cfRule type="containsText" dxfId="1414" priority="439" stopIfTrue="1" operator="containsText" text="(3)">
      <formula>NOT(ISERROR(SEARCH("(3)",W126)))</formula>
    </cfRule>
    <cfRule type="containsText" dxfId="1413" priority="440" stopIfTrue="1" operator="containsText" text="(2)">
      <formula>NOT(ISERROR(SEARCH("(2)",W126)))</formula>
    </cfRule>
    <cfRule type="containsText" dxfId="1412" priority="441" stopIfTrue="1" operator="containsText" text="(1)">
      <formula>NOT(ISERROR(SEARCH("(1)",W126)))</formula>
    </cfRule>
  </conditionalFormatting>
  <conditionalFormatting sqref="W127:AD127">
    <cfRule type="containsText" dxfId="1411" priority="436" stopIfTrue="1" operator="containsText" text="(3)">
      <formula>NOT(ISERROR(SEARCH("(3)",W127)))</formula>
    </cfRule>
    <cfRule type="containsText" dxfId="1410" priority="437" stopIfTrue="1" operator="containsText" text="(2)">
      <formula>NOT(ISERROR(SEARCH("(2)",W127)))</formula>
    </cfRule>
    <cfRule type="containsText" dxfId="1409" priority="438" stopIfTrue="1" operator="containsText" text="(1)">
      <formula>NOT(ISERROR(SEARCH("(1)",W127)))</formula>
    </cfRule>
  </conditionalFormatting>
  <conditionalFormatting sqref="W128:AD128">
    <cfRule type="containsText" dxfId="1408" priority="433" stopIfTrue="1" operator="containsText" text="(3)">
      <formula>NOT(ISERROR(SEARCH("(3)",W128)))</formula>
    </cfRule>
    <cfRule type="containsText" dxfId="1407" priority="434" stopIfTrue="1" operator="containsText" text="(2)">
      <formula>NOT(ISERROR(SEARCH("(2)",W128)))</formula>
    </cfRule>
    <cfRule type="containsText" dxfId="1406" priority="435" stopIfTrue="1" operator="containsText" text="(1)">
      <formula>NOT(ISERROR(SEARCH("(1)",W128)))</formula>
    </cfRule>
  </conditionalFormatting>
  <conditionalFormatting sqref="W129:AD129">
    <cfRule type="containsText" dxfId="1405" priority="430" stopIfTrue="1" operator="containsText" text="(3)">
      <formula>NOT(ISERROR(SEARCH("(3)",W129)))</formula>
    </cfRule>
    <cfRule type="containsText" dxfId="1404" priority="431" stopIfTrue="1" operator="containsText" text="(2)">
      <formula>NOT(ISERROR(SEARCH("(2)",W129)))</formula>
    </cfRule>
    <cfRule type="containsText" dxfId="1403" priority="432" stopIfTrue="1" operator="containsText" text="(1)">
      <formula>NOT(ISERROR(SEARCH("(1)",W129)))</formula>
    </cfRule>
  </conditionalFormatting>
  <conditionalFormatting sqref="W130:AD130">
    <cfRule type="containsText" dxfId="1402" priority="427" stopIfTrue="1" operator="containsText" text="(3)">
      <formula>NOT(ISERROR(SEARCH("(3)",W130)))</formula>
    </cfRule>
    <cfRule type="containsText" dxfId="1401" priority="428" stopIfTrue="1" operator="containsText" text="(2)">
      <formula>NOT(ISERROR(SEARCH("(2)",W130)))</formula>
    </cfRule>
    <cfRule type="containsText" dxfId="1400" priority="429" stopIfTrue="1" operator="containsText" text="(1)">
      <formula>NOT(ISERROR(SEARCH("(1)",W130)))</formula>
    </cfRule>
  </conditionalFormatting>
  <conditionalFormatting sqref="W131:AD131">
    <cfRule type="containsText" dxfId="1399" priority="424" stopIfTrue="1" operator="containsText" text="(3)">
      <formula>NOT(ISERROR(SEARCH("(3)",W131)))</formula>
    </cfRule>
    <cfRule type="containsText" dxfId="1398" priority="425" stopIfTrue="1" operator="containsText" text="(2)">
      <formula>NOT(ISERROR(SEARCH("(2)",W131)))</formula>
    </cfRule>
    <cfRule type="containsText" dxfId="1397" priority="426" stopIfTrue="1" operator="containsText" text="(1)">
      <formula>NOT(ISERROR(SEARCH("(1)",W131)))</formula>
    </cfRule>
  </conditionalFormatting>
  <conditionalFormatting sqref="W132:AD132">
    <cfRule type="containsText" dxfId="1396" priority="421" stopIfTrue="1" operator="containsText" text="(3)">
      <formula>NOT(ISERROR(SEARCH("(3)",W132)))</formula>
    </cfRule>
    <cfRule type="containsText" dxfId="1395" priority="422" stopIfTrue="1" operator="containsText" text="(2)">
      <formula>NOT(ISERROR(SEARCH("(2)",W132)))</formula>
    </cfRule>
    <cfRule type="containsText" dxfId="1394" priority="423" stopIfTrue="1" operator="containsText" text="(1)">
      <formula>NOT(ISERROR(SEARCH("(1)",W132)))</formula>
    </cfRule>
  </conditionalFormatting>
  <conditionalFormatting sqref="W133:AD133">
    <cfRule type="containsText" dxfId="1393" priority="418" stopIfTrue="1" operator="containsText" text="(3)">
      <formula>NOT(ISERROR(SEARCH("(3)",W133)))</formula>
    </cfRule>
    <cfRule type="containsText" dxfId="1392" priority="419" stopIfTrue="1" operator="containsText" text="(2)">
      <formula>NOT(ISERROR(SEARCH("(2)",W133)))</formula>
    </cfRule>
    <cfRule type="containsText" dxfId="1391" priority="420" stopIfTrue="1" operator="containsText" text="(1)">
      <formula>NOT(ISERROR(SEARCH("(1)",W133)))</formula>
    </cfRule>
  </conditionalFormatting>
  <conditionalFormatting sqref="W134:AD134">
    <cfRule type="containsText" dxfId="1390" priority="415" stopIfTrue="1" operator="containsText" text="(3)">
      <formula>NOT(ISERROR(SEARCH("(3)",W134)))</formula>
    </cfRule>
    <cfRule type="containsText" dxfId="1389" priority="416" stopIfTrue="1" operator="containsText" text="(2)">
      <formula>NOT(ISERROR(SEARCH("(2)",W134)))</formula>
    </cfRule>
    <cfRule type="containsText" dxfId="1388" priority="417" stopIfTrue="1" operator="containsText" text="(1)">
      <formula>NOT(ISERROR(SEARCH("(1)",W134)))</formula>
    </cfRule>
  </conditionalFormatting>
  <conditionalFormatting sqref="W135:AD135">
    <cfRule type="containsText" dxfId="1387" priority="412" stopIfTrue="1" operator="containsText" text="(3)">
      <formula>NOT(ISERROR(SEARCH("(3)",W135)))</formula>
    </cfRule>
    <cfRule type="containsText" dxfId="1386" priority="413" stopIfTrue="1" operator="containsText" text="(2)">
      <formula>NOT(ISERROR(SEARCH("(2)",W135)))</formula>
    </cfRule>
    <cfRule type="containsText" dxfId="1385" priority="414" stopIfTrue="1" operator="containsText" text="(1)">
      <formula>NOT(ISERROR(SEARCH("(1)",W135)))</formula>
    </cfRule>
  </conditionalFormatting>
  <conditionalFormatting sqref="W136:AD136">
    <cfRule type="containsText" dxfId="1384" priority="409" stopIfTrue="1" operator="containsText" text="(3)">
      <formula>NOT(ISERROR(SEARCH("(3)",W136)))</formula>
    </cfRule>
    <cfRule type="containsText" dxfId="1383" priority="410" stopIfTrue="1" operator="containsText" text="(2)">
      <formula>NOT(ISERROR(SEARCH("(2)",W136)))</formula>
    </cfRule>
    <cfRule type="containsText" dxfId="1382" priority="411" stopIfTrue="1" operator="containsText" text="(1)">
      <formula>NOT(ISERROR(SEARCH("(1)",W136)))</formula>
    </cfRule>
  </conditionalFormatting>
  <conditionalFormatting sqref="W137:AD137">
    <cfRule type="containsText" dxfId="1381" priority="406" stopIfTrue="1" operator="containsText" text="(3)">
      <formula>NOT(ISERROR(SEARCH("(3)",W137)))</formula>
    </cfRule>
    <cfRule type="containsText" dxfId="1380" priority="407" stopIfTrue="1" operator="containsText" text="(2)">
      <formula>NOT(ISERROR(SEARCH("(2)",W137)))</formula>
    </cfRule>
    <cfRule type="containsText" dxfId="1379" priority="408" stopIfTrue="1" operator="containsText" text="(1)">
      <formula>NOT(ISERROR(SEARCH("(1)",W137)))</formula>
    </cfRule>
  </conditionalFormatting>
  <conditionalFormatting sqref="W138:AD138">
    <cfRule type="containsText" dxfId="1378" priority="403" stopIfTrue="1" operator="containsText" text="(3)">
      <formula>NOT(ISERROR(SEARCH("(3)",W138)))</formula>
    </cfRule>
    <cfRule type="containsText" dxfId="1377" priority="404" stopIfTrue="1" operator="containsText" text="(2)">
      <formula>NOT(ISERROR(SEARCH("(2)",W138)))</formula>
    </cfRule>
    <cfRule type="containsText" dxfId="1376" priority="405" stopIfTrue="1" operator="containsText" text="(1)">
      <formula>NOT(ISERROR(SEARCH("(1)",W138)))</formula>
    </cfRule>
  </conditionalFormatting>
  <conditionalFormatting sqref="W139:AD139">
    <cfRule type="containsText" dxfId="1375" priority="400" stopIfTrue="1" operator="containsText" text="(3)">
      <formula>NOT(ISERROR(SEARCH("(3)",W139)))</formula>
    </cfRule>
    <cfRule type="containsText" dxfId="1374" priority="401" stopIfTrue="1" operator="containsText" text="(2)">
      <formula>NOT(ISERROR(SEARCH("(2)",W139)))</formula>
    </cfRule>
    <cfRule type="containsText" dxfId="1373" priority="402" stopIfTrue="1" operator="containsText" text="(1)">
      <formula>NOT(ISERROR(SEARCH("(1)",W139)))</formula>
    </cfRule>
  </conditionalFormatting>
  <conditionalFormatting sqref="W140:AD140">
    <cfRule type="containsText" dxfId="1372" priority="397" stopIfTrue="1" operator="containsText" text="(3)">
      <formula>NOT(ISERROR(SEARCH("(3)",W140)))</formula>
    </cfRule>
    <cfRule type="containsText" dxfId="1371" priority="398" stopIfTrue="1" operator="containsText" text="(2)">
      <formula>NOT(ISERROR(SEARCH("(2)",W140)))</formula>
    </cfRule>
    <cfRule type="containsText" dxfId="1370" priority="399" stopIfTrue="1" operator="containsText" text="(1)">
      <formula>NOT(ISERROR(SEARCH("(1)",W140)))</formula>
    </cfRule>
  </conditionalFormatting>
  <conditionalFormatting sqref="W141:AD141">
    <cfRule type="containsText" dxfId="1369" priority="394" stopIfTrue="1" operator="containsText" text="(3)">
      <formula>NOT(ISERROR(SEARCH("(3)",W141)))</formula>
    </cfRule>
    <cfRule type="containsText" dxfId="1368" priority="395" stopIfTrue="1" operator="containsText" text="(2)">
      <formula>NOT(ISERROR(SEARCH("(2)",W141)))</formula>
    </cfRule>
    <cfRule type="containsText" dxfId="1367" priority="396" stopIfTrue="1" operator="containsText" text="(1)">
      <formula>NOT(ISERROR(SEARCH("(1)",W141)))</formula>
    </cfRule>
  </conditionalFormatting>
  <conditionalFormatting sqref="W142:AD142">
    <cfRule type="containsText" dxfId="1366" priority="391" stopIfTrue="1" operator="containsText" text="(3)">
      <formula>NOT(ISERROR(SEARCH("(3)",W142)))</formula>
    </cfRule>
    <cfRule type="containsText" dxfId="1365" priority="392" stopIfTrue="1" operator="containsText" text="(2)">
      <formula>NOT(ISERROR(SEARCH("(2)",W142)))</formula>
    </cfRule>
    <cfRule type="containsText" dxfId="1364" priority="393" stopIfTrue="1" operator="containsText" text="(1)">
      <formula>NOT(ISERROR(SEARCH("(1)",W142)))</formula>
    </cfRule>
  </conditionalFormatting>
  <conditionalFormatting sqref="W143:AD143">
    <cfRule type="containsText" dxfId="1363" priority="388" stopIfTrue="1" operator="containsText" text="(3)">
      <formula>NOT(ISERROR(SEARCH("(3)",W143)))</formula>
    </cfRule>
    <cfRule type="containsText" dxfId="1362" priority="389" stopIfTrue="1" operator="containsText" text="(2)">
      <formula>NOT(ISERROR(SEARCH("(2)",W143)))</formula>
    </cfRule>
    <cfRule type="containsText" dxfId="1361" priority="390" stopIfTrue="1" operator="containsText" text="(1)">
      <formula>NOT(ISERROR(SEARCH("(1)",W143)))</formula>
    </cfRule>
  </conditionalFormatting>
  <conditionalFormatting sqref="W144:AD144">
    <cfRule type="containsText" dxfId="1360" priority="385" stopIfTrue="1" operator="containsText" text="(3)">
      <formula>NOT(ISERROR(SEARCH("(3)",W144)))</formula>
    </cfRule>
    <cfRule type="containsText" dxfId="1359" priority="386" stopIfTrue="1" operator="containsText" text="(2)">
      <formula>NOT(ISERROR(SEARCH("(2)",W144)))</formula>
    </cfRule>
    <cfRule type="containsText" dxfId="1358" priority="387" stopIfTrue="1" operator="containsText" text="(1)">
      <formula>NOT(ISERROR(SEARCH("(1)",W144)))</formula>
    </cfRule>
  </conditionalFormatting>
  <conditionalFormatting sqref="W145:AD145">
    <cfRule type="containsText" dxfId="1357" priority="382" stopIfTrue="1" operator="containsText" text="(3)">
      <formula>NOT(ISERROR(SEARCH("(3)",W145)))</formula>
    </cfRule>
    <cfRule type="containsText" dxfId="1356" priority="383" stopIfTrue="1" operator="containsText" text="(2)">
      <formula>NOT(ISERROR(SEARCH("(2)",W145)))</formula>
    </cfRule>
    <cfRule type="containsText" dxfId="1355" priority="384" stopIfTrue="1" operator="containsText" text="(1)">
      <formula>NOT(ISERROR(SEARCH("(1)",W145)))</formula>
    </cfRule>
  </conditionalFormatting>
  <conditionalFormatting sqref="W146:AD146">
    <cfRule type="containsText" dxfId="1354" priority="379" stopIfTrue="1" operator="containsText" text="(3)">
      <formula>NOT(ISERROR(SEARCH("(3)",W146)))</formula>
    </cfRule>
    <cfRule type="containsText" dxfId="1353" priority="380" stopIfTrue="1" operator="containsText" text="(2)">
      <formula>NOT(ISERROR(SEARCH("(2)",W146)))</formula>
    </cfRule>
    <cfRule type="containsText" dxfId="1352" priority="381" stopIfTrue="1" operator="containsText" text="(1)">
      <formula>NOT(ISERROR(SEARCH("(1)",W146)))</formula>
    </cfRule>
  </conditionalFormatting>
  <conditionalFormatting sqref="W147:AD147">
    <cfRule type="containsText" dxfId="1351" priority="376" stopIfTrue="1" operator="containsText" text="(3)">
      <formula>NOT(ISERROR(SEARCH("(3)",W147)))</formula>
    </cfRule>
    <cfRule type="containsText" dxfId="1350" priority="377" stopIfTrue="1" operator="containsText" text="(2)">
      <formula>NOT(ISERROR(SEARCH("(2)",W147)))</formula>
    </cfRule>
    <cfRule type="containsText" dxfId="1349" priority="378" stopIfTrue="1" operator="containsText" text="(1)">
      <formula>NOT(ISERROR(SEARCH("(1)",W147)))</formula>
    </cfRule>
  </conditionalFormatting>
  <conditionalFormatting sqref="W148:AD148">
    <cfRule type="containsText" dxfId="1348" priority="373" stopIfTrue="1" operator="containsText" text="(3)">
      <formula>NOT(ISERROR(SEARCH("(3)",W148)))</formula>
    </cfRule>
    <cfRule type="containsText" dxfId="1347" priority="374" stopIfTrue="1" operator="containsText" text="(2)">
      <formula>NOT(ISERROR(SEARCH("(2)",W148)))</formula>
    </cfRule>
    <cfRule type="containsText" dxfId="1346" priority="375" stopIfTrue="1" operator="containsText" text="(1)">
      <formula>NOT(ISERROR(SEARCH("(1)",W148)))</formula>
    </cfRule>
  </conditionalFormatting>
  <conditionalFormatting sqref="W149:AD149">
    <cfRule type="containsText" dxfId="1345" priority="370" stopIfTrue="1" operator="containsText" text="(3)">
      <formula>NOT(ISERROR(SEARCH("(3)",W149)))</formula>
    </cfRule>
    <cfRule type="containsText" dxfId="1344" priority="371" stopIfTrue="1" operator="containsText" text="(2)">
      <formula>NOT(ISERROR(SEARCH("(2)",W149)))</formula>
    </cfRule>
    <cfRule type="containsText" dxfId="1343" priority="372" stopIfTrue="1" operator="containsText" text="(1)">
      <formula>NOT(ISERROR(SEARCH("(1)",W149)))</formula>
    </cfRule>
  </conditionalFormatting>
  <conditionalFormatting sqref="W150:AD150">
    <cfRule type="containsText" dxfId="1342" priority="367" stopIfTrue="1" operator="containsText" text="(3)">
      <formula>NOT(ISERROR(SEARCH("(3)",W150)))</formula>
    </cfRule>
    <cfRule type="containsText" dxfId="1341" priority="368" stopIfTrue="1" operator="containsText" text="(2)">
      <formula>NOT(ISERROR(SEARCH("(2)",W150)))</formula>
    </cfRule>
    <cfRule type="containsText" dxfId="1340" priority="369" stopIfTrue="1" operator="containsText" text="(1)">
      <formula>NOT(ISERROR(SEARCH("(1)",W150)))</formula>
    </cfRule>
  </conditionalFormatting>
  <conditionalFormatting sqref="W151:AD151">
    <cfRule type="containsText" dxfId="1339" priority="364" stopIfTrue="1" operator="containsText" text="(3)">
      <formula>NOT(ISERROR(SEARCH("(3)",W151)))</formula>
    </cfRule>
    <cfRule type="containsText" dxfId="1338" priority="365" stopIfTrue="1" operator="containsText" text="(2)">
      <formula>NOT(ISERROR(SEARCH("(2)",W151)))</formula>
    </cfRule>
    <cfRule type="containsText" dxfId="1337" priority="366" stopIfTrue="1" operator="containsText" text="(1)">
      <formula>NOT(ISERROR(SEARCH("(1)",W151)))</formula>
    </cfRule>
  </conditionalFormatting>
  <conditionalFormatting sqref="W152:AD152">
    <cfRule type="containsText" dxfId="1336" priority="361" stopIfTrue="1" operator="containsText" text="(3)">
      <formula>NOT(ISERROR(SEARCH("(3)",W152)))</formula>
    </cfRule>
    <cfRule type="containsText" dxfId="1335" priority="362" stopIfTrue="1" operator="containsText" text="(2)">
      <formula>NOT(ISERROR(SEARCH("(2)",W152)))</formula>
    </cfRule>
    <cfRule type="containsText" dxfId="1334" priority="363" stopIfTrue="1" operator="containsText" text="(1)">
      <formula>NOT(ISERROR(SEARCH("(1)",W152)))</formula>
    </cfRule>
  </conditionalFormatting>
  <conditionalFormatting sqref="W153:AD153">
    <cfRule type="containsText" dxfId="1333" priority="358" stopIfTrue="1" operator="containsText" text="(3)">
      <formula>NOT(ISERROR(SEARCH("(3)",W153)))</formula>
    </cfRule>
    <cfRule type="containsText" dxfId="1332" priority="359" stopIfTrue="1" operator="containsText" text="(2)">
      <formula>NOT(ISERROR(SEARCH("(2)",W153)))</formula>
    </cfRule>
    <cfRule type="containsText" dxfId="1331" priority="360" stopIfTrue="1" operator="containsText" text="(1)">
      <formula>NOT(ISERROR(SEARCH("(1)",W153)))</formula>
    </cfRule>
  </conditionalFormatting>
  <conditionalFormatting sqref="W154:AD154">
    <cfRule type="containsText" dxfId="1330" priority="355" stopIfTrue="1" operator="containsText" text="(3)">
      <formula>NOT(ISERROR(SEARCH("(3)",W154)))</formula>
    </cfRule>
    <cfRule type="containsText" dxfId="1329" priority="356" stopIfTrue="1" operator="containsText" text="(2)">
      <formula>NOT(ISERROR(SEARCH("(2)",W154)))</formula>
    </cfRule>
    <cfRule type="containsText" dxfId="1328" priority="357" stopIfTrue="1" operator="containsText" text="(1)">
      <formula>NOT(ISERROR(SEARCH("(1)",W154)))</formula>
    </cfRule>
  </conditionalFormatting>
  <conditionalFormatting sqref="W155:AD155">
    <cfRule type="containsText" dxfId="1327" priority="352" stopIfTrue="1" operator="containsText" text="(3)">
      <formula>NOT(ISERROR(SEARCH("(3)",W155)))</formula>
    </cfRule>
    <cfRule type="containsText" dxfId="1326" priority="353" stopIfTrue="1" operator="containsText" text="(2)">
      <formula>NOT(ISERROR(SEARCH("(2)",W155)))</formula>
    </cfRule>
    <cfRule type="containsText" dxfId="1325" priority="354" stopIfTrue="1" operator="containsText" text="(1)">
      <formula>NOT(ISERROR(SEARCH("(1)",W155)))</formula>
    </cfRule>
  </conditionalFormatting>
  <conditionalFormatting sqref="W156:AD156">
    <cfRule type="containsText" dxfId="1324" priority="349" stopIfTrue="1" operator="containsText" text="(3)">
      <formula>NOT(ISERROR(SEARCH("(3)",W156)))</formula>
    </cfRule>
    <cfRule type="containsText" dxfId="1323" priority="350" stopIfTrue="1" operator="containsText" text="(2)">
      <formula>NOT(ISERROR(SEARCH("(2)",W156)))</formula>
    </cfRule>
    <cfRule type="containsText" dxfId="1322" priority="351" stopIfTrue="1" operator="containsText" text="(1)">
      <formula>NOT(ISERROR(SEARCH("(1)",W156)))</formula>
    </cfRule>
  </conditionalFormatting>
  <conditionalFormatting sqref="W157:AD157">
    <cfRule type="containsText" dxfId="1321" priority="346" stopIfTrue="1" operator="containsText" text="(3)">
      <formula>NOT(ISERROR(SEARCH("(3)",W157)))</formula>
    </cfRule>
    <cfRule type="containsText" dxfId="1320" priority="347" stopIfTrue="1" operator="containsText" text="(2)">
      <formula>NOT(ISERROR(SEARCH("(2)",W157)))</formula>
    </cfRule>
    <cfRule type="containsText" dxfId="1319" priority="348" stopIfTrue="1" operator="containsText" text="(1)">
      <formula>NOT(ISERROR(SEARCH("(1)",W157)))</formula>
    </cfRule>
  </conditionalFormatting>
  <conditionalFormatting sqref="W158:AD158">
    <cfRule type="containsText" dxfId="1318" priority="343" stopIfTrue="1" operator="containsText" text="(3)">
      <formula>NOT(ISERROR(SEARCH("(3)",W158)))</formula>
    </cfRule>
    <cfRule type="containsText" dxfId="1317" priority="344" stopIfTrue="1" operator="containsText" text="(2)">
      <formula>NOT(ISERROR(SEARCH("(2)",W158)))</formula>
    </cfRule>
    <cfRule type="containsText" dxfId="1316" priority="345" stopIfTrue="1" operator="containsText" text="(1)">
      <formula>NOT(ISERROR(SEARCH("(1)",W158)))</formula>
    </cfRule>
  </conditionalFormatting>
  <conditionalFormatting sqref="W159:AD159">
    <cfRule type="containsText" dxfId="1315" priority="340" stopIfTrue="1" operator="containsText" text="(3)">
      <formula>NOT(ISERROR(SEARCH("(3)",W159)))</formula>
    </cfRule>
    <cfRule type="containsText" dxfId="1314" priority="341" stopIfTrue="1" operator="containsText" text="(2)">
      <formula>NOT(ISERROR(SEARCH("(2)",W159)))</formula>
    </cfRule>
    <cfRule type="containsText" dxfId="1313" priority="342" stopIfTrue="1" operator="containsText" text="(1)">
      <formula>NOT(ISERROR(SEARCH("(1)",W159)))</formula>
    </cfRule>
  </conditionalFormatting>
  <conditionalFormatting sqref="W160:AD160">
    <cfRule type="containsText" dxfId="1312" priority="337" stopIfTrue="1" operator="containsText" text="(3)">
      <formula>NOT(ISERROR(SEARCH("(3)",W160)))</formula>
    </cfRule>
    <cfRule type="containsText" dxfId="1311" priority="338" stopIfTrue="1" operator="containsText" text="(2)">
      <formula>NOT(ISERROR(SEARCH("(2)",W160)))</formula>
    </cfRule>
    <cfRule type="containsText" dxfId="1310" priority="339" stopIfTrue="1" operator="containsText" text="(1)">
      <formula>NOT(ISERROR(SEARCH("(1)",W160)))</formula>
    </cfRule>
  </conditionalFormatting>
  <conditionalFormatting sqref="W161:AD161">
    <cfRule type="containsText" dxfId="1309" priority="334" stopIfTrue="1" operator="containsText" text="(3)">
      <formula>NOT(ISERROR(SEARCH("(3)",W161)))</formula>
    </cfRule>
    <cfRule type="containsText" dxfId="1308" priority="335" stopIfTrue="1" operator="containsText" text="(2)">
      <formula>NOT(ISERROR(SEARCH("(2)",W161)))</formula>
    </cfRule>
    <cfRule type="containsText" dxfId="1307" priority="336" stopIfTrue="1" operator="containsText" text="(1)">
      <formula>NOT(ISERROR(SEARCH("(1)",W161)))</formula>
    </cfRule>
  </conditionalFormatting>
  <conditionalFormatting sqref="W162:AD162">
    <cfRule type="containsText" dxfId="1306" priority="331" stopIfTrue="1" operator="containsText" text="(3)">
      <formula>NOT(ISERROR(SEARCH("(3)",W162)))</formula>
    </cfRule>
    <cfRule type="containsText" dxfId="1305" priority="332" stopIfTrue="1" operator="containsText" text="(2)">
      <formula>NOT(ISERROR(SEARCH("(2)",W162)))</formula>
    </cfRule>
    <cfRule type="containsText" dxfId="1304" priority="333" stopIfTrue="1" operator="containsText" text="(1)">
      <formula>NOT(ISERROR(SEARCH("(1)",W162)))</formula>
    </cfRule>
  </conditionalFormatting>
  <conditionalFormatting sqref="W163:AD163">
    <cfRule type="containsText" dxfId="1303" priority="328" stopIfTrue="1" operator="containsText" text="(3)">
      <formula>NOT(ISERROR(SEARCH("(3)",W163)))</formula>
    </cfRule>
    <cfRule type="containsText" dxfId="1302" priority="329" stopIfTrue="1" operator="containsText" text="(2)">
      <formula>NOT(ISERROR(SEARCH("(2)",W163)))</formula>
    </cfRule>
    <cfRule type="containsText" dxfId="1301" priority="330" stopIfTrue="1" operator="containsText" text="(1)">
      <formula>NOT(ISERROR(SEARCH("(1)",W163)))</formula>
    </cfRule>
  </conditionalFormatting>
  <conditionalFormatting sqref="W164:AD164">
    <cfRule type="containsText" dxfId="1300" priority="325" stopIfTrue="1" operator="containsText" text="(3)">
      <formula>NOT(ISERROR(SEARCH("(3)",W164)))</formula>
    </cfRule>
    <cfRule type="containsText" dxfId="1299" priority="326" stopIfTrue="1" operator="containsText" text="(2)">
      <formula>NOT(ISERROR(SEARCH("(2)",W164)))</formula>
    </cfRule>
    <cfRule type="containsText" dxfId="1298" priority="327" stopIfTrue="1" operator="containsText" text="(1)">
      <formula>NOT(ISERROR(SEARCH("(1)",W164)))</formula>
    </cfRule>
  </conditionalFormatting>
  <conditionalFormatting sqref="W165:AD165">
    <cfRule type="containsText" dxfId="1297" priority="322" stopIfTrue="1" operator="containsText" text="(3)">
      <formula>NOT(ISERROR(SEARCH("(3)",W165)))</formula>
    </cfRule>
    <cfRule type="containsText" dxfId="1296" priority="323" stopIfTrue="1" operator="containsText" text="(2)">
      <formula>NOT(ISERROR(SEARCH("(2)",W165)))</formula>
    </cfRule>
    <cfRule type="containsText" dxfId="1295" priority="324" stopIfTrue="1" operator="containsText" text="(1)">
      <formula>NOT(ISERROR(SEARCH("(1)",W165)))</formula>
    </cfRule>
  </conditionalFormatting>
  <conditionalFormatting sqref="W166:AD166">
    <cfRule type="containsText" dxfId="1294" priority="319" stopIfTrue="1" operator="containsText" text="(3)">
      <formula>NOT(ISERROR(SEARCH("(3)",W166)))</formula>
    </cfRule>
    <cfRule type="containsText" dxfId="1293" priority="320" stopIfTrue="1" operator="containsText" text="(2)">
      <formula>NOT(ISERROR(SEARCH("(2)",W166)))</formula>
    </cfRule>
    <cfRule type="containsText" dxfId="1292" priority="321" stopIfTrue="1" operator="containsText" text="(1)">
      <formula>NOT(ISERROR(SEARCH("(1)",W166)))</formula>
    </cfRule>
  </conditionalFormatting>
  <conditionalFormatting sqref="W167:AD167">
    <cfRule type="containsText" dxfId="1291" priority="316" stopIfTrue="1" operator="containsText" text="(3)">
      <formula>NOT(ISERROR(SEARCH("(3)",W167)))</formula>
    </cfRule>
    <cfRule type="containsText" dxfId="1290" priority="317" stopIfTrue="1" operator="containsText" text="(2)">
      <formula>NOT(ISERROR(SEARCH("(2)",W167)))</formula>
    </cfRule>
    <cfRule type="containsText" dxfId="1289" priority="318" stopIfTrue="1" operator="containsText" text="(1)">
      <formula>NOT(ISERROR(SEARCH("(1)",W167)))</formula>
    </cfRule>
  </conditionalFormatting>
  <conditionalFormatting sqref="W168:AD168">
    <cfRule type="containsText" dxfId="1288" priority="313" stopIfTrue="1" operator="containsText" text="(3)">
      <formula>NOT(ISERROR(SEARCH("(3)",W168)))</formula>
    </cfRule>
    <cfRule type="containsText" dxfId="1287" priority="314" stopIfTrue="1" operator="containsText" text="(2)">
      <formula>NOT(ISERROR(SEARCH("(2)",W168)))</formula>
    </cfRule>
    <cfRule type="containsText" dxfId="1286" priority="315" stopIfTrue="1" operator="containsText" text="(1)">
      <formula>NOT(ISERROR(SEARCH("(1)",W168)))</formula>
    </cfRule>
  </conditionalFormatting>
  <conditionalFormatting sqref="W169:AD169">
    <cfRule type="containsText" dxfId="1285" priority="310" stopIfTrue="1" operator="containsText" text="(3)">
      <formula>NOT(ISERROR(SEARCH("(3)",W169)))</formula>
    </cfRule>
    <cfRule type="containsText" dxfId="1284" priority="311" stopIfTrue="1" operator="containsText" text="(2)">
      <formula>NOT(ISERROR(SEARCH("(2)",W169)))</formula>
    </cfRule>
    <cfRule type="containsText" dxfId="1283" priority="312" stopIfTrue="1" operator="containsText" text="(1)">
      <formula>NOT(ISERROR(SEARCH("(1)",W169)))</formula>
    </cfRule>
  </conditionalFormatting>
  <conditionalFormatting sqref="W170:AD170">
    <cfRule type="containsText" dxfId="1282" priority="307" stopIfTrue="1" operator="containsText" text="(3)">
      <formula>NOT(ISERROR(SEARCH("(3)",W170)))</formula>
    </cfRule>
    <cfRule type="containsText" dxfId="1281" priority="308" stopIfTrue="1" operator="containsText" text="(2)">
      <formula>NOT(ISERROR(SEARCH("(2)",W170)))</formula>
    </cfRule>
    <cfRule type="containsText" dxfId="1280" priority="309" stopIfTrue="1" operator="containsText" text="(1)">
      <formula>NOT(ISERROR(SEARCH("(1)",W170)))</formula>
    </cfRule>
  </conditionalFormatting>
  <conditionalFormatting sqref="W171:AD171">
    <cfRule type="containsText" dxfId="1279" priority="304" stopIfTrue="1" operator="containsText" text="(3)">
      <formula>NOT(ISERROR(SEARCH("(3)",W171)))</formula>
    </cfRule>
    <cfRule type="containsText" dxfId="1278" priority="305" stopIfTrue="1" operator="containsText" text="(2)">
      <formula>NOT(ISERROR(SEARCH("(2)",W171)))</formula>
    </cfRule>
    <cfRule type="containsText" dxfId="1277" priority="306" stopIfTrue="1" operator="containsText" text="(1)">
      <formula>NOT(ISERROR(SEARCH("(1)",W171)))</formula>
    </cfRule>
  </conditionalFormatting>
  <conditionalFormatting sqref="W172:AD172">
    <cfRule type="containsText" dxfId="1276" priority="301" stopIfTrue="1" operator="containsText" text="(3)">
      <formula>NOT(ISERROR(SEARCH("(3)",W172)))</formula>
    </cfRule>
    <cfRule type="containsText" dxfId="1275" priority="302" stopIfTrue="1" operator="containsText" text="(2)">
      <formula>NOT(ISERROR(SEARCH("(2)",W172)))</formula>
    </cfRule>
    <cfRule type="containsText" dxfId="1274" priority="303" stopIfTrue="1" operator="containsText" text="(1)">
      <formula>NOT(ISERROR(SEARCH("(1)",W172)))</formula>
    </cfRule>
  </conditionalFormatting>
  <conditionalFormatting sqref="W173:AD173">
    <cfRule type="containsText" dxfId="1273" priority="298" stopIfTrue="1" operator="containsText" text="(3)">
      <formula>NOT(ISERROR(SEARCH("(3)",W173)))</formula>
    </cfRule>
    <cfRule type="containsText" dxfId="1272" priority="299" stopIfTrue="1" operator="containsText" text="(2)">
      <formula>NOT(ISERROR(SEARCH("(2)",W173)))</formula>
    </cfRule>
    <cfRule type="containsText" dxfId="1271" priority="300" stopIfTrue="1" operator="containsText" text="(1)">
      <formula>NOT(ISERROR(SEARCH("(1)",W173)))</formula>
    </cfRule>
  </conditionalFormatting>
  <conditionalFormatting sqref="W174:AD174">
    <cfRule type="containsText" dxfId="1270" priority="295" stopIfTrue="1" operator="containsText" text="(3)">
      <formula>NOT(ISERROR(SEARCH("(3)",W174)))</formula>
    </cfRule>
    <cfRule type="containsText" dxfId="1269" priority="296" stopIfTrue="1" operator="containsText" text="(2)">
      <formula>NOT(ISERROR(SEARCH("(2)",W174)))</formula>
    </cfRule>
    <cfRule type="containsText" dxfId="1268" priority="297" stopIfTrue="1" operator="containsText" text="(1)">
      <formula>NOT(ISERROR(SEARCH("(1)",W174)))</formula>
    </cfRule>
  </conditionalFormatting>
  <conditionalFormatting sqref="W175:AD175">
    <cfRule type="containsText" dxfId="1267" priority="292" stopIfTrue="1" operator="containsText" text="(3)">
      <formula>NOT(ISERROR(SEARCH("(3)",W175)))</formula>
    </cfRule>
    <cfRule type="containsText" dxfId="1266" priority="293" stopIfTrue="1" operator="containsText" text="(2)">
      <formula>NOT(ISERROR(SEARCH("(2)",W175)))</formula>
    </cfRule>
    <cfRule type="containsText" dxfId="1265" priority="294" stopIfTrue="1" operator="containsText" text="(1)">
      <formula>NOT(ISERROR(SEARCH("(1)",W175)))</formula>
    </cfRule>
  </conditionalFormatting>
  <conditionalFormatting sqref="W176:AD176">
    <cfRule type="containsText" dxfId="1264" priority="289" stopIfTrue="1" operator="containsText" text="(3)">
      <formula>NOT(ISERROR(SEARCH("(3)",W176)))</formula>
    </cfRule>
    <cfRule type="containsText" dxfId="1263" priority="290" stopIfTrue="1" operator="containsText" text="(2)">
      <formula>NOT(ISERROR(SEARCH("(2)",W176)))</formula>
    </cfRule>
    <cfRule type="containsText" dxfId="1262" priority="291" stopIfTrue="1" operator="containsText" text="(1)">
      <formula>NOT(ISERROR(SEARCH("(1)",W176)))</formula>
    </cfRule>
  </conditionalFormatting>
  <conditionalFormatting sqref="W177:AD177">
    <cfRule type="containsText" dxfId="1261" priority="286" stopIfTrue="1" operator="containsText" text="(3)">
      <formula>NOT(ISERROR(SEARCH("(3)",W177)))</formula>
    </cfRule>
    <cfRule type="containsText" dxfId="1260" priority="287" stopIfTrue="1" operator="containsText" text="(2)">
      <formula>NOT(ISERROR(SEARCH("(2)",W177)))</formula>
    </cfRule>
    <cfRule type="containsText" dxfId="1259" priority="288" stopIfTrue="1" operator="containsText" text="(1)">
      <formula>NOT(ISERROR(SEARCH("(1)",W177)))</formula>
    </cfRule>
  </conditionalFormatting>
  <conditionalFormatting sqref="W178:AD178">
    <cfRule type="containsText" dxfId="1258" priority="283" stopIfTrue="1" operator="containsText" text="(3)">
      <formula>NOT(ISERROR(SEARCH("(3)",W178)))</formula>
    </cfRule>
    <cfRule type="containsText" dxfId="1257" priority="284" stopIfTrue="1" operator="containsText" text="(2)">
      <formula>NOT(ISERROR(SEARCH("(2)",W178)))</formula>
    </cfRule>
    <cfRule type="containsText" dxfId="1256" priority="285" stopIfTrue="1" operator="containsText" text="(1)">
      <formula>NOT(ISERROR(SEARCH("(1)",W178)))</formula>
    </cfRule>
  </conditionalFormatting>
  <conditionalFormatting sqref="W179:AD179">
    <cfRule type="containsText" dxfId="1255" priority="280" stopIfTrue="1" operator="containsText" text="(3)">
      <formula>NOT(ISERROR(SEARCH("(3)",W179)))</formula>
    </cfRule>
    <cfRule type="containsText" dxfId="1254" priority="281" stopIfTrue="1" operator="containsText" text="(2)">
      <formula>NOT(ISERROR(SEARCH("(2)",W179)))</formula>
    </cfRule>
    <cfRule type="containsText" dxfId="1253" priority="282" stopIfTrue="1" operator="containsText" text="(1)">
      <formula>NOT(ISERROR(SEARCH("(1)",W179)))</formula>
    </cfRule>
  </conditionalFormatting>
  <conditionalFormatting sqref="W180:AD180">
    <cfRule type="containsText" dxfId="1252" priority="277" stopIfTrue="1" operator="containsText" text="(3)">
      <formula>NOT(ISERROR(SEARCH("(3)",W180)))</formula>
    </cfRule>
    <cfRule type="containsText" dxfId="1251" priority="278" stopIfTrue="1" operator="containsText" text="(2)">
      <formula>NOT(ISERROR(SEARCH("(2)",W180)))</formula>
    </cfRule>
    <cfRule type="containsText" dxfId="1250" priority="279" stopIfTrue="1" operator="containsText" text="(1)">
      <formula>NOT(ISERROR(SEARCH("(1)",W180)))</formula>
    </cfRule>
  </conditionalFormatting>
  <conditionalFormatting sqref="W181:AD181">
    <cfRule type="containsText" dxfId="1249" priority="274" stopIfTrue="1" operator="containsText" text="(3)">
      <formula>NOT(ISERROR(SEARCH("(3)",W181)))</formula>
    </cfRule>
    <cfRule type="containsText" dxfId="1248" priority="275" stopIfTrue="1" operator="containsText" text="(2)">
      <formula>NOT(ISERROR(SEARCH("(2)",W181)))</formula>
    </cfRule>
    <cfRule type="containsText" dxfId="1247" priority="276" stopIfTrue="1" operator="containsText" text="(1)">
      <formula>NOT(ISERROR(SEARCH("(1)",W181)))</formula>
    </cfRule>
  </conditionalFormatting>
  <conditionalFormatting sqref="W182:AD182">
    <cfRule type="containsText" dxfId="1246" priority="271" stopIfTrue="1" operator="containsText" text="(3)">
      <formula>NOT(ISERROR(SEARCH("(3)",W182)))</formula>
    </cfRule>
    <cfRule type="containsText" dxfId="1245" priority="272" stopIfTrue="1" operator="containsText" text="(2)">
      <formula>NOT(ISERROR(SEARCH("(2)",W182)))</formula>
    </cfRule>
    <cfRule type="containsText" dxfId="1244" priority="273" stopIfTrue="1" operator="containsText" text="(1)">
      <formula>NOT(ISERROR(SEARCH("(1)",W182)))</formula>
    </cfRule>
  </conditionalFormatting>
  <conditionalFormatting sqref="W183:AD183">
    <cfRule type="containsText" dxfId="1243" priority="268" stopIfTrue="1" operator="containsText" text="(3)">
      <formula>NOT(ISERROR(SEARCH("(3)",W183)))</formula>
    </cfRule>
    <cfRule type="containsText" dxfId="1242" priority="269" stopIfTrue="1" operator="containsText" text="(2)">
      <formula>NOT(ISERROR(SEARCH("(2)",W183)))</formula>
    </cfRule>
    <cfRule type="containsText" dxfId="1241" priority="270" stopIfTrue="1" operator="containsText" text="(1)">
      <formula>NOT(ISERROR(SEARCH("(1)",W183)))</formula>
    </cfRule>
  </conditionalFormatting>
  <conditionalFormatting sqref="W184:AD184">
    <cfRule type="containsText" dxfId="1240" priority="265" stopIfTrue="1" operator="containsText" text="(3)">
      <formula>NOT(ISERROR(SEARCH("(3)",W184)))</formula>
    </cfRule>
    <cfRule type="containsText" dxfId="1239" priority="266" stopIfTrue="1" operator="containsText" text="(2)">
      <formula>NOT(ISERROR(SEARCH("(2)",W184)))</formula>
    </cfRule>
    <cfRule type="containsText" dxfId="1238" priority="267" stopIfTrue="1" operator="containsText" text="(1)">
      <formula>NOT(ISERROR(SEARCH("(1)",W184)))</formula>
    </cfRule>
  </conditionalFormatting>
  <conditionalFormatting sqref="W185:AD185">
    <cfRule type="containsText" dxfId="1237" priority="262" stopIfTrue="1" operator="containsText" text="(3)">
      <formula>NOT(ISERROR(SEARCH("(3)",W185)))</formula>
    </cfRule>
    <cfRule type="containsText" dxfId="1236" priority="263" stopIfTrue="1" operator="containsText" text="(2)">
      <formula>NOT(ISERROR(SEARCH("(2)",W185)))</formula>
    </cfRule>
    <cfRule type="containsText" dxfId="1235" priority="264" stopIfTrue="1" operator="containsText" text="(1)">
      <formula>NOT(ISERROR(SEARCH("(1)",W185)))</formula>
    </cfRule>
  </conditionalFormatting>
  <conditionalFormatting sqref="W186:AD186">
    <cfRule type="containsText" dxfId="1234" priority="259" stopIfTrue="1" operator="containsText" text="(3)">
      <formula>NOT(ISERROR(SEARCH("(3)",W186)))</formula>
    </cfRule>
    <cfRule type="containsText" dxfId="1233" priority="260" stopIfTrue="1" operator="containsText" text="(2)">
      <formula>NOT(ISERROR(SEARCH("(2)",W186)))</formula>
    </cfRule>
    <cfRule type="containsText" dxfId="1232" priority="261" stopIfTrue="1" operator="containsText" text="(1)">
      <formula>NOT(ISERROR(SEARCH("(1)",W186)))</formula>
    </cfRule>
  </conditionalFormatting>
  <conditionalFormatting sqref="W187:AD187">
    <cfRule type="containsText" dxfId="1231" priority="256" stopIfTrue="1" operator="containsText" text="(3)">
      <formula>NOT(ISERROR(SEARCH("(3)",W187)))</formula>
    </cfRule>
    <cfRule type="containsText" dxfId="1230" priority="257" stopIfTrue="1" operator="containsText" text="(2)">
      <formula>NOT(ISERROR(SEARCH("(2)",W187)))</formula>
    </cfRule>
    <cfRule type="containsText" dxfId="1229" priority="258" stopIfTrue="1" operator="containsText" text="(1)">
      <formula>NOT(ISERROR(SEARCH("(1)",W187)))</formula>
    </cfRule>
  </conditionalFormatting>
  <conditionalFormatting sqref="W188:AD188">
    <cfRule type="containsText" dxfId="1228" priority="253" stopIfTrue="1" operator="containsText" text="(3)">
      <formula>NOT(ISERROR(SEARCH("(3)",W188)))</formula>
    </cfRule>
    <cfRule type="containsText" dxfId="1227" priority="254" stopIfTrue="1" operator="containsText" text="(2)">
      <formula>NOT(ISERROR(SEARCH("(2)",W188)))</formula>
    </cfRule>
    <cfRule type="containsText" dxfId="1226" priority="255" stopIfTrue="1" operator="containsText" text="(1)">
      <formula>NOT(ISERROR(SEARCH("(1)",W188)))</formula>
    </cfRule>
  </conditionalFormatting>
  <conditionalFormatting sqref="W189:AD189">
    <cfRule type="containsText" dxfId="1225" priority="250" stopIfTrue="1" operator="containsText" text="(3)">
      <formula>NOT(ISERROR(SEARCH("(3)",W189)))</formula>
    </cfRule>
    <cfRule type="containsText" dxfId="1224" priority="251" stopIfTrue="1" operator="containsText" text="(2)">
      <formula>NOT(ISERROR(SEARCH("(2)",W189)))</formula>
    </cfRule>
    <cfRule type="containsText" dxfId="1223" priority="252" stopIfTrue="1" operator="containsText" text="(1)">
      <formula>NOT(ISERROR(SEARCH("(1)",W189)))</formula>
    </cfRule>
  </conditionalFormatting>
  <conditionalFormatting sqref="W190:AD190">
    <cfRule type="containsText" dxfId="1222" priority="247" stopIfTrue="1" operator="containsText" text="(3)">
      <formula>NOT(ISERROR(SEARCH("(3)",W190)))</formula>
    </cfRule>
    <cfRule type="containsText" dxfId="1221" priority="248" stopIfTrue="1" operator="containsText" text="(2)">
      <formula>NOT(ISERROR(SEARCH("(2)",W190)))</formula>
    </cfRule>
    <cfRule type="containsText" dxfId="1220" priority="249" stopIfTrue="1" operator="containsText" text="(1)">
      <formula>NOT(ISERROR(SEARCH("(1)",W190)))</formula>
    </cfRule>
  </conditionalFormatting>
  <conditionalFormatting sqref="W191:AD191">
    <cfRule type="containsText" dxfId="1219" priority="244" stopIfTrue="1" operator="containsText" text="(3)">
      <formula>NOT(ISERROR(SEARCH("(3)",W191)))</formula>
    </cfRule>
    <cfRule type="containsText" dxfId="1218" priority="245" stopIfTrue="1" operator="containsText" text="(2)">
      <formula>NOT(ISERROR(SEARCH("(2)",W191)))</formula>
    </cfRule>
    <cfRule type="containsText" dxfId="1217" priority="246" stopIfTrue="1" operator="containsText" text="(1)">
      <formula>NOT(ISERROR(SEARCH("(1)",W191)))</formula>
    </cfRule>
  </conditionalFormatting>
  <conditionalFormatting sqref="W192:AD192">
    <cfRule type="containsText" dxfId="1216" priority="241" stopIfTrue="1" operator="containsText" text="(3)">
      <formula>NOT(ISERROR(SEARCH("(3)",W192)))</formula>
    </cfRule>
    <cfRule type="containsText" dxfId="1215" priority="242" stopIfTrue="1" operator="containsText" text="(2)">
      <formula>NOT(ISERROR(SEARCH("(2)",W192)))</formula>
    </cfRule>
    <cfRule type="containsText" dxfId="1214" priority="243" stopIfTrue="1" operator="containsText" text="(1)">
      <formula>NOT(ISERROR(SEARCH("(1)",W192)))</formula>
    </cfRule>
  </conditionalFormatting>
  <conditionalFormatting sqref="W193:AD193">
    <cfRule type="containsText" dxfId="1213" priority="238" stopIfTrue="1" operator="containsText" text="(3)">
      <formula>NOT(ISERROR(SEARCH("(3)",W193)))</formula>
    </cfRule>
    <cfRule type="containsText" dxfId="1212" priority="239" stopIfTrue="1" operator="containsText" text="(2)">
      <formula>NOT(ISERROR(SEARCH("(2)",W193)))</formula>
    </cfRule>
    <cfRule type="containsText" dxfId="1211" priority="240" stopIfTrue="1" operator="containsText" text="(1)">
      <formula>NOT(ISERROR(SEARCH("(1)",W193)))</formula>
    </cfRule>
  </conditionalFormatting>
  <conditionalFormatting sqref="W194:AD194">
    <cfRule type="containsText" dxfId="1210" priority="235" stopIfTrue="1" operator="containsText" text="(3)">
      <formula>NOT(ISERROR(SEARCH("(3)",W194)))</formula>
    </cfRule>
    <cfRule type="containsText" dxfId="1209" priority="236" stopIfTrue="1" operator="containsText" text="(2)">
      <formula>NOT(ISERROR(SEARCH("(2)",W194)))</formula>
    </cfRule>
    <cfRule type="containsText" dxfId="1208" priority="237" stopIfTrue="1" operator="containsText" text="(1)">
      <formula>NOT(ISERROR(SEARCH("(1)",W194)))</formula>
    </cfRule>
  </conditionalFormatting>
  <conditionalFormatting sqref="W195:AD195">
    <cfRule type="containsText" dxfId="1207" priority="232" stopIfTrue="1" operator="containsText" text="(3)">
      <formula>NOT(ISERROR(SEARCH("(3)",W195)))</formula>
    </cfRule>
    <cfRule type="containsText" dxfId="1206" priority="233" stopIfTrue="1" operator="containsText" text="(2)">
      <formula>NOT(ISERROR(SEARCH("(2)",W195)))</formula>
    </cfRule>
    <cfRule type="containsText" dxfId="1205" priority="234" stopIfTrue="1" operator="containsText" text="(1)">
      <formula>NOT(ISERROR(SEARCH("(1)",W195)))</formula>
    </cfRule>
  </conditionalFormatting>
  <conditionalFormatting sqref="W196:AD196">
    <cfRule type="containsText" dxfId="1204" priority="229" stopIfTrue="1" operator="containsText" text="(3)">
      <formula>NOT(ISERROR(SEARCH("(3)",W196)))</formula>
    </cfRule>
    <cfRule type="containsText" dxfId="1203" priority="230" stopIfTrue="1" operator="containsText" text="(2)">
      <formula>NOT(ISERROR(SEARCH("(2)",W196)))</formula>
    </cfRule>
    <cfRule type="containsText" dxfId="1202" priority="231" stopIfTrue="1" operator="containsText" text="(1)">
      <formula>NOT(ISERROR(SEARCH("(1)",W196)))</formula>
    </cfRule>
  </conditionalFormatting>
  <conditionalFormatting sqref="W197:AD197">
    <cfRule type="containsText" dxfId="1201" priority="226" stopIfTrue="1" operator="containsText" text="(3)">
      <formula>NOT(ISERROR(SEARCH("(3)",W197)))</formula>
    </cfRule>
    <cfRule type="containsText" dxfId="1200" priority="227" stopIfTrue="1" operator="containsText" text="(2)">
      <formula>NOT(ISERROR(SEARCH("(2)",W197)))</formula>
    </cfRule>
    <cfRule type="containsText" dxfId="1199" priority="228" stopIfTrue="1" operator="containsText" text="(1)">
      <formula>NOT(ISERROR(SEARCH("(1)",W197)))</formula>
    </cfRule>
  </conditionalFormatting>
  <conditionalFormatting sqref="W198:AD198">
    <cfRule type="containsText" dxfId="1198" priority="223" stopIfTrue="1" operator="containsText" text="(3)">
      <formula>NOT(ISERROR(SEARCH("(3)",W198)))</formula>
    </cfRule>
    <cfRule type="containsText" dxfId="1197" priority="224" stopIfTrue="1" operator="containsText" text="(2)">
      <formula>NOT(ISERROR(SEARCH("(2)",W198)))</formula>
    </cfRule>
    <cfRule type="containsText" dxfId="1196" priority="225" stopIfTrue="1" operator="containsText" text="(1)">
      <formula>NOT(ISERROR(SEARCH("(1)",W198)))</formula>
    </cfRule>
  </conditionalFormatting>
  <conditionalFormatting sqref="W199:AD199">
    <cfRule type="containsText" dxfId="1195" priority="220" stopIfTrue="1" operator="containsText" text="(3)">
      <formula>NOT(ISERROR(SEARCH("(3)",W199)))</formula>
    </cfRule>
    <cfRule type="containsText" dxfId="1194" priority="221" stopIfTrue="1" operator="containsText" text="(2)">
      <formula>NOT(ISERROR(SEARCH("(2)",W199)))</formula>
    </cfRule>
    <cfRule type="containsText" dxfId="1193" priority="222" stopIfTrue="1" operator="containsText" text="(1)">
      <formula>NOT(ISERROR(SEARCH("(1)",W199)))</formula>
    </cfRule>
  </conditionalFormatting>
  <conditionalFormatting sqref="W200:AD200">
    <cfRule type="containsText" dxfId="1192" priority="217" stopIfTrue="1" operator="containsText" text="(3)">
      <formula>NOT(ISERROR(SEARCH("(3)",W200)))</formula>
    </cfRule>
    <cfRule type="containsText" dxfId="1191" priority="218" stopIfTrue="1" operator="containsText" text="(2)">
      <formula>NOT(ISERROR(SEARCH("(2)",W200)))</formula>
    </cfRule>
    <cfRule type="containsText" dxfId="1190" priority="219" stopIfTrue="1" operator="containsText" text="(1)">
      <formula>NOT(ISERROR(SEARCH("(1)",W200)))</formula>
    </cfRule>
  </conditionalFormatting>
  <conditionalFormatting sqref="W201:AD201">
    <cfRule type="containsText" dxfId="1189" priority="214" stopIfTrue="1" operator="containsText" text="(3)">
      <formula>NOT(ISERROR(SEARCH("(3)",W201)))</formula>
    </cfRule>
    <cfRule type="containsText" dxfId="1188" priority="215" stopIfTrue="1" operator="containsText" text="(2)">
      <formula>NOT(ISERROR(SEARCH("(2)",W201)))</formula>
    </cfRule>
    <cfRule type="containsText" dxfId="1187" priority="216" stopIfTrue="1" operator="containsText" text="(1)">
      <formula>NOT(ISERROR(SEARCH("(1)",W201)))</formula>
    </cfRule>
  </conditionalFormatting>
  <conditionalFormatting sqref="W202:AD202">
    <cfRule type="containsText" dxfId="1186" priority="211" stopIfTrue="1" operator="containsText" text="(3)">
      <formula>NOT(ISERROR(SEARCH("(3)",W202)))</formula>
    </cfRule>
    <cfRule type="containsText" dxfId="1185" priority="212" stopIfTrue="1" operator="containsText" text="(2)">
      <formula>NOT(ISERROR(SEARCH("(2)",W202)))</formula>
    </cfRule>
    <cfRule type="containsText" dxfId="1184" priority="213" stopIfTrue="1" operator="containsText" text="(1)">
      <formula>NOT(ISERROR(SEARCH("(1)",W202)))</formula>
    </cfRule>
  </conditionalFormatting>
  <conditionalFormatting sqref="W203:AD203">
    <cfRule type="containsText" dxfId="1183" priority="208" stopIfTrue="1" operator="containsText" text="(3)">
      <formula>NOT(ISERROR(SEARCH("(3)",W203)))</formula>
    </cfRule>
    <cfRule type="containsText" dxfId="1182" priority="209" stopIfTrue="1" operator="containsText" text="(2)">
      <formula>NOT(ISERROR(SEARCH("(2)",W203)))</formula>
    </cfRule>
    <cfRule type="containsText" dxfId="1181" priority="210" stopIfTrue="1" operator="containsText" text="(1)">
      <formula>NOT(ISERROR(SEARCH("(1)",W203)))</formula>
    </cfRule>
  </conditionalFormatting>
  <conditionalFormatting sqref="W204:AD204">
    <cfRule type="containsText" dxfId="1180" priority="205" stopIfTrue="1" operator="containsText" text="(3)">
      <formula>NOT(ISERROR(SEARCH("(3)",W204)))</formula>
    </cfRule>
    <cfRule type="containsText" dxfId="1179" priority="206" stopIfTrue="1" operator="containsText" text="(2)">
      <formula>NOT(ISERROR(SEARCH("(2)",W204)))</formula>
    </cfRule>
    <cfRule type="containsText" dxfId="1178" priority="207" stopIfTrue="1" operator="containsText" text="(1)">
      <formula>NOT(ISERROR(SEARCH("(1)",W204)))</formula>
    </cfRule>
  </conditionalFormatting>
  <conditionalFormatting sqref="W205:AD205">
    <cfRule type="containsText" dxfId="1177" priority="202" stopIfTrue="1" operator="containsText" text="(3)">
      <formula>NOT(ISERROR(SEARCH("(3)",W205)))</formula>
    </cfRule>
    <cfRule type="containsText" dxfId="1176" priority="203" stopIfTrue="1" operator="containsText" text="(2)">
      <formula>NOT(ISERROR(SEARCH("(2)",W205)))</formula>
    </cfRule>
    <cfRule type="containsText" dxfId="1175" priority="204" stopIfTrue="1" operator="containsText" text="(1)">
      <formula>NOT(ISERROR(SEARCH("(1)",W205)))</formula>
    </cfRule>
  </conditionalFormatting>
  <conditionalFormatting sqref="W206:AD206">
    <cfRule type="containsText" dxfId="1174" priority="199" stopIfTrue="1" operator="containsText" text="(3)">
      <formula>NOT(ISERROR(SEARCH("(3)",W206)))</formula>
    </cfRule>
    <cfRule type="containsText" dxfId="1173" priority="200" stopIfTrue="1" operator="containsText" text="(2)">
      <formula>NOT(ISERROR(SEARCH("(2)",W206)))</formula>
    </cfRule>
    <cfRule type="containsText" dxfId="1172" priority="201" stopIfTrue="1" operator="containsText" text="(1)">
      <formula>NOT(ISERROR(SEARCH("(1)",W206)))</formula>
    </cfRule>
  </conditionalFormatting>
  <conditionalFormatting sqref="W207:AD207">
    <cfRule type="containsText" dxfId="1171" priority="196" stopIfTrue="1" operator="containsText" text="(3)">
      <formula>NOT(ISERROR(SEARCH("(3)",W207)))</formula>
    </cfRule>
    <cfRule type="containsText" dxfId="1170" priority="197" stopIfTrue="1" operator="containsText" text="(2)">
      <formula>NOT(ISERROR(SEARCH("(2)",W207)))</formula>
    </cfRule>
    <cfRule type="containsText" dxfId="1169" priority="198" stopIfTrue="1" operator="containsText" text="(1)">
      <formula>NOT(ISERROR(SEARCH("(1)",W207)))</formula>
    </cfRule>
  </conditionalFormatting>
  <conditionalFormatting sqref="W208:AD208">
    <cfRule type="containsText" dxfId="1168" priority="193" stopIfTrue="1" operator="containsText" text="(3)">
      <formula>NOT(ISERROR(SEARCH("(3)",W208)))</formula>
    </cfRule>
    <cfRule type="containsText" dxfId="1167" priority="194" stopIfTrue="1" operator="containsText" text="(2)">
      <formula>NOT(ISERROR(SEARCH("(2)",W208)))</formula>
    </cfRule>
    <cfRule type="containsText" dxfId="1166" priority="195" stopIfTrue="1" operator="containsText" text="(1)">
      <formula>NOT(ISERROR(SEARCH("(1)",W208)))</formula>
    </cfRule>
  </conditionalFormatting>
  <conditionalFormatting sqref="W209:AD209">
    <cfRule type="containsText" dxfId="1165" priority="190" stopIfTrue="1" operator="containsText" text="(3)">
      <formula>NOT(ISERROR(SEARCH("(3)",W209)))</formula>
    </cfRule>
    <cfRule type="containsText" dxfId="1164" priority="191" stopIfTrue="1" operator="containsText" text="(2)">
      <formula>NOT(ISERROR(SEARCH("(2)",W209)))</formula>
    </cfRule>
    <cfRule type="containsText" dxfId="1163" priority="192" stopIfTrue="1" operator="containsText" text="(1)">
      <formula>NOT(ISERROR(SEARCH("(1)",W209)))</formula>
    </cfRule>
  </conditionalFormatting>
  <conditionalFormatting sqref="W210:AD210">
    <cfRule type="containsText" dxfId="1162" priority="187" stopIfTrue="1" operator="containsText" text="(3)">
      <formula>NOT(ISERROR(SEARCH("(3)",W210)))</formula>
    </cfRule>
    <cfRule type="containsText" dxfId="1161" priority="188" stopIfTrue="1" operator="containsText" text="(2)">
      <formula>NOT(ISERROR(SEARCH("(2)",W210)))</formula>
    </cfRule>
    <cfRule type="containsText" dxfId="1160" priority="189" stopIfTrue="1" operator="containsText" text="(1)">
      <formula>NOT(ISERROR(SEARCH("(1)",W210)))</formula>
    </cfRule>
  </conditionalFormatting>
  <conditionalFormatting sqref="W211:AD211">
    <cfRule type="containsText" dxfId="1159" priority="184" stopIfTrue="1" operator="containsText" text="(3)">
      <formula>NOT(ISERROR(SEARCH("(3)",W211)))</formula>
    </cfRule>
    <cfRule type="containsText" dxfId="1158" priority="185" stopIfTrue="1" operator="containsText" text="(2)">
      <formula>NOT(ISERROR(SEARCH("(2)",W211)))</formula>
    </cfRule>
    <cfRule type="containsText" dxfId="1157" priority="186" stopIfTrue="1" operator="containsText" text="(1)">
      <formula>NOT(ISERROR(SEARCH("(1)",W211)))</formula>
    </cfRule>
  </conditionalFormatting>
  <conditionalFormatting sqref="W212:AD212">
    <cfRule type="containsText" dxfId="1156" priority="181" stopIfTrue="1" operator="containsText" text="(3)">
      <formula>NOT(ISERROR(SEARCH("(3)",W212)))</formula>
    </cfRule>
    <cfRule type="containsText" dxfId="1155" priority="182" stopIfTrue="1" operator="containsText" text="(2)">
      <formula>NOT(ISERROR(SEARCH("(2)",W212)))</formula>
    </cfRule>
    <cfRule type="containsText" dxfId="1154" priority="183" stopIfTrue="1" operator="containsText" text="(1)">
      <formula>NOT(ISERROR(SEARCH("(1)",W212)))</formula>
    </cfRule>
  </conditionalFormatting>
  <conditionalFormatting sqref="W213:AD213">
    <cfRule type="containsText" dxfId="1153" priority="178" stopIfTrue="1" operator="containsText" text="(3)">
      <formula>NOT(ISERROR(SEARCH("(3)",W213)))</formula>
    </cfRule>
    <cfRule type="containsText" dxfId="1152" priority="179" stopIfTrue="1" operator="containsText" text="(2)">
      <formula>NOT(ISERROR(SEARCH("(2)",W213)))</formula>
    </cfRule>
    <cfRule type="containsText" dxfId="1151" priority="180" stopIfTrue="1" operator="containsText" text="(1)">
      <formula>NOT(ISERROR(SEARCH("(1)",W213)))</formula>
    </cfRule>
  </conditionalFormatting>
  <conditionalFormatting sqref="W214:AD214">
    <cfRule type="containsText" dxfId="1150" priority="175" stopIfTrue="1" operator="containsText" text="(3)">
      <formula>NOT(ISERROR(SEARCH("(3)",W214)))</formula>
    </cfRule>
    <cfRule type="containsText" dxfId="1149" priority="176" stopIfTrue="1" operator="containsText" text="(2)">
      <formula>NOT(ISERROR(SEARCH("(2)",W214)))</formula>
    </cfRule>
    <cfRule type="containsText" dxfId="1148" priority="177" stopIfTrue="1" operator="containsText" text="(1)">
      <formula>NOT(ISERROR(SEARCH("(1)",W214)))</formula>
    </cfRule>
  </conditionalFormatting>
  <conditionalFormatting sqref="W215:AD215">
    <cfRule type="containsText" dxfId="1147" priority="172" stopIfTrue="1" operator="containsText" text="(3)">
      <formula>NOT(ISERROR(SEARCH("(3)",W215)))</formula>
    </cfRule>
    <cfRule type="containsText" dxfId="1146" priority="173" stopIfTrue="1" operator="containsText" text="(2)">
      <formula>NOT(ISERROR(SEARCH("(2)",W215)))</formula>
    </cfRule>
    <cfRule type="containsText" dxfId="1145" priority="174" stopIfTrue="1" operator="containsText" text="(1)">
      <formula>NOT(ISERROR(SEARCH("(1)",W215)))</formula>
    </cfRule>
  </conditionalFormatting>
  <conditionalFormatting sqref="W216:AD216">
    <cfRule type="containsText" dxfId="1144" priority="169" stopIfTrue="1" operator="containsText" text="(3)">
      <formula>NOT(ISERROR(SEARCH("(3)",W216)))</formula>
    </cfRule>
    <cfRule type="containsText" dxfId="1143" priority="170" stopIfTrue="1" operator="containsText" text="(2)">
      <formula>NOT(ISERROR(SEARCH("(2)",W216)))</formula>
    </cfRule>
    <cfRule type="containsText" dxfId="1142" priority="171" stopIfTrue="1" operator="containsText" text="(1)">
      <formula>NOT(ISERROR(SEARCH("(1)",W216)))</formula>
    </cfRule>
  </conditionalFormatting>
  <conditionalFormatting sqref="W217:AD217">
    <cfRule type="containsText" dxfId="1141" priority="166" stopIfTrue="1" operator="containsText" text="(3)">
      <formula>NOT(ISERROR(SEARCH("(3)",W217)))</formula>
    </cfRule>
    <cfRule type="containsText" dxfId="1140" priority="167" stopIfTrue="1" operator="containsText" text="(2)">
      <formula>NOT(ISERROR(SEARCH("(2)",W217)))</formula>
    </cfRule>
    <cfRule type="containsText" dxfId="1139" priority="168" stopIfTrue="1" operator="containsText" text="(1)">
      <formula>NOT(ISERROR(SEARCH("(1)",W217)))</formula>
    </cfRule>
  </conditionalFormatting>
  <conditionalFormatting sqref="W218:AD218">
    <cfRule type="containsText" dxfId="1138" priority="163" stopIfTrue="1" operator="containsText" text="(3)">
      <formula>NOT(ISERROR(SEARCH("(3)",W218)))</formula>
    </cfRule>
    <cfRule type="containsText" dxfId="1137" priority="164" stopIfTrue="1" operator="containsText" text="(2)">
      <formula>NOT(ISERROR(SEARCH("(2)",W218)))</formula>
    </cfRule>
    <cfRule type="containsText" dxfId="1136" priority="165" stopIfTrue="1" operator="containsText" text="(1)">
      <formula>NOT(ISERROR(SEARCH("(1)",W218)))</formula>
    </cfRule>
  </conditionalFormatting>
  <conditionalFormatting sqref="W219:AD219">
    <cfRule type="containsText" dxfId="1135" priority="160" stopIfTrue="1" operator="containsText" text="(3)">
      <formula>NOT(ISERROR(SEARCH("(3)",W219)))</formula>
    </cfRule>
    <cfRule type="containsText" dxfId="1134" priority="161" stopIfTrue="1" operator="containsText" text="(2)">
      <formula>NOT(ISERROR(SEARCH("(2)",W219)))</formula>
    </cfRule>
    <cfRule type="containsText" dxfId="1133" priority="162" stopIfTrue="1" operator="containsText" text="(1)">
      <formula>NOT(ISERROR(SEARCH("(1)",W219)))</formula>
    </cfRule>
  </conditionalFormatting>
  <conditionalFormatting sqref="W220:AD220">
    <cfRule type="containsText" dxfId="1132" priority="157" stopIfTrue="1" operator="containsText" text="(3)">
      <formula>NOT(ISERROR(SEARCH("(3)",W220)))</formula>
    </cfRule>
    <cfRule type="containsText" dxfId="1131" priority="158" stopIfTrue="1" operator="containsText" text="(2)">
      <formula>NOT(ISERROR(SEARCH("(2)",W220)))</formula>
    </cfRule>
    <cfRule type="containsText" dxfId="1130" priority="159" stopIfTrue="1" operator="containsText" text="(1)">
      <formula>NOT(ISERROR(SEARCH("(1)",W220)))</formula>
    </cfRule>
  </conditionalFormatting>
  <conditionalFormatting sqref="W221:AD221">
    <cfRule type="containsText" dxfId="1129" priority="154" stopIfTrue="1" operator="containsText" text="(3)">
      <formula>NOT(ISERROR(SEARCH("(3)",W221)))</formula>
    </cfRule>
    <cfRule type="containsText" dxfId="1128" priority="155" stopIfTrue="1" operator="containsText" text="(2)">
      <formula>NOT(ISERROR(SEARCH("(2)",W221)))</formula>
    </cfRule>
    <cfRule type="containsText" dxfId="1127" priority="156" stopIfTrue="1" operator="containsText" text="(1)">
      <formula>NOT(ISERROR(SEARCH("(1)",W221)))</formula>
    </cfRule>
  </conditionalFormatting>
  <conditionalFormatting sqref="W222:AD222">
    <cfRule type="containsText" dxfId="1126" priority="151" stopIfTrue="1" operator="containsText" text="(3)">
      <formula>NOT(ISERROR(SEARCH("(3)",W222)))</formula>
    </cfRule>
    <cfRule type="containsText" dxfId="1125" priority="152" stopIfTrue="1" operator="containsText" text="(2)">
      <formula>NOT(ISERROR(SEARCH("(2)",W222)))</formula>
    </cfRule>
    <cfRule type="containsText" dxfId="1124" priority="153" stopIfTrue="1" operator="containsText" text="(1)">
      <formula>NOT(ISERROR(SEARCH("(1)",W222)))</formula>
    </cfRule>
  </conditionalFormatting>
  <conditionalFormatting sqref="W223:AD223">
    <cfRule type="containsText" dxfId="1123" priority="148" stopIfTrue="1" operator="containsText" text="(3)">
      <formula>NOT(ISERROR(SEARCH("(3)",W223)))</formula>
    </cfRule>
    <cfRule type="containsText" dxfId="1122" priority="149" stopIfTrue="1" operator="containsText" text="(2)">
      <formula>NOT(ISERROR(SEARCH("(2)",W223)))</formula>
    </cfRule>
    <cfRule type="containsText" dxfId="1121" priority="150" stopIfTrue="1" operator="containsText" text="(1)">
      <formula>NOT(ISERROR(SEARCH("(1)",W223)))</formula>
    </cfRule>
  </conditionalFormatting>
  <conditionalFormatting sqref="W224:AD224">
    <cfRule type="containsText" dxfId="1120" priority="145" stopIfTrue="1" operator="containsText" text="(3)">
      <formula>NOT(ISERROR(SEARCH("(3)",W224)))</formula>
    </cfRule>
    <cfRule type="containsText" dxfId="1119" priority="146" stopIfTrue="1" operator="containsText" text="(2)">
      <formula>NOT(ISERROR(SEARCH("(2)",W224)))</formula>
    </cfRule>
    <cfRule type="containsText" dxfId="1118" priority="147" stopIfTrue="1" operator="containsText" text="(1)">
      <formula>NOT(ISERROR(SEARCH("(1)",W224)))</formula>
    </cfRule>
  </conditionalFormatting>
  <conditionalFormatting sqref="W225:AD225">
    <cfRule type="containsText" dxfId="1117" priority="142" stopIfTrue="1" operator="containsText" text="(3)">
      <formula>NOT(ISERROR(SEARCH("(3)",W225)))</formula>
    </cfRule>
    <cfRule type="containsText" dxfId="1116" priority="143" stopIfTrue="1" operator="containsText" text="(2)">
      <formula>NOT(ISERROR(SEARCH("(2)",W225)))</formula>
    </cfRule>
    <cfRule type="containsText" dxfId="1115" priority="144" stopIfTrue="1" operator="containsText" text="(1)">
      <formula>NOT(ISERROR(SEARCH("(1)",W225)))</formula>
    </cfRule>
  </conditionalFormatting>
  <conditionalFormatting sqref="W226:AD226">
    <cfRule type="containsText" dxfId="1114" priority="139" stopIfTrue="1" operator="containsText" text="(3)">
      <formula>NOT(ISERROR(SEARCH("(3)",W226)))</formula>
    </cfRule>
    <cfRule type="containsText" dxfId="1113" priority="140" stopIfTrue="1" operator="containsText" text="(2)">
      <formula>NOT(ISERROR(SEARCH("(2)",W226)))</formula>
    </cfRule>
    <cfRule type="containsText" dxfId="1112" priority="141" stopIfTrue="1" operator="containsText" text="(1)">
      <formula>NOT(ISERROR(SEARCH("(1)",W226)))</formula>
    </cfRule>
  </conditionalFormatting>
  <conditionalFormatting sqref="W227:AD227">
    <cfRule type="containsText" dxfId="1111" priority="136" stopIfTrue="1" operator="containsText" text="(3)">
      <formula>NOT(ISERROR(SEARCH("(3)",W227)))</formula>
    </cfRule>
    <cfRule type="containsText" dxfId="1110" priority="137" stopIfTrue="1" operator="containsText" text="(2)">
      <formula>NOT(ISERROR(SEARCH("(2)",W227)))</formula>
    </cfRule>
    <cfRule type="containsText" dxfId="1109" priority="138" stopIfTrue="1" operator="containsText" text="(1)">
      <formula>NOT(ISERROR(SEARCH("(1)",W227)))</formula>
    </cfRule>
  </conditionalFormatting>
  <conditionalFormatting sqref="W228:AD228">
    <cfRule type="containsText" dxfId="1108" priority="133" stopIfTrue="1" operator="containsText" text="(3)">
      <formula>NOT(ISERROR(SEARCH("(3)",W228)))</formula>
    </cfRule>
    <cfRule type="containsText" dxfId="1107" priority="134" stopIfTrue="1" operator="containsText" text="(2)">
      <formula>NOT(ISERROR(SEARCH("(2)",W228)))</formula>
    </cfRule>
    <cfRule type="containsText" dxfId="1106" priority="135" stopIfTrue="1" operator="containsText" text="(1)">
      <formula>NOT(ISERROR(SEARCH("(1)",W228)))</formula>
    </cfRule>
  </conditionalFormatting>
  <conditionalFormatting sqref="W229:AD229">
    <cfRule type="containsText" dxfId="1105" priority="130" stopIfTrue="1" operator="containsText" text="(3)">
      <formula>NOT(ISERROR(SEARCH("(3)",W229)))</formula>
    </cfRule>
    <cfRule type="containsText" dxfId="1104" priority="131" stopIfTrue="1" operator="containsText" text="(2)">
      <formula>NOT(ISERROR(SEARCH("(2)",W229)))</formula>
    </cfRule>
    <cfRule type="containsText" dxfId="1103" priority="132" stopIfTrue="1" operator="containsText" text="(1)">
      <formula>NOT(ISERROR(SEARCH("(1)",W229)))</formula>
    </cfRule>
  </conditionalFormatting>
  <conditionalFormatting sqref="W230:AD230">
    <cfRule type="containsText" dxfId="1102" priority="127" stopIfTrue="1" operator="containsText" text="(3)">
      <formula>NOT(ISERROR(SEARCH("(3)",W230)))</formula>
    </cfRule>
    <cfRule type="containsText" dxfId="1101" priority="128" stopIfTrue="1" operator="containsText" text="(2)">
      <formula>NOT(ISERROR(SEARCH("(2)",W230)))</formula>
    </cfRule>
    <cfRule type="containsText" dxfId="1100" priority="129" stopIfTrue="1" operator="containsText" text="(1)">
      <formula>NOT(ISERROR(SEARCH("(1)",W230)))</formula>
    </cfRule>
  </conditionalFormatting>
  <conditionalFormatting sqref="W231:AD231">
    <cfRule type="containsText" dxfId="1099" priority="124" stopIfTrue="1" operator="containsText" text="(3)">
      <formula>NOT(ISERROR(SEARCH("(3)",W231)))</formula>
    </cfRule>
    <cfRule type="containsText" dxfId="1098" priority="125" stopIfTrue="1" operator="containsText" text="(2)">
      <formula>NOT(ISERROR(SEARCH("(2)",W231)))</formula>
    </cfRule>
    <cfRule type="containsText" dxfId="1097" priority="126" stopIfTrue="1" operator="containsText" text="(1)">
      <formula>NOT(ISERROR(SEARCH("(1)",W231)))</formula>
    </cfRule>
  </conditionalFormatting>
  <conditionalFormatting sqref="W232:AD232">
    <cfRule type="containsText" dxfId="1096" priority="121" stopIfTrue="1" operator="containsText" text="(3)">
      <formula>NOT(ISERROR(SEARCH("(3)",W232)))</formula>
    </cfRule>
    <cfRule type="containsText" dxfId="1095" priority="122" stopIfTrue="1" operator="containsText" text="(2)">
      <formula>NOT(ISERROR(SEARCH("(2)",W232)))</formula>
    </cfRule>
    <cfRule type="containsText" dxfId="1094" priority="123" stopIfTrue="1" operator="containsText" text="(1)">
      <formula>NOT(ISERROR(SEARCH("(1)",W232)))</formula>
    </cfRule>
  </conditionalFormatting>
  <conditionalFormatting sqref="W233:AD233">
    <cfRule type="containsText" dxfId="1093" priority="118" stopIfTrue="1" operator="containsText" text="(3)">
      <formula>NOT(ISERROR(SEARCH("(3)",W233)))</formula>
    </cfRule>
    <cfRule type="containsText" dxfId="1092" priority="119" stopIfTrue="1" operator="containsText" text="(2)">
      <formula>NOT(ISERROR(SEARCH("(2)",W233)))</formula>
    </cfRule>
    <cfRule type="containsText" dxfId="1091" priority="120" stopIfTrue="1" operator="containsText" text="(1)">
      <formula>NOT(ISERROR(SEARCH("(1)",W233)))</formula>
    </cfRule>
  </conditionalFormatting>
  <conditionalFormatting sqref="W234:AD234">
    <cfRule type="containsText" dxfId="1090" priority="115" stopIfTrue="1" operator="containsText" text="(3)">
      <formula>NOT(ISERROR(SEARCH("(3)",W234)))</formula>
    </cfRule>
    <cfRule type="containsText" dxfId="1089" priority="116" stopIfTrue="1" operator="containsText" text="(2)">
      <formula>NOT(ISERROR(SEARCH("(2)",W234)))</formula>
    </cfRule>
    <cfRule type="containsText" dxfId="1088" priority="117" stopIfTrue="1" operator="containsText" text="(1)">
      <formula>NOT(ISERROR(SEARCH("(1)",W234)))</formula>
    </cfRule>
  </conditionalFormatting>
  <conditionalFormatting sqref="W235:AD235">
    <cfRule type="containsText" dxfId="1087" priority="112" stopIfTrue="1" operator="containsText" text="(3)">
      <formula>NOT(ISERROR(SEARCH("(3)",W235)))</formula>
    </cfRule>
    <cfRule type="containsText" dxfId="1086" priority="113" stopIfTrue="1" operator="containsText" text="(2)">
      <formula>NOT(ISERROR(SEARCH("(2)",W235)))</formula>
    </cfRule>
    <cfRule type="containsText" dxfId="1085" priority="114" stopIfTrue="1" operator="containsText" text="(1)">
      <formula>NOT(ISERROR(SEARCH("(1)",W235)))</formula>
    </cfRule>
  </conditionalFormatting>
  <conditionalFormatting sqref="W236:AD236">
    <cfRule type="containsText" dxfId="1084" priority="109" stopIfTrue="1" operator="containsText" text="(3)">
      <formula>NOT(ISERROR(SEARCH("(3)",W236)))</formula>
    </cfRule>
    <cfRule type="containsText" dxfId="1083" priority="110" stopIfTrue="1" operator="containsText" text="(2)">
      <formula>NOT(ISERROR(SEARCH("(2)",W236)))</formula>
    </cfRule>
    <cfRule type="containsText" dxfId="1082" priority="111" stopIfTrue="1" operator="containsText" text="(1)">
      <formula>NOT(ISERROR(SEARCH("(1)",W236)))</formula>
    </cfRule>
  </conditionalFormatting>
  <conditionalFormatting sqref="W237:AD237">
    <cfRule type="containsText" dxfId="1081" priority="106" stopIfTrue="1" operator="containsText" text="(3)">
      <formula>NOT(ISERROR(SEARCH("(3)",W237)))</formula>
    </cfRule>
    <cfRule type="containsText" dxfId="1080" priority="107" stopIfTrue="1" operator="containsText" text="(2)">
      <formula>NOT(ISERROR(SEARCH("(2)",W237)))</formula>
    </cfRule>
    <cfRule type="containsText" dxfId="1079" priority="108" stopIfTrue="1" operator="containsText" text="(1)">
      <formula>NOT(ISERROR(SEARCH("(1)",W237)))</formula>
    </cfRule>
  </conditionalFormatting>
  <conditionalFormatting sqref="W238:AD238">
    <cfRule type="containsText" dxfId="1078" priority="103" stopIfTrue="1" operator="containsText" text="(3)">
      <formula>NOT(ISERROR(SEARCH("(3)",W238)))</formula>
    </cfRule>
    <cfRule type="containsText" dxfId="1077" priority="104" stopIfTrue="1" operator="containsText" text="(2)">
      <formula>NOT(ISERROR(SEARCH("(2)",W238)))</formula>
    </cfRule>
    <cfRule type="containsText" dxfId="1076" priority="105" stopIfTrue="1" operator="containsText" text="(1)">
      <formula>NOT(ISERROR(SEARCH("(1)",W238)))</formula>
    </cfRule>
  </conditionalFormatting>
  <conditionalFormatting sqref="W239:AD239">
    <cfRule type="containsText" dxfId="1075" priority="100" stopIfTrue="1" operator="containsText" text="(3)">
      <formula>NOT(ISERROR(SEARCH("(3)",W239)))</formula>
    </cfRule>
    <cfRule type="containsText" dxfId="1074" priority="101" stopIfTrue="1" operator="containsText" text="(2)">
      <formula>NOT(ISERROR(SEARCH("(2)",W239)))</formula>
    </cfRule>
    <cfRule type="containsText" dxfId="1073" priority="102" stopIfTrue="1" operator="containsText" text="(1)">
      <formula>NOT(ISERROR(SEARCH("(1)",W239)))</formula>
    </cfRule>
  </conditionalFormatting>
  <conditionalFormatting sqref="W240:AD240">
    <cfRule type="containsText" dxfId="1072" priority="97" stopIfTrue="1" operator="containsText" text="(3)">
      <formula>NOT(ISERROR(SEARCH("(3)",W240)))</formula>
    </cfRule>
    <cfRule type="containsText" dxfId="1071" priority="98" stopIfTrue="1" operator="containsText" text="(2)">
      <formula>NOT(ISERROR(SEARCH("(2)",W240)))</formula>
    </cfRule>
    <cfRule type="containsText" dxfId="1070" priority="99" stopIfTrue="1" operator="containsText" text="(1)">
      <formula>NOT(ISERROR(SEARCH("(1)",W240)))</formula>
    </cfRule>
  </conditionalFormatting>
  <conditionalFormatting sqref="W241:AD241">
    <cfRule type="containsText" dxfId="1069" priority="94" stopIfTrue="1" operator="containsText" text="(3)">
      <formula>NOT(ISERROR(SEARCH("(3)",W241)))</formula>
    </cfRule>
    <cfRule type="containsText" dxfId="1068" priority="95" stopIfTrue="1" operator="containsText" text="(2)">
      <formula>NOT(ISERROR(SEARCH("(2)",W241)))</formula>
    </cfRule>
    <cfRule type="containsText" dxfId="1067" priority="96" stopIfTrue="1" operator="containsText" text="(1)">
      <formula>NOT(ISERROR(SEARCH("(1)",W241)))</formula>
    </cfRule>
  </conditionalFormatting>
  <conditionalFormatting sqref="W242:AD242">
    <cfRule type="containsText" dxfId="1066" priority="91" stopIfTrue="1" operator="containsText" text="(3)">
      <formula>NOT(ISERROR(SEARCH("(3)",W242)))</formula>
    </cfRule>
    <cfRule type="containsText" dxfId="1065" priority="92" stopIfTrue="1" operator="containsText" text="(2)">
      <formula>NOT(ISERROR(SEARCH("(2)",W242)))</formula>
    </cfRule>
    <cfRule type="containsText" dxfId="1064" priority="93" stopIfTrue="1" operator="containsText" text="(1)">
      <formula>NOT(ISERROR(SEARCH("(1)",W242)))</formula>
    </cfRule>
  </conditionalFormatting>
  <conditionalFormatting sqref="W243:AD243">
    <cfRule type="containsText" dxfId="1063" priority="88" stopIfTrue="1" operator="containsText" text="(3)">
      <formula>NOT(ISERROR(SEARCH("(3)",W243)))</formula>
    </cfRule>
    <cfRule type="containsText" dxfId="1062" priority="89" stopIfTrue="1" operator="containsText" text="(2)">
      <formula>NOT(ISERROR(SEARCH("(2)",W243)))</formula>
    </cfRule>
    <cfRule type="containsText" dxfId="1061" priority="90" stopIfTrue="1" operator="containsText" text="(1)">
      <formula>NOT(ISERROR(SEARCH("(1)",W243)))</formula>
    </cfRule>
  </conditionalFormatting>
  <conditionalFormatting sqref="W244:AD244">
    <cfRule type="containsText" dxfId="1060" priority="85" stopIfTrue="1" operator="containsText" text="(3)">
      <formula>NOT(ISERROR(SEARCH("(3)",W244)))</formula>
    </cfRule>
    <cfRule type="containsText" dxfId="1059" priority="86" stopIfTrue="1" operator="containsText" text="(2)">
      <formula>NOT(ISERROR(SEARCH("(2)",W244)))</formula>
    </cfRule>
    <cfRule type="containsText" dxfId="1058" priority="87" stopIfTrue="1" operator="containsText" text="(1)">
      <formula>NOT(ISERROR(SEARCH("(1)",W244)))</formula>
    </cfRule>
  </conditionalFormatting>
  <conditionalFormatting sqref="W245:AD245">
    <cfRule type="containsText" dxfId="1057" priority="82" stopIfTrue="1" operator="containsText" text="(3)">
      <formula>NOT(ISERROR(SEARCH("(3)",W245)))</formula>
    </cfRule>
    <cfRule type="containsText" dxfId="1056" priority="83" stopIfTrue="1" operator="containsText" text="(2)">
      <formula>NOT(ISERROR(SEARCH("(2)",W245)))</formula>
    </cfRule>
    <cfRule type="containsText" dxfId="1055" priority="84" stopIfTrue="1" operator="containsText" text="(1)">
      <formula>NOT(ISERROR(SEARCH("(1)",W245)))</formula>
    </cfRule>
  </conditionalFormatting>
  <conditionalFormatting sqref="W246:AD246">
    <cfRule type="containsText" dxfId="1054" priority="79" stopIfTrue="1" operator="containsText" text="(3)">
      <formula>NOT(ISERROR(SEARCH("(3)",W246)))</formula>
    </cfRule>
    <cfRule type="containsText" dxfId="1053" priority="80" stopIfTrue="1" operator="containsText" text="(2)">
      <formula>NOT(ISERROR(SEARCH("(2)",W246)))</formula>
    </cfRule>
    <cfRule type="containsText" dxfId="1052" priority="81" stopIfTrue="1" operator="containsText" text="(1)">
      <formula>NOT(ISERROR(SEARCH("(1)",W246)))</formula>
    </cfRule>
  </conditionalFormatting>
  <conditionalFormatting sqref="W247:AD247">
    <cfRule type="containsText" dxfId="1051" priority="76" stopIfTrue="1" operator="containsText" text="(3)">
      <formula>NOT(ISERROR(SEARCH("(3)",W247)))</formula>
    </cfRule>
    <cfRule type="containsText" dxfId="1050" priority="77" stopIfTrue="1" operator="containsText" text="(2)">
      <formula>NOT(ISERROR(SEARCH("(2)",W247)))</formula>
    </cfRule>
    <cfRule type="containsText" dxfId="1049" priority="78" stopIfTrue="1" operator="containsText" text="(1)">
      <formula>NOT(ISERROR(SEARCH("(1)",W247)))</formula>
    </cfRule>
  </conditionalFormatting>
  <conditionalFormatting sqref="W248:AD248">
    <cfRule type="containsText" dxfId="1048" priority="73" stopIfTrue="1" operator="containsText" text="(3)">
      <formula>NOT(ISERROR(SEARCH("(3)",W248)))</formula>
    </cfRule>
    <cfRule type="containsText" dxfId="1047" priority="74" stopIfTrue="1" operator="containsText" text="(2)">
      <formula>NOT(ISERROR(SEARCH("(2)",W248)))</formula>
    </cfRule>
    <cfRule type="containsText" dxfId="1046" priority="75" stopIfTrue="1" operator="containsText" text="(1)">
      <formula>NOT(ISERROR(SEARCH("(1)",W248)))</formula>
    </cfRule>
  </conditionalFormatting>
  <conditionalFormatting sqref="W249:AD249">
    <cfRule type="containsText" dxfId="1045" priority="70" stopIfTrue="1" operator="containsText" text="(3)">
      <formula>NOT(ISERROR(SEARCH("(3)",W249)))</formula>
    </cfRule>
    <cfRule type="containsText" dxfId="1044" priority="71" stopIfTrue="1" operator="containsText" text="(2)">
      <formula>NOT(ISERROR(SEARCH("(2)",W249)))</formula>
    </cfRule>
    <cfRule type="containsText" dxfId="1043" priority="72" stopIfTrue="1" operator="containsText" text="(1)">
      <formula>NOT(ISERROR(SEARCH("(1)",W249)))</formula>
    </cfRule>
  </conditionalFormatting>
  <conditionalFormatting sqref="W250:AD250">
    <cfRule type="containsText" dxfId="1042" priority="67" stopIfTrue="1" operator="containsText" text="(3)">
      <formula>NOT(ISERROR(SEARCH("(3)",W250)))</formula>
    </cfRule>
    <cfRule type="containsText" dxfId="1041" priority="68" stopIfTrue="1" operator="containsText" text="(2)">
      <formula>NOT(ISERROR(SEARCH("(2)",W250)))</formula>
    </cfRule>
    <cfRule type="containsText" dxfId="1040" priority="69" stopIfTrue="1" operator="containsText" text="(1)">
      <formula>NOT(ISERROR(SEARCH("(1)",W250)))</formula>
    </cfRule>
  </conditionalFormatting>
  <conditionalFormatting sqref="W251:AD251">
    <cfRule type="containsText" dxfId="1039" priority="64" stopIfTrue="1" operator="containsText" text="(3)">
      <formula>NOT(ISERROR(SEARCH("(3)",W251)))</formula>
    </cfRule>
    <cfRule type="containsText" dxfId="1038" priority="65" stopIfTrue="1" operator="containsText" text="(2)">
      <formula>NOT(ISERROR(SEARCH("(2)",W251)))</formula>
    </cfRule>
    <cfRule type="containsText" dxfId="1037" priority="66" stopIfTrue="1" operator="containsText" text="(1)">
      <formula>NOT(ISERROR(SEARCH("(1)",W251)))</formula>
    </cfRule>
  </conditionalFormatting>
  <conditionalFormatting sqref="W252:AD252">
    <cfRule type="containsText" dxfId="1036" priority="61" stopIfTrue="1" operator="containsText" text="(3)">
      <formula>NOT(ISERROR(SEARCH("(3)",W252)))</formula>
    </cfRule>
    <cfRule type="containsText" dxfId="1035" priority="62" stopIfTrue="1" operator="containsText" text="(2)">
      <formula>NOT(ISERROR(SEARCH("(2)",W252)))</formula>
    </cfRule>
    <cfRule type="containsText" dxfId="1034" priority="63" stopIfTrue="1" operator="containsText" text="(1)">
      <formula>NOT(ISERROR(SEARCH("(1)",W252)))</formula>
    </cfRule>
  </conditionalFormatting>
  <conditionalFormatting sqref="W253:AD253">
    <cfRule type="containsText" dxfId="1033" priority="58" stopIfTrue="1" operator="containsText" text="(3)">
      <formula>NOT(ISERROR(SEARCH("(3)",W253)))</formula>
    </cfRule>
    <cfRule type="containsText" dxfId="1032" priority="59" stopIfTrue="1" operator="containsText" text="(2)">
      <formula>NOT(ISERROR(SEARCH("(2)",W253)))</formula>
    </cfRule>
    <cfRule type="containsText" dxfId="1031" priority="60" stopIfTrue="1" operator="containsText" text="(1)">
      <formula>NOT(ISERROR(SEARCH("(1)",W253)))</formula>
    </cfRule>
  </conditionalFormatting>
  <conditionalFormatting sqref="W254:AD254">
    <cfRule type="containsText" dxfId="1030" priority="55" stopIfTrue="1" operator="containsText" text="(3)">
      <formula>NOT(ISERROR(SEARCH("(3)",W254)))</formula>
    </cfRule>
    <cfRule type="containsText" dxfId="1029" priority="56" stopIfTrue="1" operator="containsText" text="(2)">
      <formula>NOT(ISERROR(SEARCH("(2)",W254)))</formula>
    </cfRule>
    <cfRule type="containsText" dxfId="1028" priority="57" stopIfTrue="1" operator="containsText" text="(1)">
      <formula>NOT(ISERROR(SEARCH("(1)",W254)))</formula>
    </cfRule>
  </conditionalFormatting>
  <conditionalFormatting sqref="W255:AD255">
    <cfRule type="containsText" dxfId="1027" priority="52" stopIfTrue="1" operator="containsText" text="(3)">
      <formula>NOT(ISERROR(SEARCH("(3)",W255)))</formula>
    </cfRule>
    <cfRule type="containsText" dxfId="1026" priority="53" stopIfTrue="1" operator="containsText" text="(2)">
      <formula>NOT(ISERROR(SEARCH("(2)",W255)))</formula>
    </cfRule>
    <cfRule type="containsText" dxfId="1025" priority="54" stopIfTrue="1" operator="containsText" text="(1)">
      <formula>NOT(ISERROR(SEARCH("(1)",W255)))</formula>
    </cfRule>
  </conditionalFormatting>
  <conditionalFormatting sqref="W256:AD256">
    <cfRule type="containsText" dxfId="1024" priority="49" stopIfTrue="1" operator="containsText" text="(3)">
      <formula>NOT(ISERROR(SEARCH("(3)",W256)))</formula>
    </cfRule>
    <cfRule type="containsText" dxfId="1023" priority="50" stopIfTrue="1" operator="containsText" text="(2)">
      <formula>NOT(ISERROR(SEARCH("(2)",W256)))</formula>
    </cfRule>
    <cfRule type="containsText" dxfId="1022" priority="51" stopIfTrue="1" operator="containsText" text="(1)">
      <formula>NOT(ISERROR(SEARCH("(1)",W256)))</formula>
    </cfRule>
  </conditionalFormatting>
  <conditionalFormatting sqref="W257:AD257">
    <cfRule type="containsText" dxfId="1021" priority="46" stopIfTrue="1" operator="containsText" text="(3)">
      <formula>NOT(ISERROR(SEARCH("(3)",W257)))</formula>
    </cfRule>
    <cfRule type="containsText" dxfId="1020" priority="47" stopIfTrue="1" operator="containsText" text="(2)">
      <formula>NOT(ISERROR(SEARCH("(2)",W257)))</formula>
    </cfRule>
    <cfRule type="containsText" dxfId="1019" priority="48" stopIfTrue="1" operator="containsText" text="(1)">
      <formula>NOT(ISERROR(SEARCH("(1)",W257)))</formula>
    </cfRule>
  </conditionalFormatting>
  <conditionalFormatting sqref="W258:AD258">
    <cfRule type="containsText" dxfId="1018" priority="43" stopIfTrue="1" operator="containsText" text="(3)">
      <formula>NOT(ISERROR(SEARCH("(3)",W258)))</formula>
    </cfRule>
    <cfRule type="containsText" dxfId="1017" priority="44" stopIfTrue="1" operator="containsText" text="(2)">
      <formula>NOT(ISERROR(SEARCH("(2)",W258)))</formula>
    </cfRule>
    <cfRule type="containsText" dxfId="1016" priority="45" stopIfTrue="1" operator="containsText" text="(1)">
      <formula>NOT(ISERROR(SEARCH("(1)",W258)))</formula>
    </cfRule>
  </conditionalFormatting>
  <conditionalFormatting sqref="W259:AD259">
    <cfRule type="containsText" dxfId="1015" priority="40" stopIfTrue="1" operator="containsText" text="(3)">
      <formula>NOT(ISERROR(SEARCH("(3)",W259)))</formula>
    </cfRule>
    <cfRule type="containsText" dxfId="1014" priority="41" stopIfTrue="1" operator="containsText" text="(2)">
      <formula>NOT(ISERROR(SEARCH("(2)",W259)))</formula>
    </cfRule>
    <cfRule type="containsText" dxfId="1013" priority="42" stopIfTrue="1" operator="containsText" text="(1)">
      <formula>NOT(ISERROR(SEARCH("(1)",W259)))</formula>
    </cfRule>
  </conditionalFormatting>
  <conditionalFormatting sqref="W260:AD260">
    <cfRule type="containsText" dxfId="1012" priority="37" stopIfTrue="1" operator="containsText" text="(3)">
      <formula>NOT(ISERROR(SEARCH("(3)",W260)))</formula>
    </cfRule>
    <cfRule type="containsText" dxfId="1011" priority="38" stopIfTrue="1" operator="containsText" text="(2)">
      <formula>NOT(ISERROR(SEARCH("(2)",W260)))</formula>
    </cfRule>
    <cfRule type="containsText" dxfId="1010" priority="39" stopIfTrue="1" operator="containsText" text="(1)">
      <formula>NOT(ISERROR(SEARCH("(1)",W260)))</formula>
    </cfRule>
  </conditionalFormatting>
  <conditionalFormatting sqref="W261:AD261">
    <cfRule type="containsText" dxfId="1009" priority="34" stopIfTrue="1" operator="containsText" text="(3)">
      <formula>NOT(ISERROR(SEARCH("(3)",W261)))</formula>
    </cfRule>
    <cfRule type="containsText" dxfId="1008" priority="35" stopIfTrue="1" operator="containsText" text="(2)">
      <formula>NOT(ISERROR(SEARCH("(2)",W261)))</formula>
    </cfRule>
    <cfRule type="containsText" dxfId="1007" priority="36" stopIfTrue="1" operator="containsText" text="(1)">
      <formula>NOT(ISERROR(SEARCH("(1)",W261)))</formula>
    </cfRule>
  </conditionalFormatting>
  <conditionalFormatting sqref="W262:AD262">
    <cfRule type="containsText" dxfId="1006" priority="31" stopIfTrue="1" operator="containsText" text="(3)">
      <formula>NOT(ISERROR(SEARCH("(3)",W262)))</formula>
    </cfRule>
    <cfRule type="containsText" dxfId="1005" priority="32" stopIfTrue="1" operator="containsText" text="(2)">
      <formula>NOT(ISERROR(SEARCH("(2)",W262)))</formula>
    </cfRule>
    <cfRule type="containsText" dxfId="1004" priority="33" stopIfTrue="1" operator="containsText" text="(1)">
      <formula>NOT(ISERROR(SEARCH("(1)",W262)))</formula>
    </cfRule>
  </conditionalFormatting>
  <conditionalFormatting sqref="W263:AD263">
    <cfRule type="containsText" dxfId="1003" priority="28" stopIfTrue="1" operator="containsText" text="(3)">
      <formula>NOT(ISERROR(SEARCH("(3)",W263)))</formula>
    </cfRule>
    <cfRule type="containsText" dxfId="1002" priority="29" stopIfTrue="1" operator="containsText" text="(2)">
      <formula>NOT(ISERROR(SEARCH("(2)",W263)))</formula>
    </cfRule>
    <cfRule type="containsText" dxfId="1001" priority="30" stopIfTrue="1" operator="containsText" text="(1)">
      <formula>NOT(ISERROR(SEARCH("(1)",W263)))</formula>
    </cfRule>
  </conditionalFormatting>
  <conditionalFormatting sqref="W264:AD264">
    <cfRule type="containsText" dxfId="1000" priority="25" stopIfTrue="1" operator="containsText" text="(3)">
      <formula>NOT(ISERROR(SEARCH("(3)",W264)))</formula>
    </cfRule>
    <cfRule type="containsText" dxfId="999" priority="26" stopIfTrue="1" operator="containsText" text="(2)">
      <formula>NOT(ISERROR(SEARCH("(2)",W264)))</formula>
    </cfRule>
    <cfRule type="containsText" dxfId="998" priority="27" stopIfTrue="1" operator="containsText" text="(1)">
      <formula>NOT(ISERROR(SEARCH("(1)",W264)))</formula>
    </cfRule>
  </conditionalFormatting>
  <conditionalFormatting sqref="W265:AD265">
    <cfRule type="containsText" dxfId="997" priority="22" stopIfTrue="1" operator="containsText" text="(3)">
      <formula>NOT(ISERROR(SEARCH("(3)",W265)))</formula>
    </cfRule>
    <cfRule type="containsText" dxfId="996" priority="23" stopIfTrue="1" operator="containsText" text="(2)">
      <formula>NOT(ISERROR(SEARCH("(2)",W265)))</formula>
    </cfRule>
    <cfRule type="containsText" dxfId="995" priority="24" stopIfTrue="1" operator="containsText" text="(1)">
      <formula>NOT(ISERROR(SEARCH("(1)",W265)))</formula>
    </cfRule>
  </conditionalFormatting>
  <conditionalFormatting sqref="W266:AD266">
    <cfRule type="containsText" dxfId="994" priority="19" stopIfTrue="1" operator="containsText" text="(3)">
      <formula>NOT(ISERROR(SEARCH("(3)",W266)))</formula>
    </cfRule>
    <cfRule type="containsText" dxfId="993" priority="20" stopIfTrue="1" operator="containsText" text="(2)">
      <formula>NOT(ISERROR(SEARCH("(2)",W266)))</formula>
    </cfRule>
    <cfRule type="containsText" dxfId="992" priority="21" stopIfTrue="1" operator="containsText" text="(1)">
      <formula>NOT(ISERROR(SEARCH("(1)",W266)))</formula>
    </cfRule>
  </conditionalFormatting>
  <conditionalFormatting sqref="W267:AD267">
    <cfRule type="containsText" dxfId="991" priority="16" stopIfTrue="1" operator="containsText" text="(3)">
      <formula>NOT(ISERROR(SEARCH("(3)",W267)))</formula>
    </cfRule>
    <cfRule type="containsText" dxfId="990" priority="17" stopIfTrue="1" operator="containsText" text="(2)">
      <formula>NOT(ISERROR(SEARCH("(2)",W267)))</formula>
    </cfRule>
    <cfRule type="containsText" dxfId="989" priority="18" stopIfTrue="1" operator="containsText" text="(1)">
      <formula>NOT(ISERROR(SEARCH("(1)",W267)))</formula>
    </cfRule>
  </conditionalFormatting>
  <conditionalFormatting sqref="W268:AD268">
    <cfRule type="containsText" dxfId="988" priority="13" stopIfTrue="1" operator="containsText" text="(3)">
      <formula>NOT(ISERROR(SEARCH("(3)",W268)))</formula>
    </cfRule>
    <cfRule type="containsText" dxfId="987" priority="14" stopIfTrue="1" operator="containsText" text="(2)">
      <formula>NOT(ISERROR(SEARCH("(2)",W268)))</formula>
    </cfRule>
    <cfRule type="containsText" dxfId="986" priority="15" stopIfTrue="1" operator="containsText" text="(1)">
      <formula>NOT(ISERROR(SEARCH("(1)",W268)))</formula>
    </cfRule>
  </conditionalFormatting>
  <conditionalFormatting sqref="W269:AD269">
    <cfRule type="containsText" dxfId="985" priority="10" stopIfTrue="1" operator="containsText" text="(3)">
      <formula>NOT(ISERROR(SEARCH("(3)",W269)))</formula>
    </cfRule>
    <cfRule type="containsText" dxfId="984" priority="11" stopIfTrue="1" operator="containsText" text="(2)">
      <formula>NOT(ISERROR(SEARCH("(2)",W269)))</formula>
    </cfRule>
    <cfRule type="containsText" dxfId="983" priority="12" stopIfTrue="1" operator="containsText" text="(1)">
      <formula>NOT(ISERROR(SEARCH("(1)",W269)))</formula>
    </cfRule>
  </conditionalFormatting>
  <conditionalFormatting sqref="W270:AD270">
    <cfRule type="containsText" dxfId="982" priority="7" stopIfTrue="1" operator="containsText" text="(3)">
      <formula>NOT(ISERROR(SEARCH("(3)",W270)))</formula>
    </cfRule>
    <cfRule type="containsText" dxfId="981" priority="8" stopIfTrue="1" operator="containsText" text="(2)">
      <formula>NOT(ISERROR(SEARCH("(2)",W270)))</formula>
    </cfRule>
    <cfRule type="containsText" dxfId="980" priority="9" stopIfTrue="1" operator="containsText" text="(1)">
      <formula>NOT(ISERROR(SEARCH("(1)",W270)))</formula>
    </cfRule>
  </conditionalFormatting>
  <conditionalFormatting sqref="W271:AD271">
    <cfRule type="containsText" dxfId="979" priority="4" stopIfTrue="1" operator="containsText" text="(3)">
      <formula>NOT(ISERROR(SEARCH("(3)",W271)))</formula>
    </cfRule>
    <cfRule type="containsText" dxfId="978" priority="5" stopIfTrue="1" operator="containsText" text="(2)">
      <formula>NOT(ISERROR(SEARCH("(2)",W271)))</formula>
    </cfRule>
    <cfRule type="containsText" dxfId="977" priority="6" stopIfTrue="1" operator="containsText" text="(1)">
      <formula>NOT(ISERROR(SEARCH("(1)",W271)))</formula>
    </cfRule>
  </conditionalFormatting>
  <conditionalFormatting sqref="W272:AD272">
    <cfRule type="containsText" dxfId="976" priority="1" stopIfTrue="1" operator="containsText" text="(3)">
      <formula>NOT(ISERROR(SEARCH("(3)",W272)))</formula>
    </cfRule>
    <cfRule type="containsText" dxfId="975" priority="2" stopIfTrue="1" operator="containsText" text="(2)">
      <formula>NOT(ISERROR(SEARCH("(2)",W272)))</formula>
    </cfRule>
    <cfRule type="containsText" dxfId="974" priority="3" stopIfTrue="1" operator="containsText" text="(1)">
      <formula>NOT(ISERROR(SEARCH("(1)",W272)))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4" r:id="rId4" name="Button 8">
              <controlPr defaultSize="0" print="0" autoFill="0" autoPict="0" macro="[0]!DeleteSavedDownload">
                <anchor moveWithCells="1">
                  <from>
                    <xdr:col>13</xdr:col>
                    <xdr:colOff>28575</xdr:colOff>
                    <xdr:row>0</xdr:row>
                    <xdr:rowOff>28575</xdr:rowOff>
                  </from>
                  <to>
                    <xdr:col>13</xdr:col>
                    <xdr:colOff>1114425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autoPageBreaks="0" fitToPage="1"/>
  </sheetPr>
  <dimension ref="A1:BM360"/>
  <sheetViews>
    <sheetView workbookViewId="0"/>
  </sheetViews>
  <sheetFormatPr defaultColWidth="9.140625" defaultRowHeight="12.75"/>
  <cols>
    <col min="1" max="1" width="24.5703125" style="76" customWidth="1"/>
    <col min="2" max="2" width="21" style="75" customWidth="1"/>
    <col min="3" max="3" width="8" style="75" customWidth="1"/>
    <col min="4" max="4" width="9.28515625" style="76" customWidth="1"/>
    <col min="5" max="10" width="15.28515625" style="63" bestFit="1" customWidth="1"/>
    <col min="11" max="11" width="11.7109375" style="63" customWidth="1"/>
    <col min="12" max="12" width="15.28515625" style="63" bestFit="1" customWidth="1"/>
    <col min="13" max="13" width="16.85546875" style="63" bestFit="1" customWidth="1"/>
    <col min="14" max="14" width="21.85546875" style="63" customWidth="1"/>
    <col min="15" max="16" width="12.140625" style="76" customWidth="1"/>
    <col min="17" max="17" width="16.7109375" style="76" customWidth="1"/>
    <col min="18" max="19" width="12.140625" style="76" customWidth="1"/>
    <col min="20" max="21" width="16.5703125" style="154" bestFit="1" customWidth="1"/>
    <col min="22" max="22" width="12.140625" style="154" customWidth="1"/>
    <col min="23" max="23" width="22.28515625" style="42" customWidth="1"/>
    <col min="24" max="24" width="22.28515625" style="160" customWidth="1"/>
    <col min="25" max="27" width="22.28515625" style="42" customWidth="1"/>
    <col min="28" max="28" width="26.5703125" style="42" bestFit="1" customWidth="1"/>
    <col min="29" max="30" width="22.28515625" style="42" customWidth="1"/>
    <col min="31" max="31" width="13.42578125" style="154" customWidth="1"/>
    <col min="32" max="32" width="21.28515625" style="154" customWidth="1"/>
    <col min="33" max="39" width="13.42578125" style="154" customWidth="1"/>
    <col min="40" max="42" width="13.42578125" style="158" customWidth="1"/>
    <col min="43" max="46" width="13.42578125" style="76" customWidth="1"/>
    <col min="47" max="47" width="19.140625" style="76" customWidth="1"/>
    <col min="48" max="48" width="17" style="76" customWidth="1"/>
    <col min="49" max="54" width="19.140625" style="76" customWidth="1"/>
    <col min="55" max="55" width="18.5703125" style="75" bestFit="1" customWidth="1"/>
    <col min="56" max="56" width="16.85546875" style="62" bestFit="1" customWidth="1"/>
    <col min="57" max="63" width="15.28515625" style="62" bestFit="1" customWidth="1"/>
    <col min="64" max="16384" width="9.140625" style="75"/>
  </cols>
  <sheetData>
    <row r="1" spans="1:65" s="27" customFormat="1" ht="27.75" customHeight="1">
      <c r="A1" s="36" t="s">
        <v>626</v>
      </c>
      <c r="B1" s="30" t="str">
        <f ca="1">RIGHT(CELL("filename",C2),LEN(CELL("filename",C2))-FIND("]",CELL("filename",C2)))</f>
        <v>SortedDownload</v>
      </c>
      <c r="C1" s="27" t="s">
        <v>137</v>
      </c>
      <c r="D1" s="151"/>
      <c r="E1" s="161"/>
      <c r="G1" s="92"/>
      <c r="H1" s="93"/>
      <c r="I1" s="93"/>
      <c r="J1" s="94"/>
      <c r="K1" s="95"/>
      <c r="L1" s="96"/>
      <c r="M1" s="66"/>
      <c r="N1" s="66"/>
      <c r="O1" s="151"/>
      <c r="P1" s="151"/>
      <c r="Q1" s="151"/>
      <c r="R1" s="151"/>
      <c r="S1" s="151"/>
      <c r="T1" s="152"/>
      <c r="U1" s="152"/>
      <c r="V1" s="153"/>
      <c r="W1" s="152"/>
      <c r="X1" s="159"/>
      <c r="Y1" s="152"/>
      <c r="Z1" s="152"/>
      <c r="AA1" s="152"/>
      <c r="AB1" s="152"/>
      <c r="AC1" s="152"/>
      <c r="AD1" s="152"/>
      <c r="AE1" s="82"/>
      <c r="AF1" s="152"/>
      <c r="AG1" s="155"/>
      <c r="AH1" s="82"/>
      <c r="AI1" s="82"/>
      <c r="AJ1" s="152"/>
      <c r="AK1" s="152"/>
      <c r="AL1" s="152"/>
      <c r="AM1" s="152"/>
      <c r="AN1" s="156"/>
      <c r="AO1" s="156"/>
      <c r="AP1" s="156"/>
      <c r="AQ1" s="157"/>
      <c r="AR1" s="151"/>
      <c r="AS1" s="151"/>
      <c r="AT1" s="151"/>
      <c r="AU1" s="82"/>
      <c r="AV1" s="82"/>
      <c r="AW1" s="82"/>
      <c r="AX1" s="151"/>
      <c r="AY1" s="151"/>
      <c r="AZ1" s="151"/>
      <c r="BA1" s="151"/>
      <c r="BB1" s="151"/>
      <c r="BD1" s="62"/>
      <c r="BE1" s="62"/>
      <c r="BF1" s="62"/>
      <c r="BG1" s="62"/>
      <c r="BH1" s="62"/>
      <c r="BI1" s="62"/>
      <c r="BJ1" s="62"/>
      <c r="BK1" s="62"/>
    </row>
    <row r="2" spans="1:65" s="23" customFormat="1" ht="15.75">
      <c r="A2" s="70" t="s">
        <v>72</v>
      </c>
      <c r="B2" s="71" t="s">
        <v>94</v>
      </c>
      <c r="C2" s="71" t="s">
        <v>111</v>
      </c>
      <c r="D2" s="70" t="s">
        <v>110</v>
      </c>
      <c r="E2" s="72" t="s">
        <v>147</v>
      </c>
      <c r="F2" s="72" t="s">
        <v>148</v>
      </c>
      <c r="G2" s="72" t="s">
        <v>149</v>
      </c>
      <c r="H2" s="72" t="s">
        <v>150</v>
      </c>
      <c r="I2" s="72" t="s">
        <v>151</v>
      </c>
      <c r="J2" s="72" t="s">
        <v>152</v>
      </c>
      <c r="K2" s="72" t="s">
        <v>153</v>
      </c>
      <c r="L2" s="72" t="s">
        <v>154</v>
      </c>
      <c r="M2" s="72" t="s">
        <v>155</v>
      </c>
      <c r="N2" s="72" t="s">
        <v>156</v>
      </c>
      <c r="O2" s="70" t="s">
        <v>51</v>
      </c>
      <c r="P2" s="70" t="s">
        <v>52</v>
      </c>
      <c r="Q2" s="70" t="s">
        <v>53</v>
      </c>
      <c r="R2" s="70" t="s">
        <v>54</v>
      </c>
      <c r="S2" s="70" t="s">
        <v>55</v>
      </c>
      <c r="T2" s="70" t="s">
        <v>56</v>
      </c>
      <c r="U2" s="70" t="s">
        <v>129</v>
      </c>
      <c r="V2" s="70" t="s">
        <v>130</v>
      </c>
      <c r="W2" s="52" t="s">
        <v>45</v>
      </c>
      <c r="X2" s="52" t="s">
        <v>46</v>
      </c>
      <c r="Y2" s="52" t="s">
        <v>47</v>
      </c>
      <c r="Z2" s="52" t="s">
        <v>48</v>
      </c>
      <c r="AA2" s="52" t="s">
        <v>50</v>
      </c>
      <c r="AB2" s="52" t="s">
        <v>49</v>
      </c>
      <c r="AC2" s="52" t="s">
        <v>131</v>
      </c>
      <c r="AD2" s="52" t="s">
        <v>132</v>
      </c>
      <c r="AE2" s="70" t="s">
        <v>33</v>
      </c>
      <c r="AF2" s="70" t="s">
        <v>39</v>
      </c>
      <c r="AG2" s="70" t="s">
        <v>34</v>
      </c>
      <c r="AH2" s="70" t="s">
        <v>40</v>
      </c>
      <c r="AI2" s="70" t="s">
        <v>35</v>
      </c>
      <c r="AJ2" s="70" t="s">
        <v>41</v>
      </c>
      <c r="AK2" s="70" t="s">
        <v>36</v>
      </c>
      <c r="AL2" s="70" t="s">
        <v>42</v>
      </c>
      <c r="AM2" s="70" t="s">
        <v>37</v>
      </c>
      <c r="AN2" s="70" t="s">
        <v>43</v>
      </c>
      <c r="AO2" s="70" t="s">
        <v>38</v>
      </c>
      <c r="AP2" s="70" t="s">
        <v>44</v>
      </c>
      <c r="AQ2" s="70" t="s">
        <v>123</v>
      </c>
      <c r="AR2" s="70" t="s">
        <v>124</v>
      </c>
      <c r="AS2" s="70" t="s">
        <v>125</v>
      </c>
      <c r="AT2" s="70" t="s">
        <v>126</v>
      </c>
      <c r="AU2" s="72" t="s">
        <v>157</v>
      </c>
      <c r="AV2" s="72" t="s">
        <v>158</v>
      </c>
      <c r="AW2" s="72" t="s">
        <v>159</v>
      </c>
      <c r="AX2" s="72" t="s">
        <v>160</v>
      </c>
      <c r="AY2" s="72" t="s">
        <v>161</v>
      </c>
      <c r="AZ2" s="72" t="s">
        <v>162</v>
      </c>
      <c r="BA2" s="72" t="s">
        <v>163</v>
      </c>
      <c r="BB2" s="72" t="s">
        <v>164</v>
      </c>
      <c r="BC2" s="147" t="s">
        <v>423</v>
      </c>
      <c r="BD2" s="147" t="s">
        <v>431</v>
      </c>
      <c r="BE2" s="147" t="s">
        <v>424</v>
      </c>
      <c r="BF2" s="147" t="s">
        <v>425</v>
      </c>
      <c r="BG2" s="147" t="s">
        <v>426</v>
      </c>
      <c r="BH2" s="147" t="s">
        <v>427</v>
      </c>
      <c r="BI2" s="147" t="s">
        <v>428</v>
      </c>
      <c r="BJ2" s="147" t="s">
        <v>429</v>
      </c>
      <c r="BK2" s="147" t="s">
        <v>430</v>
      </c>
      <c r="BL2" s="147"/>
      <c r="BM2" s="147"/>
    </row>
    <row r="3" spans="1:65">
      <c r="A3" s="53">
        <v>250</v>
      </c>
      <c r="B3" s="89" t="str">
        <f>IFERROR(VLOOKUP($A3,EntryList!$A$3:$N$645,2,FALSE),"")</f>
        <v>Johann Potgieter</v>
      </c>
      <c r="C3" s="74"/>
      <c r="D3" s="53">
        <f t="shared" ref="D3:D66" si="0">COUNT($AU3:$BB3)</f>
        <v>5</v>
      </c>
      <c r="E3" s="62">
        <v>2.0795370370370369E-3</v>
      </c>
      <c r="F3" s="62">
        <v>2.4325347222222222E-3</v>
      </c>
      <c r="G3" s="62">
        <v>1.3588078703703705E-3</v>
      </c>
      <c r="H3" s="62">
        <v>2.5782754629629632E-3</v>
      </c>
      <c r="I3" s="62">
        <v>3.2409027777777779E-3</v>
      </c>
      <c r="J3" s="62"/>
      <c r="K3" s="62"/>
      <c r="L3" s="62"/>
      <c r="M3" s="62">
        <v>1.169005787037037E-2</v>
      </c>
      <c r="N3" s="62">
        <f t="shared" ref="N3:N66" si="1">SUM($AU3:$BB3)</f>
        <v>1.1690057870370371E-2</v>
      </c>
      <c r="O3" s="53">
        <f t="shared" ref="O3:O66" si="2">IFERROR(RANK($AU3,AU$3:AU$500,1),"")</f>
        <v>1</v>
      </c>
      <c r="P3" s="53">
        <f t="shared" ref="P3:P66" si="3">IFERROR(RANK($AV3,AV$3:AV$500,1),"")</f>
        <v>5</v>
      </c>
      <c r="Q3" s="53">
        <f t="shared" ref="Q3:Q66" si="4">IFERROR(RANK($AW3,AW$3:AW$500,1),"")</f>
        <v>6</v>
      </c>
      <c r="R3" s="53">
        <f t="shared" ref="R3:R66" si="5">IFERROR(RANK($AX3,AX$3:AX$500,1),"")</f>
        <v>2</v>
      </c>
      <c r="S3" s="53">
        <f t="shared" ref="S3:S66" si="6">IFERROR(RANK($AY3,AY$3:AY$500,1),"")</f>
        <v>1</v>
      </c>
      <c r="T3" s="53" t="str">
        <f t="shared" ref="T3:T66" si="7">IFERROR(RANK($AZ3,AZ$3:AZ$500,1),"")</f>
        <v/>
      </c>
      <c r="U3" s="53" t="str">
        <f t="shared" ref="U3:U66" si="8">IFERROR(RANK($BA3,BA$3:BA$500,1),"")</f>
        <v/>
      </c>
      <c r="V3" s="53" t="str">
        <f t="shared" ref="V3:V66" si="9">IFERROR(RANK($BB3,BB$3:BB$500,1),"")</f>
        <v/>
      </c>
      <c r="W3" s="53" t="str">
        <f t="shared" ref="W3:W66" si="10">CONCATENATE(TEXT($AU3,"[hh]:mm:ss.0")," ","(",$O3,")")</f>
        <v>00:02:59.7 (1)</v>
      </c>
      <c r="X3" s="53" t="str">
        <f t="shared" ref="X3:X66" si="11">CONCATENATE(TEXT($AV3,"[hh]:mm:ss.0")," ","(",$P3,")")</f>
        <v>00:03:30.2 (5)</v>
      </c>
      <c r="Y3" s="53" t="str">
        <f t="shared" ref="Y3:Y66" si="12">CONCATENATE(TEXT($AW3,"[hh]:mm:ss.0")," ","(",$Q3,")")</f>
        <v>00:01:57.4 (6)</v>
      </c>
      <c r="Z3" s="53" t="str">
        <f t="shared" ref="Z3:Z66" si="13">CONCATENATE(TEXT($AX3,"[hh]:mm:ss.0")," ","(",$R3,")")</f>
        <v>00:03:42.8 (2)</v>
      </c>
      <c r="AA3" s="53" t="str">
        <f t="shared" ref="AA3:AA66" si="14">CONCATENATE(TEXT($AY3,"[hh]:mm:ss.0")," ","(",$S3,")")</f>
        <v>00:04:40.0 (1)</v>
      </c>
      <c r="AB3" s="53" t="str">
        <f t="shared" ref="AB3:AB66" si="15">CONCATENATE(TEXT($AZ3,"[hh]:mm:ss.0")," ","(",$T3,")")</f>
        <v>DNS/DNF ()</v>
      </c>
      <c r="AC3" s="53" t="str">
        <f t="shared" ref="AC3:AC66" si="16">CONCATENATE(TEXT($BA3,"[hh]:mm:ss.0")," ","(",$U3,")")</f>
        <v>DNS/DNF ()</v>
      </c>
      <c r="AD3" s="53" t="str">
        <f t="shared" ref="AD3:AD66" si="17">CONCATENATE(TEXT($BB3,"[hh]:mm:ss.0")," ","(",$V3,")")</f>
        <v>DNS/DNF ()</v>
      </c>
      <c r="AE3" s="53">
        <v>36053485</v>
      </c>
      <c r="AF3" s="53">
        <v>36233157</v>
      </c>
      <c r="AG3" s="53">
        <v>32155792</v>
      </c>
      <c r="AH3" s="53">
        <v>32365963</v>
      </c>
      <c r="AI3" s="53">
        <v>39492945</v>
      </c>
      <c r="AJ3" s="53">
        <v>39610346</v>
      </c>
      <c r="AK3" s="53">
        <v>43764662</v>
      </c>
      <c r="AL3" s="53">
        <v>43987425</v>
      </c>
      <c r="AM3" s="53">
        <v>46454242</v>
      </c>
      <c r="AN3" s="53">
        <v>46734256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62">
        <f t="shared" ref="AU3:AU66" si="18">IF((OR($AE3=0,$AF3=0,$AF3-$AE3&lt;0)),"DNS/DNF",($AF3-$AE3)/86400000)</f>
        <v>2.0795370370370369E-3</v>
      </c>
      <c r="AV3" s="62">
        <f t="shared" ref="AV3:AV66" si="19">IF((OR($AG3=0,$AH3=0,$AH3-$AG3&lt;0)),"DNS/DNF",($AH3-$AG3)/86400000)</f>
        <v>2.4325347222222222E-3</v>
      </c>
      <c r="AW3" s="62">
        <f t="shared" ref="AW3:AW66" si="20">IF((OR($AI3=0,$AJ3=0,$AJ3-$AI3&lt;0)),"DNS/DNF",($AJ3-$AI3)/86400000)</f>
        <v>1.3588078703703705E-3</v>
      </c>
      <c r="AX3" s="62">
        <f t="shared" ref="AX3:AX66" si="21">IF((OR($AK3=0,$AL3=0,$AL3-$AK3&lt;0)),"DNS/DNF",($AL3-$AK3)/86400000)</f>
        <v>2.5782754629629628E-3</v>
      </c>
      <c r="AY3" s="62">
        <f t="shared" ref="AY3:AY66" si="22">IF((OR($AM3=0,$AM3=0,$AN3-$AM3&lt;0)),"DNS/DNF",($AN3-$AM3)/86400000)</f>
        <v>3.2409027777777779E-3</v>
      </c>
      <c r="AZ3" s="62" t="str">
        <f t="shared" ref="AZ3:AZ66" si="23">IF((OR($AO3=0,$AP3=0,$AP3-$AO3&lt;0)),"DNS/DNF",($AP3-$AO3)/86400000)</f>
        <v>DNS/DNF</v>
      </c>
      <c r="BA3" s="62" t="str">
        <f t="shared" ref="BA3:BA66" si="24">IF((OR($AQ3=0,$AR3=0,$AR3-$AQ3&lt;0)),"DNS/DNF",($AR3-$AQ3)/86400000)</f>
        <v>DNS/DNF</v>
      </c>
      <c r="BB3" s="62" t="str">
        <f t="shared" ref="BB3:BB66" si="25">IF((OR($AS3=0,$AT3=0,$AT3-$AS3&lt;0)),"DNS/DNF",($AT3-$AS3)/86400000)</f>
        <v>DNS/DNF</v>
      </c>
      <c r="BC3" s="75">
        <f t="shared" ref="BC3:BC66" si="26">IFERROR(ROUND(AVERAGE(O3:V3),0),"")</f>
        <v>3</v>
      </c>
      <c r="BD3" s="53">
        <f t="shared" ref="BD3:BD66" si="27">IFERROR((INDEX(($AU$3:$AU$500)*86400000,MATCH(BC3,$O$3:$O$500,0))),"")</f>
        <v>183720.99999999997</v>
      </c>
      <c r="BE3" s="53">
        <f t="shared" ref="BE3:BE66" si="28">IFERROR((INDEX(($AV$3:$AV$500)*86400000,MATCH(BC3,$P$3:$P$500,0))),"")</f>
        <v>209690</v>
      </c>
      <c r="BF3" s="53">
        <f t="shared" ref="BF3:BF66" si="29">IFERROR((INDEX(($AW$3:$AW$500)*86400000,MATCH(BC3,$Q$3:$Q$500,0))),"")</f>
        <v>112237</v>
      </c>
      <c r="BG3" s="53">
        <f t="shared" ref="BG3:BG66" si="30">IFERROR((INDEX(($AX$3:$AX$500)*86400000,MATCH(BC3,$R$3:$R$500,0))),"")</f>
        <v>226374</v>
      </c>
      <c r="BH3" s="53">
        <f t="shared" ref="BH3:BH66" si="31">IFERROR((INDEX(($AY$3:$AY$500)*86400000,MATCH(BC3,$S$3:$S$500,0))),"")</f>
        <v>284121</v>
      </c>
      <c r="BI3" s="53" t="str">
        <f t="shared" ref="BI3:BI66" si="32">IFERROR((INDEX(($AZ$3:$AZ$500)*86400000,MATCH(BC3,$T$3:$T$500,0))),"")</f>
        <v/>
      </c>
      <c r="BJ3" s="53" t="str">
        <f t="shared" ref="BJ3:BJ66" si="33">IFERROR((INDEX(($BA$3:$BA$500)*86400000,MATCH(BC3,$U$3:$U$500,0))),"")</f>
        <v/>
      </c>
      <c r="BK3" s="53" t="str">
        <f t="shared" ref="BK3:BK66" si="34">IFERROR((INDEX(($BB$3:$BB$500)*86400000,MATCH(BC3,$V$3:$V$500,0))),"")</f>
        <v/>
      </c>
    </row>
    <row r="4" spans="1:65">
      <c r="A4" s="53">
        <v>192</v>
      </c>
      <c r="B4" s="89" t="str">
        <f>IFERROR(VLOOKUP($A4,EntryList!$A$3:$N$645,2,FALSE),"")</f>
        <v>Duran Van Eeden</v>
      </c>
      <c r="C4" s="74"/>
      <c r="D4" s="53">
        <f t="shared" si="0"/>
        <v>5</v>
      </c>
      <c r="E4" s="62">
        <v>2.1264004629629632E-3</v>
      </c>
      <c r="F4" s="62">
        <v>2.4048611111111111E-3</v>
      </c>
      <c r="G4" s="62">
        <v>1.2916087962962963E-3</v>
      </c>
      <c r="H4" s="62">
        <v>2.6637268518518516E-3</v>
      </c>
      <c r="I4" s="62">
        <v>3.3005902777777777E-3</v>
      </c>
      <c r="J4" s="62"/>
      <c r="K4" s="62"/>
      <c r="L4" s="62"/>
      <c r="M4" s="62">
        <v>1.1787187499999999E-2</v>
      </c>
      <c r="N4" s="62">
        <f t="shared" si="1"/>
        <v>1.1787187499999999E-2</v>
      </c>
      <c r="O4" s="53">
        <f t="shared" si="2"/>
        <v>3</v>
      </c>
      <c r="P4" s="53">
        <f t="shared" si="3"/>
        <v>2</v>
      </c>
      <c r="Q4" s="53">
        <f t="shared" si="4"/>
        <v>2</v>
      </c>
      <c r="R4" s="53">
        <f t="shared" si="5"/>
        <v>6</v>
      </c>
      <c r="S4" s="53">
        <f t="shared" si="6"/>
        <v>4</v>
      </c>
      <c r="T4" s="53" t="str">
        <f t="shared" si="7"/>
        <v/>
      </c>
      <c r="U4" s="53" t="str">
        <f t="shared" si="8"/>
        <v/>
      </c>
      <c r="V4" s="53" t="str">
        <f t="shared" si="9"/>
        <v/>
      </c>
      <c r="W4" s="53" t="str">
        <f t="shared" si="10"/>
        <v>00:03:03.7 (3)</v>
      </c>
      <c r="X4" s="53" t="str">
        <f t="shared" si="11"/>
        <v>00:03:27.8 (2)</v>
      </c>
      <c r="Y4" s="53" t="str">
        <f t="shared" si="12"/>
        <v>00:01:51.6 (2)</v>
      </c>
      <c r="Z4" s="53" t="str">
        <f t="shared" si="13"/>
        <v>00:03:50.1 (6)</v>
      </c>
      <c r="AA4" s="53" t="str">
        <f t="shared" si="14"/>
        <v>00:04:45.2 (4)</v>
      </c>
      <c r="AB4" s="53" t="str">
        <f t="shared" si="15"/>
        <v>DNS/DNF ()</v>
      </c>
      <c r="AC4" s="53" t="str">
        <f t="shared" si="16"/>
        <v>DNS/DNF ()</v>
      </c>
      <c r="AD4" s="53" t="str">
        <f t="shared" si="17"/>
        <v>DNS/DNF ()</v>
      </c>
      <c r="AE4" s="53">
        <v>32377964</v>
      </c>
      <c r="AF4" s="53">
        <v>32561685</v>
      </c>
      <c r="AG4" s="53">
        <v>30581723</v>
      </c>
      <c r="AH4" s="53">
        <v>30789503</v>
      </c>
      <c r="AI4" s="53">
        <v>37593952</v>
      </c>
      <c r="AJ4" s="53">
        <v>37705547</v>
      </c>
      <c r="AK4" s="53">
        <v>41724303</v>
      </c>
      <c r="AL4" s="53">
        <v>41954449</v>
      </c>
      <c r="AM4" s="53">
        <v>43988784</v>
      </c>
      <c r="AN4" s="53">
        <v>44273955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62">
        <f t="shared" si="18"/>
        <v>2.1264004629629627E-3</v>
      </c>
      <c r="AV4" s="62">
        <f t="shared" si="19"/>
        <v>2.4048611111111111E-3</v>
      </c>
      <c r="AW4" s="62">
        <f t="shared" si="20"/>
        <v>1.2916087962962963E-3</v>
      </c>
      <c r="AX4" s="62">
        <f t="shared" si="21"/>
        <v>2.663726851851852E-3</v>
      </c>
      <c r="AY4" s="62">
        <f t="shared" si="22"/>
        <v>3.3005902777777777E-3</v>
      </c>
      <c r="AZ4" s="62" t="str">
        <f t="shared" si="23"/>
        <v>DNS/DNF</v>
      </c>
      <c r="BA4" s="62" t="str">
        <f t="shared" si="24"/>
        <v>DNS/DNF</v>
      </c>
      <c r="BB4" s="62" t="str">
        <f t="shared" si="25"/>
        <v>DNS/DNF</v>
      </c>
      <c r="BC4" s="75">
        <f t="shared" si="26"/>
        <v>3</v>
      </c>
      <c r="BD4" s="53">
        <f t="shared" si="27"/>
        <v>183720.99999999997</v>
      </c>
      <c r="BE4" s="53">
        <f t="shared" si="28"/>
        <v>209690</v>
      </c>
      <c r="BF4" s="53">
        <f t="shared" si="29"/>
        <v>112237</v>
      </c>
      <c r="BG4" s="53">
        <f t="shared" si="30"/>
        <v>226374</v>
      </c>
      <c r="BH4" s="53">
        <f t="shared" si="31"/>
        <v>284121</v>
      </c>
      <c r="BI4" s="53" t="str">
        <f t="shared" si="32"/>
        <v/>
      </c>
      <c r="BJ4" s="53" t="str">
        <f t="shared" si="33"/>
        <v/>
      </c>
      <c r="BK4" s="53" t="str">
        <f t="shared" si="34"/>
        <v/>
      </c>
    </row>
    <row r="5" spans="1:65">
      <c r="A5" s="53">
        <v>36</v>
      </c>
      <c r="B5" s="89" t="str">
        <f>IFERROR(VLOOKUP($A5,EntryList!$A$3:$N$645,2,FALSE),"")</f>
        <v>Philip Van Schalkwyk</v>
      </c>
      <c r="C5" s="74"/>
      <c r="D5" s="53">
        <f t="shared" si="0"/>
        <v>5</v>
      </c>
      <c r="E5" s="62">
        <v>2.2314004629629632E-3</v>
      </c>
      <c r="F5" s="62">
        <v>2.4298032407407406E-3</v>
      </c>
      <c r="G5" s="62">
        <v>1.277210648148148E-3</v>
      </c>
      <c r="H5" s="62">
        <v>2.6529050925925926E-3</v>
      </c>
      <c r="I5" s="62">
        <v>3.3499652777777777E-3</v>
      </c>
      <c r="J5" s="62"/>
      <c r="K5" s="62"/>
      <c r="L5" s="62"/>
      <c r="M5" s="62">
        <v>1.1941284722222223E-2</v>
      </c>
      <c r="N5" s="62">
        <f t="shared" si="1"/>
        <v>1.1941284722222223E-2</v>
      </c>
      <c r="O5" s="53">
        <f t="shared" si="2"/>
        <v>6</v>
      </c>
      <c r="P5" s="53">
        <f t="shared" si="3"/>
        <v>4</v>
      </c>
      <c r="Q5" s="53">
        <f t="shared" si="4"/>
        <v>1</v>
      </c>
      <c r="R5" s="53">
        <f t="shared" si="5"/>
        <v>5</v>
      </c>
      <c r="S5" s="53">
        <f t="shared" si="6"/>
        <v>7</v>
      </c>
      <c r="T5" s="53" t="str">
        <f t="shared" si="7"/>
        <v/>
      </c>
      <c r="U5" s="53" t="str">
        <f t="shared" si="8"/>
        <v/>
      </c>
      <c r="V5" s="53" t="str">
        <f t="shared" si="9"/>
        <v/>
      </c>
      <c r="W5" s="53" t="str">
        <f t="shared" si="10"/>
        <v>00:03:12.8 (6)</v>
      </c>
      <c r="X5" s="53" t="str">
        <f t="shared" si="11"/>
        <v>00:03:29.9 (4)</v>
      </c>
      <c r="Y5" s="53" t="str">
        <f t="shared" si="12"/>
        <v>00:01:50.4 (1)</v>
      </c>
      <c r="Z5" s="53" t="str">
        <f t="shared" si="13"/>
        <v>00:03:49.2 (5)</v>
      </c>
      <c r="AA5" s="53" t="str">
        <f t="shared" si="14"/>
        <v>00:04:49.4 (7)</v>
      </c>
      <c r="AB5" s="53" t="str">
        <f t="shared" si="15"/>
        <v>DNS/DNF ()</v>
      </c>
      <c r="AC5" s="53" t="str">
        <f t="shared" si="16"/>
        <v>DNS/DNF ()</v>
      </c>
      <c r="AD5" s="53" t="str">
        <f t="shared" si="17"/>
        <v>DNS/DNF ()</v>
      </c>
      <c r="AE5" s="53">
        <v>34990138</v>
      </c>
      <c r="AF5" s="53">
        <v>35182931</v>
      </c>
      <c r="AG5" s="53">
        <v>31413945</v>
      </c>
      <c r="AH5" s="53">
        <v>31623880</v>
      </c>
      <c r="AI5" s="53">
        <v>38503953</v>
      </c>
      <c r="AJ5" s="53">
        <v>38614304</v>
      </c>
      <c r="AK5" s="53">
        <v>43478966</v>
      </c>
      <c r="AL5" s="53">
        <v>43708177</v>
      </c>
      <c r="AM5" s="53">
        <v>46377430</v>
      </c>
      <c r="AN5" s="53">
        <v>46666867</v>
      </c>
      <c r="AO5" s="53">
        <v>0</v>
      </c>
      <c r="AP5" s="53">
        <v>0</v>
      </c>
      <c r="AQ5" s="53">
        <v>0</v>
      </c>
      <c r="AR5" s="53">
        <v>0</v>
      </c>
      <c r="AS5" s="53">
        <v>0</v>
      </c>
      <c r="AT5" s="53">
        <v>0</v>
      </c>
      <c r="AU5" s="62">
        <f t="shared" si="18"/>
        <v>2.2314004629629628E-3</v>
      </c>
      <c r="AV5" s="62">
        <f t="shared" si="19"/>
        <v>2.4298032407407406E-3</v>
      </c>
      <c r="AW5" s="62">
        <f t="shared" si="20"/>
        <v>1.2772106481481482E-3</v>
      </c>
      <c r="AX5" s="62">
        <f t="shared" si="21"/>
        <v>2.6529050925925926E-3</v>
      </c>
      <c r="AY5" s="62">
        <f t="shared" si="22"/>
        <v>3.3499652777777777E-3</v>
      </c>
      <c r="AZ5" s="62" t="str">
        <f t="shared" si="23"/>
        <v>DNS/DNF</v>
      </c>
      <c r="BA5" s="62" t="str">
        <f t="shared" si="24"/>
        <v>DNS/DNF</v>
      </c>
      <c r="BB5" s="62" t="str">
        <f t="shared" si="25"/>
        <v>DNS/DNF</v>
      </c>
      <c r="BC5" s="75">
        <f t="shared" si="26"/>
        <v>5</v>
      </c>
      <c r="BD5" s="53">
        <f t="shared" si="27"/>
        <v>192647</v>
      </c>
      <c r="BE5" s="53">
        <f t="shared" si="28"/>
        <v>210171</v>
      </c>
      <c r="BF5" s="53">
        <f t="shared" si="29"/>
        <v>115795</v>
      </c>
      <c r="BG5" s="53">
        <f t="shared" si="30"/>
        <v>229211</v>
      </c>
      <c r="BH5" s="53">
        <f t="shared" si="31"/>
        <v>288427</v>
      </c>
      <c r="BI5" s="53" t="str">
        <f t="shared" si="32"/>
        <v/>
      </c>
      <c r="BJ5" s="53" t="str">
        <f t="shared" si="33"/>
        <v/>
      </c>
      <c r="BK5" s="53" t="str">
        <f t="shared" si="34"/>
        <v/>
      </c>
    </row>
    <row r="6" spans="1:65">
      <c r="A6" s="53">
        <v>294</v>
      </c>
      <c r="B6" s="89" t="str">
        <f>IFERROR(VLOOKUP($A6,EntryList!$A$3:$N$645,2,FALSE),"")</f>
        <v>Gert Heyns</v>
      </c>
      <c r="C6" s="74"/>
      <c r="D6" s="53">
        <f t="shared" si="0"/>
        <v>5</v>
      </c>
      <c r="E6" s="62">
        <v>2.2852314814814814E-3</v>
      </c>
      <c r="F6" s="62">
        <v>2.4417708333333336E-3</v>
      </c>
      <c r="G6" s="62">
        <v>1.3852546296296295E-3</v>
      </c>
      <c r="H6" s="62">
        <v>2.6518518518518519E-3</v>
      </c>
      <c r="I6" s="62">
        <v>3.2433101851851846E-3</v>
      </c>
      <c r="J6" s="62"/>
      <c r="K6" s="62"/>
      <c r="L6" s="62"/>
      <c r="M6" s="62">
        <v>1.2007418981481483E-2</v>
      </c>
      <c r="N6" s="62">
        <f t="shared" si="1"/>
        <v>1.2007418981481482E-2</v>
      </c>
      <c r="O6" s="53">
        <f t="shared" si="2"/>
        <v>11</v>
      </c>
      <c r="P6" s="53">
        <f t="shared" si="3"/>
        <v>7</v>
      </c>
      <c r="Q6" s="53">
        <f t="shared" si="4"/>
        <v>14</v>
      </c>
      <c r="R6" s="53">
        <f t="shared" si="5"/>
        <v>4</v>
      </c>
      <c r="S6" s="53">
        <f t="shared" si="6"/>
        <v>2</v>
      </c>
      <c r="T6" s="53" t="str">
        <f t="shared" si="7"/>
        <v/>
      </c>
      <c r="U6" s="53" t="str">
        <f t="shared" si="8"/>
        <v/>
      </c>
      <c r="V6" s="53" t="str">
        <f t="shared" si="9"/>
        <v/>
      </c>
      <c r="W6" s="53" t="str">
        <f t="shared" si="10"/>
        <v>00:03:17.4 (11)</v>
      </c>
      <c r="X6" s="53" t="str">
        <f t="shared" si="11"/>
        <v>00:03:31.0 (7)</v>
      </c>
      <c r="Y6" s="53" t="str">
        <f t="shared" si="12"/>
        <v>00:01:59.7 (14)</v>
      </c>
      <c r="Z6" s="53" t="str">
        <f t="shared" si="13"/>
        <v>00:03:49.1 (4)</v>
      </c>
      <c r="AA6" s="53" t="str">
        <f t="shared" si="14"/>
        <v>00:04:40.2 (2)</v>
      </c>
      <c r="AB6" s="53" t="str">
        <f t="shared" si="15"/>
        <v>DNS/DNF ()</v>
      </c>
      <c r="AC6" s="53" t="str">
        <f t="shared" si="16"/>
        <v>DNS/DNF ()</v>
      </c>
      <c r="AD6" s="53" t="str">
        <f t="shared" si="17"/>
        <v>DNS/DNF ()</v>
      </c>
      <c r="AE6" s="53">
        <v>31521512</v>
      </c>
      <c r="AF6" s="53">
        <v>31718956</v>
      </c>
      <c r="AG6" s="53">
        <v>37564256</v>
      </c>
      <c r="AH6" s="53">
        <v>37775225</v>
      </c>
      <c r="AI6" s="53">
        <v>33492569</v>
      </c>
      <c r="AJ6" s="53">
        <v>33612255</v>
      </c>
      <c r="AK6" s="53">
        <v>41344766</v>
      </c>
      <c r="AL6" s="53">
        <v>41573886</v>
      </c>
      <c r="AM6" s="53">
        <v>43526092</v>
      </c>
      <c r="AN6" s="53">
        <v>43806314</v>
      </c>
      <c r="AO6" s="53">
        <v>0</v>
      </c>
      <c r="AP6" s="53">
        <v>0</v>
      </c>
      <c r="AQ6" s="53">
        <v>0</v>
      </c>
      <c r="AR6" s="53">
        <v>0</v>
      </c>
      <c r="AS6" s="53">
        <v>0</v>
      </c>
      <c r="AT6" s="53">
        <v>0</v>
      </c>
      <c r="AU6" s="62">
        <f t="shared" si="18"/>
        <v>2.2852314814814814E-3</v>
      </c>
      <c r="AV6" s="62">
        <f t="shared" si="19"/>
        <v>2.4417708333333331E-3</v>
      </c>
      <c r="AW6" s="62">
        <f t="shared" si="20"/>
        <v>1.3852546296296297E-3</v>
      </c>
      <c r="AX6" s="62">
        <f t="shared" si="21"/>
        <v>2.6518518518518519E-3</v>
      </c>
      <c r="AY6" s="62">
        <f t="shared" si="22"/>
        <v>3.243310185185185E-3</v>
      </c>
      <c r="AZ6" s="62" t="str">
        <f t="shared" si="23"/>
        <v>DNS/DNF</v>
      </c>
      <c r="BA6" s="62" t="str">
        <f t="shared" si="24"/>
        <v>DNS/DNF</v>
      </c>
      <c r="BB6" s="62" t="str">
        <f t="shared" si="25"/>
        <v>DNS/DNF</v>
      </c>
      <c r="BC6" s="75">
        <f t="shared" si="26"/>
        <v>8</v>
      </c>
      <c r="BD6" s="53">
        <f t="shared" si="27"/>
        <v>193418</v>
      </c>
      <c r="BE6" s="53">
        <f t="shared" si="28"/>
        <v>212532</v>
      </c>
      <c r="BF6" s="53">
        <f t="shared" si="29"/>
        <v>118621</v>
      </c>
      <c r="BG6" s="53">
        <f t="shared" si="30"/>
        <v>231414</v>
      </c>
      <c r="BH6" s="53">
        <f t="shared" si="31"/>
        <v>291659</v>
      </c>
      <c r="BI6" s="53" t="str">
        <f t="shared" si="32"/>
        <v/>
      </c>
      <c r="BJ6" s="53" t="str">
        <f t="shared" si="33"/>
        <v/>
      </c>
      <c r="BK6" s="53" t="str">
        <f t="shared" si="34"/>
        <v/>
      </c>
    </row>
    <row r="7" spans="1:65">
      <c r="A7" s="53">
        <v>225</v>
      </c>
      <c r="B7" s="89" t="str">
        <f>IFERROR(VLOOKUP($A7,EntryList!$A$3:$N$645,2,FALSE),"")</f>
        <v>Lance Morris</v>
      </c>
      <c r="C7" s="74"/>
      <c r="D7" s="53">
        <f t="shared" si="0"/>
        <v>5</v>
      </c>
      <c r="E7" s="62">
        <v>2.2297106481481482E-3</v>
      </c>
      <c r="F7" s="62">
        <v>2.4269675925925925E-3</v>
      </c>
      <c r="G7" s="62">
        <v>1.3771643518518519E-3</v>
      </c>
      <c r="H7" s="62">
        <v>2.6852546296296299E-3</v>
      </c>
      <c r="I7" s="62">
        <v>3.3805671296296296E-3</v>
      </c>
      <c r="J7" s="62"/>
      <c r="K7" s="62"/>
      <c r="L7" s="62"/>
      <c r="M7" s="62">
        <v>1.2099664351851851E-2</v>
      </c>
      <c r="N7" s="62">
        <f t="shared" si="1"/>
        <v>1.2099664351851851E-2</v>
      </c>
      <c r="O7" s="53">
        <f t="shared" si="2"/>
        <v>5</v>
      </c>
      <c r="P7" s="53">
        <f t="shared" si="3"/>
        <v>3</v>
      </c>
      <c r="Q7" s="53">
        <f t="shared" si="4"/>
        <v>12</v>
      </c>
      <c r="R7" s="53">
        <f t="shared" si="5"/>
        <v>10</v>
      </c>
      <c r="S7" s="53">
        <f t="shared" si="6"/>
        <v>9</v>
      </c>
      <c r="T7" s="53" t="str">
        <f t="shared" si="7"/>
        <v/>
      </c>
      <c r="U7" s="53" t="str">
        <f t="shared" si="8"/>
        <v/>
      </c>
      <c r="V7" s="53" t="str">
        <f t="shared" si="9"/>
        <v/>
      </c>
      <c r="W7" s="53" t="str">
        <f t="shared" si="10"/>
        <v>00:03:12.6 (5)</v>
      </c>
      <c r="X7" s="53" t="str">
        <f t="shared" si="11"/>
        <v>00:03:29.7 (3)</v>
      </c>
      <c r="Y7" s="53" t="str">
        <f t="shared" si="12"/>
        <v>00:01:59.0 (12)</v>
      </c>
      <c r="Z7" s="53" t="str">
        <f t="shared" si="13"/>
        <v>00:03:52.0 (10)</v>
      </c>
      <c r="AA7" s="53" t="str">
        <f t="shared" si="14"/>
        <v>00:04:52.1 (9)</v>
      </c>
      <c r="AB7" s="53" t="str">
        <f t="shared" si="15"/>
        <v>DNS/DNF ()</v>
      </c>
      <c r="AC7" s="53" t="str">
        <f t="shared" si="16"/>
        <v>DNS/DNF ()</v>
      </c>
      <c r="AD7" s="53" t="str">
        <f t="shared" si="17"/>
        <v>DNS/DNF ()</v>
      </c>
      <c r="AE7" s="53">
        <v>36520714</v>
      </c>
      <c r="AF7" s="53">
        <v>36713361</v>
      </c>
      <c r="AG7" s="53">
        <v>32466064</v>
      </c>
      <c r="AH7" s="53">
        <v>32675754</v>
      </c>
      <c r="AI7" s="53">
        <v>39400368</v>
      </c>
      <c r="AJ7" s="53">
        <v>39519355</v>
      </c>
      <c r="AK7" s="53">
        <v>43003345</v>
      </c>
      <c r="AL7" s="53">
        <v>43235351</v>
      </c>
      <c r="AM7" s="53">
        <v>45753932</v>
      </c>
      <c r="AN7" s="53">
        <v>46046013</v>
      </c>
      <c r="AO7" s="53">
        <v>0</v>
      </c>
      <c r="AP7" s="53">
        <v>0</v>
      </c>
      <c r="AQ7" s="53">
        <v>0</v>
      </c>
      <c r="AR7" s="53">
        <v>0</v>
      </c>
      <c r="AS7" s="53">
        <v>0</v>
      </c>
      <c r="AT7" s="53">
        <v>0</v>
      </c>
      <c r="AU7" s="62">
        <f t="shared" si="18"/>
        <v>2.2297106481481482E-3</v>
      </c>
      <c r="AV7" s="62">
        <f t="shared" si="19"/>
        <v>2.4269675925925925E-3</v>
      </c>
      <c r="AW7" s="62">
        <f t="shared" si="20"/>
        <v>1.3771643518518519E-3</v>
      </c>
      <c r="AX7" s="62">
        <f t="shared" si="21"/>
        <v>2.6852546296296294E-3</v>
      </c>
      <c r="AY7" s="62">
        <f t="shared" si="22"/>
        <v>3.3805671296296296E-3</v>
      </c>
      <c r="AZ7" s="62" t="str">
        <f t="shared" si="23"/>
        <v>DNS/DNF</v>
      </c>
      <c r="BA7" s="62" t="str">
        <f t="shared" si="24"/>
        <v>DNS/DNF</v>
      </c>
      <c r="BB7" s="62" t="str">
        <f t="shared" si="25"/>
        <v>DNS/DNF</v>
      </c>
      <c r="BC7" s="75">
        <f t="shared" si="26"/>
        <v>8</v>
      </c>
      <c r="BD7" s="53">
        <f t="shared" si="27"/>
        <v>193418</v>
      </c>
      <c r="BE7" s="53">
        <f t="shared" si="28"/>
        <v>212532</v>
      </c>
      <c r="BF7" s="53">
        <f t="shared" si="29"/>
        <v>118621</v>
      </c>
      <c r="BG7" s="53">
        <f t="shared" si="30"/>
        <v>231414</v>
      </c>
      <c r="BH7" s="53">
        <f t="shared" si="31"/>
        <v>291659</v>
      </c>
      <c r="BI7" s="53" t="str">
        <f t="shared" si="32"/>
        <v/>
      </c>
      <c r="BJ7" s="53" t="str">
        <f t="shared" si="33"/>
        <v/>
      </c>
      <c r="BK7" s="53" t="str">
        <f t="shared" si="34"/>
        <v/>
      </c>
    </row>
    <row r="8" spans="1:65">
      <c r="A8" s="53">
        <v>200</v>
      </c>
      <c r="B8" s="89" t="str">
        <f>IFERROR(VLOOKUP($A8,EntryList!$A$3:$N$645,2,FALSE),"")</f>
        <v>Matt Lombardi</v>
      </c>
      <c r="C8" s="74"/>
      <c r="D8" s="53">
        <f t="shared" si="0"/>
        <v>5</v>
      </c>
      <c r="E8" s="62">
        <v>2.0959606481481484E-3</v>
      </c>
      <c r="F8" s="62">
        <v>2.3953472222222223E-3</v>
      </c>
      <c r="G8" s="62">
        <v>1.299039351851852E-3</v>
      </c>
      <c r="H8" s="62">
        <v>2.542210648148148E-3</v>
      </c>
      <c r="I8" s="62">
        <v>3.7813773148148151E-3</v>
      </c>
      <c r="J8" s="62"/>
      <c r="K8" s="62"/>
      <c r="L8" s="62"/>
      <c r="M8" s="62">
        <v>1.2113935185185186E-2</v>
      </c>
      <c r="N8" s="62">
        <f t="shared" si="1"/>
        <v>1.2113935185185186E-2</v>
      </c>
      <c r="O8" s="53">
        <f t="shared" si="2"/>
        <v>2</v>
      </c>
      <c r="P8" s="53">
        <f t="shared" si="3"/>
        <v>1</v>
      </c>
      <c r="Q8" s="53">
        <f t="shared" si="4"/>
        <v>3</v>
      </c>
      <c r="R8" s="53">
        <f t="shared" si="5"/>
        <v>1</v>
      </c>
      <c r="S8" s="53">
        <f t="shared" si="6"/>
        <v>61</v>
      </c>
      <c r="T8" s="53" t="str">
        <f t="shared" si="7"/>
        <v/>
      </c>
      <c r="U8" s="53" t="str">
        <f t="shared" si="8"/>
        <v/>
      </c>
      <c r="V8" s="53" t="str">
        <f t="shared" si="9"/>
        <v/>
      </c>
      <c r="W8" s="53" t="str">
        <f t="shared" si="10"/>
        <v>00:03:01.1 (2)</v>
      </c>
      <c r="X8" s="53" t="str">
        <f t="shared" si="11"/>
        <v>00:03:27.0 (1)</v>
      </c>
      <c r="Y8" s="53" t="str">
        <f t="shared" si="12"/>
        <v>00:01:52.2 (3)</v>
      </c>
      <c r="Z8" s="53" t="str">
        <f t="shared" si="13"/>
        <v>00:03:39.6 (1)</v>
      </c>
      <c r="AA8" s="53" t="str">
        <f t="shared" si="14"/>
        <v>00:05:26.7 (61)</v>
      </c>
      <c r="AB8" s="53" t="str">
        <f t="shared" si="15"/>
        <v>DNS/DNF ()</v>
      </c>
      <c r="AC8" s="53" t="str">
        <f t="shared" si="16"/>
        <v>DNS/DNF ()</v>
      </c>
      <c r="AD8" s="53" t="str">
        <f t="shared" si="17"/>
        <v>DNS/DNF ()</v>
      </c>
      <c r="AE8" s="53">
        <v>33616034</v>
      </c>
      <c r="AF8" s="53">
        <v>33797125</v>
      </c>
      <c r="AG8" s="53">
        <v>31013168</v>
      </c>
      <c r="AH8" s="53">
        <v>31220126</v>
      </c>
      <c r="AI8" s="53">
        <v>35846482</v>
      </c>
      <c r="AJ8" s="53">
        <v>35958719</v>
      </c>
      <c r="AK8" s="53">
        <v>39746264</v>
      </c>
      <c r="AL8" s="53">
        <v>39965911</v>
      </c>
      <c r="AM8" s="53">
        <v>41879378</v>
      </c>
      <c r="AN8" s="53">
        <v>42206089</v>
      </c>
      <c r="AO8" s="53">
        <v>0</v>
      </c>
      <c r="AP8" s="53">
        <v>0</v>
      </c>
      <c r="AQ8" s="53">
        <v>0</v>
      </c>
      <c r="AR8" s="53">
        <v>0</v>
      </c>
      <c r="AS8" s="53">
        <v>0</v>
      </c>
      <c r="AT8" s="53">
        <v>0</v>
      </c>
      <c r="AU8" s="62">
        <f t="shared" si="18"/>
        <v>2.095960648148148E-3</v>
      </c>
      <c r="AV8" s="62">
        <f t="shared" si="19"/>
        <v>2.3953472222222223E-3</v>
      </c>
      <c r="AW8" s="62">
        <f t="shared" si="20"/>
        <v>1.2990393518518518E-3</v>
      </c>
      <c r="AX8" s="62">
        <f t="shared" si="21"/>
        <v>2.542210648148148E-3</v>
      </c>
      <c r="AY8" s="62">
        <f t="shared" si="22"/>
        <v>3.7813773148148147E-3</v>
      </c>
      <c r="AZ8" s="62" t="str">
        <f t="shared" si="23"/>
        <v>DNS/DNF</v>
      </c>
      <c r="BA8" s="62" t="str">
        <f t="shared" si="24"/>
        <v>DNS/DNF</v>
      </c>
      <c r="BB8" s="62" t="str">
        <f t="shared" si="25"/>
        <v>DNS/DNF</v>
      </c>
      <c r="BC8" s="75">
        <f t="shared" si="26"/>
        <v>14</v>
      </c>
      <c r="BD8" s="53">
        <f t="shared" si="27"/>
        <v>198358</v>
      </c>
      <c r="BE8" s="53">
        <f t="shared" si="28"/>
        <v>216018</v>
      </c>
      <c r="BF8" s="53">
        <f t="shared" si="29"/>
        <v>119686.00000000001</v>
      </c>
      <c r="BG8" s="53">
        <f t="shared" si="30"/>
        <v>237310</v>
      </c>
      <c r="BH8" s="53">
        <f t="shared" si="31"/>
        <v>300263</v>
      </c>
      <c r="BI8" s="53" t="str">
        <f t="shared" si="32"/>
        <v/>
      </c>
      <c r="BJ8" s="53" t="str">
        <f t="shared" si="33"/>
        <v/>
      </c>
      <c r="BK8" s="53" t="str">
        <f t="shared" si="34"/>
        <v/>
      </c>
    </row>
    <row r="9" spans="1:65">
      <c r="A9" s="53">
        <v>168</v>
      </c>
      <c r="B9" s="89" t="str">
        <f>IFERROR(VLOOKUP($A9,EntryList!$A$3:$N$645,2,FALSE),"")</f>
        <v>Gary Barnard</v>
      </c>
      <c r="C9" s="74"/>
      <c r="D9" s="53">
        <f t="shared" si="0"/>
        <v>5</v>
      </c>
      <c r="E9" s="62">
        <v>2.2157986111111111E-3</v>
      </c>
      <c r="F9" s="62">
        <v>2.4329282407407403E-3</v>
      </c>
      <c r="G9" s="62">
        <v>1.4300231481481481E-3</v>
      </c>
      <c r="H9" s="62">
        <v>2.6705555555555558E-3</v>
      </c>
      <c r="I9" s="62">
        <v>3.3873263888888889E-3</v>
      </c>
      <c r="J9" s="62"/>
      <c r="K9" s="62"/>
      <c r="L9" s="62"/>
      <c r="M9" s="62">
        <v>1.2136631944444443E-2</v>
      </c>
      <c r="N9" s="62">
        <f t="shared" si="1"/>
        <v>1.2136631944444445E-2</v>
      </c>
      <c r="O9" s="53">
        <f t="shared" si="2"/>
        <v>4</v>
      </c>
      <c r="P9" s="53">
        <f t="shared" si="3"/>
        <v>6</v>
      </c>
      <c r="Q9" s="53">
        <f t="shared" si="4"/>
        <v>22</v>
      </c>
      <c r="R9" s="53">
        <f t="shared" si="5"/>
        <v>7</v>
      </c>
      <c r="S9" s="53">
        <f t="shared" si="6"/>
        <v>10</v>
      </c>
      <c r="T9" s="53" t="str">
        <f t="shared" si="7"/>
        <v/>
      </c>
      <c r="U9" s="53" t="str">
        <f t="shared" si="8"/>
        <v/>
      </c>
      <c r="V9" s="53" t="str">
        <f t="shared" si="9"/>
        <v/>
      </c>
      <c r="W9" s="53" t="str">
        <f t="shared" si="10"/>
        <v>00:03:11.4 (4)</v>
      </c>
      <c r="X9" s="53" t="str">
        <f t="shared" si="11"/>
        <v>00:03:30.2 (6)</v>
      </c>
      <c r="Y9" s="53" t="str">
        <f t="shared" si="12"/>
        <v>00:02:03.6 (22)</v>
      </c>
      <c r="Z9" s="53" t="str">
        <f t="shared" si="13"/>
        <v>00:03:50.7 (7)</v>
      </c>
      <c r="AA9" s="53" t="str">
        <f t="shared" si="14"/>
        <v>00:04:52.7 (10)</v>
      </c>
      <c r="AB9" s="53" t="str">
        <f t="shared" si="15"/>
        <v>DNS/DNF ()</v>
      </c>
      <c r="AC9" s="53" t="str">
        <f t="shared" si="16"/>
        <v>DNS/DNF ()</v>
      </c>
      <c r="AD9" s="53" t="str">
        <f t="shared" si="17"/>
        <v>DNS/DNF ()</v>
      </c>
      <c r="AE9" s="53">
        <v>32421779</v>
      </c>
      <c r="AF9" s="53">
        <v>32613224</v>
      </c>
      <c r="AG9" s="53">
        <v>30507267</v>
      </c>
      <c r="AH9" s="53">
        <v>30717472</v>
      </c>
      <c r="AI9" s="53">
        <v>35012669</v>
      </c>
      <c r="AJ9" s="53">
        <v>35136223</v>
      </c>
      <c r="AK9" s="53">
        <v>37918902</v>
      </c>
      <c r="AL9" s="53">
        <v>38149638</v>
      </c>
      <c r="AM9" s="53">
        <v>39267037</v>
      </c>
      <c r="AN9" s="53">
        <v>39559702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62">
        <f t="shared" si="18"/>
        <v>2.2157986111111111E-3</v>
      </c>
      <c r="AV9" s="62">
        <f t="shared" si="19"/>
        <v>2.4329282407407407E-3</v>
      </c>
      <c r="AW9" s="62">
        <f t="shared" si="20"/>
        <v>1.4300231481481481E-3</v>
      </c>
      <c r="AX9" s="62">
        <f t="shared" si="21"/>
        <v>2.6705555555555554E-3</v>
      </c>
      <c r="AY9" s="62">
        <f t="shared" si="22"/>
        <v>3.3873263888888889E-3</v>
      </c>
      <c r="AZ9" s="62" t="str">
        <f t="shared" si="23"/>
        <v>DNS/DNF</v>
      </c>
      <c r="BA9" s="62" t="str">
        <f t="shared" si="24"/>
        <v>DNS/DNF</v>
      </c>
      <c r="BB9" s="62" t="str">
        <f t="shared" si="25"/>
        <v>DNS/DNF</v>
      </c>
      <c r="BC9" s="75">
        <f t="shared" si="26"/>
        <v>10</v>
      </c>
      <c r="BD9" s="53">
        <f t="shared" si="27"/>
        <v>195697.99999999997</v>
      </c>
      <c r="BE9" s="53">
        <f t="shared" si="28"/>
        <v>213153</v>
      </c>
      <c r="BF9" s="53">
        <f t="shared" si="29"/>
        <v>118956</v>
      </c>
      <c r="BG9" s="53">
        <f t="shared" si="30"/>
        <v>232005.99999999997</v>
      </c>
      <c r="BH9" s="53">
        <f t="shared" si="31"/>
        <v>292665</v>
      </c>
      <c r="BI9" s="53" t="str">
        <f t="shared" si="32"/>
        <v/>
      </c>
      <c r="BJ9" s="53" t="str">
        <f t="shared" si="33"/>
        <v/>
      </c>
      <c r="BK9" s="53" t="str">
        <f t="shared" si="34"/>
        <v/>
      </c>
    </row>
    <row r="10" spans="1:65">
      <c r="A10" s="53">
        <v>246</v>
      </c>
      <c r="B10" s="89" t="str">
        <f>IFERROR(VLOOKUP($A10,EntryList!$A$3:$N$645,2,FALSE),"")</f>
        <v>Michard Meets</v>
      </c>
      <c r="C10" s="74"/>
      <c r="D10" s="53">
        <f t="shared" si="0"/>
        <v>5</v>
      </c>
      <c r="E10" s="62">
        <v>2.253310185185185E-3</v>
      </c>
      <c r="F10" s="62">
        <v>2.5178240740740738E-3</v>
      </c>
      <c r="G10" s="62">
        <v>1.3771412037037036E-3</v>
      </c>
      <c r="H10" s="62">
        <v>2.6784027777777778E-3</v>
      </c>
      <c r="I10" s="62">
        <v>3.338275462962963E-3</v>
      </c>
      <c r="J10" s="62"/>
      <c r="K10" s="62"/>
      <c r="L10" s="62"/>
      <c r="M10" s="62">
        <v>1.2164953703703704E-2</v>
      </c>
      <c r="N10" s="62">
        <f t="shared" si="1"/>
        <v>1.2164953703703704E-2</v>
      </c>
      <c r="O10" s="53">
        <f t="shared" si="2"/>
        <v>9</v>
      </c>
      <c r="P10" s="53">
        <f t="shared" si="3"/>
        <v>16</v>
      </c>
      <c r="Q10" s="53">
        <f t="shared" si="4"/>
        <v>11</v>
      </c>
      <c r="R10" s="53">
        <f t="shared" si="5"/>
        <v>8</v>
      </c>
      <c r="S10" s="53">
        <f t="shared" si="6"/>
        <v>5</v>
      </c>
      <c r="T10" s="53" t="str">
        <f t="shared" si="7"/>
        <v/>
      </c>
      <c r="U10" s="53" t="str">
        <f t="shared" si="8"/>
        <v/>
      </c>
      <c r="V10" s="53" t="str">
        <f t="shared" si="9"/>
        <v/>
      </c>
      <c r="W10" s="53" t="str">
        <f t="shared" si="10"/>
        <v>00:03:14.7 (9)</v>
      </c>
      <c r="X10" s="53" t="str">
        <f t="shared" si="11"/>
        <v>00:03:37.5 (16)</v>
      </c>
      <c r="Y10" s="53" t="str">
        <f t="shared" si="12"/>
        <v>00:01:59.0 (11)</v>
      </c>
      <c r="Z10" s="53" t="str">
        <f t="shared" si="13"/>
        <v>00:03:51.4 (8)</v>
      </c>
      <c r="AA10" s="53" t="str">
        <f t="shared" si="14"/>
        <v>00:04:48.4 (5)</v>
      </c>
      <c r="AB10" s="53" t="str">
        <f t="shared" si="15"/>
        <v>DNS/DNF ()</v>
      </c>
      <c r="AC10" s="53" t="str">
        <f t="shared" si="16"/>
        <v>DNS/DNF ()</v>
      </c>
      <c r="AD10" s="53" t="str">
        <f t="shared" si="17"/>
        <v>DNS/DNF ()</v>
      </c>
      <c r="AE10" s="53">
        <v>37547174</v>
      </c>
      <c r="AF10" s="53">
        <v>37741860</v>
      </c>
      <c r="AG10" s="53">
        <v>33927276</v>
      </c>
      <c r="AH10" s="53">
        <v>34144816</v>
      </c>
      <c r="AI10" s="53">
        <v>31061063</v>
      </c>
      <c r="AJ10" s="53">
        <v>31180048</v>
      </c>
      <c r="AK10" s="53">
        <v>40839568</v>
      </c>
      <c r="AL10" s="53">
        <v>41070982</v>
      </c>
      <c r="AM10" s="53">
        <v>45020126</v>
      </c>
      <c r="AN10" s="53">
        <v>45308553</v>
      </c>
      <c r="AO10" s="53">
        <v>0</v>
      </c>
      <c r="AP10" s="53">
        <v>0</v>
      </c>
      <c r="AQ10" s="53">
        <v>0</v>
      </c>
      <c r="AR10" s="53">
        <v>0</v>
      </c>
      <c r="AS10" s="53">
        <v>0</v>
      </c>
      <c r="AT10" s="53">
        <v>0</v>
      </c>
      <c r="AU10" s="62">
        <f t="shared" si="18"/>
        <v>2.253310185185185E-3</v>
      </c>
      <c r="AV10" s="62">
        <f t="shared" si="19"/>
        <v>2.5178240740740742E-3</v>
      </c>
      <c r="AW10" s="62">
        <f t="shared" si="20"/>
        <v>1.3771412037037038E-3</v>
      </c>
      <c r="AX10" s="62">
        <f t="shared" si="21"/>
        <v>2.6784027777777778E-3</v>
      </c>
      <c r="AY10" s="62">
        <f t="shared" si="22"/>
        <v>3.338275462962963E-3</v>
      </c>
      <c r="AZ10" s="62" t="str">
        <f t="shared" si="23"/>
        <v>DNS/DNF</v>
      </c>
      <c r="BA10" s="62" t="str">
        <f t="shared" si="24"/>
        <v>DNS/DNF</v>
      </c>
      <c r="BB10" s="62" t="str">
        <f t="shared" si="25"/>
        <v>DNS/DNF</v>
      </c>
      <c r="BC10" s="75">
        <f t="shared" si="26"/>
        <v>10</v>
      </c>
      <c r="BD10" s="53">
        <f t="shared" si="27"/>
        <v>195697.99999999997</v>
      </c>
      <c r="BE10" s="53">
        <f t="shared" si="28"/>
        <v>213153</v>
      </c>
      <c r="BF10" s="53">
        <f t="shared" si="29"/>
        <v>118956</v>
      </c>
      <c r="BG10" s="53">
        <f t="shared" si="30"/>
        <v>232005.99999999997</v>
      </c>
      <c r="BH10" s="53">
        <f t="shared" si="31"/>
        <v>292665</v>
      </c>
      <c r="BI10" s="53" t="str">
        <f t="shared" si="32"/>
        <v/>
      </c>
      <c r="BJ10" s="53" t="str">
        <f t="shared" si="33"/>
        <v/>
      </c>
      <c r="BK10" s="53" t="str">
        <f t="shared" si="34"/>
        <v/>
      </c>
    </row>
    <row r="11" spans="1:65">
      <c r="A11" s="53">
        <v>193</v>
      </c>
      <c r="B11" s="89" t="str">
        <f>IFERROR(VLOOKUP($A11,EntryList!$A$3:$N$645,2,FALSE),"")</f>
        <v>Justin Novella</v>
      </c>
      <c r="C11" s="74"/>
      <c r="D11" s="53">
        <f t="shared" si="0"/>
        <v>5</v>
      </c>
      <c r="E11" s="62">
        <v>2.3153356481481484E-3</v>
      </c>
      <c r="F11" s="62">
        <v>2.496909722222222E-3</v>
      </c>
      <c r="G11" s="62">
        <v>1.3392592592592594E-3</v>
      </c>
      <c r="H11" s="62">
        <v>2.6841898148148146E-3</v>
      </c>
      <c r="I11" s="62">
        <v>3.3477893518518518E-3</v>
      </c>
      <c r="J11" s="62"/>
      <c r="K11" s="62"/>
      <c r="L11" s="62"/>
      <c r="M11" s="62">
        <v>1.2183483796296296E-2</v>
      </c>
      <c r="N11" s="62">
        <f t="shared" si="1"/>
        <v>1.2183483796296296E-2</v>
      </c>
      <c r="O11" s="53">
        <f t="shared" si="2"/>
        <v>15</v>
      </c>
      <c r="P11" s="53">
        <f t="shared" si="3"/>
        <v>13</v>
      </c>
      <c r="Q11" s="53">
        <f t="shared" si="4"/>
        <v>4</v>
      </c>
      <c r="R11" s="53">
        <f t="shared" si="5"/>
        <v>9</v>
      </c>
      <c r="S11" s="53">
        <f t="shared" si="6"/>
        <v>6</v>
      </c>
      <c r="T11" s="53" t="str">
        <f t="shared" si="7"/>
        <v/>
      </c>
      <c r="U11" s="53" t="str">
        <f t="shared" si="8"/>
        <v/>
      </c>
      <c r="V11" s="53" t="str">
        <f t="shared" si="9"/>
        <v/>
      </c>
      <c r="W11" s="53" t="str">
        <f t="shared" si="10"/>
        <v>00:03:20.0 (15)</v>
      </c>
      <c r="X11" s="53" t="str">
        <f t="shared" si="11"/>
        <v>00:03:35.7 (13)</v>
      </c>
      <c r="Y11" s="53" t="str">
        <f t="shared" si="12"/>
        <v>00:01:55.7 (4)</v>
      </c>
      <c r="Z11" s="53" t="str">
        <f t="shared" si="13"/>
        <v>00:03:51.9 (9)</v>
      </c>
      <c r="AA11" s="53" t="str">
        <f t="shared" si="14"/>
        <v>00:04:49.2 (6)</v>
      </c>
      <c r="AB11" s="53" t="str">
        <f t="shared" si="15"/>
        <v>DNS/DNF ()</v>
      </c>
      <c r="AC11" s="53" t="str">
        <f t="shared" si="16"/>
        <v>DNS/DNF ()</v>
      </c>
      <c r="AD11" s="53" t="str">
        <f t="shared" si="17"/>
        <v>DNS/DNF ()</v>
      </c>
      <c r="AE11" s="53">
        <v>31065721</v>
      </c>
      <c r="AF11" s="53">
        <v>31265766</v>
      </c>
      <c r="AG11" s="53">
        <v>35055694</v>
      </c>
      <c r="AH11" s="53">
        <v>35271427</v>
      </c>
      <c r="AI11" s="53">
        <v>37607194</v>
      </c>
      <c r="AJ11" s="53">
        <v>37722906</v>
      </c>
      <c r="AK11" s="53">
        <v>41790070</v>
      </c>
      <c r="AL11" s="53">
        <v>42021984</v>
      </c>
      <c r="AM11" s="53">
        <v>43997250</v>
      </c>
      <c r="AN11" s="53">
        <v>44286499</v>
      </c>
      <c r="AO11" s="53">
        <v>0</v>
      </c>
      <c r="AP11" s="53">
        <v>0</v>
      </c>
      <c r="AQ11" s="53">
        <v>0</v>
      </c>
      <c r="AR11" s="53">
        <v>0</v>
      </c>
      <c r="AS11" s="53">
        <v>0</v>
      </c>
      <c r="AT11" s="53">
        <v>0</v>
      </c>
      <c r="AU11" s="62">
        <f t="shared" si="18"/>
        <v>2.315335648148148E-3</v>
      </c>
      <c r="AV11" s="62">
        <f t="shared" si="19"/>
        <v>2.4969097222222224E-3</v>
      </c>
      <c r="AW11" s="62">
        <f t="shared" si="20"/>
        <v>1.3392592592592592E-3</v>
      </c>
      <c r="AX11" s="62">
        <f t="shared" si="21"/>
        <v>2.6841898148148146E-3</v>
      </c>
      <c r="AY11" s="62">
        <f t="shared" si="22"/>
        <v>3.3477893518518518E-3</v>
      </c>
      <c r="AZ11" s="62" t="str">
        <f t="shared" si="23"/>
        <v>DNS/DNF</v>
      </c>
      <c r="BA11" s="62" t="str">
        <f t="shared" si="24"/>
        <v>DNS/DNF</v>
      </c>
      <c r="BB11" s="62" t="str">
        <f t="shared" si="25"/>
        <v>DNS/DNF</v>
      </c>
      <c r="BC11" s="75">
        <f t="shared" si="26"/>
        <v>9</v>
      </c>
      <c r="BD11" s="53">
        <f t="shared" si="27"/>
        <v>194686</v>
      </c>
      <c r="BE11" s="53">
        <f t="shared" si="28"/>
        <v>212596</v>
      </c>
      <c r="BF11" s="53">
        <f t="shared" si="29"/>
        <v>118898</v>
      </c>
      <c r="BG11" s="53">
        <f t="shared" si="30"/>
        <v>231913.99999999997</v>
      </c>
      <c r="BH11" s="53">
        <f t="shared" si="31"/>
        <v>292081</v>
      </c>
      <c r="BI11" s="53" t="str">
        <f t="shared" si="32"/>
        <v/>
      </c>
      <c r="BJ11" s="53" t="str">
        <f t="shared" si="33"/>
        <v/>
      </c>
      <c r="BK11" s="53" t="str">
        <f t="shared" si="34"/>
        <v/>
      </c>
    </row>
    <row r="12" spans="1:65">
      <c r="A12" s="53">
        <v>8</v>
      </c>
      <c r="B12" s="89" t="str">
        <f>IFERROR(VLOOKUP($A12,EntryList!$A$3:$N$645,2,FALSE),"")</f>
        <v>Myles Kelsey</v>
      </c>
      <c r="C12" s="74"/>
      <c r="D12" s="53">
        <f t="shared" si="0"/>
        <v>5</v>
      </c>
      <c r="E12" s="62">
        <v>2.2859375000000002E-3</v>
      </c>
      <c r="F12" s="62">
        <v>2.4670486111111113E-3</v>
      </c>
      <c r="G12" s="62">
        <v>1.3761342592592592E-3</v>
      </c>
      <c r="H12" s="62">
        <v>2.7562152777777776E-3</v>
      </c>
      <c r="I12" s="62">
        <v>3.3756828703703705E-3</v>
      </c>
      <c r="J12" s="62"/>
      <c r="K12" s="62"/>
      <c r="L12" s="62"/>
      <c r="M12" s="62">
        <v>1.226101851851852E-2</v>
      </c>
      <c r="N12" s="62">
        <f t="shared" si="1"/>
        <v>1.2261018518518518E-2</v>
      </c>
      <c r="O12" s="53">
        <f t="shared" si="2"/>
        <v>12</v>
      </c>
      <c r="P12" s="53">
        <f t="shared" si="3"/>
        <v>10</v>
      </c>
      <c r="Q12" s="53">
        <f t="shared" si="4"/>
        <v>9</v>
      </c>
      <c r="R12" s="53">
        <f t="shared" si="5"/>
        <v>15</v>
      </c>
      <c r="S12" s="53">
        <f t="shared" si="6"/>
        <v>8</v>
      </c>
      <c r="T12" s="53" t="str">
        <f t="shared" si="7"/>
        <v/>
      </c>
      <c r="U12" s="53" t="str">
        <f t="shared" si="8"/>
        <v/>
      </c>
      <c r="V12" s="53" t="str">
        <f t="shared" si="9"/>
        <v/>
      </c>
      <c r="W12" s="53" t="str">
        <f t="shared" si="10"/>
        <v>00:03:17.5 (12)</v>
      </c>
      <c r="X12" s="53" t="str">
        <f t="shared" si="11"/>
        <v>00:03:33.2 (10)</v>
      </c>
      <c r="Y12" s="53" t="str">
        <f t="shared" si="12"/>
        <v>00:01:58.9 (9)</v>
      </c>
      <c r="Z12" s="53" t="str">
        <f t="shared" si="13"/>
        <v>00:03:58.1 (15)</v>
      </c>
      <c r="AA12" s="53" t="str">
        <f t="shared" si="14"/>
        <v>00:04:51.7 (8)</v>
      </c>
      <c r="AB12" s="53" t="str">
        <f t="shared" si="15"/>
        <v>DNS/DNF ()</v>
      </c>
      <c r="AC12" s="53" t="str">
        <f t="shared" si="16"/>
        <v>DNS/DNF ()</v>
      </c>
      <c r="AD12" s="53" t="str">
        <f t="shared" si="17"/>
        <v>DNS/DNF ()</v>
      </c>
      <c r="AE12" s="53">
        <v>32470728</v>
      </c>
      <c r="AF12" s="53">
        <v>32668233</v>
      </c>
      <c r="AG12" s="53">
        <v>30449186</v>
      </c>
      <c r="AH12" s="53">
        <v>30662339</v>
      </c>
      <c r="AI12" s="53">
        <v>34971650</v>
      </c>
      <c r="AJ12" s="53">
        <v>35090548</v>
      </c>
      <c r="AK12" s="53">
        <v>37965088</v>
      </c>
      <c r="AL12" s="53">
        <v>38203225</v>
      </c>
      <c r="AM12" s="53">
        <v>39347309</v>
      </c>
      <c r="AN12" s="53">
        <v>39638968</v>
      </c>
      <c r="AO12" s="53">
        <v>0</v>
      </c>
      <c r="AP12" s="53">
        <v>0</v>
      </c>
      <c r="AQ12" s="53">
        <v>0</v>
      </c>
      <c r="AR12" s="53">
        <v>0</v>
      </c>
      <c r="AS12" s="53">
        <v>0</v>
      </c>
      <c r="AT12" s="53">
        <v>0</v>
      </c>
      <c r="AU12" s="62">
        <f t="shared" si="18"/>
        <v>2.2859375000000002E-3</v>
      </c>
      <c r="AV12" s="62">
        <f t="shared" si="19"/>
        <v>2.4670486111111113E-3</v>
      </c>
      <c r="AW12" s="62">
        <f t="shared" si="20"/>
        <v>1.3761342592592592E-3</v>
      </c>
      <c r="AX12" s="62">
        <f t="shared" si="21"/>
        <v>2.7562152777777776E-3</v>
      </c>
      <c r="AY12" s="62">
        <f t="shared" si="22"/>
        <v>3.3756828703703705E-3</v>
      </c>
      <c r="AZ12" s="62" t="str">
        <f t="shared" si="23"/>
        <v>DNS/DNF</v>
      </c>
      <c r="BA12" s="62" t="str">
        <f t="shared" si="24"/>
        <v>DNS/DNF</v>
      </c>
      <c r="BB12" s="62" t="str">
        <f t="shared" si="25"/>
        <v>DNS/DNF</v>
      </c>
      <c r="BC12" s="75">
        <f t="shared" si="26"/>
        <v>11</v>
      </c>
      <c r="BD12" s="53">
        <f t="shared" si="27"/>
        <v>197444</v>
      </c>
      <c r="BE12" s="53">
        <f t="shared" si="28"/>
        <v>214915.99999999997</v>
      </c>
      <c r="BF12" s="53">
        <f t="shared" si="29"/>
        <v>118985</v>
      </c>
      <c r="BG12" s="53">
        <f t="shared" si="30"/>
        <v>235416</v>
      </c>
      <c r="BH12" s="53">
        <f t="shared" si="31"/>
        <v>294904</v>
      </c>
      <c r="BI12" s="53" t="str">
        <f t="shared" si="32"/>
        <v/>
      </c>
      <c r="BJ12" s="53" t="str">
        <f t="shared" si="33"/>
        <v/>
      </c>
      <c r="BK12" s="53" t="str">
        <f t="shared" si="34"/>
        <v/>
      </c>
    </row>
    <row r="13" spans="1:65">
      <c r="A13" s="53">
        <v>35</v>
      </c>
      <c r="B13" s="89" t="str">
        <f>IFERROR(VLOOKUP($A13,EntryList!$A$3:$N$645,2,FALSE),"")</f>
        <v>Corbin Mann</v>
      </c>
      <c r="C13" s="74"/>
      <c r="D13" s="53">
        <f t="shared" si="0"/>
        <v>5</v>
      </c>
      <c r="E13" s="62">
        <v>2.2885532407407407E-3</v>
      </c>
      <c r="F13" s="62">
        <v>2.500208333333333E-3</v>
      </c>
      <c r="G13" s="62">
        <v>1.3781018518518517E-3</v>
      </c>
      <c r="H13" s="62">
        <v>2.7317476851851856E-3</v>
      </c>
      <c r="I13" s="62">
        <v>3.4139236111111111E-3</v>
      </c>
      <c r="J13" s="62"/>
      <c r="K13" s="62"/>
      <c r="L13" s="62"/>
      <c r="M13" s="62">
        <v>1.2312534722222221E-2</v>
      </c>
      <c r="N13" s="62">
        <f t="shared" si="1"/>
        <v>1.2312534722222221E-2</v>
      </c>
      <c r="O13" s="53">
        <f t="shared" si="2"/>
        <v>13</v>
      </c>
      <c r="P13" s="53">
        <f t="shared" si="3"/>
        <v>14</v>
      </c>
      <c r="Q13" s="53">
        <f t="shared" si="4"/>
        <v>13</v>
      </c>
      <c r="R13" s="53">
        <f t="shared" si="5"/>
        <v>12</v>
      </c>
      <c r="S13" s="53">
        <f t="shared" si="6"/>
        <v>12</v>
      </c>
      <c r="T13" s="53" t="str">
        <f t="shared" si="7"/>
        <v/>
      </c>
      <c r="U13" s="53" t="str">
        <f t="shared" si="8"/>
        <v/>
      </c>
      <c r="V13" s="53" t="str">
        <f t="shared" si="9"/>
        <v/>
      </c>
      <c r="W13" s="53" t="str">
        <f t="shared" si="10"/>
        <v>00:03:17.7 (13)</v>
      </c>
      <c r="X13" s="53" t="str">
        <f t="shared" si="11"/>
        <v>00:03:36.0 (14)</v>
      </c>
      <c r="Y13" s="53" t="str">
        <f t="shared" si="12"/>
        <v>00:01:59.1 (13)</v>
      </c>
      <c r="Z13" s="53" t="str">
        <f t="shared" si="13"/>
        <v>00:03:56.0 (12)</v>
      </c>
      <c r="AA13" s="53" t="str">
        <f t="shared" si="14"/>
        <v>00:04:55.0 (12)</v>
      </c>
      <c r="AB13" s="53" t="str">
        <f t="shared" si="15"/>
        <v>DNS/DNF ()</v>
      </c>
      <c r="AC13" s="53" t="str">
        <f t="shared" si="16"/>
        <v>DNS/DNF ()</v>
      </c>
      <c r="AD13" s="53" t="str">
        <f t="shared" si="17"/>
        <v>DNS/DNF ()</v>
      </c>
      <c r="AE13" s="53">
        <v>35962556</v>
      </c>
      <c r="AF13" s="53">
        <v>36160287</v>
      </c>
      <c r="AG13" s="53">
        <v>31977219</v>
      </c>
      <c r="AH13" s="53">
        <v>32193237</v>
      </c>
      <c r="AI13" s="53">
        <v>39672232</v>
      </c>
      <c r="AJ13" s="53">
        <v>39791300</v>
      </c>
      <c r="AK13" s="53">
        <v>44669444</v>
      </c>
      <c r="AL13" s="53">
        <v>44905467</v>
      </c>
      <c r="AM13" s="53">
        <v>47472936</v>
      </c>
      <c r="AN13" s="53">
        <v>47767899</v>
      </c>
      <c r="AO13" s="53">
        <v>0</v>
      </c>
      <c r="AP13" s="53">
        <v>0</v>
      </c>
      <c r="AQ13" s="53">
        <v>0</v>
      </c>
      <c r="AR13" s="53">
        <v>0</v>
      </c>
      <c r="AS13" s="53">
        <v>0</v>
      </c>
      <c r="AT13" s="53">
        <v>0</v>
      </c>
      <c r="AU13" s="62">
        <f t="shared" si="18"/>
        <v>2.2885532407407407E-3</v>
      </c>
      <c r="AV13" s="62">
        <f t="shared" si="19"/>
        <v>2.5002083333333334E-3</v>
      </c>
      <c r="AW13" s="62">
        <f t="shared" si="20"/>
        <v>1.3781018518518519E-3</v>
      </c>
      <c r="AX13" s="62">
        <f t="shared" si="21"/>
        <v>2.7317476851851851E-3</v>
      </c>
      <c r="AY13" s="62">
        <f t="shared" si="22"/>
        <v>3.4139236111111111E-3</v>
      </c>
      <c r="AZ13" s="62" t="str">
        <f t="shared" si="23"/>
        <v>DNS/DNF</v>
      </c>
      <c r="BA13" s="62" t="str">
        <f t="shared" si="24"/>
        <v>DNS/DNF</v>
      </c>
      <c r="BB13" s="62" t="str">
        <f t="shared" si="25"/>
        <v>DNS/DNF</v>
      </c>
      <c r="BC13" s="75">
        <f t="shared" si="26"/>
        <v>13</v>
      </c>
      <c r="BD13" s="53">
        <f t="shared" si="27"/>
        <v>197731</v>
      </c>
      <c r="BE13" s="53">
        <f t="shared" si="28"/>
        <v>215733.00000000003</v>
      </c>
      <c r="BF13" s="53">
        <f t="shared" si="29"/>
        <v>119068</v>
      </c>
      <c r="BG13" s="53">
        <f t="shared" si="30"/>
        <v>236188</v>
      </c>
      <c r="BH13" s="53">
        <f t="shared" si="31"/>
        <v>295614</v>
      </c>
      <c r="BI13" s="53" t="str">
        <f t="shared" si="32"/>
        <v/>
      </c>
      <c r="BJ13" s="53" t="str">
        <f t="shared" si="33"/>
        <v/>
      </c>
      <c r="BK13" s="53" t="str">
        <f t="shared" si="34"/>
        <v/>
      </c>
    </row>
    <row r="14" spans="1:65">
      <c r="A14" s="53">
        <v>248</v>
      </c>
      <c r="B14" s="89" t="str">
        <f>IFERROR(VLOOKUP($A14,EntryList!$A$3:$N$645,2,FALSE),"")</f>
        <v>Pieter Venter</v>
      </c>
      <c r="C14" s="74"/>
      <c r="D14" s="53">
        <f t="shared" si="0"/>
        <v>5</v>
      </c>
      <c r="E14" s="62">
        <v>2.265023148148148E-3</v>
      </c>
      <c r="F14" s="62">
        <v>2.5786111111111109E-3</v>
      </c>
      <c r="G14" s="62">
        <v>1.3719328703703704E-3</v>
      </c>
      <c r="H14" s="62">
        <v>2.7336574074074073E-3</v>
      </c>
      <c r="I14" s="62">
        <v>3.4214583333333332E-3</v>
      </c>
      <c r="J14" s="62"/>
      <c r="K14" s="62"/>
      <c r="L14" s="62"/>
      <c r="M14" s="62">
        <v>1.2370682870370369E-2</v>
      </c>
      <c r="N14" s="62">
        <f t="shared" si="1"/>
        <v>1.237068287037037E-2</v>
      </c>
      <c r="O14" s="53">
        <f t="shared" si="2"/>
        <v>10</v>
      </c>
      <c r="P14" s="53">
        <f t="shared" si="3"/>
        <v>24</v>
      </c>
      <c r="Q14" s="53">
        <f t="shared" si="4"/>
        <v>7</v>
      </c>
      <c r="R14" s="53">
        <f t="shared" si="5"/>
        <v>13</v>
      </c>
      <c r="S14" s="53">
        <f t="shared" si="6"/>
        <v>13</v>
      </c>
      <c r="T14" s="53" t="str">
        <f t="shared" si="7"/>
        <v/>
      </c>
      <c r="U14" s="53" t="str">
        <f t="shared" si="8"/>
        <v/>
      </c>
      <c r="V14" s="53" t="str">
        <f t="shared" si="9"/>
        <v/>
      </c>
      <c r="W14" s="53" t="str">
        <f t="shared" si="10"/>
        <v>00:03:15.7 (10)</v>
      </c>
      <c r="X14" s="53" t="str">
        <f t="shared" si="11"/>
        <v>00:03:42.8 (24)</v>
      </c>
      <c r="Y14" s="53" t="str">
        <f t="shared" si="12"/>
        <v>00:01:58.5 (7)</v>
      </c>
      <c r="Z14" s="53" t="str">
        <f t="shared" si="13"/>
        <v>00:03:56.2 (13)</v>
      </c>
      <c r="AA14" s="53" t="str">
        <f t="shared" si="14"/>
        <v>00:04:55.6 (13)</v>
      </c>
      <c r="AB14" s="53" t="str">
        <f t="shared" si="15"/>
        <v>DNS/DNF ()</v>
      </c>
      <c r="AC14" s="53" t="str">
        <f t="shared" si="16"/>
        <v>DNS/DNF ()</v>
      </c>
      <c r="AD14" s="53" t="str">
        <f t="shared" si="17"/>
        <v>DNS/DNF ()</v>
      </c>
      <c r="AE14" s="53">
        <v>35129584</v>
      </c>
      <c r="AF14" s="53">
        <v>35325282</v>
      </c>
      <c r="AG14" s="53">
        <v>31459980</v>
      </c>
      <c r="AH14" s="53">
        <v>31682772</v>
      </c>
      <c r="AI14" s="53">
        <v>38539862</v>
      </c>
      <c r="AJ14" s="53">
        <v>38658397</v>
      </c>
      <c r="AK14" s="53">
        <v>43588979</v>
      </c>
      <c r="AL14" s="53">
        <v>43825167</v>
      </c>
      <c r="AM14" s="53">
        <v>46730400</v>
      </c>
      <c r="AN14" s="53">
        <v>47026014</v>
      </c>
      <c r="AO14" s="53">
        <v>0</v>
      </c>
      <c r="AP14" s="53">
        <v>0</v>
      </c>
      <c r="AQ14" s="53">
        <v>0</v>
      </c>
      <c r="AR14" s="53">
        <v>0</v>
      </c>
      <c r="AS14" s="53">
        <v>0</v>
      </c>
      <c r="AT14" s="53">
        <v>0</v>
      </c>
      <c r="AU14" s="62">
        <f t="shared" si="18"/>
        <v>2.265023148148148E-3</v>
      </c>
      <c r="AV14" s="62">
        <f t="shared" si="19"/>
        <v>2.5786111111111109E-3</v>
      </c>
      <c r="AW14" s="62">
        <f t="shared" si="20"/>
        <v>1.3719328703703704E-3</v>
      </c>
      <c r="AX14" s="62">
        <f t="shared" si="21"/>
        <v>2.7336574074074073E-3</v>
      </c>
      <c r="AY14" s="62">
        <f t="shared" si="22"/>
        <v>3.4214583333333332E-3</v>
      </c>
      <c r="AZ14" s="62" t="str">
        <f t="shared" si="23"/>
        <v>DNS/DNF</v>
      </c>
      <c r="BA14" s="62" t="str">
        <f t="shared" si="24"/>
        <v>DNS/DNF</v>
      </c>
      <c r="BB14" s="62" t="str">
        <f t="shared" si="25"/>
        <v>DNS/DNF</v>
      </c>
      <c r="BC14" s="75">
        <f t="shared" si="26"/>
        <v>13</v>
      </c>
      <c r="BD14" s="53">
        <f t="shared" si="27"/>
        <v>197731</v>
      </c>
      <c r="BE14" s="53">
        <f t="shared" si="28"/>
        <v>215733.00000000003</v>
      </c>
      <c r="BF14" s="53">
        <f t="shared" si="29"/>
        <v>119068</v>
      </c>
      <c r="BG14" s="53">
        <f t="shared" si="30"/>
        <v>236188</v>
      </c>
      <c r="BH14" s="53">
        <f t="shared" si="31"/>
        <v>295614</v>
      </c>
      <c r="BI14" s="53" t="str">
        <f t="shared" si="32"/>
        <v/>
      </c>
      <c r="BJ14" s="53" t="str">
        <f t="shared" si="33"/>
        <v/>
      </c>
      <c r="BK14" s="53" t="str">
        <f t="shared" si="34"/>
        <v/>
      </c>
    </row>
    <row r="15" spans="1:65" ht="13.5" customHeight="1">
      <c r="A15" s="53">
        <v>131</v>
      </c>
      <c r="B15" s="89" t="str">
        <f>IFERROR(VLOOKUP($A15,EntryList!$A$3:$N$645,2,FALSE),"")</f>
        <v>Dane Olsen</v>
      </c>
      <c r="C15" s="74"/>
      <c r="D15" s="53">
        <f t="shared" si="0"/>
        <v>5</v>
      </c>
      <c r="E15" s="62">
        <v>2.4131597222222219E-3</v>
      </c>
      <c r="F15" s="62">
        <v>2.4963657407407408E-3</v>
      </c>
      <c r="G15" s="62">
        <v>1.3993287037037036E-3</v>
      </c>
      <c r="H15" s="62">
        <v>2.7247222222222221E-3</v>
      </c>
      <c r="I15" s="62">
        <v>3.5031828703703705E-3</v>
      </c>
      <c r="J15" s="62"/>
      <c r="K15" s="62"/>
      <c r="L15" s="62"/>
      <c r="M15" s="62">
        <v>1.253675925925926E-2</v>
      </c>
      <c r="N15" s="62">
        <f t="shared" si="1"/>
        <v>1.2536759259259258E-2</v>
      </c>
      <c r="O15" s="53">
        <f t="shared" si="2"/>
        <v>19</v>
      </c>
      <c r="P15" s="53">
        <f t="shared" si="3"/>
        <v>12</v>
      </c>
      <c r="Q15" s="53">
        <f t="shared" si="4"/>
        <v>16</v>
      </c>
      <c r="R15" s="53">
        <f t="shared" si="5"/>
        <v>11</v>
      </c>
      <c r="S15" s="53">
        <f t="shared" si="6"/>
        <v>20</v>
      </c>
      <c r="T15" s="53" t="str">
        <f t="shared" si="7"/>
        <v/>
      </c>
      <c r="U15" s="53" t="str">
        <f t="shared" si="8"/>
        <v/>
      </c>
      <c r="V15" s="53" t="str">
        <f t="shared" si="9"/>
        <v/>
      </c>
      <c r="W15" s="53" t="str">
        <f t="shared" si="10"/>
        <v>00:03:28.5 (19)</v>
      </c>
      <c r="X15" s="53" t="str">
        <f t="shared" si="11"/>
        <v>00:03:35.7 (12)</v>
      </c>
      <c r="Y15" s="53" t="str">
        <f t="shared" si="12"/>
        <v>00:02:00.9 (16)</v>
      </c>
      <c r="Z15" s="53" t="str">
        <f t="shared" si="13"/>
        <v>00:03:55.4 (11)</v>
      </c>
      <c r="AA15" s="53" t="str">
        <f t="shared" si="14"/>
        <v>00:05:02.7 (20)</v>
      </c>
      <c r="AB15" s="53" t="str">
        <f t="shared" si="15"/>
        <v>DNS/DNF ()</v>
      </c>
      <c r="AC15" s="53" t="str">
        <f t="shared" si="16"/>
        <v>DNS/DNF ()</v>
      </c>
      <c r="AD15" s="53" t="str">
        <f t="shared" si="17"/>
        <v>DNS/DNF ()</v>
      </c>
      <c r="AE15" s="53">
        <v>34279008</v>
      </c>
      <c r="AF15" s="53">
        <v>34487505</v>
      </c>
      <c r="AG15" s="53">
        <v>31358962</v>
      </c>
      <c r="AH15" s="53">
        <v>31574648</v>
      </c>
      <c r="AI15" s="53">
        <v>36985677</v>
      </c>
      <c r="AJ15" s="53">
        <v>37106579</v>
      </c>
      <c r="AK15" s="53">
        <v>41188677</v>
      </c>
      <c r="AL15" s="53">
        <v>41424093</v>
      </c>
      <c r="AM15" s="53">
        <v>44326302</v>
      </c>
      <c r="AN15" s="53">
        <v>44628977</v>
      </c>
      <c r="AO15" s="53">
        <v>0</v>
      </c>
      <c r="AP15" s="53">
        <v>0</v>
      </c>
      <c r="AQ15" s="53">
        <v>0</v>
      </c>
      <c r="AR15" s="53">
        <v>0</v>
      </c>
      <c r="AS15" s="53">
        <v>0</v>
      </c>
      <c r="AT15" s="53">
        <v>0</v>
      </c>
      <c r="AU15" s="62">
        <f t="shared" si="18"/>
        <v>2.4131597222222224E-3</v>
      </c>
      <c r="AV15" s="62">
        <f t="shared" si="19"/>
        <v>2.4963657407407408E-3</v>
      </c>
      <c r="AW15" s="62">
        <f t="shared" si="20"/>
        <v>1.3993287037037036E-3</v>
      </c>
      <c r="AX15" s="62">
        <f t="shared" si="21"/>
        <v>2.7247222222222221E-3</v>
      </c>
      <c r="AY15" s="62">
        <f t="shared" si="22"/>
        <v>3.5031828703703705E-3</v>
      </c>
      <c r="AZ15" s="62" t="str">
        <f t="shared" si="23"/>
        <v>DNS/DNF</v>
      </c>
      <c r="BA15" s="62" t="str">
        <f t="shared" si="24"/>
        <v>DNS/DNF</v>
      </c>
      <c r="BB15" s="62" t="str">
        <f t="shared" si="25"/>
        <v>DNS/DNF</v>
      </c>
      <c r="BC15" s="75">
        <f t="shared" si="26"/>
        <v>16</v>
      </c>
      <c r="BD15" s="53">
        <f t="shared" si="27"/>
        <v>200916</v>
      </c>
      <c r="BE15" s="53">
        <f t="shared" si="28"/>
        <v>217540</v>
      </c>
      <c r="BF15" s="53">
        <f t="shared" si="29"/>
        <v>120902</v>
      </c>
      <c r="BG15" s="53">
        <f t="shared" si="30"/>
        <v>238751</v>
      </c>
      <c r="BH15" s="53">
        <f t="shared" si="31"/>
        <v>301133</v>
      </c>
      <c r="BI15" s="53" t="str">
        <f t="shared" si="32"/>
        <v/>
      </c>
      <c r="BJ15" s="53" t="str">
        <f t="shared" si="33"/>
        <v/>
      </c>
      <c r="BK15" s="53" t="str">
        <f t="shared" si="34"/>
        <v/>
      </c>
    </row>
    <row r="16" spans="1:65">
      <c r="A16" s="53">
        <v>216</v>
      </c>
      <c r="B16" s="89" t="str">
        <f>IFERROR(VLOOKUP($A16,EntryList!$A$3:$N$645,2,FALSE),"")</f>
        <v>Johan Van Zyl</v>
      </c>
      <c r="C16" s="74"/>
      <c r="D16" s="53">
        <f t="shared" si="0"/>
        <v>5</v>
      </c>
      <c r="E16" s="62">
        <v>2.3601273148148149E-3</v>
      </c>
      <c r="F16" s="62">
        <v>2.5275694444444443E-3</v>
      </c>
      <c r="G16" s="62">
        <v>1.4660763888888889E-3</v>
      </c>
      <c r="H16" s="62">
        <v>2.7821874999999999E-3</v>
      </c>
      <c r="I16" s="62">
        <v>3.4132407407407406E-3</v>
      </c>
      <c r="J16" s="62"/>
      <c r="K16" s="62"/>
      <c r="L16" s="62"/>
      <c r="M16" s="62">
        <v>1.2549201388888889E-2</v>
      </c>
      <c r="N16" s="62">
        <f t="shared" si="1"/>
        <v>1.2549201388888889E-2</v>
      </c>
      <c r="O16" s="53">
        <f t="shared" si="2"/>
        <v>17</v>
      </c>
      <c r="P16" s="53">
        <f t="shared" si="3"/>
        <v>18</v>
      </c>
      <c r="Q16" s="53">
        <f t="shared" si="4"/>
        <v>32</v>
      </c>
      <c r="R16" s="53">
        <f t="shared" si="5"/>
        <v>20</v>
      </c>
      <c r="S16" s="53">
        <f t="shared" si="6"/>
        <v>11</v>
      </c>
      <c r="T16" s="53" t="str">
        <f t="shared" si="7"/>
        <v/>
      </c>
      <c r="U16" s="53" t="str">
        <f t="shared" si="8"/>
        <v/>
      </c>
      <c r="V16" s="53" t="str">
        <f t="shared" si="9"/>
        <v/>
      </c>
      <c r="W16" s="53" t="str">
        <f t="shared" si="10"/>
        <v>00:03:23.9 (17)</v>
      </c>
      <c r="X16" s="53" t="str">
        <f t="shared" si="11"/>
        <v>00:03:38.4 (18)</v>
      </c>
      <c r="Y16" s="53" t="str">
        <f t="shared" si="12"/>
        <v>00:02:06.7 (32)</v>
      </c>
      <c r="Z16" s="53" t="str">
        <f t="shared" si="13"/>
        <v>00:04:00.4 (20)</v>
      </c>
      <c r="AA16" s="53" t="str">
        <f t="shared" si="14"/>
        <v>00:04:54.9 (11)</v>
      </c>
      <c r="AB16" s="53" t="str">
        <f t="shared" si="15"/>
        <v>DNS/DNF ()</v>
      </c>
      <c r="AC16" s="53" t="str">
        <f t="shared" si="16"/>
        <v>DNS/DNF ()</v>
      </c>
      <c r="AD16" s="53" t="str">
        <f t="shared" si="17"/>
        <v>DNS/DNF ()</v>
      </c>
      <c r="AE16" s="53">
        <v>30869370</v>
      </c>
      <c r="AF16" s="53">
        <v>31073285</v>
      </c>
      <c r="AG16" s="53">
        <v>38511139</v>
      </c>
      <c r="AH16" s="53">
        <v>38729521</v>
      </c>
      <c r="AI16" s="53">
        <v>33177839</v>
      </c>
      <c r="AJ16" s="53">
        <v>33304508</v>
      </c>
      <c r="AK16" s="53">
        <v>43841168</v>
      </c>
      <c r="AL16" s="53">
        <v>44081549</v>
      </c>
      <c r="AM16" s="53">
        <v>46809178</v>
      </c>
      <c r="AN16" s="53">
        <v>47104082</v>
      </c>
      <c r="AO16" s="53">
        <v>0</v>
      </c>
      <c r="AP16" s="53">
        <v>0</v>
      </c>
      <c r="AQ16" s="53">
        <v>0</v>
      </c>
      <c r="AR16" s="53">
        <v>0</v>
      </c>
      <c r="AS16" s="53">
        <v>0</v>
      </c>
      <c r="AT16" s="53">
        <v>0</v>
      </c>
      <c r="AU16" s="62">
        <f t="shared" si="18"/>
        <v>2.3601273148148149E-3</v>
      </c>
      <c r="AV16" s="62">
        <f t="shared" si="19"/>
        <v>2.5275694444444443E-3</v>
      </c>
      <c r="AW16" s="62">
        <f t="shared" si="20"/>
        <v>1.4660763888888889E-3</v>
      </c>
      <c r="AX16" s="62">
        <f t="shared" si="21"/>
        <v>2.7821874999999999E-3</v>
      </c>
      <c r="AY16" s="62">
        <f t="shared" si="22"/>
        <v>3.4132407407407406E-3</v>
      </c>
      <c r="AZ16" s="62" t="str">
        <f t="shared" si="23"/>
        <v>DNS/DNF</v>
      </c>
      <c r="BA16" s="62" t="str">
        <f t="shared" si="24"/>
        <v>DNS/DNF</v>
      </c>
      <c r="BB16" s="62" t="str">
        <f t="shared" si="25"/>
        <v>DNS/DNF</v>
      </c>
      <c r="BC16" s="75">
        <f t="shared" si="26"/>
        <v>20</v>
      </c>
      <c r="BD16" s="53">
        <f t="shared" si="27"/>
        <v>209606</v>
      </c>
      <c r="BE16" s="53">
        <f t="shared" si="28"/>
        <v>221469</v>
      </c>
      <c r="BF16" s="53">
        <f t="shared" si="29"/>
        <v>123096</v>
      </c>
      <c r="BG16" s="53">
        <f t="shared" si="30"/>
        <v>240381</v>
      </c>
      <c r="BH16" s="53">
        <f t="shared" si="31"/>
        <v>302675</v>
      </c>
      <c r="BI16" s="53" t="str">
        <f t="shared" si="32"/>
        <v/>
      </c>
      <c r="BJ16" s="53" t="str">
        <f t="shared" si="33"/>
        <v/>
      </c>
      <c r="BK16" s="53" t="str">
        <f t="shared" si="34"/>
        <v/>
      </c>
    </row>
    <row r="17" spans="1:63">
      <c r="A17" s="53">
        <v>249</v>
      </c>
      <c r="B17" s="89" t="str">
        <f>IFERROR(VLOOKUP($A17,EntryList!$A$3:$N$645,2,FALSE),"")</f>
        <v>Henning Venter</v>
      </c>
      <c r="C17" s="74"/>
      <c r="D17" s="53">
        <f t="shared" si="0"/>
        <v>5</v>
      </c>
      <c r="E17" s="62">
        <v>2.4469328703703706E-3</v>
      </c>
      <c r="F17" s="62">
        <v>2.5302546296296297E-3</v>
      </c>
      <c r="G17" s="62">
        <v>1.4240625E-3</v>
      </c>
      <c r="H17" s="62">
        <v>2.7811111111111114E-3</v>
      </c>
      <c r="I17" s="62">
        <v>3.4752662037037039E-3</v>
      </c>
      <c r="J17" s="62"/>
      <c r="K17" s="62"/>
      <c r="L17" s="62"/>
      <c r="M17" s="62">
        <v>1.2657627314814816E-2</v>
      </c>
      <c r="N17" s="62">
        <f t="shared" si="1"/>
        <v>1.2657627314814814E-2</v>
      </c>
      <c r="O17" s="53">
        <f t="shared" si="2"/>
        <v>24</v>
      </c>
      <c r="P17" s="53">
        <f t="shared" si="3"/>
        <v>19</v>
      </c>
      <c r="Q17" s="53">
        <f t="shared" si="4"/>
        <v>19</v>
      </c>
      <c r="R17" s="53">
        <f t="shared" si="5"/>
        <v>19</v>
      </c>
      <c r="S17" s="53">
        <f t="shared" si="6"/>
        <v>14</v>
      </c>
      <c r="T17" s="53" t="str">
        <f t="shared" si="7"/>
        <v/>
      </c>
      <c r="U17" s="53" t="str">
        <f t="shared" si="8"/>
        <v/>
      </c>
      <c r="V17" s="53" t="str">
        <f t="shared" si="9"/>
        <v/>
      </c>
      <c r="W17" s="53" t="str">
        <f t="shared" si="10"/>
        <v>00:03:31.4 (24)</v>
      </c>
      <c r="X17" s="53" t="str">
        <f t="shared" si="11"/>
        <v>00:03:38.6 (19)</v>
      </c>
      <c r="Y17" s="53" t="str">
        <f t="shared" si="12"/>
        <v>00:02:03.0 (19)</v>
      </c>
      <c r="Z17" s="53" t="str">
        <f t="shared" si="13"/>
        <v>00:04:00.3 (19)</v>
      </c>
      <c r="AA17" s="53" t="str">
        <f t="shared" si="14"/>
        <v>00:05:00.3 (14)</v>
      </c>
      <c r="AB17" s="53" t="str">
        <f t="shared" si="15"/>
        <v>DNS/DNF ()</v>
      </c>
      <c r="AC17" s="53" t="str">
        <f t="shared" si="16"/>
        <v>DNS/DNF ()</v>
      </c>
      <c r="AD17" s="53" t="str">
        <f t="shared" si="17"/>
        <v>DNS/DNF ()</v>
      </c>
      <c r="AE17" s="53">
        <v>35200410</v>
      </c>
      <c r="AF17" s="53">
        <v>35411825</v>
      </c>
      <c r="AG17" s="53">
        <v>31477796</v>
      </c>
      <c r="AH17" s="53">
        <v>31696410</v>
      </c>
      <c r="AI17" s="53">
        <v>38506274</v>
      </c>
      <c r="AJ17" s="53">
        <v>38629313</v>
      </c>
      <c r="AK17" s="53">
        <v>43482986</v>
      </c>
      <c r="AL17" s="53">
        <v>43723274</v>
      </c>
      <c r="AM17" s="53">
        <v>46570718</v>
      </c>
      <c r="AN17" s="53">
        <v>46870981</v>
      </c>
      <c r="AO17" s="53">
        <v>0</v>
      </c>
      <c r="AP17" s="53">
        <v>0</v>
      </c>
      <c r="AQ17" s="53">
        <v>0</v>
      </c>
      <c r="AR17" s="53">
        <v>0</v>
      </c>
      <c r="AS17" s="53">
        <v>0</v>
      </c>
      <c r="AT17" s="53">
        <v>0</v>
      </c>
      <c r="AU17" s="62">
        <f t="shared" si="18"/>
        <v>2.4469328703703706E-3</v>
      </c>
      <c r="AV17" s="62">
        <f t="shared" si="19"/>
        <v>2.5302546296296297E-3</v>
      </c>
      <c r="AW17" s="62">
        <f t="shared" si="20"/>
        <v>1.4240625E-3</v>
      </c>
      <c r="AX17" s="62">
        <f t="shared" si="21"/>
        <v>2.7811111111111109E-3</v>
      </c>
      <c r="AY17" s="62">
        <f t="shared" si="22"/>
        <v>3.4752662037037035E-3</v>
      </c>
      <c r="AZ17" s="62" t="str">
        <f t="shared" si="23"/>
        <v>DNS/DNF</v>
      </c>
      <c r="BA17" s="62" t="str">
        <f t="shared" si="24"/>
        <v>DNS/DNF</v>
      </c>
      <c r="BB17" s="62" t="str">
        <f t="shared" si="25"/>
        <v>DNS/DNF</v>
      </c>
      <c r="BC17" s="75">
        <f t="shared" si="26"/>
        <v>19</v>
      </c>
      <c r="BD17" s="53">
        <f t="shared" si="27"/>
        <v>208497</v>
      </c>
      <c r="BE17" s="53">
        <f t="shared" si="28"/>
        <v>218614</v>
      </c>
      <c r="BF17" s="53">
        <f t="shared" si="29"/>
        <v>123039</v>
      </c>
      <c r="BG17" s="53">
        <f t="shared" si="30"/>
        <v>240287.99999999997</v>
      </c>
      <c r="BH17" s="53">
        <f t="shared" si="31"/>
        <v>302114</v>
      </c>
      <c r="BI17" s="53" t="str">
        <f t="shared" si="32"/>
        <v/>
      </c>
      <c r="BJ17" s="53" t="str">
        <f t="shared" si="33"/>
        <v/>
      </c>
      <c r="BK17" s="53" t="str">
        <f t="shared" si="34"/>
        <v/>
      </c>
    </row>
    <row r="18" spans="1:63">
      <c r="A18" s="53">
        <v>135</v>
      </c>
      <c r="B18" s="89" t="str">
        <f>IFERROR(VLOOKUP($A18,EntryList!$A$3:$N$645,2,FALSE),"")</f>
        <v>Fourie Van Wyk</v>
      </c>
      <c r="C18" s="74"/>
      <c r="D18" s="53">
        <f t="shared" si="0"/>
        <v>5</v>
      </c>
      <c r="E18" s="62">
        <v>2.295810185185185E-3</v>
      </c>
      <c r="F18" s="62">
        <v>2.6591550925925927E-3</v>
      </c>
      <c r="G18" s="62">
        <v>1.3962152777777777E-3</v>
      </c>
      <c r="H18" s="62">
        <v>2.8342129629629633E-3</v>
      </c>
      <c r="I18" s="62">
        <v>3.5569560185185188E-3</v>
      </c>
      <c r="J18" s="62"/>
      <c r="K18" s="62"/>
      <c r="L18" s="62"/>
      <c r="M18" s="62">
        <v>1.2742349537037038E-2</v>
      </c>
      <c r="N18" s="62">
        <f t="shared" si="1"/>
        <v>1.2742349537037036E-2</v>
      </c>
      <c r="O18" s="53">
        <f t="shared" si="2"/>
        <v>14</v>
      </c>
      <c r="P18" s="53">
        <f t="shared" si="3"/>
        <v>35</v>
      </c>
      <c r="Q18" s="53">
        <f t="shared" si="4"/>
        <v>15</v>
      </c>
      <c r="R18" s="53">
        <f t="shared" si="5"/>
        <v>22</v>
      </c>
      <c r="S18" s="53">
        <f t="shared" si="6"/>
        <v>26</v>
      </c>
      <c r="T18" s="53" t="str">
        <f t="shared" si="7"/>
        <v/>
      </c>
      <c r="U18" s="53" t="str">
        <f t="shared" si="8"/>
        <v/>
      </c>
      <c r="V18" s="53" t="str">
        <f t="shared" si="9"/>
        <v/>
      </c>
      <c r="W18" s="53" t="str">
        <f t="shared" si="10"/>
        <v>00:03:18.4 (14)</v>
      </c>
      <c r="X18" s="53" t="str">
        <f t="shared" si="11"/>
        <v>00:03:49.8 (35)</v>
      </c>
      <c r="Y18" s="53" t="str">
        <f t="shared" si="12"/>
        <v>00:02:00.6 (15)</v>
      </c>
      <c r="Z18" s="53" t="str">
        <f t="shared" si="13"/>
        <v>00:04:04.9 (22)</v>
      </c>
      <c r="AA18" s="53" t="str">
        <f t="shared" si="14"/>
        <v>00:05:07.3 (26)</v>
      </c>
      <c r="AB18" s="53" t="str">
        <f t="shared" si="15"/>
        <v>DNS/DNF ()</v>
      </c>
      <c r="AC18" s="53" t="str">
        <f t="shared" si="16"/>
        <v>DNS/DNF ()</v>
      </c>
      <c r="AD18" s="53" t="str">
        <f t="shared" si="17"/>
        <v>DNS/DNF ()</v>
      </c>
      <c r="AE18" s="53">
        <v>35028765</v>
      </c>
      <c r="AF18" s="53">
        <v>35227123</v>
      </c>
      <c r="AG18" s="53">
        <v>31434919</v>
      </c>
      <c r="AH18" s="53">
        <v>31664670</v>
      </c>
      <c r="AI18" s="53">
        <v>38564606</v>
      </c>
      <c r="AJ18" s="53">
        <v>38685239</v>
      </c>
      <c r="AK18" s="53">
        <v>43628610</v>
      </c>
      <c r="AL18" s="53">
        <v>43873486</v>
      </c>
      <c r="AM18" s="53">
        <v>46499314</v>
      </c>
      <c r="AN18" s="53">
        <v>46806635</v>
      </c>
      <c r="AO18" s="53">
        <v>0</v>
      </c>
      <c r="AP18" s="53">
        <v>0</v>
      </c>
      <c r="AQ18" s="53">
        <v>0</v>
      </c>
      <c r="AR18" s="53">
        <v>0</v>
      </c>
      <c r="AS18" s="53">
        <v>0</v>
      </c>
      <c r="AT18" s="53">
        <v>0</v>
      </c>
      <c r="AU18" s="62">
        <f t="shared" si="18"/>
        <v>2.295810185185185E-3</v>
      </c>
      <c r="AV18" s="62">
        <f t="shared" si="19"/>
        <v>2.6591550925925927E-3</v>
      </c>
      <c r="AW18" s="62">
        <f t="shared" si="20"/>
        <v>1.3962152777777777E-3</v>
      </c>
      <c r="AX18" s="62">
        <f t="shared" si="21"/>
        <v>2.8342129629629629E-3</v>
      </c>
      <c r="AY18" s="62">
        <f t="shared" si="22"/>
        <v>3.5569560185185183E-3</v>
      </c>
      <c r="AZ18" s="62" t="str">
        <f t="shared" si="23"/>
        <v>DNS/DNF</v>
      </c>
      <c r="BA18" s="62" t="str">
        <f t="shared" si="24"/>
        <v>DNS/DNF</v>
      </c>
      <c r="BB18" s="62" t="str">
        <f t="shared" si="25"/>
        <v>DNS/DNF</v>
      </c>
      <c r="BC18" s="75">
        <f t="shared" si="26"/>
        <v>22</v>
      </c>
      <c r="BD18" s="53">
        <f t="shared" si="27"/>
        <v>210562</v>
      </c>
      <c r="BE18" s="53">
        <f t="shared" si="28"/>
        <v>221891</v>
      </c>
      <c r="BF18" s="53">
        <f t="shared" si="29"/>
        <v>123554</v>
      </c>
      <c r="BG18" s="53">
        <f t="shared" si="30"/>
        <v>244876</v>
      </c>
      <c r="BH18" s="53">
        <f t="shared" si="31"/>
        <v>303339</v>
      </c>
      <c r="BI18" s="53" t="str">
        <f t="shared" si="32"/>
        <v/>
      </c>
      <c r="BJ18" s="53" t="str">
        <f t="shared" si="33"/>
        <v/>
      </c>
      <c r="BK18" s="53" t="str">
        <f t="shared" si="34"/>
        <v/>
      </c>
    </row>
    <row r="19" spans="1:63">
      <c r="A19" s="53">
        <v>101</v>
      </c>
      <c r="B19" s="89" t="str">
        <f>IFERROR(VLOOKUP($A19,EntryList!$A$3:$N$645,2,FALSE),"")</f>
        <v>Samuel Courts</v>
      </c>
      <c r="C19" s="74"/>
      <c r="D19" s="53">
        <f t="shared" si="0"/>
        <v>5</v>
      </c>
      <c r="E19" s="62">
        <v>2.4728819444444446E-3</v>
      </c>
      <c r="F19" s="62">
        <v>2.5095023148148147E-3</v>
      </c>
      <c r="G19" s="62">
        <v>1.4247222222222222E-3</v>
      </c>
      <c r="H19" s="62">
        <v>2.8584953703703706E-3</v>
      </c>
      <c r="I19" s="62">
        <v>3.4966898148148149E-3</v>
      </c>
      <c r="J19" s="62"/>
      <c r="K19" s="62"/>
      <c r="L19" s="62"/>
      <c r="M19" s="62">
        <v>1.2762291666666668E-2</v>
      </c>
      <c r="N19" s="62">
        <f t="shared" si="1"/>
        <v>1.2762291666666667E-2</v>
      </c>
      <c r="O19" s="53">
        <f t="shared" si="2"/>
        <v>27</v>
      </c>
      <c r="P19" s="53">
        <f t="shared" si="3"/>
        <v>15</v>
      </c>
      <c r="Q19" s="53">
        <f t="shared" si="4"/>
        <v>20</v>
      </c>
      <c r="R19" s="53">
        <f t="shared" si="5"/>
        <v>25</v>
      </c>
      <c r="S19" s="53">
        <f t="shared" si="6"/>
        <v>19</v>
      </c>
      <c r="T19" s="53" t="str">
        <f t="shared" si="7"/>
        <v/>
      </c>
      <c r="U19" s="53" t="str">
        <f t="shared" si="8"/>
        <v/>
      </c>
      <c r="V19" s="53" t="str">
        <f t="shared" si="9"/>
        <v/>
      </c>
      <c r="W19" s="53" t="str">
        <f t="shared" si="10"/>
        <v>00:03:33.7 (27)</v>
      </c>
      <c r="X19" s="53" t="str">
        <f t="shared" si="11"/>
        <v>00:03:36.8 (15)</v>
      </c>
      <c r="Y19" s="53" t="str">
        <f t="shared" si="12"/>
        <v>00:02:03.1 (20)</v>
      </c>
      <c r="Z19" s="53" t="str">
        <f t="shared" si="13"/>
        <v>00:04:07.0 (25)</v>
      </c>
      <c r="AA19" s="53" t="str">
        <f t="shared" si="14"/>
        <v>00:05:02.1 (19)</v>
      </c>
      <c r="AB19" s="53" t="str">
        <f t="shared" si="15"/>
        <v>DNS/DNF ()</v>
      </c>
      <c r="AC19" s="53" t="str">
        <f t="shared" si="16"/>
        <v>DNS/DNF ()</v>
      </c>
      <c r="AD19" s="53" t="str">
        <f t="shared" si="17"/>
        <v>DNS/DNF ()</v>
      </c>
      <c r="AE19" s="53">
        <v>33183967</v>
      </c>
      <c r="AF19" s="53">
        <v>33397624</v>
      </c>
      <c r="AG19" s="53">
        <v>39489058</v>
      </c>
      <c r="AH19" s="53">
        <v>39705879</v>
      </c>
      <c r="AI19" s="53">
        <v>36415942</v>
      </c>
      <c r="AJ19" s="53">
        <v>36539038</v>
      </c>
      <c r="AK19" s="53">
        <v>44055297</v>
      </c>
      <c r="AL19" s="53">
        <v>44302271</v>
      </c>
      <c r="AM19" s="53">
        <v>47008280</v>
      </c>
      <c r="AN19" s="53">
        <v>47310394</v>
      </c>
      <c r="AO19" s="53">
        <v>0</v>
      </c>
      <c r="AP19" s="53">
        <v>0</v>
      </c>
      <c r="AQ19" s="53">
        <v>0</v>
      </c>
      <c r="AR19" s="53">
        <v>0</v>
      </c>
      <c r="AS19" s="53">
        <v>0</v>
      </c>
      <c r="AT19" s="53">
        <v>0</v>
      </c>
      <c r="AU19" s="62">
        <f t="shared" si="18"/>
        <v>2.4728819444444446E-3</v>
      </c>
      <c r="AV19" s="62">
        <f t="shared" si="19"/>
        <v>2.5095023148148147E-3</v>
      </c>
      <c r="AW19" s="62">
        <f t="shared" si="20"/>
        <v>1.4247222222222222E-3</v>
      </c>
      <c r="AX19" s="62">
        <f t="shared" si="21"/>
        <v>2.8584953703703702E-3</v>
      </c>
      <c r="AY19" s="62">
        <f t="shared" si="22"/>
        <v>3.4966898148148149E-3</v>
      </c>
      <c r="AZ19" s="62" t="str">
        <f t="shared" si="23"/>
        <v>DNS/DNF</v>
      </c>
      <c r="BA19" s="62" t="str">
        <f t="shared" si="24"/>
        <v>DNS/DNF</v>
      </c>
      <c r="BB19" s="62" t="str">
        <f t="shared" si="25"/>
        <v>DNS/DNF</v>
      </c>
      <c r="BC19" s="75">
        <f t="shared" si="26"/>
        <v>21</v>
      </c>
      <c r="BD19" s="53">
        <f t="shared" si="27"/>
        <v>210144</v>
      </c>
      <c r="BE19" s="53">
        <f t="shared" si="28"/>
        <v>221681</v>
      </c>
      <c r="BF19" s="53">
        <f t="shared" si="29"/>
        <v>123318.00000000001</v>
      </c>
      <c r="BG19" s="53">
        <f t="shared" si="30"/>
        <v>244870</v>
      </c>
      <c r="BH19" s="53">
        <f t="shared" si="31"/>
        <v>302882</v>
      </c>
      <c r="BI19" s="53" t="str">
        <f t="shared" si="32"/>
        <v/>
      </c>
      <c r="BJ19" s="53" t="str">
        <f t="shared" si="33"/>
        <v/>
      </c>
      <c r="BK19" s="53" t="str">
        <f t="shared" si="34"/>
        <v/>
      </c>
    </row>
    <row r="20" spans="1:63">
      <c r="A20" s="53">
        <v>170</v>
      </c>
      <c r="B20" s="89" t="str">
        <f>IFERROR(VLOOKUP($A20,EntryList!$A$3:$N$645,2,FALSE),"")</f>
        <v>Samuel Cleary</v>
      </c>
      <c r="C20" s="74"/>
      <c r="D20" s="53">
        <f t="shared" si="0"/>
        <v>5</v>
      </c>
      <c r="E20" s="62">
        <v>2.5261226851851855E-3</v>
      </c>
      <c r="F20" s="62">
        <v>2.5632986111111112E-3</v>
      </c>
      <c r="G20" s="62">
        <v>1.4477546296296298E-3</v>
      </c>
      <c r="H20" s="62">
        <v>2.7797685185185187E-3</v>
      </c>
      <c r="I20" s="62">
        <v>3.4793981481481481E-3</v>
      </c>
      <c r="J20" s="62"/>
      <c r="K20" s="62"/>
      <c r="L20" s="62"/>
      <c r="M20" s="62">
        <v>1.2796342592592594E-2</v>
      </c>
      <c r="N20" s="62">
        <f t="shared" si="1"/>
        <v>1.2796342592592594E-2</v>
      </c>
      <c r="O20" s="53">
        <f t="shared" si="2"/>
        <v>32</v>
      </c>
      <c r="P20" s="53">
        <f t="shared" si="3"/>
        <v>20</v>
      </c>
      <c r="Q20" s="53">
        <f t="shared" si="4"/>
        <v>25</v>
      </c>
      <c r="R20" s="53">
        <f t="shared" si="5"/>
        <v>18</v>
      </c>
      <c r="S20" s="53">
        <f t="shared" si="6"/>
        <v>15</v>
      </c>
      <c r="T20" s="53" t="str">
        <f t="shared" si="7"/>
        <v/>
      </c>
      <c r="U20" s="53" t="str">
        <f t="shared" si="8"/>
        <v/>
      </c>
      <c r="V20" s="53" t="str">
        <f t="shared" si="9"/>
        <v/>
      </c>
      <c r="W20" s="53" t="str">
        <f t="shared" si="10"/>
        <v>00:03:38.3 (32)</v>
      </c>
      <c r="X20" s="53" t="str">
        <f t="shared" si="11"/>
        <v>00:03:41.5 (20)</v>
      </c>
      <c r="Y20" s="53" t="str">
        <f t="shared" si="12"/>
        <v>00:02:05.1 (25)</v>
      </c>
      <c r="Z20" s="53" t="str">
        <f t="shared" si="13"/>
        <v>00:04:00.2 (18)</v>
      </c>
      <c r="AA20" s="53" t="str">
        <f t="shared" si="14"/>
        <v>00:05:00.6 (15)</v>
      </c>
      <c r="AB20" s="53" t="str">
        <f t="shared" si="15"/>
        <v>DNS/DNF ()</v>
      </c>
      <c r="AC20" s="53" t="str">
        <f t="shared" si="16"/>
        <v>DNS/DNF ()</v>
      </c>
      <c r="AD20" s="53" t="str">
        <f t="shared" si="17"/>
        <v>DNS/DNF ()</v>
      </c>
      <c r="AE20" s="53">
        <v>33959827</v>
      </c>
      <c r="AF20" s="53">
        <v>34178084</v>
      </c>
      <c r="AG20" s="53">
        <v>30897984</v>
      </c>
      <c r="AH20" s="53">
        <v>31119453</v>
      </c>
      <c r="AI20" s="53">
        <v>36744863</v>
      </c>
      <c r="AJ20" s="53">
        <v>36869949</v>
      </c>
      <c r="AK20" s="53">
        <v>40514326</v>
      </c>
      <c r="AL20" s="53">
        <v>40754498</v>
      </c>
      <c r="AM20" s="53">
        <v>43082338</v>
      </c>
      <c r="AN20" s="53">
        <v>43382958</v>
      </c>
      <c r="AO20" s="53">
        <v>0</v>
      </c>
      <c r="AP20" s="53">
        <v>0</v>
      </c>
      <c r="AQ20" s="53">
        <v>0</v>
      </c>
      <c r="AR20" s="53">
        <v>0</v>
      </c>
      <c r="AS20" s="53">
        <v>0</v>
      </c>
      <c r="AT20" s="53">
        <v>0</v>
      </c>
      <c r="AU20" s="62">
        <f t="shared" si="18"/>
        <v>2.5261226851851851E-3</v>
      </c>
      <c r="AV20" s="62">
        <f t="shared" si="19"/>
        <v>2.5632986111111112E-3</v>
      </c>
      <c r="AW20" s="62">
        <f t="shared" si="20"/>
        <v>1.4477546296296296E-3</v>
      </c>
      <c r="AX20" s="62">
        <f t="shared" si="21"/>
        <v>2.7797685185185187E-3</v>
      </c>
      <c r="AY20" s="62">
        <f t="shared" si="22"/>
        <v>3.4793981481481481E-3</v>
      </c>
      <c r="AZ20" s="62" t="str">
        <f t="shared" si="23"/>
        <v>DNS/DNF</v>
      </c>
      <c r="BA20" s="62" t="str">
        <f t="shared" si="24"/>
        <v>DNS/DNF</v>
      </c>
      <c r="BB20" s="62" t="str">
        <f t="shared" si="25"/>
        <v>DNS/DNF</v>
      </c>
      <c r="BC20" s="75">
        <f t="shared" si="26"/>
        <v>22</v>
      </c>
      <c r="BD20" s="53">
        <f t="shared" si="27"/>
        <v>210562</v>
      </c>
      <c r="BE20" s="53">
        <f t="shared" si="28"/>
        <v>221891</v>
      </c>
      <c r="BF20" s="53">
        <f t="shared" si="29"/>
        <v>123554</v>
      </c>
      <c r="BG20" s="53">
        <f t="shared" si="30"/>
        <v>244876</v>
      </c>
      <c r="BH20" s="53">
        <f t="shared" si="31"/>
        <v>303339</v>
      </c>
      <c r="BI20" s="53" t="str">
        <f t="shared" si="32"/>
        <v/>
      </c>
      <c r="BJ20" s="53" t="str">
        <f t="shared" si="33"/>
        <v/>
      </c>
      <c r="BK20" s="53" t="str">
        <f t="shared" si="34"/>
        <v/>
      </c>
    </row>
    <row r="21" spans="1:63">
      <c r="A21" s="53">
        <v>253</v>
      </c>
      <c r="B21" s="89" t="str">
        <f>IFERROR(VLOOKUP($A21,EntryList!$A$3:$N$645,2,FALSE),"")</f>
        <v>Ethan Hunter</v>
      </c>
      <c r="C21" s="74"/>
      <c r="D21" s="53">
        <f t="shared" si="0"/>
        <v>5</v>
      </c>
      <c r="E21" s="62">
        <v>2.5298611111111108E-3</v>
      </c>
      <c r="F21" s="62">
        <v>2.5657523148148145E-3</v>
      </c>
      <c r="G21" s="62">
        <v>1.4077430555555553E-3</v>
      </c>
      <c r="H21" s="62">
        <v>2.8599652777777777E-3</v>
      </c>
      <c r="I21" s="62">
        <v>3.5483449074074076E-3</v>
      </c>
      <c r="J21" s="62"/>
      <c r="K21" s="62"/>
      <c r="L21" s="62"/>
      <c r="M21" s="62">
        <v>1.2911666666666667E-2</v>
      </c>
      <c r="N21" s="62">
        <f t="shared" si="1"/>
        <v>1.2911666666666667E-2</v>
      </c>
      <c r="O21" s="53">
        <f t="shared" si="2"/>
        <v>33</v>
      </c>
      <c r="P21" s="53">
        <f t="shared" si="3"/>
        <v>21</v>
      </c>
      <c r="Q21" s="53">
        <f t="shared" si="4"/>
        <v>17</v>
      </c>
      <c r="R21" s="53">
        <f t="shared" si="5"/>
        <v>26</v>
      </c>
      <c r="S21" s="53">
        <f t="shared" si="6"/>
        <v>25</v>
      </c>
      <c r="T21" s="53" t="str">
        <f t="shared" si="7"/>
        <v/>
      </c>
      <c r="U21" s="53" t="str">
        <f t="shared" si="8"/>
        <v/>
      </c>
      <c r="V21" s="53" t="str">
        <f t="shared" si="9"/>
        <v/>
      </c>
      <c r="W21" s="53" t="str">
        <f t="shared" si="10"/>
        <v>00:03:38.6 (33)</v>
      </c>
      <c r="X21" s="53" t="str">
        <f t="shared" si="11"/>
        <v>00:03:41.7 (21)</v>
      </c>
      <c r="Y21" s="53" t="str">
        <f t="shared" si="12"/>
        <v>00:02:01.6 (17)</v>
      </c>
      <c r="Z21" s="53" t="str">
        <f t="shared" si="13"/>
        <v>00:04:07.1 (26)</v>
      </c>
      <c r="AA21" s="53" t="str">
        <f t="shared" si="14"/>
        <v>00:05:06.6 (25)</v>
      </c>
      <c r="AB21" s="53" t="str">
        <f t="shared" si="15"/>
        <v>DNS/DNF ()</v>
      </c>
      <c r="AC21" s="53" t="str">
        <f t="shared" si="16"/>
        <v>DNS/DNF ()</v>
      </c>
      <c r="AD21" s="53" t="str">
        <f t="shared" si="17"/>
        <v>DNS/DNF ()</v>
      </c>
      <c r="AE21" s="53">
        <v>31827678</v>
      </c>
      <c r="AF21" s="53">
        <v>32046258</v>
      </c>
      <c r="AG21" s="53">
        <v>35526449</v>
      </c>
      <c r="AH21" s="53">
        <v>35748130</v>
      </c>
      <c r="AI21" s="53">
        <v>38451216</v>
      </c>
      <c r="AJ21" s="53">
        <v>38572845</v>
      </c>
      <c r="AK21" s="53">
        <v>42249264</v>
      </c>
      <c r="AL21" s="53">
        <v>42496365</v>
      </c>
      <c r="AM21" s="53">
        <v>44600164</v>
      </c>
      <c r="AN21" s="53">
        <v>44906741</v>
      </c>
      <c r="AO21" s="53">
        <v>0</v>
      </c>
      <c r="AP21" s="53">
        <v>0</v>
      </c>
      <c r="AQ21" s="53">
        <v>0</v>
      </c>
      <c r="AR21" s="53">
        <v>0</v>
      </c>
      <c r="AS21" s="53">
        <v>0</v>
      </c>
      <c r="AT21" s="53">
        <v>0</v>
      </c>
      <c r="AU21" s="62">
        <f t="shared" si="18"/>
        <v>2.5298611111111112E-3</v>
      </c>
      <c r="AV21" s="62">
        <f t="shared" si="19"/>
        <v>2.565752314814815E-3</v>
      </c>
      <c r="AW21" s="62">
        <f t="shared" si="20"/>
        <v>1.4077430555555555E-3</v>
      </c>
      <c r="AX21" s="62">
        <f t="shared" si="21"/>
        <v>2.8599652777777777E-3</v>
      </c>
      <c r="AY21" s="62">
        <f t="shared" si="22"/>
        <v>3.5483449074074076E-3</v>
      </c>
      <c r="AZ21" s="62" t="str">
        <f t="shared" si="23"/>
        <v>DNS/DNF</v>
      </c>
      <c r="BA21" s="62" t="str">
        <f t="shared" si="24"/>
        <v>DNS/DNF</v>
      </c>
      <c r="BB21" s="62" t="str">
        <f t="shared" si="25"/>
        <v>DNS/DNF</v>
      </c>
      <c r="BC21" s="75">
        <f t="shared" si="26"/>
        <v>24</v>
      </c>
      <c r="BD21" s="53">
        <f t="shared" si="27"/>
        <v>211415.00000000003</v>
      </c>
      <c r="BE21" s="53">
        <f t="shared" si="28"/>
        <v>222792</v>
      </c>
      <c r="BF21" s="53">
        <f t="shared" si="29"/>
        <v>124747.99999999999</v>
      </c>
      <c r="BG21" s="53">
        <f t="shared" si="30"/>
        <v>246114</v>
      </c>
      <c r="BH21" s="53">
        <f t="shared" si="31"/>
        <v>305208</v>
      </c>
      <c r="BI21" s="53" t="str">
        <f t="shared" si="32"/>
        <v/>
      </c>
      <c r="BJ21" s="53" t="str">
        <f t="shared" si="33"/>
        <v/>
      </c>
      <c r="BK21" s="53" t="str">
        <f t="shared" si="34"/>
        <v/>
      </c>
    </row>
    <row r="22" spans="1:63">
      <c r="A22" s="53">
        <v>122</v>
      </c>
      <c r="B22" s="89" t="str">
        <f>IFERROR(VLOOKUP($A22,EntryList!$A$3:$N$645,2,FALSE),"")</f>
        <v>Juri De Bruyn</v>
      </c>
      <c r="C22" s="74"/>
      <c r="D22" s="53">
        <f t="shared" si="0"/>
        <v>5</v>
      </c>
      <c r="E22" s="62">
        <v>2.4843634259259259E-3</v>
      </c>
      <c r="F22" s="62">
        <v>2.5796643518518521E-3</v>
      </c>
      <c r="G22" s="62">
        <v>1.4438425925925927E-3</v>
      </c>
      <c r="H22" s="62">
        <v>2.9385416666666661E-3</v>
      </c>
      <c r="I22" s="62">
        <v>3.5108680555555553E-3</v>
      </c>
      <c r="J22" s="62"/>
      <c r="K22" s="62"/>
      <c r="L22" s="62"/>
      <c r="M22" s="62">
        <v>1.2957280092592593E-2</v>
      </c>
      <c r="N22" s="62">
        <f t="shared" si="1"/>
        <v>1.2957280092592593E-2</v>
      </c>
      <c r="O22" s="53">
        <f t="shared" si="2"/>
        <v>29</v>
      </c>
      <c r="P22" s="53">
        <f t="shared" si="3"/>
        <v>25</v>
      </c>
      <c r="Q22" s="53">
        <f t="shared" si="4"/>
        <v>24</v>
      </c>
      <c r="R22" s="53">
        <f t="shared" si="5"/>
        <v>35</v>
      </c>
      <c r="S22" s="53">
        <f t="shared" si="6"/>
        <v>22</v>
      </c>
      <c r="T22" s="53" t="str">
        <f t="shared" si="7"/>
        <v/>
      </c>
      <c r="U22" s="53" t="str">
        <f t="shared" si="8"/>
        <v/>
      </c>
      <c r="V22" s="53" t="str">
        <f t="shared" si="9"/>
        <v/>
      </c>
      <c r="W22" s="53" t="str">
        <f t="shared" si="10"/>
        <v>00:03:34.6 (29)</v>
      </c>
      <c r="X22" s="53" t="str">
        <f t="shared" si="11"/>
        <v>00:03:42.9 (25)</v>
      </c>
      <c r="Y22" s="53" t="str">
        <f t="shared" si="12"/>
        <v>00:02:04.7 (24)</v>
      </c>
      <c r="Z22" s="53" t="str">
        <f t="shared" si="13"/>
        <v>00:04:13.9 (35)</v>
      </c>
      <c r="AA22" s="53" t="str">
        <f t="shared" si="14"/>
        <v>00:05:03.3 (22)</v>
      </c>
      <c r="AB22" s="53" t="str">
        <f t="shared" si="15"/>
        <v>DNS/DNF ()</v>
      </c>
      <c r="AC22" s="53" t="str">
        <f t="shared" si="16"/>
        <v>DNS/DNF ()</v>
      </c>
      <c r="AD22" s="53" t="str">
        <f t="shared" si="17"/>
        <v>DNS/DNF ()</v>
      </c>
      <c r="AE22" s="53">
        <v>36661143</v>
      </c>
      <c r="AF22" s="53">
        <v>36875792</v>
      </c>
      <c r="AG22" s="53">
        <v>40056788</v>
      </c>
      <c r="AH22" s="53">
        <v>40279671</v>
      </c>
      <c r="AI22" s="53">
        <v>32649320</v>
      </c>
      <c r="AJ22" s="53">
        <v>32774068</v>
      </c>
      <c r="AK22" s="53">
        <v>44471268</v>
      </c>
      <c r="AL22" s="53">
        <v>44725158</v>
      </c>
      <c r="AM22" s="53">
        <v>48307346</v>
      </c>
      <c r="AN22" s="53">
        <v>48610685</v>
      </c>
      <c r="AO22" s="53">
        <v>0</v>
      </c>
      <c r="AP22" s="53">
        <v>0</v>
      </c>
      <c r="AQ22" s="53">
        <v>0</v>
      </c>
      <c r="AR22" s="53">
        <v>0</v>
      </c>
      <c r="AS22" s="53">
        <v>0</v>
      </c>
      <c r="AT22" s="53">
        <v>0</v>
      </c>
      <c r="AU22" s="62">
        <f t="shared" si="18"/>
        <v>2.4843634259259259E-3</v>
      </c>
      <c r="AV22" s="62">
        <f t="shared" si="19"/>
        <v>2.5796643518518516E-3</v>
      </c>
      <c r="AW22" s="62">
        <f t="shared" si="20"/>
        <v>1.4438425925925925E-3</v>
      </c>
      <c r="AX22" s="62">
        <f t="shared" si="21"/>
        <v>2.9385416666666666E-3</v>
      </c>
      <c r="AY22" s="62">
        <f t="shared" si="22"/>
        <v>3.5108680555555557E-3</v>
      </c>
      <c r="AZ22" s="62" t="str">
        <f t="shared" si="23"/>
        <v>DNS/DNF</v>
      </c>
      <c r="BA22" s="62" t="str">
        <f t="shared" si="24"/>
        <v>DNS/DNF</v>
      </c>
      <c r="BB22" s="62" t="str">
        <f t="shared" si="25"/>
        <v>DNS/DNF</v>
      </c>
      <c r="BC22" s="75">
        <f t="shared" si="26"/>
        <v>27</v>
      </c>
      <c r="BD22" s="53">
        <f t="shared" si="27"/>
        <v>213657.00000000003</v>
      </c>
      <c r="BE22" s="53">
        <f t="shared" si="28"/>
        <v>224598</v>
      </c>
      <c r="BF22" s="53">
        <f t="shared" si="29"/>
        <v>125292</v>
      </c>
      <c r="BG22" s="53">
        <f t="shared" si="30"/>
        <v>247790</v>
      </c>
      <c r="BH22" s="53">
        <f t="shared" si="31"/>
        <v>308137</v>
      </c>
      <c r="BI22" s="53" t="str">
        <f t="shared" si="32"/>
        <v/>
      </c>
      <c r="BJ22" s="53" t="str">
        <f t="shared" si="33"/>
        <v/>
      </c>
      <c r="BK22" s="53" t="str">
        <f t="shared" si="34"/>
        <v/>
      </c>
    </row>
    <row r="23" spans="1:63">
      <c r="A23" s="53">
        <v>219</v>
      </c>
      <c r="B23" s="89" t="str">
        <f>IFERROR(VLOOKUP($A23,EntryList!$A$3:$N$645,2,FALSE),"")</f>
        <v>Alexander Ham</v>
      </c>
      <c r="C23" s="74"/>
      <c r="D23" s="53">
        <f t="shared" si="0"/>
        <v>5</v>
      </c>
      <c r="E23" s="62">
        <v>2.7849305555555557E-3</v>
      </c>
      <c r="F23" s="62">
        <v>2.459861111111111E-3</v>
      </c>
      <c r="G23" s="62">
        <v>1.4519675925925926E-3</v>
      </c>
      <c r="H23" s="62">
        <v>2.7633217592592592E-3</v>
      </c>
      <c r="I23" s="62">
        <v>3.5055787037037039E-3</v>
      </c>
      <c r="J23" s="62"/>
      <c r="K23" s="62"/>
      <c r="L23" s="62"/>
      <c r="M23" s="62">
        <v>1.2965659722222222E-2</v>
      </c>
      <c r="N23" s="62">
        <f t="shared" si="1"/>
        <v>1.2965659722222222E-2</v>
      </c>
      <c r="O23" s="53">
        <f t="shared" si="2"/>
        <v>57</v>
      </c>
      <c r="P23" s="53">
        <f t="shared" si="3"/>
        <v>8</v>
      </c>
      <c r="Q23" s="53">
        <f t="shared" si="4"/>
        <v>28</v>
      </c>
      <c r="R23" s="53">
        <f t="shared" si="5"/>
        <v>16</v>
      </c>
      <c r="S23" s="53">
        <f t="shared" si="6"/>
        <v>21</v>
      </c>
      <c r="T23" s="53" t="str">
        <f t="shared" si="7"/>
        <v/>
      </c>
      <c r="U23" s="53" t="str">
        <f t="shared" si="8"/>
        <v/>
      </c>
      <c r="V23" s="53" t="str">
        <f t="shared" si="9"/>
        <v/>
      </c>
      <c r="W23" s="53" t="str">
        <f t="shared" si="10"/>
        <v>00:04:00.6 (57)</v>
      </c>
      <c r="X23" s="53" t="str">
        <f t="shared" si="11"/>
        <v>00:03:32.5 (8)</v>
      </c>
      <c r="Y23" s="53" t="str">
        <f t="shared" si="12"/>
        <v>00:02:05.5 (28)</v>
      </c>
      <c r="Z23" s="53" t="str">
        <f t="shared" si="13"/>
        <v>00:03:58.8 (16)</v>
      </c>
      <c r="AA23" s="53" t="str">
        <f t="shared" si="14"/>
        <v>00:05:02.9 (21)</v>
      </c>
      <c r="AB23" s="53" t="str">
        <f t="shared" si="15"/>
        <v>DNS/DNF ()</v>
      </c>
      <c r="AC23" s="53" t="str">
        <f t="shared" si="16"/>
        <v>DNS/DNF ()</v>
      </c>
      <c r="AD23" s="53" t="str">
        <f t="shared" si="17"/>
        <v>DNS/DNF ()</v>
      </c>
      <c r="AE23" s="53">
        <v>34091017</v>
      </c>
      <c r="AF23" s="53">
        <v>34331635</v>
      </c>
      <c r="AG23" s="53">
        <v>31325809</v>
      </c>
      <c r="AH23" s="53">
        <v>31538341</v>
      </c>
      <c r="AI23" s="53">
        <v>36805546</v>
      </c>
      <c r="AJ23" s="53">
        <v>36930996</v>
      </c>
      <c r="AK23" s="53">
        <v>40112532</v>
      </c>
      <c r="AL23" s="53">
        <v>40351283</v>
      </c>
      <c r="AM23" s="53">
        <v>42598542</v>
      </c>
      <c r="AN23" s="53">
        <v>42901424</v>
      </c>
      <c r="AO23" s="53">
        <v>0</v>
      </c>
      <c r="AP23" s="53">
        <v>0</v>
      </c>
      <c r="AQ23" s="53">
        <v>0</v>
      </c>
      <c r="AR23" s="53">
        <v>0</v>
      </c>
      <c r="AS23" s="53">
        <v>0</v>
      </c>
      <c r="AT23" s="53">
        <v>0</v>
      </c>
      <c r="AU23" s="62">
        <f t="shared" si="18"/>
        <v>2.7849305555555557E-3</v>
      </c>
      <c r="AV23" s="62">
        <f t="shared" si="19"/>
        <v>2.459861111111111E-3</v>
      </c>
      <c r="AW23" s="62">
        <f t="shared" si="20"/>
        <v>1.4519675925925926E-3</v>
      </c>
      <c r="AX23" s="62">
        <f t="shared" si="21"/>
        <v>2.7633217592592592E-3</v>
      </c>
      <c r="AY23" s="62">
        <f t="shared" si="22"/>
        <v>3.5055787037037039E-3</v>
      </c>
      <c r="AZ23" s="62" t="str">
        <f t="shared" si="23"/>
        <v>DNS/DNF</v>
      </c>
      <c r="BA23" s="62" t="str">
        <f t="shared" si="24"/>
        <v>DNS/DNF</v>
      </c>
      <c r="BB23" s="62" t="str">
        <f t="shared" si="25"/>
        <v>DNS/DNF</v>
      </c>
      <c r="BC23" s="75">
        <f t="shared" si="26"/>
        <v>26</v>
      </c>
      <c r="BD23" s="53">
        <f t="shared" si="27"/>
        <v>213485.00000000003</v>
      </c>
      <c r="BE23" s="53">
        <f t="shared" si="28"/>
        <v>223913</v>
      </c>
      <c r="BF23" s="53">
        <f t="shared" si="29"/>
        <v>125114.00000000001</v>
      </c>
      <c r="BG23" s="53">
        <f t="shared" si="30"/>
        <v>247101</v>
      </c>
      <c r="BH23" s="53">
        <f t="shared" si="31"/>
        <v>307321</v>
      </c>
      <c r="BI23" s="53" t="str">
        <f t="shared" si="32"/>
        <v/>
      </c>
      <c r="BJ23" s="53" t="str">
        <f t="shared" si="33"/>
        <v/>
      </c>
      <c r="BK23" s="53" t="str">
        <f t="shared" si="34"/>
        <v/>
      </c>
    </row>
    <row r="24" spans="1:63">
      <c r="A24" s="53">
        <v>274</v>
      </c>
      <c r="B24" s="89" t="str">
        <f>IFERROR(VLOOKUP($A24,EntryList!$A$3:$N$645,2,FALSE),"")</f>
        <v>Luca Ruwiel</v>
      </c>
      <c r="C24" s="74"/>
      <c r="D24" s="53">
        <f t="shared" si="0"/>
        <v>5</v>
      </c>
      <c r="E24" s="62">
        <v>2.443946759259259E-3</v>
      </c>
      <c r="F24" s="62">
        <v>2.6937152777777779E-3</v>
      </c>
      <c r="G24" s="62">
        <v>1.5110185185185185E-3</v>
      </c>
      <c r="H24" s="62">
        <v>2.8414814814814813E-3</v>
      </c>
      <c r="I24" s="62">
        <v>3.4853356481481484E-3</v>
      </c>
      <c r="J24" s="62"/>
      <c r="K24" s="62"/>
      <c r="L24" s="62"/>
      <c r="M24" s="62">
        <v>1.2975497685185184E-2</v>
      </c>
      <c r="N24" s="62">
        <f t="shared" si="1"/>
        <v>1.2975497685185185E-2</v>
      </c>
      <c r="O24" s="53">
        <f t="shared" si="2"/>
        <v>23</v>
      </c>
      <c r="P24" s="53">
        <f t="shared" si="3"/>
        <v>44</v>
      </c>
      <c r="Q24" s="53">
        <f t="shared" si="4"/>
        <v>47</v>
      </c>
      <c r="R24" s="53">
        <f t="shared" si="5"/>
        <v>23</v>
      </c>
      <c r="S24" s="53">
        <f t="shared" si="6"/>
        <v>16</v>
      </c>
      <c r="T24" s="53" t="str">
        <f t="shared" si="7"/>
        <v/>
      </c>
      <c r="U24" s="53" t="str">
        <f t="shared" si="8"/>
        <v/>
      </c>
      <c r="V24" s="53" t="str">
        <f t="shared" si="9"/>
        <v/>
      </c>
      <c r="W24" s="53" t="str">
        <f t="shared" si="10"/>
        <v>00:03:31.2 (23)</v>
      </c>
      <c r="X24" s="53" t="str">
        <f t="shared" si="11"/>
        <v>00:03:52.7 (44)</v>
      </c>
      <c r="Y24" s="53" t="str">
        <f t="shared" si="12"/>
        <v>00:02:10.6 (47)</v>
      </c>
      <c r="Z24" s="53" t="str">
        <f t="shared" si="13"/>
        <v>00:04:05.5 (23)</v>
      </c>
      <c r="AA24" s="53" t="str">
        <f t="shared" si="14"/>
        <v>00:05:01.1 (16)</v>
      </c>
      <c r="AB24" s="53" t="str">
        <f t="shared" si="15"/>
        <v>DNS/DNF ()</v>
      </c>
      <c r="AC24" s="53" t="str">
        <f t="shared" si="16"/>
        <v>DNS/DNF ()</v>
      </c>
      <c r="AD24" s="53" t="str">
        <f t="shared" si="17"/>
        <v>DNS/DNF ()</v>
      </c>
      <c r="AE24" s="53">
        <v>35406730</v>
      </c>
      <c r="AF24" s="53">
        <v>35617887</v>
      </c>
      <c r="AG24" s="53">
        <v>32393129</v>
      </c>
      <c r="AH24" s="53">
        <v>32625866</v>
      </c>
      <c r="AI24" s="53">
        <v>38279459</v>
      </c>
      <c r="AJ24" s="53">
        <v>38410011</v>
      </c>
      <c r="AK24" s="53">
        <v>42362524</v>
      </c>
      <c r="AL24" s="53">
        <v>42608028</v>
      </c>
      <c r="AM24" s="53">
        <v>45501222</v>
      </c>
      <c r="AN24" s="53">
        <v>45802355</v>
      </c>
      <c r="AO24" s="53">
        <v>0</v>
      </c>
      <c r="AP24" s="53">
        <v>0</v>
      </c>
      <c r="AQ24" s="53">
        <v>0</v>
      </c>
      <c r="AR24" s="53">
        <v>0</v>
      </c>
      <c r="AS24" s="53">
        <v>0</v>
      </c>
      <c r="AT24" s="53">
        <v>0</v>
      </c>
      <c r="AU24" s="62">
        <f t="shared" si="18"/>
        <v>2.4439467592592594E-3</v>
      </c>
      <c r="AV24" s="62">
        <f t="shared" si="19"/>
        <v>2.6937152777777779E-3</v>
      </c>
      <c r="AW24" s="62">
        <f t="shared" si="20"/>
        <v>1.5110185185185185E-3</v>
      </c>
      <c r="AX24" s="62">
        <f t="shared" si="21"/>
        <v>2.8414814814814813E-3</v>
      </c>
      <c r="AY24" s="62">
        <f t="shared" si="22"/>
        <v>3.485335648148148E-3</v>
      </c>
      <c r="AZ24" s="62" t="str">
        <f t="shared" si="23"/>
        <v>DNS/DNF</v>
      </c>
      <c r="BA24" s="62" t="str">
        <f t="shared" si="24"/>
        <v>DNS/DNF</v>
      </c>
      <c r="BB24" s="62" t="str">
        <f t="shared" si="25"/>
        <v>DNS/DNF</v>
      </c>
      <c r="BC24" s="75">
        <f t="shared" si="26"/>
        <v>31</v>
      </c>
      <c r="BD24" s="53">
        <f t="shared" si="27"/>
        <v>216711.99999999997</v>
      </c>
      <c r="BE24" s="53">
        <f t="shared" si="28"/>
        <v>227701</v>
      </c>
      <c r="BF24" s="53">
        <f t="shared" si="29"/>
        <v>126358.00000000001</v>
      </c>
      <c r="BG24" s="53">
        <f t="shared" si="30"/>
        <v>250654</v>
      </c>
      <c r="BH24" s="53">
        <f t="shared" si="31"/>
        <v>309892</v>
      </c>
      <c r="BI24" s="53" t="str">
        <f t="shared" si="32"/>
        <v/>
      </c>
      <c r="BJ24" s="53" t="str">
        <f t="shared" si="33"/>
        <v/>
      </c>
      <c r="BK24" s="53" t="str">
        <f t="shared" si="34"/>
        <v/>
      </c>
    </row>
    <row r="25" spans="1:63">
      <c r="A25" s="53">
        <v>258</v>
      </c>
      <c r="B25" s="89" t="str">
        <f>IFERROR(VLOOKUP($A25,EntryList!$A$3:$N$645,2,FALSE),"")</f>
        <v>Henlu Starke</v>
      </c>
      <c r="C25" s="74"/>
      <c r="D25" s="53">
        <f t="shared" si="0"/>
        <v>5</v>
      </c>
      <c r="E25" s="62">
        <v>2.4322222222222219E-3</v>
      </c>
      <c r="F25" s="62">
        <v>2.591585648148148E-3</v>
      </c>
      <c r="G25" s="62">
        <v>1.4501388888888888E-3</v>
      </c>
      <c r="H25" s="62">
        <v>2.901087962962963E-3</v>
      </c>
      <c r="I25" s="62">
        <v>3.6054976851851851E-3</v>
      </c>
      <c r="J25" s="62"/>
      <c r="K25" s="62"/>
      <c r="L25" s="62"/>
      <c r="M25" s="62">
        <v>1.2980532407407408E-2</v>
      </c>
      <c r="N25" s="62">
        <f t="shared" si="1"/>
        <v>1.2980532407407408E-2</v>
      </c>
      <c r="O25" s="53">
        <f t="shared" si="2"/>
        <v>21</v>
      </c>
      <c r="P25" s="53">
        <f t="shared" si="3"/>
        <v>26</v>
      </c>
      <c r="Q25" s="53">
        <f t="shared" si="4"/>
        <v>27</v>
      </c>
      <c r="R25" s="53">
        <f t="shared" si="5"/>
        <v>31</v>
      </c>
      <c r="S25" s="53">
        <f t="shared" si="6"/>
        <v>36</v>
      </c>
      <c r="T25" s="53" t="str">
        <f t="shared" si="7"/>
        <v/>
      </c>
      <c r="U25" s="53" t="str">
        <f t="shared" si="8"/>
        <v/>
      </c>
      <c r="V25" s="53" t="str">
        <f t="shared" si="9"/>
        <v/>
      </c>
      <c r="W25" s="53" t="str">
        <f t="shared" si="10"/>
        <v>00:03:30.1 (21)</v>
      </c>
      <c r="X25" s="53" t="str">
        <f t="shared" si="11"/>
        <v>00:03:43.9 (26)</v>
      </c>
      <c r="Y25" s="53" t="str">
        <f t="shared" si="12"/>
        <v>00:02:05.3 (27)</v>
      </c>
      <c r="Z25" s="53" t="str">
        <f t="shared" si="13"/>
        <v>00:04:10.7 (31)</v>
      </c>
      <c r="AA25" s="53" t="str">
        <f t="shared" si="14"/>
        <v>00:05:11.5 (36)</v>
      </c>
      <c r="AB25" s="53" t="str">
        <f t="shared" si="15"/>
        <v>DNS/DNF ()</v>
      </c>
      <c r="AC25" s="53" t="str">
        <f t="shared" si="16"/>
        <v>DNS/DNF ()</v>
      </c>
      <c r="AD25" s="53" t="str">
        <f t="shared" si="17"/>
        <v>DNS/DNF ()</v>
      </c>
      <c r="AE25" s="53">
        <v>37388037</v>
      </c>
      <c r="AF25" s="53">
        <v>37598181</v>
      </c>
      <c r="AG25" s="53">
        <v>33413747</v>
      </c>
      <c r="AH25" s="53">
        <v>33637660</v>
      </c>
      <c r="AI25" s="53">
        <v>40126652</v>
      </c>
      <c r="AJ25" s="53">
        <v>40251944</v>
      </c>
      <c r="AK25" s="53">
        <v>44302684</v>
      </c>
      <c r="AL25" s="53">
        <v>44553338</v>
      </c>
      <c r="AM25" s="53">
        <v>47417252</v>
      </c>
      <c r="AN25" s="53">
        <v>47728767</v>
      </c>
      <c r="AO25" s="53">
        <v>0</v>
      </c>
      <c r="AP25" s="53">
        <v>0</v>
      </c>
      <c r="AQ25" s="53">
        <v>0</v>
      </c>
      <c r="AR25" s="53">
        <v>0</v>
      </c>
      <c r="AS25" s="53">
        <v>0</v>
      </c>
      <c r="AT25" s="53">
        <v>0</v>
      </c>
      <c r="AU25" s="62">
        <f t="shared" si="18"/>
        <v>2.4322222222222223E-3</v>
      </c>
      <c r="AV25" s="62">
        <f t="shared" si="19"/>
        <v>2.591585648148148E-3</v>
      </c>
      <c r="AW25" s="62">
        <f t="shared" si="20"/>
        <v>1.4501388888888888E-3</v>
      </c>
      <c r="AX25" s="62">
        <f t="shared" si="21"/>
        <v>2.901087962962963E-3</v>
      </c>
      <c r="AY25" s="62">
        <f t="shared" si="22"/>
        <v>3.6054976851851851E-3</v>
      </c>
      <c r="AZ25" s="62" t="str">
        <f t="shared" si="23"/>
        <v>DNS/DNF</v>
      </c>
      <c r="BA25" s="62" t="str">
        <f t="shared" si="24"/>
        <v>DNS/DNF</v>
      </c>
      <c r="BB25" s="62" t="str">
        <f t="shared" si="25"/>
        <v>DNS/DNF</v>
      </c>
      <c r="BC25" s="75">
        <f t="shared" si="26"/>
        <v>28</v>
      </c>
      <c r="BD25" s="53">
        <f t="shared" si="27"/>
        <v>213757</v>
      </c>
      <c r="BE25" s="53">
        <f t="shared" si="28"/>
        <v>226403</v>
      </c>
      <c r="BF25" s="53">
        <f t="shared" si="29"/>
        <v>125450</v>
      </c>
      <c r="BG25" s="53">
        <f t="shared" si="30"/>
        <v>248689.99999999997</v>
      </c>
      <c r="BH25" s="53">
        <f t="shared" si="31"/>
        <v>308361</v>
      </c>
      <c r="BI25" s="53" t="str">
        <f t="shared" si="32"/>
        <v/>
      </c>
      <c r="BJ25" s="53" t="str">
        <f t="shared" si="33"/>
        <v/>
      </c>
      <c r="BK25" s="53" t="str">
        <f t="shared" si="34"/>
        <v/>
      </c>
    </row>
    <row r="26" spans="1:63">
      <c r="A26" s="53">
        <v>252</v>
      </c>
      <c r="B26" s="89" t="str">
        <f>IFERROR(VLOOKUP($A26,EntryList!$A$3:$N$645,2,FALSE),"")</f>
        <v>Brandon Willcocks</v>
      </c>
      <c r="C26" s="74"/>
      <c r="D26" s="53">
        <f t="shared" si="0"/>
        <v>5</v>
      </c>
      <c r="E26" s="62">
        <v>2.4844212962962966E-3</v>
      </c>
      <c r="F26" s="62">
        <v>2.6692361111111114E-3</v>
      </c>
      <c r="G26" s="62">
        <v>1.5048958333333336E-3</v>
      </c>
      <c r="H26" s="62">
        <v>2.8341435185185184E-3</v>
      </c>
      <c r="I26" s="62">
        <v>3.5297685185185189E-3</v>
      </c>
      <c r="J26" s="62"/>
      <c r="K26" s="62"/>
      <c r="L26" s="62"/>
      <c r="M26" s="62">
        <v>1.3022465277777777E-2</v>
      </c>
      <c r="N26" s="62">
        <f t="shared" si="1"/>
        <v>1.3022465277777779E-2</v>
      </c>
      <c r="O26" s="53">
        <f t="shared" si="2"/>
        <v>30</v>
      </c>
      <c r="P26" s="53">
        <f t="shared" si="3"/>
        <v>38</v>
      </c>
      <c r="Q26" s="53">
        <f t="shared" si="4"/>
        <v>44</v>
      </c>
      <c r="R26" s="53">
        <f t="shared" si="5"/>
        <v>21</v>
      </c>
      <c r="S26" s="53">
        <f t="shared" si="6"/>
        <v>23</v>
      </c>
      <c r="T26" s="53" t="str">
        <f t="shared" si="7"/>
        <v/>
      </c>
      <c r="U26" s="53" t="str">
        <f t="shared" si="8"/>
        <v/>
      </c>
      <c r="V26" s="53" t="str">
        <f t="shared" si="9"/>
        <v/>
      </c>
      <c r="W26" s="53" t="str">
        <f t="shared" si="10"/>
        <v>00:03:34.7 (30)</v>
      </c>
      <c r="X26" s="53" t="str">
        <f t="shared" si="11"/>
        <v>00:03:50.6 (38)</v>
      </c>
      <c r="Y26" s="53" t="str">
        <f t="shared" si="12"/>
        <v>00:02:10.0 (44)</v>
      </c>
      <c r="Z26" s="53" t="str">
        <f t="shared" si="13"/>
        <v>00:04:04.9 (21)</v>
      </c>
      <c r="AA26" s="53" t="str">
        <f t="shared" si="14"/>
        <v>00:05:05.0 (23)</v>
      </c>
      <c r="AB26" s="53" t="str">
        <f t="shared" si="15"/>
        <v>DNS/DNF ()</v>
      </c>
      <c r="AC26" s="53" t="str">
        <f t="shared" si="16"/>
        <v>DNS/DNF ()</v>
      </c>
      <c r="AD26" s="53" t="str">
        <f t="shared" si="17"/>
        <v>DNS/DNF ()</v>
      </c>
      <c r="AE26" s="53">
        <v>33286441</v>
      </c>
      <c r="AF26" s="53">
        <v>33501095</v>
      </c>
      <c r="AG26" s="53">
        <v>37008203</v>
      </c>
      <c r="AH26" s="53">
        <v>37238825</v>
      </c>
      <c r="AI26" s="53">
        <v>31108881</v>
      </c>
      <c r="AJ26" s="53">
        <v>31238904</v>
      </c>
      <c r="AK26" s="53">
        <v>40659984</v>
      </c>
      <c r="AL26" s="53">
        <v>40904854</v>
      </c>
      <c r="AM26" s="53">
        <v>43582144</v>
      </c>
      <c r="AN26" s="53">
        <v>43887116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3">
        <v>0</v>
      </c>
      <c r="AU26" s="62">
        <f t="shared" si="18"/>
        <v>2.4844212962962962E-3</v>
      </c>
      <c r="AV26" s="62">
        <f t="shared" si="19"/>
        <v>2.6692361111111109E-3</v>
      </c>
      <c r="AW26" s="62">
        <f t="shared" si="20"/>
        <v>1.5048958333333333E-3</v>
      </c>
      <c r="AX26" s="62">
        <f t="shared" si="21"/>
        <v>2.8341435185185184E-3</v>
      </c>
      <c r="AY26" s="62">
        <f t="shared" si="22"/>
        <v>3.5297685185185185E-3</v>
      </c>
      <c r="AZ26" s="62" t="str">
        <f t="shared" si="23"/>
        <v>DNS/DNF</v>
      </c>
      <c r="BA26" s="62" t="str">
        <f t="shared" si="24"/>
        <v>DNS/DNF</v>
      </c>
      <c r="BB26" s="62" t="str">
        <f t="shared" si="25"/>
        <v>DNS/DNF</v>
      </c>
      <c r="BC26" s="75">
        <f t="shared" si="26"/>
        <v>31</v>
      </c>
      <c r="BD26" s="53">
        <f t="shared" si="27"/>
        <v>216711.99999999997</v>
      </c>
      <c r="BE26" s="53">
        <f t="shared" si="28"/>
        <v>227701</v>
      </c>
      <c r="BF26" s="53">
        <f t="shared" si="29"/>
        <v>126358.00000000001</v>
      </c>
      <c r="BG26" s="53">
        <f t="shared" si="30"/>
        <v>250654</v>
      </c>
      <c r="BH26" s="53">
        <f t="shared" si="31"/>
        <v>309892</v>
      </c>
      <c r="BI26" s="53" t="str">
        <f t="shared" si="32"/>
        <v/>
      </c>
      <c r="BJ26" s="53" t="str">
        <f t="shared" si="33"/>
        <v/>
      </c>
      <c r="BK26" s="53" t="str">
        <f t="shared" si="34"/>
        <v/>
      </c>
    </row>
    <row r="27" spans="1:63">
      <c r="A27" s="53">
        <v>57</v>
      </c>
      <c r="B27" s="89" t="str">
        <f>IFERROR(VLOOKUP($A27,EntryList!$A$3:$N$645,2,FALSE),"")</f>
        <v>Hendre De Villiers</v>
      </c>
      <c r="C27" s="74"/>
      <c r="D27" s="53">
        <f t="shared" si="0"/>
        <v>5</v>
      </c>
      <c r="E27" s="62">
        <v>2.4641435185185183E-3</v>
      </c>
      <c r="F27" s="62">
        <v>2.659456018518518E-3</v>
      </c>
      <c r="G27" s="62">
        <v>1.4993518518518518E-3</v>
      </c>
      <c r="H27" s="62">
        <v>2.9479861111111113E-3</v>
      </c>
      <c r="I27" s="62">
        <v>3.4861342592592587E-3</v>
      </c>
      <c r="J27" s="62"/>
      <c r="K27" s="62"/>
      <c r="L27" s="62"/>
      <c r="M27" s="62">
        <v>1.3057071759259258E-2</v>
      </c>
      <c r="N27" s="62">
        <f t="shared" si="1"/>
        <v>1.305707175925926E-2</v>
      </c>
      <c r="O27" s="53">
        <f t="shared" si="2"/>
        <v>25</v>
      </c>
      <c r="P27" s="53">
        <f t="shared" si="3"/>
        <v>36</v>
      </c>
      <c r="Q27" s="53">
        <f t="shared" si="4"/>
        <v>42</v>
      </c>
      <c r="R27" s="53">
        <f t="shared" si="5"/>
        <v>36</v>
      </c>
      <c r="S27" s="53">
        <f t="shared" si="6"/>
        <v>17</v>
      </c>
      <c r="T27" s="53" t="str">
        <f t="shared" si="7"/>
        <v/>
      </c>
      <c r="U27" s="53" t="str">
        <f t="shared" si="8"/>
        <v/>
      </c>
      <c r="V27" s="53" t="str">
        <f t="shared" si="9"/>
        <v/>
      </c>
      <c r="W27" s="53" t="str">
        <f t="shared" si="10"/>
        <v>00:03:32.9 (25)</v>
      </c>
      <c r="X27" s="53" t="str">
        <f t="shared" si="11"/>
        <v>00:03:49.8 (36)</v>
      </c>
      <c r="Y27" s="53" t="str">
        <f t="shared" si="12"/>
        <v>00:02:09.5 (42)</v>
      </c>
      <c r="Z27" s="53" t="str">
        <f t="shared" si="13"/>
        <v>00:04:14.7 (36)</v>
      </c>
      <c r="AA27" s="53" t="str">
        <f t="shared" si="14"/>
        <v>00:05:01.2 (17)</v>
      </c>
      <c r="AB27" s="53" t="str">
        <f t="shared" si="15"/>
        <v>DNS/DNF ()</v>
      </c>
      <c r="AC27" s="53" t="str">
        <f t="shared" si="16"/>
        <v>DNS/DNF ()</v>
      </c>
      <c r="AD27" s="53" t="str">
        <f t="shared" si="17"/>
        <v>DNS/DNF ()</v>
      </c>
      <c r="AE27" s="53">
        <v>35453680</v>
      </c>
      <c r="AF27" s="53">
        <v>35666582</v>
      </c>
      <c r="AG27" s="53">
        <v>31490475</v>
      </c>
      <c r="AH27" s="53">
        <v>31720252</v>
      </c>
      <c r="AI27" s="53">
        <v>38752373</v>
      </c>
      <c r="AJ27" s="53">
        <v>38881917</v>
      </c>
      <c r="AK27" s="53">
        <v>43552574</v>
      </c>
      <c r="AL27" s="53">
        <v>43807280</v>
      </c>
      <c r="AM27" s="53">
        <v>46602940</v>
      </c>
      <c r="AN27" s="53">
        <v>46904142</v>
      </c>
      <c r="AO27" s="53">
        <v>0</v>
      </c>
      <c r="AP27" s="53">
        <v>0</v>
      </c>
      <c r="AQ27" s="53">
        <v>0</v>
      </c>
      <c r="AR27" s="53">
        <v>0</v>
      </c>
      <c r="AS27" s="53">
        <v>0</v>
      </c>
      <c r="AT27" s="53">
        <v>0</v>
      </c>
      <c r="AU27" s="62">
        <f t="shared" si="18"/>
        <v>2.4641435185185187E-3</v>
      </c>
      <c r="AV27" s="62">
        <f t="shared" si="19"/>
        <v>2.6594560185185185E-3</v>
      </c>
      <c r="AW27" s="62">
        <f t="shared" si="20"/>
        <v>1.4993518518518518E-3</v>
      </c>
      <c r="AX27" s="62">
        <f t="shared" si="21"/>
        <v>2.9479861111111113E-3</v>
      </c>
      <c r="AY27" s="62">
        <f t="shared" si="22"/>
        <v>3.4861342592592591E-3</v>
      </c>
      <c r="AZ27" s="62" t="str">
        <f t="shared" si="23"/>
        <v>DNS/DNF</v>
      </c>
      <c r="BA27" s="62" t="str">
        <f t="shared" si="24"/>
        <v>DNS/DNF</v>
      </c>
      <c r="BB27" s="62" t="str">
        <f t="shared" si="25"/>
        <v>DNS/DNF</v>
      </c>
      <c r="BC27" s="75">
        <f t="shared" si="26"/>
        <v>31</v>
      </c>
      <c r="BD27" s="53">
        <f t="shared" si="27"/>
        <v>216711.99999999997</v>
      </c>
      <c r="BE27" s="53">
        <f t="shared" si="28"/>
        <v>227701</v>
      </c>
      <c r="BF27" s="53">
        <f t="shared" si="29"/>
        <v>126358.00000000001</v>
      </c>
      <c r="BG27" s="53">
        <f t="shared" si="30"/>
        <v>250654</v>
      </c>
      <c r="BH27" s="53">
        <f t="shared" si="31"/>
        <v>309892</v>
      </c>
      <c r="BI27" s="53" t="str">
        <f t="shared" si="32"/>
        <v/>
      </c>
      <c r="BJ27" s="53" t="str">
        <f t="shared" si="33"/>
        <v/>
      </c>
      <c r="BK27" s="53" t="str">
        <f t="shared" si="34"/>
        <v/>
      </c>
    </row>
    <row r="28" spans="1:63">
      <c r="A28" s="53">
        <v>212</v>
      </c>
      <c r="B28" s="89" t="str">
        <f>IFERROR(VLOOKUP($A28,EntryList!$A$3:$N$645,2,FALSE),"")</f>
        <v>Zander Du Plessis</v>
      </c>
      <c r="C28" s="74"/>
      <c r="D28" s="53">
        <f t="shared" si="0"/>
        <v>5</v>
      </c>
      <c r="E28" s="62">
        <v>2.2328356481481483E-3</v>
      </c>
      <c r="F28" s="62">
        <v>2.4874537037037035E-3</v>
      </c>
      <c r="G28" s="62">
        <v>1.3729282407407407E-3</v>
      </c>
      <c r="H28" s="62">
        <v>2.7466435185185185E-3</v>
      </c>
      <c r="I28" s="62">
        <v>4.2256018518518519E-3</v>
      </c>
      <c r="J28" s="62"/>
      <c r="K28" s="62"/>
      <c r="L28" s="62"/>
      <c r="M28" s="62">
        <v>1.3065462962962964E-2</v>
      </c>
      <c r="N28" s="62">
        <f t="shared" si="1"/>
        <v>1.3065462962962963E-2</v>
      </c>
      <c r="O28" s="53">
        <f t="shared" si="2"/>
        <v>7</v>
      </c>
      <c r="P28" s="53">
        <f t="shared" si="3"/>
        <v>11</v>
      </c>
      <c r="Q28" s="53">
        <f t="shared" si="4"/>
        <v>8</v>
      </c>
      <c r="R28" s="53">
        <f t="shared" si="5"/>
        <v>14</v>
      </c>
      <c r="S28" s="53">
        <f t="shared" si="6"/>
        <v>152</v>
      </c>
      <c r="T28" s="53" t="str">
        <f t="shared" si="7"/>
        <v/>
      </c>
      <c r="U28" s="53" t="str">
        <f t="shared" si="8"/>
        <v/>
      </c>
      <c r="V28" s="53" t="str">
        <f t="shared" si="9"/>
        <v/>
      </c>
      <c r="W28" s="53" t="str">
        <f t="shared" si="10"/>
        <v>00:03:12.9 (7)</v>
      </c>
      <c r="X28" s="53" t="str">
        <f t="shared" si="11"/>
        <v>00:03:34.9 (11)</v>
      </c>
      <c r="Y28" s="53" t="str">
        <f t="shared" si="12"/>
        <v>00:01:58.6 (8)</v>
      </c>
      <c r="Z28" s="53" t="str">
        <f t="shared" si="13"/>
        <v>00:03:57.3 (14)</v>
      </c>
      <c r="AA28" s="53" t="str">
        <f t="shared" si="14"/>
        <v>00:06:05.1 (152)</v>
      </c>
      <c r="AB28" s="53" t="str">
        <f t="shared" si="15"/>
        <v>DNS/DNF ()</v>
      </c>
      <c r="AC28" s="53" t="str">
        <f t="shared" si="16"/>
        <v>DNS/DNF ()</v>
      </c>
      <c r="AD28" s="53" t="str">
        <f t="shared" si="17"/>
        <v>DNS/DNF ()</v>
      </c>
      <c r="AE28" s="53">
        <v>33956500</v>
      </c>
      <c r="AF28" s="53">
        <v>34149417</v>
      </c>
      <c r="AG28" s="53">
        <v>30893295</v>
      </c>
      <c r="AH28" s="53">
        <v>31108211</v>
      </c>
      <c r="AI28" s="53">
        <v>36743013</v>
      </c>
      <c r="AJ28" s="53">
        <v>36861634</v>
      </c>
      <c r="AK28" s="53">
        <v>40510987</v>
      </c>
      <c r="AL28" s="53">
        <v>40748297</v>
      </c>
      <c r="AM28" s="53">
        <v>43079580</v>
      </c>
      <c r="AN28" s="53">
        <v>43444672</v>
      </c>
      <c r="AO28" s="53">
        <v>0</v>
      </c>
      <c r="AP28" s="53">
        <v>0</v>
      </c>
      <c r="AQ28" s="53">
        <v>0</v>
      </c>
      <c r="AR28" s="53">
        <v>0</v>
      </c>
      <c r="AS28" s="53">
        <v>0</v>
      </c>
      <c r="AT28" s="53">
        <v>0</v>
      </c>
      <c r="AU28" s="62">
        <f t="shared" si="18"/>
        <v>2.2328356481481483E-3</v>
      </c>
      <c r="AV28" s="62">
        <f t="shared" si="19"/>
        <v>2.4874537037037035E-3</v>
      </c>
      <c r="AW28" s="62">
        <f t="shared" si="20"/>
        <v>1.3729282407407407E-3</v>
      </c>
      <c r="AX28" s="62">
        <f t="shared" si="21"/>
        <v>2.7466435185185185E-3</v>
      </c>
      <c r="AY28" s="62">
        <f t="shared" si="22"/>
        <v>4.2256018518518519E-3</v>
      </c>
      <c r="AZ28" s="62" t="str">
        <f t="shared" si="23"/>
        <v>DNS/DNF</v>
      </c>
      <c r="BA28" s="62" t="str">
        <f t="shared" si="24"/>
        <v>DNS/DNF</v>
      </c>
      <c r="BB28" s="62" t="str">
        <f t="shared" si="25"/>
        <v>DNS/DNF</v>
      </c>
      <c r="BC28" s="75">
        <f t="shared" si="26"/>
        <v>38</v>
      </c>
      <c r="BD28" s="53">
        <f t="shared" si="27"/>
        <v>221681</v>
      </c>
      <c r="BE28" s="53">
        <f t="shared" si="28"/>
        <v>230621.99999999997</v>
      </c>
      <c r="BF28" s="53">
        <f t="shared" si="29"/>
        <v>128737</v>
      </c>
      <c r="BG28" s="53">
        <f t="shared" si="30"/>
        <v>255968</v>
      </c>
      <c r="BH28" s="53">
        <f t="shared" si="31"/>
        <v>311828</v>
      </c>
      <c r="BI28" s="53" t="str">
        <f t="shared" si="32"/>
        <v/>
      </c>
      <c r="BJ28" s="53" t="str">
        <f t="shared" si="33"/>
        <v/>
      </c>
      <c r="BK28" s="53" t="str">
        <f t="shared" si="34"/>
        <v/>
      </c>
    </row>
    <row r="29" spans="1:63">
      <c r="A29" s="53">
        <v>105</v>
      </c>
      <c r="B29" s="89" t="str">
        <f>IFERROR(VLOOKUP($A29,EntryList!$A$3:$N$645,2,FALSE),"")</f>
        <v>Jacobus Johannes Veldsman</v>
      </c>
      <c r="C29" s="74"/>
      <c r="D29" s="53">
        <f t="shared" si="0"/>
        <v>5</v>
      </c>
      <c r="E29" s="62">
        <v>2.508240740740741E-3</v>
      </c>
      <c r="F29" s="62">
        <v>2.6354282407407407E-3</v>
      </c>
      <c r="G29" s="62">
        <v>1.4971064814814814E-3</v>
      </c>
      <c r="H29" s="62">
        <v>2.8783564814814817E-3</v>
      </c>
      <c r="I29" s="62">
        <v>3.5664004629629626E-3</v>
      </c>
      <c r="J29" s="62"/>
      <c r="K29" s="62"/>
      <c r="L29" s="62"/>
      <c r="M29" s="62">
        <v>1.3085532407407405E-2</v>
      </c>
      <c r="N29" s="62">
        <f t="shared" si="1"/>
        <v>1.3085532407407407E-2</v>
      </c>
      <c r="O29" s="53">
        <f t="shared" si="2"/>
        <v>31</v>
      </c>
      <c r="P29" s="53">
        <f t="shared" si="3"/>
        <v>31</v>
      </c>
      <c r="Q29" s="53">
        <f t="shared" si="4"/>
        <v>41</v>
      </c>
      <c r="R29" s="53">
        <f t="shared" si="5"/>
        <v>28</v>
      </c>
      <c r="S29" s="53">
        <f t="shared" si="6"/>
        <v>27</v>
      </c>
      <c r="T29" s="53" t="str">
        <f t="shared" si="7"/>
        <v/>
      </c>
      <c r="U29" s="53" t="str">
        <f t="shared" si="8"/>
        <v/>
      </c>
      <c r="V29" s="53" t="str">
        <f t="shared" si="9"/>
        <v/>
      </c>
      <c r="W29" s="53" t="str">
        <f t="shared" si="10"/>
        <v>00:03:36.7 (31)</v>
      </c>
      <c r="X29" s="53" t="str">
        <f t="shared" si="11"/>
        <v>00:03:47.7 (31)</v>
      </c>
      <c r="Y29" s="53" t="str">
        <f t="shared" si="12"/>
        <v>00:02:09.4 (41)</v>
      </c>
      <c r="Z29" s="53" t="str">
        <f t="shared" si="13"/>
        <v>00:04:08.7 (28)</v>
      </c>
      <c r="AA29" s="53" t="str">
        <f t="shared" si="14"/>
        <v>00:05:08.1 (27)</v>
      </c>
      <c r="AB29" s="53" t="str">
        <f t="shared" si="15"/>
        <v>DNS/DNF ()</v>
      </c>
      <c r="AC29" s="53" t="str">
        <f t="shared" si="16"/>
        <v>DNS/DNF ()</v>
      </c>
      <c r="AD29" s="53" t="str">
        <f t="shared" si="17"/>
        <v>DNS/DNF ()</v>
      </c>
      <c r="AE29" s="53">
        <v>35762255</v>
      </c>
      <c r="AF29" s="53">
        <v>35978967</v>
      </c>
      <c r="AG29" s="53">
        <v>30762635</v>
      </c>
      <c r="AH29" s="53">
        <v>30990336</v>
      </c>
      <c r="AI29" s="53">
        <v>33392231</v>
      </c>
      <c r="AJ29" s="53">
        <v>33521581</v>
      </c>
      <c r="AK29" s="53">
        <v>39480914</v>
      </c>
      <c r="AL29" s="53">
        <v>39729604</v>
      </c>
      <c r="AM29" s="53">
        <v>41040018</v>
      </c>
      <c r="AN29" s="53">
        <v>41348155</v>
      </c>
      <c r="AO29" s="53">
        <v>0</v>
      </c>
      <c r="AP29" s="53">
        <v>0</v>
      </c>
      <c r="AQ29" s="53">
        <v>0</v>
      </c>
      <c r="AR29" s="53">
        <v>0</v>
      </c>
      <c r="AS29" s="53">
        <v>0</v>
      </c>
      <c r="AT29" s="53">
        <v>0</v>
      </c>
      <c r="AU29" s="62">
        <f t="shared" si="18"/>
        <v>2.5082407407407406E-3</v>
      </c>
      <c r="AV29" s="62">
        <f t="shared" si="19"/>
        <v>2.6354282407407407E-3</v>
      </c>
      <c r="AW29" s="62">
        <f t="shared" si="20"/>
        <v>1.4971064814814814E-3</v>
      </c>
      <c r="AX29" s="62">
        <f t="shared" si="21"/>
        <v>2.8783564814814813E-3</v>
      </c>
      <c r="AY29" s="62">
        <f t="shared" si="22"/>
        <v>3.5664004629629631E-3</v>
      </c>
      <c r="AZ29" s="62" t="str">
        <f t="shared" si="23"/>
        <v>DNS/DNF</v>
      </c>
      <c r="BA29" s="62" t="str">
        <f t="shared" si="24"/>
        <v>DNS/DNF</v>
      </c>
      <c r="BB29" s="62" t="str">
        <f t="shared" si="25"/>
        <v>DNS/DNF</v>
      </c>
      <c r="BC29" s="75">
        <f t="shared" si="26"/>
        <v>32</v>
      </c>
      <c r="BD29" s="53">
        <f t="shared" si="27"/>
        <v>218257</v>
      </c>
      <c r="BE29" s="53">
        <f t="shared" si="28"/>
        <v>228257</v>
      </c>
      <c r="BF29" s="53">
        <f t="shared" si="29"/>
        <v>126669</v>
      </c>
      <c r="BG29" s="53">
        <f t="shared" si="30"/>
        <v>252734</v>
      </c>
      <c r="BH29" s="53">
        <f t="shared" si="31"/>
        <v>310013</v>
      </c>
      <c r="BI29" s="53" t="str">
        <f t="shared" si="32"/>
        <v/>
      </c>
      <c r="BJ29" s="53" t="str">
        <f t="shared" si="33"/>
        <v/>
      </c>
      <c r="BK29" s="53" t="str">
        <f t="shared" si="34"/>
        <v/>
      </c>
    </row>
    <row r="30" spans="1:63">
      <c r="A30" s="53">
        <v>20</v>
      </c>
      <c r="B30" s="89" t="str">
        <f>IFERROR(VLOOKUP($A30,EntryList!$A$3:$N$645,2,FALSE),"")</f>
        <v>Luca Zietsman</v>
      </c>
      <c r="C30" s="74"/>
      <c r="D30" s="53">
        <f t="shared" si="0"/>
        <v>5</v>
      </c>
      <c r="E30" s="62">
        <v>2.4740393518518518E-3</v>
      </c>
      <c r="F30" s="62">
        <v>2.641863425925926E-3</v>
      </c>
      <c r="G30" s="62">
        <v>1.4664930555555553E-3</v>
      </c>
      <c r="H30" s="62">
        <v>2.9366087962962965E-3</v>
      </c>
      <c r="I30" s="62">
        <v>3.5764930555555554E-3</v>
      </c>
      <c r="J30" s="62"/>
      <c r="K30" s="62"/>
      <c r="L30" s="62"/>
      <c r="M30" s="62">
        <v>1.3095497685185184E-2</v>
      </c>
      <c r="N30" s="62">
        <f t="shared" si="1"/>
        <v>1.3095497685185186E-2</v>
      </c>
      <c r="O30" s="53">
        <f t="shared" si="2"/>
        <v>28</v>
      </c>
      <c r="P30" s="53">
        <f t="shared" si="3"/>
        <v>32</v>
      </c>
      <c r="Q30" s="53">
        <f t="shared" si="4"/>
        <v>33</v>
      </c>
      <c r="R30" s="53">
        <f t="shared" si="5"/>
        <v>34</v>
      </c>
      <c r="S30" s="53">
        <f t="shared" si="6"/>
        <v>29</v>
      </c>
      <c r="T30" s="53" t="str">
        <f t="shared" si="7"/>
        <v/>
      </c>
      <c r="U30" s="53" t="str">
        <f t="shared" si="8"/>
        <v/>
      </c>
      <c r="V30" s="53" t="str">
        <f t="shared" si="9"/>
        <v/>
      </c>
      <c r="W30" s="53" t="str">
        <f t="shared" si="10"/>
        <v>00:03:33.8 (28)</v>
      </c>
      <c r="X30" s="53" t="str">
        <f t="shared" si="11"/>
        <v>00:03:48.3 (32)</v>
      </c>
      <c r="Y30" s="53" t="str">
        <f t="shared" si="12"/>
        <v>00:02:06.7 (33)</v>
      </c>
      <c r="Z30" s="53" t="str">
        <f t="shared" si="13"/>
        <v>00:04:13.7 (34)</v>
      </c>
      <c r="AA30" s="53" t="str">
        <f t="shared" si="14"/>
        <v>00:05:09.0 (29)</v>
      </c>
      <c r="AB30" s="53" t="str">
        <f t="shared" si="15"/>
        <v>DNS/DNF ()</v>
      </c>
      <c r="AC30" s="53" t="str">
        <f t="shared" si="16"/>
        <v>DNS/DNF ()</v>
      </c>
      <c r="AD30" s="53" t="str">
        <f t="shared" si="17"/>
        <v>DNS/DNF ()</v>
      </c>
      <c r="AE30" s="53">
        <v>35168727</v>
      </c>
      <c r="AF30" s="53">
        <v>35382484</v>
      </c>
      <c r="AG30" s="53">
        <v>31580467</v>
      </c>
      <c r="AH30" s="53">
        <v>31808724</v>
      </c>
      <c r="AI30" s="53">
        <v>38615444</v>
      </c>
      <c r="AJ30" s="53">
        <v>38742149</v>
      </c>
      <c r="AK30" s="53">
        <v>43516701</v>
      </c>
      <c r="AL30" s="53">
        <v>43770424</v>
      </c>
      <c r="AM30" s="53">
        <v>46664846</v>
      </c>
      <c r="AN30" s="53">
        <v>46973855</v>
      </c>
      <c r="AO30" s="53">
        <v>0</v>
      </c>
      <c r="AP30" s="53">
        <v>0</v>
      </c>
      <c r="AQ30" s="53">
        <v>0</v>
      </c>
      <c r="AR30" s="53">
        <v>0</v>
      </c>
      <c r="AS30" s="53">
        <v>0</v>
      </c>
      <c r="AT30" s="53">
        <v>0</v>
      </c>
      <c r="AU30" s="62">
        <f t="shared" si="18"/>
        <v>2.4740393518518518E-3</v>
      </c>
      <c r="AV30" s="62">
        <f t="shared" si="19"/>
        <v>2.641863425925926E-3</v>
      </c>
      <c r="AW30" s="62">
        <f t="shared" si="20"/>
        <v>1.4664930555555555E-3</v>
      </c>
      <c r="AX30" s="62">
        <f t="shared" si="21"/>
        <v>2.9366087962962961E-3</v>
      </c>
      <c r="AY30" s="62">
        <f t="shared" si="22"/>
        <v>3.5764930555555554E-3</v>
      </c>
      <c r="AZ30" s="62" t="str">
        <f t="shared" si="23"/>
        <v>DNS/DNF</v>
      </c>
      <c r="BA30" s="62" t="str">
        <f t="shared" si="24"/>
        <v>DNS/DNF</v>
      </c>
      <c r="BB30" s="62" t="str">
        <f t="shared" si="25"/>
        <v>DNS/DNF</v>
      </c>
      <c r="BC30" s="75">
        <f t="shared" si="26"/>
        <v>31</v>
      </c>
      <c r="BD30" s="53">
        <f t="shared" si="27"/>
        <v>216711.99999999997</v>
      </c>
      <c r="BE30" s="53">
        <f t="shared" si="28"/>
        <v>227701</v>
      </c>
      <c r="BF30" s="53">
        <f t="shared" si="29"/>
        <v>126358.00000000001</v>
      </c>
      <c r="BG30" s="53">
        <f t="shared" si="30"/>
        <v>250654</v>
      </c>
      <c r="BH30" s="53">
        <f t="shared" si="31"/>
        <v>309892</v>
      </c>
      <c r="BI30" s="53" t="str">
        <f t="shared" si="32"/>
        <v/>
      </c>
      <c r="BJ30" s="53" t="str">
        <f t="shared" si="33"/>
        <v/>
      </c>
      <c r="BK30" s="53" t="str">
        <f t="shared" si="34"/>
        <v/>
      </c>
    </row>
    <row r="31" spans="1:63">
      <c r="A31" s="53">
        <v>56</v>
      </c>
      <c r="B31" s="89" t="str">
        <f>IFERROR(VLOOKUP($A31,EntryList!$A$3:$N$645,2,FALSE),"")</f>
        <v>Myndert Laubscher</v>
      </c>
      <c r="C31" s="74"/>
      <c r="D31" s="53">
        <f t="shared" si="0"/>
        <v>5</v>
      </c>
      <c r="E31" s="62">
        <v>2.3872569444444445E-3</v>
      </c>
      <c r="F31" s="62">
        <v>2.6669444444444444E-3</v>
      </c>
      <c r="G31" s="62">
        <v>1.4814467592592594E-3</v>
      </c>
      <c r="H31" s="62">
        <v>2.9714814814814816E-3</v>
      </c>
      <c r="I31" s="62">
        <v>3.6218055555555552E-3</v>
      </c>
      <c r="J31" s="62"/>
      <c r="K31" s="62"/>
      <c r="L31" s="62"/>
      <c r="M31" s="62">
        <v>1.3128935185185183E-2</v>
      </c>
      <c r="N31" s="62">
        <f t="shared" si="1"/>
        <v>1.3128935185185184E-2</v>
      </c>
      <c r="O31" s="53">
        <f t="shared" si="2"/>
        <v>18</v>
      </c>
      <c r="P31" s="53">
        <f t="shared" si="3"/>
        <v>37</v>
      </c>
      <c r="Q31" s="53">
        <f t="shared" si="4"/>
        <v>36</v>
      </c>
      <c r="R31" s="53">
        <f t="shared" si="5"/>
        <v>40</v>
      </c>
      <c r="S31" s="53">
        <f t="shared" si="6"/>
        <v>40</v>
      </c>
      <c r="T31" s="53" t="str">
        <f t="shared" si="7"/>
        <v/>
      </c>
      <c r="U31" s="53" t="str">
        <f t="shared" si="8"/>
        <v/>
      </c>
      <c r="V31" s="53" t="str">
        <f t="shared" si="9"/>
        <v/>
      </c>
      <c r="W31" s="53" t="str">
        <f t="shared" si="10"/>
        <v>00:03:26.3 (18)</v>
      </c>
      <c r="X31" s="53" t="str">
        <f t="shared" si="11"/>
        <v>00:03:50.4 (37)</v>
      </c>
      <c r="Y31" s="53" t="str">
        <f t="shared" si="12"/>
        <v>00:02:08.0 (36)</v>
      </c>
      <c r="Z31" s="53" t="str">
        <f t="shared" si="13"/>
        <v>00:04:16.7 (40)</v>
      </c>
      <c r="AA31" s="53" t="str">
        <f t="shared" si="14"/>
        <v>00:05:12.9 (40)</v>
      </c>
      <c r="AB31" s="53" t="str">
        <f t="shared" si="15"/>
        <v>DNS/DNF ()</v>
      </c>
      <c r="AC31" s="53" t="str">
        <f t="shared" si="16"/>
        <v>DNS/DNF ()</v>
      </c>
      <c r="AD31" s="53" t="str">
        <f t="shared" si="17"/>
        <v>DNS/DNF ()</v>
      </c>
      <c r="AE31" s="53">
        <v>33985692</v>
      </c>
      <c r="AF31" s="53">
        <v>34191951</v>
      </c>
      <c r="AG31" s="53">
        <v>30910630</v>
      </c>
      <c r="AH31" s="53">
        <v>31141054</v>
      </c>
      <c r="AI31" s="53">
        <v>37924058</v>
      </c>
      <c r="AJ31" s="53">
        <v>38052055</v>
      </c>
      <c r="AK31" s="53">
        <v>41422534</v>
      </c>
      <c r="AL31" s="53">
        <v>41679270</v>
      </c>
      <c r="AM31" s="53">
        <v>43818968</v>
      </c>
      <c r="AN31" s="53">
        <v>44131892</v>
      </c>
      <c r="AO31" s="53">
        <v>0</v>
      </c>
      <c r="AP31" s="53">
        <v>0</v>
      </c>
      <c r="AQ31" s="53">
        <v>0</v>
      </c>
      <c r="AR31" s="53">
        <v>0</v>
      </c>
      <c r="AS31" s="53">
        <v>0</v>
      </c>
      <c r="AT31" s="53">
        <v>0</v>
      </c>
      <c r="AU31" s="62">
        <f t="shared" si="18"/>
        <v>2.3872569444444445E-3</v>
      </c>
      <c r="AV31" s="62">
        <f t="shared" si="19"/>
        <v>2.6669444444444444E-3</v>
      </c>
      <c r="AW31" s="62">
        <f t="shared" si="20"/>
        <v>1.4814467592592592E-3</v>
      </c>
      <c r="AX31" s="62">
        <f t="shared" si="21"/>
        <v>2.9714814814814816E-3</v>
      </c>
      <c r="AY31" s="62">
        <f t="shared" si="22"/>
        <v>3.6218055555555556E-3</v>
      </c>
      <c r="AZ31" s="62" t="str">
        <f t="shared" si="23"/>
        <v>DNS/DNF</v>
      </c>
      <c r="BA31" s="62" t="str">
        <f t="shared" si="24"/>
        <v>DNS/DNF</v>
      </c>
      <c r="BB31" s="62" t="str">
        <f t="shared" si="25"/>
        <v>DNS/DNF</v>
      </c>
      <c r="BC31" s="75">
        <f t="shared" si="26"/>
        <v>34</v>
      </c>
      <c r="BD31" s="53">
        <f t="shared" si="27"/>
        <v>219687</v>
      </c>
      <c r="BE31" s="53">
        <f t="shared" si="28"/>
        <v>229693</v>
      </c>
      <c r="BF31" s="53">
        <f t="shared" si="29"/>
        <v>127463</v>
      </c>
      <c r="BG31" s="53">
        <f t="shared" si="30"/>
        <v>253722.99999999997</v>
      </c>
      <c r="BH31" s="53">
        <f t="shared" si="31"/>
        <v>310702</v>
      </c>
      <c r="BI31" s="53" t="str">
        <f t="shared" si="32"/>
        <v/>
      </c>
      <c r="BJ31" s="53" t="str">
        <f t="shared" si="33"/>
        <v/>
      </c>
      <c r="BK31" s="53" t="str">
        <f t="shared" si="34"/>
        <v/>
      </c>
    </row>
    <row r="32" spans="1:63">
      <c r="A32" s="53">
        <v>152</v>
      </c>
      <c r="B32" s="89" t="str">
        <f>IFERROR(VLOOKUP($A32,EntryList!$A$3:$N$645,2,FALSE),"")</f>
        <v>Grant Hulley</v>
      </c>
      <c r="C32" s="74"/>
      <c r="D32" s="53">
        <f t="shared" si="0"/>
        <v>5</v>
      </c>
      <c r="E32" s="62">
        <v>2.5657523148148145E-3</v>
      </c>
      <c r="F32" s="62">
        <v>2.6323842592592597E-3</v>
      </c>
      <c r="G32" s="62">
        <v>1.5707060185185188E-3</v>
      </c>
      <c r="H32" s="62">
        <v>2.8946759259259255E-3</v>
      </c>
      <c r="I32" s="62">
        <v>3.5689930555555557E-3</v>
      </c>
      <c r="J32" s="62"/>
      <c r="K32" s="62"/>
      <c r="L32" s="62"/>
      <c r="M32" s="62">
        <v>1.3232511574074075E-2</v>
      </c>
      <c r="N32" s="62">
        <f t="shared" si="1"/>
        <v>1.3232511574074074E-2</v>
      </c>
      <c r="O32" s="53">
        <f t="shared" si="2"/>
        <v>38</v>
      </c>
      <c r="P32" s="53">
        <f t="shared" si="3"/>
        <v>30</v>
      </c>
      <c r="Q32" s="53">
        <f t="shared" si="4"/>
        <v>63</v>
      </c>
      <c r="R32" s="53">
        <f t="shared" si="5"/>
        <v>30</v>
      </c>
      <c r="S32" s="53">
        <f t="shared" si="6"/>
        <v>28</v>
      </c>
      <c r="T32" s="53" t="str">
        <f t="shared" si="7"/>
        <v/>
      </c>
      <c r="U32" s="53" t="str">
        <f t="shared" si="8"/>
        <v/>
      </c>
      <c r="V32" s="53" t="str">
        <f t="shared" si="9"/>
        <v/>
      </c>
      <c r="W32" s="53" t="str">
        <f t="shared" si="10"/>
        <v>00:03:41.7 (38)</v>
      </c>
      <c r="X32" s="53" t="str">
        <f t="shared" si="11"/>
        <v>00:03:47.4 (30)</v>
      </c>
      <c r="Y32" s="53" t="str">
        <f t="shared" si="12"/>
        <v>00:02:15.7 (63)</v>
      </c>
      <c r="Z32" s="53" t="str">
        <f t="shared" si="13"/>
        <v>00:04:10.1 (30)</v>
      </c>
      <c r="AA32" s="53" t="str">
        <f t="shared" si="14"/>
        <v>00:05:08.4 (28)</v>
      </c>
      <c r="AB32" s="53" t="str">
        <f t="shared" si="15"/>
        <v>DNS/DNF ()</v>
      </c>
      <c r="AC32" s="53" t="str">
        <f t="shared" si="16"/>
        <v>DNS/DNF ()</v>
      </c>
      <c r="AD32" s="53" t="str">
        <f t="shared" si="17"/>
        <v>DNS/DNF ()</v>
      </c>
      <c r="AE32" s="53">
        <v>35778702</v>
      </c>
      <c r="AF32" s="53">
        <v>36000383</v>
      </c>
      <c r="AG32" s="53">
        <v>30804702</v>
      </c>
      <c r="AH32" s="53">
        <v>31032140</v>
      </c>
      <c r="AI32" s="53">
        <v>33396129</v>
      </c>
      <c r="AJ32" s="53">
        <v>33531838</v>
      </c>
      <c r="AK32" s="53">
        <v>39484704</v>
      </c>
      <c r="AL32" s="53">
        <v>39734804</v>
      </c>
      <c r="AM32" s="53">
        <v>41044260</v>
      </c>
      <c r="AN32" s="53">
        <v>41352621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3">
        <v>0</v>
      </c>
      <c r="AU32" s="62">
        <f t="shared" si="18"/>
        <v>2.565752314814815E-3</v>
      </c>
      <c r="AV32" s="62">
        <f t="shared" si="19"/>
        <v>2.6323842592592592E-3</v>
      </c>
      <c r="AW32" s="62">
        <f t="shared" si="20"/>
        <v>1.5707060185185186E-3</v>
      </c>
      <c r="AX32" s="62">
        <f t="shared" si="21"/>
        <v>2.894675925925926E-3</v>
      </c>
      <c r="AY32" s="62">
        <f t="shared" si="22"/>
        <v>3.5689930555555557E-3</v>
      </c>
      <c r="AZ32" s="62" t="str">
        <f t="shared" si="23"/>
        <v>DNS/DNF</v>
      </c>
      <c r="BA32" s="62" t="str">
        <f t="shared" si="24"/>
        <v>DNS/DNF</v>
      </c>
      <c r="BB32" s="62" t="str">
        <f t="shared" si="25"/>
        <v>DNS/DNF</v>
      </c>
      <c r="BC32" s="75">
        <f t="shared" si="26"/>
        <v>38</v>
      </c>
      <c r="BD32" s="53">
        <f t="shared" si="27"/>
        <v>221681</v>
      </c>
      <c r="BE32" s="53">
        <f t="shared" si="28"/>
        <v>230621.99999999997</v>
      </c>
      <c r="BF32" s="53">
        <f t="shared" si="29"/>
        <v>128737</v>
      </c>
      <c r="BG32" s="53">
        <f t="shared" si="30"/>
        <v>255968</v>
      </c>
      <c r="BH32" s="53">
        <f t="shared" si="31"/>
        <v>311828</v>
      </c>
      <c r="BI32" s="53" t="str">
        <f t="shared" si="32"/>
        <v/>
      </c>
      <c r="BJ32" s="53" t="str">
        <f t="shared" si="33"/>
        <v/>
      </c>
      <c r="BK32" s="53" t="str">
        <f t="shared" si="34"/>
        <v/>
      </c>
    </row>
    <row r="33" spans="1:63" ht="13.5" customHeight="1">
      <c r="A33" s="53">
        <v>187</v>
      </c>
      <c r="B33" s="89" t="str">
        <f>IFERROR(VLOOKUP($A33,EntryList!$A$3:$N$645,2,FALSE),"")</f>
        <v>James Owen</v>
      </c>
      <c r="C33" s="74"/>
      <c r="D33" s="53">
        <f t="shared" si="0"/>
        <v>5</v>
      </c>
      <c r="E33" s="62">
        <v>2.5889236111111113E-3</v>
      </c>
      <c r="F33" s="62">
        <v>2.5681828703703704E-3</v>
      </c>
      <c r="G33" s="62">
        <v>1.4752662037037037E-3</v>
      </c>
      <c r="H33" s="62">
        <v>2.9266550925925922E-3</v>
      </c>
      <c r="I33" s="62">
        <v>3.6790625E-3</v>
      </c>
      <c r="J33" s="62"/>
      <c r="K33" s="62"/>
      <c r="L33" s="62"/>
      <c r="M33" s="62">
        <v>1.3238090277777779E-2</v>
      </c>
      <c r="N33" s="62">
        <f t="shared" si="1"/>
        <v>1.3238090277777777E-2</v>
      </c>
      <c r="O33" s="53">
        <f t="shared" si="2"/>
        <v>39</v>
      </c>
      <c r="P33" s="53">
        <f t="shared" si="3"/>
        <v>22</v>
      </c>
      <c r="Q33" s="53">
        <f t="shared" si="4"/>
        <v>34</v>
      </c>
      <c r="R33" s="53">
        <f t="shared" si="5"/>
        <v>33</v>
      </c>
      <c r="S33" s="53">
        <f t="shared" si="6"/>
        <v>50</v>
      </c>
      <c r="T33" s="53" t="str">
        <f t="shared" si="7"/>
        <v/>
      </c>
      <c r="U33" s="53" t="str">
        <f t="shared" si="8"/>
        <v/>
      </c>
      <c r="V33" s="53" t="str">
        <f t="shared" si="9"/>
        <v/>
      </c>
      <c r="W33" s="53" t="str">
        <f t="shared" si="10"/>
        <v>00:03:43.7 (39)</v>
      </c>
      <c r="X33" s="53" t="str">
        <f t="shared" si="11"/>
        <v>00:03:41.9 (22)</v>
      </c>
      <c r="Y33" s="53" t="str">
        <f t="shared" si="12"/>
        <v>00:02:07.5 (34)</v>
      </c>
      <c r="Z33" s="53" t="str">
        <f t="shared" si="13"/>
        <v>00:04:12.9 (33)</v>
      </c>
      <c r="AA33" s="53" t="str">
        <f t="shared" si="14"/>
        <v>00:05:17.9 (50)</v>
      </c>
      <c r="AB33" s="53" t="str">
        <f t="shared" si="15"/>
        <v>DNS/DNF ()</v>
      </c>
      <c r="AC33" s="53" t="str">
        <f t="shared" si="16"/>
        <v>DNS/DNF ()</v>
      </c>
      <c r="AD33" s="53" t="str">
        <f t="shared" si="17"/>
        <v>DNS/DNF ()</v>
      </c>
      <c r="AE33" s="53">
        <v>33159770</v>
      </c>
      <c r="AF33" s="53">
        <v>33383453</v>
      </c>
      <c r="AG33" s="53">
        <v>39515274</v>
      </c>
      <c r="AH33" s="53">
        <v>39737165</v>
      </c>
      <c r="AI33" s="53">
        <v>36365065</v>
      </c>
      <c r="AJ33" s="53">
        <v>36492528</v>
      </c>
      <c r="AK33" s="53">
        <v>44107537</v>
      </c>
      <c r="AL33" s="53">
        <v>44360400</v>
      </c>
      <c r="AM33" s="53">
        <v>47060170</v>
      </c>
      <c r="AN33" s="53">
        <v>47378041</v>
      </c>
      <c r="AO33" s="53">
        <v>0</v>
      </c>
      <c r="AP33" s="53">
        <v>0</v>
      </c>
      <c r="AQ33" s="53">
        <v>0</v>
      </c>
      <c r="AR33" s="53">
        <v>0</v>
      </c>
      <c r="AS33" s="53">
        <v>0</v>
      </c>
      <c r="AT33" s="53">
        <v>0</v>
      </c>
      <c r="AU33" s="62">
        <f t="shared" si="18"/>
        <v>2.5889236111111113E-3</v>
      </c>
      <c r="AV33" s="62">
        <f t="shared" si="19"/>
        <v>2.5681828703703704E-3</v>
      </c>
      <c r="AW33" s="62">
        <f t="shared" si="20"/>
        <v>1.4752662037037037E-3</v>
      </c>
      <c r="AX33" s="62">
        <f t="shared" si="21"/>
        <v>2.9266550925925927E-3</v>
      </c>
      <c r="AY33" s="62">
        <f t="shared" si="22"/>
        <v>3.6790625E-3</v>
      </c>
      <c r="AZ33" s="62" t="str">
        <f t="shared" si="23"/>
        <v>DNS/DNF</v>
      </c>
      <c r="BA33" s="62" t="str">
        <f t="shared" si="24"/>
        <v>DNS/DNF</v>
      </c>
      <c r="BB33" s="62" t="str">
        <f t="shared" si="25"/>
        <v>DNS/DNF</v>
      </c>
      <c r="BC33" s="75">
        <f t="shared" si="26"/>
        <v>36</v>
      </c>
      <c r="BD33" s="53">
        <f t="shared" si="27"/>
        <v>220228.99999999997</v>
      </c>
      <c r="BE33" s="53">
        <f t="shared" si="28"/>
        <v>229777</v>
      </c>
      <c r="BF33" s="53">
        <f t="shared" si="29"/>
        <v>127997</v>
      </c>
      <c r="BG33" s="53">
        <f t="shared" si="30"/>
        <v>254706.00000000003</v>
      </c>
      <c r="BH33" s="53">
        <f t="shared" si="31"/>
        <v>311515</v>
      </c>
      <c r="BI33" s="53" t="str">
        <f t="shared" si="32"/>
        <v/>
      </c>
      <c r="BJ33" s="53" t="str">
        <f t="shared" si="33"/>
        <v/>
      </c>
      <c r="BK33" s="53" t="str">
        <f t="shared" si="34"/>
        <v/>
      </c>
    </row>
    <row r="34" spans="1:63">
      <c r="A34" s="53">
        <v>55</v>
      </c>
      <c r="B34" s="89" t="str">
        <f>IFERROR(VLOOKUP($A34,EntryList!$A$3:$N$645,2,FALSE),"")</f>
        <v>Nic Rezelman</v>
      </c>
      <c r="C34" s="74"/>
      <c r="D34" s="53">
        <f t="shared" si="0"/>
        <v>5</v>
      </c>
      <c r="E34" s="62">
        <v>2.704074074074074E-3</v>
      </c>
      <c r="F34" s="62">
        <v>2.5717245370370369E-3</v>
      </c>
      <c r="G34" s="62">
        <v>1.4961921296296297E-3</v>
      </c>
      <c r="H34" s="62">
        <v>2.8818287037037037E-3</v>
      </c>
      <c r="I34" s="62">
        <v>3.586712962962963E-3</v>
      </c>
      <c r="J34" s="62"/>
      <c r="K34" s="62"/>
      <c r="L34" s="62"/>
      <c r="M34" s="62">
        <v>1.3240532407407407E-2</v>
      </c>
      <c r="N34" s="62">
        <f t="shared" si="1"/>
        <v>1.3240532407407407E-2</v>
      </c>
      <c r="O34" s="53">
        <f t="shared" si="2"/>
        <v>53</v>
      </c>
      <c r="P34" s="53">
        <f t="shared" si="3"/>
        <v>23</v>
      </c>
      <c r="Q34" s="53">
        <f t="shared" si="4"/>
        <v>40</v>
      </c>
      <c r="R34" s="53">
        <f t="shared" si="5"/>
        <v>29</v>
      </c>
      <c r="S34" s="53">
        <f t="shared" si="6"/>
        <v>31</v>
      </c>
      <c r="T34" s="53" t="str">
        <f t="shared" si="7"/>
        <v/>
      </c>
      <c r="U34" s="53" t="str">
        <f t="shared" si="8"/>
        <v/>
      </c>
      <c r="V34" s="53" t="str">
        <f t="shared" si="9"/>
        <v/>
      </c>
      <c r="W34" s="53" t="str">
        <f t="shared" si="10"/>
        <v>00:03:53.6 (53)</v>
      </c>
      <c r="X34" s="53" t="str">
        <f t="shared" si="11"/>
        <v>00:03:42.2 (23)</v>
      </c>
      <c r="Y34" s="53" t="str">
        <f t="shared" si="12"/>
        <v>00:02:09.3 (40)</v>
      </c>
      <c r="Z34" s="53" t="str">
        <f t="shared" si="13"/>
        <v>00:04:09.0 (29)</v>
      </c>
      <c r="AA34" s="53" t="str">
        <f t="shared" si="14"/>
        <v>00:05:09.9 (31)</v>
      </c>
      <c r="AB34" s="53" t="str">
        <f t="shared" si="15"/>
        <v>DNS/DNF ()</v>
      </c>
      <c r="AC34" s="53" t="str">
        <f t="shared" si="16"/>
        <v>DNS/DNF ()</v>
      </c>
      <c r="AD34" s="53" t="str">
        <f t="shared" si="17"/>
        <v>DNS/DNF ()</v>
      </c>
      <c r="AE34" s="53">
        <v>33043056</v>
      </c>
      <c r="AF34" s="53">
        <v>33276688</v>
      </c>
      <c r="AG34" s="53">
        <v>39477704</v>
      </c>
      <c r="AH34" s="53">
        <v>39699901</v>
      </c>
      <c r="AI34" s="53">
        <v>36393764</v>
      </c>
      <c r="AJ34" s="53">
        <v>36523035</v>
      </c>
      <c r="AK34" s="53">
        <v>44086849</v>
      </c>
      <c r="AL34" s="53">
        <v>44335839</v>
      </c>
      <c r="AM34" s="53">
        <v>47033866</v>
      </c>
      <c r="AN34" s="53">
        <v>47343758</v>
      </c>
      <c r="AO34" s="53">
        <v>0</v>
      </c>
      <c r="AP34" s="53">
        <v>0</v>
      </c>
      <c r="AQ34" s="53">
        <v>0</v>
      </c>
      <c r="AR34" s="53">
        <v>0</v>
      </c>
      <c r="AS34" s="53">
        <v>0</v>
      </c>
      <c r="AT34" s="53">
        <v>0</v>
      </c>
      <c r="AU34" s="62">
        <f t="shared" si="18"/>
        <v>2.704074074074074E-3</v>
      </c>
      <c r="AV34" s="62">
        <f t="shared" si="19"/>
        <v>2.5717245370370369E-3</v>
      </c>
      <c r="AW34" s="62">
        <f t="shared" si="20"/>
        <v>1.4961921296296297E-3</v>
      </c>
      <c r="AX34" s="62">
        <f t="shared" si="21"/>
        <v>2.8818287037037037E-3</v>
      </c>
      <c r="AY34" s="62">
        <f t="shared" si="22"/>
        <v>3.586712962962963E-3</v>
      </c>
      <c r="AZ34" s="62" t="str">
        <f t="shared" si="23"/>
        <v>DNS/DNF</v>
      </c>
      <c r="BA34" s="62" t="str">
        <f t="shared" si="24"/>
        <v>DNS/DNF</v>
      </c>
      <c r="BB34" s="62" t="str">
        <f t="shared" si="25"/>
        <v>DNS/DNF</v>
      </c>
      <c r="BC34" s="75">
        <f t="shared" si="26"/>
        <v>35</v>
      </c>
      <c r="BD34" s="53">
        <f t="shared" si="27"/>
        <v>220085.99999999997</v>
      </c>
      <c r="BE34" s="53">
        <f t="shared" si="28"/>
        <v>229751</v>
      </c>
      <c r="BF34" s="53">
        <f t="shared" si="29"/>
        <v>127622.00000000001</v>
      </c>
      <c r="BG34" s="53">
        <f t="shared" si="30"/>
        <v>253890</v>
      </c>
      <c r="BH34" s="53">
        <f t="shared" si="31"/>
        <v>311415</v>
      </c>
      <c r="BI34" s="53" t="str">
        <f t="shared" si="32"/>
        <v/>
      </c>
      <c r="BJ34" s="53" t="str">
        <f t="shared" si="33"/>
        <v/>
      </c>
      <c r="BK34" s="53" t="str">
        <f t="shared" si="34"/>
        <v/>
      </c>
    </row>
    <row r="35" spans="1:63">
      <c r="A35" s="53">
        <v>160</v>
      </c>
      <c r="B35" s="89" t="str">
        <f>IFERROR(VLOOKUP($A35,EntryList!$A$3:$N$645,2,FALSE),"")</f>
        <v>Francois Van Schalkwyk</v>
      </c>
      <c r="C35" s="74"/>
      <c r="D35" s="53">
        <f t="shared" si="0"/>
        <v>5</v>
      </c>
      <c r="E35" s="62">
        <v>2.5472916666666669E-3</v>
      </c>
      <c r="F35" s="62">
        <v>2.6455324074074072E-3</v>
      </c>
      <c r="G35" s="62">
        <v>1.6268749999999998E-3</v>
      </c>
      <c r="H35" s="62">
        <v>2.8485416666666663E-3</v>
      </c>
      <c r="I35" s="62">
        <v>3.652650462962963E-3</v>
      </c>
      <c r="J35" s="62"/>
      <c r="K35" s="62"/>
      <c r="L35" s="62"/>
      <c r="M35" s="62">
        <v>1.3320891203703706E-2</v>
      </c>
      <c r="N35" s="62">
        <f t="shared" si="1"/>
        <v>1.3320891203703705E-2</v>
      </c>
      <c r="O35" s="53">
        <f t="shared" si="2"/>
        <v>35</v>
      </c>
      <c r="P35" s="53">
        <f t="shared" si="3"/>
        <v>33</v>
      </c>
      <c r="Q35" s="53">
        <f t="shared" si="4"/>
        <v>77</v>
      </c>
      <c r="R35" s="53">
        <f t="shared" si="5"/>
        <v>24</v>
      </c>
      <c r="S35" s="53">
        <f t="shared" si="6"/>
        <v>46</v>
      </c>
      <c r="T35" s="53" t="str">
        <f t="shared" si="7"/>
        <v/>
      </c>
      <c r="U35" s="53" t="str">
        <f t="shared" si="8"/>
        <v/>
      </c>
      <c r="V35" s="53" t="str">
        <f t="shared" si="9"/>
        <v/>
      </c>
      <c r="W35" s="53" t="str">
        <f t="shared" si="10"/>
        <v>00:03:40.1 (35)</v>
      </c>
      <c r="X35" s="53" t="str">
        <f t="shared" si="11"/>
        <v>00:03:48.6 (33)</v>
      </c>
      <c r="Y35" s="53" t="str">
        <f t="shared" si="12"/>
        <v>00:02:20.6 (77)</v>
      </c>
      <c r="Z35" s="53" t="str">
        <f t="shared" si="13"/>
        <v>00:04:06.1 (24)</v>
      </c>
      <c r="AA35" s="53" t="str">
        <f t="shared" si="14"/>
        <v>00:05:15.6 (46)</v>
      </c>
      <c r="AB35" s="53" t="str">
        <f t="shared" si="15"/>
        <v>DNS/DNF ()</v>
      </c>
      <c r="AC35" s="53" t="str">
        <f t="shared" si="16"/>
        <v>DNS/DNF ()</v>
      </c>
      <c r="AD35" s="53" t="str">
        <f t="shared" si="17"/>
        <v>DNS/DNF ()</v>
      </c>
      <c r="AE35" s="53">
        <v>36693521</v>
      </c>
      <c r="AF35" s="53">
        <v>36913607</v>
      </c>
      <c r="AG35" s="53">
        <v>40091324</v>
      </c>
      <c r="AH35" s="53">
        <v>40319898</v>
      </c>
      <c r="AI35" s="53">
        <v>32673352</v>
      </c>
      <c r="AJ35" s="53">
        <v>32813914</v>
      </c>
      <c r="AK35" s="53">
        <v>44497136</v>
      </c>
      <c r="AL35" s="53">
        <v>44743250</v>
      </c>
      <c r="AM35" s="53">
        <v>48346124</v>
      </c>
      <c r="AN35" s="53">
        <v>48661713</v>
      </c>
      <c r="AO35" s="53">
        <v>0</v>
      </c>
      <c r="AP35" s="53">
        <v>0</v>
      </c>
      <c r="AQ35" s="53">
        <v>0</v>
      </c>
      <c r="AR35" s="53">
        <v>0</v>
      </c>
      <c r="AS35" s="53">
        <v>0</v>
      </c>
      <c r="AT35" s="53">
        <v>0</v>
      </c>
      <c r="AU35" s="62">
        <f t="shared" si="18"/>
        <v>2.5472916666666665E-3</v>
      </c>
      <c r="AV35" s="62">
        <f t="shared" si="19"/>
        <v>2.6455324074074072E-3</v>
      </c>
      <c r="AW35" s="62">
        <f t="shared" si="20"/>
        <v>1.6268750000000001E-3</v>
      </c>
      <c r="AX35" s="62">
        <f t="shared" si="21"/>
        <v>2.8485416666666668E-3</v>
      </c>
      <c r="AY35" s="62">
        <f t="shared" si="22"/>
        <v>3.652650462962963E-3</v>
      </c>
      <c r="AZ35" s="62" t="str">
        <f t="shared" si="23"/>
        <v>DNS/DNF</v>
      </c>
      <c r="BA35" s="62" t="str">
        <f t="shared" si="24"/>
        <v>DNS/DNF</v>
      </c>
      <c r="BB35" s="62" t="str">
        <f t="shared" si="25"/>
        <v>DNS/DNF</v>
      </c>
      <c r="BC35" s="75">
        <f t="shared" si="26"/>
        <v>43</v>
      </c>
      <c r="BD35" s="53">
        <f t="shared" si="27"/>
        <v>224733</v>
      </c>
      <c r="BE35" s="53">
        <f t="shared" si="28"/>
        <v>232711</v>
      </c>
      <c r="BF35" s="53">
        <f t="shared" si="29"/>
        <v>129800</v>
      </c>
      <c r="BG35" s="53">
        <f t="shared" si="30"/>
        <v>258192</v>
      </c>
      <c r="BH35" s="53">
        <f t="shared" si="31"/>
        <v>315027</v>
      </c>
      <c r="BI35" s="53" t="str">
        <f t="shared" si="32"/>
        <v/>
      </c>
      <c r="BJ35" s="53" t="str">
        <f t="shared" si="33"/>
        <v/>
      </c>
      <c r="BK35" s="53" t="str">
        <f t="shared" si="34"/>
        <v/>
      </c>
    </row>
    <row r="36" spans="1:63">
      <c r="A36" s="53">
        <v>285</v>
      </c>
      <c r="B36" s="89" t="str">
        <f>IFERROR(VLOOKUP($A36,EntryList!$A$3:$N$645,2,FALSE),"")</f>
        <v>Piet Brummer</v>
      </c>
      <c r="C36" s="74"/>
      <c r="D36" s="53">
        <f t="shared" si="0"/>
        <v>5</v>
      </c>
      <c r="E36" s="62">
        <v>2.4370601851851853E-3</v>
      </c>
      <c r="F36" s="62">
        <v>2.736793981481482E-3</v>
      </c>
      <c r="G36" s="62">
        <v>1.5095833333333333E-3</v>
      </c>
      <c r="H36" s="62">
        <v>3.0498842592592591E-3</v>
      </c>
      <c r="I36" s="62">
        <v>3.5881134259259265E-3</v>
      </c>
      <c r="J36" s="62"/>
      <c r="K36" s="62"/>
      <c r="L36" s="62"/>
      <c r="M36" s="62">
        <v>1.3321435185185184E-2</v>
      </c>
      <c r="N36" s="62">
        <f t="shared" si="1"/>
        <v>1.3321435185185186E-2</v>
      </c>
      <c r="O36" s="53">
        <f t="shared" si="2"/>
        <v>22</v>
      </c>
      <c r="P36" s="53">
        <f t="shared" si="3"/>
        <v>55</v>
      </c>
      <c r="Q36" s="53">
        <f t="shared" si="4"/>
        <v>46</v>
      </c>
      <c r="R36" s="53">
        <f t="shared" si="5"/>
        <v>54</v>
      </c>
      <c r="S36" s="53">
        <f t="shared" si="6"/>
        <v>32</v>
      </c>
      <c r="T36" s="53" t="str">
        <f t="shared" si="7"/>
        <v/>
      </c>
      <c r="U36" s="53" t="str">
        <f t="shared" si="8"/>
        <v/>
      </c>
      <c r="V36" s="53" t="str">
        <f t="shared" si="9"/>
        <v/>
      </c>
      <c r="W36" s="53" t="str">
        <f t="shared" si="10"/>
        <v>00:03:30.6 (22)</v>
      </c>
      <c r="X36" s="53" t="str">
        <f t="shared" si="11"/>
        <v>00:03:56.5 (55)</v>
      </c>
      <c r="Y36" s="53" t="str">
        <f t="shared" si="12"/>
        <v>00:02:10.4 (46)</v>
      </c>
      <c r="Z36" s="53" t="str">
        <f t="shared" si="13"/>
        <v>00:04:23.5 (54)</v>
      </c>
      <c r="AA36" s="53" t="str">
        <f t="shared" si="14"/>
        <v>00:05:10.0 (32)</v>
      </c>
      <c r="AB36" s="53" t="str">
        <f t="shared" si="15"/>
        <v>DNS/DNF ()</v>
      </c>
      <c r="AC36" s="53" t="str">
        <f t="shared" si="16"/>
        <v>DNS/DNF ()</v>
      </c>
      <c r="AD36" s="53" t="str">
        <f t="shared" si="17"/>
        <v>DNS/DNF ()</v>
      </c>
      <c r="AE36" s="53">
        <v>36132559</v>
      </c>
      <c r="AF36" s="53">
        <v>36343121</v>
      </c>
      <c r="AG36" s="53">
        <v>32186880</v>
      </c>
      <c r="AH36" s="53">
        <v>32423339</v>
      </c>
      <c r="AI36" s="53">
        <v>39236075</v>
      </c>
      <c r="AJ36" s="53">
        <v>39366503</v>
      </c>
      <c r="AK36" s="53">
        <v>42885910</v>
      </c>
      <c r="AL36" s="53">
        <v>43149420</v>
      </c>
      <c r="AM36" s="53">
        <v>45670080</v>
      </c>
      <c r="AN36" s="53">
        <v>45980093</v>
      </c>
      <c r="AO36" s="53">
        <v>0</v>
      </c>
      <c r="AP36" s="53">
        <v>0</v>
      </c>
      <c r="AQ36" s="53">
        <v>0</v>
      </c>
      <c r="AR36" s="53">
        <v>0</v>
      </c>
      <c r="AS36" s="53">
        <v>0</v>
      </c>
      <c r="AT36" s="53">
        <v>0</v>
      </c>
      <c r="AU36" s="62">
        <f t="shared" si="18"/>
        <v>2.4370601851851853E-3</v>
      </c>
      <c r="AV36" s="62">
        <f t="shared" si="19"/>
        <v>2.7367939814814815E-3</v>
      </c>
      <c r="AW36" s="62">
        <f t="shared" si="20"/>
        <v>1.5095833333333333E-3</v>
      </c>
      <c r="AX36" s="62">
        <f t="shared" si="21"/>
        <v>3.0498842592592591E-3</v>
      </c>
      <c r="AY36" s="62">
        <f t="shared" si="22"/>
        <v>3.588113425925926E-3</v>
      </c>
      <c r="AZ36" s="62" t="str">
        <f t="shared" si="23"/>
        <v>DNS/DNF</v>
      </c>
      <c r="BA36" s="62" t="str">
        <f t="shared" si="24"/>
        <v>DNS/DNF</v>
      </c>
      <c r="BB36" s="62" t="str">
        <f t="shared" si="25"/>
        <v>DNS/DNF</v>
      </c>
      <c r="BC36" s="75">
        <f t="shared" si="26"/>
        <v>42</v>
      </c>
      <c r="BD36" s="53">
        <f t="shared" si="27"/>
        <v>224707.00000000003</v>
      </c>
      <c r="BE36" s="53">
        <f t="shared" si="28"/>
        <v>232222.99999999997</v>
      </c>
      <c r="BF36" s="53">
        <f t="shared" si="29"/>
        <v>129543.99999999999</v>
      </c>
      <c r="BG36" s="53">
        <f t="shared" si="30"/>
        <v>257729</v>
      </c>
      <c r="BH36" s="53">
        <f t="shared" si="31"/>
        <v>314943</v>
      </c>
      <c r="BI36" s="53" t="str">
        <f t="shared" si="32"/>
        <v/>
      </c>
      <c r="BJ36" s="53" t="str">
        <f t="shared" si="33"/>
        <v/>
      </c>
      <c r="BK36" s="53" t="str">
        <f t="shared" si="34"/>
        <v/>
      </c>
    </row>
    <row r="37" spans="1:63">
      <c r="A37" s="53">
        <v>208</v>
      </c>
      <c r="B37" s="89" t="str">
        <f>IFERROR(VLOOKUP($A37,EntryList!$A$3:$N$645,2,FALSE),"")</f>
        <v>Lood Goosen</v>
      </c>
      <c r="C37" s="74"/>
      <c r="D37" s="53">
        <f t="shared" si="0"/>
        <v>5</v>
      </c>
      <c r="E37" s="62">
        <v>2.6051851851851848E-3</v>
      </c>
      <c r="F37" s="62">
        <v>2.6934143518518518E-3</v>
      </c>
      <c r="G37" s="62">
        <v>1.5133101851851852E-3</v>
      </c>
      <c r="H37" s="62">
        <v>2.9807407407407404E-3</v>
      </c>
      <c r="I37" s="62">
        <v>3.5325000000000005E-3</v>
      </c>
      <c r="J37" s="62"/>
      <c r="K37" s="62"/>
      <c r="L37" s="62"/>
      <c r="M37" s="62">
        <v>1.3325150462962962E-2</v>
      </c>
      <c r="N37" s="62">
        <f t="shared" si="1"/>
        <v>1.3325150462962964E-2</v>
      </c>
      <c r="O37" s="53">
        <f t="shared" si="2"/>
        <v>44</v>
      </c>
      <c r="P37" s="53">
        <f t="shared" si="3"/>
        <v>43</v>
      </c>
      <c r="Q37" s="53">
        <f t="shared" si="4"/>
        <v>50</v>
      </c>
      <c r="R37" s="53">
        <f t="shared" si="5"/>
        <v>41</v>
      </c>
      <c r="S37" s="53">
        <f t="shared" si="6"/>
        <v>24</v>
      </c>
      <c r="T37" s="53" t="str">
        <f t="shared" si="7"/>
        <v/>
      </c>
      <c r="U37" s="53" t="str">
        <f t="shared" si="8"/>
        <v/>
      </c>
      <c r="V37" s="53" t="str">
        <f t="shared" si="9"/>
        <v/>
      </c>
      <c r="W37" s="53" t="str">
        <f t="shared" si="10"/>
        <v>00:03:45.1 (44)</v>
      </c>
      <c r="X37" s="53" t="str">
        <f t="shared" si="11"/>
        <v>00:03:52.7 (43)</v>
      </c>
      <c r="Y37" s="53" t="str">
        <f t="shared" si="12"/>
        <v>00:02:10.8 (50)</v>
      </c>
      <c r="Z37" s="53" t="str">
        <f t="shared" si="13"/>
        <v>00:04:17.5 (41)</v>
      </c>
      <c r="AA37" s="53" t="str">
        <f t="shared" si="14"/>
        <v>00:05:05.2 (24)</v>
      </c>
      <c r="AB37" s="53" t="str">
        <f t="shared" si="15"/>
        <v>DNS/DNF ()</v>
      </c>
      <c r="AC37" s="53" t="str">
        <f t="shared" si="16"/>
        <v>DNS/DNF ()</v>
      </c>
      <c r="AD37" s="53" t="str">
        <f t="shared" si="17"/>
        <v>DNS/DNF ()</v>
      </c>
      <c r="AE37" s="53">
        <v>33964174</v>
      </c>
      <c r="AF37" s="53">
        <v>34189262</v>
      </c>
      <c r="AG37" s="53">
        <v>30932285</v>
      </c>
      <c r="AH37" s="53">
        <v>31164996</v>
      </c>
      <c r="AI37" s="53">
        <v>36747284</v>
      </c>
      <c r="AJ37" s="53">
        <v>36878034</v>
      </c>
      <c r="AK37" s="53">
        <v>40521096</v>
      </c>
      <c r="AL37" s="53">
        <v>40778632</v>
      </c>
      <c r="AM37" s="53">
        <v>43085096</v>
      </c>
      <c r="AN37" s="53">
        <v>43390304</v>
      </c>
      <c r="AO37" s="53">
        <v>0</v>
      </c>
      <c r="AP37" s="53">
        <v>0</v>
      </c>
      <c r="AQ37" s="53">
        <v>0</v>
      </c>
      <c r="AR37" s="53">
        <v>0</v>
      </c>
      <c r="AS37" s="53">
        <v>0</v>
      </c>
      <c r="AT37" s="53">
        <v>0</v>
      </c>
      <c r="AU37" s="62">
        <f t="shared" si="18"/>
        <v>2.6051851851851852E-3</v>
      </c>
      <c r="AV37" s="62">
        <f t="shared" si="19"/>
        <v>2.6934143518518518E-3</v>
      </c>
      <c r="AW37" s="62">
        <f t="shared" si="20"/>
        <v>1.5133101851851852E-3</v>
      </c>
      <c r="AX37" s="62">
        <f t="shared" si="21"/>
        <v>2.9807407407407408E-3</v>
      </c>
      <c r="AY37" s="62">
        <f t="shared" si="22"/>
        <v>3.5325E-3</v>
      </c>
      <c r="AZ37" s="62" t="str">
        <f t="shared" si="23"/>
        <v>DNS/DNF</v>
      </c>
      <c r="BA37" s="62" t="str">
        <f t="shared" si="24"/>
        <v>DNS/DNF</v>
      </c>
      <c r="BB37" s="62" t="str">
        <f t="shared" si="25"/>
        <v>DNS/DNF</v>
      </c>
      <c r="BC37" s="75">
        <f t="shared" si="26"/>
        <v>40</v>
      </c>
      <c r="BD37" s="53">
        <f t="shared" si="27"/>
        <v>224335.99999999997</v>
      </c>
      <c r="BE37" s="53">
        <f t="shared" si="28"/>
        <v>231733</v>
      </c>
      <c r="BF37" s="53">
        <f t="shared" si="29"/>
        <v>129271</v>
      </c>
      <c r="BG37" s="53">
        <f t="shared" si="30"/>
        <v>256736</v>
      </c>
      <c r="BH37" s="53">
        <f t="shared" si="31"/>
        <v>312924</v>
      </c>
      <c r="BI37" s="53" t="str">
        <f t="shared" si="32"/>
        <v/>
      </c>
      <c r="BJ37" s="53" t="str">
        <f t="shared" si="33"/>
        <v/>
      </c>
      <c r="BK37" s="53" t="str">
        <f t="shared" si="34"/>
        <v/>
      </c>
    </row>
    <row r="38" spans="1:63">
      <c r="A38" s="53">
        <v>16</v>
      </c>
      <c r="B38" s="89" t="str">
        <f>IFERROR(VLOOKUP($A38,EntryList!$A$3:$N$645,2,FALSE),"")</f>
        <v>Seth Barnard</v>
      </c>
      <c r="C38" s="74"/>
      <c r="D38" s="53">
        <f t="shared" si="0"/>
        <v>5</v>
      </c>
      <c r="E38" s="62">
        <v>2.6111458333333334E-3</v>
      </c>
      <c r="F38" s="62">
        <v>2.7042245370370375E-3</v>
      </c>
      <c r="G38" s="62">
        <v>1.4562500000000001E-3</v>
      </c>
      <c r="H38" s="62">
        <v>2.9251620370370373E-3</v>
      </c>
      <c r="I38" s="62">
        <v>3.6500578703703708E-3</v>
      </c>
      <c r="J38" s="62"/>
      <c r="K38" s="62"/>
      <c r="L38" s="62"/>
      <c r="M38" s="62">
        <v>1.3346840277777777E-2</v>
      </c>
      <c r="N38" s="62">
        <f t="shared" si="1"/>
        <v>1.3346840277777779E-2</v>
      </c>
      <c r="O38" s="53">
        <f t="shared" si="2"/>
        <v>45</v>
      </c>
      <c r="P38" s="53">
        <f t="shared" si="3"/>
        <v>47</v>
      </c>
      <c r="Q38" s="53">
        <f t="shared" si="4"/>
        <v>29</v>
      </c>
      <c r="R38" s="53">
        <f t="shared" si="5"/>
        <v>32</v>
      </c>
      <c r="S38" s="53">
        <f t="shared" si="6"/>
        <v>44</v>
      </c>
      <c r="T38" s="53" t="str">
        <f t="shared" si="7"/>
        <v/>
      </c>
      <c r="U38" s="53" t="str">
        <f t="shared" si="8"/>
        <v/>
      </c>
      <c r="V38" s="53" t="str">
        <f t="shared" si="9"/>
        <v/>
      </c>
      <c r="W38" s="53" t="str">
        <f t="shared" si="10"/>
        <v>00:03:45.6 (45)</v>
      </c>
      <c r="X38" s="53" t="str">
        <f t="shared" si="11"/>
        <v>00:03:53.6 (47)</v>
      </c>
      <c r="Y38" s="53" t="str">
        <f t="shared" si="12"/>
        <v>00:02:05.8 (29)</v>
      </c>
      <c r="Z38" s="53" t="str">
        <f t="shared" si="13"/>
        <v>00:04:12.7 (32)</v>
      </c>
      <c r="AA38" s="53" t="str">
        <f t="shared" si="14"/>
        <v>00:05:15.4 (44)</v>
      </c>
      <c r="AB38" s="53" t="str">
        <f t="shared" si="15"/>
        <v>DNS/DNF ()</v>
      </c>
      <c r="AC38" s="53" t="str">
        <f t="shared" si="16"/>
        <v>DNS/DNF ()</v>
      </c>
      <c r="AD38" s="53" t="str">
        <f t="shared" si="17"/>
        <v>DNS/DNF ()</v>
      </c>
      <c r="AE38" s="53">
        <v>34550133</v>
      </c>
      <c r="AF38" s="53">
        <v>34775736</v>
      </c>
      <c r="AG38" s="53">
        <v>31172711</v>
      </c>
      <c r="AH38" s="53">
        <v>31406356</v>
      </c>
      <c r="AI38" s="53">
        <v>37835880</v>
      </c>
      <c r="AJ38" s="53">
        <v>37961700</v>
      </c>
      <c r="AK38" s="53">
        <v>41904271</v>
      </c>
      <c r="AL38" s="53">
        <v>42157005</v>
      </c>
      <c r="AM38" s="53">
        <v>44937446</v>
      </c>
      <c r="AN38" s="53">
        <v>45252811</v>
      </c>
      <c r="AO38" s="53">
        <v>0</v>
      </c>
      <c r="AP38" s="53">
        <v>0</v>
      </c>
      <c r="AQ38" s="53">
        <v>0</v>
      </c>
      <c r="AR38" s="53">
        <v>0</v>
      </c>
      <c r="AS38" s="53">
        <v>0</v>
      </c>
      <c r="AT38" s="53">
        <v>0</v>
      </c>
      <c r="AU38" s="62">
        <f t="shared" si="18"/>
        <v>2.6111458333333334E-3</v>
      </c>
      <c r="AV38" s="62">
        <f t="shared" si="19"/>
        <v>2.7042245370370371E-3</v>
      </c>
      <c r="AW38" s="62">
        <f t="shared" si="20"/>
        <v>1.4562500000000001E-3</v>
      </c>
      <c r="AX38" s="62">
        <f t="shared" si="21"/>
        <v>2.9251620370370369E-3</v>
      </c>
      <c r="AY38" s="62">
        <f t="shared" si="22"/>
        <v>3.6500578703703703E-3</v>
      </c>
      <c r="AZ38" s="62" t="str">
        <f t="shared" si="23"/>
        <v>DNS/DNF</v>
      </c>
      <c r="BA38" s="62" t="str">
        <f t="shared" si="24"/>
        <v>DNS/DNF</v>
      </c>
      <c r="BB38" s="62" t="str">
        <f t="shared" si="25"/>
        <v>DNS/DNF</v>
      </c>
      <c r="BC38" s="75">
        <f t="shared" si="26"/>
        <v>39</v>
      </c>
      <c r="BD38" s="53">
        <f t="shared" si="27"/>
        <v>223683.00000000003</v>
      </c>
      <c r="BE38" s="53">
        <f t="shared" si="28"/>
        <v>231668.00000000003</v>
      </c>
      <c r="BF38" s="53">
        <f t="shared" si="29"/>
        <v>129120</v>
      </c>
      <c r="BG38" s="53">
        <f t="shared" si="30"/>
        <v>256353</v>
      </c>
      <c r="BH38" s="53">
        <f t="shared" si="31"/>
        <v>312486</v>
      </c>
      <c r="BI38" s="53" t="str">
        <f t="shared" si="32"/>
        <v/>
      </c>
      <c r="BJ38" s="53" t="str">
        <f t="shared" si="33"/>
        <v/>
      </c>
      <c r="BK38" s="53" t="str">
        <f t="shared" si="34"/>
        <v/>
      </c>
    </row>
    <row r="39" spans="1:63">
      <c r="A39" s="53">
        <v>126</v>
      </c>
      <c r="B39" s="89" t="str">
        <f>IFERROR(VLOOKUP($A39,EntryList!$A$3:$N$645,2,FALSE),"")</f>
        <v>Luke Moir</v>
      </c>
      <c r="C39" s="74"/>
      <c r="D39" s="53">
        <f t="shared" si="0"/>
        <v>5</v>
      </c>
      <c r="E39" s="62">
        <v>2.2386342592592592E-3</v>
      </c>
      <c r="F39" s="62">
        <v>2.5203240740740741E-3</v>
      </c>
      <c r="G39" s="62">
        <v>1.3768055555555556E-3</v>
      </c>
      <c r="H39" s="62">
        <v>3.9366550925925932E-3</v>
      </c>
      <c r="I39" s="62">
        <v>3.2884375000000001E-3</v>
      </c>
      <c r="J39" s="62"/>
      <c r="K39" s="62"/>
      <c r="L39" s="62"/>
      <c r="M39" s="62">
        <v>1.3360856481481482E-2</v>
      </c>
      <c r="N39" s="62">
        <f t="shared" si="1"/>
        <v>1.3360856481481482E-2</v>
      </c>
      <c r="O39" s="53">
        <f t="shared" si="2"/>
        <v>8</v>
      </c>
      <c r="P39" s="53">
        <f t="shared" si="3"/>
        <v>17</v>
      </c>
      <c r="Q39" s="53">
        <f t="shared" si="4"/>
        <v>10</v>
      </c>
      <c r="R39" s="53">
        <f t="shared" si="5"/>
        <v>126</v>
      </c>
      <c r="S39" s="53">
        <f t="shared" si="6"/>
        <v>3</v>
      </c>
      <c r="T39" s="53" t="str">
        <f t="shared" si="7"/>
        <v/>
      </c>
      <c r="U39" s="53" t="str">
        <f t="shared" si="8"/>
        <v/>
      </c>
      <c r="V39" s="53" t="str">
        <f t="shared" si="9"/>
        <v/>
      </c>
      <c r="W39" s="53" t="str">
        <f t="shared" si="10"/>
        <v>00:03:13.4 (8)</v>
      </c>
      <c r="X39" s="53" t="str">
        <f t="shared" si="11"/>
        <v>00:03:37.8 (17)</v>
      </c>
      <c r="Y39" s="53" t="str">
        <f t="shared" si="12"/>
        <v>00:01:59.0 (10)</v>
      </c>
      <c r="Z39" s="53" t="str">
        <f t="shared" si="13"/>
        <v>00:05:40.1 (126)</v>
      </c>
      <c r="AA39" s="53" t="str">
        <f t="shared" si="14"/>
        <v>00:04:44.1 (3)</v>
      </c>
      <c r="AB39" s="53" t="str">
        <f t="shared" si="15"/>
        <v>DNS/DNF ()</v>
      </c>
      <c r="AC39" s="53" t="str">
        <f t="shared" si="16"/>
        <v>DNS/DNF ()</v>
      </c>
      <c r="AD39" s="53" t="str">
        <f t="shared" si="17"/>
        <v>DNS/DNF ()</v>
      </c>
      <c r="AE39" s="53">
        <v>35322422</v>
      </c>
      <c r="AF39" s="53">
        <v>35515840</v>
      </c>
      <c r="AG39" s="53">
        <v>32366355</v>
      </c>
      <c r="AH39" s="53">
        <v>32584111</v>
      </c>
      <c r="AI39" s="53">
        <v>38254160</v>
      </c>
      <c r="AJ39" s="53">
        <v>38373116</v>
      </c>
      <c r="AK39" s="53">
        <v>42324079</v>
      </c>
      <c r="AL39" s="53">
        <v>42664206</v>
      </c>
      <c r="AM39" s="53">
        <v>45467288</v>
      </c>
      <c r="AN39" s="53">
        <v>45751409</v>
      </c>
      <c r="AO39" s="53">
        <v>0</v>
      </c>
      <c r="AP39" s="53">
        <v>0</v>
      </c>
      <c r="AQ39" s="53">
        <v>0</v>
      </c>
      <c r="AR39" s="53">
        <v>0</v>
      </c>
      <c r="AS39" s="53">
        <v>0</v>
      </c>
      <c r="AT39" s="53">
        <v>0</v>
      </c>
      <c r="AU39" s="62">
        <f t="shared" si="18"/>
        <v>2.2386342592592592E-3</v>
      </c>
      <c r="AV39" s="62">
        <f t="shared" si="19"/>
        <v>2.5203240740740741E-3</v>
      </c>
      <c r="AW39" s="62">
        <f t="shared" si="20"/>
        <v>1.3768055555555556E-3</v>
      </c>
      <c r="AX39" s="62">
        <f t="shared" si="21"/>
        <v>3.9366550925925923E-3</v>
      </c>
      <c r="AY39" s="62">
        <f t="shared" si="22"/>
        <v>3.2884375000000001E-3</v>
      </c>
      <c r="AZ39" s="62" t="str">
        <f t="shared" si="23"/>
        <v>DNS/DNF</v>
      </c>
      <c r="BA39" s="62" t="str">
        <f t="shared" si="24"/>
        <v>DNS/DNF</v>
      </c>
      <c r="BB39" s="62" t="str">
        <f t="shared" si="25"/>
        <v>DNS/DNF</v>
      </c>
      <c r="BC39" s="75">
        <f t="shared" si="26"/>
        <v>33</v>
      </c>
      <c r="BD39" s="53">
        <f t="shared" si="27"/>
        <v>218580</v>
      </c>
      <c r="BE39" s="53">
        <f t="shared" si="28"/>
        <v>228573.99999999997</v>
      </c>
      <c r="BF39" s="53">
        <f t="shared" si="29"/>
        <v>126705</v>
      </c>
      <c r="BG39" s="53">
        <f t="shared" si="30"/>
        <v>252863</v>
      </c>
      <c r="BH39" s="53">
        <f t="shared" si="31"/>
        <v>310515</v>
      </c>
      <c r="BI39" s="53" t="str">
        <f t="shared" si="32"/>
        <v/>
      </c>
      <c r="BJ39" s="53" t="str">
        <f t="shared" si="33"/>
        <v/>
      </c>
      <c r="BK39" s="53" t="str">
        <f t="shared" si="34"/>
        <v/>
      </c>
    </row>
    <row r="40" spans="1:63">
      <c r="A40" s="53">
        <v>84</v>
      </c>
      <c r="B40" s="89" t="str">
        <f>IFERROR(VLOOKUP($A40,EntryList!$A$3:$N$645,2,FALSE),"")</f>
        <v>Stefan Boshoff</v>
      </c>
      <c r="C40" s="74"/>
      <c r="D40" s="53">
        <f t="shared" si="0"/>
        <v>5</v>
      </c>
      <c r="E40" s="62">
        <v>2.5506250000000004E-3</v>
      </c>
      <c r="F40" s="62">
        <v>2.697662037037037E-3</v>
      </c>
      <c r="G40" s="62">
        <v>1.4480787037037038E-3</v>
      </c>
      <c r="H40" s="62">
        <v>2.9625925925925926E-3</v>
      </c>
      <c r="I40" s="62">
        <v>3.7129861111111113E-3</v>
      </c>
      <c r="J40" s="62"/>
      <c r="K40" s="62"/>
      <c r="L40" s="62"/>
      <c r="M40" s="62">
        <v>1.3371944444444445E-2</v>
      </c>
      <c r="N40" s="62">
        <f t="shared" si="1"/>
        <v>1.3371944444444445E-2</v>
      </c>
      <c r="O40" s="53">
        <f t="shared" si="2"/>
        <v>37</v>
      </c>
      <c r="P40" s="53">
        <f t="shared" si="3"/>
        <v>46</v>
      </c>
      <c r="Q40" s="53">
        <f t="shared" si="4"/>
        <v>26</v>
      </c>
      <c r="R40" s="53">
        <f t="shared" si="5"/>
        <v>38</v>
      </c>
      <c r="S40" s="53">
        <f t="shared" si="6"/>
        <v>54</v>
      </c>
      <c r="T40" s="53" t="str">
        <f t="shared" si="7"/>
        <v/>
      </c>
      <c r="U40" s="53" t="str">
        <f t="shared" si="8"/>
        <v/>
      </c>
      <c r="V40" s="53" t="str">
        <f t="shared" si="9"/>
        <v/>
      </c>
      <c r="W40" s="53" t="str">
        <f t="shared" si="10"/>
        <v>00:03:40.4 (37)</v>
      </c>
      <c r="X40" s="53" t="str">
        <f t="shared" si="11"/>
        <v>00:03:53.1 (46)</v>
      </c>
      <c r="Y40" s="53" t="str">
        <f t="shared" si="12"/>
        <v>00:02:05.1 (26)</v>
      </c>
      <c r="Z40" s="53" t="str">
        <f t="shared" si="13"/>
        <v>00:04:16.0 (38)</v>
      </c>
      <c r="AA40" s="53" t="str">
        <f t="shared" si="14"/>
        <v>00:05:20.8 (54)</v>
      </c>
      <c r="AB40" s="53" t="str">
        <f t="shared" si="15"/>
        <v>DNS/DNF ()</v>
      </c>
      <c r="AC40" s="53" t="str">
        <f t="shared" si="16"/>
        <v>DNS/DNF ()</v>
      </c>
      <c r="AD40" s="53" t="str">
        <f t="shared" si="17"/>
        <v>DNS/DNF ()</v>
      </c>
      <c r="AE40" s="53">
        <v>31453012</v>
      </c>
      <c r="AF40" s="53">
        <v>31673386</v>
      </c>
      <c r="AG40" s="53">
        <v>35824460</v>
      </c>
      <c r="AH40" s="53">
        <v>36057538</v>
      </c>
      <c r="AI40" s="53">
        <v>39519772</v>
      </c>
      <c r="AJ40" s="53">
        <v>39644886</v>
      </c>
      <c r="AK40" s="53">
        <v>43776786</v>
      </c>
      <c r="AL40" s="53">
        <v>44032754</v>
      </c>
      <c r="AM40" s="53">
        <v>47095898</v>
      </c>
      <c r="AN40" s="53">
        <v>47416700</v>
      </c>
      <c r="AO40" s="53">
        <v>0</v>
      </c>
      <c r="AP40" s="53">
        <v>0</v>
      </c>
      <c r="AQ40" s="53">
        <v>0</v>
      </c>
      <c r="AR40" s="53">
        <v>0</v>
      </c>
      <c r="AS40" s="53">
        <v>0</v>
      </c>
      <c r="AT40" s="53">
        <v>0</v>
      </c>
      <c r="AU40" s="62">
        <f t="shared" si="18"/>
        <v>2.5506249999999999E-3</v>
      </c>
      <c r="AV40" s="62">
        <f t="shared" si="19"/>
        <v>2.697662037037037E-3</v>
      </c>
      <c r="AW40" s="62">
        <f t="shared" si="20"/>
        <v>1.4480787037037038E-3</v>
      </c>
      <c r="AX40" s="62">
        <f t="shared" si="21"/>
        <v>2.9625925925925926E-3</v>
      </c>
      <c r="AY40" s="62">
        <f t="shared" si="22"/>
        <v>3.7129861111111109E-3</v>
      </c>
      <c r="AZ40" s="62" t="str">
        <f t="shared" si="23"/>
        <v>DNS/DNF</v>
      </c>
      <c r="BA40" s="62" t="str">
        <f t="shared" si="24"/>
        <v>DNS/DNF</v>
      </c>
      <c r="BB40" s="62" t="str">
        <f t="shared" si="25"/>
        <v>DNS/DNF</v>
      </c>
      <c r="BC40" s="75">
        <f t="shared" si="26"/>
        <v>40</v>
      </c>
      <c r="BD40" s="53">
        <f t="shared" si="27"/>
        <v>224335.99999999997</v>
      </c>
      <c r="BE40" s="53">
        <f t="shared" si="28"/>
        <v>231733</v>
      </c>
      <c r="BF40" s="53">
        <f t="shared" si="29"/>
        <v>129271</v>
      </c>
      <c r="BG40" s="53">
        <f t="shared" si="30"/>
        <v>256736</v>
      </c>
      <c r="BH40" s="53">
        <f t="shared" si="31"/>
        <v>312924</v>
      </c>
      <c r="BI40" s="53" t="str">
        <f t="shared" si="32"/>
        <v/>
      </c>
      <c r="BJ40" s="53" t="str">
        <f t="shared" si="33"/>
        <v/>
      </c>
      <c r="BK40" s="53" t="str">
        <f t="shared" si="34"/>
        <v/>
      </c>
    </row>
    <row r="41" spans="1:63">
      <c r="A41" s="53">
        <v>17</v>
      </c>
      <c r="B41" s="89" t="str">
        <f>IFERROR(VLOOKUP($A41,EntryList!$A$3:$N$645,2,FALSE),"")</f>
        <v>Alexander Jonker</v>
      </c>
      <c r="C41" s="74"/>
      <c r="D41" s="53">
        <f t="shared" si="0"/>
        <v>5</v>
      </c>
      <c r="E41" s="62">
        <v>2.4708912037037039E-3</v>
      </c>
      <c r="F41" s="62">
        <v>2.8231134259259255E-3</v>
      </c>
      <c r="G41" s="62">
        <v>1.5135069444444447E-3</v>
      </c>
      <c r="H41" s="62">
        <v>2.9883333333333337E-3</v>
      </c>
      <c r="I41" s="62">
        <v>3.6043402777777775E-3</v>
      </c>
      <c r="J41" s="62"/>
      <c r="K41" s="62"/>
      <c r="L41" s="62"/>
      <c r="M41" s="62">
        <v>1.3400185185185187E-2</v>
      </c>
      <c r="N41" s="62">
        <f t="shared" si="1"/>
        <v>1.3400185185185185E-2</v>
      </c>
      <c r="O41" s="53">
        <f t="shared" si="2"/>
        <v>26</v>
      </c>
      <c r="P41" s="53">
        <f t="shared" si="3"/>
        <v>73</v>
      </c>
      <c r="Q41" s="53">
        <f t="shared" si="4"/>
        <v>51</v>
      </c>
      <c r="R41" s="53">
        <f t="shared" si="5"/>
        <v>43</v>
      </c>
      <c r="S41" s="53">
        <f t="shared" si="6"/>
        <v>35</v>
      </c>
      <c r="T41" s="53" t="str">
        <f t="shared" si="7"/>
        <v/>
      </c>
      <c r="U41" s="53" t="str">
        <f t="shared" si="8"/>
        <v/>
      </c>
      <c r="V41" s="53" t="str">
        <f t="shared" si="9"/>
        <v/>
      </c>
      <c r="W41" s="53" t="str">
        <f t="shared" si="10"/>
        <v>00:03:33.5 (26)</v>
      </c>
      <c r="X41" s="53" t="str">
        <f t="shared" si="11"/>
        <v>00:04:03.9 (73)</v>
      </c>
      <c r="Y41" s="53" t="str">
        <f t="shared" si="12"/>
        <v>00:02:10.8 (51)</v>
      </c>
      <c r="Z41" s="53" t="str">
        <f t="shared" si="13"/>
        <v>00:04:18.2 (43)</v>
      </c>
      <c r="AA41" s="53" t="str">
        <f t="shared" si="14"/>
        <v>00:05:11.4 (35)</v>
      </c>
      <c r="AB41" s="53" t="str">
        <f t="shared" si="15"/>
        <v>DNS/DNF ()</v>
      </c>
      <c r="AC41" s="53" t="str">
        <f t="shared" si="16"/>
        <v>DNS/DNF ()</v>
      </c>
      <c r="AD41" s="53" t="str">
        <f t="shared" si="17"/>
        <v>DNS/DNF ()</v>
      </c>
      <c r="AE41" s="53">
        <v>35083980</v>
      </c>
      <c r="AF41" s="53">
        <v>35297465</v>
      </c>
      <c r="AG41" s="53">
        <v>31501424</v>
      </c>
      <c r="AH41" s="53">
        <v>31745341</v>
      </c>
      <c r="AI41" s="53">
        <v>38733428</v>
      </c>
      <c r="AJ41" s="53">
        <v>38864195</v>
      </c>
      <c r="AK41" s="53">
        <v>43486777</v>
      </c>
      <c r="AL41" s="53">
        <v>43744969</v>
      </c>
      <c r="AM41" s="53">
        <v>46169702</v>
      </c>
      <c r="AN41" s="53">
        <v>46481117</v>
      </c>
      <c r="AO41" s="53">
        <v>0</v>
      </c>
      <c r="AP41" s="53">
        <v>0</v>
      </c>
      <c r="AQ41" s="53">
        <v>0</v>
      </c>
      <c r="AR41" s="53">
        <v>0</v>
      </c>
      <c r="AS41" s="53">
        <v>0</v>
      </c>
      <c r="AT41" s="53">
        <v>0</v>
      </c>
      <c r="AU41" s="62">
        <f t="shared" si="18"/>
        <v>2.4708912037037039E-3</v>
      </c>
      <c r="AV41" s="62">
        <f t="shared" si="19"/>
        <v>2.823113425925926E-3</v>
      </c>
      <c r="AW41" s="62">
        <f t="shared" si="20"/>
        <v>1.5135069444444445E-3</v>
      </c>
      <c r="AX41" s="62">
        <f t="shared" si="21"/>
        <v>2.9883333333333333E-3</v>
      </c>
      <c r="AY41" s="62">
        <f t="shared" si="22"/>
        <v>3.6043402777777779E-3</v>
      </c>
      <c r="AZ41" s="62" t="str">
        <f t="shared" si="23"/>
        <v>DNS/DNF</v>
      </c>
      <c r="BA41" s="62" t="str">
        <f t="shared" si="24"/>
        <v>DNS/DNF</v>
      </c>
      <c r="BB41" s="62" t="str">
        <f t="shared" si="25"/>
        <v>DNS/DNF</v>
      </c>
      <c r="BC41" s="75">
        <f t="shared" si="26"/>
        <v>46</v>
      </c>
      <c r="BD41" s="53">
        <f t="shared" si="27"/>
        <v>226125.99999999997</v>
      </c>
      <c r="BE41" s="53">
        <f t="shared" si="28"/>
        <v>233078</v>
      </c>
      <c r="BF41" s="53">
        <f t="shared" si="29"/>
        <v>130428</v>
      </c>
      <c r="BG41" s="53">
        <f t="shared" si="30"/>
        <v>260101</v>
      </c>
      <c r="BH41" s="53">
        <f t="shared" si="31"/>
        <v>315589</v>
      </c>
      <c r="BI41" s="53" t="str">
        <f t="shared" si="32"/>
        <v/>
      </c>
      <c r="BJ41" s="53" t="str">
        <f t="shared" si="33"/>
        <v/>
      </c>
      <c r="BK41" s="53" t="str">
        <f t="shared" si="34"/>
        <v/>
      </c>
    </row>
    <row r="42" spans="1:63">
      <c r="A42" s="53">
        <v>30</v>
      </c>
      <c r="B42" s="89" t="str">
        <f>IFERROR(VLOOKUP($A42,EntryList!$A$3:$N$645,2,FALSE),"")</f>
        <v>Devin Toselli</v>
      </c>
      <c r="C42" s="74"/>
      <c r="D42" s="53">
        <f t="shared" si="0"/>
        <v>5</v>
      </c>
      <c r="E42" s="62">
        <v>2.6010763888888884E-3</v>
      </c>
      <c r="F42" s="62">
        <v>2.6584837962962964E-3</v>
      </c>
      <c r="G42" s="62">
        <v>1.5070833333333334E-3</v>
      </c>
      <c r="H42" s="62">
        <v>3.0464120370370371E-3</v>
      </c>
      <c r="I42" s="62">
        <v>3.6328472222222226E-3</v>
      </c>
      <c r="J42" s="62"/>
      <c r="K42" s="62"/>
      <c r="L42" s="62"/>
      <c r="M42" s="62">
        <v>1.3445902777777781E-2</v>
      </c>
      <c r="N42" s="62">
        <f t="shared" si="1"/>
        <v>1.3445902777777779E-2</v>
      </c>
      <c r="O42" s="53">
        <f t="shared" si="2"/>
        <v>43</v>
      </c>
      <c r="P42" s="53">
        <f t="shared" si="3"/>
        <v>34</v>
      </c>
      <c r="Q42" s="53">
        <f t="shared" si="4"/>
        <v>45</v>
      </c>
      <c r="R42" s="53">
        <f t="shared" si="5"/>
        <v>53</v>
      </c>
      <c r="S42" s="53">
        <f t="shared" si="6"/>
        <v>41</v>
      </c>
      <c r="T42" s="53" t="str">
        <f t="shared" si="7"/>
        <v/>
      </c>
      <c r="U42" s="53" t="str">
        <f t="shared" si="8"/>
        <v/>
      </c>
      <c r="V42" s="53" t="str">
        <f t="shared" si="9"/>
        <v/>
      </c>
      <c r="W42" s="53" t="str">
        <f t="shared" si="10"/>
        <v>00:03:44.7 (43)</v>
      </c>
      <c r="X42" s="53" t="str">
        <f t="shared" si="11"/>
        <v>00:03:49.7 (34)</v>
      </c>
      <c r="Y42" s="53" t="str">
        <f t="shared" si="12"/>
        <v>00:02:10.2 (45)</v>
      </c>
      <c r="Z42" s="53" t="str">
        <f t="shared" si="13"/>
        <v>00:04:23.2 (53)</v>
      </c>
      <c r="AA42" s="53" t="str">
        <f t="shared" si="14"/>
        <v>00:05:13.9 (41)</v>
      </c>
      <c r="AB42" s="53" t="str">
        <f t="shared" si="15"/>
        <v>DNS/DNF ()</v>
      </c>
      <c r="AC42" s="53" t="str">
        <f t="shared" si="16"/>
        <v>DNS/DNF ()</v>
      </c>
      <c r="AD42" s="53" t="str">
        <f t="shared" si="17"/>
        <v>DNS/DNF ()</v>
      </c>
      <c r="AE42" s="53">
        <v>34402064</v>
      </c>
      <c r="AF42" s="53">
        <v>34626797</v>
      </c>
      <c r="AG42" s="53">
        <v>37736090</v>
      </c>
      <c r="AH42" s="53">
        <v>37965783</v>
      </c>
      <c r="AI42" s="53">
        <v>31522911</v>
      </c>
      <c r="AJ42" s="53">
        <v>31653123</v>
      </c>
      <c r="AK42" s="53">
        <v>42058304</v>
      </c>
      <c r="AL42" s="53">
        <v>42321514</v>
      </c>
      <c r="AM42" s="53">
        <v>44622382</v>
      </c>
      <c r="AN42" s="53">
        <v>44936260</v>
      </c>
      <c r="AO42" s="53">
        <v>0</v>
      </c>
      <c r="AP42" s="53">
        <v>0</v>
      </c>
      <c r="AQ42" s="53">
        <v>0</v>
      </c>
      <c r="AR42" s="53">
        <v>0</v>
      </c>
      <c r="AS42" s="53">
        <v>0</v>
      </c>
      <c r="AT42" s="53">
        <v>0</v>
      </c>
      <c r="AU42" s="62">
        <f t="shared" si="18"/>
        <v>2.6010763888888889E-3</v>
      </c>
      <c r="AV42" s="62">
        <f t="shared" si="19"/>
        <v>2.6584837962962964E-3</v>
      </c>
      <c r="AW42" s="62">
        <f t="shared" si="20"/>
        <v>1.5070833333333334E-3</v>
      </c>
      <c r="AX42" s="62">
        <f t="shared" si="21"/>
        <v>3.0464120370370371E-3</v>
      </c>
      <c r="AY42" s="62">
        <f t="shared" si="22"/>
        <v>3.6328472222222222E-3</v>
      </c>
      <c r="AZ42" s="62" t="str">
        <f t="shared" si="23"/>
        <v>DNS/DNF</v>
      </c>
      <c r="BA42" s="62" t="str">
        <f t="shared" si="24"/>
        <v>DNS/DNF</v>
      </c>
      <c r="BB42" s="62" t="str">
        <f t="shared" si="25"/>
        <v>DNS/DNF</v>
      </c>
      <c r="BC42" s="75">
        <f t="shared" si="26"/>
        <v>43</v>
      </c>
      <c r="BD42" s="53">
        <f t="shared" si="27"/>
        <v>224733</v>
      </c>
      <c r="BE42" s="53">
        <f t="shared" si="28"/>
        <v>232711</v>
      </c>
      <c r="BF42" s="53">
        <f t="shared" si="29"/>
        <v>129800</v>
      </c>
      <c r="BG42" s="53">
        <f t="shared" si="30"/>
        <v>258192</v>
      </c>
      <c r="BH42" s="53">
        <f t="shared" si="31"/>
        <v>315027</v>
      </c>
      <c r="BI42" s="53" t="str">
        <f t="shared" si="32"/>
        <v/>
      </c>
      <c r="BJ42" s="53" t="str">
        <f t="shared" si="33"/>
        <v/>
      </c>
      <c r="BK42" s="53" t="str">
        <f t="shared" si="34"/>
        <v/>
      </c>
    </row>
    <row r="43" spans="1:63">
      <c r="A43" s="53">
        <v>165</v>
      </c>
      <c r="B43" s="89" t="str">
        <f>IFERROR(VLOOKUP($A43,EntryList!$A$3:$N$645,2,FALSE),"")</f>
        <v>Christian Mocke'</v>
      </c>
      <c r="C43" s="74"/>
      <c r="D43" s="53">
        <f t="shared" si="0"/>
        <v>5</v>
      </c>
      <c r="E43" s="62">
        <v>2.548946759259259E-3</v>
      </c>
      <c r="F43" s="62">
        <v>2.808888888888889E-3</v>
      </c>
      <c r="G43" s="62">
        <v>1.5128240740740742E-3</v>
      </c>
      <c r="H43" s="62">
        <v>2.9532523148148148E-3</v>
      </c>
      <c r="I43" s="62">
        <v>3.6512037037037038E-3</v>
      </c>
      <c r="J43" s="62"/>
      <c r="K43" s="62"/>
      <c r="L43" s="62"/>
      <c r="M43" s="62">
        <v>1.3475115740740741E-2</v>
      </c>
      <c r="N43" s="62">
        <f t="shared" si="1"/>
        <v>1.3475115740740741E-2</v>
      </c>
      <c r="O43" s="53">
        <f t="shared" si="2"/>
        <v>36</v>
      </c>
      <c r="P43" s="53">
        <f t="shared" si="3"/>
        <v>68</v>
      </c>
      <c r="Q43" s="53">
        <f t="shared" si="4"/>
        <v>49</v>
      </c>
      <c r="R43" s="53">
        <f t="shared" si="5"/>
        <v>37</v>
      </c>
      <c r="S43" s="53">
        <f t="shared" si="6"/>
        <v>45</v>
      </c>
      <c r="T43" s="53" t="str">
        <f t="shared" si="7"/>
        <v/>
      </c>
      <c r="U43" s="53" t="str">
        <f t="shared" si="8"/>
        <v/>
      </c>
      <c r="V43" s="53" t="str">
        <f t="shared" si="9"/>
        <v/>
      </c>
      <c r="W43" s="53" t="str">
        <f t="shared" si="10"/>
        <v>00:03:40.2 (36)</v>
      </c>
      <c r="X43" s="53" t="str">
        <f t="shared" si="11"/>
        <v>00:04:02.7 (68)</v>
      </c>
      <c r="Y43" s="53" t="str">
        <f t="shared" si="12"/>
        <v>00:02:10.7 (49)</v>
      </c>
      <c r="Z43" s="53" t="str">
        <f t="shared" si="13"/>
        <v>00:04:15.2 (37)</v>
      </c>
      <c r="AA43" s="53" t="str">
        <f t="shared" si="14"/>
        <v>00:05:15.5 (45)</v>
      </c>
      <c r="AB43" s="53" t="str">
        <f t="shared" si="15"/>
        <v>DNS/DNF ()</v>
      </c>
      <c r="AC43" s="53" t="str">
        <f t="shared" si="16"/>
        <v>DNS/DNF ()</v>
      </c>
      <c r="AD43" s="53" t="str">
        <f t="shared" si="17"/>
        <v>DNS/DNF ()</v>
      </c>
      <c r="AE43" s="53">
        <v>35971708</v>
      </c>
      <c r="AF43" s="53">
        <v>36191937</v>
      </c>
      <c r="AG43" s="53">
        <v>31994988</v>
      </c>
      <c r="AH43" s="53">
        <v>32237676</v>
      </c>
      <c r="AI43" s="53">
        <v>39685908</v>
      </c>
      <c r="AJ43" s="53">
        <v>39816616</v>
      </c>
      <c r="AK43" s="53">
        <v>44756042</v>
      </c>
      <c r="AL43" s="53">
        <v>45011203</v>
      </c>
      <c r="AM43" s="53">
        <v>47478366</v>
      </c>
      <c r="AN43" s="53">
        <v>47793830</v>
      </c>
      <c r="AO43" s="53">
        <v>0</v>
      </c>
      <c r="AP43" s="53">
        <v>0</v>
      </c>
      <c r="AQ43" s="53">
        <v>0</v>
      </c>
      <c r="AR43" s="53">
        <v>0</v>
      </c>
      <c r="AS43" s="53">
        <v>0</v>
      </c>
      <c r="AT43" s="53">
        <v>0</v>
      </c>
      <c r="AU43" s="62">
        <f t="shared" si="18"/>
        <v>2.548946759259259E-3</v>
      </c>
      <c r="AV43" s="62">
        <f t="shared" si="19"/>
        <v>2.808888888888889E-3</v>
      </c>
      <c r="AW43" s="62">
        <f t="shared" si="20"/>
        <v>1.512824074074074E-3</v>
      </c>
      <c r="AX43" s="62">
        <f t="shared" si="21"/>
        <v>2.9532523148148148E-3</v>
      </c>
      <c r="AY43" s="62">
        <f t="shared" si="22"/>
        <v>3.6512037037037038E-3</v>
      </c>
      <c r="AZ43" s="62" t="str">
        <f t="shared" si="23"/>
        <v>DNS/DNF</v>
      </c>
      <c r="BA43" s="62" t="str">
        <f t="shared" si="24"/>
        <v>DNS/DNF</v>
      </c>
      <c r="BB43" s="62" t="str">
        <f t="shared" si="25"/>
        <v>DNS/DNF</v>
      </c>
      <c r="BC43" s="75">
        <f t="shared" si="26"/>
        <v>47</v>
      </c>
      <c r="BD43" s="53">
        <f t="shared" si="27"/>
        <v>227500</v>
      </c>
      <c r="BE43" s="53">
        <f t="shared" si="28"/>
        <v>233645</v>
      </c>
      <c r="BF43" s="53">
        <f t="shared" si="29"/>
        <v>130552</v>
      </c>
      <c r="BG43" s="53">
        <f t="shared" si="30"/>
        <v>260363.00000000003</v>
      </c>
      <c r="BH43" s="53">
        <f t="shared" si="31"/>
        <v>316236</v>
      </c>
      <c r="BI43" s="53" t="str">
        <f t="shared" si="32"/>
        <v/>
      </c>
      <c r="BJ43" s="53" t="str">
        <f t="shared" si="33"/>
        <v/>
      </c>
      <c r="BK43" s="53" t="str">
        <f t="shared" si="34"/>
        <v/>
      </c>
    </row>
    <row r="44" spans="1:63">
      <c r="A44" s="53">
        <v>202</v>
      </c>
      <c r="B44" s="89" t="str">
        <f>IFERROR(VLOOKUP($A44,EntryList!$A$3:$N$645,2,FALSE),"")</f>
        <v>Jaco Van Zyl</v>
      </c>
      <c r="C44" s="74"/>
      <c r="D44" s="53">
        <f t="shared" si="0"/>
        <v>5</v>
      </c>
      <c r="E44" s="62">
        <v>2.6834143518518518E-3</v>
      </c>
      <c r="F44" s="62">
        <v>2.7315740740740742E-3</v>
      </c>
      <c r="G44" s="62">
        <v>1.4771064814814814E-3</v>
      </c>
      <c r="H44" s="62">
        <v>2.9670486111111113E-3</v>
      </c>
      <c r="I44" s="62">
        <v>3.6601388888888886E-3</v>
      </c>
      <c r="J44" s="62"/>
      <c r="K44" s="62"/>
      <c r="L44" s="62"/>
      <c r="M44" s="62">
        <v>1.3519282407407407E-2</v>
      </c>
      <c r="N44" s="62">
        <f t="shared" si="1"/>
        <v>1.3519282407407407E-2</v>
      </c>
      <c r="O44" s="53">
        <f t="shared" si="2"/>
        <v>50</v>
      </c>
      <c r="P44" s="53">
        <f t="shared" si="3"/>
        <v>54</v>
      </c>
      <c r="Q44" s="53">
        <f t="shared" si="4"/>
        <v>35</v>
      </c>
      <c r="R44" s="53">
        <f t="shared" si="5"/>
        <v>39</v>
      </c>
      <c r="S44" s="53">
        <f t="shared" si="6"/>
        <v>47</v>
      </c>
      <c r="T44" s="53" t="str">
        <f t="shared" si="7"/>
        <v/>
      </c>
      <c r="U44" s="53" t="str">
        <f t="shared" si="8"/>
        <v/>
      </c>
      <c r="V44" s="53" t="str">
        <f t="shared" si="9"/>
        <v/>
      </c>
      <c r="W44" s="53" t="str">
        <f t="shared" si="10"/>
        <v>00:03:51.8 (50)</v>
      </c>
      <c r="X44" s="53" t="str">
        <f t="shared" si="11"/>
        <v>00:03:56.0 (54)</v>
      </c>
      <c r="Y44" s="53" t="str">
        <f t="shared" si="12"/>
        <v>00:02:07.6 (35)</v>
      </c>
      <c r="Z44" s="53" t="str">
        <f t="shared" si="13"/>
        <v>00:04:16.4 (39)</v>
      </c>
      <c r="AA44" s="53" t="str">
        <f t="shared" si="14"/>
        <v>00:05:16.2 (47)</v>
      </c>
      <c r="AB44" s="53" t="str">
        <f t="shared" si="15"/>
        <v>DNS/DNF ()</v>
      </c>
      <c r="AC44" s="53" t="str">
        <f t="shared" si="16"/>
        <v>DNS/DNF ()</v>
      </c>
      <c r="AD44" s="53" t="str">
        <f t="shared" si="17"/>
        <v>DNS/DNF ()</v>
      </c>
      <c r="AE44" s="53">
        <v>32058255</v>
      </c>
      <c r="AF44" s="53">
        <v>32290102</v>
      </c>
      <c r="AG44" s="53">
        <v>37177017</v>
      </c>
      <c r="AH44" s="53">
        <v>37413025</v>
      </c>
      <c r="AI44" s="53">
        <v>40356592</v>
      </c>
      <c r="AJ44" s="53">
        <v>40484214</v>
      </c>
      <c r="AK44" s="53">
        <v>43806039</v>
      </c>
      <c r="AL44" s="53">
        <v>44062392</v>
      </c>
      <c r="AM44" s="53">
        <v>46771478</v>
      </c>
      <c r="AN44" s="53">
        <v>47087714</v>
      </c>
      <c r="AO44" s="53">
        <v>0</v>
      </c>
      <c r="AP44" s="53">
        <v>0</v>
      </c>
      <c r="AQ44" s="53">
        <v>0</v>
      </c>
      <c r="AR44" s="53">
        <v>0</v>
      </c>
      <c r="AS44" s="53">
        <v>0</v>
      </c>
      <c r="AT44" s="53">
        <v>0</v>
      </c>
      <c r="AU44" s="62">
        <f t="shared" si="18"/>
        <v>2.6834143518518518E-3</v>
      </c>
      <c r="AV44" s="62">
        <f t="shared" si="19"/>
        <v>2.7315740740740742E-3</v>
      </c>
      <c r="AW44" s="62">
        <f t="shared" si="20"/>
        <v>1.4771064814814816E-3</v>
      </c>
      <c r="AX44" s="62">
        <f t="shared" si="21"/>
        <v>2.9670486111111113E-3</v>
      </c>
      <c r="AY44" s="62">
        <f t="shared" si="22"/>
        <v>3.660138888888889E-3</v>
      </c>
      <c r="AZ44" s="62" t="str">
        <f t="shared" si="23"/>
        <v>DNS/DNF</v>
      </c>
      <c r="BA44" s="62" t="str">
        <f t="shared" si="24"/>
        <v>DNS/DNF</v>
      </c>
      <c r="BB44" s="62" t="str">
        <f t="shared" si="25"/>
        <v>DNS/DNF</v>
      </c>
      <c r="BC44" s="75">
        <f t="shared" si="26"/>
        <v>45</v>
      </c>
      <c r="BD44" s="53">
        <f t="shared" si="27"/>
        <v>225603</v>
      </c>
      <c r="BE44" s="53">
        <f t="shared" si="28"/>
        <v>233049</v>
      </c>
      <c r="BF44" s="53">
        <f t="shared" si="29"/>
        <v>130212</v>
      </c>
      <c r="BG44" s="53">
        <f t="shared" si="30"/>
        <v>258912</v>
      </c>
      <c r="BH44" s="53">
        <f t="shared" si="31"/>
        <v>315464</v>
      </c>
      <c r="BI44" s="53" t="str">
        <f t="shared" si="32"/>
        <v/>
      </c>
      <c r="BJ44" s="53" t="str">
        <f t="shared" si="33"/>
        <v/>
      </c>
      <c r="BK44" s="53" t="str">
        <f t="shared" si="34"/>
        <v/>
      </c>
    </row>
    <row r="45" spans="1:63">
      <c r="A45" s="53">
        <v>66</v>
      </c>
      <c r="B45" s="89" t="str">
        <f>IFERROR(VLOOKUP($A45,EntryList!$A$3:$N$645,2,FALSE),"")</f>
        <v>Neo Dekker</v>
      </c>
      <c r="C45" s="74"/>
      <c r="D45" s="53">
        <f t="shared" si="0"/>
        <v>5</v>
      </c>
      <c r="E45" s="62">
        <v>2.7937037037037041E-3</v>
      </c>
      <c r="F45" s="62">
        <v>2.6204050925925926E-3</v>
      </c>
      <c r="G45" s="62">
        <v>1.4421064814814817E-3</v>
      </c>
      <c r="H45" s="62">
        <v>3.0104282407407406E-3</v>
      </c>
      <c r="I45" s="62">
        <v>3.667488425925926E-3</v>
      </c>
      <c r="J45" s="62"/>
      <c r="K45" s="62"/>
      <c r="L45" s="62"/>
      <c r="M45" s="62">
        <v>1.3534131944444444E-2</v>
      </c>
      <c r="N45" s="62">
        <f t="shared" si="1"/>
        <v>1.3534131944444444E-2</v>
      </c>
      <c r="O45" s="53">
        <f t="shared" si="2"/>
        <v>59</v>
      </c>
      <c r="P45" s="53">
        <f t="shared" si="3"/>
        <v>28</v>
      </c>
      <c r="Q45" s="53">
        <f t="shared" si="4"/>
        <v>23</v>
      </c>
      <c r="R45" s="53">
        <f t="shared" si="5"/>
        <v>46</v>
      </c>
      <c r="S45" s="53">
        <f t="shared" si="6"/>
        <v>48</v>
      </c>
      <c r="T45" s="53" t="str">
        <f t="shared" si="7"/>
        <v/>
      </c>
      <c r="U45" s="53" t="str">
        <f t="shared" si="8"/>
        <v/>
      </c>
      <c r="V45" s="53" t="str">
        <f t="shared" si="9"/>
        <v/>
      </c>
      <c r="W45" s="53" t="str">
        <f t="shared" si="10"/>
        <v>00:04:01.4 (59)</v>
      </c>
      <c r="X45" s="53" t="str">
        <f t="shared" si="11"/>
        <v>00:03:46.4 (28)</v>
      </c>
      <c r="Y45" s="53" t="str">
        <f t="shared" si="12"/>
        <v>00:02:04.6 (23)</v>
      </c>
      <c r="Z45" s="53" t="str">
        <f t="shared" si="13"/>
        <v>00:04:20.1 (46)</v>
      </c>
      <c r="AA45" s="53" t="str">
        <f t="shared" si="14"/>
        <v>00:05:16.9 (48)</v>
      </c>
      <c r="AB45" s="53" t="str">
        <f t="shared" si="15"/>
        <v>DNS/DNF ()</v>
      </c>
      <c r="AC45" s="53" t="str">
        <f t="shared" si="16"/>
        <v>DNS/DNF ()</v>
      </c>
      <c r="AD45" s="53" t="str">
        <f t="shared" si="17"/>
        <v>DNS/DNF ()</v>
      </c>
      <c r="AE45" s="53">
        <v>34145954</v>
      </c>
      <c r="AF45" s="53">
        <v>34387330</v>
      </c>
      <c r="AG45" s="53">
        <v>38102504</v>
      </c>
      <c r="AH45" s="53">
        <v>38328907</v>
      </c>
      <c r="AI45" s="53">
        <v>31016861</v>
      </c>
      <c r="AJ45" s="53">
        <v>31141459</v>
      </c>
      <c r="AK45" s="53">
        <v>43307283</v>
      </c>
      <c r="AL45" s="53">
        <v>43567384</v>
      </c>
      <c r="AM45" s="53">
        <v>46130248</v>
      </c>
      <c r="AN45" s="53">
        <v>46447119</v>
      </c>
      <c r="AO45" s="53">
        <v>0</v>
      </c>
      <c r="AP45" s="53">
        <v>0</v>
      </c>
      <c r="AQ45" s="53">
        <v>0</v>
      </c>
      <c r="AR45" s="53">
        <v>0</v>
      </c>
      <c r="AS45" s="53">
        <v>0</v>
      </c>
      <c r="AT45" s="53">
        <v>0</v>
      </c>
      <c r="AU45" s="62">
        <f t="shared" si="18"/>
        <v>2.7937037037037036E-3</v>
      </c>
      <c r="AV45" s="62">
        <f t="shared" si="19"/>
        <v>2.6204050925925926E-3</v>
      </c>
      <c r="AW45" s="62">
        <f t="shared" si="20"/>
        <v>1.4421064814814815E-3</v>
      </c>
      <c r="AX45" s="62">
        <f t="shared" si="21"/>
        <v>3.0104282407407406E-3</v>
      </c>
      <c r="AY45" s="62">
        <f t="shared" si="22"/>
        <v>3.667488425925926E-3</v>
      </c>
      <c r="AZ45" s="62" t="str">
        <f t="shared" si="23"/>
        <v>DNS/DNF</v>
      </c>
      <c r="BA45" s="62" t="str">
        <f t="shared" si="24"/>
        <v>DNS/DNF</v>
      </c>
      <c r="BB45" s="62" t="str">
        <f t="shared" si="25"/>
        <v>DNS/DNF</v>
      </c>
      <c r="BC45" s="75">
        <f t="shared" si="26"/>
        <v>41</v>
      </c>
      <c r="BD45" s="53">
        <f t="shared" si="27"/>
        <v>224624</v>
      </c>
      <c r="BE45" s="53">
        <f t="shared" si="28"/>
        <v>231936.99999999997</v>
      </c>
      <c r="BF45" s="53">
        <f t="shared" si="29"/>
        <v>129350</v>
      </c>
      <c r="BG45" s="53">
        <f t="shared" si="30"/>
        <v>257536</v>
      </c>
      <c r="BH45" s="53">
        <f t="shared" si="31"/>
        <v>313878</v>
      </c>
      <c r="BI45" s="53" t="str">
        <f t="shared" si="32"/>
        <v/>
      </c>
      <c r="BJ45" s="53" t="str">
        <f t="shared" si="33"/>
        <v/>
      </c>
      <c r="BK45" s="53" t="str">
        <f t="shared" si="34"/>
        <v/>
      </c>
    </row>
    <row r="46" spans="1:63">
      <c r="A46" s="53">
        <v>190</v>
      </c>
      <c r="B46" s="89" t="str">
        <f>IFERROR(VLOOKUP($A46,EntryList!$A$3:$N$645,2,FALSE),"")</f>
        <v>Theuns Louw</v>
      </c>
      <c r="C46" s="74"/>
      <c r="D46" s="53">
        <f t="shared" si="0"/>
        <v>5</v>
      </c>
      <c r="E46" s="62">
        <v>2.6331018518518517E-3</v>
      </c>
      <c r="F46" s="62">
        <v>2.708125E-3</v>
      </c>
      <c r="G46" s="62">
        <v>1.4814583333333335E-3</v>
      </c>
      <c r="H46" s="62">
        <v>2.9958564814814817E-3</v>
      </c>
      <c r="I46" s="62">
        <v>3.7321874999999998E-3</v>
      </c>
      <c r="J46" s="62"/>
      <c r="K46" s="62"/>
      <c r="L46" s="62"/>
      <c r="M46" s="62">
        <v>1.3550729166666666E-2</v>
      </c>
      <c r="N46" s="62">
        <f t="shared" si="1"/>
        <v>1.3550729166666666E-2</v>
      </c>
      <c r="O46" s="53">
        <f t="shared" si="2"/>
        <v>47</v>
      </c>
      <c r="P46" s="53">
        <f t="shared" si="3"/>
        <v>49</v>
      </c>
      <c r="Q46" s="53">
        <f t="shared" si="4"/>
        <v>37</v>
      </c>
      <c r="R46" s="53">
        <f t="shared" si="5"/>
        <v>44</v>
      </c>
      <c r="S46" s="53">
        <f t="shared" si="6"/>
        <v>56</v>
      </c>
      <c r="T46" s="53" t="str">
        <f t="shared" si="7"/>
        <v/>
      </c>
      <c r="U46" s="53" t="str">
        <f t="shared" si="8"/>
        <v/>
      </c>
      <c r="V46" s="53" t="str">
        <f t="shared" si="9"/>
        <v/>
      </c>
      <c r="W46" s="53" t="str">
        <f t="shared" si="10"/>
        <v>00:03:47.5 (47)</v>
      </c>
      <c r="X46" s="53" t="str">
        <f t="shared" si="11"/>
        <v>00:03:54.0 (49)</v>
      </c>
      <c r="Y46" s="53" t="str">
        <f t="shared" si="12"/>
        <v>00:02:08.0 (37)</v>
      </c>
      <c r="Z46" s="53" t="str">
        <f t="shared" si="13"/>
        <v>00:04:18.8 (44)</v>
      </c>
      <c r="AA46" s="53" t="str">
        <f t="shared" si="14"/>
        <v>00:05:22.5 (56)</v>
      </c>
      <c r="AB46" s="53" t="str">
        <f t="shared" si="15"/>
        <v>DNS/DNF ()</v>
      </c>
      <c r="AC46" s="53" t="str">
        <f t="shared" si="16"/>
        <v>DNS/DNF ()</v>
      </c>
      <c r="AD46" s="53" t="str">
        <f t="shared" si="17"/>
        <v>DNS/DNF ()</v>
      </c>
      <c r="AE46" s="53">
        <v>34339495</v>
      </c>
      <c r="AF46" s="53">
        <v>34566995</v>
      </c>
      <c r="AG46" s="53">
        <v>31818942</v>
      </c>
      <c r="AH46" s="53">
        <v>32052924</v>
      </c>
      <c r="AI46" s="53">
        <v>37027910</v>
      </c>
      <c r="AJ46" s="53">
        <v>37155908</v>
      </c>
      <c r="AK46" s="53">
        <v>41220488</v>
      </c>
      <c r="AL46" s="53">
        <v>41479330</v>
      </c>
      <c r="AM46" s="53">
        <v>44365300</v>
      </c>
      <c r="AN46" s="53">
        <v>44687761</v>
      </c>
      <c r="AO46" s="53">
        <v>0</v>
      </c>
      <c r="AP46" s="53">
        <v>0</v>
      </c>
      <c r="AQ46" s="53">
        <v>0</v>
      </c>
      <c r="AR46" s="53">
        <v>0</v>
      </c>
      <c r="AS46" s="53">
        <v>0</v>
      </c>
      <c r="AT46" s="53">
        <v>0</v>
      </c>
      <c r="AU46" s="62">
        <f t="shared" si="18"/>
        <v>2.6331018518518517E-3</v>
      </c>
      <c r="AV46" s="62">
        <f t="shared" si="19"/>
        <v>2.708125E-3</v>
      </c>
      <c r="AW46" s="62">
        <f t="shared" si="20"/>
        <v>1.4814583333333333E-3</v>
      </c>
      <c r="AX46" s="62">
        <f t="shared" si="21"/>
        <v>2.9958564814814813E-3</v>
      </c>
      <c r="AY46" s="62">
        <f t="shared" si="22"/>
        <v>3.7321874999999998E-3</v>
      </c>
      <c r="AZ46" s="62" t="str">
        <f t="shared" si="23"/>
        <v>DNS/DNF</v>
      </c>
      <c r="BA46" s="62" t="str">
        <f t="shared" si="24"/>
        <v>DNS/DNF</v>
      </c>
      <c r="BB46" s="62" t="str">
        <f t="shared" si="25"/>
        <v>DNS/DNF</v>
      </c>
      <c r="BC46" s="75">
        <f t="shared" si="26"/>
        <v>47</v>
      </c>
      <c r="BD46" s="53">
        <f t="shared" si="27"/>
        <v>227500</v>
      </c>
      <c r="BE46" s="53">
        <f t="shared" si="28"/>
        <v>233645</v>
      </c>
      <c r="BF46" s="53">
        <f t="shared" si="29"/>
        <v>130552</v>
      </c>
      <c r="BG46" s="53">
        <f t="shared" si="30"/>
        <v>260363.00000000003</v>
      </c>
      <c r="BH46" s="53">
        <f t="shared" si="31"/>
        <v>316236</v>
      </c>
      <c r="BI46" s="53" t="str">
        <f t="shared" si="32"/>
        <v/>
      </c>
      <c r="BJ46" s="53" t="str">
        <f t="shared" si="33"/>
        <v/>
      </c>
      <c r="BK46" s="53" t="str">
        <f t="shared" si="34"/>
        <v/>
      </c>
    </row>
    <row r="47" spans="1:63">
      <c r="A47" s="53">
        <v>3</v>
      </c>
      <c r="B47" s="89" t="str">
        <f>IFERROR(VLOOKUP($A47,EntryList!$A$3:$N$645,2,FALSE),"")</f>
        <v>Kevin De Kock</v>
      </c>
      <c r="C47" s="74"/>
      <c r="D47" s="53">
        <f t="shared" si="0"/>
        <v>5</v>
      </c>
      <c r="E47" s="62">
        <v>2.5964814814814813E-3</v>
      </c>
      <c r="F47" s="62">
        <v>2.7195949074074071E-3</v>
      </c>
      <c r="G47" s="62">
        <v>1.5231018518518519E-3</v>
      </c>
      <c r="H47" s="62">
        <v>2.9966666666666666E-3</v>
      </c>
      <c r="I47" s="62">
        <v>3.7201967592592595E-3</v>
      </c>
      <c r="J47" s="62"/>
      <c r="K47" s="62"/>
      <c r="L47" s="62"/>
      <c r="M47" s="62">
        <v>1.3556041666666669E-2</v>
      </c>
      <c r="N47" s="62">
        <f t="shared" si="1"/>
        <v>1.3556041666666668E-2</v>
      </c>
      <c r="O47" s="53">
        <f t="shared" si="2"/>
        <v>40</v>
      </c>
      <c r="P47" s="53">
        <f t="shared" si="3"/>
        <v>51</v>
      </c>
      <c r="Q47" s="53">
        <f t="shared" si="4"/>
        <v>54</v>
      </c>
      <c r="R47" s="53">
        <f t="shared" si="5"/>
        <v>45</v>
      </c>
      <c r="S47" s="53">
        <f t="shared" si="6"/>
        <v>55</v>
      </c>
      <c r="T47" s="53" t="str">
        <f t="shared" si="7"/>
        <v/>
      </c>
      <c r="U47" s="53" t="str">
        <f t="shared" si="8"/>
        <v/>
      </c>
      <c r="V47" s="53" t="str">
        <f t="shared" si="9"/>
        <v/>
      </c>
      <c r="W47" s="53" t="str">
        <f t="shared" si="10"/>
        <v>00:03:44.3 (40)</v>
      </c>
      <c r="X47" s="53" t="str">
        <f t="shared" si="11"/>
        <v>00:03:55.0 (51)</v>
      </c>
      <c r="Y47" s="53" t="str">
        <f t="shared" si="12"/>
        <v>00:02:11.6 (54)</v>
      </c>
      <c r="Z47" s="53" t="str">
        <f t="shared" si="13"/>
        <v>00:04:18.9 (45)</v>
      </c>
      <c r="AA47" s="53" t="str">
        <f t="shared" si="14"/>
        <v>00:05:21.4 (55)</v>
      </c>
      <c r="AB47" s="53" t="str">
        <f t="shared" si="15"/>
        <v>DNS/DNF ()</v>
      </c>
      <c r="AC47" s="53" t="str">
        <f t="shared" si="16"/>
        <v>DNS/DNF ()</v>
      </c>
      <c r="AD47" s="53" t="str">
        <f t="shared" si="17"/>
        <v>DNS/DNF ()</v>
      </c>
      <c r="AE47" s="53">
        <v>35419680</v>
      </c>
      <c r="AF47" s="53">
        <v>35644016</v>
      </c>
      <c r="AG47" s="53">
        <v>32346640</v>
      </c>
      <c r="AH47" s="53">
        <v>32581613</v>
      </c>
      <c r="AI47" s="53">
        <v>38306758</v>
      </c>
      <c r="AJ47" s="53">
        <v>38438354</v>
      </c>
      <c r="AK47" s="53">
        <v>42380379</v>
      </c>
      <c r="AL47" s="53">
        <v>42639291</v>
      </c>
      <c r="AM47" s="53">
        <v>45516996</v>
      </c>
      <c r="AN47" s="53">
        <v>45838421</v>
      </c>
      <c r="AO47" s="53">
        <v>0</v>
      </c>
      <c r="AP47" s="53">
        <v>0</v>
      </c>
      <c r="AQ47" s="53">
        <v>0</v>
      </c>
      <c r="AR47" s="53">
        <v>0</v>
      </c>
      <c r="AS47" s="53">
        <v>0</v>
      </c>
      <c r="AT47" s="53">
        <v>0</v>
      </c>
      <c r="AU47" s="62">
        <f t="shared" si="18"/>
        <v>2.5964814814814813E-3</v>
      </c>
      <c r="AV47" s="62">
        <f t="shared" si="19"/>
        <v>2.7195949074074076E-3</v>
      </c>
      <c r="AW47" s="62">
        <f t="shared" si="20"/>
        <v>1.5231018518518519E-3</v>
      </c>
      <c r="AX47" s="62">
        <f t="shared" si="21"/>
        <v>2.9966666666666666E-3</v>
      </c>
      <c r="AY47" s="62">
        <f t="shared" si="22"/>
        <v>3.7201967592592595E-3</v>
      </c>
      <c r="AZ47" s="62" t="str">
        <f t="shared" si="23"/>
        <v>DNS/DNF</v>
      </c>
      <c r="BA47" s="62" t="str">
        <f t="shared" si="24"/>
        <v>DNS/DNF</v>
      </c>
      <c r="BB47" s="62" t="str">
        <f t="shared" si="25"/>
        <v>DNS/DNF</v>
      </c>
      <c r="BC47" s="75">
        <f t="shared" si="26"/>
        <v>49</v>
      </c>
      <c r="BD47" s="53">
        <f t="shared" si="27"/>
        <v>231410</v>
      </c>
      <c r="BE47" s="53">
        <f t="shared" si="28"/>
        <v>233982</v>
      </c>
      <c r="BF47" s="53">
        <f t="shared" si="29"/>
        <v>130707.99999999999</v>
      </c>
      <c r="BG47" s="53">
        <f t="shared" si="30"/>
        <v>261783</v>
      </c>
      <c r="BH47" s="53">
        <f t="shared" si="31"/>
        <v>317590</v>
      </c>
      <c r="BI47" s="53" t="str">
        <f t="shared" si="32"/>
        <v/>
      </c>
      <c r="BJ47" s="53" t="str">
        <f t="shared" si="33"/>
        <v/>
      </c>
      <c r="BK47" s="53" t="str">
        <f t="shared" si="34"/>
        <v/>
      </c>
    </row>
    <row r="48" spans="1:63">
      <c r="A48" s="53">
        <v>206</v>
      </c>
      <c r="B48" s="89" t="str">
        <f>IFERROR(VLOOKUP($A48,EntryList!$A$3:$N$645,2,FALSE),"")</f>
        <v>Waldo De Wet</v>
      </c>
      <c r="C48" s="74"/>
      <c r="D48" s="53">
        <f t="shared" si="0"/>
        <v>5</v>
      </c>
      <c r="E48" s="62">
        <v>2.542673611111111E-3</v>
      </c>
      <c r="F48" s="62">
        <v>2.6820949074074073E-3</v>
      </c>
      <c r="G48" s="62">
        <v>1.4944444444444447E-3</v>
      </c>
      <c r="H48" s="62">
        <v>3.029201388888889E-3</v>
      </c>
      <c r="I48" s="62">
        <v>3.8112731481481483E-3</v>
      </c>
      <c r="J48" s="62"/>
      <c r="K48" s="62"/>
      <c r="L48" s="62"/>
      <c r="M48" s="62">
        <v>1.3559687500000001E-2</v>
      </c>
      <c r="N48" s="62">
        <f t="shared" si="1"/>
        <v>1.3559687500000001E-2</v>
      </c>
      <c r="O48" s="53">
        <f t="shared" si="2"/>
        <v>34</v>
      </c>
      <c r="P48" s="53">
        <f t="shared" si="3"/>
        <v>40</v>
      </c>
      <c r="Q48" s="53">
        <f t="shared" si="4"/>
        <v>39</v>
      </c>
      <c r="R48" s="53">
        <f t="shared" si="5"/>
        <v>48</v>
      </c>
      <c r="S48" s="53">
        <f t="shared" si="6"/>
        <v>65</v>
      </c>
      <c r="T48" s="53" t="str">
        <f t="shared" si="7"/>
        <v/>
      </c>
      <c r="U48" s="53" t="str">
        <f t="shared" si="8"/>
        <v/>
      </c>
      <c r="V48" s="53" t="str">
        <f t="shared" si="9"/>
        <v/>
      </c>
      <c r="W48" s="53" t="str">
        <f t="shared" si="10"/>
        <v>00:03:39.7 (34)</v>
      </c>
      <c r="X48" s="53" t="str">
        <f t="shared" si="11"/>
        <v>00:03:51.7 (40)</v>
      </c>
      <c r="Y48" s="53" t="str">
        <f t="shared" si="12"/>
        <v>00:02:09.1 (39)</v>
      </c>
      <c r="Z48" s="53" t="str">
        <f t="shared" si="13"/>
        <v>00:04:21.7 (48)</v>
      </c>
      <c r="AA48" s="53" t="str">
        <f t="shared" si="14"/>
        <v>00:05:29.3 (65)</v>
      </c>
      <c r="AB48" s="53" t="str">
        <f t="shared" si="15"/>
        <v>DNS/DNF ()</v>
      </c>
      <c r="AC48" s="53" t="str">
        <f t="shared" si="16"/>
        <v>DNS/DNF ()</v>
      </c>
      <c r="AD48" s="53" t="str">
        <f t="shared" si="17"/>
        <v>DNS/DNF ()</v>
      </c>
      <c r="AE48" s="53">
        <v>36548236</v>
      </c>
      <c r="AF48" s="53">
        <v>36767923</v>
      </c>
      <c r="AG48" s="53">
        <v>32021310</v>
      </c>
      <c r="AH48" s="53">
        <v>32253043</v>
      </c>
      <c r="AI48" s="53">
        <v>40105040</v>
      </c>
      <c r="AJ48" s="53">
        <v>40234160</v>
      </c>
      <c r="AK48" s="53">
        <v>44724462</v>
      </c>
      <c r="AL48" s="53">
        <v>44986185</v>
      </c>
      <c r="AM48" s="53">
        <v>48069132</v>
      </c>
      <c r="AN48" s="53">
        <v>48398426</v>
      </c>
      <c r="AO48" s="53">
        <v>0</v>
      </c>
      <c r="AP48" s="53">
        <v>0</v>
      </c>
      <c r="AQ48" s="53">
        <v>0</v>
      </c>
      <c r="AR48" s="53">
        <v>0</v>
      </c>
      <c r="AS48" s="53">
        <v>0</v>
      </c>
      <c r="AT48" s="53">
        <v>0</v>
      </c>
      <c r="AU48" s="62">
        <f t="shared" si="18"/>
        <v>2.542673611111111E-3</v>
      </c>
      <c r="AV48" s="62">
        <f t="shared" si="19"/>
        <v>2.6820949074074073E-3</v>
      </c>
      <c r="AW48" s="62">
        <f t="shared" si="20"/>
        <v>1.4944444444444445E-3</v>
      </c>
      <c r="AX48" s="62">
        <f t="shared" si="21"/>
        <v>3.029201388888889E-3</v>
      </c>
      <c r="AY48" s="62">
        <f t="shared" si="22"/>
        <v>3.8112731481481483E-3</v>
      </c>
      <c r="AZ48" s="62" t="str">
        <f t="shared" si="23"/>
        <v>DNS/DNF</v>
      </c>
      <c r="BA48" s="62" t="str">
        <f t="shared" si="24"/>
        <v>DNS/DNF</v>
      </c>
      <c r="BB48" s="62" t="str">
        <f t="shared" si="25"/>
        <v>DNS/DNF</v>
      </c>
      <c r="BC48" s="75">
        <f t="shared" si="26"/>
        <v>45</v>
      </c>
      <c r="BD48" s="53">
        <f t="shared" si="27"/>
        <v>225603</v>
      </c>
      <c r="BE48" s="53">
        <f t="shared" si="28"/>
        <v>233049</v>
      </c>
      <c r="BF48" s="53">
        <f t="shared" si="29"/>
        <v>130212</v>
      </c>
      <c r="BG48" s="53">
        <f t="shared" si="30"/>
        <v>258912</v>
      </c>
      <c r="BH48" s="53">
        <f t="shared" si="31"/>
        <v>315464</v>
      </c>
      <c r="BI48" s="53" t="str">
        <f t="shared" si="32"/>
        <v/>
      </c>
      <c r="BJ48" s="53" t="str">
        <f t="shared" si="33"/>
        <v/>
      </c>
      <c r="BK48" s="53" t="str">
        <f t="shared" si="34"/>
        <v/>
      </c>
    </row>
    <row r="49" spans="1:63">
      <c r="A49" s="53">
        <v>163</v>
      </c>
      <c r="B49" s="89" t="str">
        <f>IFERROR(VLOOKUP($A49,EntryList!$A$3:$N$645,2,FALSE),"")</f>
        <v>Ethan Paton</v>
      </c>
      <c r="C49" s="74"/>
      <c r="D49" s="53">
        <f t="shared" si="0"/>
        <v>5</v>
      </c>
      <c r="E49" s="62">
        <v>2.8211342592592589E-3</v>
      </c>
      <c r="F49" s="62">
        <v>2.5995138888888891E-3</v>
      </c>
      <c r="G49" s="62">
        <v>1.6319907407407409E-3</v>
      </c>
      <c r="H49" s="62">
        <v>2.982974537037037E-3</v>
      </c>
      <c r="I49" s="62">
        <v>3.5960879629629628E-3</v>
      </c>
      <c r="J49" s="62"/>
      <c r="K49" s="62"/>
      <c r="L49" s="62"/>
      <c r="M49" s="62">
        <v>1.3631701388888889E-2</v>
      </c>
      <c r="N49" s="62">
        <f t="shared" si="1"/>
        <v>1.3631701388888889E-2</v>
      </c>
      <c r="O49" s="53">
        <f t="shared" si="2"/>
        <v>62</v>
      </c>
      <c r="P49" s="53">
        <f t="shared" si="3"/>
        <v>27</v>
      </c>
      <c r="Q49" s="53">
        <f t="shared" si="4"/>
        <v>79</v>
      </c>
      <c r="R49" s="53">
        <f t="shared" si="5"/>
        <v>42</v>
      </c>
      <c r="S49" s="53">
        <f t="shared" si="6"/>
        <v>34</v>
      </c>
      <c r="T49" s="53" t="str">
        <f t="shared" si="7"/>
        <v/>
      </c>
      <c r="U49" s="53" t="str">
        <f t="shared" si="8"/>
        <v/>
      </c>
      <c r="V49" s="53" t="str">
        <f t="shared" si="9"/>
        <v/>
      </c>
      <c r="W49" s="53" t="str">
        <f t="shared" si="10"/>
        <v>00:04:03.7 (62)</v>
      </c>
      <c r="X49" s="53" t="str">
        <f t="shared" si="11"/>
        <v>00:03:44.6 (27)</v>
      </c>
      <c r="Y49" s="53" t="str">
        <f t="shared" si="12"/>
        <v>00:02:21.0 (79)</v>
      </c>
      <c r="Z49" s="53" t="str">
        <f t="shared" si="13"/>
        <v>00:04:17.7 (42)</v>
      </c>
      <c r="AA49" s="53" t="str">
        <f t="shared" si="14"/>
        <v>00:05:10.7 (34)</v>
      </c>
      <c r="AB49" s="53" t="str">
        <f t="shared" si="15"/>
        <v>DNS/DNF ()</v>
      </c>
      <c r="AC49" s="53" t="str">
        <f t="shared" si="16"/>
        <v>DNS/DNF ()</v>
      </c>
      <c r="AD49" s="53" t="str">
        <f t="shared" si="17"/>
        <v>DNS/DNF ()</v>
      </c>
      <c r="AE49" s="53">
        <v>33437160</v>
      </c>
      <c r="AF49" s="53">
        <v>33680906</v>
      </c>
      <c r="AG49" s="53">
        <v>40910280</v>
      </c>
      <c r="AH49" s="53">
        <v>41134878</v>
      </c>
      <c r="AI49" s="53">
        <v>37439116</v>
      </c>
      <c r="AJ49" s="53">
        <v>37580120</v>
      </c>
      <c r="AK49" s="53">
        <v>45072996</v>
      </c>
      <c r="AL49" s="53">
        <v>45330725</v>
      </c>
      <c r="AM49" s="53">
        <v>48759506</v>
      </c>
      <c r="AN49" s="53">
        <v>49070208</v>
      </c>
      <c r="AO49" s="53">
        <v>0</v>
      </c>
      <c r="AP49" s="53">
        <v>0</v>
      </c>
      <c r="AQ49" s="53">
        <v>0</v>
      </c>
      <c r="AR49" s="53">
        <v>0</v>
      </c>
      <c r="AS49" s="53">
        <v>0</v>
      </c>
      <c r="AT49" s="53">
        <v>0</v>
      </c>
      <c r="AU49" s="62">
        <f t="shared" si="18"/>
        <v>2.8211342592592593E-3</v>
      </c>
      <c r="AV49" s="62">
        <f t="shared" si="19"/>
        <v>2.5995138888888891E-3</v>
      </c>
      <c r="AW49" s="62">
        <f t="shared" si="20"/>
        <v>1.6319907407407407E-3</v>
      </c>
      <c r="AX49" s="62">
        <f t="shared" si="21"/>
        <v>2.982974537037037E-3</v>
      </c>
      <c r="AY49" s="62">
        <f t="shared" si="22"/>
        <v>3.5960879629629628E-3</v>
      </c>
      <c r="AZ49" s="62" t="str">
        <f t="shared" si="23"/>
        <v>DNS/DNF</v>
      </c>
      <c r="BA49" s="62" t="str">
        <f t="shared" si="24"/>
        <v>DNS/DNF</v>
      </c>
      <c r="BB49" s="62" t="str">
        <f t="shared" si="25"/>
        <v>DNS/DNF</v>
      </c>
      <c r="BC49" s="75">
        <f t="shared" si="26"/>
        <v>49</v>
      </c>
      <c r="BD49" s="53">
        <f t="shared" si="27"/>
        <v>231410</v>
      </c>
      <c r="BE49" s="53">
        <f t="shared" si="28"/>
        <v>233982</v>
      </c>
      <c r="BF49" s="53">
        <f t="shared" si="29"/>
        <v>130707.99999999999</v>
      </c>
      <c r="BG49" s="53">
        <f t="shared" si="30"/>
        <v>261783</v>
      </c>
      <c r="BH49" s="53">
        <f t="shared" si="31"/>
        <v>317590</v>
      </c>
      <c r="BI49" s="53" t="str">
        <f t="shared" si="32"/>
        <v/>
      </c>
      <c r="BJ49" s="53" t="str">
        <f t="shared" si="33"/>
        <v/>
      </c>
      <c r="BK49" s="53" t="str">
        <f t="shared" si="34"/>
        <v/>
      </c>
    </row>
    <row r="50" spans="1:63">
      <c r="A50" s="53">
        <v>142</v>
      </c>
      <c r="B50" s="89" t="str">
        <f>IFERROR(VLOOKUP($A50,EntryList!$A$3:$N$645,2,FALSE),"")</f>
        <v>Dr Katzen</v>
      </c>
      <c r="C50" s="74"/>
      <c r="D50" s="53">
        <f t="shared" si="0"/>
        <v>5</v>
      </c>
      <c r="E50" s="62">
        <v>2.7123379629629628E-3</v>
      </c>
      <c r="F50" s="62">
        <v>2.706724537037037E-3</v>
      </c>
      <c r="G50" s="62">
        <v>1.5489583333333334E-3</v>
      </c>
      <c r="H50" s="62">
        <v>3.0353587962962964E-3</v>
      </c>
      <c r="I50" s="62">
        <v>3.6758101851851852E-3</v>
      </c>
      <c r="J50" s="62"/>
      <c r="K50" s="62"/>
      <c r="L50" s="62"/>
      <c r="M50" s="62">
        <v>1.3679189814814816E-2</v>
      </c>
      <c r="N50" s="62">
        <f t="shared" si="1"/>
        <v>1.3679189814814814E-2</v>
      </c>
      <c r="O50" s="53">
        <f t="shared" si="2"/>
        <v>54</v>
      </c>
      <c r="P50" s="53">
        <f t="shared" si="3"/>
        <v>48</v>
      </c>
      <c r="Q50" s="53">
        <f t="shared" si="4"/>
        <v>58</v>
      </c>
      <c r="R50" s="53">
        <f t="shared" si="5"/>
        <v>50</v>
      </c>
      <c r="S50" s="53">
        <f t="shared" si="6"/>
        <v>49</v>
      </c>
      <c r="T50" s="53" t="str">
        <f t="shared" si="7"/>
        <v/>
      </c>
      <c r="U50" s="53" t="str">
        <f t="shared" si="8"/>
        <v/>
      </c>
      <c r="V50" s="53" t="str">
        <f t="shared" si="9"/>
        <v/>
      </c>
      <c r="W50" s="53" t="str">
        <f t="shared" si="10"/>
        <v>00:03:54.3 (54)</v>
      </c>
      <c r="X50" s="53" t="str">
        <f t="shared" si="11"/>
        <v>00:03:53.9 (48)</v>
      </c>
      <c r="Y50" s="53" t="str">
        <f t="shared" si="12"/>
        <v>00:02:13.8 (58)</v>
      </c>
      <c r="Z50" s="53" t="str">
        <f t="shared" si="13"/>
        <v>00:04:22.3 (50)</v>
      </c>
      <c r="AA50" s="53" t="str">
        <f t="shared" si="14"/>
        <v>00:05:17.6 (49)</v>
      </c>
      <c r="AB50" s="53" t="str">
        <f t="shared" si="15"/>
        <v>DNS/DNF ()</v>
      </c>
      <c r="AC50" s="53" t="str">
        <f t="shared" si="16"/>
        <v>DNS/DNF ()</v>
      </c>
      <c r="AD50" s="53" t="str">
        <f t="shared" si="17"/>
        <v>DNS/DNF ()</v>
      </c>
      <c r="AE50" s="53">
        <v>32738502</v>
      </c>
      <c r="AF50" s="53">
        <v>32972848</v>
      </c>
      <c r="AG50" s="53">
        <v>37237425</v>
      </c>
      <c r="AH50" s="53">
        <v>37471286</v>
      </c>
      <c r="AI50" s="53">
        <v>40448760</v>
      </c>
      <c r="AJ50" s="53">
        <v>40582590</v>
      </c>
      <c r="AK50" s="53">
        <v>44847874</v>
      </c>
      <c r="AL50" s="53">
        <v>45110129</v>
      </c>
      <c r="AM50" s="53">
        <v>47767300</v>
      </c>
      <c r="AN50" s="53">
        <v>48084890</v>
      </c>
      <c r="AO50" s="53">
        <v>0</v>
      </c>
      <c r="AP50" s="53">
        <v>0</v>
      </c>
      <c r="AQ50" s="53">
        <v>0</v>
      </c>
      <c r="AR50" s="53">
        <v>0</v>
      </c>
      <c r="AS50" s="53">
        <v>0</v>
      </c>
      <c r="AT50" s="53">
        <v>0</v>
      </c>
      <c r="AU50" s="62">
        <f t="shared" si="18"/>
        <v>2.7123379629629628E-3</v>
      </c>
      <c r="AV50" s="62">
        <f t="shared" si="19"/>
        <v>2.706724537037037E-3</v>
      </c>
      <c r="AW50" s="62">
        <f t="shared" si="20"/>
        <v>1.5489583333333334E-3</v>
      </c>
      <c r="AX50" s="62">
        <f t="shared" si="21"/>
        <v>3.0353587962962964E-3</v>
      </c>
      <c r="AY50" s="62">
        <f t="shared" si="22"/>
        <v>3.6758101851851852E-3</v>
      </c>
      <c r="AZ50" s="62" t="str">
        <f t="shared" si="23"/>
        <v>DNS/DNF</v>
      </c>
      <c r="BA50" s="62" t="str">
        <f t="shared" si="24"/>
        <v>DNS/DNF</v>
      </c>
      <c r="BB50" s="62" t="str">
        <f t="shared" si="25"/>
        <v>DNS/DNF</v>
      </c>
      <c r="BC50" s="75">
        <f t="shared" si="26"/>
        <v>52</v>
      </c>
      <c r="BD50" s="53">
        <f t="shared" si="27"/>
        <v>232106</v>
      </c>
      <c r="BE50" s="53">
        <f t="shared" si="28"/>
        <v>235044</v>
      </c>
      <c r="BF50" s="53">
        <f t="shared" si="29"/>
        <v>131146</v>
      </c>
      <c r="BG50" s="53">
        <f t="shared" si="30"/>
        <v>262777</v>
      </c>
      <c r="BH50" s="53">
        <f t="shared" si="31"/>
        <v>320104</v>
      </c>
      <c r="BI50" s="53" t="str">
        <f t="shared" si="32"/>
        <v/>
      </c>
      <c r="BJ50" s="53" t="str">
        <f t="shared" si="33"/>
        <v/>
      </c>
      <c r="BK50" s="53" t="str">
        <f t="shared" si="34"/>
        <v/>
      </c>
    </row>
    <row r="51" spans="1:63">
      <c r="A51" s="53">
        <v>199</v>
      </c>
      <c r="B51" s="89" t="str">
        <f>IFERROR(VLOOKUP($A51,EntryList!$A$3:$N$645,2,FALSE),"")</f>
        <v>Frankie Du Toit</v>
      </c>
      <c r="C51" s="74"/>
      <c r="D51" s="53">
        <f t="shared" si="0"/>
        <v>5</v>
      </c>
      <c r="E51" s="62">
        <v>2.7929629629629628E-3</v>
      </c>
      <c r="F51" s="62">
        <v>2.6877662037037039E-3</v>
      </c>
      <c r="G51" s="62">
        <v>1.5178935185185185E-3</v>
      </c>
      <c r="H51" s="62">
        <v>3.0414004629629628E-3</v>
      </c>
      <c r="I51" s="62">
        <v>3.6461458333333333E-3</v>
      </c>
      <c r="J51" s="62"/>
      <c r="K51" s="62"/>
      <c r="L51" s="62"/>
      <c r="M51" s="62">
        <v>1.3686168981481483E-2</v>
      </c>
      <c r="N51" s="62">
        <f t="shared" si="1"/>
        <v>1.3686168981481481E-2</v>
      </c>
      <c r="O51" s="53">
        <f t="shared" si="2"/>
        <v>58</v>
      </c>
      <c r="P51" s="53">
        <f t="shared" si="3"/>
        <v>42</v>
      </c>
      <c r="Q51" s="53">
        <f t="shared" si="4"/>
        <v>52</v>
      </c>
      <c r="R51" s="53">
        <f t="shared" si="5"/>
        <v>52</v>
      </c>
      <c r="S51" s="53">
        <f t="shared" si="6"/>
        <v>43</v>
      </c>
      <c r="T51" s="53" t="str">
        <f t="shared" si="7"/>
        <v/>
      </c>
      <c r="U51" s="53" t="str">
        <f t="shared" si="8"/>
        <v/>
      </c>
      <c r="V51" s="53" t="str">
        <f t="shared" si="9"/>
        <v/>
      </c>
      <c r="W51" s="53" t="str">
        <f t="shared" si="10"/>
        <v>00:04:01.3 (58)</v>
      </c>
      <c r="X51" s="53" t="str">
        <f t="shared" si="11"/>
        <v>00:03:52.2 (42)</v>
      </c>
      <c r="Y51" s="53" t="str">
        <f t="shared" si="12"/>
        <v>00:02:11.1 (52)</v>
      </c>
      <c r="Z51" s="53" t="str">
        <f t="shared" si="13"/>
        <v>00:04:22.8 (52)</v>
      </c>
      <c r="AA51" s="53" t="str">
        <f t="shared" si="14"/>
        <v>00:05:15.0 (43)</v>
      </c>
      <c r="AB51" s="53" t="str">
        <f t="shared" si="15"/>
        <v>DNS/DNF ()</v>
      </c>
      <c r="AC51" s="53" t="str">
        <f t="shared" si="16"/>
        <v>DNS/DNF ()</v>
      </c>
      <c r="AD51" s="53" t="str">
        <f t="shared" si="17"/>
        <v>DNS/DNF ()</v>
      </c>
      <c r="AE51" s="53">
        <v>39256480</v>
      </c>
      <c r="AF51" s="53">
        <v>39497792</v>
      </c>
      <c r="AG51" s="53">
        <v>36893558</v>
      </c>
      <c r="AH51" s="53">
        <v>37125781</v>
      </c>
      <c r="AI51" s="53">
        <v>32828103</v>
      </c>
      <c r="AJ51" s="53">
        <v>32959249</v>
      </c>
      <c r="AK51" s="53">
        <v>43155851</v>
      </c>
      <c r="AL51" s="53">
        <v>43418628</v>
      </c>
      <c r="AM51" s="53">
        <v>46088484</v>
      </c>
      <c r="AN51" s="53">
        <v>46403511</v>
      </c>
      <c r="AO51" s="53">
        <v>0</v>
      </c>
      <c r="AP51" s="53">
        <v>0</v>
      </c>
      <c r="AQ51" s="53">
        <v>0</v>
      </c>
      <c r="AR51" s="53">
        <v>0</v>
      </c>
      <c r="AS51" s="53">
        <v>0</v>
      </c>
      <c r="AT51" s="53">
        <v>0</v>
      </c>
      <c r="AU51" s="62">
        <f t="shared" si="18"/>
        <v>2.7929629629629628E-3</v>
      </c>
      <c r="AV51" s="62">
        <f t="shared" si="19"/>
        <v>2.6877662037037035E-3</v>
      </c>
      <c r="AW51" s="62">
        <f t="shared" si="20"/>
        <v>1.5178935185185185E-3</v>
      </c>
      <c r="AX51" s="62">
        <f t="shared" si="21"/>
        <v>3.0414004629629628E-3</v>
      </c>
      <c r="AY51" s="62">
        <f t="shared" si="22"/>
        <v>3.6461458333333333E-3</v>
      </c>
      <c r="AZ51" s="62" t="str">
        <f t="shared" si="23"/>
        <v>DNS/DNF</v>
      </c>
      <c r="BA51" s="62" t="str">
        <f t="shared" si="24"/>
        <v>DNS/DNF</v>
      </c>
      <c r="BB51" s="62" t="str">
        <f t="shared" si="25"/>
        <v>DNS/DNF</v>
      </c>
      <c r="BC51" s="75">
        <f t="shared" si="26"/>
        <v>49</v>
      </c>
      <c r="BD51" s="53">
        <f t="shared" si="27"/>
        <v>231410</v>
      </c>
      <c r="BE51" s="53">
        <f t="shared" si="28"/>
        <v>233982</v>
      </c>
      <c r="BF51" s="53">
        <f t="shared" si="29"/>
        <v>130707.99999999999</v>
      </c>
      <c r="BG51" s="53">
        <f t="shared" si="30"/>
        <v>261783</v>
      </c>
      <c r="BH51" s="53">
        <f t="shared" si="31"/>
        <v>317590</v>
      </c>
      <c r="BI51" s="53" t="str">
        <f t="shared" si="32"/>
        <v/>
      </c>
      <c r="BJ51" s="53" t="str">
        <f t="shared" si="33"/>
        <v/>
      </c>
      <c r="BK51" s="53" t="str">
        <f t="shared" si="34"/>
        <v/>
      </c>
    </row>
    <row r="52" spans="1:63">
      <c r="A52" s="53">
        <v>166</v>
      </c>
      <c r="B52" s="89" t="str">
        <f>IFERROR(VLOOKUP($A52,EntryList!$A$3:$N$645,2,FALSE),"")</f>
        <v>Zivan Venter</v>
      </c>
      <c r="C52" s="74"/>
      <c r="D52" s="53">
        <f t="shared" si="0"/>
        <v>5</v>
      </c>
      <c r="E52" s="62">
        <v>2.6835300925925928E-3</v>
      </c>
      <c r="F52" s="62">
        <v>2.7552314814814818E-3</v>
      </c>
      <c r="G52" s="62">
        <v>1.5118865740740741E-3</v>
      </c>
      <c r="H52" s="62">
        <v>3.0617824074074072E-3</v>
      </c>
      <c r="I52" s="62">
        <v>3.7049074074074081E-3</v>
      </c>
      <c r="J52" s="62"/>
      <c r="K52" s="62"/>
      <c r="L52" s="62"/>
      <c r="M52" s="62">
        <v>1.3717337962962962E-2</v>
      </c>
      <c r="N52" s="62">
        <f t="shared" si="1"/>
        <v>1.3717337962962962E-2</v>
      </c>
      <c r="O52" s="53">
        <f t="shared" si="2"/>
        <v>51</v>
      </c>
      <c r="P52" s="53">
        <f t="shared" si="3"/>
        <v>57</v>
      </c>
      <c r="Q52" s="53">
        <f t="shared" si="4"/>
        <v>48</v>
      </c>
      <c r="R52" s="53">
        <f t="shared" si="5"/>
        <v>56</v>
      </c>
      <c r="S52" s="53">
        <f t="shared" si="6"/>
        <v>52</v>
      </c>
      <c r="T52" s="53" t="str">
        <f t="shared" si="7"/>
        <v/>
      </c>
      <c r="U52" s="53" t="str">
        <f t="shared" si="8"/>
        <v/>
      </c>
      <c r="V52" s="53" t="str">
        <f t="shared" si="9"/>
        <v/>
      </c>
      <c r="W52" s="53" t="str">
        <f t="shared" si="10"/>
        <v>00:03:51.9 (51)</v>
      </c>
      <c r="X52" s="53" t="str">
        <f t="shared" si="11"/>
        <v>00:03:58.1 (57)</v>
      </c>
      <c r="Y52" s="53" t="str">
        <f t="shared" si="12"/>
        <v>00:02:10.6 (48)</v>
      </c>
      <c r="Z52" s="53" t="str">
        <f t="shared" si="13"/>
        <v>00:04:24.5 (56)</v>
      </c>
      <c r="AA52" s="53" t="str">
        <f t="shared" si="14"/>
        <v>00:05:20.1 (52)</v>
      </c>
      <c r="AB52" s="53" t="str">
        <f t="shared" si="15"/>
        <v>DNS/DNF ()</v>
      </c>
      <c r="AC52" s="53" t="str">
        <f t="shared" si="16"/>
        <v>DNS/DNF ()</v>
      </c>
      <c r="AD52" s="53" t="str">
        <f t="shared" si="17"/>
        <v>DNS/DNF ()</v>
      </c>
      <c r="AE52" s="53">
        <v>35225797</v>
      </c>
      <c r="AF52" s="53">
        <v>35457654</v>
      </c>
      <c r="AG52" s="53">
        <v>31526830</v>
      </c>
      <c r="AH52" s="53">
        <v>31764882</v>
      </c>
      <c r="AI52" s="53">
        <v>38638810</v>
      </c>
      <c r="AJ52" s="53">
        <v>38769437</v>
      </c>
      <c r="AK52" s="53">
        <v>43639296</v>
      </c>
      <c r="AL52" s="53">
        <v>43903834</v>
      </c>
      <c r="AM52" s="53">
        <v>46740996</v>
      </c>
      <c r="AN52" s="53">
        <v>47061100</v>
      </c>
      <c r="AO52" s="53">
        <v>0</v>
      </c>
      <c r="AP52" s="53">
        <v>0</v>
      </c>
      <c r="AQ52" s="53">
        <v>0</v>
      </c>
      <c r="AR52" s="53">
        <v>0</v>
      </c>
      <c r="AS52" s="53">
        <v>0</v>
      </c>
      <c r="AT52" s="53">
        <v>0</v>
      </c>
      <c r="AU52" s="62">
        <f t="shared" si="18"/>
        <v>2.6835300925925924E-3</v>
      </c>
      <c r="AV52" s="62">
        <f t="shared" si="19"/>
        <v>2.7552314814814813E-3</v>
      </c>
      <c r="AW52" s="62">
        <f t="shared" si="20"/>
        <v>1.5118865740740741E-3</v>
      </c>
      <c r="AX52" s="62">
        <f t="shared" si="21"/>
        <v>3.0617824074074076E-3</v>
      </c>
      <c r="AY52" s="62">
        <f t="shared" si="22"/>
        <v>3.7049074074074072E-3</v>
      </c>
      <c r="AZ52" s="62" t="str">
        <f t="shared" si="23"/>
        <v>DNS/DNF</v>
      </c>
      <c r="BA52" s="62" t="str">
        <f t="shared" si="24"/>
        <v>DNS/DNF</v>
      </c>
      <c r="BB52" s="62" t="str">
        <f t="shared" si="25"/>
        <v>DNS/DNF</v>
      </c>
      <c r="BC52" s="75">
        <f t="shared" si="26"/>
        <v>53</v>
      </c>
      <c r="BD52" s="53">
        <f t="shared" si="27"/>
        <v>233632</v>
      </c>
      <c r="BE52" s="53">
        <f t="shared" si="28"/>
        <v>235953</v>
      </c>
      <c r="BF52" s="53">
        <f t="shared" si="29"/>
        <v>131321</v>
      </c>
      <c r="BG52" s="53">
        <f t="shared" si="30"/>
        <v>263210</v>
      </c>
      <c r="BH52" s="53">
        <f t="shared" si="31"/>
        <v>320334</v>
      </c>
      <c r="BI52" s="53" t="str">
        <f t="shared" si="32"/>
        <v/>
      </c>
      <c r="BJ52" s="53" t="str">
        <f t="shared" si="33"/>
        <v/>
      </c>
      <c r="BK52" s="53" t="str">
        <f t="shared" si="34"/>
        <v/>
      </c>
    </row>
    <row r="53" spans="1:63">
      <c r="A53" s="53">
        <v>177</v>
      </c>
      <c r="B53" s="89" t="str">
        <f>IFERROR(VLOOKUP($A53,EntryList!$A$3:$N$645,2,FALSE),"")</f>
        <v>Daniel Fairbrother</v>
      </c>
      <c r="C53" s="74"/>
      <c r="D53" s="53">
        <f t="shared" si="0"/>
        <v>5</v>
      </c>
      <c r="E53" s="62">
        <v>2.7776620370370368E-3</v>
      </c>
      <c r="F53" s="62">
        <v>2.7978356481481478E-3</v>
      </c>
      <c r="G53" s="62">
        <v>1.4900115740740742E-3</v>
      </c>
      <c r="H53" s="62">
        <v>3.0298958333333337E-3</v>
      </c>
      <c r="I53" s="62">
        <v>3.7075694444444443E-3</v>
      </c>
      <c r="J53" s="62"/>
      <c r="K53" s="62"/>
      <c r="L53" s="62"/>
      <c r="M53" s="62">
        <v>1.3802974537037037E-2</v>
      </c>
      <c r="N53" s="62">
        <f t="shared" si="1"/>
        <v>1.3802974537037035E-2</v>
      </c>
      <c r="O53" s="53">
        <f t="shared" si="2"/>
        <v>56</v>
      </c>
      <c r="P53" s="53">
        <f t="shared" si="3"/>
        <v>66</v>
      </c>
      <c r="Q53" s="53">
        <f t="shared" si="4"/>
        <v>38</v>
      </c>
      <c r="R53" s="53">
        <f t="shared" si="5"/>
        <v>49</v>
      </c>
      <c r="S53" s="53">
        <f t="shared" si="6"/>
        <v>53</v>
      </c>
      <c r="T53" s="53" t="str">
        <f t="shared" si="7"/>
        <v/>
      </c>
      <c r="U53" s="53" t="str">
        <f t="shared" si="8"/>
        <v/>
      </c>
      <c r="V53" s="53" t="str">
        <f t="shared" si="9"/>
        <v/>
      </c>
      <c r="W53" s="53" t="str">
        <f t="shared" si="10"/>
        <v>00:04:00.0 (56)</v>
      </c>
      <c r="X53" s="53" t="str">
        <f t="shared" si="11"/>
        <v>00:04:01.7 (66)</v>
      </c>
      <c r="Y53" s="53" t="str">
        <f t="shared" si="12"/>
        <v>00:02:08.7 (38)</v>
      </c>
      <c r="Z53" s="53" t="str">
        <f t="shared" si="13"/>
        <v>00:04:21.8 (49)</v>
      </c>
      <c r="AA53" s="53" t="str">
        <f t="shared" si="14"/>
        <v>00:05:20.3 (53)</v>
      </c>
      <c r="AB53" s="53" t="str">
        <f t="shared" si="15"/>
        <v>DNS/DNF ()</v>
      </c>
      <c r="AC53" s="53" t="str">
        <f t="shared" si="16"/>
        <v>DNS/DNF ()</v>
      </c>
      <c r="AD53" s="53" t="str">
        <f t="shared" si="17"/>
        <v>DNS/DNF ()</v>
      </c>
      <c r="AE53" s="53">
        <v>34566326</v>
      </c>
      <c r="AF53" s="53">
        <v>34806316</v>
      </c>
      <c r="AG53" s="53">
        <v>31185143</v>
      </c>
      <c r="AH53" s="53">
        <v>31426876</v>
      </c>
      <c r="AI53" s="53">
        <v>37850046</v>
      </c>
      <c r="AJ53" s="53">
        <v>37978783</v>
      </c>
      <c r="AK53" s="53">
        <v>41921257</v>
      </c>
      <c r="AL53" s="53">
        <v>42183040</v>
      </c>
      <c r="AM53" s="53">
        <v>44951784</v>
      </c>
      <c r="AN53" s="53">
        <v>45272118</v>
      </c>
      <c r="AO53" s="53">
        <v>0</v>
      </c>
      <c r="AP53" s="53">
        <v>0</v>
      </c>
      <c r="AQ53" s="53">
        <v>0</v>
      </c>
      <c r="AR53" s="53">
        <v>0</v>
      </c>
      <c r="AS53" s="53">
        <v>0</v>
      </c>
      <c r="AT53" s="53">
        <v>0</v>
      </c>
      <c r="AU53" s="62">
        <f t="shared" si="18"/>
        <v>2.7776620370370373E-3</v>
      </c>
      <c r="AV53" s="62">
        <f t="shared" si="19"/>
        <v>2.7978356481481483E-3</v>
      </c>
      <c r="AW53" s="62">
        <f t="shared" si="20"/>
        <v>1.4900115740740742E-3</v>
      </c>
      <c r="AX53" s="62">
        <f t="shared" si="21"/>
        <v>3.0298958333333332E-3</v>
      </c>
      <c r="AY53" s="62">
        <f t="shared" si="22"/>
        <v>3.7075694444444443E-3</v>
      </c>
      <c r="AZ53" s="62" t="str">
        <f t="shared" si="23"/>
        <v>DNS/DNF</v>
      </c>
      <c r="BA53" s="62" t="str">
        <f t="shared" si="24"/>
        <v>DNS/DNF</v>
      </c>
      <c r="BB53" s="62" t="str">
        <f t="shared" si="25"/>
        <v>DNS/DNF</v>
      </c>
      <c r="BC53" s="75">
        <f t="shared" si="26"/>
        <v>52</v>
      </c>
      <c r="BD53" s="53">
        <f t="shared" si="27"/>
        <v>232106</v>
      </c>
      <c r="BE53" s="53">
        <f t="shared" si="28"/>
        <v>235044</v>
      </c>
      <c r="BF53" s="53">
        <f t="shared" si="29"/>
        <v>131146</v>
      </c>
      <c r="BG53" s="53">
        <f t="shared" si="30"/>
        <v>262777</v>
      </c>
      <c r="BH53" s="53">
        <f t="shared" si="31"/>
        <v>320104</v>
      </c>
      <c r="BI53" s="53" t="str">
        <f t="shared" si="32"/>
        <v/>
      </c>
      <c r="BJ53" s="53" t="str">
        <f t="shared" si="33"/>
        <v/>
      </c>
      <c r="BK53" s="53" t="str">
        <f t="shared" si="34"/>
        <v/>
      </c>
    </row>
    <row r="54" spans="1:63">
      <c r="A54" s="53">
        <v>125</v>
      </c>
      <c r="B54" s="89" t="str">
        <f>IFERROR(VLOOKUP($A54,EntryList!$A$3:$N$645,2,FALSE),"")</f>
        <v>Nic Kenny</v>
      </c>
      <c r="C54" s="74"/>
      <c r="D54" s="53">
        <f t="shared" si="0"/>
        <v>5</v>
      </c>
      <c r="E54" s="62">
        <v>2.6007754629629632E-3</v>
      </c>
      <c r="F54" s="62">
        <v>2.7969907407407405E-3</v>
      </c>
      <c r="G54" s="62">
        <v>1.538587962962963E-3</v>
      </c>
      <c r="H54" s="62">
        <v>3.0552314814814817E-3</v>
      </c>
      <c r="I54" s="62">
        <v>3.9346412037037032E-3</v>
      </c>
      <c r="J54" s="62"/>
      <c r="K54" s="62"/>
      <c r="L54" s="62"/>
      <c r="M54" s="62">
        <v>1.3926226851851853E-2</v>
      </c>
      <c r="N54" s="62">
        <f t="shared" si="1"/>
        <v>1.3926226851851853E-2</v>
      </c>
      <c r="O54" s="53">
        <f t="shared" si="2"/>
        <v>42</v>
      </c>
      <c r="P54" s="53">
        <f t="shared" si="3"/>
        <v>65</v>
      </c>
      <c r="Q54" s="53">
        <f t="shared" si="4"/>
        <v>57</v>
      </c>
      <c r="R54" s="53">
        <f t="shared" si="5"/>
        <v>55</v>
      </c>
      <c r="S54" s="53">
        <f t="shared" si="6"/>
        <v>85</v>
      </c>
      <c r="T54" s="53" t="str">
        <f t="shared" si="7"/>
        <v/>
      </c>
      <c r="U54" s="53" t="str">
        <f t="shared" si="8"/>
        <v/>
      </c>
      <c r="V54" s="53" t="str">
        <f t="shared" si="9"/>
        <v/>
      </c>
      <c r="W54" s="53" t="str">
        <f t="shared" si="10"/>
        <v>00:03:44.7 (42)</v>
      </c>
      <c r="X54" s="53" t="str">
        <f t="shared" si="11"/>
        <v>00:04:01.7 (65)</v>
      </c>
      <c r="Y54" s="53" t="str">
        <f t="shared" si="12"/>
        <v>00:02:12.9 (57)</v>
      </c>
      <c r="Z54" s="53" t="str">
        <f t="shared" si="13"/>
        <v>00:04:24.0 (55)</v>
      </c>
      <c r="AA54" s="53" t="str">
        <f t="shared" si="14"/>
        <v>00:05:40.0 (85)</v>
      </c>
      <c r="AB54" s="53" t="str">
        <f t="shared" si="15"/>
        <v>DNS/DNF ()</v>
      </c>
      <c r="AC54" s="53" t="str">
        <f t="shared" si="16"/>
        <v>DNS/DNF ()</v>
      </c>
      <c r="AD54" s="53" t="str">
        <f t="shared" si="17"/>
        <v>DNS/DNF ()</v>
      </c>
      <c r="AE54" s="53">
        <v>36358523</v>
      </c>
      <c r="AF54" s="53">
        <v>36583230</v>
      </c>
      <c r="AG54" s="53">
        <v>32574114</v>
      </c>
      <c r="AH54" s="53">
        <v>32815774</v>
      </c>
      <c r="AI54" s="53">
        <v>39840522</v>
      </c>
      <c r="AJ54" s="53">
        <v>39973456</v>
      </c>
      <c r="AK54" s="53">
        <v>44322691</v>
      </c>
      <c r="AL54" s="53">
        <v>44586663</v>
      </c>
      <c r="AM54" s="53">
        <v>47585970</v>
      </c>
      <c r="AN54" s="53">
        <v>47925923</v>
      </c>
      <c r="AO54" s="53">
        <v>0</v>
      </c>
      <c r="AP54" s="53">
        <v>0</v>
      </c>
      <c r="AQ54" s="53">
        <v>0</v>
      </c>
      <c r="AR54" s="53">
        <v>0</v>
      </c>
      <c r="AS54" s="53">
        <v>0</v>
      </c>
      <c r="AT54" s="53">
        <v>0</v>
      </c>
      <c r="AU54" s="62">
        <f t="shared" si="18"/>
        <v>2.6007754629629632E-3</v>
      </c>
      <c r="AV54" s="62">
        <f t="shared" si="19"/>
        <v>2.7969907407407409E-3</v>
      </c>
      <c r="AW54" s="62">
        <f t="shared" si="20"/>
        <v>1.538587962962963E-3</v>
      </c>
      <c r="AX54" s="62">
        <f t="shared" si="21"/>
        <v>3.0552314814814817E-3</v>
      </c>
      <c r="AY54" s="62">
        <f t="shared" si="22"/>
        <v>3.9346412037037041E-3</v>
      </c>
      <c r="AZ54" s="62" t="str">
        <f t="shared" si="23"/>
        <v>DNS/DNF</v>
      </c>
      <c r="BA54" s="62" t="str">
        <f t="shared" si="24"/>
        <v>DNS/DNF</v>
      </c>
      <c r="BB54" s="62" t="str">
        <f t="shared" si="25"/>
        <v>DNS/DNF</v>
      </c>
      <c r="BC54" s="75">
        <f t="shared" si="26"/>
        <v>61</v>
      </c>
      <c r="BD54" s="53">
        <f t="shared" si="27"/>
        <v>243580</v>
      </c>
      <c r="BE54" s="53">
        <f t="shared" si="28"/>
        <v>241356.99999999997</v>
      </c>
      <c r="BF54" s="53">
        <f t="shared" si="29"/>
        <v>135122</v>
      </c>
      <c r="BG54" s="53">
        <f t="shared" si="30"/>
        <v>270686</v>
      </c>
      <c r="BH54" s="53">
        <f t="shared" si="31"/>
        <v>326711</v>
      </c>
      <c r="BI54" s="53" t="str">
        <f t="shared" si="32"/>
        <v/>
      </c>
      <c r="BJ54" s="53" t="str">
        <f t="shared" si="33"/>
        <v/>
      </c>
      <c r="BK54" s="53" t="str">
        <f t="shared" si="34"/>
        <v/>
      </c>
    </row>
    <row r="55" spans="1:63">
      <c r="A55" s="53">
        <v>80</v>
      </c>
      <c r="B55" s="89" t="str">
        <f>IFERROR(VLOOKUP($A55,EntryList!$A$3:$N$645,2,FALSE),"")</f>
        <v>Matthias Christen</v>
      </c>
      <c r="C55" s="74"/>
      <c r="D55" s="53">
        <f t="shared" si="0"/>
        <v>5</v>
      </c>
      <c r="E55" s="62">
        <v>2.8169328703703707E-3</v>
      </c>
      <c r="F55" s="62">
        <v>2.7999537037037034E-3</v>
      </c>
      <c r="G55" s="62">
        <v>1.596412037037037E-3</v>
      </c>
      <c r="H55" s="62">
        <v>3.0134606481481484E-3</v>
      </c>
      <c r="I55" s="62">
        <v>3.7947453703703702E-3</v>
      </c>
      <c r="J55" s="62"/>
      <c r="K55" s="62"/>
      <c r="L55" s="62"/>
      <c r="M55" s="62">
        <v>1.402150462962963E-2</v>
      </c>
      <c r="N55" s="62">
        <f t="shared" si="1"/>
        <v>1.402150462962963E-2</v>
      </c>
      <c r="O55" s="53">
        <f t="shared" si="2"/>
        <v>60</v>
      </c>
      <c r="P55" s="53">
        <f t="shared" si="3"/>
        <v>67</v>
      </c>
      <c r="Q55" s="53">
        <f t="shared" si="4"/>
        <v>72</v>
      </c>
      <c r="R55" s="53">
        <f t="shared" si="5"/>
        <v>47</v>
      </c>
      <c r="S55" s="53">
        <f t="shared" si="6"/>
        <v>63</v>
      </c>
      <c r="T55" s="53" t="str">
        <f t="shared" si="7"/>
        <v/>
      </c>
      <c r="U55" s="53" t="str">
        <f t="shared" si="8"/>
        <v/>
      </c>
      <c r="V55" s="53" t="str">
        <f t="shared" si="9"/>
        <v/>
      </c>
      <c r="W55" s="53" t="str">
        <f t="shared" si="10"/>
        <v>00:04:03.4 (60)</v>
      </c>
      <c r="X55" s="53" t="str">
        <f t="shared" si="11"/>
        <v>00:04:01.9 (67)</v>
      </c>
      <c r="Y55" s="53" t="str">
        <f t="shared" si="12"/>
        <v>00:02:17.9 (72)</v>
      </c>
      <c r="Z55" s="53" t="str">
        <f t="shared" si="13"/>
        <v>00:04:20.4 (47)</v>
      </c>
      <c r="AA55" s="53" t="str">
        <f t="shared" si="14"/>
        <v>00:05:27.9 (63)</v>
      </c>
      <c r="AB55" s="53" t="str">
        <f t="shared" si="15"/>
        <v>DNS/DNF ()</v>
      </c>
      <c r="AC55" s="53" t="str">
        <f t="shared" si="16"/>
        <v>DNS/DNF ()</v>
      </c>
      <c r="AD55" s="53" t="str">
        <f t="shared" si="17"/>
        <v>DNS/DNF ()</v>
      </c>
      <c r="AE55" s="53">
        <v>32651539</v>
      </c>
      <c r="AF55" s="53">
        <v>32894922</v>
      </c>
      <c r="AG55" s="53">
        <v>36665037</v>
      </c>
      <c r="AH55" s="53">
        <v>36906953</v>
      </c>
      <c r="AI55" s="53">
        <v>39986504</v>
      </c>
      <c r="AJ55" s="53">
        <v>40124434</v>
      </c>
      <c r="AK55" s="53">
        <v>43904792</v>
      </c>
      <c r="AL55" s="53">
        <v>44165155</v>
      </c>
      <c r="AM55" s="53">
        <v>46900336</v>
      </c>
      <c r="AN55" s="53">
        <v>47228202</v>
      </c>
      <c r="AO55" s="53">
        <v>0</v>
      </c>
      <c r="AP55" s="53">
        <v>0</v>
      </c>
      <c r="AQ55" s="53">
        <v>0</v>
      </c>
      <c r="AR55" s="53">
        <v>0</v>
      </c>
      <c r="AS55" s="53">
        <v>0</v>
      </c>
      <c r="AT55" s="53">
        <v>0</v>
      </c>
      <c r="AU55" s="62">
        <f t="shared" si="18"/>
        <v>2.8169328703703703E-3</v>
      </c>
      <c r="AV55" s="62">
        <f t="shared" si="19"/>
        <v>2.7999537037037038E-3</v>
      </c>
      <c r="AW55" s="62">
        <f t="shared" si="20"/>
        <v>1.596412037037037E-3</v>
      </c>
      <c r="AX55" s="62">
        <f t="shared" si="21"/>
        <v>3.0134606481481484E-3</v>
      </c>
      <c r="AY55" s="62">
        <f t="shared" si="22"/>
        <v>3.7947453703703702E-3</v>
      </c>
      <c r="AZ55" s="62" t="str">
        <f t="shared" si="23"/>
        <v>DNS/DNF</v>
      </c>
      <c r="BA55" s="62" t="str">
        <f t="shared" si="24"/>
        <v>DNS/DNF</v>
      </c>
      <c r="BB55" s="62" t="str">
        <f t="shared" si="25"/>
        <v>DNS/DNF</v>
      </c>
      <c r="BC55" s="75">
        <f t="shared" si="26"/>
        <v>62</v>
      </c>
      <c r="BD55" s="53">
        <f t="shared" si="27"/>
        <v>243746</v>
      </c>
      <c r="BE55" s="53">
        <f t="shared" si="28"/>
        <v>241360</v>
      </c>
      <c r="BF55" s="53">
        <f t="shared" si="29"/>
        <v>135623</v>
      </c>
      <c r="BG55" s="53">
        <f t="shared" si="30"/>
        <v>270806</v>
      </c>
      <c r="BH55" s="53">
        <f t="shared" si="31"/>
        <v>327088</v>
      </c>
      <c r="BI55" s="53" t="str">
        <f t="shared" si="32"/>
        <v/>
      </c>
      <c r="BJ55" s="53" t="str">
        <f t="shared" si="33"/>
        <v/>
      </c>
      <c r="BK55" s="53" t="str">
        <f t="shared" si="34"/>
        <v/>
      </c>
    </row>
    <row r="56" spans="1:63">
      <c r="A56" s="53">
        <v>15</v>
      </c>
      <c r="B56" s="89" t="str">
        <f>IFERROR(VLOOKUP($A56,EntryList!$A$3:$N$645,2,FALSE),"")</f>
        <v>Dale Barnard</v>
      </c>
      <c r="C56" s="74"/>
      <c r="D56" s="53">
        <f t="shared" si="0"/>
        <v>5</v>
      </c>
      <c r="E56" s="62">
        <v>2.8479976851851856E-3</v>
      </c>
      <c r="F56" s="62">
        <v>2.7935185185185185E-3</v>
      </c>
      <c r="G56" s="62">
        <v>1.5349884259259258E-3</v>
      </c>
      <c r="H56" s="62">
        <v>3.122013888888889E-3</v>
      </c>
      <c r="I56" s="62">
        <v>3.7962847222222217E-3</v>
      </c>
      <c r="J56" s="62"/>
      <c r="K56" s="62"/>
      <c r="L56" s="62"/>
      <c r="M56" s="62">
        <v>1.4094803240740741E-2</v>
      </c>
      <c r="N56" s="62">
        <f t="shared" si="1"/>
        <v>1.4094803240740741E-2</v>
      </c>
      <c r="O56" s="53">
        <f t="shared" si="2"/>
        <v>65</v>
      </c>
      <c r="P56" s="53">
        <f t="shared" si="3"/>
        <v>62</v>
      </c>
      <c r="Q56" s="53">
        <f t="shared" si="4"/>
        <v>56</v>
      </c>
      <c r="R56" s="53">
        <f t="shared" si="5"/>
        <v>59</v>
      </c>
      <c r="S56" s="53">
        <f t="shared" si="6"/>
        <v>64</v>
      </c>
      <c r="T56" s="53" t="str">
        <f t="shared" si="7"/>
        <v/>
      </c>
      <c r="U56" s="53" t="str">
        <f t="shared" si="8"/>
        <v/>
      </c>
      <c r="V56" s="53" t="str">
        <f t="shared" si="9"/>
        <v/>
      </c>
      <c r="W56" s="53" t="str">
        <f t="shared" si="10"/>
        <v>00:04:06.1 (65)</v>
      </c>
      <c r="X56" s="53" t="str">
        <f t="shared" si="11"/>
        <v>00:04:01.4 (62)</v>
      </c>
      <c r="Y56" s="53" t="str">
        <f t="shared" si="12"/>
        <v>00:02:12.6 (56)</v>
      </c>
      <c r="Z56" s="53" t="str">
        <f t="shared" si="13"/>
        <v>00:04:29.7 (59)</v>
      </c>
      <c r="AA56" s="53" t="str">
        <f t="shared" si="14"/>
        <v>00:05:28.0 (64)</v>
      </c>
      <c r="AB56" s="53" t="str">
        <f t="shared" si="15"/>
        <v>DNS/DNF ()</v>
      </c>
      <c r="AC56" s="53" t="str">
        <f t="shared" si="16"/>
        <v>DNS/DNF ()</v>
      </c>
      <c r="AD56" s="53" t="str">
        <f t="shared" si="17"/>
        <v>DNS/DNF ()</v>
      </c>
      <c r="AE56" s="53">
        <v>34580474</v>
      </c>
      <c r="AF56" s="53">
        <v>34826541</v>
      </c>
      <c r="AG56" s="53">
        <v>31200305</v>
      </c>
      <c r="AH56" s="53">
        <v>31441665</v>
      </c>
      <c r="AI56" s="53">
        <v>37862763</v>
      </c>
      <c r="AJ56" s="53">
        <v>37995386</v>
      </c>
      <c r="AK56" s="53">
        <v>41937059</v>
      </c>
      <c r="AL56" s="53">
        <v>42206801</v>
      </c>
      <c r="AM56" s="53">
        <v>44964686</v>
      </c>
      <c r="AN56" s="53">
        <v>45292685</v>
      </c>
      <c r="AO56" s="53">
        <v>0</v>
      </c>
      <c r="AP56" s="53">
        <v>0</v>
      </c>
      <c r="AQ56" s="53">
        <v>0</v>
      </c>
      <c r="AR56" s="53">
        <v>0</v>
      </c>
      <c r="AS56" s="53">
        <v>0</v>
      </c>
      <c r="AT56" s="53">
        <v>0</v>
      </c>
      <c r="AU56" s="62">
        <f t="shared" si="18"/>
        <v>2.8479976851851852E-3</v>
      </c>
      <c r="AV56" s="62">
        <f t="shared" si="19"/>
        <v>2.7935185185185185E-3</v>
      </c>
      <c r="AW56" s="62">
        <f t="shared" si="20"/>
        <v>1.534988425925926E-3</v>
      </c>
      <c r="AX56" s="62">
        <f t="shared" si="21"/>
        <v>3.122013888888889E-3</v>
      </c>
      <c r="AY56" s="62">
        <f t="shared" si="22"/>
        <v>3.7962847222222222E-3</v>
      </c>
      <c r="AZ56" s="62" t="str">
        <f t="shared" si="23"/>
        <v>DNS/DNF</v>
      </c>
      <c r="BA56" s="62" t="str">
        <f t="shared" si="24"/>
        <v>DNS/DNF</v>
      </c>
      <c r="BB56" s="62" t="str">
        <f t="shared" si="25"/>
        <v>DNS/DNF</v>
      </c>
      <c r="BC56" s="75">
        <f t="shared" si="26"/>
        <v>61</v>
      </c>
      <c r="BD56" s="53">
        <f t="shared" si="27"/>
        <v>243580</v>
      </c>
      <c r="BE56" s="53">
        <f t="shared" si="28"/>
        <v>241356.99999999997</v>
      </c>
      <c r="BF56" s="53">
        <f t="shared" si="29"/>
        <v>135122</v>
      </c>
      <c r="BG56" s="53">
        <f t="shared" si="30"/>
        <v>270686</v>
      </c>
      <c r="BH56" s="53">
        <f t="shared" si="31"/>
        <v>326711</v>
      </c>
      <c r="BI56" s="53" t="str">
        <f t="shared" si="32"/>
        <v/>
      </c>
      <c r="BJ56" s="53" t="str">
        <f t="shared" si="33"/>
        <v/>
      </c>
      <c r="BK56" s="53" t="str">
        <f t="shared" si="34"/>
        <v/>
      </c>
    </row>
    <row r="57" spans="1:63">
      <c r="A57" s="53">
        <v>130</v>
      </c>
      <c r="B57" s="89" t="str">
        <f>IFERROR(VLOOKUP($A57,EntryList!$A$3:$N$645,2,FALSE),"")</f>
        <v>Jano Gildenhuys</v>
      </c>
      <c r="C57" s="74"/>
      <c r="D57" s="53">
        <f t="shared" si="0"/>
        <v>5</v>
      </c>
      <c r="E57" s="62">
        <v>2.6864120370370371E-3</v>
      </c>
      <c r="F57" s="62">
        <v>2.9655787037037033E-3</v>
      </c>
      <c r="G57" s="62">
        <v>1.5302314814814814E-3</v>
      </c>
      <c r="H57" s="62">
        <v>3.035717592592592E-3</v>
      </c>
      <c r="I57" s="62">
        <v>3.9511226851851851E-3</v>
      </c>
      <c r="J57" s="62"/>
      <c r="K57" s="62"/>
      <c r="L57" s="62"/>
      <c r="M57" s="62">
        <v>1.4169062500000001E-2</v>
      </c>
      <c r="N57" s="62">
        <f t="shared" si="1"/>
        <v>1.4169062499999999E-2</v>
      </c>
      <c r="O57" s="53">
        <f t="shared" si="2"/>
        <v>52</v>
      </c>
      <c r="P57" s="53">
        <f t="shared" si="3"/>
        <v>98</v>
      </c>
      <c r="Q57" s="53">
        <f t="shared" si="4"/>
        <v>55</v>
      </c>
      <c r="R57" s="53">
        <f t="shared" si="5"/>
        <v>51</v>
      </c>
      <c r="S57" s="53">
        <f t="shared" si="6"/>
        <v>89</v>
      </c>
      <c r="T57" s="53" t="str">
        <f t="shared" si="7"/>
        <v/>
      </c>
      <c r="U57" s="53" t="str">
        <f t="shared" si="8"/>
        <v/>
      </c>
      <c r="V57" s="53" t="str">
        <f t="shared" si="9"/>
        <v/>
      </c>
      <c r="W57" s="53" t="str">
        <f t="shared" si="10"/>
        <v>00:03:52.1 (52)</v>
      </c>
      <c r="X57" s="53" t="str">
        <f t="shared" si="11"/>
        <v>00:04:16.2 (98)</v>
      </c>
      <c r="Y57" s="53" t="str">
        <f t="shared" si="12"/>
        <v>00:02:12.2 (55)</v>
      </c>
      <c r="Z57" s="53" t="str">
        <f t="shared" si="13"/>
        <v>00:04:22.3 (51)</v>
      </c>
      <c r="AA57" s="53" t="str">
        <f t="shared" si="14"/>
        <v>00:05:41.4 (89)</v>
      </c>
      <c r="AB57" s="53" t="str">
        <f t="shared" si="15"/>
        <v>DNS/DNF ()</v>
      </c>
      <c r="AC57" s="53" t="str">
        <f t="shared" si="16"/>
        <v>DNS/DNF ()</v>
      </c>
      <c r="AD57" s="53" t="str">
        <f t="shared" si="17"/>
        <v>DNS/DNF ()</v>
      </c>
      <c r="AE57" s="53">
        <v>32055122</v>
      </c>
      <c r="AF57" s="53">
        <v>32287228</v>
      </c>
      <c r="AG57" s="53">
        <v>37154588</v>
      </c>
      <c r="AH57" s="53">
        <v>37410814</v>
      </c>
      <c r="AI57" s="53">
        <v>40326544</v>
      </c>
      <c r="AJ57" s="53">
        <v>40458756</v>
      </c>
      <c r="AK57" s="53">
        <v>43854089</v>
      </c>
      <c r="AL57" s="53">
        <v>44116375</v>
      </c>
      <c r="AM57" s="53">
        <v>47504390</v>
      </c>
      <c r="AN57" s="53">
        <v>47845767</v>
      </c>
      <c r="AO57" s="53">
        <v>0</v>
      </c>
      <c r="AP57" s="53">
        <v>0</v>
      </c>
      <c r="AQ57" s="53">
        <v>0</v>
      </c>
      <c r="AR57" s="53">
        <v>0</v>
      </c>
      <c r="AS57" s="53">
        <v>0</v>
      </c>
      <c r="AT57" s="53">
        <v>0</v>
      </c>
      <c r="AU57" s="62">
        <f t="shared" si="18"/>
        <v>2.6864120370370371E-3</v>
      </c>
      <c r="AV57" s="62">
        <f t="shared" si="19"/>
        <v>2.9655787037037038E-3</v>
      </c>
      <c r="AW57" s="62">
        <f t="shared" si="20"/>
        <v>1.5302314814814814E-3</v>
      </c>
      <c r="AX57" s="62">
        <f t="shared" si="21"/>
        <v>3.0357175925925925E-3</v>
      </c>
      <c r="AY57" s="62">
        <f t="shared" si="22"/>
        <v>3.9511226851851851E-3</v>
      </c>
      <c r="AZ57" s="62" t="str">
        <f t="shared" si="23"/>
        <v>DNS/DNF</v>
      </c>
      <c r="BA57" s="62" t="str">
        <f t="shared" si="24"/>
        <v>DNS/DNF</v>
      </c>
      <c r="BB57" s="62" t="str">
        <f t="shared" si="25"/>
        <v>DNS/DNF</v>
      </c>
      <c r="BC57" s="75">
        <f t="shared" si="26"/>
        <v>69</v>
      </c>
      <c r="BD57" s="53">
        <f t="shared" si="27"/>
        <v>250804</v>
      </c>
      <c r="BE57" s="53">
        <f t="shared" si="28"/>
        <v>242883</v>
      </c>
      <c r="BF57" s="53">
        <f t="shared" si="29"/>
        <v>137306</v>
      </c>
      <c r="BG57" s="53">
        <f t="shared" si="30"/>
        <v>275541</v>
      </c>
      <c r="BH57" s="53">
        <f t="shared" si="31"/>
        <v>331733</v>
      </c>
      <c r="BI57" s="53" t="str">
        <f t="shared" si="32"/>
        <v/>
      </c>
      <c r="BJ57" s="53" t="str">
        <f t="shared" si="33"/>
        <v/>
      </c>
      <c r="BK57" s="53" t="str">
        <f t="shared" si="34"/>
        <v/>
      </c>
    </row>
    <row r="58" spans="1:63">
      <c r="A58" s="53">
        <v>287</v>
      </c>
      <c r="B58" s="89" t="str">
        <f>IFERROR(VLOOKUP($A58,EntryList!$A$3:$N$645,2,FALSE),"")</f>
        <v>Dewald Oosthuizen</v>
      </c>
      <c r="C58" s="74"/>
      <c r="D58" s="53">
        <f t="shared" si="0"/>
        <v>5</v>
      </c>
      <c r="E58" s="62">
        <v>2.819212962962963E-3</v>
      </c>
      <c r="F58" s="62">
        <v>2.8111458333333335E-3</v>
      </c>
      <c r="G58" s="62">
        <v>1.6066203703703705E-3</v>
      </c>
      <c r="H58" s="62">
        <v>3.1343287037037038E-3</v>
      </c>
      <c r="I58" s="62">
        <v>3.8193402777777778E-3</v>
      </c>
      <c r="J58" s="62"/>
      <c r="K58" s="62"/>
      <c r="L58" s="62"/>
      <c r="M58" s="62">
        <v>1.4190648148148148E-2</v>
      </c>
      <c r="N58" s="62">
        <f t="shared" si="1"/>
        <v>1.4190648148148148E-2</v>
      </c>
      <c r="O58" s="53">
        <f t="shared" si="2"/>
        <v>61</v>
      </c>
      <c r="P58" s="53">
        <f t="shared" si="3"/>
        <v>69</v>
      </c>
      <c r="Q58" s="53">
        <f t="shared" si="4"/>
        <v>73</v>
      </c>
      <c r="R58" s="53">
        <f t="shared" si="5"/>
        <v>62</v>
      </c>
      <c r="S58" s="53">
        <f t="shared" si="6"/>
        <v>66</v>
      </c>
      <c r="T58" s="53" t="str">
        <f t="shared" si="7"/>
        <v/>
      </c>
      <c r="U58" s="53" t="str">
        <f t="shared" si="8"/>
        <v/>
      </c>
      <c r="V58" s="53" t="str">
        <f t="shared" si="9"/>
        <v/>
      </c>
      <c r="W58" s="53" t="str">
        <f t="shared" si="10"/>
        <v>00:04:03.6 (61)</v>
      </c>
      <c r="X58" s="53" t="str">
        <f t="shared" si="11"/>
        <v>00:04:02.9 (69)</v>
      </c>
      <c r="Y58" s="53" t="str">
        <f t="shared" si="12"/>
        <v>00:02:18.8 (73)</v>
      </c>
      <c r="Z58" s="53" t="str">
        <f t="shared" si="13"/>
        <v>00:04:30.8 (62)</v>
      </c>
      <c r="AA58" s="53" t="str">
        <f t="shared" si="14"/>
        <v>00:05:30.0 (66)</v>
      </c>
      <c r="AB58" s="53" t="str">
        <f t="shared" si="15"/>
        <v>DNS/DNF ()</v>
      </c>
      <c r="AC58" s="53" t="str">
        <f t="shared" si="16"/>
        <v>DNS/DNF ()</v>
      </c>
      <c r="AD58" s="53" t="str">
        <f t="shared" si="17"/>
        <v>DNS/DNF ()</v>
      </c>
      <c r="AE58" s="53">
        <v>31068801</v>
      </c>
      <c r="AF58" s="53">
        <v>31312381</v>
      </c>
      <c r="AG58" s="53">
        <v>35059130</v>
      </c>
      <c r="AH58" s="53">
        <v>35302013</v>
      </c>
      <c r="AI58" s="53">
        <v>37630543</v>
      </c>
      <c r="AJ58" s="53">
        <v>37769355</v>
      </c>
      <c r="AK58" s="53">
        <v>41803952</v>
      </c>
      <c r="AL58" s="53">
        <v>42074758</v>
      </c>
      <c r="AM58" s="53">
        <v>44008500</v>
      </c>
      <c r="AN58" s="53">
        <v>44338491</v>
      </c>
      <c r="AO58" s="53">
        <v>0</v>
      </c>
      <c r="AP58" s="53">
        <v>0</v>
      </c>
      <c r="AQ58" s="53">
        <v>0</v>
      </c>
      <c r="AR58" s="53">
        <v>0</v>
      </c>
      <c r="AS58" s="53">
        <v>0</v>
      </c>
      <c r="AT58" s="53">
        <v>0</v>
      </c>
      <c r="AU58" s="62">
        <f t="shared" si="18"/>
        <v>2.819212962962963E-3</v>
      </c>
      <c r="AV58" s="62">
        <f t="shared" si="19"/>
        <v>2.8111458333333335E-3</v>
      </c>
      <c r="AW58" s="62">
        <f t="shared" si="20"/>
        <v>1.6066203703703705E-3</v>
      </c>
      <c r="AX58" s="62">
        <f t="shared" si="21"/>
        <v>3.1343287037037038E-3</v>
      </c>
      <c r="AY58" s="62">
        <f t="shared" si="22"/>
        <v>3.8193402777777778E-3</v>
      </c>
      <c r="AZ58" s="62" t="str">
        <f t="shared" si="23"/>
        <v>DNS/DNF</v>
      </c>
      <c r="BA58" s="62" t="str">
        <f t="shared" si="24"/>
        <v>DNS/DNF</v>
      </c>
      <c r="BB58" s="62" t="str">
        <f t="shared" si="25"/>
        <v>DNS/DNF</v>
      </c>
      <c r="BC58" s="75">
        <f t="shared" si="26"/>
        <v>66</v>
      </c>
      <c r="BD58" s="53">
        <f t="shared" si="27"/>
        <v>249133</v>
      </c>
      <c r="BE58" s="53">
        <f t="shared" si="28"/>
        <v>241733</v>
      </c>
      <c r="BF58" s="53">
        <f t="shared" si="29"/>
        <v>136248</v>
      </c>
      <c r="BG58" s="53">
        <f t="shared" si="30"/>
        <v>274713</v>
      </c>
      <c r="BH58" s="53">
        <f t="shared" si="31"/>
        <v>329991</v>
      </c>
      <c r="BI58" s="53" t="str">
        <f t="shared" si="32"/>
        <v/>
      </c>
      <c r="BJ58" s="53" t="str">
        <f t="shared" si="33"/>
        <v/>
      </c>
      <c r="BK58" s="53" t="str">
        <f t="shared" si="34"/>
        <v/>
      </c>
    </row>
    <row r="59" spans="1:63">
      <c r="A59" s="53">
        <v>236</v>
      </c>
      <c r="B59" s="89" t="str">
        <f>IFERROR(VLOOKUP($A59,EntryList!$A$3:$N$645,2,FALSE),"")</f>
        <v>Marc Carr</v>
      </c>
      <c r="C59" s="74"/>
      <c r="D59" s="53">
        <f t="shared" si="0"/>
        <v>5</v>
      </c>
      <c r="E59" s="62">
        <v>2.8999884259259257E-3</v>
      </c>
      <c r="F59" s="62">
        <v>2.7960879629629633E-3</v>
      </c>
      <c r="G59" s="62">
        <v>1.5697106481481482E-3</v>
      </c>
      <c r="H59" s="62">
        <v>3.1271180555555553E-3</v>
      </c>
      <c r="I59" s="62">
        <v>3.8544212962962968E-3</v>
      </c>
      <c r="J59" s="62"/>
      <c r="K59" s="62"/>
      <c r="L59" s="62"/>
      <c r="M59" s="62">
        <v>1.4247326388888889E-2</v>
      </c>
      <c r="N59" s="62">
        <f t="shared" si="1"/>
        <v>1.4247326388888891E-2</v>
      </c>
      <c r="O59" s="53">
        <f t="shared" si="2"/>
        <v>68</v>
      </c>
      <c r="P59" s="53">
        <f t="shared" si="3"/>
        <v>64</v>
      </c>
      <c r="Q59" s="53">
        <f t="shared" si="4"/>
        <v>62</v>
      </c>
      <c r="R59" s="53">
        <f t="shared" si="5"/>
        <v>60</v>
      </c>
      <c r="S59" s="53">
        <f t="shared" si="6"/>
        <v>72</v>
      </c>
      <c r="T59" s="53" t="str">
        <f t="shared" si="7"/>
        <v/>
      </c>
      <c r="U59" s="53" t="str">
        <f t="shared" si="8"/>
        <v/>
      </c>
      <c r="V59" s="53" t="str">
        <f t="shared" si="9"/>
        <v/>
      </c>
      <c r="W59" s="53" t="str">
        <f t="shared" si="10"/>
        <v>00:04:10.6 (68)</v>
      </c>
      <c r="X59" s="53" t="str">
        <f t="shared" si="11"/>
        <v>00:04:01.6 (64)</v>
      </c>
      <c r="Y59" s="53" t="str">
        <f t="shared" si="12"/>
        <v>00:02:15.6 (62)</v>
      </c>
      <c r="Z59" s="53" t="str">
        <f t="shared" si="13"/>
        <v>00:04:30.2 (60)</v>
      </c>
      <c r="AA59" s="53" t="str">
        <f t="shared" si="14"/>
        <v>00:05:33.0 (72)</v>
      </c>
      <c r="AB59" s="53" t="str">
        <f t="shared" si="15"/>
        <v>DNS/DNF ()</v>
      </c>
      <c r="AC59" s="53" t="str">
        <f t="shared" si="16"/>
        <v>DNS/DNF ()</v>
      </c>
      <c r="AD59" s="53" t="str">
        <f t="shared" si="17"/>
        <v>DNS/DNF ()</v>
      </c>
      <c r="AE59" s="53">
        <v>31075046</v>
      </c>
      <c r="AF59" s="53">
        <v>31325605</v>
      </c>
      <c r="AG59" s="53">
        <v>35063792</v>
      </c>
      <c r="AH59" s="53">
        <v>35305374</v>
      </c>
      <c r="AI59" s="53">
        <v>37618262</v>
      </c>
      <c r="AJ59" s="53">
        <v>37753885</v>
      </c>
      <c r="AK59" s="53">
        <v>41797526</v>
      </c>
      <c r="AL59" s="53">
        <v>42067709</v>
      </c>
      <c r="AM59" s="53">
        <v>44003508</v>
      </c>
      <c r="AN59" s="53">
        <v>44336530</v>
      </c>
      <c r="AO59" s="53">
        <v>0</v>
      </c>
      <c r="AP59" s="53">
        <v>0</v>
      </c>
      <c r="AQ59" s="53">
        <v>0</v>
      </c>
      <c r="AR59" s="53">
        <v>0</v>
      </c>
      <c r="AS59" s="53">
        <v>0</v>
      </c>
      <c r="AT59" s="53">
        <v>0</v>
      </c>
      <c r="AU59" s="62">
        <f t="shared" si="18"/>
        <v>2.8999884259259261E-3</v>
      </c>
      <c r="AV59" s="62">
        <f t="shared" si="19"/>
        <v>2.7960879629629629E-3</v>
      </c>
      <c r="AW59" s="62">
        <f t="shared" si="20"/>
        <v>1.5697106481481482E-3</v>
      </c>
      <c r="AX59" s="62">
        <f t="shared" si="21"/>
        <v>3.1271180555555557E-3</v>
      </c>
      <c r="AY59" s="62">
        <f t="shared" si="22"/>
        <v>3.8544212962962963E-3</v>
      </c>
      <c r="AZ59" s="62" t="str">
        <f t="shared" si="23"/>
        <v>DNS/DNF</v>
      </c>
      <c r="BA59" s="62" t="str">
        <f t="shared" si="24"/>
        <v>DNS/DNF</v>
      </c>
      <c r="BB59" s="62" t="str">
        <f t="shared" si="25"/>
        <v>DNS/DNF</v>
      </c>
      <c r="BC59" s="75">
        <f t="shared" si="26"/>
        <v>65</v>
      </c>
      <c r="BD59" s="53">
        <f t="shared" si="27"/>
        <v>246067</v>
      </c>
      <c r="BE59" s="53">
        <f t="shared" si="28"/>
        <v>241660.00000000003</v>
      </c>
      <c r="BF59" s="53">
        <f t="shared" si="29"/>
        <v>135884</v>
      </c>
      <c r="BG59" s="53">
        <f t="shared" si="30"/>
        <v>273902</v>
      </c>
      <c r="BH59" s="53">
        <f t="shared" si="31"/>
        <v>329294</v>
      </c>
      <c r="BI59" s="53" t="str">
        <f t="shared" si="32"/>
        <v/>
      </c>
      <c r="BJ59" s="53" t="str">
        <f t="shared" si="33"/>
        <v/>
      </c>
      <c r="BK59" s="53" t="str">
        <f t="shared" si="34"/>
        <v/>
      </c>
    </row>
    <row r="60" spans="1:63">
      <c r="A60" s="53">
        <v>24</v>
      </c>
      <c r="B60" s="89" t="str">
        <f>IFERROR(VLOOKUP($A60,EntryList!$A$3:$N$645,2,FALSE),"")</f>
        <v>Enrique Julyan</v>
      </c>
      <c r="C60" s="74"/>
      <c r="D60" s="53">
        <f t="shared" si="0"/>
        <v>5</v>
      </c>
      <c r="E60" s="62">
        <v>2.9077546296296295E-3</v>
      </c>
      <c r="F60" s="62">
        <v>2.8483680555555558E-3</v>
      </c>
      <c r="G60" s="62">
        <v>1.6269675925925924E-3</v>
      </c>
      <c r="H60" s="62">
        <v>3.0783796296296293E-3</v>
      </c>
      <c r="I60" s="62">
        <v>3.8395023148148147E-3</v>
      </c>
      <c r="J60" s="62"/>
      <c r="K60" s="62"/>
      <c r="L60" s="62"/>
      <c r="M60" s="62">
        <v>1.4300972222222222E-2</v>
      </c>
      <c r="N60" s="62">
        <f t="shared" si="1"/>
        <v>1.4300972222222222E-2</v>
      </c>
      <c r="O60" s="53">
        <f t="shared" si="2"/>
        <v>71</v>
      </c>
      <c r="P60" s="53">
        <f t="shared" si="3"/>
        <v>76</v>
      </c>
      <c r="Q60" s="53">
        <f t="shared" si="4"/>
        <v>78</v>
      </c>
      <c r="R60" s="53">
        <f t="shared" si="5"/>
        <v>57</v>
      </c>
      <c r="S60" s="53">
        <f t="shared" si="6"/>
        <v>69</v>
      </c>
      <c r="T60" s="53" t="str">
        <f t="shared" si="7"/>
        <v/>
      </c>
      <c r="U60" s="53" t="str">
        <f t="shared" si="8"/>
        <v/>
      </c>
      <c r="V60" s="53" t="str">
        <f t="shared" si="9"/>
        <v/>
      </c>
      <c r="W60" s="53" t="str">
        <f t="shared" si="10"/>
        <v>00:04:11.2 (71)</v>
      </c>
      <c r="X60" s="53" t="str">
        <f t="shared" si="11"/>
        <v>00:04:06.1 (76)</v>
      </c>
      <c r="Y60" s="53" t="str">
        <f t="shared" si="12"/>
        <v>00:02:20.6 (78)</v>
      </c>
      <c r="Z60" s="53" t="str">
        <f t="shared" si="13"/>
        <v>00:04:26.0 (57)</v>
      </c>
      <c r="AA60" s="53" t="str">
        <f t="shared" si="14"/>
        <v>00:05:31.7 (69)</v>
      </c>
      <c r="AB60" s="53" t="str">
        <f t="shared" si="15"/>
        <v>DNS/DNF ()</v>
      </c>
      <c r="AC60" s="53" t="str">
        <f t="shared" si="16"/>
        <v>DNS/DNF ()</v>
      </c>
      <c r="AD60" s="53" t="str">
        <f t="shared" si="17"/>
        <v>DNS/DNF ()</v>
      </c>
      <c r="AE60" s="53">
        <v>31386463</v>
      </c>
      <c r="AF60" s="53">
        <v>31637693</v>
      </c>
      <c r="AG60" s="53">
        <v>35835237</v>
      </c>
      <c r="AH60" s="53">
        <v>36081336</v>
      </c>
      <c r="AI60" s="53">
        <v>39301320</v>
      </c>
      <c r="AJ60" s="53">
        <v>39441890</v>
      </c>
      <c r="AK60" s="53">
        <v>43102442</v>
      </c>
      <c r="AL60" s="53">
        <v>43368414</v>
      </c>
      <c r="AM60" s="53">
        <v>45998406</v>
      </c>
      <c r="AN60" s="53">
        <v>46330139</v>
      </c>
      <c r="AO60" s="53">
        <v>0</v>
      </c>
      <c r="AP60" s="53">
        <v>0</v>
      </c>
      <c r="AQ60" s="53">
        <v>0</v>
      </c>
      <c r="AR60" s="53">
        <v>0</v>
      </c>
      <c r="AS60" s="53">
        <v>0</v>
      </c>
      <c r="AT60" s="53">
        <v>0</v>
      </c>
      <c r="AU60" s="62">
        <f t="shared" si="18"/>
        <v>2.9077546296296295E-3</v>
      </c>
      <c r="AV60" s="62">
        <f t="shared" si="19"/>
        <v>2.8483680555555554E-3</v>
      </c>
      <c r="AW60" s="62">
        <f t="shared" si="20"/>
        <v>1.6269675925925926E-3</v>
      </c>
      <c r="AX60" s="62">
        <f t="shared" si="21"/>
        <v>3.0783796296296297E-3</v>
      </c>
      <c r="AY60" s="62">
        <f t="shared" si="22"/>
        <v>3.8395023148148147E-3</v>
      </c>
      <c r="AZ60" s="62" t="str">
        <f t="shared" si="23"/>
        <v>DNS/DNF</v>
      </c>
      <c r="BA60" s="62" t="str">
        <f t="shared" si="24"/>
        <v>DNS/DNF</v>
      </c>
      <c r="BB60" s="62" t="str">
        <f t="shared" si="25"/>
        <v>DNS/DNF</v>
      </c>
      <c r="BC60" s="75">
        <f t="shared" si="26"/>
        <v>70</v>
      </c>
      <c r="BD60" s="53">
        <f t="shared" si="27"/>
        <v>251199</v>
      </c>
      <c r="BE60" s="53">
        <f t="shared" si="28"/>
        <v>243032</v>
      </c>
      <c r="BF60" s="53">
        <f t="shared" si="29"/>
        <v>137665</v>
      </c>
      <c r="BG60" s="53">
        <f t="shared" si="30"/>
        <v>276086</v>
      </c>
      <c r="BH60" s="53">
        <f t="shared" si="31"/>
        <v>331845</v>
      </c>
      <c r="BI60" s="53" t="str">
        <f t="shared" si="32"/>
        <v/>
      </c>
      <c r="BJ60" s="53" t="str">
        <f t="shared" si="33"/>
        <v/>
      </c>
      <c r="BK60" s="53" t="str">
        <f t="shared" si="34"/>
        <v/>
      </c>
    </row>
    <row r="61" spans="1:63">
      <c r="A61" s="53">
        <v>94</v>
      </c>
      <c r="B61" s="89" t="str">
        <f>IFERROR(VLOOKUP($A61,EntryList!$A$3:$N$645,2,FALSE),"")</f>
        <v>Christo Van Den Heever</v>
      </c>
      <c r="C61" s="74"/>
      <c r="D61" s="53">
        <f t="shared" si="0"/>
        <v>5</v>
      </c>
      <c r="E61" s="62">
        <v>2.9225462962962964E-3</v>
      </c>
      <c r="F61" s="62">
        <v>2.8711574074074073E-3</v>
      </c>
      <c r="G61" s="62">
        <v>1.5639120370370371E-3</v>
      </c>
      <c r="H61" s="62">
        <v>3.1888425925925925E-3</v>
      </c>
      <c r="I61" s="62">
        <v>3.7857407407407406E-3</v>
      </c>
      <c r="J61" s="62"/>
      <c r="K61" s="62"/>
      <c r="L61" s="62"/>
      <c r="M61" s="62">
        <v>1.4332199074074075E-2</v>
      </c>
      <c r="N61" s="62">
        <f t="shared" si="1"/>
        <v>1.4332199074074074E-2</v>
      </c>
      <c r="O61" s="53">
        <f t="shared" si="2"/>
        <v>73</v>
      </c>
      <c r="P61" s="53">
        <f t="shared" si="3"/>
        <v>82</v>
      </c>
      <c r="Q61" s="53">
        <f t="shared" si="4"/>
        <v>61</v>
      </c>
      <c r="R61" s="53">
        <f t="shared" si="5"/>
        <v>68</v>
      </c>
      <c r="S61" s="53">
        <f t="shared" si="6"/>
        <v>62</v>
      </c>
      <c r="T61" s="53" t="str">
        <f t="shared" si="7"/>
        <v/>
      </c>
      <c r="U61" s="53" t="str">
        <f t="shared" si="8"/>
        <v/>
      </c>
      <c r="V61" s="53" t="str">
        <f t="shared" si="9"/>
        <v/>
      </c>
      <c r="W61" s="53" t="str">
        <f t="shared" si="10"/>
        <v>00:04:12.5 (73)</v>
      </c>
      <c r="X61" s="53" t="str">
        <f t="shared" si="11"/>
        <v>00:04:08.1 (82)</v>
      </c>
      <c r="Y61" s="53" t="str">
        <f t="shared" si="12"/>
        <v>00:02:15.1 (61)</v>
      </c>
      <c r="Z61" s="53" t="str">
        <f t="shared" si="13"/>
        <v>00:04:35.5 (68)</v>
      </c>
      <c r="AA61" s="53" t="str">
        <f t="shared" si="14"/>
        <v>00:05:27.1 (62)</v>
      </c>
      <c r="AB61" s="53" t="str">
        <f t="shared" si="15"/>
        <v>DNS/DNF ()</v>
      </c>
      <c r="AC61" s="53" t="str">
        <f t="shared" si="16"/>
        <v>DNS/DNF ()</v>
      </c>
      <c r="AD61" s="53" t="str">
        <f t="shared" si="17"/>
        <v>DNS/DNF ()</v>
      </c>
      <c r="AE61" s="53">
        <v>30518186</v>
      </c>
      <c r="AF61" s="53">
        <v>30770694</v>
      </c>
      <c r="AG61" s="53">
        <v>32625452</v>
      </c>
      <c r="AH61" s="53">
        <v>32873520</v>
      </c>
      <c r="AI61" s="53">
        <v>34554414</v>
      </c>
      <c r="AJ61" s="53">
        <v>34689536</v>
      </c>
      <c r="AK61" s="53">
        <v>37366153</v>
      </c>
      <c r="AL61" s="53">
        <v>37641669</v>
      </c>
      <c r="AM61" s="53">
        <v>38821152</v>
      </c>
      <c r="AN61" s="53">
        <v>39148240</v>
      </c>
      <c r="AO61" s="53">
        <v>0</v>
      </c>
      <c r="AP61" s="53">
        <v>0</v>
      </c>
      <c r="AQ61" s="53">
        <v>0</v>
      </c>
      <c r="AR61" s="53">
        <v>0</v>
      </c>
      <c r="AS61" s="53">
        <v>0</v>
      </c>
      <c r="AT61" s="53">
        <v>0</v>
      </c>
      <c r="AU61" s="62">
        <f t="shared" si="18"/>
        <v>2.9225462962962964E-3</v>
      </c>
      <c r="AV61" s="62">
        <f t="shared" si="19"/>
        <v>2.8711574074074073E-3</v>
      </c>
      <c r="AW61" s="62">
        <f t="shared" si="20"/>
        <v>1.5639120370370371E-3</v>
      </c>
      <c r="AX61" s="62">
        <f t="shared" si="21"/>
        <v>3.1888425925925925E-3</v>
      </c>
      <c r="AY61" s="62">
        <f t="shared" si="22"/>
        <v>3.7857407407407406E-3</v>
      </c>
      <c r="AZ61" s="62" t="str">
        <f t="shared" si="23"/>
        <v>DNS/DNF</v>
      </c>
      <c r="BA61" s="62" t="str">
        <f t="shared" si="24"/>
        <v>DNS/DNF</v>
      </c>
      <c r="BB61" s="62" t="str">
        <f t="shared" si="25"/>
        <v>DNS/DNF</v>
      </c>
      <c r="BC61" s="75">
        <f t="shared" si="26"/>
        <v>69</v>
      </c>
      <c r="BD61" s="53">
        <f t="shared" si="27"/>
        <v>250804</v>
      </c>
      <c r="BE61" s="53">
        <f t="shared" si="28"/>
        <v>242883</v>
      </c>
      <c r="BF61" s="53">
        <f t="shared" si="29"/>
        <v>137306</v>
      </c>
      <c r="BG61" s="53">
        <f t="shared" si="30"/>
        <v>275541</v>
      </c>
      <c r="BH61" s="53">
        <f t="shared" si="31"/>
        <v>331733</v>
      </c>
      <c r="BI61" s="53" t="str">
        <f t="shared" si="32"/>
        <v/>
      </c>
      <c r="BJ61" s="53" t="str">
        <f t="shared" si="33"/>
        <v/>
      </c>
      <c r="BK61" s="53" t="str">
        <f t="shared" si="34"/>
        <v/>
      </c>
    </row>
    <row r="62" spans="1:63">
      <c r="A62" s="53">
        <v>141</v>
      </c>
      <c r="B62" s="89" t="str">
        <f>IFERROR(VLOOKUP($A62,EntryList!$A$3:$N$645,2,FALSE),"")</f>
        <v>Philip Mccann</v>
      </c>
      <c r="C62" s="74"/>
      <c r="D62" s="53">
        <f t="shared" si="0"/>
        <v>5</v>
      </c>
      <c r="E62" s="62">
        <v>2.6783564814814812E-3</v>
      </c>
      <c r="F62" s="62">
        <v>2.9286226851851851E-3</v>
      </c>
      <c r="G62" s="62">
        <v>1.5723148148148148E-3</v>
      </c>
      <c r="H62" s="62">
        <v>3.2010300925925926E-3</v>
      </c>
      <c r="I62" s="62">
        <v>3.9727893518518515E-3</v>
      </c>
      <c r="J62" s="62"/>
      <c r="K62" s="62"/>
      <c r="L62" s="62"/>
      <c r="M62" s="62">
        <v>1.4353113425925927E-2</v>
      </c>
      <c r="N62" s="62">
        <f t="shared" si="1"/>
        <v>1.4353113425925924E-2</v>
      </c>
      <c r="O62" s="53">
        <f t="shared" si="2"/>
        <v>49</v>
      </c>
      <c r="P62" s="53">
        <f t="shared" si="3"/>
        <v>94</v>
      </c>
      <c r="Q62" s="53">
        <f t="shared" si="4"/>
        <v>64</v>
      </c>
      <c r="R62" s="53">
        <f t="shared" si="5"/>
        <v>72</v>
      </c>
      <c r="S62" s="53">
        <f t="shared" si="6"/>
        <v>95</v>
      </c>
      <c r="T62" s="53" t="str">
        <f t="shared" si="7"/>
        <v/>
      </c>
      <c r="U62" s="53" t="str">
        <f t="shared" si="8"/>
        <v/>
      </c>
      <c r="V62" s="53" t="str">
        <f t="shared" si="9"/>
        <v/>
      </c>
      <c r="W62" s="53" t="str">
        <f t="shared" si="10"/>
        <v>00:03:51.4 (49)</v>
      </c>
      <c r="X62" s="53" t="str">
        <f t="shared" si="11"/>
        <v>00:04:13.0 (94)</v>
      </c>
      <c r="Y62" s="53" t="str">
        <f t="shared" si="12"/>
        <v>00:02:15.8 (64)</v>
      </c>
      <c r="Z62" s="53" t="str">
        <f t="shared" si="13"/>
        <v>00:04:36.6 (72)</v>
      </c>
      <c r="AA62" s="53" t="str">
        <f t="shared" si="14"/>
        <v>00:05:43.2 (95)</v>
      </c>
      <c r="AB62" s="53" t="str">
        <f t="shared" si="15"/>
        <v>DNS/DNF ()</v>
      </c>
      <c r="AC62" s="53" t="str">
        <f t="shared" si="16"/>
        <v>DNS/DNF ()</v>
      </c>
      <c r="AD62" s="53" t="str">
        <f t="shared" si="17"/>
        <v>DNS/DNF ()</v>
      </c>
      <c r="AE62" s="53">
        <v>36188246</v>
      </c>
      <c r="AF62" s="53">
        <v>36419656</v>
      </c>
      <c r="AG62" s="53">
        <v>32685094</v>
      </c>
      <c r="AH62" s="53">
        <v>32938127</v>
      </c>
      <c r="AI62" s="53">
        <v>39727412</v>
      </c>
      <c r="AJ62" s="53">
        <v>39863260</v>
      </c>
      <c r="AK62" s="53">
        <v>44896658</v>
      </c>
      <c r="AL62" s="53">
        <v>45173227</v>
      </c>
      <c r="AM62" s="53">
        <v>48001608</v>
      </c>
      <c r="AN62" s="53">
        <v>48344857</v>
      </c>
      <c r="AO62" s="53">
        <v>0</v>
      </c>
      <c r="AP62" s="53">
        <v>0</v>
      </c>
      <c r="AQ62" s="53">
        <v>0</v>
      </c>
      <c r="AR62" s="53">
        <v>0</v>
      </c>
      <c r="AS62" s="53">
        <v>0</v>
      </c>
      <c r="AT62" s="53">
        <v>0</v>
      </c>
      <c r="AU62" s="62">
        <f t="shared" si="18"/>
        <v>2.6783564814814816E-3</v>
      </c>
      <c r="AV62" s="62">
        <f t="shared" si="19"/>
        <v>2.9286226851851851E-3</v>
      </c>
      <c r="AW62" s="62">
        <f t="shared" si="20"/>
        <v>1.5723148148148148E-3</v>
      </c>
      <c r="AX62" s="62">
        <f t="shared" si="21"/>
        <v>3.2010300925925926E-3</v>
      </c>
      <c r="AY62" s="62">
        <f t="shared" si="22"/>
        <v>3.9727893518518515E-3</v>
      </c>
      <c r="AZ62" s="62" t="str">
        <f t="shared" si="23"/>
        <v>DNS/DNF</v>
      </c>
      <c r="BA62" s="62" t="str">
        <f t="shared" si="24"/>
        <v>DNS/DNF</v>
      </c>
      <c r="BB62" s="62" t="str">
        <f t="shared" si="25"/>
        <v>DNS/DNF</v>
      </c>
      <c r="BC62" s="75">
        <f t="shared" si="26"/>
        <v>75</v>
      </c>
      <c r="BD62" s="53">
        <f t="shared" si="27"/>
        <v>254080</v>
      </c>
      <c r="BE62" s="53">
        <f t="shared" si="28"/>
        <v>245751</v>
      </c>
      <c r="BF62" s="53">
        <f t="shared" si="29"/>
        <v>139218</v>
      </c>
      <c r="BG62" s="53">
        <f t="shared" si="30"/>
        <v>280337</v>
      </c>
      <c r="BH62" s="53">
        <f t="shared" si="31"/>
        <v>334143</v>
      </c>
      <c r="BI62" s="53" t="str">
        <f t="shared" si="32"/>
        <v/>
      </c>
      <c r="BJ62" s="53" t="str">
        <f t="shared" si="33"/>
        <v/>
      </c>
      <c r="BK62" s="53" t="str">
        <f t="shared" si="34"/>
        <v/>
      </c>
    </row>
    <row r="63" spans="1:63">
      <c r="A63" s="53">
        <v>33</v>
      </c>
      <c r="B63" s="89" t="str">
        <f>IFERROR(VLOOKUP($A63,EntryList!$A$3:$N$645,2,FALSE),"")</f>
        <v>Rameez Abrahams</v>
      </c>
      <c r="C63" s="74"/>
      <c r="D63" s="53">
        <f t="shared" si="0"/>
        <v>5</v>
      </c>
      <c r="E63" s="62">
        <v>2.8834837962962967E-3</v>
      </c>
      <c r="F63" s="62">
        <v>2.7824652777777778E-3</v>
      </c>
      <c r="G63" s="62">
        <v>1.6915277777777777E-3</v>
      </c>
      <c r="H63" s="62">
        <v>3.1954398148148146E-3</v>
      </c>
      <c r="I63" s="62">
        <v>3.8235416666666674E-3</v>
      </c>
      <c r="J63" s="62"/>
      <c r="K63" s="62"/>
      <c r="L63" s="62"/>
      <c r="M63" s="62">
        <v>1.4376458333333335E-2</v>
      </c>
      <c r="N63" s="62">
        <f t="shared" si="1"/>
        <v>1.4376458333333333E-2</v>
      </c>
      <c r="O63" s="53">
        <f t="shared" si="2"/>
        <v>66</v>
      </c>
      <c r="P63" s="53">
        <f t="shared" si="3"/>
        <v>60</v>
      </c>
      <c r="Q63" s="53">
        <f t="shared" si="4"/>
        <v>94</v>
      </c>
      <c r="R63" s="53">
        <f t="shared" si="5"/>
        <v>70</v>
      </c>
      <c r="S63" s="53">
        <f t="shared" si="6"/>
        <v>68</v>
      </c>
      <c r="T63" s="53" t="str">
        <f t="shared" si="7"/>
        <v/>
      </c>
      <c r="U63" s="53" t="str">
        <f t="shared" si="8"/>
        <v/>
      </c>
      <c r="V63" s="53" t="str">
        <f t="shared" si="9"/>
        <v/>
      </c>
      <c r="W63" s="53" t="str">
        <f t="shared" si="10"/>
        <v>00:04:09.1 (66)</v>
      </c>
      <c r="X63" s="53" t="str">
        <f t="shared" si="11"/>
        <v>00:04:00.4 (60)</v>
      </c>
      <c r="Y63" s="53" t="str">
        <f t="shared" si="12"/>
        <v>00:02:26.1 (94)</v>
      </c>
      <c r="Z63" s="53" t="str">
        <f t="shared" si="13"/>
        <v>00:04:36.1 (70)</v>
      </c>
      <c r="AA63" s="53" t="str">
        <f t="shared" si="14"/>
        <v>00:05:30.4 (68)</v>
      </c>
      <c r="AB63" s="53" t="str">
        <f t="shared" si="15"/>
        <v>DNS/DNF ()</v>
      </c>
      <c r="AC63" s="53" t="str">
        <f t="shared" si="16"/>
        <v>DNS/DNF ()</v>
      </c>
      <c r="AD63" s="53" t="str">
        <f t="shared" si="17"/>
        <v>DNS/DNF ()</v>
      </c>
      <c r="AE63" s="53">
        <v>35563518</v>
      </c>
      <c r="AF63" s="53">
        <v>35812651</v>
      </c>
      <c r="AG63" s="53">
        <v>32412226</v>
      </c>
      <c r="AH63" s="53">
        <v>32652631</v>
      </c>
      <c r="AI63" s="53">
        <v>39251718</v>
      </c>
      <c r="AJ63" s="53">
        <v>39397866</v>
      </c>
      <c r="AK63" s="53">
        <v>42687001</v>
      </c>
      <c r="AL63" s="53">
        <v>42963087</v>
      </c>
      <c r="AM63" s="53">
        <v>45636752</v>
      </c>
      <c r="AN63" s="53">
        <v>45967106</v>
      </c>
      <c r="AO63" s="53">
        <v>0</v>
      </c>
      <c r="AP63" s="53">
        <v>0</v>
      </c>
      <c r="AQ63" s="53">
        <v>0</v>
      </c>
      <c r="AR63" s="53">
        <v>0</v>
      </c>
      <c r="AS63" s="53">
        <v>0</v>
      </c>
      <c r="AT63" s="53">
        <v>0</v>
      </c>
      <c r="AU63" s="62">
        <f t="shared" si="18"/>
        <v>2.8834837962962963E-3</v>
      </c>
      <c r="AV63" s="62">
        <f t="shared" si="19"/>
        <v>2.7824652777777778E-3</v>
      </c>
      <c r="AW63" s="62">
        <f t="shared" si="20"/>
        <v>1.6915277777777777E-3</v>
      </c>
      <c r="AX63" s="62">
        <f t="shared" si="21"/>
        <v>3.195439814814815E-3</v>
      </c>
      <c r="AY63" s="62">
        <f t="shared" si="22"/>
        <v>3.8235416666666665E-3</v>
      </c>
      <c r="AZ63" s="62" t="str">
        <f t="shared" si="23"/>
        <v>DNS/DNF</v>
      </c>
      <c r="BA63" s="62" t="str">
        <f t="shared" si="24"/>
        <v>DNS/DNF</v>
      </c>
      <c r="BB63" s="62" t="str">
        <f t="shared" si="25"/>
        <v>DNS/DNF</v>
      </c>
      <c r="BC63" s="75">
        <f t="shared" si="26"/>
        <v>72</v>
      </c>
      <c r="BD63" s="53">
        <f t="shared" si="27"/>
        <v>251272</v>
      </c>
      <c r="BE63" s="53">
        <f t="shared" si="28"/>
        <v>243753.00000000003</v>
      </c>
      <c r="BF63" s="53">
        <f t="shared" si="29"/>
        <v>137930</v>
      </c>
      <c r="BG63" s="53">
        <f t="shared" si="30"/>
        <v>276569</v>
      </c>
      <c r="BH63" s="53">
        <f t="shared" si="31"/>
        <v>333022</v>
      </c>
      <c r="BI63" s="53" t="str">
        <f t="shared" si="32"/>
        <v/>
      </c>
      <c r="BJ63" s="53" t="str">
        <f t="shared" si="33"/>
        <v/>
      </c>
      <c r="BK63" s="53" t="str">
        <f t="shared" si="34"/>
        <v/>
      </c>
    </row>
    <row r="64" spans="1:63">
      <c r="A64" s="53">
        <v>298</v>
      </c>
      <c r="B64" s="89" t="str">
        <f>IFERROR(VLOOKUP($A64,EntryList!$A$3:$N$645,2,FALSE),"")</f>
        <v>Nicholas Turvey</v>
      </c>
      <c r="C64" s="74"/>
      <c r="D64" s="53">
        <f t="shared" si="0"/>
        <v>5</v>
      </c>
      <c r="E64" s="62">
        <v>2.883993055555555E-3</v>
      </c>
      <c r="F64" s="62">
        <v>2.8443402777777777E-3</v>
      </c>
      <c r="G64" s="62">
        <v>1.6461574074074076E-3</v>
      </c>
      <c r="H64" s="62">
        <v>3.1524305555555559E-3</v>
      </c>
      <c r="I64" s="62">
        <v>3.8733912037037035E-3</v>
      </c>
      <c r="J64" s="62"/>
      <c r="K64" s="62"/>
      <c r="L64" s="62"/>
      <c r="M64" s="62">
        <v>1.44003125E-2</v>
      </c>
      <c r="N64" s="62">
        <f t="shared" si="1"/>
        <v>1.44003125E-2</v>
      </c>
      <c r="O64" s="53">
        <f t="shared" si="2"/>
        <v>67</v>
      </c>
      <c r="P64" s="53">
        <f t="shared" si="3"/>
        <v>75</v>
      </c>
      <c r="Q64" s="53">
        <f t="shared" si="4"/>
        <v>83</v>
      </c>
      <c r="R64" s="53">
        <f t="shared" si="5"/>
        <v>64</v>
      </c>
      <c r="S64" s="53">
        <f t="shared" si="6"/>
        <v>77</v>
      </c>
      <c r="T64" s="53" t="str">
        <f t="shared" si="7"/>
        <v/>
      </c>
      <c r="U64" s="53" t="str">
        <f t="shared" si="8"/>
        <v/>
      </c>
      <c r="V64" s="53" t="str">
        <f t="shared" si="9"/>
        <v/>
      </c>
      <c r="W64" s="53" t="str">
        <f t="shared" si="10"/>
        <v>00:04:09.2 (67)</v>
      </c>
      <c r="X64" s="53" t="str">
        <f t="shared" si="11"/>
        <v>00:04:05.8 (75)</v>
      </c>
      <c r="Y64" s="53" t="str">
        <f t="shared" si="12"/>
        <v>00:02:22.2 (83)</v>
      </c>
      <c r="Z64" s="53" t="str">
        <f t="shared" si="13"/>
        <v>00:04:32.4 (64)</v>
      </c>
      <c r="AA64" s="53" t="str">
        <f t="shared" si="14"/>
        <v>00:05:34.7 (77)</v>
      </c>
      <c r="AB64" s="53" t="str">
        <f t="shared" si="15"/>
        <v>DNS/DNF ()</v>
      </c>
      <c r="AC64" s="53" t="str">
        <f t="shared" si="16"/>
        <v>DNS/DNF ()</v>
      </c>
      <c r="AD64" s="53" t="str">
        <f t="shared" si="17"/>
        <v>DNS/DNF ()</v>
      </c>
      <c r="AE64" s="53">
        <v>34422028</v>
      </c>
      <c r="AF64" s="53">
        <v>34671205</v>
      </c>
      <c r="AG64" s="53">
        <v>37776747</v>
      </c>
      <c r="AH64" s="53">
        <v>38022498</v>
      </c>
      <c r="AI64" s="53">
        <v>31563820</v>
      </c>
      <c r="AJ64" s="53">
        <v>31706048</v>
      </c>
      <c r="AK64" s="53">
        <v>42077757</v>
      </c>
      <c r="AL64" s="53">
        <v>42350127</v>
      </c>
      <c r="AM64" s="53">
        <v>44639788</v>
      </c>
      <c r="AN64" s="53">
        <v>44974449</v>
      </c>
      <c r="AO64" s="53">
        <v>0</v>
      </c>
      <c r="AP64" s="53">
        <v>0</v>
      </c>
      <c r="AQ64" s="53">
        <v>0</v>
      </c>
      <c r="AR64" s="53">
        <v>0</v>
      </c>
      <c r="AS64" s="53">
        <v>0</v>
      </c>
      <c r="AT64" s="53">
        <v>0</v>
      </c>
      <c r="AU64" s="62">
        <f t="shared" si="18"/>
        <v>2.8839930555555554E-3</v>
      </c>
      <c r="AV64" s="62">
        <f t="shared" si="19"/>
        <v>2.8443402777777777E-3</v>
      </c>
      <c r="AW64" s="62">
        <f t="shared" si="20"/>
        <v>1.6461574074074074E-3</v>
      </c>
      <c r="AX64" s="62">
        <f t="shared" si="21"/>
        <v>3.1524305555555555E-3</v>
      </c>
      <c r="AY64" s="62">
        <f t="shared" si="22"/>
        <v>3.8733912037037035E-3</v>
      </c>
      <c r="AZ64" s="62" t="str">
        <f t="shared" si="23"/>
        <v>DNS/DNF</v>
      </c>
      <c r="BA64" s="62" t="str">
        <f t="shared" si="24"/>
        <v>DNS/DNF</v>
      </c>
      <c r="BB64" s="62" t="str">
        <f t="shared" si="25"/>
        <v>DNS/DNF</v>
      </c>
      <c r="BC64" s="75">
        <f t="shared" si="26"/>
        <v>73</v>
      </c>
      <c r="BD64" s="53">
        <f t="shared" si="27"/>
        <v>252508</v>
      </c>
      <c r="BE64" s="53">
        <f t="shared" si="28"/>
        <v>243917</v>
      </c>
      <c r="BF64" s="53">
        <f t="shared" si="29"/>
        <v>138812</v>
      </c>
      <c r="BG64" s="53">
        <f t="shared" si="30"/>
        <v>277794</v>
      </c>
      <c r="BH64" s="53">
        <f t="shared" si="31"/>
        <v>333759</v>
      </c>
      <c r="BI64" s="53" t="str">
        <f t="shared" si="32"/>
        <v/>
      </c>
      <c r="BJ64" s="53" t="str">
        <f t="shared" si="33"/>
        <v/>
      </c>
      <c r="BK64" s="53" t="str">
        <f t="shared" si="34"/>
        <v/>
      </c>
    </row>
    <row r="65" spans="1:63">
      <c r="A65" s="53">
        <v>128</v>
      </c>
      <c r="B65" s="89" t="str">
        <f>IFERROR(VLOOKUP($A65,EntryList!$A$3:$N$645,2,FALSE),"")</f>
        <v>Tiaan Van De Merwe</v>
      </c>
      <c r="C65" s="74"/>
      <c r="D65" s="53">
        <f t="shared" si="0"/>
        <v>5</v>
      </c>
      <c r="E65" s="62">
        <v>3.0370717592592589E-3</v>
      </c>
      <c r="F65" s="62">
        <v>2.821215277777778E-3</v>
      </c>
      <c r="G65" s="62">
        <v>1.5891898148148148E-3</v>
      </c>
      <c r="H65" s="62">
        <v>3.1102893518518519E-3</v>
      </c>
      <c r="I65" s="62">
        <v>3.8629513888888884E-3</v>
      </c>
      <c r="J65" s="62"/>
      <c r="K65" s="62"/>
      <c r="L65" s="62"/>
      <c r="M65" s="62">
        <v>1.4420717592592593E-2</v>
      </c>
      <c r="N65" s="62">
        <f t="shared" si="1"/>
        <v>1.4420717592592593E-2</v>
      </c>
      <c r="O65" s="53">
        <f t="shared" si="2"/>
        <v>82</v>
      </c>
      <c r="P65" s="53">
        <f t="shared" si="3"/>
        <v>72</v>
      </c>
      <c r="Q65" s="53">
        <f t="shared" si="4"/>
        <v>69</v>
      </c>
      <c r="R65" s="53">
        <f t="shared" si="5"/>
        <v>58</v>
      </c>
      <c r="S65" s="53">
        <f t="shared" si="6"/>
        <v>73</v>
      </c>
      <c r="T65" s="53" t="str">
        <f t="shared" si="7"/>
        <v/>
      </c>
      <c r="U65" s="53" t="str">
        <f t="shared" si="8"/>
        <v/>
      </c>
      <c r="V65" s="53" t="str">
        <f t="shared" si="9"/>
        <v/>
      </c>
      <c r="W65" s="53" t="str">
        <f t="shared" si="10"/>
        <v>00:04:22.4 (82)</v>
      </c>
      <c r="X65" s="53" t="str">
        <f t="shared" si="11"/>
        <v>00:04:03.8 (72)</v>
      </c>
      <c r="Y65" s="53" t="str">
        <f t="shared" si="12"/>
        <v>00:02:17.3 (69)</v>
      </c>
      <c r="Z65" s="53" t="str">
        <f t="shared" si="13"/>
        <v>00:04:28.7 (58)</v>
      </c>
      <c r="AA65" s="53" t="str">
        <f t="shared" si="14"/>
        <v>00:05:33.8 (73)</v>
      </c>
      <c r="AB65" s="53" t="str">
        <f t="shared" si="15"/>
        <v>DNS/DNF ()</v>
      </c>
      <c r="AC65" s="53" t="str">
        <f t="shared" si="16"/>
        <v>DNS/DNF ()</v>
      </c>
      <c r="AD65" s="53" t="str">
        <f t="shared" si="17"/>
        <v>DNS/DNF ()</v>
      </c>
      <c r="AE65" s="53">
        <v>36276409</v>
      </c>
      <c r="AF65" s="53">
        <v>36538812</v>
      </c>
      <c r="AG65" s="53">
        <v>31922900</v>
      </c>
      <c r="AH65" s="53">
        <v>32166653</v>
      </c>
      <c r="AI65" s="53">
        <v>40202596</v>
      </c>
      <c r="AJ65" s="53">
        <v>40339902</v>
      </c>
      <c r="AK65" s="53">
        <v>45110820</v>
      </c>
      <c r="AL65" s="53">
        <v>45379549</v>
      </c>
      <c r="AM65" s="53">
        <v>48146936</v>
      </c>
      <c r="AN65" s="53">
        <v>48480695</v>
      </c>
      <c r="AO65" s="53">
        <v>0</v>
      </c>
      <c r="AP65" s="53">
        <v>0</v>
      </c>
      <c r="AQ65" s="53">
        <v>0</v>
      </c>
      <c r="AR65" s="53">
        <v>0</v>
      </c>
      <c r="AS65" s="53">
        <v>0</v>
      </c>
      <c r="AT65" s="53">
        <v>0</v>
      </c>
      <c r="AU65" s="62">
        <f t="shared" si="18"/>
        <v>3.0370717592592593E-3</v>
      </c>
      <c r="AV65" s="62">
        <f t="shared" si="19"/>
        <v>2.821215277777778E-3</v>
      </c>
      <c r="AW65" s="62">
        <f t="shared" si="20"/>
        <v>1.5891898148148148E-3</v>
      </c>
      <c r="AX65" s="62">
        <f t="shared" si="21"/>
        <v>3.1102893518518519E-3</v>
      </c>
      <c r="AY65" s="62">
        <f t="shared" si="22"/>
        <v>3.8629513888888889E-3</v>
      </c>
      <c r="AZ65" s="62" t="str">
        <f t="shared" si="23"/>
        <v>DNS/DNF</v>
      </c>
      <c r="BA65" s="62" t="str">
        <f t="shared" si="24"/>
        <v>DNS/DNF</v>
      </c>
      <c r="BB65" s="62" t="str">
        <f t="shared" si="25"/>
        <v>DNS/DNF</v>
      </c>
      <c r="BC65" s="75">
        <f t="shared" si="26"/>
        <v>71</v>
      </c>
      <c r="BD65" s="53">
        <f t="shared" si="27"/>
        <v>251230</v>
      </c>
      <c r="BE65" s="53">
        <f t="shared" si="28"/>
        <v>243648</v>
      </c>
      <c r="BF65" s="53">
        <f t="shared" si="29"/>
        <v>137833</v>
      </c>
      <c r="BG65" s="53">
        <f t="shared" si="30"/>
        <v>276381</v>
      </c>
      <c r="BH65" s="53">
        <f t="shared" si="31"/>
        <v>332404</v>
      </c>
      <c r="BI65" s="53" t="str">
        <f t="shared" si="32"/>
        <v/>
      </c>
      <c r="BJ65" s="53" t="str">
        <f t="shared" si="33"/>
        <v/>
      </c>
      <c r="BK65" s="53" t="str">
        <f t="shared" si="34"/>
        <v/>
      </c>
    </row>
    <row r="66" spans="1:63">
      <c r="A66" s="53">
        <v>260</v>
      </c>
      <c r="B66" s="89" t="str">
        <f>IFERROR(VLOOKUP($A66,EntryList!$A$3:$N$645,2,FALSE),"")</f>
        <v>Dillan Rix</v>
      </c>
      <c r="C66" s="74"/>
      <c r="D66" s="53">
        <f t="shared" si="0"/>
        <v>5</v>
      </c>
      <c r="E66" s="62">
        <v>2.6171990740740739E-3</v>
      </c>
      <c r="F66" s="62">
        <v>2.7395023148148148E-3</v>
      </c>
      <c r="G66" s="62">
        <v>1.6097916666666665E-3</v>
      </c>
      <c r="H66" s="62">
        <v>3.9113194444444438E-3</v>
      </c>
      <c r="I66" s="62">
        <v>3.608321759259259E-3</v>
      </c>
      <c r="J66" s="62"/>
      <c r="K66" s="62"/>
      <c r="L66" s="62"/>
      <c r="M66" s="62">
        <v>1.4486134259259259E-2</v>
      </c>
      <c r="N66" s="62">
        <f t="shared" si="1"/>
        <v>1.4486134259259259E-2</v>
      </c>
      <c r="O66" s="53">
        <f t="shared" si="2"/>
        <v>46</v>
      </c>
      <c r="P66" s="53">
        <f t="shared" si="3"/>
        <v>56</v>
      </c>
      <c r="Q66" s="53">
        <f t="shared" si="4"/>
        <v>74</v>
      </c>
      <c r="R66" s="53">
        <f t="shared" si="5"/>
        <v>125</v>
      </c>
      <c r="S66" s="53">
        <f t="shared" si="6"/>
        <v>37</v>
      </c>
      <c r="T66" s="53" t="str">
        <f t="shared" si="7"/>
        <v/>
      </c>
      <c r="U66" s="53" t="str">
        <f t="shared" si="8"/>
        <v/>
      </c>
      <c r="V66" s="53" t="str">
        <f t="shared" si="9"/>
        <v/>
      </c>
      <c r="W66" s="53" t="str">
        <f t="shared" si="10"/>
        <v>00:03:46.1 (46)</v>
      </c>
      <c r="X66" s="53" t="str">
        <f t="shared" si="11"/>
        <v>00:03:56.7 (56)</v>
      </c>
      <c r="Y66" s="53" t="str">
        <f t="shared" si="12"/>
        <v>00:02:19.1 (74)</v>
      </c>
      <c r="Z66" s="53" t="str">
        <f t="shared" si="13"/>
        <v>00:05:37.9 (125)</v>
      </c>
      <c r="AA66" s="53" t="str">
        <f t="shared" si="14"/>
        <v>00:05:11.8 (37)</v>
      </c>
      <c r="AB66" s="53" t="str">
        <f t="shared" si="15"/>
        <v>DNS/DNF ()</v>
      </c>
      <c r="AC66" s="53" t="str">
        <f t="shared" si="16"/>
        <v>DNS/DNF ()</v>
      </c>
      <c r="AD66" s="53" t="str">
        <f t="shared" si="17"/>
        <v>DNS/DNF ()</v>
      </c>
      <c r="AE66" s="53">
        <v>35489935</v>
      </c>
      <c r="AF66" s="53">
        <v>35716061</v>
      </c>
      <c r="AG66" s="53">
        <v>38963972</v>
      </c>
      <c r="AH66" s="53">
        <v>39200665</v>
      </c>
      <c r="AI66" s="53">
        <v>31763783</v>
      </c>
      <c r="AJ66" s="53">
        <v>31902869</v>
      </c>
      <c r="AK66" s="53">
        <v>45027597</v>
      </c>
      <c r="AL66" s="53">
        <v>45365535</v>
      </c>
      <c r="AM66" s="53">
        <v>48530238</v>
      </c>
      <c r="AN66" s="53">
        <v>48841997</v>
      </c>
      <c r="AO66" s="53">
        <v>0</v>
      </c>
      <c r="AP66" s="53">
        <v>0</v>
      </c>
      <c r="AQ66" s="53">
        <v>0</v>
      </c>
      <c r="AR66" s="53">
        <v>0</v>
      </c>
      <c r="AS66" s="53">
        <v>0</v>
      </c>
      <c r="AT66" s="53">
        <v>0</v>
      </c>
      <c r="AU66" s="62">
        <f t="shared" si="18"/>
        <v>2.6171990740740739E-3</v>
      </c>
      <c r="AV66" s="62">
        <f t="shared" si="19"/>
        <v>2.7395023148148148E-3</v>
      </c>
      <c r="AW66" s="62">
        <f t="shared" si="20"/>
        <v>1.6097916666666667E-3</v>
      </c>
      <c r="AX66" s="62">
        <f t="shared" si="21"/>
        <v>3.9113194444444447E-3</v>
      </c>
      <c r="AY66" s="62">
        <f t="shared" si="22"/>
        <v>3.6083217592592595E-3</v>
      </c>
      <c r="AZ66" s="62" t="str">
        <f t="shared" si="23"/>
        <v>DNS/DNF</v>
      </c>
      <c r="BA66" s="62" t="str">
        <f t="shared" si="24"/>
        <v>DNS/DNF</v>
      </c>
      <c r="BB66" s="62" t="str">
        <f t="shared" si="25"/>
        <v>DNS/DNF</v>
      </c>
      <c r="BC66" s="75">
        <f t="shared" si="26"/>
        <v>68</v>
      </c>
      <c r="BD66" s="53">
        <f t="shared" si="27"/>
        <v>250559</v>
      </c>
      <c r="BE66" s="53">
        <f t="shared" si="28"/>
        <v>242688</v>
      </c>
      <c r="BF66" s="53">
        <f t="shared" si="29"/>
        <v>137220</v>
      </c>
      <c r="BG66" s="53">
        <f t="shared" si="30"/>
        <v>275516</v>
      </c>
      <c r="BH66" s="53">
        <f t="shared" si="31"/>
        <v>330354</v>
      </c>
      <c r="BI66" s="53" t="str">
        <f t="shared" si="32"/>
        <v/>
      </c>
      <c r="BJ66" s="53" t="str">
        <f t="shared" si="33"/>
        <v/>
      </c>
      <c r="BK66" s="53" t="str">
        <f t="shared" si="34"/>
        <v/>
      </c>
    </row>
    <row r="67" spans="1:63">
      <c r="A67" s="53">
        <v>179</v>
      </c>
      <c r="B67" s="89" t="str">
        <f>IFERROR(VLOOKUP($A67,EntryList!$A$3:$N$645,2,FALSE),"")</f>
        <v>Daniel Jacobs</v>
      </c>
      <c r="C67" s="74"/>
      <c r="D67" s="53">
        <f t="shared" ref="D67:D130" si="35">COUNT($AU67:$BB67)</f>
        <v>5</v>
      </c>
      <c r="E67" s="62">
        <v>2.9407407407407407E-3</v>
      </c>
      <c r="F67" s="62">
        <v>2.9125578703703705E-3</v>
      </c>
      <c r="G67" s="62">
        <v>1.5727314814814816E-3</v>
      </c>
      <c r="H67" s="62">
        <v>3.1701620370370369E-3</v>
      </c>
      <c r="I67" s="62">
        <v>3.9156134259259257E-3</v>
      </c>
      <c r="J67" s="62"/>
      <c r="K67" s="62"/>
      <c r="L67" s="62"/>
      <c r="M67" s="62">
        <v>1.4511805555555556E-2</v>
      </c>
      <c r="N67" s="62">
        <f t="shared" ref="N67:N130" si="36">SUM($AU67:$BB67)</f>
        <v>1.4511805555555556E-2</v>
      </c>
      <c r="O67" s="53">
        <f t="shared" ref="O67:O130" si="37">IFERROR(RANK($AU67,AU$3:AU$500,1),"")</f>
        <v>75</v>
      </c>
      <c r="P67" s="53">
        <f t="shared" ref="P67:P130" si="38">IFERROR(RANK($AV67,AV$3:AV$500,1),"")</f>
        <v>89</v>
      </c>
      <c r="Q67" s="53">
        <f t="shared" ref="Q67:Q130" si="39">IFERROR(RANK($AW67,AW$3:AW$500,1),"")</f>
        <v>65</v>
      </c>
      <c r="R67" s="53">
        <f t="shared" ref="R67:R130" si="40">IFERROR(RANK($AX67,AX$3:AX$500,1),"")</f>
        <v>65</v>
      </c>
      <c r="S67" s="53">
        <f t="shared" ref="S67:S130" si="41">IFERROR(RANK($AY67,AY$3:AY$500,1),"")</f>
        <v>83</v>
      </c>
      <c r="T67" s="53" t="str">
        <f t="shared" ref="T67:T130" si="42">IFERROR(RANK($AZ67,AZ$3:AZ$500,1),"")</f>
        <v/>
      </c>
      <c r="U67" s="53" t="str">
        <f t="shared" ref="U67:U130" si="43">IFERROR(RANK($BA67,BA$3:BA$500,1),"")</f>
        <v/>
      </c>
      <c r="V67" s="53" t="str">
        <f t="shared" ref="V67:V130" si="44">IFERROR(RANK($BB67,BB$3:BB$500,1),"")</f>
        <v/>
      </c>
      <c r="W67" s="53" t="str">
        <f t="shared" ref="W67:W130" si="45">CONCATENATE(TEXT($AU67,"[hh]:mm:ss.0")," ","(",$O67,")")</f>
        <v>00:04:14.1 (75)</v>
      </c>
      <c r="X67" s="53" t="str">
        <f t="shared" ref="X67:X130" si="46">CONCATENATE(TEXT($AV67,"[hh]:mm:ss.0")," ","(",$P67,")")</f>
        <v>00:04:11.6 (89)</v>
      </c>
      <c r="Y67" s="53" t="str">
        <f t="shared" ref="Y67:Y130" si="47">CONCATENATE(TEXT($AW67,"[hh]:mm:ss.0")," ","(",$Q67,")")</f>
        <v>00:02:15.9 (65)</v>
      </c>
      <c r="Z67" s="53" t="str">
        <f t="shared" ref="Z67:Z130" si="48">CONCATENATE(TEXT($AX67,"[hh]:mm:ss.0")," ","(",$R67,")")</f>
        <v>00:04:33.9 (65)</v>
      </c>
      <c r="AA67" s="53" t="str">
        <f t="shared" ref="AA67:AA130" si="49">CONCATENATE(TEXT($AY67,"[hh]:mm:ss.0")," ","(",$S67,")")</f>
        <v>00:05:38.3 (83)</v>
      </c>
      <c r="AB67" s="53" t="str">
        <f t="shared" ref="AB67:AB130" si="50">CONCATENATE(TEXT($AZ67,"[hh]:mm:ss.0")," ","(",$T67,")")</f>
        <v>DNS/DNF ()</v>
      </c>
      <c r="AC67" s="53" t="str">
        <f t="shared" ref="AC67:AC130" si="51">CONCATENATE(TEXT($BA67,"[hh]:mm:ss.0")," ","(",$U67,")")</f>
        <v>DNS/DNF ()</v>
      </c>
      <c r="AD67" s="53" t="str">
        <f t="shared" ref="AD67:AD130" si="52">CONCATENATE(TEXT($BB67,"[hh]:mm:ss.0")," ","(",$V67,")")</f>
        <v>DNS/DNF ()</v>
      </c>
      <c r="AE67" s="53">
        <v>32501825</v>
      </c>
      <c r="AF67" s="53">
        <v>32755905</v>
      </c>
      <c r="AG67" s="53">
        <v>38395141</v>
      </c>
      <c r="AH67" s="53">
        <v>38646786</v>
      </c>
      <c r="AI67" s="53">
        <v>35200385</v>
      </c>
      <c r="AJ67" s="53">
        <v>35336269</v>
      </c>
      <c r="AK67" s="53">
        <v>42142307</v>
      </c>
      <c r="AL67" s="53">
        <v>42416209</v>
      </c>
      <c r="AM67" s="53">
        <v>44841388</v>
      </c>
      <c r="AN67" s="53">
        <v>45179697</v>
      </c>
      <c r="AO67" s="53">
        <v>0</v>
      </c>
      <c r="AP67" s="53">
        <v>0</v>
      </c>
      <c r="AQ67" s="53">
        <v>0</v>
      </c>
      <c r="AR67" s="53">
        <v>0</v>
      </c>
      <c r="AS67" s="53">
        <v>0</v>
      </c>
      <c r="AT67" s="53">
        <v>0</v>
      </c>
      <c r="AU67" s="62">
        <f t="shared" ref="AU67:AU130" si="53">IF((OR($AE67=0,$AF67=0,$AF67-$AE67&lt;0)),"DNS/DNF",($AF67-$AE67)/86400000)</f>
        <v>2.9407407407407407E-3</v>
      </c>
      <c r="AV67" s="62">
        <f t="shared" ref="AV67:AV130" si="54">IF((OR($AG67=0,$AH67=0,$AH67-$AG67&lt;0)),"DNS/DNF",($AH67-$AG67)/86400000)</f>
        <v>2.9125578703703705E-3</v>
      </c>
      <c r="AW67" s="62">
        <f t="shared" ref="AW67:AW130" si="55">IF((OR($AI67=0,$AJ67=0,$AJ67-$AI67&lt;0)),"DNS/DNF",($AJ67-$AI67)/86400000)</f>
        <v>1.5727314814814814E-3</v>
      </c>
      <c r="AX67" s="62">
        <f t="shared" ref="AX67:AX130" si="56">IF((OR($AK67=0,$AL67=0,$AL67-$AK67&lt;0)),"DNS/DNF",($AL67-$AK67)/86400000)</f>
        <v>3.1701620370370369E-3</v>
      </c>
      <c r="AY67" s="62">
        <f t="shared" ref="AY67:AY130" si="57">IF((OR($AM67=0,$AM67=0,$AN67-$AM67&lt;0)),"DNS/DNF",($AN67-$AM67)/86400000)</f>
        <v>3.9156134259259257E-3</v>
      </c>
      <c r="AZ67" s="62" t="str">
        <f t="shared" ref="AZ67:AZ130" si="58">IF((OR($AO67=0,$AP67=0,$AP67-$AO67&lt;0)),"DNS/DNF",($AP67-$AO67)/86400000)</f>
        <v>DNS/DNF</v>
      </c>
      <c r="BA67" s="62" t="str">
        <f t="shared" ref="BA67:BA130" si="59">IF((OR($AQ67=0,$AR67=0,$AR67-$AQ67&lt;0)),"DNS/DNF",($AR67-$AQ67)/86400000)</f>
        <v>DNS/DNF</v>
      </c>
      <c r="BB67" s="62" t="str">
        <f t="shared" ref="BB67:BB130" si="60">IF((OR($AS67=0,$AT67=0,$AT67-$AS67&lt;0)),"DNS/DNF",($AT67-$AS67)/86400000)</f>
        <v>DNS/DNF</v>
      </c>
      <c r="BC67" s="75">
        <f t="shared" ref="BC67:BC130" si="61">IFERROR(ROUND(AVERAGE(O67:V67),0),"")</f>
        <v>75</v>
      </c>
      <c r="BD67" s="53">
        <f t="shared" ref="BD67:BD130" si="62">IFERROR((INDEX(($AU$3:$AU$500)*86400000,MATCH(BC67,$O$3:$O$500,0))),"")</f>
        <v>254080</v>
      </c>
      <c r="BE67" s="53">
        <f t="shared" ref="BE67:BE130" si="63">IFERROR((INDEX(($AV$3:$AV$500)*86400000,MATCH(BC67,$P$3:$P$500,0))),"")</f>
        <v>245751</v>
      </c>
      <c r="BF67" s="53">
        <f t="shared" ref="BF67:BF130" si="64">IFERROR((INDEX(($AW$3:$AW$500)*86400000,MATCH(BC67,$Q$3:$Q$500,0))),"")</f>
        <v>139218</v>
      </c>
      <c r="BG67" s="53">
        <f t="shared" ref="BG67:BG130" si="65">IFERROR((INDEX(($AX$3:$AX$500)*86400000,MATCH(BC67,$R$3:$R$500,0))),"")</f>
        <v>280337</v>
      </c>
      <c r="BH67" s="53">
        <f t="shared" ref="BH67:BH130" si="66">IFERROR((INDEX(($AY$3:$AY$500)*86400000,MATCH(BC67,$S$3:$S$500,0))),"")</f>
        <v>334143</v>
      </c>
      <c r="BI67" s="53" t="str">
        <f t="shared" ref="BI67:BI130" si="67">IFERROR((INDEX(($AZ$3:$AZ$500)*86400000,MATCH(BC67,$T$3:$T$500,0))),"")</f>
        <v/>
      </c>
      <c r="BJ67" s="53" t="str">
        <f t="shared" ref="BJ67:BJ130" si="68">IFERROR((INDEX(($BA$3:$BA$500)*86400000,MATCH(BC67,$U$3:$U$500,0))),"")</f>
        <v/>
      </c>
      <c r="BK67" s="53" t="str">
        <f t="shared" ref="BK67:BK130" si="69">IFERROR((INDEX(($BB$3:$BB$500)*86400000,MATCH(BC67,$V$3:$V$500,0))),"")</f>
        <v/>
      </c>
    </row>
    <row r="68" spans="1:63">
      <c r="A68" s="53">
        <v>25</v>
      </c>
      <c r="B68" s="89" t="str">
        <f>IFERROR(VLOOKUP($A68,EntryList!$A$3:$N$645,2,FALSE),"")</f>
        <v>Stirling Kotze</v>
      </c>
      <c r="C68" s="74"/>
      <c r="D68" s="53">
        <f t="shared" si="35"/>
        <v>5</v>
      </c>
      <c r="E68" s="62">
        <v>2.8304282407407406E-3</v>
      </c>
      <c r="F68" s="62">
        <v>2.872881944444444E-3</v>
      </c>
      <c r="G68" s="62">
        <v>1.7095138888888889E-3</v>
      </c>
      <c r="H68" s="62">
        <v>3.1379629629629626E-3</v>
      </c>
      <c r="I68" s="62">
        <v>3.9625462962962965E-3</v>
      </c>
      <c r="J68" s="62"/>
      <c r="K68" s="62"/>
      <c r="L68" s="62"/>
      <c r="M68" s="62">
        <v>1.4513333333333335E-2</v>
      </c>
      <c r="N68" s="62">
        <f t="shared" si="36"/>
        <v>1.4513333333333333E-2</v>
      </c>
      <c r="O68" s="53">
        <f t="shared" si="37"/>
        <v>64</v>
      </c>
      <c r="P68" s="53">
        <f t="shared" si="38"/>
        <v>83</v>
      </c>
      <c r="Q68" s="53">
        <f t="shared" si="39"/>
        <v>103</v>
      </c>
      <c r="R68" s="53">
        <f t="shared" si="40"/>
        <v>63</v>
      </c>
      <c r="S68" s="53">
        <f t="shared" si="41"/>
        <v>92</v>
      </c>
      <c r="T68" s="53" t="str">
        <f t="shared" si="42"/>
        <v/>
      </c>
      <c r="U68" s="53" t="str">
        <f t="shared" si="43"/>
        <v/>
      </c>
      <c r="V68" s="53" t="str">
        <f t="shared" si="44"/>
        <v/>
      </c>
      <c r="W68" s="53" t="str">
        <f t="shared" si="45"/>
        <v>00:04:04.5 (64)</v>
      </c>
      <c r="X68" s="53" t="str">
        <f t="shared" si="46"/>
        <v>00:04:08.2 (83)</v>
      </c>
      <c r="Y68" s="53" t="str">
        <f t="shared" si="47"/>
        <v>00:02:27.7 (103)</v>
      </c>
      <c r="Z68" s="53" t="str">
        <f t="shared" si="48"/>
        <v>00:04:31.1 (63)</v>
      </c>
      <c r="AA68" s="53" t="str">
        <f t="shared" si="49"/>
        <v>00:05:42.4 (92)</v>
      </c>
      <c r="AB68" s="53" t="str">
        <f t="shared" si="50"/>
        <v>DNS/DNF ()</v>
      </c>
      <c r="AC68" s="53" t="str">
        <f t="shared" si="51"/>
        <v>DNS/DNF ()</v>
      </c>
      <c r="AD68" s="53" t="str">
        <f t="shared" si="52"/>
        <v>DNS/DNF ()</v>
      </c>
      <c r="AE68" s="53">
        <v>34460101</v>
      </c>
      <c r="AF68" s="53">
        <v>34704650</v>
      </c>
      <c r="AG68" s="53">
        <v>37792278</v>
      </c>
      <c r="AH68" s="53">
        <v>38040495</v>
      </c>
      <c r="AI68" s="53">
        <v>31618765</v>
      </c>
      <c r="AJ68" s="53">
        <v>31766467</v>
      </c>
      <c r="AK68" s="53">
        <v>43247449</v>
      </c>
      <c r="AL68" s="53">
        <v>43518569</v>
      </c>
      <c r="AM68" s="53">
        <v>45602926</v>
      </c>
      <c r="AN68" s="53">
        <v>45945290</v>
      </c>
      <c r="AO68" s="53">
        <v>0</v>
      </c>
      <c r="AP68" s="53">
        <v>0</v>
      </c>
      <c r="AQ68" s="53">
        <v>0</v>
      </c>
      <c r="AR68" s="53">
        <v>0</v>
      </c>
      <c r="AS68" s="53">
        <v>0</v>
      </c>
      <c r="AT68" s="53">
        <v>0</v>
      </c>
      <c r="AU68" s="62">
        <f t="shared" si="53"/>
        <v>2.8304282407407406E-3</v>
      </c>
      <c r="AV68" s="62">
        <f t="shared" si="54"/>
        <v>2.8728819444444444E-3</v>
      </c>
      <c r="AW68" s="62">
        <f t="shared" si="55"/>
        <v>1.7095138888888889E-3</v>
      </c>
      <c r="AX68" s="62">
        <f t="shared" si="56"/>
        <v>3.1379629629629631E-3</v>
      </c>
      <c r="AY68" s="62">
        <f t="shared" si="57"/>
        <v>3.9625462962962965E-3</v>
      </c>
      <c r="AZ68" s="62" t="str">
        <f t="shared" si="58"/>
        <v>DNS/DNF</v>
      </c>
      <c r="BA68" s="62" t="str">
        <f t="shared" si="59"/>
        <v>DNS/DNF</v>
      </c>
      <c r="BB68" s="62" t="str">
        <f t="shared" si="60"/>
        <v>DNS/DNF</v>
      </c>
      <c r="BC68" s="75">
        <f t="shared" si="61"/>
        <v>81</v>
      </c>
      <c r="BD68" s="53">
        <f t="shared" si="62"/>
        <v>258772</v>
      </c>
      <c r="BE68" s="53">
        <f t="shared" si="63"/>
        <v>247772</v>
      </c>
      <c r="BF68" s="53">
        <f t="shared" si="64"/>
        <v>141770</v>
      </c>
      <c r="BG68" s="53">
        <f t="shared" si="65"/>
        <v>289398</v>
      </c>
      <c r="BH68" s="53">
        <f t="shared" si="66"/>
        <v>338137</v>
      </c>
      <c r="BI68" s="53" t="str">
        <f t="shared" si="67"/>
        <v/>
      </c>
      <c r="BJ68" s="53" t="str">
        <f t="shared" si="68"/>
        <v/>
      </c>
      <c r="BK68" s="53" t="str">
        <f t="shared" si="69"/>
        <v/>
      </c>
    </row>
    <row r="69" spans="1:63">
      <c r="A69" s="53">
        <v>201</v>
      </c>
      <c r="B69" s="89" t="str">
        <f>IFERROR(VLOOKUP($A69,EntryList!$A$3:$N$645,2,FALSE),"")</f>
        <v>Jordan De Goede</v>
      </c>
      <c r="C69" s="74"/>
      <c r="D69" s="53">
        <f t="shared" si="35"/>
        <v>5</v>
      </c>
      <c r="E69" s="62">
        <v>2.4259953703703705E-3</v>
      </c>
      <c r="F69" s="62">
        <v>2.6282291666666663E-3</v>
      </c>
      <c r="G69" s="62">
        <v>3.224502314814815E-3</v>
      </c>
      <c r="H69" s="62">
        <v>2.775775462962963E-3</v>
      </c>
      <c r="I69" s="62">
        <v>3.4898148148148149E-3</v>
      </c>
      <c r="J69" s="62"/>
      <c r="K69" s="62"/>
      <c r="L69" s="62"/>
      <c r="M69" s="62">
        <v>1.4544317129629629E-2</v>
      </c>
      <c r="N69" s="62">
        <f t="shared" si="36"/>
        <v>1.4544317129629631E-2</v>
      </c>
      <c r="O69" s="53">
        <f t="shared" si="37"/>
        <v>20</v>
      </c>
      <c r="P69" s="53">
        <f t="shared" si="38"/>
        <v>29</v>
      </c>
      <c r="Q69" s="53">
        <f t="shared" si="39"/>
        <v>246</v>
      </c>
      <c r="R69" s="53">
        <f t="shared" si="40"/>
        <v>17</v>
      </c>
      <c r="S69" s="53">
        <f t="shared" si="41"/>
        <v>18</v>
      </c>
      <c r="T69" s="53" t="str">
        <f t="shared" si="42"/>
        <v/>
      </c>
      <c r="U69" s="53" t="str">
        <f t="shared" si="43"/>
        <v/>
      </c>
      <c r="V69" s="53" t="str">
        <f t="shared" si="44"/>
        <v/>
      </c>
      <c r="W69" s="53" t="str">
        <f t="shared" si="45"/>
        <v>00:03:29.6 (20)</v>
      </c>
      <c r="X69" s="53" t="str">
        <f t="shared" si="46"/>
        <v>00:03:47.1 (29)</v>
      </c>
      <c r="Y69" s="53" t="str">
        <f t="shared" si="47"/>
        <v>00:04:38.6 (246)</v>
      </c>
      <c r="Z69" s="53" t="str">
        <f t="shared" si="48"/>
        <v>00:03:59.8 (17)</v>
      </c>
      <c r="AA69" s="53" t="str">
        <f t="shared" si="49"/>
        <v>00:05:01.5 (18)</v>
      </c>
      <c r="AB69" s="53" t="str">
        <f t="shared" si="50"/>
        <v>DNS/DNF ()</v>
      </c>
      <c r="AC69" s="53" t="str">
        <f t="shared" si="51"/>
        <v>DNS/DNF ()</v>
      </c>
      <c r="AD69" s="53" t="str">
        <f t="shared" si="52"/>
        <v>DNS/DNF ()</v>
      </c>
      <c r="AE69" s="53">
        <v>31204863</v>
      </c>
      <c r="AF69" s="53">
        <v>31414469</v>
      </c>
      <c r="AG69" s="53">
        <v>36863422</v>
      </c>
      <c r="AH69" s="53">
        <v>37090501</v>
      </c>
      <c r="AI69" s="53">
        <v>39423487</v>
      </c>
      <c r="AJ69" s="53">
        <v>39702084</v>
      </c>
      <c r="AK69" s="53">
        <v>44218241</v>
      </c>
      <c r="AL69" s="53">
        <v>44458068</v>
      </c>
      <c r="AM69" s="53">
        <v>47163984</v>
      </c>
      <c r="AN69" s="53">
        <v>47465504</v>
      </c>
      <c r="AO69" s="53">
        <v>0</v>
      </c>
      <c r="AP69" s="53">
        <v>0</v>
      </c>
      <c r="AQ69" s="53">
        <v>0</v>
      </c>
      <c r="AR69" s="53">
        <v>0</v>
      </c>
      <c r="AS69" s="53">
        <v>0</v>
      </c>
      <c r="AT69" s="53">
        <v>0</v>
      </c>
      <c r="AU69" s="62">
        <f t="shared" si="53"/>
        <v>2.4259953703703705E-3</v>
      </c>
      <c r="AV69" s="62">
        <f t="shared" si="54"/>
        <v>2.6282291666666667E-3</v>
      </c>
      <c r="AW69" s="62">
        <f t="shared" si="55"/>
        <v>3.224502314814815E-3</v>
      </c>
      <c r="AX69" s="62">
        <f t="shared" si="56"/>
        <v>2.775775462962963E-3</v>
      </c>
      <c r="AY69" s="62">
        <f t="shared" si="57"/>
        <v>3.4898148148148149E-3</v>
      </c>
      <c r="AZ69" s="62" t="str">
        <f t="shared" si="58"/>
        <v>DNS/DNF</v>
      </c>
      <c r="BA69" s="62" t="str">
        <f t="shared" si="59"/>
        <v>DNS/DNF</v>
      </c>
      <c r="BB69" s="62" t="str">
        <f t="shared" si="60"/>
        <v>DNS/DNF</v>
      </c>
      <c r="BC69" s="75">
        <f t="shared" si="61"/>
        <v>66</v>
      </c>
      <c r="BD69" s="53">
        <f t="shared" si="62"/>
        <v>249133</v>
      </c>
      <c r="BE69" s="53">
        <f t="shared" si="63"/>
        <v>241733</v>
      </c>
      <c r="BF69" s="53">
        <f t="shared" si="64"/>
        <v>136248</v>
      </c>
      <c r="BG69" s="53">
        <f t="shared" si="65"/>
        <v>274713</v>
      </c>
      <c r="BH69" s="53">
        <f t="shared" si="66"/>
        <v>329991</v>
      </c>
      <c r="BI69" s="53" t="str">
        <f t="shared" si="67"/>
        <v/>
      </c>
      <c r="BJ69" s="53" t="str">
        <f t="shared" si="68"/>
        <v/>
      </c>
      <c r="BK69" s="53" t="str">
        <f t="shared" si="69"/>
        <v/>
      </c>
    </row>
    <row r="70" spans="1:63">
      <c r="A70" s="53">
        <v>13</v>
      </c>
      <c r="B70" s="89" t="str">
        <f>IFERROR(VLOOKUP($A70,EntryList!$A$3:$N$645,2,FALSE),"")</f>
        <v>David B Hartley</v>
      </c>
      <c r="C70" s="74"/>
      <c r="D70" s="53">
        <f t="shared" si="35"/>
        <v>5</v>
      </c>
      <c r="E70" s="62">
        <v>2.8237152777777779E-3</v>
      </c>
      <c r="F70" s="62">
        <v>2.8510995370370374E-3</v>
      </c>
      <c r="G70" s="62">
        <v>1.7291666666666668E-3</v>
      </c>
      <c r="H70" s="62">
        <v>3.244641203703704E-3</v>
      </c>
      <c r="I70" s="62">
        <v>3.9142824074074071E-3</v>
      </c>
      <c r="J70" s="62"/>
      <c r="K70" s="62"/>
      <c r="L70" s="62"/>
      <c r="M70" s="62">
        <v>1.4562905092592593E-2</v>
      </c>
      <c r="N70" s="62">
        <f t="shared" si="36"/>
        <v>1.4562905092592594E-2</v>
      </c>
      <c r="O70" s="53">
        <f t="shared" si="37"/>
        <v>63</v>
      </c>
      <c r="P70" s="53">
        <f t="shared" si="38"/>
        <v>79</v>
      </c>
      <c r="Q70" s="53">
        <f t="shared" si="39"/>
        <v>109</v>
      </c>
      <c r="R70" s="53">
        <f t="shared" si="40"/>
        <v>75</v>
      </c>
      <c r="S70" s="53">
        <f t="shared" si="41"/>
        <v>82</v>
      </c>
      <c r="T70" s="53" t="str">
        <f t="shared" si="42"/>
        <v/>
      </c>
      <c r="U70" s="53" t="str">
        <f t="shared" si="43"/>
        <v/>
      </c>
      <c r="V70" s="53" t="str">
        <f t="shared" si="44"/>
        <v/>
      </c>
      <c r="W70" s="53" t="str">
        <f t="shared" si="45"/>
        <v>00:04:04.0 (63)</v>
      </c>
      <c r="X70" s="53" t="str">
        <f t="shared" si="46"/>
        <v>00:04:06.3 (79)</v>
      </c>
      <c r="Y70" s="53" t="str">
        <f t="shared" si="47"/>
        <v>00:02:29.4 (109)</v>
      </c>
      <c r="Z70" s="53" t="str">
        <f t="shared" si="48"/>
        <v>00:04:40.3 (75)</v>
      </c>
      <c r="AA70" s="53" t="str">
        <f t="shared" si="49"/>
        <v>00:05:38.2 (82)</v>
      </c>
      <c r="AB70" s="53" t="str">
        <f t="shared" si="50"/>
        <v>DNS/DNF ()</v>
      </c>
      <c r="AC70" s="53" t="str">
        <f t="shared" si="51"/>
        <v>DNS/DNF ()</v>
      </c>
      <c r="AD70" s="53" t="str">
        <f t="shared" si="52"/>
        <v>DNS/DNF ()</v>
      </c>
      <c r="AE70" s="53">
        <v>33770826</v>
      </c>
      <c r="AF70" s="53">
        <v>34014795</v>
      </c>
      <c r="AG70" s="53">
        <v>31029458</v>
      </c>
      <c r="AH70" s="53">
        <v>31275793</v>
      </c>
      <c r="AI70" s="53">
        <v>36224128</v>
      </c>
      <c r="AJ70" s="53">
        <v>36373528</v>
      </c>
      <c r="AK70" s="53">
        <v>39873054</v>
      </c>
      <c r="AL70" s="53">
        <v>40153391</v>
      </c>
      <c r="AM70" s="53">
        <v>42630964</v>
      </c>
      <c r="AN70" s="53">
        <v>42969158</v>
      </c>
      <c r="AO70" s="53">
        <v>0</v>
      </c>
      <c r="AP70" s="53">
        <v>0</v>
      </c>
      <c r="AQ70" s="53">
        <v>0</v>
      </c>
      <c r="AR70" s="53">
        <v>0</v>
      </c>
      <c r="AS70" s="53">
        <v>0</v>
      </c>
      <c r="AT70" s="53">
        <v>0</v>
      </c>
      <c r="AU70" s="62">
        <f t="shared" si="53"/>
        <v>2.8237152777777779E-3</v>
      </c>
      <c r="AV70" s="62">
        <f t="shared" si="54"/>
        <v>2.851099537037037E-3</v>
      </c>
      <c r="AW70" s="62">
        <f t="shared" si="55"/>
        <v>1.7291666666666666E-3</v>
      </c>
      <c r="AX70" s="62">
        <f t="shared" si="56"/>
        <v>3.2446412037037036E-3</v>
      </c>
      <c r="AY70" s="62">
        <f t="shared" si="57"/>
        <v>3.9142824074074071E-3</v>
      </c>
      <c r="AZ70" s="62" t="str">
        <f t="shared" si="58"/>
        <v>DNS/DNF</v>
      </c>
      <c r="BA70" s="62" t="str">
        <f t="shared" si="59"/>
        <v>DNS/DNF</v>
      </c>
      <c r="BB70" s="62" t="str">
        <f t="shared" si="60"/>
        <v>DNS/DNF</v>
      </c>
      <c r="BC70" s="75">
        <f t="shared" si="61"/>
        <v>82</v>
      </c>
      <c r="BD70" s="53">
        <f t="shared" si="62"/>
        <v>262403</v>
      </c>
      <c r="BE70" s="53">
        <f t="shared" si="63"/>
        <v>248068</v>
      </c>
      <c r="BF70" s="53">
        <f t="shared" si="64"/>
        <v>141876</v>
      </c>
      <c r="BG70" s="53">
        <f t="shared" si="65"/>
        <v>289559</v>
      </c>
      <c r="BH70" s="53">
        <f t="shared" si="66"/>
        <v>338194</v>
      </c>
      <c r="BI70" s="53" t="str">
        <f t="shared" si="67"/>
        <v/>
      </c>
      <c r="BJ70" s="53" t="str">
        <f t="shared" si="68"/>
        <v/>
      </c>
      <c r="BK70" s="53" t="str">
        <f t="shared" si="69"/>
        <v/>
      </c>
    </row>
    <row r="71" spans="1:63">
      <c r="A71" s="53">
        <v>210</v>
      </c>
      <c r="B71" s="89" t="str">
        <f>IFERROR(VLOOKUP($A71,EntryList!$A$3:$N$645,2,FALSE),"")</f>
        <v>Thomas Dunkley</v>
      </c>
      <c r="C71" s="74"/>
      <c r="D71" s="53">
        <f t="shared" si="35"/>
        <v>5</v>
      </c>
      <c r="E71" s="62">
        <v>3.209444444444444E-3</v>
      </c>
      <c r="F71" s="62">
        <v>2.8128703703703701E-3</v>
      </c>
      <c r="G71" s="62">
        <v>1.6752777777777775E-3</v>
      </c>
      <c r="H71" s="62">
        <v>3.1885879629629629E-3</v>
      </c>
      <c r="I71" s="62">
        <v>3.7689930555555554E-3</v>
      </c>
      <c r="J71" s="62"/>
      <c r="K71" s="62"/>
      <c r="L71" s="62"/>
      <c r="M71" s="62">
        <v>1.4655173611111112E-2</v>
      </c>
      <c r="N71" s="62">
        <f t="shared" si="36"/>
        <v>1.465517361111111E-2</v>
      </c>
      <c r="O71" s="53">
        <f t="shared" si="37"/>
        <v>95</v>
      </c>
      <c r="P71" s="53">
        <f t="shared" si="38"/>
        <v>70</v>
      </c>
      <c r="Q71" s="53">
        <f t="shared" si="39"/>
        <v>90</v>
      </c>
      <c r="R71" s="53">
        <f t="shared" si="40"/>
        <v>67</v>
      </c>
      <c r="S71" s="53">
        <f t="shared" si="41"/>
        <v>59</v>
      </c>
      <c r="T71" s="53" t="str">
        <f t="shared" si="42"/>
        <v/>
      </c>
      <c r="U71" s="53" t="str">
        <f t="shared" si="43"/>
        <v/>
      </c>
      <c r="V71" s="53" t="str">
        <f t="shared" si="44"/>
        <v/>
      </c>
      <c r="W71" s="53" t="str">
        <f t="shared" si="45"/>
        <v>00:04:37.3 (95)</v>
      </c>
      <c r="X71" s="53" t="str">
        <f t="shared" si="46"/>
        <v>00:04:03.0 (70)</v>
      </c>
      <c r="Y71" s="53" t="str">
        <f t="shared" si="47"/>
        <v>00:02:24.7 (90)</v>
      </c>
      <c r="Z71" s="53" t="str">
        <f t="shared" si="48"/>
        <v>00:04:35.5 (67)</v>
      </c>
      <c r="AA71" s="53" t="str">
        <f t="shared" si="49"/>
        <v>00:05:25.6 (59)</v>
      </c>
      <c r="AB71" s="53" t="str">
        <f t="shared" si="50"/>
        <v>DNS/DNF ()</v>
      </c>
      <c r="AC71" s="53" t="str">
        <f t="shared" si="51"/>
        <v>DNS/DNF ()</v>
      </c>
      <c r="AD71" s="53" t="str">
        <f t="shared" si="52"/>
        <v>DNS/DNF ()</v>
      </c>
      <c r="AE71" s="53">
        <v>33994147</v>
      </c>
      <c r="AF71" s="53">
        <v>34271443</v>
      </c>
      <c r="AG71" s="53">
        <v>31271698</v>
      </c>
      <c r="AH71" s="53">
        <v>31514730</v>
      </c>
      <c r="AI71" s="53">
        <v>36754701</v>
      </c>
      <c r="AJ71" s="53">
        <v>36899445</v>
      </c>
      <c r="AK71" s="53">
        <v>40530839</v>
      </c>
      <c r="AL71" s="53">
        <v>40806333</v>
      </c>
      <c r="AM71" s="53">
        <v>43091276</v>
      </c>
      <c r="AN71" s="53">
        <v>43416917</v>
      </c>
      <c r="AO71" s="53">
        <v>0</v>
      </c>
      <c r="AP71" s="53">
        <v>0</v>
      </c>
      <c r="AQ71" s="53">
        <v>0</v>
      </c>
      <c r="AR71" s="53">
        <v>0</v>
      </c>
      <c r="AS71" s="53">
        <v>0</v>
      </c>
      <c r="AT71" s="53">
        <v>0</v>
      </c>
      <c r="AU71" s="62">
        <f t="shared" si="53"/>
        <v>3.2094444444444445E-3</v>
      </c>
      <c r="AV71" s="62">
        <f t="shared" si="54"/>
        <v>2.8128703703703705E-3</v>
      </c>
      <c r="AW71" s="62">
        <f t="shared" si="55"/>
        <v>1.6752777777777777E-3</v>
      </c>
      <c r="AX71" s="62">
        <f t="shared" si="56"/>
        <v>3.1885879629629629E-3</v>
      </c>
      <c r="AY71" s="62">
        <f t="shared" si="57"/>
        <v>3.7689930555555554E-3</v>
      </c>
      <c r="AZ71" s="62" t="str">
        <f t="shared" si="58"/>
        <v>DNS/DNF</v>
      </c>
      <c r="BA71" s="62" t="str">
        <f t="shared" si="59"/>
        <v>DNS/DNF</v>
      </c>
      <c r="BB71" s="62" t="str">
        <f t="shared" si="60"/>
        <v>DNS/DNF</v>
      </c>
      <c r="BC71" s="75">
        <f t="shared" si="61"/>
        <v>76</v>
      </c>
      <c r="BD71" s="53">
        <f t="shared" si="62"/>
        <v>254556</v>
      </c>
      <c r="BE71" s="53">
        <f t="shared" si="63"/>
        <v>246098.99999999997</v>
      </c>
      <c r="BF71" s="53">
        <f t="shared" si="64"/>
        <v>139571</v>
      </c>
      <c r="BG71" s="53">
        <f t="shared" si="65"/>
        <v>280343</v>
      </c>
      <c r="BH71" s="53">
        <f t="shared" si="66"/>
        <v>334343</v>
      </c>
      <c r="BI71" s="53" t="str">
        <f t="shared" si="67"/>
        <v/>
      </c>
      <c r="BJ71" s="53" t="str">
        <f t="shared" si="68"/>
        <v/>
      </c>
      <c r="BK71" s="53" t="str">
        <f t="shared" si="69"/>
        <v/>
      </c>
    </row>
    <row r="72" spans="1:63">
      <c r="A72" s="53">
        <v>233</v>
      </c>
      <c r="B72" s="89" t="str">
        <f>IFERROR(VLOOKUP($A72,EntryList!$A$3:$N$645,2,FALSE),"")</f>
        <v>Jordon Evard</v>
      </c>
      <c r="C72" s="74"/>
      <c r="D72" s="53">
        <f t="shared" si="35"/>
        <v>5</v>
      </c>
      <c r="E72" s="62">
        <v>2.9462500000000005E-3</v>
      </c>
      <c r="F72" s="62">
        <v>2.848703703703704E-3</v>
      </c>
      <c r="G72" s="62">
        <v>1.6911574074074075E-3</v>
      </c>
      <c r="H72" s="62">
        <v>3.1795486111111109E-3</v>
      </c>
      <c r="I72" s="62">
        <v>4.0715509259259255E-3</v>
      </c>
      <c r="J72" s="62"/>
      <c r="K72" s="62"/>
      <c r="L72" s="62"/>
      <c r="M72" s="62">
        <v>1.4737210648148149E-2</v>
      </c>
      <c r="N72" s="62">
        <f t="shared" si="36"/>
        <v>1.4737210648148147E-2</v>
      </c>
      <c r="O72" s="53">
        <f t="shared" si="37"/>
        <v>76</v>
      </c>
      <c r="P72" s="53">
        <f t="shared" si="38"/>
        <v>77</v>
      </c>
      <c r="Q72" s="53">
        <f t="shared" si="39"/>
        <v>93</v>
      </c>
      <c r="R72" s="53">
        <f t="shared" si="40"/>
        <v>66</v>
      </c>
      <c r="S72" s="53">
        <f t="shared" si="41"/>
        <v>111</v>
      </c>
      <c r="T72" s="53" t="str">
        <f t="shared" si="42"/>
        <v/>
      </c>
      <c r="U72" s="53" t="str">
        <f t="shared" si="43"/>
        <v/>
      </c>
      <c r="V72" s="53" t="str">
        <f t="shared" si="44"/>
        <v/>
      </c>
      <c r="W72" s="53" t="str">
        <f t="shared" si="45"/>
        <v>00:04:14.6 (76)</v>
      </c>
      <c r="X72" s="53" t="str">
        <f t="shared" si="46"/>
        <v>00:04:06.1 (77)</v>
      </c>
      <c r="Y72" s="53" t="str">
        <f t="shared" si="47"/>
        <v>00:02:26.1 (93)</v>
      </c>
      <c r="Z72" s="53" t="str">
        <f t="shared" si="48"/>
        <v>00:04:34.7 (66)</v>
      </c>
      <c r="AA72" s="53" t="str">
        <f t="shared" si="49"/>
        <v>00:05:51.8 (111)</v>
      </c>
      <c r="AB72" s="53" t="str">
        <f t="shared" si="50"/>
        <v>DNS/DNF ()</v>
      </c>
      <c r="AC72" s="53" t="str">
        <f t="shared" si="51"/>
        <v>DNS/DNF ()</v>
      </c>
      <c r="AD72" s="53" t="str">
        <f t="shared" si="52"/>
        <v>DNS/DNF ()</v>
      </c>
      <c r="AE72" s="53">
        <v>38088768</v>
      </c>
      <c r="AF72" s="53">
        <v>38343324</v>
      </c>
      <c r="AG72" s="53">
        <v>34429235</v>
      </c>
      <c r="AH72" s="53">
        <v>34675363</v>
      </c>
      <c r="AI72" s="53">
        <v>41620578</v>
      </c>
      <c r="AJ72" s="53">
        <v>41766694</v>
      </c>
      <c r="AK72" s="53">
        <v>46472791</v>
      </c>
      <c r="AL72" s="53">
        <v>46747504</v>
      </c>
      <c r="AM72" s="53">
        <v>49115322</v>
      </c>
      <c r="AN72" s="53">
        <v>49467104</v>
      </c>
      <c r="AO72" s="53">
        <v>0</v>
      </c>
      <c r="AP72" s="53">
        <v>0</v>
      </c>
      <c r="AQ72" s="53">
        <v>0</v>
      </c>
      <c r="AR72" s="53">
        <v>0</v>
      </c>
      <c r="AS72" s="53">
        <v>0</v>
      </c>
      <c r="AT72" s="53">
        <v>0</v>
      </c>
      <c r="AU72" s="62">
        <f t="shared" si="53"/>
        <v>2.9462500000000001E-3</v>
      </c>
      <c r="AV72" s="62">
        <f t="shared" si="54"/>
        <v>2.8487037037037036E-3</v>
      </c>
      <c r="AW72" s="62">
        <f t="shared" si="55"/>
        <v>1.6911574074074075E-3</v>
      </c>
      <c r="AX72" s="62">
        <f t="shared" si="56"/>
        <v>3.1795486111111113E-3</v>
      </c>
      <c r="AY72" s="62">
        <f t="shared" si="57"/>
        <v>4.0715509259259255E-3</v>
      </c>
      <c r="AZ72" s="62" t="str">
        <f t="shared" si="58"/>
        <v>DNS/DNF</v>
      </c>
      <c r="BA72" s="62" t="str">
        <f t="shared" si="59"/>
        <v>DNS/DNF</v>
      </c>
      <c r="BB72" s="62" t="str">
        <f t="shared" si="60"/>
        <v>DNS/DNF</v>
      </c>
      <c r="BC72" s="75">
        <f t="shared" si="61"/>
        <v>85</v>
      </c>
      <c r="BD72" s="53">
        <f t="shared" si="62"/>
        <v>265759</v>
      </c>
      <c r="BE72" s="53">
        <f t="shared" si="63"/>
        <v>249041</v>
      </c>
      <c r="BF72" s="53">
        <f t="shared" si="64"/>
        <v>142979</v>
      </c>
      <c r="BG72" s="53">
        <f t="shared" si="65"/>
        <v>292994</v>
      </c>
      <c r="BH72" s="53">
        <f t="shared" si="66"/>
        <v>339953.00000000006</v>
      </c>
      <c r="BI72" s="53" t="str">
        <f t="shared" si="67"/>
        <v/>
      </c>
      <c r="BJ72" s="53" t="str">
        <f t="shared" si="68"/>
        <v/>
      </c>
      <c r="BK72" s="53" t="str">
        <f t="shared" si="69"/>
        <v/>
      </c>
    </row>
    <row r="73" spans="1:63">
      <c r="A73" s="53">
        <v>284</v>
      </c>
      <c r="B73" s="89" t="str">
        <f>IFERROR(VLOOKUP($A73,EntryList!$A$3:$N$645,2,FALSE),"")</f>
        <v>Jonathan Wareing</v>
      </c>
      <c r="C73" s="74"/>
      <c r="D73" s="53">
        <f t="shared" si="35"/>
        <v>5</v>
      </c>
      <c r="E73" s="62">
        <v>3.0713310185185188E-3</v>
      </c>
      <c r="F73" s="62">
        <v>2.945486111111111E-3</v>
      </c>
      <c r="G73" s="62">
        <v>1.6113194444444445E-3</v>
      </c>
      <c r="H73" s="62">
        <v>3.2152083333333334E-3</v>
      </c>
      <c r="I73" s="62">
        <v>3.9388773148148143E-3</v>
      </c>
      <c r="J73" s="62"/>
      <c r="K73" s="62"/>
      <c r="L73" s="62"/>
      <c r="M73" s="62">
        <v>1.4782222222222223E-2</v>
      </c>
      <c r="N73" s="62">
        <f t="shared" si="36"/>
        <v>1.4782222222222223E-2</v>
      </c>
      <c r="O73" s="53">
        <f t="shared" si="37"/>
        <v>84</v>
      </c>
      <c r="P73" s="53">
        <f t="shared" si="38"/>
        <v>97</v>
      </c>
      <c r="Q73" s="53">
        <f t="shared" si="39"/>
        <v>75</v>
      </c>
      <c r="R73" s="53">
        <f t="shared" si="40"/>
        <v>73</v>
      </c>
      <c r="S73" s="53">
        <f t="shared" si="41"/>
        <v>88</v>
      </c>
      <c r="T73" s="53" t="str">
        <f t="shared" si="42"/>
        <v/>
      </c>
      <c r="U73" s="53" t="str">
        <f t="shared" si="43"/>
        <v/>
      </c>
      <c r="V73" s="53" t="str">
        <f t="shared" si="44"/>
        <v/>
      </c>
      <c r="W73" s="53" t="str">
        <f t="shared" si="45"/>
        <v>00:04:25.4 (84)</v>
      </c>
      <c r="X73" s="53" t="str">
        <f t="shared" si="46"/>
        <v>00:04:14.5 (97)</v>
      </c>
      <c r="Y73" s="53" t="str">
        <f t="shared" si="47"/>
        <v>00:02:19.2 (75)</v>
      </c>
      <c r="Z73" s="53" t="str">
        <f t="shared" si="48"/>
        <v>00:04:37.8 (73)</v>
      </c>
      <c r="AA73" s="53" t="str">
        <f t="shared" si="49"/>
        <v>00:05:40.3 (88)</v>
      </c>
      <c r="AB73" s="53" t="str">
        <f t="shared" si="50"/>
        <v>DNS/DNF ()</v>
      </c>
      <c r="AC73" s="53" t="str">
        <f t="shared" si="51"/>
        <v>DNS/DNF ()</v>
      </c>
      <c r="AD73" s="53" t="str">
        <f t="shared" si="52"/>
        <v>DNS/DNF ()</v>
      </c>
      <c r="AE73" s="53">
        <v>37432629</v>
      </c>
      <c r="AF73" s="53">
        <v>37697992</v>
      </c>
      <c r="AG73" s="53">
        <v>33110015</v>
      </c>
      <c r="AH73" s="53">
        <v>33364505</v>
      </c>
      <c r="AI73" s="53">
        <v>40833944</v>
      </c>
      <c r="AJ73" s="53">
        <v>40973162</v>
      </c>
      <c r="AK73" s="53">
        <v>45892457</v>
      </c>
      <c r="AL73" s="53">
        <v>46170251</v>
      </c>
      <c r="AM73" s="53">
        <v>49211358</v>
      </c>
      <c r="AN73" s="53">
        <v>49551677</v>
      </c>
      <c r="AO73" s="53">
        <v>0</v>
      </c>
      <c r="AP73" s="53">
        <v>0</v>
      </c>
      <c r="AQ73" s="53">
        <v>0</v>
      </c>
      <c r="AR73" s="53">
        <v>0</v>
      </c>
      <c r="AS73" s="53">
        <v>0</v>
      </c>
      <c r="AT73" s="53">
        <v>0</v>
      </c>
      <c r="AU73" s="62">
        <f t="shared" si="53"/>
        <v>3.0713310185185184E-3</v>
      </c>
      <c r="AV73" s="62">
        <f t="shared" si="54"/>
        <v>2.945486111111111E-3</v>
      </c>
      <c r="AW73" s="62">
        <f t="shared" si="55"/>
        <v>1.6113194444444445E-3</v>
      </c>
      <c r="AX73" s="62">
        <f t="shared" si="56"/>
        <v>3.2152083333333334E-3</v>
      </c>
      <c r="AY73" s="62">
        <f t="shared" si="57"/>
        <v>3.9388773148148152E-3</v>
      </c>
      <c r="AZ73" s="62" t="str">
        <f t="shared" si="58"/>
        <v>DNS/DNF</v>
      </c>
      <c r="BA73" s="62" t="str">
        <f t="shared" si="59"/>
        <v>DNS/DNF</v>
      </c>
      <c r="BB73" s="62" t="str">
        <f t="shared" si="60"/>
        <v>DNS/DNF</v>
      </c>
      <c r="BC73" s="75">
        <f t="shared" si="61"/>
        <v>83</v>
      </c>
      <c r="BD73" s="53">
        <f t="shared" si="62"/>
        <v>264363</v>
      </c>
      <c r="BE73" s="53">
        <f t="shared" si="63"/>
        <v>248217</v>
      </c>
      <c r="BF73" s="53">
        <f t="shared" si="64"/>
        <v>142228</v>
      </c>
      <c r="BG73" s="53">
        <f t="shared" si="65"/>
        <v>290122</v>
      </c>
      <c r="BH73" s="53">
        <f t="shared" si="66"/>
        <v>338309</v>
      </c>
      <c r="BI73" s="53" t="str">
        <f t="shared" si="67"/>
        <v/>
      </c>
      <c r="BJ73" s="53" t="str">
        <f t="shared" si="68"/>
        <v/>
      </c>
      <c r="BK73" s="53" t="str">
        <f t="shared" si="69"/>
        <v/>
      </c>
    </row>
    <row r="74" spans="1:63">
      <c r="A74" s="53">
        <v>198</v>
      </c>
      <c r="B74" s="89" t="str">
        <f>IFERROR(VLOOKUP($A74,EntryList!$A$3:$N$645,2,FALSE),"")</f>
        <v>John Rostance</v>
      </c>
      <c r="C74" s="74"/>
      <c r="D74" s="53">
        <f t="shared" si="35"/>
        <v>5</v>
      </c>
      <c r="E74" s="62">
        <v>2.9711921296296296E-3</v>
      </c>
      <c r="F74" s="62">
        <v>2.9213657407407404E-3</v>
      </c>
      <c r="G74" s="62">
        <v>1.7258333333333333E-3</v>
      </c>
      <c r="H74" s="62">
        <v>3.2236805555555556E-3</v>
      </c>
      <c r="I74" s="62">
        <v>3.9553819444444445E-3</v>
      </c>
      <c r="J74" s="62"/>
      <c r="K74" s="62"/>
      <c r="L74" s="62"/>
      <c r="M74" s="62">
        <v>1.4797453703703703E-2</v>
      </c>
      <c r="N74" s="62">
        <f t="shared" si="36"/>
        <v>1.4797453703703705E-2</v>
      </c>
      <c r="O74" s="53">
        <f t="shared" si="37"/>
        <v>78</v>
      </c>
      <c r="P74" s="53">
        <f t="shared" si="38"/>
        <v>90</v>
      </c>
      <c r="Q74" s="53">
        <f t="shared" si="39"/>
        <v>108</v>
      </c>
      <c r="R74" s="53">
        <f t="shared" si="40"/>
        <v>74</v>
      </c>
      <c r="S74" s="53">
        <f t="shared" si="41"/>
        <v>91</v>
      </c>
      <c r="T74" s="53" t="str">
        <f t="shared" si="42"/>
        <v/>
      </c>
      <c r="U74" s="53" t="str">
        <f t="shared" si="43"/>
        <v/>
      </c>
      <c r="V74" s="53" t="str">
        <f t="shared" si="44"/>
        <v/>
      </c>
      <c r="W74" s="53" t="str">
        <f t="shared" si="45"/>
        <v>00:04:16.7 (78)</v>
      </c>
      <c r="X74" s="53" t="str">
        <f t="shared" si="46"/>
        <v>00:04:12.4 (90)</v>
      </c>
      <c r="Y74" s="53" t="str">
        <f t="shared" si="47"/>
        <v>00:02:29.1 (108)</v>
      </c>
      <c r="Z74" s="53" t="str">
        <f t="shared" si="48"/>
        <v>00:04:38.5 (74)</v>
      </c>
      <c r="AA74" s="53" t="str">
        <f t="shared" si="49"/>
        <v>00:05:41.7 (91)</v>
      </c>
      <c r="AB74" s="53" t="str">
        <f t="shared" si="50"/>
        <v>DNS/DNF ()</v>
      </c>
      <c r="AC74" s="53" t="str">
        <f t="shared" si="51"/>
        <v>DNS/DNF ()</v>
      </c>
      <c r="AD74" s="53" t="str">
        <f t="shared" si="52"/>
        <v>DNS/DNF ()</v>
      </c>
      <c r="AE74" s="53">
        <v>34481548</v>
      </c>
      <c r="AF74" s="53">
        <v>34738259</v>
      </c>
      <c r="AG74" s="53">
        <v>37746279</v>
      </c>
      <c r="AH74" s="53">
        <v>37998685</v>
      </c>
      <c r="AI74" s="53">
        <v>31585141</v>
      </c>
      <c r="AJ74" s="53">
        <v>31734253</v>
      </c>
      <c r="AK74" s="53">
        <v>42101347</v>
      </c>
      <c r="AL74" s="53">
        <v>42379873</v>
      </c>
      <c r="AM74" s="53">
        <v>44628266</v>
      </c>
      <c r="AN74" s="53">
        <v>44970011</v>
      </c>
      <c r="AO74" s="53">
        <v>0</v>
      </c>
      <c r="AP74" s="53">
        <v>0</v>
      </c>
      <c r="AQ74" s="53">
        <v>0</v>
      </c>
      <c r="AR74" s="53">
        <v>0</v>
      </c>
      <c r="AS74" s="53">
        <v>0</v>
      </c>
      <c r="AT74" s="53">
        <v>0</v>
      </c>
      <c r="AU74" s="62">
        <f t="shared" si="53"/>
        <v>2.9711921296296296E-3</v>
      </c>
      <c r="AV74" s="62">
        <f t="shared" si="54"/>
        <v>2.9213657407407409E-3</v>
      </c>
      <c r="AW74" s="62">
        <f t="shared" si="55"/>
        <v>1.7258333333333333E-3</v>
      </c>
      <c r="AX74" s="62">
        <f t="shared" si="56"/>
        <v>3.2236805555555556E-3</v>
      </c>
      <c r="AY74" s="62">
        <f t="shared" si="57"/>
        <v>3.9553819444444445E-3</v>
      </c>
      <c r="AZ74" s="62" t="str">
        <f t="shared" si="58"/>
        <v>DNS/DNF</v>
      </c>
      <c r="BA74" s="62" t="str">
        <f t="shared" si="59"/>
        <v>DNS/DNF</v>
      </c>
      <c r="BB74" s="62" t="str">
        <f t="shared" si="60"/>
        <v>DNS/DNF</v>
      </c>
      <c r="BC74" s="75">
        <f t="shared" si="61"/>
        <v>88</v>
      </c>
      <c r="BD74" s="53">
        <f t="shared" si="62"/>
        <v>269755</v>
      </c>
      <c r="BE74" s="53">
        <f t="shared" si="63"/>
        <v>250942</v>
      </c>
      <c r="BF74" s="53">
        <f t="shared" si="64"/>
        <v>143652</v>
      </c>
      <c r="BG74" s="53">
        <f t="shared" si="65"/>
        <v>293971</v>
      </c>
      <c r="BH74" s="53">
        <f t="shared" si="66"/>
        <v>340319.00000000006</v>
      </c>
      <c r="BI74" s="53" t="str">
        <f t="shared" si="67"/>
        <v/>
      </c>
      <c r="BJ74" s="53" t="str">
        <f t="shared" si="68"/>
        <v/>
      </c>
      <c r="BK74" s="53" t="str">
        <f t="shared" si="69"/>
        <v/>
      </c>
    </row>
    <row r="75" spans="1:63">
      <c r="A75" s="53">
        <v>41</v>
      </c>
      <c r="B75" s="89" t="str">
        <f>IFERROR(VLOOKUP($A75,EntryList!$A$3:$N$645,2,FALSE),"")</f>
        <v>Kyle Ridge</v>
      </c>
      <c r="C75" s="74"/>
      <c r="D75" s="53">
        <f t="shared" si="35"/>
        <v>5</v>
      </c>
      <c r="E75" s="62">
        <v>2.9073958333333334E-3</v>
      </c>
      <c r="F75" s="62">
        <v>2.8502199074074072E-3</v>
      </c>
      <c r="G75" s="62">
        <v>1.6476388888888892E-3</v>
      </c>
      <c r="H75" s="62">
        <v>3.4024421296296298E-3</v>
      </c>
      <c r="I75" s="62">
        <v>4.0212499999999997E-3</v>
      </c>
      <c r="J75" s="62"/>
      <c r="K75" s="62"/>
      <c r="L75" s="62"/>
      <c r="M75" s="62">
        <v>1.482894675925926E-2</v>
      </c>
      <c r="N75" s="62">
        <f t="shared" si="36"/>
        <v>1.4828946759259259E-2</v>
      </c>
      <c r="O75" s="53">
        <f t="shared" si="37"/>
        <v>70</v>
      </c>
      <c r="P75" s="53">
        <f t="shared" si="38"/>
        <v>78</v>
      </c>
      <c r="Q75" s="53">
        <f t="shared" si="39"/>
        <v>84</v>
      </c>
      <c r="R75" s="53">
        <f t="shared" si="40"/>
        <v>88</v>
      </c>
      <c r="S75" s="53">
        <f t="shared" si="41"/>
        <v>100</v>
      </c>
      <c r="T75" s="53" t="str">
        <f t="shared" si="42"/>
        <v/>
      </c>
      <c r="U75" s="53" t="str">
        <f t="shared" si="43"/>
        <v/>
      </c>
      <c r="V75" s="53" t="str">
        <f t="shared" si="44"/>
        <v/>
      </c>
      <c r="W75" s="53" t="str">
        <f t="shared" si="45"/>
        <v>00:04:11.2 (70)</v>
      </c>
      <c r="X75" s="53" t="str">
        <f t="shared" si="46"/>
        <v>00:04:06.3 (78)</v>
      </c>
      <c r="Y75" s="53" t="str">
        <f t="shared" si="47"/>
        <v>00:02:22.4 (84)</v>
      </c>
      <c r="Z75" s="53" t="str">
        <f t="shared" si="48"/>
        <v>00:04:54.0 (88)</v>
      </c>
      <c r="AA75" s="53" t="str">
        <f t="shared" si="49"/>
        <v>00:05:47.4 (100)</v>
      </c>
      <c r="AB75" s="53" t="str">
        <f t="shared" si="50"/>
        <v>DNS/DNF ()</v>
      </c>
      <c r="AC75" s="53" t="str">
        <f t="shared" si="51"/>
        <v>DNS/DNF ()</v>
      </c>
      <c r="AD75" s="53" t="str">
        <f t="shared" si="52"/>
        <v>DNS/DNF ()</v>
      </c>
      <c r="AE75" s="53">
        <v>36207789</v>
      </c>
      <c r="AF75" s="53">
        <v>36458988</v>
      </c>
      <c r="AG75" s="53">
        <v>32236731</v>
      </c>
      <c r="AH75" s="53">
        <v>32482990</v>
      </c>
      <c r="AI75" s="53">
        <v>39742108</v>
      </c>
      <c r="AJ75" s="53">
        <v>39884464</v>
      </c>
      <c r="AK75" s="53">
        <v>44913612</v>
      </c>
      <c r="AL75" s="53">
        <v>45207583</v>
      </c>
      <c r="AM75" s="53">
        <v>48047968</v>
      </c>
      <c r="AN75" s="53">
        <v>48395404</v>
      </c>
      <c r="AO75" s="53">
        <v>0</v>
      </c>
      <c r="AP75" s="53">
        <v>0</v>
      </c>
      <c r="AQ75" s="53">
        <v>0</v>
      </c>
      <c r="AR75" s="53">
        <v>0</v>
      </c>
      <c r="AS75" s="53">
        <v>0</v>
      </c>
      <c r="AT75" s="53">
        <v>0</v>
      </c>
      <c r="AU75" s="62">
        <f t="shared" si="53"/>
        <v>2.9073958333333334E-3</v>
      </c>
      <c r="AV75" s="62">
        <f t="shared" si="54"/>
        <v>2.8502199074074072E-3</v>
      </c>
      <c r="AW75" s="62">
        <f t="shared" si="55"/>
        <v>1.6476388888888888E-3</v>
      </c>
      <c r="AX75" s="62">
        <f t="shared" si="56"/>
        <v>3.4024421296296298E-3</v>
      </c>
      <c r="AY75" s="62">
        <f t="shared" si="57"/>
        <v>4.0212499999999997E-3</v>
      </c>
      <c r="AZ75" s="62" t="str">
        <f t="shared" si="58"/>
        <v>DNS/DNF</v>
      </c>
      <c r="BA75" s="62" t="str">
        <f t="shared" si="59"/>
        <v>DNS/DNF</v>
      </c>
      <c r="BB75" s="62" t="str">
        <f t="shared" si="60"/>
        <v>DNS/DNF</v>
      </c>
      <c r="BC75" s="75">
        <f t="shared" si="61"/>
        <v>84</v>
      </c>
      <c r="BD75" s="53">
        <f t="shared" si="62"/>
        <v>265363</v>
      </c>
      <c r="BE75" s="53">
        <f t="shared" si="63"/>
        <v>248828</v>
      </c>
      <c r="BF75" s="53">
        <f t="shared" si="64"/>
        <v>142356</v>
      </c>
      <c r="BG75" s="53">
        <f t="shared" si="65"/>
        <v>292779</v>
      </c>
      <c r="BH75" s="53">
        <f t="shared" si="66"/>
        <v>338496</v>
      </c>
      <c r="BI75" s="53" t="str">
        <f t="shared" si="67"/>
        <v/>
      </c>
      <c r="BJ75" s="53" t="str">
        <f t="shared" si="68"/>
        <v/>
      </c>
      <c r="BK75" s="53" t="str">
        <f t="shared" si="69"/>
        <v/>
      </c>
    </row>
    <row r="76" spans="1:63">
      <c r="A76" s="53">
        <v>102</v>
      </c>
      <c r="B76" s="89" t="str">
        <f>IFERROR(VLOOKUP($A76,EntryList!$A$3:$N$645,2,FALSE),"")</f>
        <v>Altus Rossouw</v>
      </c>
      <c r="C76" s="74"/>
      <c r="D76" s="53">
        <f t="shared" si="35"/>
        <v>5</v>
      </c>
      <c r="E76" s="62">
        <v>3.0759143518518518E-3</v>
      </c>
      <c r="F76" s="62">
        <v>2.898402777777778E-3</v>
      </c>
      <c r="G76" s="62">
        <v>1.6608333333333334E-3</v>
      </c>
      <c r="H76" s="62">
        <v>3.3495138888888884E-3</v>
      </c>
      <c r="I76" s="62">
        <v>3.8673958333333334E-3</v>
      </c>
      <c r="J76" s="62"/>
      <c r="K76" s="62"/>
      <c r="L76" s="62"/>
      <c r="M76" s="62">
        <v>1.4852060185185185E-2</v>
      </c>
      <c r="N76" s="62">
        <f t="shared" si="36"/>
        <v>1.4852060185185185E-2</v>
      </c>
      <c r="O76" s="53">
        <f t="shared" si="37"/>
        <v>85</v>
      </c>
      <c r="P76" s="53">
        <f t="shared" si="38"/>
        <v>86</v>
      </c>
      <c r="Q76" s="53">
        <f t="shared" si="39"/>
        <v>87</v>
      </c>
      <c r="R76" s="53">
        <f t="shared" si="40"/>
        <v>81</v>
      </c>
      <c r="S76" s="53">
        <f t="shared" si="41"/>
        <v>75</v>
      </c>
      <c r="T76" s="53" t="str">
        <f t="shared" si="42"/>
        <v/>
      </c>
      <c r="U76" s="53" t="str">
        <f t="shared" si="43"/>
        <v/>
      </c>
      <c r="V76" s="53" t="str">
        <f t="shared" si="44"/>
        <v/>
      </c>
      <c r="W76" s="53" t="str">
        <f t="shared" si="45"/>
        <v>00:04:25.8 (85)</v>
      </c>
      <c r="X76" s="53" t="str">
        <f t="shared" si="46"/>
        <v>00:04:10.4 (86)</v>
      </c>
      <c r="Y76" s="53" t="str">
        <f t="shared" si="47"/>
        <v>00:02:23.5 (87)</v>
      </c>
      <c r="Z76" s="53" t="str">
        <f t="shared" si="48"/>
        <v>00:04:49.4 (81)</v>
      </c>
      <c r="AA76" s="53" t="str">
        <f t="shared" si="49"/>
        <v>00:05:34.1 (75)</v>
      </c>
      <c r="AB76" s="53" t="str">
        <f t="shared" si="50"/>
        <v>DNS/DNF ()</v>
      </c>
      <c r="AC76" s="53" t="str">
        <f t="shared" si="51"/>
        <v>DNS/DNF ()</v>
      </c>
      <c r="AD76" s="53" t="str">
        <f t="shared" si="52"/>
        <v>DNS/DNF ()</v>
      </c>
      <c r="AE76" s="53">
        <v>32562267</v>
      </c>
      <c r="AF76" s="53">
        <v>32828026</v>
      </c>
      <c r="AG76" s="53">
        <v>36635255</v>
      </c>
      <c r="AH76" s="53">
        <v>36885677</v>
      </c>
      <c r="AI76" s="53">
        <v>39702702</v>
      </c>
      <c r="AJ76" s="53">
        <v>39846198</v>
      </c>
      <c r="AK76" s="53">
        <v>44773097</v>
      </c>
      <c r="AL76" s="53">
        <v>45062495</v>
      </c>
      <c r="AM76" s="53">
        <v>47532238</v>
      </c>
      <c r="AN76" s="53">
        <v>47866381</v>
      </c>
      <c r="AO76" s="53">
        <v>0</v>
      </c>
      <c r="AP76" s="53">
        <v>0</v>
      </c>
      <c r="AQ76" s="53">
        <v>0</v>
      </c>
      <c r="AR76" s="53">
        <v>0</v>
      </c>
      <c r="AS76" s="53">
        <v>0</v>
      </c>
      <c r="AT76" s="53">
        <v>0</v>
      </c>
      <c r="AU76" s="62">
        <f t="shared" si="53"/>
        <v>3.0759143518518518E-3</v>
      </c>
      <c r="AV76" s="62">
        <f t="shared" si="54"/>
        <v>2.898402777777778E-3</v>
      </c>
      <c r="AW76" s="62">
        <f t="shared" si="55"/>
        <v>1.6608333333333334E-3</v>
      </c>
      <c r="AX76" s="62">
        <f t="shared" si="56"/>
        <v>3.3495138888888889E-3</v>
      </c>
      <c r="AY76" s="62">
        <f t="shared" si="57"/>
        <v>3.8673958333333334E-3</v>
      </c>
      <c r="AZ76" s="62" t="str">
        <f t="shared" si="58"/>
        <v>DNS/DNF</v>
      </c>
      <c r="BA76" s="62" t="str">
        <f t="shared" si="59"/>
        <v>DNS/DNF</v>
      </c>
      <c r="BB76" s="62" t="str">
        <f t="shared" si="60"/>
        <v>DNS/DNF</v>
      </c>
      <c r="BC76" s="75">
        <f t="shared" si="61"/>
        <v>83</v>
      </c>
      <c r="BD76" s="53">
        <f t="shared" si="62"/>
        <v>264363</v>
      </c>
      <c r="BE76" s="53">
        <f t="shared" si="63"/>
        <v>248217</v>
      </c>
      <c r="BF76" s="53">
        <f t="shared" si="64"/>
        <v>142228</v>
      </c>
      <c r="BG76" s="53">
        <f t="shared" si="65"/>
        <v>290122</v>
      </c>
      <c r="BH76" s="53">
        <f t="shared" si="66"/>
        <v>338309</v>
      </c>
      <c r="BI76" s="53" t="str">
        <f t="shared" si="67"/>
        <v/>
      </c>
      <c r="BJ76" s="53" t="str">
        <f t="shared" si="68"/>
        <v/>
      </c>
      <c r="BK76" s="53" t="str">
        <f t="shared" si="69"/>
        <v/>
      </c>
    </row>
    <row r="77" spans="1:63">
      <c r="A77" s="53">
        <v>68</v>
      </c>
      <c r="B77" s="89" t="str">
        <f>IFERROR(VLOOKUP($A77,EntryList!$A$3:$N$645,2,FALSE),"")</f>
        <v>Liam Coetzee</v>
      </c>
      <c r="C77" s="74"/>
      <c r="D77" s="53">
        <f t="shared" si="35"/>
        <v>5</v>
      </c>
      <c r="E77" s="62">
        <v>3.203541666666667E-3</v>
      </c>
      <c r="F77" s="62">
        <v>2.902199074074074E-3</v>
      </c>
      <c r="G77" s="62">
        <v>1.6707175925925926E-3</v>
      </c>
      <c r="H77" s="62">
        <v>3.1329398148148154E-3</v>
      </c>
      <c r="I77" s="62">
        <v>4.0309143518518515E-3</v>
      </c>
      <c r="J77" s="62"/>
      <c r="K77" s="62"/>
      <c r="L77" s="62"/>
      <c r="M77" s="62">
        <v>1.4940312500000002E-2</v>
      </c>
      <c r="N77" s="62">
        <f t="shared" si="36"/>
        <v>1.4940312499999999E-2</v>
      </c>
      <c r="O77" s="53">
        <f t="shared" si="37"/>
        <v>94</v>
      </c>
      <c r="P77" s="53">
        <f t="shared" si="38"/>
        <v>87</v>
      </c>
      <c r="Q77" s="53">
        <f t="shared" si="39"/>
        <v>89</v>
      </c>
      <c r="R77" s="53">
        <f t="shared" si="40"/>
        <v>61</v>
      </c>
      <c r="S77" s="53">
        <f t="shared" si="41"/>
        <v>103</v>
      </c>
      <c r="T77" s="53" t="str">
        <f t="shared" si="42"/>
        <v/>
      </c>
      <c r="U77" s="53" t="str">
        <f t="shared" si="43"/>
        <v/>
      </c>
      <c r="V77" s="53" t="str">
        <f t="shared" si="44"/>
        <v/>
      </c>
      <c r="W77" s="53" t="str">
        <f t="shared" si="45"/>
        <v>00:04:36.8 (94)</v>
      </c>
      <c r="X77" s="53" t="str">
        <f t="shared" si="46"/>
        <v>00:04:10.7 (87)</v>
      </c>
      <c r="Y77" s="53" t="str">
        <f t="shared" si="47"/>
        <v>00:02:24.4 (89)</v>
      </c>
      <c r="Z77" s="53" t="str">
        <f t="shared" si="48"/>
        <v>00:04:30.7 (61)</v>
      </c>
      <c r="AA77" s="53" t="str">
        <f t="shared" si="49"/>
        <v>00:05:48.3 (103)</v>
      </c>
      <c r="AB77" s="53" t="str">
        <f t="shared" si="50"/>
        <v>DNS/DNF ()</v>
      </c>
      <c r="AC77" s="53" t="str">
        <f t="shared" si="51"/>
        <v>DNS/DNF ()</v>
      </c>
      <c r="AD77" s="53" t="str">
        <f t="shared" si="52"/>
        <v>DNS/DNF ()</v>
      </c>
      <c r="AE77" s="53">
        <v>36857830</v>
      </c>
      <c r="AF77" s="53">
        <v>37134616</v>
      </c>
      <c r="AG77" s="53">
        <v>32892049</v>
      </c>
      <c r="AH77" s="53">
        <v>33142799</v>
      </c>
      <c r="AI77" s="53">
        <v>39951356</v>
      </c>
      <c r="AJ77" s="53">
        <v>40095706</v>
      </c>
      <c r="AK77" s="53">
        <v>44687468</v>
      </c>
      <c r="AL77" s="53">
        <v>44958154</v>
      </c>
      <c r="AM77" s="53">
        <v>47357062</v>
      </c>
      <c r="AN77" s="53">
        <v>47705333</v>
      </c>
      <c r="AO77" s="53">
        <v>0</v>
      </c>
      <c r="AP77" s="53">
        <v>0</v>
      </c>
      <c r="AQ77" s="53">
        <v>0</v>
      </c>
      <c r="AR77" s="53">
        <v>0</v>
      </c>
      <c r="AS77" s="53">
        <v>0</v>
      </c>
      <c r="AT77" s="53">
        <v>0</v>
      </c>
      <c r="AU77" s="62">
        <f t="shared" si="53"/>
        <v>3.2035416666666666E-3</v>
      </c>
      <c r="AV77" s="62">
        <f t="shared" si="54"/>
        <v>2.902199074074074E-3</v>
      </c>
      <c r="AW77" s="62">
        <f t="shared" si="55"/>
        <v>1.6707175925925926E-3</v>
      </c>
      <c r="AX77" s="62">
        <f t="shared" si="56"/>
        <v>3.132939814814815E-3</v>
      </c>
      <c r="AY77" s="62">
        <f t="shared" si="57"/>
        <v>4.0309143518518515E-3</v>
      </c>
      <c r="AZ77" s="62" t="str">
        <f t="shared" si="58"/>
        <v>DNS/DNF</v>
      </c>
      <c r="BA77" s="62" t="str">
        <f t="shared" si="59"/>
        <v>DNS/DNF</v>
      </c>
      <c r="BB77" s="62" t="str">
        <f t="shared" si="60"/>
        <v>DNS/DNF</v>
      </c>
      <c r="BC77" s="75">
        <f t="shared" si="61"/>
        <v>87</v>
      </c>
      <c r="BD77" s="53">
        <f t="shared" si="62"/>
        <v>269321</v>
      </c>
      <c r="BE77" s="53">
        <f t="shared" si="63"/>
        <v>250750</v>
      </c>
      <c r="BF77" s="53">
        <f t="shared" si="64"/>
        <v>143496</v>
      </c>
      <c r="BG77" s="53">
        <f t="shared" si="65"/>
        <v>293826</v>
      </c>
      <c r="BH77" s="53">
        <f t="shared" si="66"/>
        <v>340302</v>
      </c>
      <c r="BI77" s="53" t="str">
        <f t="shared" si="67"/>
        <v/>
      </c>
      <c r="BJ77" s="53" t="str">
        <f t="shared" si="68"/>
        <v/>
      </c>
      <c r="BK77" s="53" t="str">
        <f t="shared" si="69"/>
        <v/>
      </c>
    </row>
    <row r="78" spans="1:63">
      <c r="A78" s="53">
        <v>73</v>
      </c>
      <c r="B78" s="89" t="str">
        <f>IFERROR(VLOOKUP($A78,EntryList!$A$3:$N$645,2,FALSE),"")</f>
        <v>Jean-Pierre Whitfield</v>
      </c>
      <c r="C78" s="74"/>
      <c r="D78" s="53">
        <f t="shared" si="35"/>
        <v>5</v>
      </c>
      <c r="E78" s="62">
        <v>2.7715393518518519E-3</v>
      </c>
      <c r="F78" s="62">
        <v>2.9427083333333332E-3</v>
      </c>
      <c r="G78" s="62">
        <v>1.6878009259259259E-3</v>
      </c>
      <c r="H78" s="62">
        <v>3.4743634259259259E-3</v>
      </c>
      <c r="I78" s="62">
        <v>4.0870370370370375E-3</v>
      </c>
      <c r="J78" s="62"/>
      <c r="K78" s="62"/>
      <c r="L78" s="62"/>
      <c r="M78" s="62">
        <v>1.4963449074074072E-2</v>
      </c>
      <c r="N78" s="62">
        <f t="shared" si="36"/>
        <v>1.4963449074074073E-2</v>
      </c>
      <c r="O78" s="53">
        <f t="shared" si="37"/>
        <v>55</v>
      </c>
      <c r="P78" s="53">
        <f t="shared" si="38"/>
        <v>96</v>
      </c>
      <c r="Q78" s="53">
        <f t="shared" si="39"/>
        <v>92</v>
      </c>
      <c r="R78" s="53">
        <f t="shared" si="40"/>
        <v>96</v>
      </c>
      <c r="S78" s="53">
        <f t="shared" si="41"/>
        <v>119</v>
      </c>
      <c r="T78" s="53" t="str">
        <f t="shared" si="42"/>
        <v/>
      </c>
      <c r="U78" s="53" t="str">
        <f t="shared" si="43"/>
        <v/>
      </c>
      <c r="V78" s="53" t="str">
        <f t="shared" si="44"/>
        <v/>
      </c>
      <c r="W78" s="53" t="str">
        <f t="shared" si="45"/>
        <v>00:03:59.5 (55)</v>
      </c>
      <c r="X78" s="53" t="str">
        <f t="shared" si="46"/>
        <v>00:04:14.2 (96)</v>
      </c>
      <c r="Y78" s="53" t="str">
        <f t="shared" si="47"/>
        <v>00:02:25.8 (92)</v>
      </c>
      <c r="Z78" s="53" t="str">
        <f t="shared" si="48"/>
        <v>00:05:00.2 (96)</v>
      </c>
      <c r="AA78" s="53" t="str">
        <f t="shared" si="49"/>
        <v>00:05:53.1 (119)</v>
      </c>
      <c r="AB78" s="53" t="str">
        <f t="shared" si="50"/>
        <v>DNS/DNF ()</v>
      </c>
      <c r="AC78" s="53" t="str">
        <f t="shared" si="51"/>
        <v>DNS/DNF ()</v>
      </c>
      <c r="AD78" s="53" t="str">
        <f t="shared" si="52"/>
        <v>DNS/DNF ()</v>
      </c>
      <c r="AE78" s="53">
        <v>35737812</v>
      </c>
      <c r="AF78" s="53">
        <v>35977273</v>
      </c>
      <c r="AG78" s="53">
        <v>32482461</v>
      </c>
      <c r="AH78" s="53">
        <v>32736711</v>
      </c>
      <c r="AI78" s="53">
        <v>39146933</v>
      </c>
      <c r="AJ78" s="53">
        <v>39292759</v>
      </c>
      <c r="AK78" s="53">
        <v>42772673</v>
      </c>
      <c r="AL78" s="53">
        <v>43072858</v>
      </c>
      <c r="AM78" s="53">
        <v>45393646</v>
      </c>
      <c r="AN78" s="53">
        <v>45746766</v>
      </c>
      <c r="AO78" s="53">
        <v>0</v>
      </c>
      <c r="AP78" s="53">
        <v>0</v>
      </c>
      <c r="AQ78" s="53">
        <v>0</v>
      </c>
      <c r="AR78" s="53">
        <v>0</v>
      </c>
      <c r="AS78" s="53">
        <v>0</v>
      </c>
      <c r="AT78" s="53">
        <v>0</v>
      </c>
      <c r="AU78" s="62">
        <f t="shared" si="53"/>
        <v>2.7715393518518519E-3</v>
      </c>
      <c r="AV78" s="62">
        <f t="shared" si="54"/>
        <v>2.9427083333333332E-3</v>
      </c>
      <c r="AW78" s="62">
        <f t="shared" si="55"/>
        <v>1.6878009259259259E-3</v>
      </c>
      <c r="AX78" s="62">
        <f t="shared" si="56"/>
        <v>3.4743634259259259E-3</v>
      </c>
      <c r="AY78" s="62">
        <f t="shared" si="57"/>
        <v>4.0870370370370375E-3</v>
      </c>
      <c r="AZ78" s="62" t="str">
        <f t="shared" si="58"/>
        <v>DNS/DNF</v>
      </c>
      <c r="BA78" s="62" t="str">
        <f t="shared" si="59"/>
        <v>DNS/DNF</v>
      </c>
      <c r="BB78" s="62" t="str">
        <f t="shared" si="60"/>
        <v>DNS/DNF</v>
      </c>
      <c r="BC78" s="75">
        <f t="shared" si="61"/>
        <v>92</v>
      </c>
      <c r="BD78" s="53">
        <f t="shared" si="62"/>
        <v>275746</v>
      </c>
      <c r="BE78" s="53">
        <f t="shared" si="63"/>
        <v>252630.00000000003</v>
      </c>
      <c r="BF78" s="53">
        <f t="shared" si="64"/>
        <v>145826</v>
      </c>
      <c r="BG78" s="53">
        <f t="shared" si="65"/>
        <v>296542</v>
      </c>
      <c r="BH78" s="53">
        <f t="shared" si="66"/>
        <v>342364</v>
      </c>
      <c r="BI78" s="53" t="str">
        <f t="shared" si="67"/>
        <v/>
      </c>
      <c r="BJ78" s="53" t="str">
        <f t="shared" si="68"/>
        <v/>
      </c>
      <c r="BK78" s="53" t="str">
        <f t="shared" si="69"/>
        <v/>
      </c>
    </row>
    <row r="79" spans="1:63">
      <c r="A79" s="53">
        <v>124</v>
      </c>
      <c r="B79" s="89" t="str">
        <f>IFERROR(VLOOKUP($A79,EntryList!$A$3:$N$645,2,FALSE),"")</f>
        <v>Matthew Halbert</v>
      </c>
      <c r="C79" s="74"/>
      <c r="D79" s="53">
        <f t="shared" si="35"/>
        <v>5</v>
      </c>
      <c r="E79" s="62">
        <v>3.3523148148148149E-3</v>
      </c>
      <c r="F79" s="62">
        <v>2.9258564814814811E-3</v>
      </c>
      <c r="G79" s="62">
        <v>1.6320601851851852E-3</v>
      </c>
      <c r="H79" s="62">
        <v>3.1988541666666663E-3</v>
      </c>
      <c r="I79" s="62">
        <v>3.9136226851851849E-3</v>
      </c>
      <c r="J79" s="62"/>
      <c r="K79" s="62"/>
      <c r="L79" s="62"/>
      <c r="M79" s="62">
        <v>1.5022708333333334E-2</v>
      </c>
      <c r="N79" s="62">
        <f t="shared" si="36"/>
        <v>1.5022708333333332E-2</v>
      </c>
      <c r="O79" s="53">
        <f t="shared" si="37"/>
        <v>105</v>
      </c>
      <c r="P79" s="53">
        <f t="shared" si="38"/>
        <v>93</v>
      </c>
      <c r="Q79" s="53">
        <f t="shared" si="39"/>
        <v>80</v>
      </c>
      <c r="R79" s="53">
        <f t="shared" si="40"/>
        <v>71</v>
      </c>
      <c r="S79" s="53">
        <f t="shared" si="41"/>
        <v>81</v>
      </c>
      <c r="T79" s="53" t="str">
        <f t="shared" si="42"/>
        <v/>
      </c>
      <c r="U79" s="53" t="str">
        <f t="shared" si="43"/>
        <v/>
      </c>
      <c r="V79" s="53" t="str">
        <f t="shared" si="44"/>
        <v/>
      </c>
      <c r="W79" s="53" t="str">
        <f t="shared" si="45"/>
        <v>00:04:49.6 (105)</v>
      </c>
      <c r="X79" s="53" t="str">
        <f t="shared" si="46"/>
        <v>00:04:12.8 (93)</v>
      </c>
      <c r="Y79" s="53" t="str">
        <f t="shared" si="47"/>
        <v>00:02:21.0 (80)</v>
      </c>
      <c r="Z79" s="53" t="str">
        <f t="shared" si="48"/>
        <v>00:04:36.4 (71)</v>
      </c>
      <c r="AA79" s="53" t="str">
        <f t="shared" si="49"/>
        <v>00:05:38.1 (81)</v>
      </c>
      <c r="AB79" s="53" t="str">
        <f t="shared" si="50"/>
        <v>DNS/DNF ()</v>
      </c>
      <c r="AC79" s="53" t="str">
        <f t="shared" si="51"/>
        <v>DNS/DNF ()</v>
      </c>
      <c r="AD79" s="53" t="str">
        <f t="shared" si="52"/>
        <v>DNS/DNF ()</v>
      </c>
      <c r="AE79" s="53">
        <v>36379570</v>
      </c>
      <c r="AF79" s="53">
        <v>36669210</v>
      </c>
      <c r="AG79" s="53">
        <v>32586293</v>
      </c>
      <c r="AH79" s="53">
        <v>32839087</v>
      </c>
      <c r="AI79" s="53">
        <v>39850430</v>
      </c>
      <c r="AJ79" s="53">
        <v>39991440</v>
      </c>
      <c r="AK79" s="53">
        <v>44359427</v>
      </c>
      <c r="AL79" s="53">
        <v>44635808</v>
      </c>
      <c r="AM79" s="53">
        <v>47634894</v>
      </c>
      <c r="AN79" s="53">
        <v>47973031</v>
      </c>
      <c r="AO79" s="53">
        <v>0</v>
      </c>
      <c r="AP79" s="53">
        <v>0</v>
      </c>
      <c r="AQ79" s="53">
        <v>0</v>
      </c>
      <c r="AR79" s="53">
        <v>0</v>
      </c>
      <c r="AS79" s="53">
        <v>0</v>
      </c>
      <c r="AT79" s="53">
        <v>0</v>
      </c>
      <c r="AU79" s="62">
        <f t="shared" si="53"/>
        <v>3.3523148148148149E-3</v>
      </c>
      <c r="AV79" s="62">
        <f t="shared" si="54"/>
        <v>2.9258564814814815E-3</v>
      </c>
      <c r="AW79" s="62">
        <f t="shared" si="55"/>
        <v>1.6320601851851852E-3</v>
      </c>
      <c r="AX79" s="62">
        <f t="shared" si="56"/>
        <v>3.1988541666666667E-3</v>
      </c>
      <c r="AY79" s="62">
        <f t="shared" si="57"/>
        <v>3.9136226851851849E-3</v>
      </c>
      <c r="AZ79" s="62" t="str">
        <f t="shared" si="58"/>
        <v>DNS/DNF</v>
      </c>
      <c r="BA79" s="62" t="str">
        <f t="shared" si="59"/>
        <v>DNS/DNF</v>
      </c>
      <c r="BB79" s="62" t="str">
        <f t="shared" si="60"/>
        <v>DNS/DNF</v>
      </c>
      <c r="BC79" s="75">
        <f t="shared" si="61"/>
        <v>86</v>
      </c>
      <c r="BD79" s="53">
        <f t="shared" si="62"/>
        <v>268212</v>
      </c>
      <c r="BE79" s="53">
        <f t="shared" si="63"/>
        <v>250422.00000000003</v>
      </c>
      <c r="BF79" s="53">
        <f t="shared" si="64"/>
        <v>143125</v>
      </c>
      <c r="BG79" s="53">
        <f t="shared" si="65"/>
        <v>293107</v>
      </c>
      <c r="BH79" s="53">
        <f t="shared" si="66"/>
        <v>339972</v>
      </c>
      <c r="BI79" s="53" t="str">
        <f t="shared" si="67"/>
        <v/>
      </c>
      <c r="BJ79" s="53" t="str">
        <f t="shared" si="68"/>
        <v/>
      </c>
      <c r="BK79" s="53" t="str">
        <f t="shared" si="69"/>
        <v/>
      </c>
    </row>
    <row r="80" spans="1:63">
      <c r="A80" s="53">
        <v>173</v>
      </c>
      <c r="B80" s="89" t="str">
        <f>IFERROR(VLOOKUP($A80,EntryList!$A$3:$N$645,2,FALSE),"")</f>
        <v>Luca Hewitson</v>
      </c>
      <c r="C80" s="74"/>
      <c r="D80" s="53">
        <f t="shared" si="35"/>
        <v>5</v>
      </c>
      <c r="E80" s="62">
        <v>2.9028240740740746E-3</v>
      </c>
      <c r="F80" s="62">
        <v>3.0132986111111111E-3</v>
      </c>
      <c r="G80" s="62">
        <v>1.7019907407407409E-3</v>
      </c>
      <c r="H80" s="62">
        <v>3.3392708333333334E-3</v>
      </c>
      <c r="I80" s="62">
        <v>4.0944560185185181E-3</v>
      </c>
      <c r="J80" s="62"/>
      <c r="K80" s="62"/>
      <c r="L80" s="62"/>
      <c r="M80" s="62">
        <v>1.5051840277777777E-2</v>
      </c>
      <c r="N80" s="62">
        <f t="shared" si="36"/>
        <v>1.5051840277777779E-2</v>
      </c>
      <c r="O80" s="53">
        <f t="shared" si="37"/>
        <v>69</v>
      </c>
      <c r="P80" s="53">
        <f t="shared" si="38"/>
        <v>112</v>
      </c>
      <c r="Q80" s="53">
        <f t="shared" si="39"/>
        <v>99</v>
      </c>
      <c r="R80" s="53">
        <f t="shared" si="40"/>
        <v>80</v>
      </c>
      <c r="S80" s="53">
        <f t="shared" si="41"/>
        <v>123</v>
      </c>
      <c r="T80" s="53" t="str">
        <f t="shared" si="42"/>
        <v/>
      </c>
      <c r="U80" s="53" t="str">
        <f t="shared" si="43"/>
        <v/>
      </c>
      <c r="V80" s="53" t="str">
        <f t="shared" si="44"/>
        <v/>
      </c>
      <c r="W80" s="53" t="str">
        <f t="shared" si="45"/>
        <v>00:04:10.8 (69)</v>
      </c>
      <c r="X80" s="53" t="str">
        <f t="shared" si="46"/>
        <v>00:04:20.3 (112)</v>
      </c>
      <c r="Y80" s="53" t="str">
        <f t="shared" si="47"/>
        <v>00:02:27.1 (99)</v>
      </c>
      <c r="Z80" s="53" t="str">
        <f t="shared" si="48"/>
        <v>00:04:48.5 (80)</v>
      </c>
      <c r="AA80" s="53" t="str">
        <f t="shared" si="49"/>
        <v>00:05:53.8 (123)</v>
      </c>
      <c r="AB80" s="53" t="str">
        <f t="shared" si="50"/>
        <v>DNS/DNF ()</v>
      </c>
      <c r="AC80" s="53" t="str">
        <f t="shared" si="51"/>
        <v>DNS/DNF ()</v>
      </c>
      <c r="AD80" s="53" t="str">
        <f t="shared" si="52"/>
        <v>DNS/DNF ()</v>
      </c>
      <c r="AE80" s="53">
        <v>33466026</v>
      </c>
      <c r="AF80" s="53">
        <v>33716830</v>
      </c>
      <c r="AG80" s="53">
        <v>40983616</v>
      </c>
      <c r="AH80" s="53">
        <v>41243965</v>
      </c>
      <c r="AI80" s="53">
        <v>37782584</v>
      </c>
      <c r="AJ80" s="53">
        <v>37929636</v>
      </c>
      <c r="AK80" s="53">
        <v>46011526</v>
      </c>
      <c r="AL80" s="53">
        <v>46300039</v>
      </c>
      <c r="AM80" s="53">
        <v>49036152</v>
      </c>
      <c r="AN80" s="53">
        <v>49389913</v>
      </c>
      <c r="AO80" s="53">
        <v>0</v>
      </c>
      <c r="AP80" s="53">
        <v>0</v>
      </c>
      <c r="AQ80" s="53">
        <v>0</v>
      </c>
      <c r="AR80" s="53">
        <v>0</v>
      </c>
      <c r="AS80" s="53">
        <v>0</v>
      </c>
      <c r="AT80" s="53">
        <v>0</v>
      </c>
      <c r="AU80" s="62">
        <f t="shared" si="53"/>
        <v>2.9028240740740742E-3</v>
      </c>
      <c r="AV80" s="62">
        <f t="shared" si="54"/>
        <v>3.0132986111111111E-3</v>
      </c>
      <c r="AW80" s="62">
        <f t="shared" si="55"/>
        <v>1.7019907407407407E-3</v>
      </c>
      <c r="AX80" s="62">
        <f t="shared" si="56"/>
        <v>3.3392708333333334E-3</v>
      </c>
      <c r="AY80" s="62">
        <f t="shared" si="57"/>
        <v>4.0944560185185181E-3</v>
      </c>
      <c r="AZ80" s="62" t="str">
        <f t="shared" si="58"/>
        <v>DNS/DNF</v>
      </c>
      <c r="BA80" s="62" t="str">
        <f t="shared" si="59"/>
        <v>DNS/DNF</v>
      </c>
      <c r="BB80" s="62" t="str">
        <f t="shared" si="60"/>
        <v>DNS/DNF</v>
      </c>
      <c r="BC80" s="75">
        <f t="shared" si="61"/>
        <v>97</v>
      </c>
      <c r="BD80" s="53">
        <f t="shared" si="62"/>
        <v>278351</v>
      </c>
      <c r="BE80" s="53">
        <f t="shared" si="63"/>
        <v>254490</v>
      </c>
      <c r="BF80" s="53">
        <f t="shared" si="64"/>
        <v>146362</v>
      </c>
      <c r="BG80" s="53">
        <f t="shared" si="65"/>
        <v>301363</v>
      </c>
      <c r="BH80" s="53">
        <f t="shared" si="66"/>
        <v>344306</v>
      </c>
      <c r="BI80" s="53" t="str">
        <f t="shared" si="67"/>
        <v/>
      </c>
      <c r="BJ80" s="53" t="str">
        <f t="shared" si="68"/>
        <v/>
      </c>
      <c r="BK80" s="53" t="str">
        <f t="shared" si="69"/>
        <v/>
      </c>
    </row>
    <row r="81" spans="1:63">
      <c r="A81" s="53">
        <v>259</v>
      </c>
      <c r="B81" s="89" t="str">
        <f>IFERROR(VLOOKUP($A81,EntryList!$A$3:$N$645,2,FALSE),"")</f>
        <v>Jessi Nixon</v>
      </c>
      <c r="C81" s="74"/>
      <c r="D81" s="53">
        <f t="shared" si="35"/>
        <v>5</v>
      </c>
      <c r="E81" s="62">
        <v>2.9082407407407408E-3</v>
      </c>
      <c r="F81" s="62">
        <v>3.0115856481481482E-3</v>
      </c>
      <c r="G81" s="62">
        <v>1.6917245370370369E-3</v>
      </c>
      <c r="H81" s="62">
        <v>3.3924421296296294E-3</v>
      </c>
      <c r="I81" s="62">
        <v>4.0721875000000003E-3</v>
      </c>
      <c r="J81" s="62"/>
      <c r="K81" s="62"/>
      <c r="L81" s="62"/>
      <c r="M81" s="62">
        <v>1.5076180555555556E-2</v>
      </c>
      <c r="N81" s="62">
        <f t="shared" si="36"/>
        <v>1.5076180555555558E-2</v>
      </c>
      <c r="O81" s="53">
        <f t="shared" si="37"/>
        <v>72</v>
      </c>
      <c r="P81" s="53">
        <f t="shared" si="38"/>
        <v>111</v>
      </c>
      <c r="Q81" s="53">
        <f t="shared" si="39"/>
        <v>95</v>
      </c>
      <c r="R81" s="53">
        <f t="shared" si="40"/>
        <v>86</v>
      </c>
      <c r="S81" s="53">
        <f t="shared" si="41"/>
        <v>112</v>
      </c>
      <c r="T81" s="53" t="str">
        <f t="shared" si="42"/>
        <v/>
      </c>
      <c r="U81" s="53" t="str">
        <f t="shared" si="43"/>
        <v/>
      </c>
      <c r="V81" s="53" t="str">
        <f t="shared" si="44"/>
        <v/>
      </c>
      <c r="W81" s="53" t="str">
        <f t="shared" si="45"/>
        <v>00:04:11.3 (72)</v>
      </c>
      <c r="X81" s="53" t="str">
        <f t="shared" si="46"/>
        <v>00:04:20.2 (111)</v>
      </c>
      <c r="Y81" s="53" t="str">
        <f t="shared" si="47"/>
        <v>00:02:26.2 (95)</v>
      </c>
      <c r="Z81" s="53" t="str">
        <f t="shared" si="48"/>
        <v>00:04:53.1 (86)</v>
      </c>
      <c r="AA81" s="53" t="str">
        <f t="shared" si="49"/>
        <v>00:05:51.8 (112)</v>
      </c>
      <c r="AB81" s="53" t="str">
        <f t="shared" si="50"/>
        <v>DNS/DNF ()</v>
      </c>
      <c r="AC81" s="53" t="str">
        <f t="shared" si="51"/>
        <v>DNS/DNF ()</v>
      </c>
      <c r="AD81" s="53" t="str">
        <f t="shared" si="52"/>
        <v>DNS/DNF ()</v>
      </c>
      <c r="AE81" s="53">
        <v>35509219</v>
      </c>
      <c r="AF81" s="53">
        <v>35760491</v>
      </c>
      <c r="AG81" s="53">
        <v>39013962</v>
      </c>
      <c r="AH81" s="53">
        <v>39274163</v>
      </c>
      <c r="AI81" s="53">
        <v>31776794</v>
      </c>
      <c r="AJ81" s="53">
        <v>31922959</v>
      </c>
      <c r="AK81" s="53">
        <v>45045935</v>
      </c>
      <c r="AL81" s="53">
        <v>45339042</v>
      </c>
      <c r="AM81" s="53">
        <v>48545656</v>
      </c>
      <c r="AN81" s="53">
        <v>48897493</v>
      </c>
      <c r="AO81" s="53">
        <v>0</v>
      </c>
      <c r="AP81" s="53">
        <v>0</v>
      </c>
      <c r="AQ81" s="53">
        <v>0</v>
      </c>
      <c r="AR81" s="53">
        <v>0</v>
      </c>
      <c r="AS81" s="53">
        <v>0</v>
      </c>
      <c r="AT81" s="53">
        <v>0</v>
      </c>
      <c r="AU81" s="62">
        <f t="shared" si="53"/>
        <v>2.9082407407407408E-3</v>
      </c>
      <c r="AV81" s="62">
        <f t="shared" si="54"/>
        <v>3.0115856481481482E-3</v>
      </c>
      <c r="AW81" s="62">
        <f t="shared" si="55"/>
        <v>1.6917245370370369E-3</v>
      </c>
      <c r="AX81" s="62">
        <f t="shared" si="56"/>
        <v>3.3924421296296298E-3</v>
      </c>
      <c r="AY81" s="62">
        <f t="shared" si="57"/>
        <v>4.0721875000000003E-3</v>
      </c>
      <c r="AZ81" s="62" t="str">
        <f t="shared" si="58"/>
        <v>DNS/DNF</v>
      </c>
      <c r="BA81" s="62" t="str">
        <f t="shared" si="59"/>
        <v>DNS/DNF</v>
      </c>
      <c r="BB81" s="62" t="str">
        <f t="shared" si="60"/>
        <v>DNS/DNF</v>
      </c>
      <c r="BC81" s="75">
        <f t="shared" si="61"/>
        <v>95</v>
      </c>
      <c r="BD81" s="53">
        <f t="shared" si="62"/>
        <v>277296</v>
      </c>
      <c r="BE81" s="53">
        <f t="shared" si="63"/>
        <v>253034</v>
      </c>
      <c r="BF81" s="53">
        <f t="shared" si="64"/>
        <v>146165</v>
      </c>
      <c r="BG81" s="53">
        <f t="shared" si="65"/>
        <v>300170</v>
      </c>
      <c r="BH81" s="53">
        <f t="shared" si="66"/>
        <v>343248.99999999994</v>
      </c>
      <c r="BI81" s="53" t="str">
        <f t="shared" si="67"/>
        <v/>
      </c>
      <c r="BJ81" s="53" t="str">
        <f t="shared" si="68"/>
        <v/>
      </c>
      <c r="BK81" s="53" t="str">
        <f t="shared" si="69"/>
        <v/>
      </c>
    </row>
    <row r="82" spans="1:63">
      <c r="A82" s="53">
        <v>59</v>
      </c>
      <c r="B82" s="89" t="str">
        <f>IFERROR(VLOOKUP($A82,EntryList!$A$3:$N$645,2,FALSE),"")</f>
        <v>Kyle Collair</v>
      </c>
      <c r="C82" s="74"/>
      <c r="D82" s="53">
        <f t="shared" si="35"/>
        <v>5</v>
      </c>
      <c r="E82" s="62">
        <v>3.2213310185185179E-3</v>
      </c>
      <c r="F82" s="62">
        <v>2.904421296296296E-3</v>
      </c>
      <c r="G82" s="62">
        <v>1.7399884259259261E-3</v>
      </c>
      <c r="H82" s="62">
        <v>3.3578935185185183E-3</v>
      </c>
      <c r="I82" s="62">
        <v>3.9532986111111114E-3</v>
      </c>
      <c r="J82" s="62"/>
      <c r="K82" s="62"/>
      <c r="L82" s="62"/>
      <c r="M82" s="62">
        <v>1.517693287037037E-2</v>
      </c>
      <c r="N82" s="62">
        <f t="shared" si="36"/>
        <v>1.517693287037037E-2</v>
      </c>
      <c r="O82" s="53">
        <f t="shared" si="37"/>
        <v>96</v>
      </c>
      <c r="P82" s="53">
        <f t="shared" si="38"/>
        <v>88</v>
      </c>
      <c r="Q82" s="53">
        <f t="shared" si="39"/>
        <v>111</v>
      </c>
      <c r="R82" s="53">
        <f t="shared" si="40"/>
        <v>83</v>
      </c>
      <c r="S82" s="53">
        <f t="shared" si="41"/>
        <v>90</v>
      </c>
      <c r="T82" s="53" t="str">
        <f t="shared" si="42"/>
        <v/>
      </c>
      <c r="U82" s="53" t="str">
        <f t="shared" si="43"/>
        <v/>
      </c>
      <c r="V82" s="53" t="str">
        <f t="shared" si="44"/>
        <v/>
      </c>
      <c r="W82" s="53" t="str">
        <f t="shared" si="45"/>
        <v>00:04:38.3 (96)</v>
      </c>
      <c r="X82" s="53" t="str">
        <f t="shared" si="46"/>
        <v>00:04:10.9 (88)</v>
      </c>
      <c r="Y82" s="53" t="str">
        <f t="shared" si="47"/>
        <v>00:02:30.3 (111)</v>
      </c>
      <c r="Z82" s="53" t="str">
        <f t="shared" si="48"/>
        <v>00:04:50.1 (83)</v>
      </c>
      <c r="AA82" s="53" t="str">
        <f t="shared" si="49"/>
        <v>00:05:41.6 (90)</v>
      </c>
      <c r="AB82" s="53" t="str">
        <f t="shared" si="50"/>
        <v>DNS/DNF ()</v>
      </c>
      <c r="AC82" s="53" t="str">
        <f t="shared" si="51"/>
        <v>DNS/DNF ()</v>
      </c>
      <c r="AD82" s="53" t="str">
        <f t="shared" si="52"/>
        <v>DNS/DNF ()</v>
      </c>
      <c r="AE82" s="53">
        <v>34495906</v>
      </c>
      <c r="AF82" s="53">
        <v>34774229</v>
      </c>
      <c r="AG82" s="53">
        <v>37805386</v>
      </c>
      <c r="AH82" s="53">
        <v>38056328</v>
      </c>
      <c r="AI82" s="53">
        <v>31628804</v>
      </c>
      <c r="AJ82" s="53">
        <v>31779139</v>
      </c>
      <c r="AK82" s="53">
        <v>42558681</v>
      </c>
      <c r="AL82" s="53">
        <v>42848803</v>
      </c>
      <c r="AM82" s="53">
        <v>44652878</v>
      </c>
      <c r="AN82" s="53">
        <v>44994443</v>
      </c>
      <c r="AO82" s="53">
        <v>0</v>
      </c>
      <c r="AP82" s="53">
        <v>0</v>
      </c>
      <c r="AQ82" s="53">
        <v>0</v>
      </c>
      <c r="AR82" s="53">
        <v>0</v>
      </c>
      <c r="AS82" s="53">
        <v>0</v>
      </c>
      <c r="AT82" s="53">
        <v>0</v>
      </c>
      <c r="AU82" s="62">
        <f t="shared" si="53"/>
        <v>3.2213310185185183E-3</v>
      </c>
      <c r="AV82" s="62">
        <f t="shared" si="54"/>
        <v>2.9044212962962964E-3</v>
      </c>
      <c r="AW82" s="62">
        <f t="shared" si="55"/>
        <v>1.7399884259259259E-3</v>
      </c>
      <c r="AX82" s="62">
        <f t="shared" si="56"/>
        <v>3.3578935185185183E-3</v>
      </c>
      <c r="AY82" s="62">
        <f t="shared" si="57"/>
        <v>3.9532986111111114E-3</v>
      </c>
      <c r="AZ82" s="62" t="str">
        <f t="shared" si="58"/>
        <v>DNS/DNF</v>
      </c>
      <c r="BA82" s="62" t="str">
        <f t="shared" si="59"/>
        <v>DNS/DNF</v>
      </c>
      <c r="BB82" s="62" t="str">
        <f t="shared" si="60"/>
        <v>DNS/DNF</v>
      </c>
      <c r="BC82" s="75">
        <f t="shared" si="61"/>
        <v>94</v>
      </c>
      <c r="BD82" s="53">
        <f t="shared" si="62"/>
        <v>276786</v>
      </c>
      <c r="BE82" s="53">
        <f t="shared" si="63"/>
        <v>253033</v>
      </c>
      <c r="BF82" s="53">
        <f t="shared" si="64"/>
        <v>146148</v>
      </c>
      <c r="BG82" s="53">
        <f t="shared" si="65"/>
        <v>298397</v>
      </c>
      <c r="BH82" s="53">
        <f t="shared" si="66"/>
        <v>343196</v>
      </c>
      <c r="BI82" s="53" t="str">
        <f t="shared" si="67"/>
        <v/>
      </c>
      <c r="BJ82" s="53" t="str">
        <f t="shared" si="68"/>
        <v/>
      </c>
      <c r="BK82" s="53" t="str">
        <f t="shared" si="69"/>
        <v/>
      </c>
    </row>
    <row r="83" spans="1:63">
      <c r="A83" s="53">
        <v>178</v>
      </c>
      <c r="B83" s="89" t="str">
        <f>IFERROR(VLOOKUP($A83,EntryList!$A$3:$N$645,2,FALSE),"")</f>
        <v>Gustav Raubenheimer</v>
      </c>
      <c r="C83" s="74"/>
      <c r="D83" s="53">
        <f t="shared" si="35"/>
        <v>5</v>
      </c>
      <c r="E83" s="62">
        <v>3.1043055555555559E-3</v>
      </c>
      <c r="F83" s="62">
        <v>2.9286342592592593E-3</v>
      </c>
      <c r="G83" s="62">
        <v>1.7098611111111114E-3</v>
      </c>
      <c r="H83" s="62">
        <v>3.3077314814814814E-3</v>
      </c>
      <c r="I83" s="62">
        <v>4.1463888888888887E-3</v>
      </c>
      <c r="J83" s="62"/>
      <c r="K83" s="62"/>
      <c r="L83" s="62"/>
      <c r="M83" s="62">
        <v>1.5196921296296297E-2</v>
      </c>
      <c r="N83" s="62">
        <f t="shared" si="36"/>
        <v>1.5196921296296295E-2</v>
      </c>
      <c r="O83" s="53">
        <f t="shared" si="37"/>
        <v>86</v>
      </c>
      <c r="P83" s="53">
        <f t="shared" si="38"/>
        <v>95</v>
      </c>
      <c r="Q83" s="53">
        <f t="shared" si="39"/>
        <v>104</v>
      </c>
      <c r="R83" s="53">
        <f t="shared" si="40"/>
        <v>78</v>
      </c>
      <c r="S83" s="53">
        <f t="shared" si="41"/>
        <v>135</v>
      </c>
      <c r="T83" s="53" t="str">
        <f t="shared" si="42"/>
        <v/>
      </c>
      <c r="U83" s="53" t="str">
        <f t="shared" si="43"/>
        <v/>
      </c>
      <c r="V83" s="53" t="str">
        <f t="shared" si="44"/>
        <v/>
      </c>
      <c r="W83" s="53" t="str">
        <f t="shared" si="45"/>
        <v>00:04:28.2 (86)</v>
      </c>
      <c r="X83" s="53" t="str">
        <f t="shared" si="46"/>
        <v>00:04:13.0 (95)</v>
      </c>
      <c r="Y83" s="53" t="str">
        <f t="shared" si="47"/>
        <v>00:02:27.7 (104)</v>
      </c>
      <c r="Z83" s="53" t="str">
        <f t="shared" si="48"/>
        <v>00:04:45.8 (78)</v>
      </c>
      <c r="AA83" s="53" t="str">
        <f t="shared" si="49"/>
        <v>00:05:58.2 (135)</v>
      </c>
      <c r="AB83" s="53" t="str">
        <f t="shared" si="50"/>
        <v>DNS/DNF ()</v>
      </c>
      <c r="AC83" s="53" t="str">
        <f t="shared" si="51"/>
        <v>DNS/DNF ()</v>
      </c>
      <c r="AD83" s="53" t="str">
        <f t="shared" si="52"/>
        <v>DNS/DNF ()</v>
      </c>
      <c r="AE83" s="53">
        <v>31984470</v>
      </c>
      <c r="AF83" s="53">
        <v>32252682</v>
      </c>
      <c r="AG83" s="53">
        <v>35433583</v>
      </c>
      <c r="AH83" s="53">
        <v>35686617</v>
      </c>
      <c r="AI83" s="53">
        <v>38771696</v>
      </c>
      <c r="AJ83" s="53">
        <v>38919428</v>
      </c>
      <c r="AK83" s="53">
        <v>43067972</v>
      </c>
      <c r="AL83" s="53">
        <v>43353760</v>
      </c>
      <c r="AM83" s="53">
        <v>45557844</v>
      </c>
      <c r="AN83" s="53">
        <v>45916092</v>
      </c>
      <c r="AO83" s="53">
        <v>0</v>
      </c>
      <c r="AP83" s="53">
        <v>0</v>
      </c>
      <c r="AQ83" s="53">
        <v>0</v>
      </c>
      <c r="AR83" s="53">
        <v>0</v>
      </c>
      <c r="AS83" s="53">
        <v>0</v>
      </c>
      <c r="AT83" s="53">
        <v>0</v>
      </c>
      <c r="AU83" s="62">
        <f t="shared" si="53"/>
        <v>3.1043055555555555E-3</v>
      </c>
      <c r="AV83" s="62">
        <f t="shared" si="54"/>
        <v>2.9286342592592593E-3</v>
      </c>
      <c r="AW83" s="62">
        <f t="shared" si="55"/>
        <v>1.7098611111111112E-3</v>
      </c>
      <c r="AX83" s="62">
        <f t="shared" si="56"/>
        <v>3.3077314814814814E-3</v>
      </c>
      <c r="AY83" s="62">
        <f t="shared" si="57"/>
        <v>4.1463888888888887E-3</v>
      </c>
      <c r="AZ83" s="62" t="str">
        <f t="shared" si="58"/>
        <v>DNS/DNF</v>
      </c>
      <c r="BA83" s="62" t="str">
        <f t="shared" si="59"/>
        <v>DNS/DNF</v>
      </c>
      <c r="BB83" s="62" t="str">
        <f t="shared" si="60"/>
        <v>DNS/DNF</v>
      </c>
      <c r="BC83" s="75">
        <f t="shared" si="61"/>
        <v>100</v>
      </c>
      <c r="BD83" s="53">
        <f t="shared" si="62"/>
        <v>283353</v>
      </c>
      <c r="BE83" s="53">
        <f t="shared" si="63"/>
        <v>256501</v>
      </c>
      <c r="BF83" s="53">
        <f t="shared" si="64"/>
        <v>147192</v>
      </c>
      <c r="BG83" s="53">
        <f t="shared" si="65"/>
        <v>303873</v>
      </c>
      <c r="BH83" s="53">
        <f t="shared" si="66"/>
        <v>347435.99999999994</v>
      </c>
      <c r="BI83" s="53" t="str">
        <f t="shared" si="67"/>
        <v/>
      </c>
      <c r="BJ83" s="53" t="str">
        <f t="shared" si="68"/>
        <v/>
      </c>
      <c r="BK83" s="53" t="str">
        <f t="shared" si="69"/>
        <v/>
      </c>
    </row>
    <row r="84" spans="1:63">
      <c r="A84" s="53">
        <v>184</v>
      </c>
      <c r="B84" s="89" t="str">
        <f>IFERROR(VLOOKUP($A84,EntryList!$A$3:$N$645,2,FALSE),"")</f>
        <v>Leon Bartel</v>
      </c>
      <c r="C84" s="74"/>
      <c r="D84" s="53">
        <f t="shared" si="35"/>
        <v>5</v>
      </c>
      <c r="E84" s="62">
        <v>3.1915046296296296E-3</v>
      </c>
      <c r="F84" s="62">
        <v>2.9851041666666667E-3</v>
      </c>
      <c r="G84" s="62">
        <v>1.8312847222222222E-3</v>
      </c>
      <c r="H84" s="62">
        <v>3.4007638888888889E-3</v>
      </c>
      <c r="I84" s="62">
        <v>3.9177777777777778E-3</v>
      </c>
      <c r="J84" s="62"/>
      <c r="K84" s="62"/>
      <c r="L84" s="62"/>
      <c r="M84" s="62">
        <v>1.5326435185185184E-2</v>
      </c>
      <c r="N84" s="62">
        <f t="shared" si="36"/>
        <v>1.5326435185185186E-2</v>
      </c>
      <c r="O84" s="53">
        <f t="shared" si="37"/>
        <v>92</v>
      </c>
      <c r="P84" s="53">
        <f t="shared" si="38"/>
        <v>105</v>
      </c>
      <c r="Q84" s="53">
        <f t="shared" si="39"/>
        <v>140</v>
      </c>
      <c r="R84" s="53">
        <f t="shared" si="40"/>
        <v>87</v>
      </c>
      <c r="S84" s="53">
        <f t="shared" si="41"/>
        <v>84</v>
      </c>
      <c r="T84" s="53" t="str">
        <f t="shared" si="42"/>
        <v/>
      </c>
      <c r="U84" s="53" t="str">
        <f t="shared" si="43"/>
        <v/>
      </c>
      <c r="V84" s="53" t="str">
        <f t="shared" si="44"/>
        <v/>
      </c>
      <c r="W84" s="53" t="str">
        <f t="shared" si="45"/>
        <v>00:04:35.7 (92)</v>
      </c>
      <c r="X84" s="53" t="str">
        <f t="shared" si="46"/>
        <v>00:04:17.9 (105)</v>
      </c>
      <c r="Y84" s="53" t="str">
        <f t="shared" si="47"/>
        <v>00:02:38.2 (140)</v>
      </c>
      <c r="Z84" s="53" t="str">
        <f t="shared" si="48"/>
        <v>00:04:53.8 (87)</v>
      </c>
      <c r="AA84" s="53" t="str">
        <f t="shared" si="49"/>
        <v>00:05:38.5 (84)</v>
      </c>
      <c r="AB84" s="53" t="str">
        <f t="shared" si="50"/>
        <v>DNS/DNF ()</v>
      </c>
      <c r="AC84" s="53" t="str">
        <f t="shared" si="51"/>
        <v>DNS/DNF ()</v>
      </c>
      <c r="AD84" s="53" t="str">
        <f t="shared" si="52"/>
        <v>DNS/DNF ()</v>
      </c>
      <c r="AE84" s="53">
        <v>36707494</v>
      </c>
      <c r="AF84" s="53">
        <v>36983240</v>
      </c>
      <c r="AG84" s="53">
        <v>40164004</v>
      </c>
      <c r="AH84" s="53">
        <v>40421917</v>
      </c>
      <c r="AI84" s="53">
        <v>32683961</v>
      </c>
      <c r="AJ84" s="53">
        <v>32842184</v>
      </c>
      <c r="AK84" s="53">
        <v>44522288</v>
      </c>
      <c r="AL84" s="53">
        <v>44816114</v>
      </c>
      <c r="AM84" s="53">
        <v>48365456</v>
      </c>
      <c r="AN84" s="53">
        <v>48703952</v>
      </c>
      <c r="AO84" s="53">
        <v>0</v>
      </c>
      <c r="AP84" s="53">
        <v>0</v>
      </c>
      <c r="AQ84" s="53">
        <v>0</v>
      </c>
      <c r="AR84" s="53">
        <v>0</v>
      </c>
      <c r="AS84" s="53">
        <v>0</v>
      </c>
      <c r="AT84" s="53">
        <v>0</v>
      </c>
      <c r="AU84" s="62">
        <f t="shared" si="53"/>
        <v>3.1915046296296296E-3</v>
      </c>
      <c r="AV84" s="62">
        <f t="shared" si="54"/>
        <v>2.9851041666666667E-3</v>
      </c>
      <c r="AW84" s="62">
        <f t="shared" si="55"/>
        <v>1.8312847222222222E-3</v>
      </c>
      <c r="AX84" s="62">
        <f t="shared" si="56"/>
        <v>3.4007638888888889E-3</v>
      </c>
      <c r="AY84" s="62">
        <f t="shared" si="57"/>
        <v>3.9177777777777778E-3</v>
      </c>
      <c r="AZ84" s="62" t="str">
        <f t="shared" si="58"/>
        <v>DNS/DNF</v>
      </c>
      <c r="BA84" s="62" t="str">
        <f t="shared" si="59"/>
        <v>DNS/DNF</v>
      </c>
      <c r="BB84" s="62" t="str">
        <f t="shared" si="60"/>
        <v>DNS/DNF</v>
      </c>
      <c r="BC84" s="75">
        <f t="shared" si="61"/>
        <v>102</v>
      </c>
      <c r="BD84" s="53">
        <f t="shared" si="62"/>
        <v>286786</v>
      </c>
      <c r="BE84" s="53">
        <f t="shared" si="63"/>
        <v>256902</v>
      </c>
      <c r="BF84" s="53">
        <f t="shared" si="64"/>
        <v>147652</v>
      </c>
      <c r="BG84" s="53">
        <f t="shared" si="65"/>
        <v>304902</v>
      </c>
      <c r="BH84" s="53">
        <f t="shared" si="66"/>
        <v>348108</v>
      </c>
      <c r="BI84" s="53" t="str">
        <f t="shared" si="67"/>
        <v/>
      </c>
      <c r="BJ84" s="53" t="str">
        <f t="shared" si="68"/>
        <v/>
      </c>
      <c r="BK84" s="53" t="str">
        <f t="shared" si="69"/>
        <v/>
      </c>
    </row>
    <row r="85" spans="1:63">
      <c r="A85" s="53">
        <v>162</v>
      </c>
      <c r="B85" s="89" t="str">
        <f>IFERROR(VLOOKUP($A85,EntryList!$A$3:$N$645,2,FALSE),"")</f>
        <v>Fritz Kolb</v>
      </c>
      <c r="C85" s="74"/>
      <c r="D85" s="53">
        <f t="shared" si="35"/>
        <v>5</v>
      </c>
      <c r="E85" s="62">
        <v>3.1975694444444443E-3</v>
      </c>
      <c r="F85" s="62">
        <v>3.0804745370370365E-3</v>
      </c>
      <c r="G85" s="62">
        <v>1.7082175925925926E-3</v>
      </c>
      <c r="H85" s="62">
        <v>3.405393518518519E-3</v>
      </c>
      <c r="I85" s="62">
        <v>3.9386805555555555E-3</v>
      </c>
      <c r="J85" s="62"/>
      <c r="K85" s="62"/>
      <c r="L85" s="62"/>
      <c r="M85" s="62">
        <v>1.5330335648148148E-2</v>
      </c>
      <c r="N85" s="62">
        <f t="shared" si="36"/>
        <v>1.533033564814815E-2</v>
      </c>
      <c r="O85" s="53">
        <f t="shared" si="37"/>
        <v>93</v>
      </c>
      <c r="P85" s="53">
        <f t="shared" si="38"/>
        <v>124</v>
      </c>
      <c r="Q85" s="53">
        <f t="shared" si="39"/>
        <v>101</v>
      </c>
      <c r="R85" s="53">
        <f t="shared" si="40"/>
        <v>89</v>
      </c>
      <c r="S85" s="53">
        <f t="shared" si="41"/>
        <v>87</v>
      </c>
      <c r="T85" s="53" t="str">
        <f t="shared" si="42"/>
        <v/>
      </c>
      <c r="U85" s="53" t="str">
        <f t="shared" si="43"/>
        <v/>
      </c>
      <c r="V85" s="53" t="str">
        <f t="shared" si="44"/>
        <v/>
      </c>
      <c r="W85" s="53" t="str">
        <f t="shared" si="45"/>
        <v>00:04:36.3 (93)</v>
      </c>
      <c r="X85" s="53" t="str">
        <f t="shared" si="46"/>
        <v>00:04:26.2 (124)</v>
      </c>
      <c r="Y85" s="53" t="str">
        <f t="shared" si="47"/>
        <v>00:02:27.6 (101)</v>
      </c>
      <c r="Z85" s="53" t="str">
        <f t="shared" si="48"/>
        <v>00:04:54.2 (89)</v>
      </c>
      <c r="AA85" s="53" t="str">
        <f t="shared" si="49"/>
        <v>00:05:40.3 (87)</v>
      </c>
      <c r="AB85" s="53" t="str">
        <f t="shared" si="50"/>
        <v>DNS/DNF ()</v>
      </c>
      <c r="AC85" s="53" t="str">
        <f t="shared" si="51"/>
        <v>DNS/DNF ()</v>
      </c>
      <c r="AD85" s="53" t="str">
        <f t="shared" si="52"/>
        <v>DNS/DNF ()</v>
      </c>
      <c r="AE85" s="53">
        <v>37090337</v>
      </c>
      <c r="AF85" s="53">
        <v>37366607</v>
      </c>
      <c r="AG85" s="53">
        <v>32698990</v>
      </c>
      <c r="AH85" s="53">
        <v>32965143</v>
      </c>
      <c r="AI85" s="53">
        <v>40992714</v>
      </c>
      <c r="AJ85" s="53">
        <v>41140304</v>
      </c>
      <c r="AK85" s="53">
        <v>45665629</v>
      </c>
      <c r="AL85" s="53">
        <v>45959855</v>
      </c>
      <c r="AM85" s="53">
        <v>48816690</v>
      </c>
      <c r="AN85" s="53">
        <v>49156992</v>
      </c>
      <c r="AO85" s="53">
        <v>0</v>
      </c>
      <c r="AP85" s="53">
        <v>0</v>
      </c>
      <c r="AQ85" s="53">
        <v>0</v>
      </c>
      <c r="AR85" s="53">
        <v>0</v>
      </c>
      <c r="AS85" s="53">
        <v>0</v>
      </c>
      <c r="AT85" s="53">
        <v>0</v>
      </c>
      <c r="AU85" s="62">
        <f t="shared" si="53"/>
        <v>3.1975694444444443E-3</v>
      </c>
      <c r="AV85" s="62">
        <f t="shared" si="54"/>
        <v>3.0804745370370369E-3</v>
      </c>
      <c r="AW85" s="62">
        <f t="shared" si="55"/>
        <v>1.7082175925925926E-3</v>
      </c>
      <c r="AX85" s="62">
        <f t="shared" si="56"/>
        <v>3.4053935185185185E-3</v>
      </c>
      <c r="AY85" s="62">
        <f t="shared" si="57"/>
        <v>3.9386805555555555E-3</v>
      </c>
      <c r="AZ85" s="62" t="str">
        <f t="shared" si="58"/>
        <v>DNS/DNF</v>
      </c>
      <c r="BA85" s="62" t="str">
        <f t="shared" si="59"/>
        <v>DNS/DNF</v>
      </c>
      <c r="BB85" s="62" t="str">
        <f t="shared" si="60"/>
        <v>DNS/DNF</v>
      </c>
      <c r="BC85" s="75">
        <f t="shared" si="61"/>
        <v>99</v>
      </c>
      <c r="BD85" s="53">
        <f t="shared" si="62"/>
        <v>281325</v>
      </c>
      <c r="BE85" s="53">
        <f t="shared" si="63"/>
        <v>256283</v>
      </c>
      <c r="BF85" s="53">
        <f t="shared" si="64"/>
        <v>147052</v>
      </c>
      <c r="BG85" s="53">
        <f t="shared" si="65"/>
        <v>302969</v>
      </c>
      <c r="BH85" s="53">
        <f t="shared" si="66"/>
        <v>345656</v>
      </c>
      <c r="BI85" s="53" t="str">
        <f t="shared" si="67"/>
        <v/>
      </c>
      <c r="BJ85" s="53" t="str">
        <f t="shared" si="68"/>
        <v/>
      </c>
      <c r="BK85" s="53" t="str">
        <f t="shared" si="69"/>
        <v/>
      </c>
    </row>
    <row r="86" spans="1:63" ht="13.5" customHeight="1">
      <c r="A86" s="53">
        <v>226</v>
      </c>
      <c r="B86" s="89" t="str">
        <f>IFERROR(VLOOKUP($A86,EntryList!$A$3:$N$645,2,FALSE),"")</f>
        <v>Adriaan De Lange</v>
      </c>
      <c r="C86" s="74"/>
      <c r="D86" s="53">
        <f t="shared" si="35"/>
        <v>5</v>
      </c>
      <c r="E86" s="62">
        <v>3.727893518518518E-3</v>
      </c>
      <c r="F86" s="62">
        <v>3.0970833333333336E-3</v>
      </c>
      <c r="G86" s="62">
        <v>1.5769444444444444E-3</v>
      </c>
      <c r="H86" s="62">
        <v>3.1891319444444441E-3</v>
      </c>
      <c r="I86" s="62">
        <v>3.7613425925925926E-3</v>
      </c>
      <c r="J86" s="62"/>
      <c r="K86" s="62"/>
      <c r="L86" s="62"/>
      <c r="M86" s="62">
        <v>1.5352395833333332E-2</v>
      </c>
      <c r="N86" s="62">
        <f t="shared" si="36"/>
        <v>1.5352395833333332E-2</v>
      </c>
      <c r="O86" s="53">
        <f t="shared" si="37"/>
        <v>118</v>
      </c>
      <c r="P86" s="53">
        <f t="shared" si="38"/>
        <v>129</v>
      </c>
      <c r="Q86" s="53">
        <f t="shared" si="39"/>
        <v>66</v>
      </c>
      <c r="R86" s="53">
        <f t="shared" si="40"/>
        <v>69</v>
      </c>
      <c r="S86" s="53">
        <f t="shared" si="41"/>
        <v>58</v>
      </c>
      <c r="T86" s="53" t="str">
        <f t="shared" si="42"/>
        <v/>
      </c>
      <c r="U86" s="53" t="str">
        <f t="shared" si="43"/>
        <v/>
      </c>
      <c r="V86" s="53" t="str">
        <f t="shared" si="44"/>
        <v/>
      </c>
      <c r="W86" s="53" t="str">
        <f t="shared" si="45"/>
        <v>00:05:22.1 (118)</v>
      </c>
      <c r="X86" s="53" t="str">
        <f t="shared" si="46"/>
        <v>00:04:27.6 (129)</v>
      </c>
      <c r="Y86" s="53" t="str">
        <f t="shared" si="47"/>
        <v>00:02:16.2 (66)</v>
      </c>
      <c r="Z86" s="53" t="str">
        <f t="shared" si="48"/>
        <v>00:04:35.5 (69)</v>
      </c>
      <c r="AA86" s="53" t="str">
        <f t="shared" si="49"/>
        <v>00:05:25.0 (58)</v>
      </c>
      <c r="AB86" s="53" t="str">
        <f t="shared" si="50"/>
        <v>DNS/DNF ()</v>
      </c>
      <c r="AC86" s="53" t="str">
        <f t="shared" si="51"/>
        <v>DNS/DNF ()</v>
      </c>
      <c r="AD86" s="53" t="str">
        <f t="shared" si="52"/>
        <v>DNS/DNF ()</v>
      </c>
      <c r="AE86" s="53">
        <v>27549679</v>
      </c>
      <c r="AF86" s="53">
        <v>27871769</v>
      </c>
      <c r="AG86" s="53">
        <v>45074894</v>
      </c>
      <c r="AH86" s="53">
        <v>45342482</v>
      </c>
      <c r="AI86" s="53">
        <v>29806368</v>
      </c>
      <c r="AJ86" s="53">
        <v>29942616</v>
      </c>
      <c r="AK86" s="53">
        <v>48459270</v>
      </c>
      <c r="AL86" s="53">
        <v>48734811</v>
      </c>
      <c r="AM86" s="53">
        <v>50333006</v>
      </c>
      <c r="AN86" s="53">
        <v>50657986</v>
      </c>
      <c r="AO86" s="53">
        <v>0</v>
      </c>
      <c r="AP86" s="53">
        <v>0</v>
      </c>
      <c r="AQ86" s="53">
        <v>0</v>
      </c>
      <c r="AR86" s="53">
        <v>0</v>
      </c>
      <c r="AS86" s="53">
        <v>0</v>
      </c>
      <c r="AT86" s="53">
        <v>0</v>
      </c>
      <c r="AU86" s="62">
        <f t="shared" si="53"/>
        <v>3.7278935185185184E-3</v>
      </c>
      <c r="AV86" s="62">
        <f t="shared" si="54"/>
        <v>3.0970833333333332E-3</v>
      </c>
      <c r="AW86" s="62">
        <f t="shared" si="55"/>
        <v>1.5769444444444444E-3</v>
      </c>
      <c r="AX86" s="62">
        <f t="shared" si="56"/>
        <v>3.1891319444444445E-3</v>
      </c>
      <c r="AY86" s="62">
        <f t="shared" si="57"/>
        <v>3.7613425925925926E-3</v>
      </c>
      <c r="AZ86" s="62" t="str">
        <f t="shared" si="58"/>
        <v>DNS/DNF</v>
      </c>
      <c r="BA86" s="62" t="str">
        <f t="shared" si="59"/>
        <v>DNS/DNF</v>
      </c>
      <c r="BB86" s="62" t="str">
        <f t="shared" si="60"/>
        <v>DNS/DNF</v>
      </c>
      <c r="BC86" s="75">
        <f t="shared" si="61"/>
        <v>88</v>
      </c>
      <c r="BD86" s="53">
        <f t="shared" si="62"/>
        <v>269755</v>
      </c>
      <c r="BE86" s="53">
        <f t="shared" si="63"/>
        <v>250942</v>
      </c>
      <c r="BF86" s="53">
        <f t="shared" si="64"/>
        <v>143652</v>
      </c>
      <c r="BG86" s="53">
        <f t="shared" si="65"/>
        <v>293971</v>
      </c>
      <c r="BH86" s="53">
        <f t="shared" si="66"/>
        <v>340319.00000000006</v>
      </c>
      <c r="BI86" s="53" t="str">
        <f t="shared" si="67"/>
        <v/>
      </c>
      <c r="BJ86" s="53" t="str">
        <f t="shared" si="68"/>
        <v/>
      </c>
      <c r="BK86" s="53" t="str">
        <f t="shared" si="69"/>
        <v/>
      </c>
    </row>
    <row r="87" spans="1:63">
      <c r="A87" s="53">
        <v>261</v>
      </c>
      <c r="B87" s="89" t="str">
        <f>IFERROR(VLOOKUP($A87,EntryList!$A$3:$N$645,2,FALSE),"")</f>
        <v>Gina Nixon</v>
      </c>
      <c r="C87" s="74"/>
      <c r="D87" s="53">
        <f t="shared" si="35"/>
        <v>5</v>
      </c>
      <c r="E87" s="62">
        <v>3.2560763888888886E-3</v>
      </c>
      <c r="F87" s="62">
        <v>2.9687615740740738E-3</v>
      </c>
      <c r="G87" s="62">
        <v>1.7941319444444443E-3</v>
      </c>
      <c r="H87" s="62">
        <v>3.3911342592592591E-3</v>
      </c>
      <c r="I87" s="62">
        <v>4.0379398148148145E-3</v>
      </c>
      <c r="J87" s="62"/>
      <c r="K87" s="62"/>
      <c r="L87" s="62"/>
      <c r="M87" s="62">
        <v>1.5448043981481481E-2</v>
      </c>
      <c r="N87" s="62">
        <f t="shared" si="36"/>
        <v>1.5448043981481481E-2</v>
      </c>
      <c r="O87" s="53">
        <f t="shared" si="37"/>
        <v>99</v>
      </c>
      <c r="P87" s="53">
        <f t="shared" si="38"/>
        <v>100</v>
      </c>
      <c r="Q87" s="53">
        <f t="shared" si="39"/>
        <v>134</v>
      </c>
      <c r="R87" s="53">
        <f t="shared" si="40"/>
        <v>85</v>
      </c>
      <c r="S87" s="53">
        <f t="shared" si="41"/>
        <v>107</v>
      </c>
      <c r="T87" s="53" t="str">
        <f t="shared" si="42"/>
        <v/>
      </c>
      <c r="U87" s="53" t="str">
        <f t="shared" si="43"/>
        <v/>
      </c>
      <c r="V87" s="53" t="str">
        <f t="shared" si="44"/>
        <v/>
      </c>
      <c r="W87" s="53" t="str">
        <f t="shared" si="45"/>
        <v>00:04:41.3 (99)</v>
      </c>
      <c r="X87" s="53" t="str">
        <f t="shared" si="46"/>
        <v>00:04:16.5 (100)</v>
      </c>
      <c r="Y87" s="53" t="str">
        <f t="shared" si="47"/>
        <v>00:02:35.0 (134)</v>
      </c>
      <c r="Z87" s="53" t="str">
        <f t="shared" si="48"/>
        <v>00:04:53.0 (85)</v>
      </c>
      <c r="AA87" s="53" t="str">
        <f t="shared" si="49"/>
        <v>00:05:48.9 (107)</v>
      </c>
      <c r="AB87" s="53" t="str">
        <f t="shared" si="50"/>
        <v>DNS/DNF ()</v>
      </c>
      <c r="AC87" s="53" t="str">
        <f t="shared" si="51"/>
        <v>DNS/DNF ()</v>
      </c>
      <c r="AD87" s="53" t="str">
        <f t="shared" si="52"/>
        <v>DNS/DNF ()</v>
      </c>
      <c r="AE87" s="53">
        <v>35524981</v>
      </c>
      <c r="AF87" s="53">
        <v>35806306</v>
      </c>
      <c r="AG87" s="53">
        <v>33077642</v>
      </c>
      <c r="AH87" s="53">
        <v>33334143</v>
      </c>
      <c r="AI87" s="53">
        <v>31136375</v>
      </c>
      <c r="AJ87" s="53">
        <v>31291388</v>
      </c>
      <c r="AK87" s="53">
        <v>39518334</v>
      </c>
      <c r="AL87" s="53">
        <v>39811328</v>
      </c>
      <c r="AM87" s="53">
        <v>41059916</v>
      </c>
      <c r="AN87" s="53">
        <v>41408794</v>
      </c>
      <c r="AO87" s="53">
        <v>0</v>
      </c>
      <c r="AP87" s="53">
        <v>0</v>
      </c>
      <c r="AQ87" s="53">
        <v>0</v>
      </c>
      <c r="AR87" s="53">
        <v>0</v>
      </c>
      <c r="AS87" s="53">
        <v>0</v>
      </c>
      <c r="AT87" s="53">
        <v>0</v>
      </c>
      <c r="AU87" s="62">
        <f t="shared" si="53"/>
        <v>3.2560763888888891E-3</v>
      </c>
      <c r="AV87" s="62">
        <f t="shared" si="54"/>
        <v>2.9687615740740742E-3</v>
      </c>
      <c r="AW87" s="62">
        <f t="shared" si="55"/>
        <v>1.7941319444444445E-3</v>
      </c>
      <c r="AX87" s="62">
        <f t="shared" si="56"/>
        <v>3.3911342592592591E-3</v>
      </c>
      <c r="AY87" s="62">
        <f t="shared" si="57"/>
        <v>4.0379398148148145E-3</v>
      </c>
      <c r="AZ87" s="62" t="str">
        <f t="shared" si="58"/>
        <v>DNS/DNF</v>
      </c>
      <c r="BA87" s="62" t="str">
        <f t="shared" si="59"/>
        <v>DNS/DNF</v>
      </c>
      <c r="BB87" s="62" t="str">
        <f t="shared" si="60"/>
        <v>DNS/DNF</v>
      </c>
      <c r="BC87" s="75">
        <f t="shared" si="61"/>
        <v>105</v>
      </c>
      <c r="BD87" s="53">
        <f t="shared" si="62"/>
        <v>289640</v>
      </c>
      <c r="BE87" s="53">
        <f t="shared" si="63"/>
        <v>257913</v>
      </c>
      <c r="BF87" s="53">
        <f t="shared" si="64"/>
        <v>148042</v>
      </c>
      <c r="BG87" s="53">
        <f t="shared" si="65"/>
        <v>308859</v>
      </c>
      <c r="BH87" s="53">
        <f t="shared" si="66"/>
        <v>348759</v>
      </c>
      <c r="BI87" s="53" t="str">
        <f t="shared" si="67"/>
        <v/>
      </c>
      <c r="BJ87" s="53" t="str">
        <f t="shared" si="68"/>
        <v/>
      </c>
      <c r="BK87" s="53" t="str">
        <f t="shared" si="69"/>
        <v/>
      </c>
    </row>
    <row r="88" spans="1:63">
      <c r="A88" s="53">
        <v>214</v>
      </c>
      <c r="B88" s="89" t="str">
        <f>IFERROR(VLOOKUP($A88,EntryList!$A$3:$N$645,2,FALSE),"")</f>
        <v>James Mccann</v>
      </c>
      <c r="C88" s="74"/>
      <c r="D88" s="53">
        <f t="shared" si="35"/>
        <v>5</v>
      </c>
      <c r="E88" s="62">
        <v>2.995046296296296E-3</v>
      </c>
      <c r="F88" s="62">
        <v>3.2934259259259258E-3</v>
      </c>
      <c r="G88" s="62">
        <v>1.7145601851851853E-3</v>
      </c>
      <c r="H88" s="62">
        <v>3.3513773148148144E-3</v>
      </c>
      <c r="I88" s="62">
        <v>4.1329398148148141E-3</v>
      </c>
      <c r="J88" s="62"/>
      <c r="K88" s="62"/>
      <c r="L88" s="62"/>
      <c r="M88" s="62">
        <v>1.5487349537037037E-2</v>
      </c>
      <c r="N88" s="62">
        <f t="shared" si="36"/>
        <v>1.5487349537037037E-2</v>
      </c>
      <c r="O88" s="53">
        <f t="shared" si="37"/>
        <v>81</v>
      </c>
      <c r="P88" s="53">
        <f t="shared" si="38"/>
        <v>182</v>
      </c>
      <c r="Q88" s="53">
        <f t="shared" si="39"/>
        <v>106</v>
      </c>
      <c r="R88" s="53">
        <f t="shared" si="40"/>
        <v>82</v>
      </c>
      <c r="S88" s="53">
        <f t="shared" si="41"/>
        <v>133</v>
      </c>
      <c r="T88" s="53" t="str">
        <f t="shared" si="42"/>
        <v/>
      </c>
      <c r="U88" s="53" t="str">
        <f t="shared" si="43"/>
        <v/>
      </c>
      <c r="V88" s="53" t="str">
        <f t="shared" si="44"/>
        <v/>
      </c>
      <c r="W88" s="53" t="str">
        <f t="shared" si="45"/>
        <v>00:04:18.8 (81)</v>
      </c>
      <c r="X88" s="53" t="str">
        <f t="shared" si="46"/>
        <v>00:04:44.6 (182)</v>
      </c>
      <c r="Y88" s="53" t="str">
        <f t="shared" si="47"/>
        <v>00:02:28.1 (106)</v>
      </c>
      <c r="Z88" s="53" t="str">
        <f t="shared" si="48"/>
        <v>00:04:49.6 (82)</v>
      </c>
      <c r="AA88" s="53" t="str">
        <f t="shared" si="49"/>
        <v>00:05:57.1 (133)</v>
      </c>
      <c r="AB88" s="53" t="str">
        <f t="shared" si="50"/>
        <v>DNS/DNF ()</v>
      </c>
      <c r="AC88" s="53" t="str">
        <f t="shared" si="51"/>
        <v>DNS/DNF ()</v>
      </c>
      <c r="AD88" s="53" t="str">
        <f t="shared" si="52"/>
        <v>DNS/DNF ()</v>
      </c>
      <c r="AE88" s="53">
        <v>37122601</v>
      </c>
      <c r="AF88" s="53">
        <v>37381373</v>
      </c>
      <c r="AG88" s="53">
        <v>32652183</v>
      </c>
      <c r="AH88" s="53">
        <v>32936735</v>
      </c>
      <c r="AI88" s="53">
        <v>41017582</v>
      </c>
      <c r="AJ88" s="53">
        <v>41165720</v>
      </c>
      <c r="AK88" s="53">
        <v>45722352</v>
      </c>
      <c r="AL88" s="53">
        <v>46011911</v>
      </c>
      <c r="AM88" s="53">
        <v>48834972</v>
      </c>
      <c r="AN88" s="53">
        <v>49192058</v>
      </c>
      <c r="AO88" s="53">
        <v>0</v>
      </c>
      <c r="AP88" s="53">
        <v>0</v>
      </c>
      <c r="AQ88" s="53">
        <v>0</v>
      </c>
      <c r="AR88" s="53">
        <v>0</v>
      </c>
      <c r="AS88" s="53">
        <v>0</v>
      </c>
      <c r="AT88" s="53">
        <v>0</v>
      </c>
      <c r="AU88" s="62">
        <f t="shared" si="53"/>
        <v>2.9950462962962964E-3</v>
      </c>
      <c r="AV88" s="62">
        <f t="shared" si="54"/>
        <v>3.2934259259259258E-3</v>
      </c>
      <c r="AW88" s="62">
        <f t="shared" si="55"/>
        <v>1.7145601851851853E-3</v>
      </c>
      <c r="AX88" s="62">
        <f t="shared" si="56"/>
        <v>3.3513773148148148E-3</v>
      </c>
      <c r="AY88" s="62">
        <f t="shared" si="57"/>
        <v>4.132939814814815E-3</v>
      </c>
      <c r="AZ88" s="62" t="str">
        <f t="shared" si="58"/>
        <v>DNS/DNF</v>
      </c>
      <c r="BA88" s="62" t="str">
        <f t="shared" si="59"/>
        <v>DNS/DNF</v>
      </c>
      <c r="BB88" s="62" t="str">
        <f t="shared" si="60"/>
        <v>DNS/DNF</v>
      </c>
      <c r="BC88" s="75">
        <f t="shared" si="61"/>
        <v>117</v>
      </c>
      <c r="BD88" s="53">
        <f t="shared" si="62"/>
        <v>317070</v>
      </c>
      <c r="BE88" s="53">
        <f t="shared" si="63"/>
        <v>263550</v>
      </c>
      <c r="BF88" s="53">
        <f t="shared" si="64"/>
        <v>151750</v>
      </c>
      <c r="BG88" s="53">
        <f t="shared" si="65"/>
        <v>324906</v>
      </c>
      <c r="BH88" s="53">
        <f t="shared" si="66"/>
        <v>352347</v>
      </c>
      <c r="BI88" s="53" t="str">
        <f t="shared" si="67"/>
        <v/>
      </c>
      <c r="BJ88" s="53" t="str">
        <f t="shared" si="68"/>
        <v/>
      </c>
      <c r="BK88" s="53" t="str">
        <f t="shared" si="69"/>
        <v/>
      </c>
    </row>
    <row r="89" spans="1:63">
      <c r="A89" s="53">
        <v>123</v>
      </c>
      <c r="B89" s="89" t="str">
        <f>IFERROR(VLOOKUP($A89,EntryList!$A$3:$N$645,2,FALSE),"")</f>
        <v>Dane Clifton</v>
      </c>
      <c r="C89" s="74"/>
      <c r="D89" s="53">
        <f t="shared" si="35"/>
        <v>5</v>
      </c>
      <c r="E89" s="62">
        <v>2.9734722222222215E-3</v>
      </c>
      <c r="F89" s="62">
        <v>3.0895023148148153E-3</v>
      </c>
      <c r="G89" s="62">
        <v>1.6565393518518517E-3</v>
      </c>
      <c r="H89" s="62">
        <v>3.715289351851852E-3</v>
      </c>
      <c r="I89" s="62">
        <v>4.0767592592592591E-3</v>
      </c>
      <c r="J89" s="62"/>
      <c r="K89" s="62"/>
      <c r="L89" s="62"/>
      <c r="M89" s="62">
        <v>1.5511562499999999E-2</v>
      </c>
      <c r="N89" s="62">
        <f t="shared" si="36"/>
        <v>1.5511562499999999E-2</v>
      </c>
      <c r="O89" s="53">
        <f t="shared" si="37"/>
        <v>79</v>
      </c>
      <c r="P89" s="53">
        <f t="shared" si="38"/>
        <v>128</v>
      </c>
      <c r="Q89" s="53">
        <f t="shared" si="39"/>
        <v>86</v>
      </c>
      <c r="R89" s="53">
        <f t="shared" si="40"/>
        <v>116</v>
      </c>
      <c r="S89" s="53">
        <f t="shared" si="41"/>
        <v>116</v>
      </c>
      <c r="T89" s="53" t="str">
        <f t="shared" si="42"/>
        <v/>
      </c>
      <c r="U89" s="53" t="str">
        <f t="shared" si="43"/>
        <v/>
      </c>
      <c r="V89" s="53" t="str">
        <f t="shared" si="44"/>
        <v/>
      </c>
      <c r="W89" s="53" t="str">
        <f t="shared" si="45"/>
        <v>00:04:16.9 (79)</v>
      </c>
      <c r="X89" s="53" t="str">
        <f t="shared" si="46"/>
        <v>00:04:26.9 (128)</v>
      </c>
      <c r="Y89" s="53" t="str">
        <f t="shared" si="47"/>
        <v>00:02:23.1 (86)</v>
      </c>
      <c r="Z89" s="53" t="str">
        <f t="shared" si="48"/>
        <v>00:05:21.0 (116)</v>
      </c>
      <c r="AA89" s="53" t="str">
        <f t="shared" si="49"/>
        <v>00:05:52.2 (116)</v>
      </c>
      <c r="AB89" s="53" t="str">
        <f t="shared" si="50"/>
        <v>DNS/DNF ()</v>
      </c>
      <c r="AC89" s="53" t="str">
        <f t="shared" si="51"/>
        <v>DNS/DNF ()</v>
      </c>
      <c r="AD89" s="53" t="str">
        <f t="shared" si="52"/>
        <v>DNS/DNF ()</v>
      </c>
      <c r="AE89" s="53">
        <v>33404812</v>
      </c>
      <c r="AF89" s="53">
        <v>33661720</v>
      </c>
      <c r="AG89" s="53">
        <v>39545962</v>
      </c>
      <c r="AH89" s="53">
        <v>39812895</v>
      </c>
      <c r="AI89" s="53">
        <v>36589497</v>
      </c>
      <c r="AJ89" s="53">
        <v>36732622</v>
      </c>
      <c r="AK89" s="53">
        <v>44161646</v>
      </c>
      <c r="AL89" s="53">
        <v>44482647</v>
      </c>
      <c r="AM89" s="53">
        <v>47192492</v>
      </c>
      <c r="AN89" s="53">
        <v>47544724</v>
      </c>
      <c r="AO89" s="53">
        <v>0</v>
      </c>
      <c r="AP89" s="53">
        <v>0</v>
      </c>
      <c r="AQ89" s="53">
        <v>0</v>
      </c>
      <c r="AR89" s="53">
        <v>0</v>
      </c>
      <c r="AS89" s="53">
        <v>0</v>
      </c>
      <c r="AT89" s="53">
        <v>0</v>
      </c>
      <c r="AU89" s="62">
        <f t="shared" si="53"/>
        <v>2.9734722222222224E-3</v>
      </c>
      <c r="AV89" s="62">
        <f t="shared" si="54"/>
        <v>3.0895023148148149E-3</v>
      </c>
      <c r="AW89" s="62">
        <f t="shared" si="55"/>
        <v>1.6565393518518517E-3</v>
      </c>
      <c r="AX89" s="62">
        <f t="shared" si="56"/>
        <v>3.715289351851852E-3</v>
      </c>
      <c r="AY89" s="62">
        <f t="shared" si="57"/>
        <v>4.0767592592592591E-3</v>
      </c>
      <c r="AZ89" s="62" t="str">
        <f t="shared" si="58"/>
        <v>DNS/DNF</v>
      </c>
      <c r="BA89" s="62" t="str">
        <f t="shared" si="59"/>
        <v>DNS/DNF</v>
      </c>
      <c r="BB89" s="62" t="str">
        <f t="shared" si="60"/>
        <v>DNS/DNF</v>
      </c>
      <c r="BC89" s="75">
        <f t="shared" si="61"/>
        <v>105</v>
      </c>
      <c r="BD89" s="53">
        <f t="shared" si="62"/>
        <v>289640</v>
      </c>
      <c r="BE89" s="53">
        <f t="shared" si="63"/>
        <v>257913</v>
      </c>
      <c r="BF89" s="53">
        <f t="shared" si="64"/>
        <v>148042</v>
      </c>
      <c r="BG89" s="53">
        <f t="shared" si="65"/>
        <v>308859</v>
      </c>
      <c r="BH89" s="53">
        <f t="shared" si="66"/>
        <v>348759</v>
      </c>
      <c r="BI89" s="53" t="str">
        <f t="shared" si="67"/>
        <v/>
      </c>
      <c r="BJ89" s="53" t="str">
        <f t="shared" si="68"/>
        <v/>
      </c>
      <c r="BK89" s="53" t="str">
        <f t="shared" si="69"/>
        <v/>
      </c>
    </row>
    <row r="90" spans="1:63">
      <c r="A90" s="53">
        <v>235</v>
      </c>
      <c r="B90" s="89" t="str">
        <f>IFERROR(VLOOKUP($A90,EntryList!$A$3:$N$645,2,FALSE),"")</f>
        <v>Bjorn Train</v>
      </c>
      <c r="C90" s="74"/>
      <c r="D90" s="53">
        <f t="shared" si="35"/>
        <v>5</v>
      </c>
      <c r="E90" s="62">
        <v>3.4740856481481485E-3</v>
      </c>
      <c r="F90" s="62">
        <v>3.0510879629629633E-3</v>
      </c>
      <c r="G90" s="62">
        <v>1.6770833333333334E-3</v>
      </c>
      <c r="H90" s="62">
        <v>3.3347337962962961E-3</v>
      </c>
      <c r="I90" s="62">
        <v>4.0365624999999994E-3</v>
      </c>
      <c r="J90" s="62"/>
      <c r="K90" s="62"/>
      <c r="L90" s="62"/>
      <c r="M90" s="62">
        <v>1.5573553240740739E-2</v>
      </c>
      <c r="N90" s="62">
        <f t="shared" si="36"/>
        <v>1.557355324074074E-2</v>
      </c>
      <c r="O90" s="53">
        <f t="shared" si="37"/>
        <v>109</v>
      </c>
      <c r="P90" s="53">
        <f t="shared" si="38"/>
        <v>118</v>
      </c>
      <c r="Q90" s="53">
        <f t="shared" si="39"/>
        <v>91</v>
      </c>
      <c r="R90" s="53">
        <f t="shared" si="40"/>
        <v>79</v>
      </c>
      <c r="S90" s="53">
        <f t="shared" si="41"/>
        <v>105</v>
      </c>
      <c r="T90" s="53" t="str">
        <f t="shared" si="42"/>
        <v/>
      </c>
      <c r="U90" s="53" t="str">
        <f t="shared" si="43"/>
        <v/>
      </c>
      <c r="V90" s="53" t="str">
        <f t="shared" si="44"/>
        <v/>
      </c>
      <c r="W90" s="53" t="str">
        <f t="shared" si="45"/>
        <v>00:05:00.2 (109)</v>
      </c>
      <c r="X90" s="53" t="str">
        <f t="shared" si="46"/>
        <v>00:04:23.6 (118)</v>
      </c>
      <c r="Y90" s="53" t="str">
        <f t="shared" si="47"/>
        <v>00:02:24.9 (91)</v>
      </c>
      <c r="Z90" s="53" t="str">
        <f t="shared" si="48"/>
        <v>00:04:48.1 (79)</v>
      </c>
      <c r="AA90" s="53" t="str">
        <f t="shared" si="49"/>
        <v>00:05:48.8 (105)</v>
      </c>
      <c r="AB90" s="53" t="str">
        <f t="shared" si="50"/>
        <v>DNS/DNF ()</v>
      </c>
      <c r="AC90" s="53" t="str">
        <f t="shared" si="51"/>
        <v>DNS/DNF ()</v>
      </c>
      <c r="AD90" s="53" t="str">
        <f t="shared" si="52"/>
        <v>DNS/DNF ()</v>
      </c>
      <c r="AE90" s="53">
        <v>33372325</v>
      </c>
      <c r="AF90" s="53">
        <v>33672486</v>
      </c>
      <c r="AG90" s="53">
        <v>39588124</v>
      </c>
      <c r="AH90" s="53">
        <v>39851738</v>
      </c>
      <c r="AI90" s="53">
        <v>36465631</v>
      </c>
      <c r="AJ90" s="53">
        <v>36610531</v>
      </c>
      <c r="AK90" s="53">
        <v>44246409</v>
      </c>
      <c r="AL90" s="53">
        <v>44534530</v>
      </c>
      <c r="AM90" s="53">
        <v>47239574</v>
      </c>
      <c r="AN90" s="53">
        <v>47588333</v>
      </c>
      <c r="AO90" s="53">
        <v>0</v>
      </c>
      <c r="AP90" s="53">
        <v>0</v>
      </c>
      <c r="AQ90" s="53">
        <v>0</v>
      </c>
      <c r="AR90" s="53">
        <v>0</v>
      </c>
      <c r="AS90" s="53">
        <v>0</v>
      </c>
      <c r="AT90" s="53">
        <v>0</v>
      </c>
      <c r="AU90" s="62">
        <f t="shared" si="53"/>
        <v>3.474085648148148E-3</v>
      </c>
      <c r="AV90" s="62">
        <f t="shared" si="54"/>
        <v>3.0510879629629629E-3</v>
      </c>
      <c r="AW90" s="62">
        <f t="shared" si="55"/>
        <v>1.6770833333333334E-3</v>
      </c>
      <c r="AX90" s="62">
        <f t="shared" si="56"/>
        <v>3.3347337962962961E-3</v>
      </c>
      <c r="AY90" s="62">
        <f t="shared" si="57"/>
        <v>4.0365625000000002E-3</v>
      </c>
      <c r="AZ90" s="62" t="str">
        <f t="shared" si="58"/>
        <v>DNS/DNF</v>
      </c>
      <c r="BA90" s="62" t="str">
        <f t="shared" si="59"/>
        <v>DNS/DNF</v>
      </c>
      <c r="BB90" s="62" t="str">
        <f t="shared" si="60"/>
        <v>DNS/DNF</v>
      </c>
      <c r="BC90" s="75">
        <f t="shared" si="61"/>
        <v>100</v>
      </c>
      <c r="BD90" s="53">
        <f t="shared" si="62"/>
        <v>283353</v>
      </c>
      <c r="BE90" s="53">
        <f t="shared" si="63"/>
        <v>256501</v>
      </c>
      <c r="BF90" s="53">
        <f t="shared" si="64"/>
        <v>147192</v>
      </c>
      <c r="BG90" s="53">
        <f t="shared" si="65"/>
        <v>303873</v>
      </c>
      <c r="BH90" s="53">
        <f t="shared" si="66"/>
        <v>347435.99999999994</v>
      </c>
      <c r="BI90" s="53" t="str">
        <f t="shared" si="67"/>
        <v/>
      </c>
      <c r="BJ90" s="53" t="str">
        <f t="shared" si="68"/>
        <v/>
      </c>
      <c r="BK90" s="53" t="str">
        <f t="shared" si="69"/>
        <v/>
      </c>
    </row>
    <row r="91" spans="1:63">
      <c r="A91" s="53">
        <v>231</v>
      </c>
      <c r="B91" s="89" t="str">
        <f>IFERROR(VLOOKUP($A91,EntryList!$A$3:$N$645,2,FALSE),"")</f>
        <v>Adriaan De Waard</v>
      </c>
      <c r="C91" s="74"/>
      <c r="D91" s="53">
        <f t="shared" si="35"/>
        <v>5</v>
      </c>
      <c r="E91" s="62">
        <v>2.9292013888888887E-3</v>
      </c>
      <c r="F91" s="62">
        <v>3.0615277777777776E-3</v>
      </c>
      <c r="G91" s="62">
        <v>1.713449074074074E-3</v>
      </c>
      <c r="H91" s="62">
        <v>3.6181828703703701E-3</v>
      </c>
      <c r="I91" s="62">
        <v>4.2686689814814818E-3</v>
      </c>
      <c r="J91" s="62"/>
      <c r="K91" s="62"/>
      <c r="L91" s="62"/>
      <c r="M91" s="62">
        <v>1.5591030092592592E-2</v>
      </c>
      <c r="N91" s="62">
        <f t="shared" si="36"/>
        <v>1.5591030092592592E-2</v>
      </c>
      <c r="O91" s="53">
        <f t="shared" si="37"/>
        <v>74</v>
      </c>
      <c r="P91" s="53">
        <f t="shared" si="38"/>
        <v>119</v>
      </c>
      <c r="Q91" s="53">
        <f t="shared" si="39"/>
        <v>105</v>
      </c>
      <c r="R91" s="53">
        <f t="shared" si="40"/>
        <v>109</v>
      </c>
      <c r="S91" s="53">
        <f t="shared" si="41"/>
        <v>159</v>
      </c>
      <c r="T91" s="53" t="str">
        <f t="shared" si="42"/>
        <v/>
      </c>
      <c r="U91" s="53" t="str">
        <f t="shared" si="43"/>
        <v/>
      </c>
      <c r="V91" s="53" t="str">
        <f t="shared" si="44"/>
        <v/>
      </c>
      <c r="W91" s="53" t="str">
        <f t="shared" si="45"/>
        <v>00:04:13.1 (74)</v>
      </c>
      <c r="X91" s="53" t="str">
        <f t="shared" si="46"/>
        <v>00:04:24.5 (119)</v>
      </c>
      <c r="Y91" s="53" t="str">
        <f t="shared" si="47"/>
        <v>00:02:28.0 (105)</v>
      </c>
      <c r="Z91" s="53" t="str">
        <f t="shared" si="48"/>
        <v>00:05:12.6 (109)</v>
      </c>
      <c r="AA91" s="53" t="str">
        <f t="shared" si="49"/>
        <v>00:06:08.8 (159)</v>
      </c>
      <c r="AB91" s="53" t="str">
        <f t="shared" si="50"/>
        <v>DNS/DNF ()</v>
      </c>
      <c r="AC91" s="53" t="str">
        <f t="shared" si="51"/>
        <v>DNS/DNF ()</v>
      </c>
      <c r="AD91" s="53" t="str">
        <f t="shared" si="52"/>
        <v>DNS/DNF ()</v>
      </c>
      <c r="AE91" s="53">
        <v>37038830</v>
      </c>
      <c r="AF91" s="53">
        <v>37291913</v>
      </c>
      <c r="AG91" s="53">
        <v>32865662</v>
      </c>
      <c r="AH91" s="53">
        <v>33130178</v>
      </c>
      <c r="AI91" s="53">
        <v>40720794</v>
      </c>
      <c r="AJ91" s="53">
        <v>40868836</v>
      </c>
      <c r="AK91" s="53">
        <v>47688291</v>
      </c>
      <c r="AL91" s="53">
        <v>48000902</v>
      </c>
      <c r="AM91" s="53">
        <v>44101258</v>
      </c>
      <c r="AN91" s="53">
        <v>44470071</v>
      </c>
      <c r="AO91" s="53">
        <v>0</v>
      </c>
      <c r="AP91" s="53">
        <v>0</v>
      </c>
      <c r="AQ91" s="53">
        <v>0</v>
      </c>
      <c r="AR91" s="53">
        <v>0</v>
      </c>
      <c r="AS91" s="53">
        <v>0</v>
      </c>
      <c r="AT91" s="53">
        <v>0</v>
      </c>
      <c r="AU91" s="62">
        <f t="shared" si="53"/>
        <v>2.9292013888888887E-3</v>
      </c>
      <c r="AV91" s="62">
        <f t="shared" si="54"/>
        <v>3.0615277777777776E-3</v>
      </c>
      <c r="AW91" s="62">
        <f t="shared" si="55"/>
        <v>1.713449074074074E-3</v>
      </c>
      <c r="AX91" s="62">
        <f t="shared" si="56"/>
        <v>3.6181828703703706E-3</v>
      </c>
      <c r="AY91" s="62">
        <f t="shared" si="57"/>
        <v>4.2686689814814818E-3</v>
      </c>
      <c r="AZ91" s="62" t="str">
        <f t="shared" si="58"/>
        <v>DNS/DNF</v>
      </c>
      <c r="BA91" s="62" t="str">
        <f t="shared" si="59"/>
        <v>DNS/DNF</v>
      </c>
      <c r="BB91" s="62" t="str">
        <f t="shared" si="60"/>
        <v>DNS/DNF</v>
      </c>
      <c r="BC91" s="75">
        <f t="shared" si="61"/>
        <v>113</v>
      </c>
      <c r="BD91" s="53">
        <f t="shared" si="62"/>
        <v>311860</v>
      </c>
      <c r="BE91" s="53">
        <f t="shared" si="63"/>
        <v>260427</v>
      </c>
      <c r="BF91" s="53">
        <f t="shared" si="64"/>
        <v>151103</v>
      </c>
      <c r="BG91" s="53">
        <f t="shared" si="65"/>
        <v>318755</v>
      </c>
      <c r="BH91" s="53">
        <f t="shared" si="66"/>
        <v>351876</v>
      </c>
      <c r="BI91" s="53" t="str">
        <f t="shared" si="67"/>
        <v/>
      </c>
      <c r="BJ91" s="53" t="str">
        <f t="shared" si="68"/>
        <v/>
      </c>
      <c r="BK91" s="53" t="str">
        <f t="shared" si="69"/>
        <v/>
      </c>
    </row>
    <row r="92" spans="1:63">
      <c r="A92" s="53">
        <v>62</v>
      </c>
      <c r="B92" s="89" t="str">
        <f>IFERROR(VLOOKUP($A92,EntryList!$A$3:$N$645,2,FALSE),"")</f>
        <v>Brett Wienburg</v>
      </c>
      <c r="C92" s="74"/>
      <c r="D92" s="53">
        <f t="shared" si="35"/>
        <v>5</v>
      </c>
      <c r="E92" s="62">
        <v>3.143726851851852E-3</v>
      </c>
      <c r="F92" s="62">
        <v>2.9701736111111109E-3</v>
      </c>
      <c r="G92" s="62">
        <v>1.7912500000000001E-3</v>
      </c>
      <c r="H92" s="62">
        <v>3.6892939814814813E-3</v>
      </c>
      <c r="I92" s="62">
        <v>4.0290277777777781E-3</v>
      </c>
      <c r="J92" s="62"/>
      <c r="K92" s="62"/>
      <c r="L92" s="62"/>
      <c r="M92" s="62">
        <v>1.5623472222222224E-2</v>
      </c>
      <c r="N92" s="62">
        <f t="shared" si="36"/>
        <v>1.5623472222222223E-2</v>
      </c>
      <c r="O92" s="53">
        <f t="shared" si="37"/>
        <v>89</v>
      </c>
      <c r="P92" s="53">
        <f t="shared" si="38"/>
        <v>101</v>
      </c>
      <c r="Q92" s="53">
        <f t="shared" si="39"/>
        <v>132</v>
      </c>
      <c r="R92" s="53">
        <f t="shared" si="40"/>
        <v>113</v>
      </c>
      <c r="S92" s="53">
        <f t="shared" si="41"/>
        <v>102</v>
      </c>
      <c r="T92" s="53" t="str">
        <f t="shared" si="42"/>
        <v/>
      </c>
      <c r="U92" s="53" t="str">
        <f t="shared" si="43"/>
        <v/>
      </c>
      <c r="V92" s="53" t="str">
        <f t="shared" si="44"/>
        <v/>
      </c>
      <c r="W92" s="53" t="str">
        <f t="shared" si="45"/>
        <v>00:04:31.6 (89)</v>
      </c>
      <c r="X92" s="53" t="str">
        <f t="shared" si="46"/>
        <v>00:04:16.6 (101)</v>
      </c>
      <c r="Y92" s="53" t="str">
        <f t="shared" si="47"/>
        <v>00:02:34.8 (132)</v>
      </c>
      <c r="Z92" s="53" t="str">
        <f t="shared" si="48"/>
        <v>00:05:18.8 (113)</v>
      </c>
      <c r="AA92" s="53" t="str">
        <f t="shared" si="49"/>
        <v>00:05:48.1 (102)</v>
      </c>
      <c r="AB92" s="53" t="str">
        <f t="shared" si="50"/>
        <v>DNS/DNF ()</v>
      </c>
      <c r="AC92" s="53" t="str">
        <f t="shared" si="51"/>
        <v>DNS/DNF ()</v>
      </c>
      <c r="AD92" s="53" t="str">
        <f t="shared" si="52"/>
        <v>DNS/DNF ()</v>
      </c>
      <c r="AE92" s="53">
        <v>31092608</v>
      </c>
      <c r="AF92" s="53">
        <v>31364226</v>
      </c>
      <c r="AG92" s="53">
        <v>32949731</v>
      </c>
      <c r="AH92" s="53">
        <v>33206354</v>
      </c>
      <c r="AI92" s="53">
        <v>35341008</v>
      </c>
      <c r="AJ92" s="53">
        <v>35495772</v>
      </c>
      <c r="AK92" s="53">
        <v>38210941</v>
      </c>
      <c r="AL92" s="53">
        <v>38529696</v>
      </c>
      <c r="AM92" s="53">
        <v>39864182</v>
      </c>
      <c r="AN92" s="53">
        <v>40212290</v>
      </c>
      <c r="AO92" s="53">
        <v>0</v>
      </c>
      <c r="AP92" s="53">
        <v>0</v>
      </c>
      <c r="AQ92" s="53">
        <v>0</v>
      </c>
      <c r="AR92" s="53">
        <v>0</v>
      </c>
      <c r="AS92" s="53">
        <v>0</v>
      </c>
      <c r="AT92" s="53">
        <v>0</v>
      </c>
      <c r="AU92" s="62">
        <f t="shared" si="53"/>
        <v>3.143726851851852E-3</v>
      </c>
      <c r="AV92" s="62">
        <f t="shared" si="54"/>
        <v>2.9701736111111109E-3</v>
      </c>
      <c r="AW92" s="62">
        <f t="shared" si="55"/>
        <v>1.7912500000000001E-3</v>
      </c>
      <c r="AX92" s="62">
        <f t="shared" si="56"/>
        <v>3.6892939814814813E-3</v>
      </c>
      <c r="AY92" s="62">
        <f t="shared" si="57"/>
        <v>4.0290277777777781E-3</v>
      </c>
      <c r="AZ92" s="62" t="str">
        <f t="shared" si="58"/>
        <v>DNS/DNF</v>
      </c>
      <c r="BA92" s="62" t="str">
        <f t="shared" si="59"/>
        <v>DNS/DNF</v>
      </c>
      <c r="BB92" s="62" t="str">
        <f t="shared" si="60"/>
        <v>DNS/DNF</v>
      </c>
      <c r="BC92" s="75">
        <f t="shared" si="61"/>
        <v>107</v>
      </c>
      <c r="BD92" s="53">
        <f t="shared" si="62"/>
        <v>296739</v>
      </c>
      <c r="BE92" s="53">
        <f t="shared" si="63"/>
        <v>258977</v>
      </c>
      <c r="BF92" s="53">
        <f t="shared" si="64"/>
        <v>148983</v>
      </c>
      <c r="BG92" s="53">
        <f t="shared" si="65"/>
        <v>310958</v>
      </c>
      <c r="BH92" s="53">
        <f t="shared" si="66"/>
        <v>348878</v>
      </c>
      <c r="BI92" s="53" t="str">
        <f t="shared" si="67"/>
        <v/>
      </c>
      <c r="BJ92" s="53" t="str">
        <f t="shared" si="68"/>
        <v/>
      </c>
      <c r="BK92" s="53" t="str">
        <f t="shared" si="69"/>
        <v/>
      </c>
    </row>
    <row r="93" spans="1:63">
      <c r="A93" s="53">
        <v>86</v>
      </c>
      <c r="B93" s="89" t="str">
        <f>IFERROR(VLOOKUP($A93,EntryList!$A$3:$N$645,2,FALSE),"")</f>
        <v>Julian Burke</v>
      </c>
      <c r="C93" s="74"/>
      <c r="D93" s="53">
        <f t="shared" si="35"/>
        <v>5</v>
      </c>
      <c r="E93" s="62">
        <v>3.1859259259259258E-3</v>
      </c>
      <c r="F93" s="62">
        <v>3.0778009259259261E-3</v>
      </c>
      <c r="G93" s="62">
        <v>1.8558680555555557E-3</v>
      </c>
      <c r="H93" s="62">
        <v>3.4216550925925929E-3</v>
      </c>
      <c r="I93" s="62">
        <v>4.090578703703703E-3</v>
      </c>
      <c r="J93" s="62"/>
      <c r="K93" s="62"/>
      <c r="L93" s="62"/>
      <c r="M93" s="62">
        <v>1.5631828703703703E-2</v>
      </c>
      <c r="N93" s="62">
        <f t="shared" si="36"/>
        <v>1.5631828703703703E-2</v>
      </c>
      <c r="O93" s="53">
        <f t="shared" si="37"/>
        <v>91</v>
      </c>
      <c r="P93" s="53">
        <f t="shared" si="38"/>
        <v>123</v>
      </c>
      <c r="Q93" s="53">
        <f t="shared" si="39"/>
        <v>154</v>
      </c>
      <c r="R93" s="53">
        <f t="shared" si="40"/>
        <v>90</v>
      </c>
      <c r="S93" s="53">
        <f t="shared" si="41"/>
        <v>121</v>
      </c>
      <c r="T93" s="53" t="str">
        <f t="shared" si="42"/>
        <v/>
      </c>
      <c r="U93" s="53" t="str">
        <f t="shared" si="43"/>
        <v/>
      </c>
      <c r="V93" s="53" t="str">
        <f t="shared" si="44"/>
        <v/>
      </c>
      <c r="W93" s="53" t="str">
        <f t="shared" si="45"/>
        <v>00:04:35.3 (91)</v>
      </c>
      <c r="X93" s="53" t="str">
        <f t="shared" si="46"/>
        <v>00:04:25.9 (123)</v>
      </c>
      <c r="Y93" s="53" t="str">
        <f t="shared" si="47"/>
        <v>00:02:40.3 (154)</v>
      </c>
      <c r="Z93" s="53" t="str">
        <f t="shared" si="48"/>
        <v>00:04:55.6 (90)</v>
      </c>
      <c r="AA93" s="53" t="str">
        <f t="shared" si="49"/>
        <v>00:05:53.4 (121)</v>
      </c>
      <c r="AB93" s="53" t="str">
        <f t="shared" si="50"/>
        <v>DNS/DNF ()</v>
      </c>
      <c r="AC93" s="53" t="str">
        <f t="shared" si="51"/>
        <v>DNS/DNF ()</v>
      </c>
      <c r="AD93" s="53" t="str">
        <f t="shared" si="52"/>
        <v>DNS/DNF ()</v>
      </c>
      <c r="AE93" s="53">
        <v>35580772</v>
      </c>
      <c r="AF93" s="53">
        <v>35856036</v>
      </c>
      <c r="AG93" s="53">
        <v>38521841</v>
      </c>
      <c r="AH93" s="53">
        <v>38787763</v>
      </c>
      <c r="AI93" s="53">
        <v>32193365</v>
      </c>
      <c r="AJ93" s="53">
        <v>32353712</v>
      </c>
      <c r="AK93" s="53">
        <v>42439493</v>
      </c>
      <c r="AL93" s="53">
        <v>42735124</v>
      </c>
      <c r="AM93" s="53">
        <v>45526674</v>
      </c>
      <c r="AN93" s="53">
        <v>45880100</v>
      </c>
      <c r="AO93" s="53">
        <v>0</v>
      </c>
      <c r="AP93" s="53">
        <v>0</v>
      </c>
      <c r="AQ93" s="53">
        <v>0</v>
      </c>
      <c r="AR93" s="53">
        <v>0</v>
      </c>
      <c r="AS93" s="53">
        <v>0</v>
      </c>
      <c r="AT93" s="53">
        <v>0</v>
      </c>
      <c r="AU93" s="62">
        <f t="shared" si="53"/>
        <v>3.1859259259259258E-3</v>
      </c>
      <c r="AV93" s="62">
        <f t="shared" si="54"/>
        <v>3.0778009259259261E-3</v>
      </c>
      <c r="AW93" s="62">
        <f t="shared" si="55"/>
        <v>1.8558680555555555E-3</v>
      </c>
      <c r="AX93" s="62">
        <f t="shared" si="56"/>
        <v>3.4216550925925925E-3</v>
      </c>
      <c r="AY93" s="62">
        <f t="shared" si="57"/>
        <v>4.0905787037037039E-3</v>
      </c>
      <c r="AZ93" s="62" t="str">
        <f t="shared" si="58"/>
        <v>DNS/DNF</v>
      </c>
      <c r="BA93" s="62" t="str">
        <f t="shared" si="59"/>
        <v>DNS/DNF</v>
      </c>
      <c r="BB93" s="62" t="str">
        <f t="shared" si="60"/>
        <v>DNS/DNF</v>
      </c>
      <c r="BC93" s="75">
        <f t="shared" si="61"/>
        <v>116</v>
      </c>
      <c r="BD93" s="53">
        <f t="shared" si="62"/>
        <v>315207</v>
      </c>
      <c r="BE93" s="53">
        <f t="shared" si="63"/>
        <v>263002</v>
      </c>
      <c r="BF93" s="53">
        <f t="shared" si="64"/>
        <v>151602</v>
      </c>
      <c r="BG93" s="53">
        <f t="shared" si="65"/>
        <v>321001</v>
      </c>
      <c r="BH93" s="53">
        <f t="shared" si="66"/>
        <v>352232</v>
      </c>
      <c r="BI93" s="53" t="str">
        <f t="shared" si="67"/>
        <v/>
      </c>
      <c r="BJ93" s="53" t="str">
        <f t="shared" si="68"/>
        <v/>
      </c>
      <c r="BK93" s="53" t="str">
        <f t="shared" si="69"/>
        <v/>
      </c>
    </row>
    <row r="94" spans="1:63">
      <c r="A94" s="53">
        <v>40</v>
      </c>
      <c r="B94" s="89" t="str">
        <f>IFERROR(VLOOKUP($A94,EntryList!$A$3:$N$645,2,FALSE),"")</f>
        <v>Eugene Elliott</v>
      </c>
      <c r="C94" s="74"/>
      <c r="D94" s="53">
        <f t="shared" si="35"/>
        <v>5</v>
      </c>
      <c r="E94" s="62">
        <v>3.3460532407407402E-3</v>
      </c>
      <c r="F94" s="62">
        <v>3.1118171296296297E-3</v>
      </c>
      <c r="G94" s="62">
        <v>1.7841666666666665E-3</v>
      </c>
      <c r="H94" s="62">
        <v>3.430763888888889E-3</v>
      </c>
      <c r="I94" s="62">
        <v>3.9850231481481481E-3</v>
      </c>
      <c r="J94" s="62"/>
      <c r="K94" s="62"/>
      <c r="L94" s="62"/>
      <c r="M94" s="62">
        <v>1.5657824074074074E-2</v>
      </c>
      <c r="N94" s="62">
        <f t="shared" si="36"/>
        <v>1.5657824074074074E-2</v>
      </c>
      <c r="O94" s="53">
        <f t="shared" si="37"/>
        <v>104</v>
      </c>
      <c r="P94" s="53">
        <f t="shared" si="38"/>
        <v>135</v>
      </c>
      <c r="Q94" s="53">
        <f t="shared" si="39"/>
        <v>128</v>
      </c>
      <c r="R94" s="53">
        <f t="shared" si="40"/>
        <v>91</v>
      </c>
      <c r="S94" s="53">
        <f t="shared" si="41"/>
        <v>97</v>
      </c>
      <c r="T94" s="53" t="str">
        <f t="shared" si="42"/>
        <v/>
      </c>
      <c r="U94" s="53" t="str">
        <f t="shared" si="43"/>
        <v/>
      </c>
      <c r="V94" s="53" t="str">
        <f t="shared" si="44"/>
        <v/>
      </c>
      <c r="W94" s="53" t="str">
        <f t="shared" si="45"/>
        <v>00:04:49.1 (104)</v>
      </c>
      <c r="X94" s="53" t="str">
        <f t="shared" si="46"/>
        <v>00:04:28.9 (135)</v>
      </c>
      <c r="Y94" s="53" t="str">
        <f t="shared" si="47"/>
        <v>00:02:34.2 (128)</v>
      </c>
      <c r="Z94" s="53" t="str">
        <f t="shared" si="48"/>
        <v>00:04:56.4 (91)</v>
      </c>
      <c r="AA94" s="53" t="str">
        <f t="shared" si="49"/>
        <v>00:05:44.3 (97)</v>
      </c>
      <c r="AB94" s="53" t="str">
        <f t="shared" si="50"/>
        <v>DNS/DNF ()</v>
      </c>
      <c r="AC94" s="53" t="str">
        <f t="shared" si="51"/>
        <v>DNS/DNF ()</v>
      </c>
      <c r="AD94" s="53" t="str">
        <f t="shared" si="52"/>
        <v>DNS/DNF ()</v>
      </c>
      <c r="AE94" s="53">
        <v>41399432</v>
      </c>
      <c r="AF94" s="53">
        <v>41688531</v>
      </c>
      <c r="AG94" s="53">
        <v>35145745</v>
      </c>
      <c r="AH94" s="53">
        <v>35414606</v>
      </c>
      <c r="AI94" s="53">
        <v>39039470</v>
      </c>
      <c r="AJ94" s="53">
        <v>39193622</v>
      </c>
      <c r="AK94" s="53">
        <v>46186800</v>
      </c>
      <c r="AL94" s="53">
        <v>46483218</v>
      </c>
      <c r="AM94" s="53">
        <v>48984046</v>
      </c>
      <c r="AN94" s="53">
        <v>49328352</v>
      </c>
      <c r="AO94" s="53">
        <v>0</v>
      </c>
      <c r="AP94" s="53">
        <v>0</v>
      </c>
      <c r="AQ94" s="53">
        <v>0</v>
      </c>
      <c r="AR94" s="53">
        <v>0</v>
      </c>
      <c r="AS94" s="53">
        <v>0</v>
      </c>
      <c r="AT94" s="53">
        <v>0</v>
      </c>
      <c r="AU94" s="62">
        <f t="shared" si="53"/>
        <v>3.3460532407407406E-3</v>
      </c>
      <c r="AV94" s="62">
        <f t="shared" si="54"/>
        <v>3.1118171296296297E-3</v>
      </c>
      <c r="AW94" s="62">
        <f t="shared" si="55"/>
        <v>1.7841666666666668E-3</v>
      </c>
      <c r="AX94" s="62">
        <f t="shared" si="56"/>
        <v>3.430763888888889E-3</v>
      </c>
      <c r="AY94" s="62">
        <f t="shared" si="57"/>
        <v>3.9850231481481481E-3</v>
      </c>
      <c r="AZ94" s="62" t="str">
        <f t="shared" si="58"/>
        <v>DNS/DNF</v>
      </c>
      <c r="BA94" s="62" t="str">
        <f t="shared" si="59"/>
        <v>DNS/DNF</v>
      </c>
      <c r="BB94" s="62" t="str">
        <f t="shared" si="60"/>
        <v>DNS/DNF</v>
      </c>
      <c r="BC94" s="75">
        <f t="shared" si="61"/>
        <v>111</v>
      </c>
      <c r="BD94" s="53">
        <f t="shared" si="62"/>
        <v>308892</v>
      </c>
      <c r="BE94" s="53">
        <f t="shared" si="63"/>
        <v>260201</v>
      </c>
      <c r="BF94" s="53">
        <f t="shared" si="64"/>
        <v>150335</v>
      </c>
      <c r="BG94" s="53">
        <f t="shared" si="65"/>
        <v>317015</v>
      </c>
      <c r="BH94" s="53">
        <f t="shared" si="66"/>
        <v>351781.99999999994</v>
      </c>
      <c r="BI94" s="53" t="str">
        <f t="shared" si="67"/>
        <v/>
      </c>
      <c r="BJ94" s="53" t="str">
        <f t="shared" si="68"/>
        <v/>
      </c>
      <c r="BK94" s="53" t="str">
        <f t="shared" si="69"/>
        <v/>
      </c>
    </row>
    <row r="95" spans="1:63">
      <c r="A95" s="53">
        <v>129</v>
      </c>
      <c r="B95" s="89" t="str">
        <f>IFERROR(VLOOKUP($A95,EntryList!$A$3:$N$645,2,FALSE),"")</f>
        <v>Evan Lategan</v>
      </c>
      <c r="C95" s="74"/>
      <c r="D95" s="53">
        <f t="shared" si="35"/>
        <v>5</v>
      </c>
      <c r="E95" s="62">
        <v>3.1171412037037036E-3</v>
      </c>
      <c r="F95" s="62">
        <v>3.2180555555555556E-3</v>
      </c>
      <c r="G95" s="62">
        <v>1.765833333333333E-3</v>
      </c>
      <c r="H95" s="62">
        <v>3.4879976851851856E-3</v>
      </c>
      <c r="I95" s="62">
        <v>4.0869560185185184E-3</v>
      </c>
      <c r="J95" s="62"/>
      <c r="K95" s="62"/>
      <c r="L95" s="62"/>
      <c r="M95" s="62">
        <v>1.5675983796296297E-2</v>
      </c>
      <c r="N95" s="62">
        <f t="shared" si="36"/>
        <v>1.5675983796296297E-2</v>
      </c>
      <c r="O95" s="53">
        <f t="shared" si="37"/>
        <v>87</v>
      </c>
      <c r="P95" s="53">
        <f t="shared" si="38"/>
        <v>164</v>
      </c>
      <c r="Q95" s="53">
        <f t="shared" si="39"/>
        <v>122</v>
      </c>
      <c r="R95" s="53">
        <f t="shared" si="40"/>
        <v>97</v>
      </c>
      <c r="S95" s="53">
        <f t="shared" si="41"/>
        <v>118</v>
      </c>
      <c r="T95" s="53" t="str">
        <f t="shared" si="42"/>
        <v/>
      </c>
      <c r="U95" s="53" t="str">
        <f t="shared" si="43"/>
        <v/>
      </c>
      <c r="V95" s="53" t="str">
        <f t="shared" si="44"/>
        <v/>
      </c>
      <c r="W95" s="53" t="str">
        <f t="shared" si="45"/>
        <v>00:04:29.3 (87)</v>
      </c>
      <c r="X95" s="53" t="str">
        <f t="shared" si="46"/>
        <v>00:04:38.0 (164)</v>
      </c>
      <c r="Y95" s="53" t="str">
        <f t="shared" si="47"/>
        <v>00:02:32.6 (122)</v>
      </c>
      <c r="Z95" s="53" t="str">
        <f t="shared" si="48"/>
        <v>00:05:01.4 (97)</v>
      </c>
      <c r="AA95" s="53" t="str">
        <f t="shared" si="49"/>
        <v>00:05:53.1 (118)</v>
      </c>
      <c r="AB95" s="53" t="str">
        <f t="shared" si="50"/>
        <v>DNS/DNF ()</v>
      </c>
      <c r="AC95" s="53" t="str">
        <f t="shared" si="51"/>
        <v>DNS/DNF ()</v>
      </c>
      <c r="AD95" s="53" t="str">
        <f t="shared" si="52"/>
        <v>DNS/DNF ()</v>
      </c>
      <c r="AE95" s="53">
        <v>36892270</v>
      </c>
      <c r="AF95" s="53">
        <v>37161591</v>
      </c>
      <c r="AG95" s="53">
        <v>32919475</v>
      </c>
      <c r="AH95" s="53">
        <v>33197515</v>
      </c>
      <c r="AI95" s="53">
        <v>39898172</v>
      </c>
      <c r="AJ95" s="53">
        <v>40050740</v>
      </c>
      <c r="AK95" s="53">
        <v>44786712</v>
      </c>
      <c r="AL95" s="53">
        <v>45088075</v>
      </c>
      <c r="AM95" s="53">
        <v>47322038</v>
      </c>
      <c r="AN95" s="53">
        <v>47675151</v>
      </c>
      <c r="AO95" s="53">
        <v>0</v>
      </c>
      <c r="AP95" s="53">
        <v>0</v>
      </c>
      <c r="AQ95" s="53">
        <v>0</v>
      </c>
      <c r="AR95" s="53">
        <v>0</v>
      </c>
      <c r="AS95" s="53">
        <v>0</v>
      </c>
      <c r="AT95" s="53">
        <v>0</v>
      </c>
      <c r="AU95" s="62">
        <f t="shared" si="53"/>
        <v>3.1171412037037036E-3</v>
      </c>
      <c r="AV95" s="62">
        <f t="shared" si="54"/>
        <v>3.2180555555555556E-3</v>
      </c>
      <c r="AW95" s="62">
        <f t="shared" si="55"/>
        <v>1.7658333333333332E-3</v>
      </c>
      <c r="AX95" s="62">
        <f t="shared" si="56"/>
        <v>3.4879976851851851E-3</v>
      </c>
      <c r="AY95" s="62">
        <f t="shared" si="57"/>
        <v>4.0869560185185184E-3</v>
      </c>
      <c r="AZ95" s="62" t="str">
        <f t="shared" si="58"/>
        <v>DNS/DNF</v>
      </c>
      <c r="BA95" s="62" t="str">
        <f t="shared" si="59"/>
        <v>DNS/DNF</v>
      </c>
      <c r="BB95" s="62" t="str">
        <f t="shared" si="60"/>
        <v>DNS/DNF</v>
      </c>
      <c r="BC95" s="75">
        <f t="shared" si="61"/>
        <v>118</v>
      </c>
      <c r="BD95" s="53">
        <f t="shared" si="62"/>
        <v>322090</v>
      </c>
      <c r="BE95" s="53">
        <f t="shared" si="63"/>
        <v>263614</v>
      </c>
      <c r="BF95" s="53">
        <f t="shared" si="64"/>
        <v>151830</v>
      </c>
      <c r="BG95" s="53">
        <f t="shared" si="65"/>
        <v>325434</v>
      </c>
      <c r="BH95" s="53">
        <f t="shared" si="66"/>
        <v>353113</v>
      </c>
      <c r="BI95" s="53" t="str">
        <f t="shared" si="67"/>
        <v/>
      </c>
      <c r="BJ95" s="53" t="str">
        <f t="shared" si="68"/>
        <v/>
      </c>
      <c r="BK95" s="53" t="str">
        <f t="shared" si="69"/>
        <v/>
      </c>
    </row>
    <row r="96" spans="1:63">
      <c r="A96" s="53">
        <v>54</v>
      </c>
      <c r="B96" s="89" t="str">
        <f>IFERROR(VLOOKUP($A96,EntryList!$A$3:$N$645,2,FALSE),"")</f>
        <v>Warren Galley</v>
      </c>
      <c r="C96" s="74"/>
      <c r="D96" s="53">
        <f t="shared" si="35"/>
        <v>5</v>
      </c>
      <c r="E96" s="62">
        <v>3.3435069444444445E-3</v>
      </c>
      <c r="F96" s="62">
        <v>2.9974189814814815E-3</v>
      </c>
      <c r="G96" s="62">
        <v>1.7665046296296294E-3</v>
      </c>
      <c r="H96" s="62">
        <v>3.5065856481481489E-3</v>
      </c>
      <c r="I96" s="62">
        <v>4.1263773148148145E-3</v>
      </c>
      <c r="J96" s="62"/>
      <c r="K96" s="62"/>
      <c r="L96" s="62"/>
      <c r="M96" s="62">
        <v>1.5740393518518518E-2</v>
      </c>
      <c r="N96" s="62">
        <f t="shared" si="36"/>
        <v>1.5740393518518518E-2</v>
      </c>
      <c r="O96" s="53">
        <f t="shared" si="37"/>
        <v>103</v>
      </c>
      <c r="P96" s="53">
        <f t="shared" si="38"/>
        <v>107</v>
      </c>
      <c r="Q96" s="53">
        <f t="shared" si="39"/>
        <v>123</v>
      </c>
      <c r="R96" s="53">
        <f t="shared" si="40"/>
        <v>99</v>
      </c>
      <c r="S96" s="53">
        <f t="shared" si="41"/>
        <v>130</v>
      </c>
      <c r="T96" s="53" t="str">
        <f t="shared" si="42"/>
        <v/>
      </c>
      <c r="U96" s="53" t="str">
        <f t="shared" si="43"/>
        <v/>
      </c>
      <c r="V96" s="53" t="str">
        <f t="shared" si="44"/>
        <v/>
      </c>
      <c r="W96" s="53" t="str">
        <f t="shared" si="45"/>
        <v>00:04:48.9 (103)</v>
      </c>
      <c r="X96" s="53" t="str">
        <f t="shared" si="46"/>
        <v>00:04:19.0 (107)</v>
      </c>
      <c r="Y96" s="53" t="str">
        <f t="shared" si="47"/>
        <v>00:02:32.6 (123)</v>
      </c>
      <c r="Z96" s="53" t="str">
        <f t="shared" si="48"/>
        <v>00:05:03.0 (99)</v>
      </c>
      <c r="AA96" s="53" t="str">
        <f t="shared" si="49"/>
        <v>00:05:56.5 (130)</v>
      </c>
      <c r="AB96" s="53" t="str">
        <f t="shared" si="50"/>
        <v>DNS/DNF ()</v>
      </c>
      <c r="AC96" s="53" t="str">
        <f t="shared" si="51"/>
        <v>DNS/DNF ()</v>
      </c>
      <c r="AD96" s="53" t="str">
        <f t="shared" si="52"/>
        <v>DNS/DNF ()</v>
      </c>
      <c r="AE96" s="53">
        <v>33192417</v>
      </c>
      <c r="AF96" s="53">
        <v>33481296</v>
      </c>
      <c r="AG96" s="53">
        <v>39657608</v>
      </c>
      <c r="AH96" s="53">
        <v>39916585</v>
      </c>
      <c r="AI96" s="53">
        <v>36534559</v>
      </c>
      <c r="AJ96" s="53">
        <v>36687185</v>
      </c>
      <c r="AK96" s="53">
        <v>44934830</v>
      </c>
      <c r="AL96" s="53">
        <v>45237799</v>
      </c>
      <c r="AM96" s="53">
        <v>48105526</v>
      </c>
      <c r="AN96" s="53">
        <v>48462045</v>
      </c>
      <c r="AO96" s="53">
        <v>0</v>
      </c>
      <c r="AP96" s="53">
        <v>0</v>
      </c>
      <c r="AQ96" s="53">
        <v>0</v>
      </c>
      <c r="AR96" s="53">
        <v>0</v>
      </c>
      <c r="AS96" s="53">
        <v>0</v>
      </c>
      <c r="AT96" s="53">
        <v>0</v>
      </c>
      <c r="AU96" s="62">
        <f t="shared" si="53"/>
        <v>3.3435069444444445E-3</v>
      </c>
      <c r="AV96" s="62">
        <f t="shared" si="54"/>
        <v>2.9974189814814815E-3</v>
      </c>
      <c r="AW96" s="62">
        <f t="shared" si="55"/>
        <v>1.7665046296296296E-3</v>
      </c>
      <c r="AX96" s="62">
        <f t="shared" si="56"/>
        <v>3.506585648148148E-3</v>
      </c>
      <c r="AY96" s="62">
        <f t="shared" si="57"/>
        <v>4.1263773148148145E-3</v>
      </c>
      <c r="AZ96" s="62" t="str">
        <f t="shared" si="58"/>
        <v>DNS/DNF</v>
      </c>
      <c r="BA96" s="62" t="str">
        <f t="shared" si="59"/>
        <v>DNS/DNF</v>
      </c>
      <c r="BB96" s="62" t="str">
        <f t="shared" si="60"/>
        <v>DNS/DNF</v>
      </c>
      <c r="BC96" s="75">
        <f t="shared" si="61"/>
        <v>112</v>
      </c>
      <c r="BD96" s="53">
        <f t="shared" si="62"/>
        <v>309874</v>
      </c>
      <c r="BE96" s="53">
        <f t="shared" si="63"/>
        <v>260349</v>
      </c>
      <c r="BF96" s="53">
        <f t="shared" si="64"/>
        <v>151053</v>
      </c>
      <c r="BG96" s="53">
        <f t="shared" si="65"/>
        <v>317191</v>
      </c>
      <c r="BH96" s="53">
        <f t="shared" si="66"/>
        <v>351837</v>
      </c>
      <c r="BI96" s="53" t="str">
        <f t="shared" si="67"/>
        <v/>
      </c>
      <c r="BJ96" s="53" t="str">
        <f t="shared" si="68"/>
        <v/>
      </c>
      <c r="BK96" s="53" t="str">
        <f t="shared" si="69"/>
        <v/>
      </c>
    </row>
    <row r="97" spans="1:63">
      <c r="A97" s="53">
        <v>140</v>
      </c>
      <c r="B97" s="89" t="str">
        <f>IFERROR(VLOOKUP($A97,EntryList!$A$3:$N$645,2,FALSE),"")</f>
        <v>Gavin Dingley</v>
      </c>
      <c r="C97" s="74"/>
      <c r="D97" s="53">
        <f t="shared" si="35"/>
        <v>5</v>
      </c>
      <c r="E97" s="62">
        <v>3.989675925925926E-3</v>
      </c>
      <c r="F97" s="62">
        <v>2.9239583333333335E-3</v>
      </c>
      <c r="G97" s="62">
        <v>1.6626388888888888E-3</v>
      </c>
      <c r="H97" s="62">
        <v>3.2463310185185186E-3</v>
      </c>
      <c r="I97" s="62">
        <v>3.9853935185185183E-3</v>
      </c>
      <c r="J97" s="62"/>
      <c r="K97" s="62"/>
      <c r="L97" s="62"/>
      <c r="M97" s="62">
        <v>1.5807997685185187E-2</v>
      </c>
      <c r="N97" s="62">
        <f t="shared" si="36"/>
        <v>1.5807997685185184E-2</v>
      </c>
      <c r="O97" s="53">
        <f t="shared" si="37"/>
        <v>124</v>
      </c>
      <c r="P97" s="53">
        <f t="shared" si="38"/>
        <v>92</v>
      </c>
      <c r="Q97" s="53">
        <f t="shared" si="39"/>
        <v>88</v>
      </c>
      <c r="R97" s="53">
        <f t="shared" si="40"/>
        <v>77</v>
      </c>
      <c r="S97" s="53">
        <f t="shared" si="41"/>
        <v>98</v>
      </c>
      <c r="T97" s="53" t="str">
        <f t="shared" si="42"/>
        <v/>
      </c>
      <c r="U97" s="53" t="str">
        <f t="shared" si="43"/>
        <v/>
      </c>
      <c r="V97" s="53" t="str">
        <f t="shared" si="44"/>
        <v/>
      </c>
      <c r="W97" s="53" t="str">
        <f t="shared" si="45"/>
        <v>00:05:44.7 (124)</v>
      </c>
      <c r="X97" s="53" t="str">
        <f t="shared" si="46"/>
        <v>00:04:12.6 (92)</v>
      </c>
      <c r="Y97" s="53" t="str">
        <f t="shared" si="47"/>
        <v>00:02:23.7 (88)</v>
      </c>
      <c r="Z97" s="53" t="str">
        <f t="shared" si="48"/>
        <v>00:04:40.5 (77)</v>
      </c>
      <c r="AA97" s="53" t="str">
        <f t="shared" si="49"/>
        <v>00:05:44.3 (98)</v>
      </c>
      <c r="AB97" s="53" t="str">
        <f t="shared" si="50"/>
        <v>DNS/DNF ()</v>
      </c>
      <c r="AC97" s="53" t="str">
        <f t="shared" si="51"/>
        <v>DNS/DNF ()</v>
      </c>
      <c r="AD97" s="53" t="str">
        <f t="shared" si="52"/>
        <v>DNS/DNF ()</v>
      </c>
      <c r="AE97" s="53">
        <v>36371897</v>
      </c>
      <c r="AF97" s="53">
        <v>36716605</v>
      </c>
      <c r="AG97" s="53">
        <v>32607123</v>
      </c>
      <c r="AH97" s="53">
        <v>32859753</v>
      </c>
      <c r="AI97" s="53">
        <v>39845476</v>
      </c>
      <c r="AJ97" s="53">
        <v>39989128</v>
      </c>
      <c r="AK97" s="53">
        <v>44352542</v>
      </c>
      <c r="AL97" s="53">
        <v>44633025</v>
      </c>
      <c r="AM97" s="53">
        <v>47626480</v>
      </c>
      <c r="AN97" s="53">
        <v>47970818</v>
      </c>
      <c r="AO97" s="53">
        <v>0</v>
      </c>
      <c r="AP97" s="53">
        <v>0</v>
      </c>
      <c r="AQ97" s="53">
        <v>0</v>
      </c>
      <c r="AR97" s="53">
        <v>0</v>
      </c>
      <c r="AS97" s="53">
        <v>0</v>
      </c>
      <c r="AT97" s="53">
        <v>0</v>
      </c>
      <c r="AU97" s="62">
        <f t="shared" si="53"/>
        <v>3.989675925925926E-3</v>
      </c>
      <c r="AV97" s="62">
        <f t="shared" si="54"/>
        <v>2.9239583333333335E-3</v>
      </c>
      <c r="AW97" s="62">
        <f t="shared" si="55"/>
        <v>1.6626388888888888E-3</v>
      </c>
      <c r="AX97" s="62">
        <f t="shared" si="56"/>
        <v>3.2463310185185186E-3</v>
      </c>
      <c r="AY97" s="62">
        <f t="shared" si="57"/>
        <v>3.9853935185185183E-3</v>
      </c>
      <c r="AZ97" s="62" t="str">
        <f t="shared" si="58"/>
        <v>DNS/DNF</v>
      </c>
      <c r="BA97" s="62" t="str">
        <f t="shared" si="59"/>
        <v>DNS/DNF</v>
      </c>
      <c r="BB97" s="62" t="str">
        <f t="shared" si="60"/>
        <v>DNS/DNF</v>
      </c>
      <c r="BC97" s="75">
        <f t="shared" si="61"/>
        <v>96</v>
      </c>
      <c r="BD97" s="53">
        <f t="shared" si="62"/>
        <v>278323</v>
      </c>
      <c r="BE97" s="53">
        <f t="shared" si="63"/>
        <v>254250</v>
      </c>
      <c r="BF97" s="53">
        <f t="shared" si="64"/>
        <v>146332</v>
      </c>
      <c r="BG97" s="53">
        <f t="shared" si="65"/>
        <v>300185</v>
      </c>
      <c r="BH97" s="53">
        <f t="shared" si="66"/>
        <v>343836</v>
      </c>
      <c r="BI97" s="53" t="str">
        <f t="shared" si="67"/>
        <v/>
      </c>
      <c r="BJ97" s="53" t="str">
        <f t="shared" si="68"/>
        <v/>
      </c>
      <c r="BK97" s="53" t="str">
        <f t="shared" si="69"/>
        <v/>
      </c>
    </row>
    <row r="98" spans="1:63">
      <c r="A98" s="53">
        <v>283</v>
      </c>
      <c r="B98" s="89" t="str">
        <f>IFERROR(VLOOKUP($A98,EntryList!$A$3:$N$645,2,FALSE),"")</f>
        <v>Adrian Kritzinger</v>
      </c>
      <c r="C98" s="74"/>
      <c r="D98" s="53">
        <f t="shared" si="35"/>
        <v>5</v>
      </c>
      <c r="E98" s="62">
        <v>3.1668402777777775E-3</v>
      </c>
      <c r="F98" s="62">
        <v>3.2444097222222219E-3</v>
      </c>
      <c r="G98" s="62">
        <v>1.8405555555555553E-3</v>
      </c>
      <c r="H98" s="62">
        <v>3.517048611111111E-3</v>
      </c>
      <c r="I98" s="62">
        <v>4.1642013888888892E-3</v>
      </c>
      <c r="J98" s="62"/>
      <c r="K98" s="62"/>
      <c r="L98" s="62"/>
      <c r="M98" s="62">
        <v>1.5933055555555554E-2</v>
      </c>
      <c r="N98" s="62">
        <f t="shared" si="36"/>
        <v>1.5933055555555554E-2</v>
      </c>
      <c r="O98" s="53">
        <f t="shared" si="37"/>
        <v>90</v>
      </c>
      <c r="P98" s="53">
        <f t="shared" si="38"/>
        <v>171</v>
      </c>
      <c r="Q98" s="53">
        <f t="shared" si="39"/>
        <v>143</v>
      </c>
      <c r="R98" s="53">
        <f t="shared" si="40"/>
        <v>100</v>
      </c>
      <c r="S98" s="53">
        <f t="shared" si="41"/>
        <v>141</v>
      </c>
      <c r="T98" s="53" t="str">
        <f t="shared" si="42"/>
        <v/>
      </c>
      <c r="U98" s="53" t="str">
        <f t="shared" si="43"/>
        <v/>
      </c>
      <c r="V98" s="53" t="str">
        <f t="shared" si="44"/>
        <v/>
      </c>
      <c r="W98" s="53" t="str">
        <f t="shared" si="45"/>
        <v>00:04:33.6 (90)</v>
      </c>
      <c r="X98" s="53" t="str">
        <f t="shared" si="46"/>
        <v>00:04:40.3 (171)</v>
      </c>
      <c r="Y98" s="53" t="str">
        <f t="shared" si="47"/>
        <v>00:02:39.0 (143)</v>
      </c>
      <c r="Z98" s="53" t="str">
        <f t="shared" si="48"/>
        <v>00:05:03.9 (100)</v>
      </c>
      <c r="AA98" s="53" t="str">
        <f t="shared" si="49"/>
        <v>00:05:59.8 (141)</v>
      </c>
      <c r="AB98" s="53" t="str">
        <f t="shared" si="50"/>
        <v>DNS/DNF ()</v>
      </c>
      <c r="AC98" s="53" t="str">
        <f t="shared" si="51"/>
        <v>DNS/DNF ()</v>
      </c>
      <c r="AD98" s="53" t="str">
        <f t="shared" si="52"/>
        <v>DNS/DNF ()</v>
      </c>
      <c r="AE98" s="53">
        <v>36754129</v>
      </c>
      <c r="AF98" s="53">
        <v>37027744</v>
      </c>
      <c r="AG98" s="53">
        <v>32714576</v>
      </c>
      <c r="AH98" s="53">
        <v>32994893</v>
      </c>
      <c r="AI98" s="53">
        <v>39787800</v>
      </c>
      <c r="AJ98" s="53">
        <v>39946824</v>
      </c>
      <c r="AK98" s="53">
        <v>43950543</v>
      </c>
      <c r="AL98" s="53">
        <v>44254416</v>
      </c>
      <c r="AM98" s="53">
        <v>46933074</v>
      </c>
      <c r="AN98" s="53">
        <v>47292861</v>
      </c>
      <c r="AO98" s="53">
        <v>0</v>
      </c>
      <c r="AP98" s="53">
        <v>0</v>
      </c>
      <c r="AQ98" s="53">
        <v>0</v>
      </c>
      <c r="AR98" s="53">
        <v>0</v>
      </c>
      <c r="AS98" s="53">
        <v>0</v>
      </c>
      <c r="AT98" s="53">
        <v>0</v>
      </c>
      <c r="AU98" s="62">
        <f t="shared" si="53"/>
        <v>3.166840277777778E-3</v>
      </c>
      <c r="AV98" s="62">
        <f t="shared" si="54"/>
        <v>3.2444097222222223E-3</v>
      </c>
      <c r="AW98" s="62">
        <f t="shared" si="55"/>
        <v>1.8405555555555556E-3</v>
      </c>
      <c r="AX98" s="62">
        <f t="shared" si="56"/>
        <v>3.517048611111111E-3</v>
      </c>
      <c r="AY98" s="62">
        <f t="shared" si="57"/>
        <v>4.1642013888888892E-3</v>
      </c>
      <c r="AZ98" s="62" t="str">
        <f t="shared" si="58"/>
        <v>DNS/DNF</v>
      </c>
      <c r="BA98" s="62" t="str">
        <f t="shared" si="59"/>
        <v>DNS/DNF</v>
      </c>
      <c r="BB98" s="62" t="str">
        <f t="shared" si="60"/>
        <v>DNS/DNF</v>
      </c>
      <c r="BC98" s="75">
        <f t="shared" si="61"/>
        <v>129</v>
      </c>
      <c r="BD98" s="53">
        <f t="shared" si="62"/>
        <v>377391</v>
      </c>
      <c r="BE98" s="53">
        <f t="shared" si="63"/>
        <v>267588</v>
      </c>
      <c r="BF98" s="53">
        <f t="shared" si="64"/>
        <v>154389</v>
      </c>
      <c r="BG98" s="53">
        <f t="shared" si="65"/>
        <v>360043</v>
      </c>
      <c r="BH98" s="53">
        <f t="shared" si="66"/>
        <v>356434</v>
      </c>
      <c r="BI98" s="53" t="str">
        <f t="shared" si="67"/>
        <v/>
      </c>
      <c r="BJ98" s="53" t="str">
        <f t="shared" si="68"/>
        <v/>
      </c>
      <c r="BK98" s="53" t="str">
        <f t="shared" si="69"/>
        <v/>
      </c>
    </row>
    <row r="99" spans="1:63">
      <c r="A99" s="53">
        <v>88</v>
      </c>
      <c r="B99" s="89" t="str">
        <f>IFERROR(VLOOKUP($A99,EntryList!$A$3:$N$645,2,FALSE),"")</f>
        <v>John Dalton</v>
      </c>
      <c r="C99" s="74"/>
      <c r="D99" s="53">
        <f t="shared" si="35"/>
        <v>5</v>
      </c>
      <c r="E99" s="62">
        <v>3.2795486111111111E-3</v>
      </c>
      <c r="F99" s="62">
        <v>3.3200578703703708E-3</v>
      </c>
      <c r="G99" s="62">
        <v>1.8340509259259263E-3</v>
      </c>
      <c r="H99" s="62">
        <v>3.4321990740740741E-3</v>
      </c>
      <c r="I99" s="62">
        <v>4.0905092592592599E-3</v>
      </c>
      <c r="J99" s="62"/>
      <c r="K99" s="62"/>
      <c r="L99" s="62"/>
      <c r="M99" s="62">
        <v>1.595636574074074E-2</v>
      </c>
      <c r="N99" s="62">
        <f t="shared" si="36"/>
        <v>1.595636574074074E-2</v>
      </c>
      <c r="O99" s="53">
        <f t="shared" si="37"/>
        <v>100</v>
      </c>
      <c r="P99" s="53">
        <f t="shared" si="38"/>
        <v>186</v>
      </c>
      <c r="Q99" s="53">
        <f t="shared" si="39"/>
        <v>141</v>
      </c>
      <c r="R99" s="53">
        <f t="shared" si="40"/>
        <v>92</v>
      </c>
      <c r="S99" s="53">
        <f t="shared" si="41"/>
        <v>120</v>
      </c>
      <c r="T99" s="53" t="str">
        <f t="shared" si="42"/>
        <v/>
      </c>
      <c r="U99" s="53" t="str">
        <f t="shared" si="43"/>
        <v/>
      </c>
      <c r="V99" s="53" t="str">
        <f t="shared" si="44"/>
        <v/>
      </c>
      <c r="W99" s="53" t="str">
        <f t="shared" si="45"/>
        <v>00:04:43.4 (100)</v>
      </c>
      <c r="X99" s="53" t="str">
        <f t="shared" si="46"/>
        <v>00:04:46.9 (186)</v>
      </c>
      <c r="Y99" s="53" t="str">
        <f t="shared" si="47"/>
        <v>00:02:38.5 (141)</v>
      </c>
      <c r="Z99" s="53" t="str">
        <f t="shared" si="48"/>
        <v>00:04:56.5 (92)</v>
      </c>
      <c r="AA99" s="53" t="str">
        <f t="shared" si="49"/>
        <v>00:05:53.4 (120)</v>
      </c>
      <c r="AB99" s="53" t="str">
        <f t="shared" si="50"/>
        <v>DNS/DNF ()</v>
      </c>
      <c r="AC99" s="53" t="str">
        <f t="shared" si="51"/>
        <v>DNS/DNF ()</v>
      </c>
      <c r="AD99" s="53" t="str">
        <f t="shared" si="52"/>
        <v>DNS/DNF ()</v>
      </c>
      <c r="AE99" s="53">
        <v>32908215</v>
      </c>
      <c r="AF99" s="53">
        <v>33191568</v>
      </c>
      <c r="AG99" s="53">
        <v>37091003</v>
      </c>
      <c r="AH99" s="53">
        <v>37377856</v>
      </c>
      <c r="AI99" s="53">
        <v>41343074</v>
      </c>
      <c r="AJ99" s="53">
        <v>41501536</v>
      </c>
      <c r="AK99" s="53">
        <v>45329014</v>
      </c>
      <c r="AL99" s="53">
        <v>45625556</v>
      </c>
      <c r="AM99" s="53">
        <v>48169498</v>
      </c>
      <c r="AN99" s="53">
        <v>48522918</v>
      </c>
      <c r="AO99" s="53">
        <v>0</v>
      </c>
      <c r="AP99" s="53">
        <v>0</v>
      </c>
      <c r="AQ99" s="53">
        <v>0</v>
      </c>
      <c r="AR99" s="53">
        <v>0</v>
      </c>
      <c r="AS99" s="53">
        <v>0</v>
      </c>
      <c r="AT99" s="53">
        <v>0</v>
      </c>
      <c r="AU99" s="62">
        <f t="shared" si="53"/>
        <v>3.2795486111111111E-3</v>
      </c>
      <c r="AV99" s="62">
        <f t="shared" si="54"/>
        <v>3.3200578703703704E-3</v>
      </c>
      <c r="AW99" s="62">
        <f t="shared" si="55"/>
        <v>1.8340509259259258E-3</v>
      </c>
      <c r="AX99" s="62">
        <f t="shared" si="56"/>
        <v>3.4321990740740741E-3</v>
      </c>
      <c r="AY99" s="62">
        <f t="shared" si="57"/>
        <v>4.090509259259259E-3</v>
      </c>
      <c r="AZ99" s="62" t="str">
        <f t="shared" si="58"/>
        <v>DNS/DNF</v>
      </c>
      <c r="BA99" s="62" t="str">
        <f t="shared" si="59"/>
        <v>DNS/DNF</v>
      </c>
      <c r="BB99" s="62" t="str">
        <f t="shared" si="60"/>
        <v>DNS/DNF</v>
      </c>
      <c r="BC99" s="75">
        <f t="shared" si="61"/>
        <v>128</v>
      </c>
      <c r="BD99" s="53">
        <f t="shared" si="62"/>
        <v>365169</v>
      </c>
      <c r="BE99" s="53">
        <f t="shared" si="63"/>
        <v>266933</v>
      </c>
      <c r="BF99" s="53">
        <f t="shared" si="64"/>
        <v>154152</v>
      </c>
      <c r="BG99" s="53">
        <f t="shared" si="65"/>
        <v>351970</v>
      </c>
      <c r="BH99" s="53">
        <f t="shared" si="66"/>
        <v>356411</v>
      </c>
      <c r="BI99" s="53" t="str">
        <f t="shared" si="67"/>
        <v/>
      </c>
      <c r="BJ99" s="53" t="str">
        <f t="shared" si="68"/>
        <v/>
      </c>
      <c r="BK99" s="53" t="str">
        <f t="shared" si="69"/>
        <v/>
      </c>
    </row>
    <row r="100" spans="1:63">
      <c r="A100" s="53">
        <v>69</v>
      </c>
      <c r="B100" s="89" t="str">
        <f>IFERROR(VLOOKUP($A100,EntryList!$A$3:$N$645,2,FALSE),"")</f>
        <v>Roger Hartley</v>
      </c>
      <c r="C100" s="74"/>
      <c r="D100" s="53">
        <f t="shared" si="35"/>
        <v>5</v>
      </c>
      <c r="E100" s="62">
        <v>3.1221643518518521E-3</v>
      </c>
      <c r="F100" s="62">
        <v>3.2887731481481483E-3</v>
      </c>
      <c r="G100" s="62">
        <v>1.8473495370370371E-3</v>
      </c>
      <c r="H100" s="62">
        <v>3.5990509259259261E-3</v>
      </c>
      <c r="I100" s="62">
        <v>4.2652662037037034E-3</v>
      </c>
      <c r="J100" s="62"/>
      <c r="K100" s="62"/>
      <c r="L100" s="62"/>
      <c r="M100" s="62">
        <v>1.6122604166666669E-2</v>
      </c>
      <c r="N100" s="62">
        <f t="shared" si="36"/>
        <v>1.6122604166666665E-2</v>
      </c>
      <c r="O100" s="53">
        <f t="shared" si="37"/>
        <v>88</v>
      </c>
      <c r="P100" s="53">
        <f t="shared" si="38"/>
        <v>178</v>
      </c>
      <c r="Q100" s="53">
        <f t="shared" si="39"/>
        <v>148</v>
      </c>
      <c r="R100" s="53">
        <f t="shared" si="40"/>
        <v>107</v>
      </c>
      <c r="S100" s="53">
        <f t="shared" si="41"/>
        <v>158</v>
      </c>
      <c r="T100" s="53" t="str">
        <f t="shared" si="42"/>
        <v/>
      </c>
      <c r="U100" s="53" t="str">
        <f t="shared" si="43"/>
        <v/>
      </c>
      <c r="V100" s="53" t="str">
        <f t="shared" si="44"/>
        <v/>
      </c>
      <c r="W100" s="53" t="str">
        <f t="shared" si="45"/>
        <v>00:04:29.8 (88)</v>
      </c>
      <c r="X100" s="53" t="str">
        <f t="shared" si="46"/>
        <v>00:04:44.1 (178)</v>
      </c>
      <c r="Y100" s="53" t="str">
        <f t="shared" si="47"/>
        <v>00:02:39.6 (148)</v>
      </c>
      <c r="Z100" s="53" t="str">
        <f t="shared" si="48"/>
        <v>00:05:11.0 (107)</v>
      </c>
      <c r="AA100" s="53" t="str">
        <f t="shared" si="49"/>
        <v>00:06:08.5 (158)</v>
      </c>
      <c r="AB100" s="53" t="str">
        <f t="shared" si="50"/>
        <v>DNS/DNF ()</v>
      </c>
      <c r="AC100" s="53" t="str">
        <f t="shared" si="51"/>
        <v>DNS/DNF ()</v>
      </c>
      <c r="AD100" s="53" t="str">
        <f t="shared" si="52"/>
        <v>DNS/DNF ()</v>
      </c>
      <c r="AE100" s="53">
        <v>33774039</v>
      </c>
      <c r="AF100" s="53">
        <v>34043794</v>
      </c>
      <c r="AG100" s="53">
        <v>31032555</v>
      </c>
      <c r="AH100" s="53">
        <v>31316705</v>
      </c>
      <c r="AI100" s="53">
        <v>36230225</v>
      </c>
      <c r="AJ100" s="53">
        <v>36389836</v>
      </c>
      <c r="AK100" s="53">
        <v>39878559</v>
      </c>
      <c r="AL100" s="53">
        <v>40189517</v>
      </c>
      <c r="AM100" s="53">
        <v>42634870</v>
      </c>
      <c r="AN100" s="53">
        <v>43003389</v>
      </c>
      <c r="AO100" s="53">
        <v>0</v>
      </c>
      <c r="AP100" s="53">
        <v>0</v>
      </c>
      <c r="AQ100" s="53">
        <v>0</v>
      </c>
      <c r="AR100" s="53">
        <v>0</v>
      </c>
      <c r="AS100" s="53">
        <v>0</v>
      </c>
      <c r="AT100" s="53">
        <v>0</v>
      </c>
      <c r="AU100" s="62">
        <f t="shared" si="53"/>
        <v>3.1221643518518517E-3</v>
      </c>
      <c r="AV100" s="62">
        <f t="shared" si="54"/>
        <v>3.2887731481481483E-3</v>
      </c>
      <c r="AW100" s="62">
        <f t="shared" si="55"/>
        <v>1.8473495370370371E-3</v>
      </c>
      <c r="AX100" s="62">
        <f t="shared" si="56"/>
        <v>3.5990509259259261E-3</v>
      </c>
      <c r="AY100" s="62">
        <f t="shared" si="57"/>
        <v>4.2652662037037034E-3</v>
      </c>
      <c r="AZ100" s="62" t="str">
        <f t="shared" si="58"/>
        <v>DNS/DNF</v>
      </c>
      <c r="BA100" s="62" t="str">
        <f t="shared" si="59"/>
        <v>DNS/DNF</v>
      </c>
      <c r="BB100" s="62" t="str">
        <f t="shared" si="60"/>
        <v>DNS/DNF</v>
      </c>
      <c r="BC100" s="75">
        <f t="shared" si="61"/>
        <v>136</v>
      </c>
      <c r="BD100" s="53">
        <f t="shared" si="62"/>
        <v>475831</v>
      </c>
      <c r="BE100" s="53">
        <f t="shared" si="63"/>
        <v>269396</v>
      </c>
      <c r="BF100" s="53">
        <f t="shared" si="64"/>
        <v>156128</v>
      </c>
      <c r="BG100" s="53">
        <f t="shared" si="65"/>
        <v>474088.99999999994</v>
      </c>
      <c r="BH100" s="53">
        <f t="shared" si="66"/>
        <v>358375</v>
      </c>
      <c r="BI100" s="53" t="str">
        <f t="shared" si="67"/>
        <v/>
      </c>
      <c r="BJ100" s="53" t="str">
        <f t="shared" si="68"/>
        <v/>
      </c>
      <c r="BK100" s="53" t="str">
        <f t="shared" si="69"/>
        <v/>
      </c>
    </row>
    <row r="101" spans="1:63">
      <c r="A101" s="53">
        <v>172</v>
      </c>
      <c r="B101" s="89" t="str">
        <f>IFERROR(VLOOKUP($A101,EntryList!$A$3:$N$645,2,FALSE),"")</f>
        <v>Jean-Luc Roux</v>
      </c>
      <c r="C101" s="74"/>
      <c r="D101" s="53">
        <f t="shared" si="35"/>
        <v>5</v>
      </c>
      <c r="E101" s="62">
        <v>3.3192824074074079E-3</v>
      </c>
      <c r="F101" s="62">
        <v>3.240011574074074E-3</v>
      </c>
      <c r="G101" s="62">
        <v>1.8821412037037038E-3</v>
      </c>
      <c r="H101" s="62">
        <v>3.6005787037037035E-3</v>
      </c>
      <c r="I101" s="62">
        <v>4.0959722222222222E-3</v>
      </c>
      <c r="J101" s="62"/>
      <c r="K101" s="62"/>
      <c r="L101" s="62"/>
      <c r="M101" s="62">
        <v>1.613798611111111E-2</v>
      </c>
      <c r="N101" s="62">
        <f t="shared" si="36"/>
        <v>1.613798611111111E-2</v>
      </c>
      <c r="O101" s="53">
        <f t="shared" si="37"/>
        <v>102</v>
      </c>
      <c r="P101" s="53">
        <f t="shared" si="38"/>
        <v>168</v>
      </c>
      <c r="Q101" s="53">
        <f t="shared" si="39"/>
        <v>167</v>
      </c>
      <c r="R101" s="53">
        <f t="shared" si="40"/>
        <v>108</v>
      </c>
      <c r="S101" s="53">
        <f t="shared" si="41"/>
        <v>124</v>
      </c>
      <c r="T101" s="53" t="str">
        <f t="shared" si="42"/>
        <v/>
      </c>
      <c r="U101" s="53" t="str">
        <f t="shared" si="43"/>
        <v/>
      </c>
      <c r="V101" s="53" t="str">
        <f t="shared" si="44"/>
        <v/>
      </c>
      <c r="W101" s="53" t="str">
        <f t="shared" si="45"/>
        <v>00:04:46.8 (102)</v>
      </c>
      <c r="X101" s="53" t="str">
        <f t="shared" si="46"/>
        <v>00:04:39.9 (168)</v>
      </c>
      <c r="Y101" s="53" t="str">
        <f t="shared" si="47"/>
        <v>00:02:42.6 (167)</v>
      </c>
      <c r="Z101" s="53" t="str">
        <f t="shared" si="48"/>
        <v>00:05:11.1 (108)</v>
      </c>
      <c r="AA101" s="53" t="str">
        <f t="shared" si="49"/>
        <v>00:05:53.9 (124)</v>
      </c>
      <c r="AB101" s="53" t="str">
        <f t="shared" si="50"/>
        <v>DNS/DNF ()</v>
      </c>
      <c r="AC101" s="53" t="str">
        <f t="shared" si="51"/>
        <v>DNS/DNF ()</v>
      </c>
      <c r="AD101" s="53" t="str">
        <f t="shared" si="52"/>
        <v>DNS/DNF ()</v>
      </c>
      <c r="AE101" s="53">
        <v>31325347</v>
      </c>
      <c r="AF101" s="53">
        <v>31612133</v>
      </c>
      <c r="AG101" s="53">
        <v>35474901</v>
      </c>
      <c r="AH101" s="53">
        <v>35754838</v>
      </c>
      <c r="AI101" s="53">
        <v>39064089</v>
      </c>
      <c r="AJ101" s="53">
        <v>39226706</v>
      </c>
      <c r="AK101" s="53">
        <v>43084496</v>
      </c>
      <c r="AL101" s="53">
        <v>43395586</v>
      </c>
      <c r="AM101" s="53">
        <v>45573470</v>
      </c>
      <c r="AN101" s="53">
        <v>45927362</v>
      </c>
      <c r="AO101" s="53">
        <v>0</v>
      </c>
      <c r="AP101" s="53">
        <v>0</v>
      </c>
      <c r="AQ101" s="53">
        <v>0</v>
      </c>
      <c r="AR101" s="53">
        <v>0</v>
      </c>
      <c r="AS101" s="53">
        <v>0</v>
      </c>
      <c r="AT101" s="53">
        <v>0</v>
      </c>
      <c r="AU101" s="62">
        <f t="shared" si="53"/>
        <v>3.3192824074074075E-3</v>
      </c>
      <c r="AV101" s="62">
        <f t="shared" si="54"/>
        <v>3.240011574074074E-3</v>
      </c>
      <c r="AW101" s="62">
        <f t="shared" si="55"/>
        <v>1.8821412037037038E-3</v>
      </c>
      <c r="AX101" s="62">
        <f t="shared" si="56"/>
        <v>3.6005787037037035E-3</v>
      </c>
      <c r="AY101" s="62">
        <f t="shared" si="57"/>
        <v>4.0959722222222222E-3</v>
      </c>
      <c r="AZ101" s="62" t="str">
        <f t="shared" si="58"/>
        <v>DNS/DNF</v>
      </c>
      <c r="BA101" s="62" t="str">
        <f t="shared" si="59"/>
        <v>DNS/DNF</v>
      </c>
      <c r="BB101" s="62" t="str">
        <f t="shared" si="60"/>
        <v>DNS/DNF</v>
      </c>
      <c r="BC101" s="75">
        <f t="shared" si="61"/>
        <v>134</v>
      </c>
      <c r="BD101" s="53">
        <f t="shared" si="62"/>
        <v>414733</v>
      </c>
      <c r="BE101" s="53">
        <f t="shared" si="63"/>
        <v>268842</v>
      </c>
      <c r="BF101" s="53">
        <f t="shared" si="64"/>
        <v>155013</v>
      </c>
      <c r="BG101" s="53">
        <f t="shared" si="65"/>
        <v>442213</v>
      </c>
      <c r="BH101" s="53">
        <f t="shared" si="66"/>
        <v>358065</v>
      </c>
      <c r="BI101" s="53" t="str">
        <f t="shared" si="67"/>
        <v/>
      </c>
      <c r="BJ101" s="53" t="str">
        <f t="shared" si="68"/>
        <v/>
      </c>
      <c r="BK101" s="53" t="str">
        <f t="shared" si="69"/>
        <v/>
      </c>
    </row>
    <row r="102" spans="1:63">
      <c r="A102" s="53">
        <v>42</v>
      </c>
      <c r="B102" s="89" t="str">
        <f>IFERROR(VLOOKUP($A102,EntryList!$A$3:$N$645,2,FALSE),"")</f>
        <v>Dylan Jones</v>
      </c>
      <c r="C102" s="74"/>
      <c r="D102" s="53">
        <f t="shared" si="35"/>
        <v>5</v>
      </c>
      <c r="E102" s="62">
        <v>3.3928472222222224E-3</v>
      </c>
      <c r="F102" s="62">
        <v>3.1540856481481476E-3</v>
      </c>
      <c r="G102" s="62">
        <v>1.7488773148148149E-3</v>
      </c>
      <c r="H102" s="62">
        <v>3.4536689814814812E-3</v>
      </c>
      <c r="I102" s="62">
        <v>4.4008912037037037E-3</v>
      </c>
      <c r="J102" s="62"/>
      <c r="K102" s="62"/>
      <c r="L102" s="62"/>
      <c r="M102" s="62">
        <v>1.615037037037037E-2</v>
      </c>
      <c r="N102" s="62">
        <f t="shared" si="36"/>
        <v>1.615037037037037E-2</v>
      </c>
      <c r="O102" s="53">
        <f t="shared" si="37"/>
        <v>106</v>
      </c>
      <c r="P102" s="53">
        <f t="shared" si="38"/>
        <v>142</v>
      </c>
      <c r="Q102" s="53">
        <f t="shared" si="39"/>
        <v>113</v>
      </c>
      <c r="R102" s="53">
        <f t="shared" si="40"/>
        <v>94</v>
      </c>
      <c r="S102" s="53">
        <f t="shared" si="41"/>
        <v>174</v>
      </c>
      <c r="T102" s="53" t="str">
        <f t="shared" si="42"/>
        <v/>
      </c>
      <c r="U102" s="53" t="str">
        <f t="shared" si="43"/>
        <v/>
      </c>
      <c r="V102" s="53" t="str">
        <f t="shared" si="44"/>
        <v/>
      </c>
      <c r="W102" s="53" t="str">
        <f t="shared" si="45"/>
        <v>00:04:53.1 (106)</v>
      </c>
      <c r="X102" s="53" t="str">
        <f t="shared" si="46"/>
        <v>00:04:32.5 (142)</v>
      </c>
      <c r="Y102" s="53" t="str">
        <f t="shared" si="47"/>
        <v>00:02:31.1 (113)</v>
      </c>
      <c r="Z102" s="53" t="str">
        <f t="shared" si="48"/>
        <v>00:04:58.4 (94)</v>
      </c>
      <c r="AA102" s="53" t="str">
        <f t="shared" si="49"/>
        <v>00:06:20.2 (174)</v>
      </c>
      <c r="AB102" s="53" t="str">
        <f t="shared" si="50"/>
        <v>DNS/DNF ()</v>
      </c>
      <c r="AC102" s="53" t="str">
        <f t="shared" si="51"/>
        <v>DNS/DNF ()</v>
      </c>
      <c r="AD102" s="53" t="str">
        <f t="shared" si="52"/>
        <v>DNS/DNF ()</v>
      </c>
      <c r="AE102" s="53">
        <v>33219913</v>
      </c>
      <c r="AF102" s="53">
        <v>33513055</v>
      </c>
      <c r="AG102" s="53">
        <v>39766656</v>
      </c>
      <c r="AH102" s="53">
        <v>40039169</v>
      </c>
      <c r="AI102" s="53">
        <v>36433159</v>
      </c>
      <c r="AJ102" s="53">
        <v>36584262</v>
      </c>
      <c r="AK102" s="53">
        <v>45141916</v>
      </c>
      <c r="AL102" s="53">
        <v>45440313</v>
      </c>
      <c r="AM102" s="53">
        <v>48729470</v>
      </c>
      <c r="AN102" s="53">
        <v>49109707</v>
      </c>
      <c r="AO102" s="53">
        <v>0</v>
      </c>
      <c r="AP102" s="53">
        <v>0</v>
      </c>
      <c r="AQ102" s="53">
        <v>0</v>
      </c>
      <c r="AR102" s="53">
        <v>0</v>
      </c>
      <c r="AS102" s="53">
        <v>0</v>
      </c>
      <c r="AT102" s="53">
        <v>0</v>
      </c>
      <c r="AU102" s="62">
        <f t="shared" si="53"/>
        <v>3.392847222222222E-3</v>
      </c>
      <c r="AV102" s="62">
        <f t="shared" si="54"/>
        <v>3.154085648148148E-3</v>
      </c>
      <c r="AW102" s="62">
        <f t="shared" si="55"/>
        <v>1.7488773148148149E-3</v>
      </c>
      <c r="AX102" s="62">
        <f t="shared" si="56"/>
        <v>3.4536689814814816E-3</v>
      </c>
      <c r="AY102" s="62">
        <f t="shared" si="57"/>
        <v>4.4008912037037037E-3</v>
      </c>
      <c r="AZ102" s="62" t="str">
        <f t="shared" si="58"/>
        <v>DNS/DNF</v>
      </c>
      <c r="BA102" s="62" t="str">
        <f t="shared" si="59"/>
        <v>DNS/DNF</v>
      </c>
      <c r="BB102" s="62" t="str">
        <f t="shared" si="60"/>
        <v>DNS/DNF</v>
      </c>
      <c r="BC102" s="75">
        <f t="shared" si="61"/>
        <v>126</v>
      </c>
      <c r="BD102" s="53">
        <f t="shared" si="62"/>
        <v>352391</v>
      </c>
      <c r="BE102" s="53">
        <f t="shared" si="63"/>
        <v>266646</v>
      </c>
      <c r="BF102" s="53">
        <f t="shared" si="64"/>
        <v>153913</v>
      </c>
      <c r="BG102" s="53">
        <f t="shared" si="65"/>
        <v>340127</v>
      </c>
      <c r="BH102" s="53">
        <f t="shared" si="66"/>
        <v>354621</v>
      </c>
      <c r="BI102" s="53" t="str">
        <f t="shared" si="67"/>
        <v/>
      </c>
      <c r="BJ102" s="53" t="str">
        <f t="shared" si="68"/>
        <v/>
      </c>
      <c r="BK102" s="53" t="str">
        <f t="shared" si="69"/>
        <v/>
      </c>
    </row>
    <row r="103" spans="1:63">
      <c r="A103" s="53">
        <v>9</v>
      </c>
      <c r="B103" s="89" t="str">
        <f>IFERROR(VLOOKUP($A103,EntryList!$A$3:$N$645,2,FALSE),"")</f>
        <v>Charlie Thiry</v>
      </c>
      <c r="C103" s="74"/>
      <c r="D103" s="53">
        <f t="shared" si="35"/>
        <v>5</v>
      </c>
      <c r="E103" s="62">
        <v>3.6094907407407408E-3</v>
      </c>
      <c r="F103" s="62">
        <v>3.1290046296296292E-3</v>
      </c>
      <c r="G103" s="62">
        <v>1.7739120370370372E-3</v>
      </c>
      <c r="H103" s="62">
        <v>3.4353356481481479E-3</v>
      </c>
      <c r="I103" s="62">
        <v>4.20568287037037E-3</v>
      </c>
      <c r="J103" s="62"/>
      <c r="K103" s="62"/>
      <c r="L103" s="62"/>
      <c r="M103" s="62">
        <v>1.6153425925925925E-2</v>
      </c>
      <c r="N103" s="62">
        <f t="shared" si="36"/>
        <v>1.6153425925925925E-2</v>
      </c>
      <c r="O103" s="53">
        <f t="shared" si="37"/>
        <v>113</v>
      </c>
      <c r="P103" s="53">
        <f t="shared" si="38"/>
        <v>137</v>
      </c>
      <c r="Q103" s="53">
        <f t="shared" si="39"/>
        <v>125</v>
      </c>
      <c r="R103" s="53">
        <f t="shared" si="40"/>
        <v>93</v>
      </c>
      <c r="S103" s="53">
        <f t="shared" si="41"/>
        <v>147</v>
      </c>
      <c r="T103" s="53" t="str">
        <f t="shared" si="42"/>
        <v/>
      </c>
      <c r="U103" s="53" t="str">
        <f t="shared" si="43"/>
        <v/>
      </c>
      <c r="V103" s="53" t="str">
        <f t="shared" si="44"/>
        <v/>
      </c>
      <c r="W103" s="53" t="str">
        <f t="shared" si="45"/>
        <v>00:05:11.9 (113)</v>
      </c>
      <c r="X103" s="53" t="str">
        <f t="shared" si="46"/>
        <v>00:04:30.3 (137)</v>
      </c>
      <c r="Y103" s="53" t="str">
        <f t="shared" si="47"/>
        <v>00:02:33.3 (125)</v>
      </c>
      <c r="Z103" s="53" t="str">
        <f t="shared" si="48"/>
        <v>00:04:56.8 (93)</v>
      </c>
      <c r="AA103" s="53" t="str">
        <f t="shared" si="49"/>
        <v>00:06:03.4 (147)</v>
      </c>
      <c r="AB103" s="53" t="str">
        <f t="shared" si="50"/>
        <v>DNS/DNF ()</v>
      </c>
      <c r="AC103" s="53" t="str">
        <f t="shared" si="51"/>
        <v>DNS/DNF ()</v>
      </c>
      <c r="AD103" s="53" t="str">
        <f t="shared" si="52"/>
        <v>DNS/DNF ()</v>
      </c>
      <c r="AE103" s="53">
        <v>34166192</v>
      </c>
      <c r="AF103" s="53">
        <v>34478052</v>
      </c>
      <c r="AG103" s="53">
        <v>31107947</v>
      </c>
      <c r="AH103" s="53">
        <v>31378293</v>
      </c>
      <c r="AI103" s="53">
        <v>39537510</v>
      </c>
      <c r="AJ103" s="53">
        <v>39690776</v>
      </c>
      <c r="AK103" s="53">
        <v>44810647</v>
      </c>
      <c r="AL103" s="53">
        <v>45107460</v>
      </c>
      <c r="AM103" s="53">
        <v>48088480</v>
      </c>
      <c r="AN103" s="53">
        <v>48451851</v>
      </c>
      <c r="AO103" s="53">
        <v>0</v>
      </c>
      <c r="AP103" s="53">
        <v>0</v>
      </c>
      <c r="AQ103" s="53">
        <v>0</v>
      </c>
      <c r="AR103" s="53">
        <v>0</v>
      </c>
      <c r="AS103" s="53">
        <v>0</v>
      </c>
      <c r="AT103" s="53">
        <v>0</v>
      </c>
      <c r="AU103" s="62">
        <f t="shared" si="53"/>
        <v>3.6094907407407408E-3</v>
      </c>
      <c r="AV103" s="62">
        <f t="shared" si="54"/>
        <v>3.1290046296296296E-3</v>
      </c>
      <c r="AW103" s="62">
        <f t="shared" si="55"/>
        <v>1.773912037037037E-3</v>
      </c>
      <c r="AX103" s="62">
        <f t="shared" si="56"/>
        <v>3.4353356481481483E-3</v>
      </c>
      <c r="AY103" s="62">
        <f t="shared" si="57"/>
        <v>4.20568287037037E-3</v>
      </c>
      <c r="AZ103" s="62" t="str">
        <f t="shared" si="58"/>
        <v>DNS/DNF</v>
      </c>
      <c r="BA103" s="62" t="str">
        <f t="shared" si="59"/>
        <v>DNS/DNF</v>
      </c>
      <c r="BB103" s="62" t="str">
        <f t="shared" si="60"/>
        <v>DNS/DNF</v>
      </c>
      <c r="BC103" s="75">
        <f t="shared" si="61"/>
        <v>123</v>
      </c>
      <c r="BD103" s="53">
        <f t="shared" si="62"/>
        <v>340636</v>
      </c>
      <c r="BE103" s="53">
        <f t="shared" si="63"/>
        <v>265922</v>
      </c>
      <c r="BF103" s="53">
        <f t="shared" si="64"/>
        <v>152626</v>
      </c>
      <c r="BG103" s="53">
        <f t="shared" si="65"/>
        <v>334520</v>
      </c>
      <c r="BH103" s="53">
        <f t="shared" si="66"/>
        <v>353760.99999999994</v>
      </c>
      <c r="BI103" s="53" t="str">
        <f t="shared" si="67"/>
        <v/>
      </c>
      <c r="BJ103" s="53" t="str">
        <f t="shared" si="68"/>
        <v/>
      </c>
      <c r="BK103" s="53" t="str">
        <f t="shared" si="69"/>
        <v/>
      </c>
    </row>
    <row r="104" spans="1:63">
      <c r="A104" s="53">
        <v>44</v>
      </c>
      <c r="B104" s="89" t="str">
        <f>IFERROR(VLOOKUP($A104,EntryList!$A$3:$N$645,2,FALSE),"")</f>
        <v>Nigel Basel</v>
      </c>
      <c r="C104" s="74"/>
      <c r="D104" s="53">
        <f t="shared" si="35"/>
        <v>5</v>
      </c>
      <c r="E104" s="62">
        <v>3.2807060185185183E-3</v>
      </c>
      <c r="F104" s="62">
        <v>3.2026273148148148E-3</v>
      </c>
      <c r="G104" s="62">
        <v>1.8342361111111111E-3</v>
      </c>
      <c r="H104" s="62">
        <v>3.4925810185185181E-3</v>
      </c>
      <c r="I104" s="62">
        <v>4.3466666666666662E-3</v>
      </c>
      <c r="J104" s="62"/>
      <c r="K104" s="62"/>
      <c r="L104" s="62"/>
      <c r="M104" s="62">
        <v>1.6156817129629627E-2</v>
      </c>
      <c r="N104" s="62">
        <f t="shared" si="36"/>
        <v>1.615681712962963E-2</v>
      </c>
      <c r="O104" s="53">
        <f t="shared" si="37"/>
        <v>101</v>
      </c>
      <c r="P104" s="53">
        <f t="shared" si="38"/>
        <v>158</v>
      </c>
      <c r="Q104" s="53">
        <f t="shared" si="39"/>
        <v>142</v>
      </c>
      <c r="R104" s="53">
        <f t="shared" si="40"/>
        <v>98</v>
      </c>
      <c r="S104" s="53">
        <f t="shared" si="41"/>
        <v>169</v>
      </c>
      <c r="T104" s="53" t="str">
        <f t="shared" si="42"/>
        <v/>
      </c>
      <c r="U104" s="53" t="str">
        <f t="shared" si="43"/>
        <v/>
      </c>
      <c r="V104" s="53" t="str">
        <f t="shared" si="44"/>
        <v/>
      </c>
      <c r="W104" s="53" t="str">
        <f t="shared" si="45"/>
        <v>00:04:43.5 (101)</v>
      </c>
      <c r="X104" s="53" t="str">
        <f t="shared" si="46"/>
        <v>00:04:36.7 (158)</v>
      </c>
      <c r="Y104" s="53" t="str">
        <f t="shared" si="47"/>
        <v>00:02:38.5 (142)</v>
      </c>
      <c r="Z104" s="53" t="str">
        <f t="shared" si="48"/>
        <v>00:05:01.8 (98)</v>
      </c>
      <c r="AA104" s="53" t="str">
        <f t="shared" si="49"/>
        <v>00:06:15.6 (169)</v>
      </c>
      <c r="AB104" s="53" t="str">
        <f t="shared" si="50"/>
        <v>DNS/DNF ()</v>
      </c>
      <c r="AC104" s="53" t="str">
        <f t="shared" si="51"/>
        <v>DNS/DNF ()</v>
      </c>
      <c r="AD104" s="53" t="str">
        <f t="shared" si="52"/>
        <v>DNS/DNF ()</v>
      </c>
      <c r="AE104" s="53">
        <v>35656307</v>
      </c>
      <c r="AF104" s="53">
        <v>35939760</v>
      </c>
      <c r="AG104" s="53">
        <v>32493402</v>
      </c>
      <c r="AH104" s="53">
        <v>32770109</v>
      </c>
      <c r="AI104" s="53">
        <v>39167724</v>
      </c>
      <c r="AJ104" s="53">
        <v>39326202</v>
      </c>
      <c r="AK104" s="53">
        <v>43038898</v>
      </c>
      <c r="AL104" s="53">
        <v>43340657</v>
      </c>
      <c r="AM104" s="53">
        <v>45893276</v>
      </c>
      <c r="AN104" s="53">
        <v>46268828</v>
      </c>
      <c r="AO104" s="53">
        <v>0</v>
      </c>
      <c r="AP104" s="53">
        <v>0</v>
      </c>
      <c r="AQ104" s="53">
        <v>0</v>
      </c>
      <c r="AR104" s="53">
        <v>0</v>
      </c>
      <c r="AS104" s="53">
        <v>0</v>
      </c>
      <c r="AT104" s="53">
        <v>0</v>
      </c>
      <c r="AU104" s="62">
        <f t="shared" si="53"/>
        <v>3.2807060185185183E-3</v>
      </c>
      <c r="AV104" s="62">
        <f t="shared" si="54"/>
        <v>3.2026273148148148E-3</v>
      </c>
      <c r="AW104" s="62">
        <f t="shared" si="55"/>
        <v>1.8342361111111111E-3</v>
      </c>
      <c r="AX104" s="62">
        <f t="shared" si="56"/>
        <v>3.4925810185185186E-3</v>
      </c>
      <c r="AY104" s="62">
        <f t="shared" si="57"/>
        <v>4.3466666666666671E-3</v>
      </c>
      <c r="AZ104" s="62" t="str">
        <f t="shared" si="58"/>
        <v>DNS/DNF</v>
      </c>
      <c r="BA104" s="62" t="str">
        <f t="shared" si="59"/>
        <v>DNS/DNF</v>
      </c>
      <c r="BB104" s="62" t="str">
        <f t="shared" si="60"/>
        <v>DNS/DNF</v>
      </c>
      <c r="BC104" s="75">
        <f t="shared" si="61"/>
        <v>134</v>
      </c>
      <c r="BD104" s="53">
        <f t="shared" si="62"/>
        <v>414733</v>
      </c>
      <c r="BE104" s="53">
        <f t="shared" si="63"/>
        <v>268842</v>
      </c>
      <c r="BF104" s="53">
        <f t="shared" si="64"/>
        <v>155013</v>
      </c>
      <c r="BG104" s="53">
        <f t="shared" si="65"/>
        <v>442213</v>
      </c>
      <c r="BH104" s="53">
        <f t="shared" si="66"/>
        <v>358065</v>
      </c>
      <c r="BI104" s="53" t="str">
        <f t="shared" si="67"/>
        <v/>
      </c>
      <c r="BJ104" s="53" t="str">
        <f t="shared" si="68"/>
        <v/>
      </c>
      <c r="BK104" s="53" t="str">
        <f t="shared" si="69"/>
        <v/>
      </c>
    </row>
    <row r="105" spans="1:63">
      <c r="A105" s="53">
        <v>22</v>
      </c>
      <c r="B105" s="89" t="str">
        <f>IFERROR(VLOOKUP($A105,EntryList!$A$3:$N$645,2,FALSE),"")</f>
        <v>Annemi Pfister</v>
      </c>
      <c r="C105" s="74"/>
      <c r="D105" s="53">
        <f t="shared" si="35"/>
        <v>5</v>
      </c>
      <c r="E105" s="62">
        <v>3.5865046296296292E-3</v>
      </c>
      <c r="F105" s="62">
        <v>3.1115972222222222E-3</v>
      </c>
      <c r="G105" s="62">
        <v>1.8262615740740741E-3</v>
      </c>
      <c r="H105" s="62">
        <v>3.5530324074074075E-3</v>
      </c>
      <c r="I105" s="62">
        <v>4.131354166666666E-3</v>
      </c>
      <c r="J105" s="62"/>
      <c r="K105" s="62"/>
      <c r="L105" s="62"/>
      <c r="M105" s="62">
        <v>1.6208749999999997E-2</v>
      </c>
      <c r="N105" s="62">
        <f t="shared" si="36"/>
        <v>1.6208750000000001E-2</v>
      </c>
      <c r="O105" s="53">
        <f t="shared" si="37"/>
        <v>112</v>
      </c>
      <c r="P105" s="53">
        <f t="shared" si="38"/>
        <v>134</v>
      </c>
      <c r="Q105" s="53">
        <f t="shared" si="39"/>
        <v>139</v>
      </c>
      <c r="R105" s="53">
        <f t="shared" si="40"/>
        <v>104</v>
      </c>
      <c r="S105" s="53">
        <f t="shared" si="41"/>
        <v>132</v>
      </c>
      <c r="T105" s="53" t="str">
        <f t="shared" si="42"/>
        <v/>
      </c>
      <c r="U105" s="53" t="str">
        <f t="shared" si="43"/>
        <v/>
      </c>
      <c r="V105" s="53" t="str">
        <f t="shared" si="44"/>
        <v/>
      </c>
      <c r="W105" s="53" t="str">
        <f t="shared" si="45"/>
        <v>00:05:09.9 (112)</v>
      </c>
      <c r="X105" s="53" t="str">
        <f t="shared" si="46"/>
        <v>00:04:28.8 (134)</v>
      </c>
      <c r="Y105" s="53" t="str">
        <f t="shared" si="47"/>
        <v>00:02:37.8 (139)</v>
      </c>
      <c r="Z105" s="53" t="str">
        <f t="shared" si="48"/>
        <v>00:05:07.0 (104)</v>
      </c>
      <c r="AA105" s="53" t="str">
        <f t="shared" si="49"/>
        <v>00:05:56.9 (132)</v>
      </c>
      <c r="AB105" s="53" t="str">
        <f t="shared" si="50"/>
        <v>DNS/DNF ()</v>
      </c>
      <c r="AC105" s="53" t="str">
        <f t="shared" si="51"/>
        <v>DNS/DNF ()</v>
      </c>
      <c r="AD105" s="53" t="str">
        <f t="shared" si="52"/>
        <v>DNS/DNF ()</v>
      </c>
      <c r="AE105" s="53">
        <v>31551595</v>
      </c>
      <c r="AF105" s="53">
        <v>31861469</v>
      </c>
      <c r="AG105" s="53">
        <v>35852701</v>
      </c>
      <c r="AH105" s="53">
        <v>36121543</v>
      </c>
      <c r="AI105" s="53">
        <v>39313378</v>
      </c>
      <c r="AJ105" s="53">
        <v>39471167</v>
      </c>
      <c r="AK105" s="53">
        <v>43174741</v>
      </c>
      <c r="AL105" s="53">
        <v>43481723</v>
      </c>
      <c r="AM105" s="53">
        <v>46016828</v>
      </c>
      <c r="AN105" s="53">
        <v>46373777</v>
      </c>
      <c r="AO105" s="53">
        <v>0</v>
      </c>
      <c r="AP105" s="53">
        <v>0</v>
      </c>
      <c r="AQ105" s="53">
        <v>0</v>
      </c>
      <c r="AR105" s="53">
        <v>0</v>
      </c>
      <c r="AS105" s="53">
        <v>0</v>
      </c>
      <c r="AT105" s="53">
        <v>0</v>
      </c>
      <c r="AU105" s="62">
        <f t="shared" si="53"/>
        <v>3.5865046296296296E-3</v>
      </c>
      <c r="AV105" s="62">
        <f t="shared" si="54"/>
        <v>3.1115972222222222E-3</v>
      </c>
      <c r="AW105" s="62">
        <f t="shared" si="55"/>
        <v>1.8262615740740741E-3</v>
      </c>
      <c r="AX105" s="62">
        <f t="shared" si="56"/>
        <v>3.5530324074074075E-3</v>
      </c>
      <c r="AY105" s="62">
        <f t="shared" si="57"/>
        <v>4.1313541666666669E-3</v>
      </c>
      <c r="AZ105" s="62" t="str">
        <f t="shared" si="58"/>
        <v>DNS/DNF</v>
      </c>
      <c r="BA105" s="62" t="str">
        <f t="shared" si="59"/>
        <v>DNS/DNF</v>
      </c>
      <c r="BB105" s="62" t="str">
        <f t="shared" si="60"/>
        <v>DNS/DNF</v>
      </c>
      <c r="BC105" s="75">
        <f t="shared" si="61"/>
        <v>124</v>
      </c>
      <c r="BD105" s="53">
        <f t="shared" si="62"/>
        <v>344708</v>
      </c>
      <c r="BE105" s="53">
        <f t="shared" si="63"/>
        <v>266153</v>
      </c>
      <c r="BF105" s="53">
        <f t="shared" si="64"/>
        <v>153196</v>
      </c>
      <c r="BG105" s="53">
        <f t="shared" si="65"/>
        <v>336323</v>
      </c>
      <c r="BH105" s="53">
        <f t="shared" si="66"/>
        <v>353892</v>
      </c>
      <c r="BI105" s="53" t="str">
        <f t="shared" si="67"/>
        <v/>
      </c>
      <c r="BJ105" s="53" t="str">
        <f t="shared" si="68"/>
        <v/>
      </c>
      <c r="BK105" s="53" t="str">
        <f t="shared" si="69"/>
        <v/>
      </c>
    </row>
    <row r="106" spans="1:63">
      <c r="A106" s="53">
        <v>4</v>
      </c>
      <c r="B106" s="89" t="str">
        <f>IFERROR(VLOOKUP($A106,EntryList!$A$3:$N$645,2,FALSE),"")</f>
        <v>James Eatwell</v>
      </c>
      <c r="C106" s="74"/>
      <c r="D106" s="53">
        <f t="shared" si="35"/>
        <v>5</v>
      </c>
      <c r="E106" s="62">
        <v>3.4488773148148143E-3</v>
      </c>
      <c r="F106" s="62">
        <v>3.0745486111111108E-3</v>
      </c>
      <c r="G106" s="62">
        <v>1.845625E-3</v>
      </c>
      <c r="H106" s="62">
        <v>3.7604861111111107E-3</v>
      </c>
      <c r="I106" s="62">
        <v>4.1659027777777779E-3</v>
      </c>
      <c r="J106" s="62"/>
      <c r="K106" s="62"/>
      <c r="L106" s="62"/>
      <c r="M106" s="62">
        <v>1.6295439814814815E-2</v>
      </c>
      <c r="N106" s="62">
        <f t="shared" si="36"/>
        <v>1.6295439814814815E-2</v>
      </c>
      <c r="O106" s="53">
        <f t="shared" si="37"/>
        <v>108</v>
      </c>
      <c r="P106" s="53">
        <f t="shared" si="38"/>
        <v>122</v>
      </c>
      <c r="Q106" s="53">
        <f t="shared" si="39"/>
        <v>146</v>
      </c>
      <c r="R106" s="53">
        <f t="shared" si="40"/>
        <v>117</v>
      </c>
      <c r="S106" s="53">
        <f t="shared" si="41"/>
        <v>142</v>
      </c>
      <c r="T106" s="53" t="str">
        <f t="shared" si="42"/>
        <v/>
      </c>
      <c r="U106" s="53" t="str">
        <f t="shared" si="43"/>
        <v/>
      </c>
      <c r="V106" s="53" t="str">
        <f t="shared" si="44"/>
        <v/>
      </c>
      <c r="W106" s="53" t="str">
        <f t="shared" si="45"/>
        <v>00:04:58.0 (108)</v>
      </c>
      <c r="X106" s="53" t="str">
        <f t="shared" si="46"/>
        <v>00:04:25.6 (122)</v>
      </c>
      <c r="Y106" s="53" t="str">
        <f t="shared" si="47"/>
        <v>00:02:39.5 (146)</v>
      </c>
      <c r="Z106" s="53" t="str">
        <f t="shared" si="48"/>
        <v>00:05:24.9 (117)</v>
      </c>
      <c r="AA106" s="53" t="str">
        <f t="shared" si="49"/>
        <v>00:05:59.9 (142)</v>
      </c>
      <c r="AB106" s="53" t="str">
        <f t="shared" si="50"/>
        <v>DNS/DNF ()</v>
      </c>
      <c r="AC106" s="53" t="str">
        <f t="shared" si="51"/>
        <v>DNS/DNF ()</v>
      </c>
      <c r="AD106" s="53" t="str">
        <f t="shared" si="52"/>
        <v>DNS/DNF ()</v>
      </c>
      <c r="AE106" s="53">
        <v>31930925</v>
      </c>
      <c r="AF106" s="53">
        <v>32228908</v>
      </c>
      <c r="AG106" s="53">
        <v>36795017</v>
      </c>
      <c r="AH106" s="53">
        <v>37060658</v>
      </c>
      <c r="AI106" s="53">
        <v>40298006</v>
      </c>
      <c r="AJ106" s="53">
        <v>40457468</v>
      </c>
      <c r="AK106" s="53">
        <v>45245430</v>
      </c>
      <c r="AL106" s="53">
        <v>45570336</v>
      </c>
      <c r="AM106" s="53">
        <v>48665152</v>
      </c>
      <c r="AN106" s="53">
        <v>49025086</v>
      </c>
      <c r="AO106" s="53">
        <v>0</v>
      </c>
      <c r="AP106" s="53">
        <v>0</v>
      </c>
      <c r="AQ106" s="53">
        <v>0</v>
      </c>
      <c r="AR106" s="53">
        <v>0</v>
      </c>
      <c r="AS106" s="53">
        <v>0</v>
      </c>
      <c r="AT106" s="53">
        <v>0</v>
      </c>
      <c r="AU106" s="62">
        <f t="shared" si="53"/>
        <v>3.4488773148148148E-3</v>
      </c>
      <c r="AV106" s="62">
        <f t="shared" si="54"/>
        <v>3.0745486111111112E-3</v>
      </c>
      <c r="AW106" s="62">
        <f t="shared" si="55"/>
        <v>1.845625E-3</v>
      </c>
      <c r="AX106" s="62">
        <f t="shared" si="56"/>
        <v>3.7604861111111111E-3</v>
      </c>
      <c r="AY106" s="62">
        <f t="shared" si="57"/>
        <v>4.1659027777777779E-3</v>
      </c>
      <c r="AZ106" s="62" t="str">
        <f t="shared" si="58"/>
        <v>DNS/DNF</v>
      </c>
      <c r="BA106" s="62" t="str">
        <f t="shared" si="59"/>
        <v>DNS/DNF</v>
      </c>
      <c r="BB106" s="62" t="str">
        <f t="shared" si="60"/>
        <v>DNS/DNF</v>
      </c>
      <c r="BC106" s="75">
        <f t="shared" si="61"/>
        <v>127</v>
      </c>
      <c r="BD106" s="53">
        <f t="shared" si="62"/>
        <v>358979</v>
      </c>
      <c r="BE106" s="53">
        <f t="shared" si="63"/>
        <v>266821</v>
      </c>
      <c r="BF106" s="53">
        <f t="shared" si="64"/>
        <v>154060</v>
      </c>
      <c r="BG106" s="53">
        <f t="shared" si="65"/>
        <v>350614.00000000006</v>
      </c>
      <c r="BH106" s="53">
        <f t="shared" si="66"/>
        <v>354863</v>
      </c>
      <c r="BI106" s="53" t="str">
        <f t="shared" si="67"/>
        <v/>
      </c>
      <c r="BJ106" s="53" t="str">
        <f t="shared" si="68"/>
        <v/>
      </c>
      <c r="BK106" s="53" t="str">
        <f t="shared" si="69"/>
        <v/>
      </c>
    </row>
    <row r="107" spans="1:63">
      <c r="A107" s="53">
        <v>119</v>
      </c>
      <c r="B107" s="89" t="str">
        <f>IFERROR(VLOOKUP($A107,EntryList!$A$3:$N$645,2,FALSE),"")</f>
        <v>Ian Williams</v>
      </c>
      <c r="C107" s="74"/>
      <c r="D107" s="53">
        <f t="shared" si="35"/>
        <v>5</v>
      </c>
      <c r="E107" s="62">
        <v>3.6279166666666664E-3</v>
      </c>
      <c r="F107" s="62">
        <v>3.2007986111111109E-3</v>
      </c>
      <c r="G107" s="62">
        <v>1.856388888888889E-3</v>
      </c>
      <c r="H107" s="62">
        <v>3.5289583333333332E-3</v>
      </c>
      <c r="I107" s="62">
        <v>4.1626967592592592E-3</v>
      </c>
      <c r="J107" s="62"/>
      <c r="K107" s="62"/>
      <c r="L107" s="62"/>
      <c r="M107" s="62">
        <v>1.6376759259259261E-2</v>
      </c>
      <c r="N107" s="62">
        <f t="shared" si="36"/>
        <v>1.6376759259259261E-2</v>
      </c>
      <c r="O107" s="53">
        <f t="shared" si="37"/>
        <v>115</v>
      </c>
      <c r="P107" s="53">
        <f t="shared" si="38"/>
        <v>157</v>
      </c>
      <c r="Q107" s="53">
        <f t="shared" si="39"/>
        <v>155</v>
      </c>
      <c r="R107" s="53">
        <f t="shared" si="40"/>
        <v>102</v>
      </c>
      <c r="S107" s="53">
        <f t="shared" si="41"/>
        <v>140</v>
      </c>
      <c r="T107" s="53" t="str">
        <f t="shared" si="42"/>
        <v/>
      </c>
      <c r="U107" s="53" t="str">
        <f t="shared" si="43"/>
        <v/>
      </c>
      <c r="V107" s="53" t="str">
        <f t="shared" si="44"/>
        <v/>
      </c>
      <c r="W107" s="53" t="str">
        <f t="shared" si="45"/>
        <v>00:05:13.5 (115)</v>
      </c>
      <c r="X107" s="53" t="str">
        <f t="shared" si="46"/>
        <v>00:04:36.5 (157)</v>
      </c>
      <c r="Y107" s="53" t="str">
        <f t="shared" si="47"/>
        <v>00:02:40.4 (155)</v>
      </c>
      <c r="Z107" s="53" t="str">
        <f t="shared" si="48"/>
        <v>00:05:04.9 (102)</v>
      </c>
      <c r="AA107" s="53" t="str">
        <f t="shared" si="49"/>
        <v>00:05:59.7 (140)</v>
      </c>
      <c r="AB107" s="53" t="str">
        <f t="shared" si="50"/>
        <v>DNS/DNF ()</v>
      </c>
      <c r="AC107" s="53" t="str">
        <f t="shared" si="51"/>
        <v>DNS/DNF ()</v>
      </c>
      <c r="AD107" s="53" t="str">
        <f t="shared" si="52"/>
        <v>DNS/DNF ()</v>
      </c>
      <c r="AE107" s="53">
        <v>32594595</v>
      </c>
      <c r="AF107" s="53">
        <v>32908047</v>
      </c>
      <c r="AG107" s="53">
        <v>37261103</v>
      </c>
      <c r="AH107" s="53">
        <v>37537652</v>
      </c>
      <c r="AI107" s="53">
        <v>40479264</v>
      </c>
      <c r="AJ107" s="53">
        <v>40639656</v>
      </c>
      <c r="AK107" s="53">
        <v>44864619</v>
      </c>
      <c r="AL107" s="53">
        <v>45169521</v>
      </c>
      <c r="AM107" s="53">
        <v>47775502</v>
      </c>
      <c r="AN107" s="53">
        <v>48135159</v>
      </c>
      <c r="AO107" s="53">
        <v>0</v>
      </c>
      <c r="AP107" s="53">
        <v>0</v>
      </c>
      <c r="AQ107" s="53">
        <v>0</v>
      </c>
      <c r="AR107" s="53">
        <v>0</v>
      </c>
      <c r="AS107" s="53">
        <v>0</v>
      </c>
      <c r="AT107" s="53">
        <v>0</v>
      </c>
      <c r="AU107" s="62">
        <f t="shared" si="53"/>
        <v>3.6279166666666669E-3</v>
      </c>
      <c r="AV107" s="62">
        <f t="shared" si="54"/>
        <v>3.2007986111111113E-3</v>
      </c>
      <c r="AW107" s="62">
        <f t="shared" si="55"/>
        <v>1.856388888888889E-3</v>
      </c>
      <c r="AX107" s="62">
        <f t="shared" si="56"/>
        <v>3.5289583333333332E-3</v>
      </c>
      <c r="AY107" s="62">
        <f t="shared" si="57"/>
        <v>4.1626967592592592E-3</v>
      </c>
      <c r="AZ107" s="62" t="str">
        <f t="shared" si="58"/>
        <v>DNS/DNF</v>
      </c>
      <c r="BA107" s="62" t="str">
        <f t="shared" si="59"/>
        <v>DNS/DNF</v>
      </c>
      <c r="BB107" s="62" t="str">
        <f t="shared" si="60"/>
        <v>DNS/DNF</v>
      </c>
      <c r="BC107" s="75">
        <f t="shared" si="61"/>
        <v>134</v>
      </c>
      <c r="BD107" s="53">
        <f t="shared" si="62"/>
        <v>414733</v>
      </c>
      <c r="BE107" s="53">
        <f t="shared" si="63"/>
        <v>268842</v>
      </c>
      <c r="BF107" s="53">
        <f t="shared" si="64"/>
        <v>155013</v>
      </c>
      <c r="BG107" s="53">
        <f t="shared" si="65"/>
        <v>442213</v>
      </c>
      <c r="BH107" s="53">
        <f t="shared" si="66"/>
        <v>358065</v>
      </c>
      <c r="BI107" s="53" t="str">
        <f t="shared" si="67"/>
        <v/>
      </c>
      <c r="BJ107" s="53" t="str">
        <f t="shared" si="68"/>
        <v/>
      </c>
      <c r="BK107" s="53" t="str">
        <f t="shared" si="69"/>
        <v/>
      </c>
    </row>
    <row r="108" spans="1:63">
      <c r="A108" s="53">
        <v>180</v>
      </c>
      <c r="B108" s="89" t="str">
        <f>IFERROR(VLOOKUP($A108,EntryList!$A$3:$N$645,2,FALSE),"")</f>
        <v>Robyn Emslie</v>
      </c>
      <c r="C108" s="74"/>
      <c r="D108" s="53">
        <f t="shared" si="35"/>
        <v>5</v>
      </c>
      <c r="E108" s="62">
        <v>3.8232175925925929E-3</v>
      </c>
      <c r="F108" s="62">
        <v>3.1180092592592592E-3</v>
      </c>
      <c r="G108" s="62">
        <v>1.8168402777777777E-3</v>
      </c>
      <c r="H108" s="62">
        <v>3.5269560185185182E-3</v>
      </c>
      <c r="I108" s="62">
        <v>4.0992824074074074E-3</v>
      </c>
      <c r="J108" s="62"/>
      <c r="K108" s="62"/>
      <c r="L108" s="62"/>
      <c r="M108" s="62">
        <v>1.6384305555555555E-2</v>
      </c>
      <c r="N108" s="62">
        <f t="shared" si="36"/>
        <v>1.6384305555555555E-2</v>
      </c>
      <c r="O108" s="53">
        <f t="shared" si="37"/>
        <v>119</v>
      </c>
      <c r="P108" s="53">
        <f t="shared" si="38"/>
        <v>136</v>
      </c>
      <c r="Q108" s="53">
        <f t="shared" si="39"/>
        <v>138</v>
      </c>
      <c r="R108" s="53">
        <f t="shared" si="40"/>
        <v>101</v>
      </c>
      <c r="S108" s="53">
        <f t="shared" si="41"/>
        <v>125</v>
      </c>
      <c r="T108" s="53" t="str">
        <f t="shared" si="42"/>
        <v/>
      </c>
      <c r="U108" s="53" t="str">
        <f t="shared" si="43"/>
        <v/>
      </c>
      <c r="V108" s="53" t="str">
        <f t="shared" si="44"/>
        <v/>
      </c>
      <c r="W108" s="53" t="str">
        <f t="shared" si="45"/>
        <v>00:05:30.3 (119)</v>
      </c>
      <c r="X108" s="53" t="str">
        <f t="shared" si="46"/>
        <v>00:04:29.4 (136)</v>
      </c>
      <c r="Y108" s="53" t="str">
        <f t="shared" si="47"/>
        <v>00:02:37.0 (138)</v>
      </c>
      <c r="Z108" s="53" t="str">
        <f t="shared" si="48"/>
        <v>00:05:04.7 (101)</v>
      </c>
      <c r="AA108" s="53" t="str">
        <f t="shared" si="49"/>
        <v>00:05:54.2 (125)</v>
      </c>
      <c r="AB108" s="53" t="str">
        <f t="shared" si="50"/>
        <v>DNS/DNF ()</v>
      </c>
      <c r="AC108" s="53" t="str">
        <f t="shared" si="51"/>
        <v>DNS/DNF ()</v>
      </c>
      <c r="AD108" s="53" t="str">
        <f t="shared" si="52"/>
        <v>DNS/DNF ()</v>
      </c>
      <c r="AE108" s="53">
        <v>33643977</v>
      </c>
      <c r="AF108" s="53">
        <v>33974303</v>
      </c>
      <c r="AG108" s="53">
        <v>40997304</v>
      </c>
      <c r="AH108" s="53">
        <v>41266700</v>
      </c>
      <c r="AI108" s="53">
        <v>37751180</v>
      </c>
      <c r="AJ108" s="53">
        <v>37908155</v>
      </c>
      <c r="AK108" s="53">
        <v>45278863</v>
      </c>
      <c r="AL108" s="53">
        <v>45583592</v>
      </c>
      <c r="AM108" s="53">
        <v>48775168</v>
      </c>
      <c r="AN108" s="53">
        <v>49129346</v>
      </c>
      <c r="AO108" s="53">
        <v>0</v>
      </c>
      <c r="AP108" s="53">
        <v>0</v>
      </c>
      <c r="AQ108" s="53">
        <v>0</v>
      </c>
      <c r="AR108" s="53">
        <v>0</v>
      </c>
      <c r="AS108" s="53">
        <v>0</v>
      </c>
      <c r="AT108" s="53">
        <v>0</v>
      </c>
      <c r="AU108" s="62">
        <f t="shared" si="53"/>
        <v>3.8232175925925925E-3</v>
      </c>
      <c r="AV108" s="62">
        <f t="shared" si="54"/>
        <v>3.1180092592592592E-3</v>
      </c>
      <c r="AW108" s="62">
        <f t="shared" si="55"/>
        <v>1.8168402777777777E-3</v>
      </c>
      <c r="AX108" s="62">
        <f t="shared" si="56"/>
        <v>3.5269560185185187E-3</v>
      </c>
      <c r="AY108" s="62">
        <f t="shared" si="57"/>
        <v>4.0992824074074074E-3</v>
      </c>
      <c r="AZ108" s="62" t="str">
        <f t="shared" si="58"/>
        <v>DNS/DNF</v>
      </c>
      <c r="BA108" s="62" t="str">
        <f t="shared" si="59"/>
        <v>DNS/DNF</v>
      </c>
      <c r="BB108" s="62" t="str">
        <f t="shared" si="60"/>
        <v>DNS/DNF</v>
      </c>
      <c r="BC108" s="75">
        <f t="shared" si="61"/>
        <v>124</v>
      </c>
      <c r="BD108" s="53">
        <f t="shared" si="62"/>
        <v>344708</v>
      </c>
      <c r="BE108" s="53">
        <f t="shared" si="63"/>
        <v>266153</v>
      </c>
      <c r="BF108" s="53">
        <f t="shared" si="64"/>
        <v>153196</v>
      </c>
      <c r="BG108" s="53">
        <f t="shared" si="65"/>
        <v>336323</v>
      </c>
      <c r="BH108" s="53">
        <f t="shared" si="66"/>
        <v>353892</v>
      </c>
      <c r="BI108" s="53" t="str">
        <f t="shared" si="67"/>
        <v/>
      </c>
      <c r="BJ108" s="53" t="str">
        <f t="shared" si="68"/>
        <v/>
      </c>
      <c r="BK108" s="53" t="str">
        <f t="shared" si="69"/>
        <v/>
      </c>
    </row>
    <row r="109" spans="1:63">
      <c r="A109" s="53">
        <v>92</v>
      </c>
      <c r="B109" s="89" t="str">
        <f>IFERROR(VLOOKUP($A109,EntryList!$A$3:$N$645,2,FALSE),"")</f>
        <v>Jaco Van Der Linde</v>
      </c>
      <c r="C109" s="74"/>
      <c r="D109" s="53">
        <f t="shared" si="35"/>
        <v>5</v>
      </c>
      <c r="E109" s="62">
        <v>4.5646643518518519E-3</v>
      </c>
      <c r="F109" s="62">
        <v>2.82E-3</v>
      </c>
      <c r="G109" s="62">
        <v>1.7036111111111108E-3</v>
      </c>
      <c r="H109" s="62">
        <v>3.3886458333333334E-3</v>
      </c>
      <c r="I109" s="62">
        <v>4.0006481481481481E-3</v>
      </c>
      <c r="J109" s="62"/>
      <c r="K109" s="62"/>
      <c r="L109" s="62"/>
      <c r="M109" s="62">
        <v>1.6477569444444444E-2</v>
      </c>
      <c r="N109" s="62">
        <f t="shared" si="36"/>
        <v>1.6477569444444444E-2</v>
      </c>
      <c r="O109" s="53">
        <f t="shared" si="37"/>
        <v>132</v>
      </c>
      <c r="P109" s="53">
        <f t="shared" si="38"/>
        <v>71</v>
      </c>
      <c r="Q109" s="53">
        <f t="shared" si="39"/>
        <v>100</v>
      </c>
      <c r="R109" s="53">
        <f t="shared" si="40"/>
        <v>84</v>
      </c>
      <c r="S109" s="53">
        <f t="shared" si="41"/>
        <v>99</v>
      </c>
      <c r="T109" s="53" t="str">
        <f t="shared" si="42"/>
        <v/>
      </c>
      <c r="U109" s="53" t="str">
        <f t="shared" si="43"/>
        <v/>
      </c>
      <c r="V109" s="53" t="str">
        <f t="shared" si="44"/>
        <v/>
      </c>
      <c r="W109" s="53" t="str">
        <f t="shared" si="45"/>
        <v>00:06:34.4 (132)</v>
      </c>
      <c r="X109" s="53" t="str">
        <f t="shared" si="46"/>
        <v>00:04:03.6 (71)</v>
      </c>
      <c r="Y109" s="53" t="str">
        <f t="shared" si="47"/>
        <v>00:02:27.2 (100)</v>
      </c>
      <c r="Z109" s="53" t="str">
        <f t="shared" si="48"/>
        <v>00:04:52.8 (84)</v>
      </c>
      <c r="AA109" s="53" t="str">
        <f t="shared" si="49"/>
        <v>00:05:45.7 (99)</v>
      </c>
      <c r="AB109" s="53" t="str">
        <f t="shared" si="50"/>
        <v>DNS/DNF ()</v>
      </c>
      <c r="AC109" s="53" t="str">
        <f t="shared" si="51"/>
        <v>DNS/DNF ()</v>
      </c>
      <c r="AD109" s="53" t="str">
        <f t="shared" si="52"/>
        <v>DNS/DNF ()</v>
      </c>
      <c r="AE109" s="53">
        <v>35623929</v>
      </c>
      <c r="AF109" s="53">
        <v>36018316</v>
      </c>
      <c r="AG109" s="53">
        <v>32266586</v>
      </c>
      <c r="AH109" s="53">
        <v>32510234</v>
      </c>
      <c r="AI109" s="53">
        <v>39277038</v>
      </c>
      <c r="AJ109" s="53">
        <v>39424230</v>
      </c>
      <c r="AK109" s="53">
        <v>42932783</v>
      </c>
      <c r="AL109" s="53">
        <v>43225562</v>
      </c>
      <c r="AM109" s="53">
        <v>45690120</v>
      </c>
      <c r="AN109" s="53">
        <v>46035776</v>
      </c>
      <c r="AO109" s="53">
        <v>0</v>
      </c>
      <c r="AP109" s="53">
        <v>0</v>
      </c>
      <c r="AQ109" s="53">
        <v>0</v>
      </c>
      <c r="AR109" s="53">
        <v>0</v>
      </c>
      <c r="AS109" s="53">
        <v>0</v>
      </c>
      <c r="AT109" s="53">
        <v>0</v>
      </c>
      <c r="AU109" s="62">
        <f t="shared" si="53"/>
        <v>4.5646643518518519E-3</v>
      </c>
      <c r="AV109" s="62">
        <f t="shared" si="54"/>
        <v>2.82E-3</v>
      </c>
      <c r="AW109" s="62">
        <f t="shared" si="55"/>
        <v>1.703611111111111E-3</v>
      </c>
      <c r="AX109" s="62">
        <f t="shared" si="56"/>
        <v>3.3886458333333334E-3</v>
      </c>
      <c r="AY109" s="62">
        <f t="shared" si="57"/>
        <v>4.0006481481481481E-3</v>
      </c>
      <c r="AZ109" s="62" t="str">
        <f t="shared" si="58"/>
        <v>DNS/DNF</v>
      </c>
      <c r="BA109" s="62" t="str">
        <f t="shared" si="59"/>
        <v>DNS/DNF</v>
      </c>
      <c r="BB109" s="62" t="str">
        <f t="shared" si="60"/>
        <v>DNS/DNF</v>
      </c>
      <c r="BC109" s="75">
        <f t="shared" si="61"/>
        <v>97</v>
      </c>
      <c r="BD109" s="53">
        <f t="shared" si="62"/>
        <v>278351</v>
      </c>
      <c r="BE109" s="53">
        <f t="shared" si="63"/>
        <v>254490</v>
      </c>
      <c r="BF109" s="53">
        <f t="shared" si="64"/>
        <v>146362</v>
      </c>
      <c r="BG109" s="53">
        <f t="shared" si="65"/>
        <v>301363</v>
      </c>
      <c r="BH109" s="53">
        <f t="shared" si="66"/>
        <v>344306</v>
      </c>
      <c r="BI109" s="53" t="str">
        <f t="shared" si="67"/>
        <v/>
      </c>
      <c r="BJ109" s="53" t="str">
        <f t="shared" si="68"/>
        <v/>
      </c>
      <c r="BK109" s="53" t="str">
        <f t="shared" si="69"/>
        <v/>
      </c>
    </row>
    <row r="110" spans="1:63">
      <c r="A110" s="53">
        <v>277</v>
      </c>
      <c r="B110" s="89" t="str">
        <f>IFERROR(VLOOKUP($A110,EntryList!$A$3:$N$645,2,FALSE),"")</f>
        <v>Stephen Wiggill</v>
      </c>
      <c r="C110" s="74"/>
      <c r="D110" s="53">
        <f t="shared" si="35"/>
        <v>5</v>
      </c>
      <c r="E110" s="62">
        <v>3.6482291666666664E-3</v>
      </c>
      <c r="F110" s="62">
        <v>3.1703703703703703E-3</v>
      </c>
      <c r="G110" s="62">
        <v>1.9763310185185183E-3</v>
      </c>
      <c r="H110" s="62">
        <v>3.6691550925925923E-3</v>
      </c>
      <c r="I110" s="62">
        <v>4.1305787037037031E-3</v>
      </c>
      <c r="J110" s="62"/>
      <c r="K110" s="62"/>
      <c r="L110" s="62"/>
      <c r="M110" s="62">
        <v>1.6594664351851852E-2</v>
      </c>
      <c r="N110" s="62">
        <f t="shared" si="36"/>
        <v>1.6594664351851855E-2</v>
      </c>
      <c r="O110" s="53">
        <f t="shared" si="37"/>
        <v>116</v>
      </c>
      <c r="P110" s="53">
        <f t="shared" si="38"/>
        <v>151</v>
      </c>
      <c r="Q110" s="53">
        <f t="shared" si="39"/>
        <v>187</v>
      </c>
      <c r="R110" s="53">
        <f t="shared" si="40"/>
        <v>111</v>
      </c>
      <c r="S110" s="53">
        <f t="shared" si="41"/>
        <v>131</v>
      </c>
      <c r="T110" s="53" t="str">
        <f t="shared" si="42"/>
        <v/>
      </c>
      <c r="U110" s="53" t="str">
        <f t="shared" si="43"/>
        <v/>
      </c>
      <c r="V110" s="53" t="str">
        <f t="shared" si="44"/>
        <v/>
      </c>
      <c r="W110" s="53" t="str">
        <f t="shared" si="45"/>
        <v>00:05:15.2 (116)</v>
      </c>
      <c r="X110" s="53" t="str">
        <f t="shared" si="46"/>
        <v>00:04:33.9 (151)</v>
      </c>
      <c r="Y110" s="53" t="str">
        <f t="shared" si="47"/>
        <v>00:02:50.8 (187)</v>
      </c>
      <c r="Z110" s="53" t="str">
        <f t="shared" si="48"/>
        <v>00:05:17.0 (111)</v>
      </c>
      <c r="AA110" s="53" t="str">
        <f t="shared" si="49"/>
        <v>00:05:56.9 (131)</v>
      </c>
      <c r="AB110" s="53" t="str">
        <f t="shared" si="50"/>
        <v>DNS/DNF ()</v>
      </c>
      <c r="AC110" s="53" t="str">
        <f t="shared" si="51"/>
        <v>DNS/DNF ()</v>
      </c>
      <c r="AD110" s="53" t="str">
        <f t="shared" si="52"/>
        <v>DNS/DNF ()</v>
      </c>
      <c r="AE110" s="53">
        <v>32834123</v>
      </c>
      <c r="AF110" s="53">
        <v>33149330</v>
      </c>
      <c r="AG110" s="53">
        <v>30773473</v>
      </c>
      <c r="AH110" s="53">
        <v>31047393</v>
      </c>
      <c r="AI110" s="53">
        <v>35089105</v>
      </c>
      <c r="AJ110" s="53">
        <v>35259860</v>
      </c>
      <c r="AK110" s="53">
        <v>39905301</v>
      </c>
      <c r="AL110" s="53">
        <v>40222316</v>
      </c>
      <c r="AM110" s="53">
        <v>44461358</v>
      </c>
      <c r="AN110" s="53">
        <v>44818240</v>
      </c>
      <c r="AO110" s="53">
        <v>0</v>
      </c>
      <c r="AP110" s="53">
        <v>0</v>
      </c>
      <c r="AQ110" s="53">
        <v>0</v>
      </c>
      <c r="AR110" s="53">
        <v>0</v>
      </c>
      <c r="AS110" s="53">
        <v>0</v>
      </c>
      <c r="AT110" s="53">
        <v>0</v>
      </c>
      <c r="AU110" s="62">
        <f t="shared" si="53"/>
        <v>3.6482291666666668E-3</v>
      </c>
      <c r="AV110" s="62">
        <f t="shared" si="54"/>
        <v>3.1703703703703703E-3</v>
      </c>
      <c r="AW110" s="62">
        <f t="shared" si="55"/>
        <v>1.9763310185185183E-3</v>
      </c>
      <c r="AX110" s="62">
        <f t="shared" si="56"/>
        <v>3.6691550925925928E-3</v>
      </c>
      <c r="AY110" s="62">
        <f t="shared" si="57"/>
        <v>4.130578703703704E-3</v>
      </c>
      <c r="AZ110" s="62" t="str">
        <f t="shared" si="58"/>
        <v>DNS/DNF</v>
      </c>
      <c r="BA110" s="62" t="str">
        <f t="shared" si="59"/>
        <v>DNS/DNF</v>
      </c>
      <c r="BB110" s="62" t="str">
        <f t="shared" si="60"/>
        <v>DNS/DNF</v>
      </c>
      <c r="BC110" s="75">
        <f t="shared" si="61"/>
        <v>139</v>
      </c>
      <c r="BD110" s="53">
        <f t="shared" si="62"/>
        <v>519840</v>
      </c>
      <c r="BE110" s="53">
        <f t="shared" si="63"/>
        <v>271425</v>
      </c>
      <c r="BF110" s="53">
        <f t="shared" si="64"/>
        <v>157789</v>
      </c>
      <c r="BG110" s="53">
        <f t="shared" si="65"/>
        <v>1675411</v>
      </c>
      <c r="BH110" s="53">
        <f t="shared" si="66"/>
        <v>359633</v>
      </c>
      <c r="BI110" s="53" t="str">
        <f t="shared" si="67"/>
        <v/>
      </c>
      <c r="BJ110" s="53" t="str">
        <f t="shared" si="68"/>
        <v/>
      </c>
      <c r="BK110" s="53" t="str">
        <f t="shared" si="69"/>
        <v/>
      </c>
    </row>
    <row r="111" spans="1:63">
      <c r="A111" s="53">
        <v>146</v>
      </c>
      <c r="B111" s="89" t="str">
        <f>IFERROR(VLOOKUP($A111,EntryList!$A$3:$N$645,2,FALSE),"")</f>
        <v>Andrew Kenny</v>
      </c>
      <c r="C111" s="74"/>
      <c r="D111" s="53">
        <f t="shared" si="35"/>
        <v>5</v>
      </c>
      <c r="E111" s="62">
        <v>4.0785995370370368E-3</v>
      </c>
      <c r="F111" s="62">
        <v>3.0142013888888887E-3</v>
      </c>
      <c r="G111" s="62">
        <v>1.8421759259259259E-3</v>
      </c>
      <c r="H111" s="62">
        <v>3.4741898148148149E-3</v>
      </c>
      <c r="I111" s="62">
        <v>4.2179629629629624E-3</v>
      </c>
      <c r="J111" s="62"/>
      <c r="K111" s="62"/>
      <c r="L111" s="62"/>
      <c r="M111" s="62">
        <v>1.6627129629629631E-2</v>
      </c>
      <c r="N111" s="62">
        <f t="shared" si="36"/>
        <v>1.6627129629629631E-2</v>
      </c>
      <c r="O111" s="53">
        <f t="shared" si="37"/>
        <v>126</v>
      </c>
      <c r="P111" s="53">
        <f t="shared" si="38"/>
        <v>113</v>
      </c>
      <c r="Q111" s="53">
        <f t="shared" si="39"/>
        <v>144</v>
      </c>
      <c r="R111" s="53">
        <f t="shared" si="40"/>
        <v>95</v>
      </c>
      <c r="S111" s="53">
        <f t="shared" si="41"/>
        <v>149</v>
      </c>
      <c r="T111" s="53" t="str">
        <f t="shared" si="42"/>
        <v/>
      </c>
      <c r="U111" s="53" t="str">
        <f t="shared" si="43"/>
        <v/>
      </c>
      <c r="V111" s="53" t="str">
        <f t="shared" si="44"/>
        <v/>
      </c>
      <c r="W111" s="53" t="str">
        <f t="shared" si="45"/>
        <v>00:05:52.4 (126)</v>
      </c>
      <c r="X111" s="53" t="str">
        <f t="shared" si="46"/>
        <v>00:04:20.4 (113)</v>
      </c>
      <c r="Y111" s="53" t="str">
        <f t="shared" si="47"/>
        <v>00:02:39.2 (144)</v>
      </c>
      <c r="Z111" s="53" t="str">
        <f t="shared" si="48"/>
        <v>00:05:00.2 (95)</v>
      </c>
      <c r="AA111" s="53" t="str">
        <f t="shared" si="49"/>
        <v>00:06:04.4 (149)</v>
      </c>
      <c r="AB111" s="53" t="str">
        <f t="shared" si="50"/>
        <v>DNS/DNF ()</v>
      </c>
      <c r="AC111" s="53" t="str">
        <f t="shared" si="51"/>
        <v>DNS/DNF ()</v>
      </c>
      <c r="AD111" s="53" t="str">
        <f t="shared" si="52"/>
        <v>DNS/DNF ()</v>
      </c>
      <c r="AE111" s="53">
        <v>36386233</v>
      </c>
      <c r="AF111" s="53">
        <v>36738624</v>
      </c>
      <c r="AG111" s="53">
        <v>32610556</v>
      </c>
      <c r="AH111" s="53">
        <v>32870983</v>
      </c>
      <c r="AI111" s="53">
        <v>39858038</v>
      </c>
      <c r="AJ111" s="53">
        <v>40017202</v>
      </c>
      <c r="AK111" s="53">
        <v>44380717</v>
      </c>
      <c r="AL111" s="53">
        <v>44680887</v>
      </c>
      <c r="AM111" s="53">
        <v>47666074</v>
      </c>
      <c r="AN111" s="53">
        <v>48030506</v>
      </c>
      <c r="AO111" s="53">
        <v>0</v>
      </c>
      <c r="AP111" s="53">
        <v>0</v>
      </c>
      <c r="AQ111" s="53">
        <v>0</v>
      </c>
      <c r="AR111" s="53">
        <v>0</v>
      </c>
      <c r="AS111" s="53">
        <v>0</v>
      </c>
      <c r="AT111" s="53">
        <v>0</v>
      </c>
      <c r="AU111" s="62">
        <f t="shared" si="53"/>
        <v>4.0785995370370368E-3</v>
      </c>
      <c r="AV111" s="62">
        <f t="shared" si="54"/>
        <v>3.0142013888888887E-3</v>
      </c>
      <c r="AW111" s="62">
        <f t="shared" si="55"/>
        <v>1.8421759259259259E-3</v>
      </c>
      <c r="AX111" s="62">
        <f t="shared" si="56"/>
        <v>3.4741898148148149E-3</v>
      </c>
      <c r="AY111" s="62">
        <f t="shared" si="57"/>
        <v>4.2179629629629633E-3</v>
      </c>
      <c r="AZ111" s="62" t="str">
        <f t="shared" si="58"/>
        <v>DNS/DNF</v>
      </c>
      <c r="BA111" s="62" t="str">
        <f t="shared" si="59"/>
        <v>DNS/DNF</v>
      </c>
      <c r="BB111" s="62" t="str">
        <f t="shared" si="60"/>
        <v>DNS/DNF</v>
      </c>
      <c r="BC111" s="75">
        <f t="shared" si="61"/>
        <v>125</v>
      </c>
      <c r="BD111" s="53">
        <f t="shared" si="62"/>
        <v>346327</v>
      </c>
      <c r="BE111" s="53">
        <f t="shared" si="63"/>
        <v>266197</v>
      </c>
      <c r="BF111" s="53">
        <f t="shared" si="64"/>
        <v>153266</v>
      </c>
      <c r="BG111" s="53">
        <f t="shared" si="65"/>
        <v>337938</v>
      </c>
      <c r="BH111" s="53">
        <f t="shared" si="66"/>
        <v>354178</v>
      </c>
      <c r="BI111" s="53" t="str">
        <f t="shared" si="67"/>
        <v/>
      </c>
      <c r="BJ111" s="53" t="str">
        <f t="shared" si="68"/>
        <v/>
      </c>
      <c r="BK111" s="53" t="str">
        <f t="shared" si="69"/>
        <v/>
      </c>
    </row>
    <row r="112" spans="1:63">
      <c r="A112" s="53">
        <v>103</v>
      </c>
      <c r="B112" s="89" t="str">
        <f>IFERROR(VLOOKUP($A112,EntryList!$A$3:$N$645,2,FALSE),"")</f>
        <v>Angus Fergusson</v>
      </c>
      <c r="C112" s="74"/>
      <c r="D112" s="53">
        <f t="shared" si="35"/>
        <v>5</v>
      </c>
      <c r="E112" s="62">
        <v>3.865150462962963E-3</v>
      </c>
      <c r="F112" s="62">
        <v>3.2167361111111112E-3</v>
      </c>
      <c r="G112" s="62">
        <v>1.7958796296296297E-3</v>
      </c>
      <c r="H112" s="62">
        <v>3.5747569444444442E-3</v>
      </c>
      <c r="I112" s="62">
        <v>4.2592361111111112E-3</v>
      </c>
      <c r="J112" s="62"/>
      <c r="K112" s="62"/>
      <c r="L112" s="62"/>
      <c r="M112" s="62">
        <v>1.671175925925926E-2</v>
      </c>
      <c r="N112" s="62">
        <f t="shared" si="36"/>
        <v>1.671175925925926E-2</v>
      </c>
      <c r="O112" s="53">
        <f t="shared" si="37"/>
        <v>120</v>
      </c>
      <c r="P112" s="53">
        <f t="shared" si="38"/>
        <v>163</v>
      </c>
      <c r="Q112" s="53">
        <f t="shared" si="39"/>
        <v>135</v>
      </c>
      <c r="R112" s="53">
        <f t="shared" si="40"/>
        <v>105</v>
      </c>
      <c r="S112" s="53">
        <f t="shared" si="41"/>
        <v>157</v>
      </c>
      <c r="T112" s="53" t="str">
        <f t="shared" si="42"/>
        <v/>
      </c>
      <c r="U112" s="53" t="str">
        <f t="shared" si="43"/>
        <v/>
      </c>
      <c r="V112" s="53" t="str">
        <f t="shared" si="44"/>
        <v/>
      </c>
      <c r="W112" s="53" t="str">
        <f t="shared" si="45"/>
        <v>00:05:33.9 (120)</v>
      </c>
      <c r="X112" s="53" t="str">
        <f t="shared" si="46"/>
        <v>00:04:37.9 (163)</v>
      </c>
      <c r="Y112" s="53" t="str">
        <f t="shared" si="47"/>
        <v>00:02:35.2 (135)</v>
      </c>
      <c r="Z112" s="53" t="str">
        <f t="shared" si="48"/>
        <v>00:05:08.9 (105)</v>
      </c>
      <c r="AA112" s="53" t="str">
        <f t="shared" si="49"/>
        <v>00:06:08.0 (157)</v>
      </c>
      <c r="AB112" s="53" t="str">
        <f t="shared" si="50"/>
        <v>DNS/DNF ()</v>
      </c>
      <c r="AC112" s="53" t="str">
        <f t="shared" si="51"/>
        <v>DNS/DNF ()</v>
      </c>
      <c r="AD112" s="53" t="str">
        <f t="shared" si="52"/>
        <v>DNS/DNF ()</v>
      </c>
      <c r="AE112" s="53">
        <v>32777666</v>
      </c>
      <c r="AF112" s="53">
        <v>33111615</v>
      </c>
      <c r="AG112" s="53">
        <v>37012357</v>
      </c>
      <c r="AH112" s="53">
        <v>37290283</v>
      </c>
      <c r="AI112" s="53">
        <v>39865180</v>
      </c>
      <c r="AJ112" s="53">
        <v>40020344</v>
      </c>
      <c r="AK112" s="53">
        <v>44120025</v>
      </c>
      <c r="AL112" s="53">
        <v>44428884</v>
      </c>
      <c r="AM112" s="53">
        <v>47280014</v>
      </c>
      <c r="AN112" s="53">
        <v>47648012</v>
      </c>
      <c r="AO112" s="53">
        <v>0</v>
      </c>
      <c r="AP112" s="53">
        <v>0</v>
      </c>
      <c r="AQ112" s="53">
        <v>0</v>
      </c>
      <c r="AR112" s="53">
        <v>0</v>
      </c>
      <c r="AS112" s="53">
        <v>0</v>
      </c>
      <c r="AT112" s="53">
        <v>0</v>
      </c>
      <c r="AU112" s="62">
        <f t="shared" si="53"/>
        <v>3.865150462962963E-3</v>
      </c>
      <c r="AV112" s="62">
        <f t="shared" si="54"/>
        <v>3.2167361111111112E-3</v>
      </c>
      <c r="AW112" s="62">
        <f t="shared" si="55"/>
        <v>1.7958796296296297E-3</v>
      </c>
      <c r="AX112" s="62">
        <f t="shared" si="56"/>
        <v>3.5747569444444446E-3</v>
      </c>
      <c r="AY112" s="62">
        <f t="shared" si="57"/>
        <v>4.2592361111111112E-3</v>
      </c>
      <c r="AZ112" s="62" t="str">
        <f t="shared" si="58"/>
        <v>DNS/DNF</v>
      </c>
      <c r="BA112" s="62" t="str">
        <f t="shared" si="59"/>
        <v>DNS/DNF</v>
      </c>
      <c r="BB112" s="62" t="str">
        <f t="shared" si="60"/>
        <v>DNS/DNF</v>
      </c>
      <c r="BC112" s="75">
        <f t="shared" si="61"/>
        <v>136</v>
      </c>
      <c r="BD112" s="53">
        <f t="shared" si="62"/>
        <v>475831</v>
      </c>
      <c r="BE112" s="53">
        <f t="shared" si="63"/>
        <v>269396</v>
      </c>
      <c r="BF112" s="53">
        <f t="shared" si="64"/>
        <v>156128</v>
      </c>
      <c r="BG112" s="53">
        <f t="shared" si="65"/>
        <v>474088.99999999994</v>
      </c>
      <c r="BH112" s="53">
        <f t="shared" si="66"/>
        <v>358375</v>
      </c>
      <c r="BI112" s="53" t="str">
        <f t="shared" si="67"/>
        <v/>
      </c>
      <c r="BJ112" s="53" t="str">
        <f t="shared" si="68"/>
        <v/>
      </c>
      <c r="BK112" s="53" t="str">
        <f t="shared" si="69"/>
        <v/>
      </c>
    </row>
    <row r="113" spans="1:63">
      <c r="A113" s="53">
        <v>245</v>
      </c>
      <c r="B113" s="89" t="str">
        <f>IFERROR(VLOOKUP($A113,EntryList!$A$3:$N$645,2,FALSE),"")</f>
        <v>Miles Henebrey</v>
      </c>
      <c r="C113" s="74"/>
      <c r="D113" s="53">
        <f t="shared" si="35"/>
        <v>5</v>
      </c>
      <c r="E113" s="62">
        <v>3.8716782407407411E-3</v>
      </c>
      <c r="F113" s="62">
        <v>3.1969097222222225E-3</v>
      </c>
      <c r="G113" s="62">
        <v>1.7546527777777777E-3</v>
      </c>
      <c r="H113" s="62">
        <v>3.6711921296296297E-3</v>
      </c>
      <c r="I113" s="62">
        <v>4.354895833333333E-3</v>
      </c>
      <c r="J113" s="62"/>
      <c r="K113" s="62"/>
      <c r="L113" s="62"/>
      <c r="M113" s="62">
        <v>1.6849328703703703E-2</v>
      </c>
      <c r="N113" s="62">
        <f t="shared" si="36"/>
        <v>1.6849328703703703E-2</v>
      </c>
      <c r="O113" s="53">
        <f t="shared" si="37"/>
        <v>121</v>
      </c>
      <c r="P113" s="53">
        <f t="shared" si="38"/>
        <v>156</v>
      </c>
      <c r="Q113" s="53">
        <f t="shared" si="39"/>
        <v>116</v>
      </c>
      <c r="R113" s="53">
        <f t="shared" si="40"/>
        <v>112</v>
      </c>
      <c r="S113" s="53">
        <f t="shared" si="41"/>
        <v>171</v>
      </c>
      <c r="T113" s="53" t="str">
        <f t="shared" si="42"/>
        <v/>
      </c>
      <c r="U113" s="53" t="str">
        <f t="shared" si="43"/>
        <v/>
      </c>
      <c r="V113" s="53" t="str">
        <f t="shared" si="44"/>
        <v/>
      </c>
      <c r="W113" s="53" t="str">
        <f t="shared" si="45"/>
        <v>00:05:34.5 (121)</v>
      </c>
      <c r="X113" s="53" t="str">
        <f t="shared" si="46"/>
        <v>00:04:36.2 (156)</v>
      </c>
      <c r="Y113" s="53" t="str">
        <f t="shared" si="47"/>
        <v>00:02:31.6 (116)</v>
      </c>
      <c r="Z113" s="53" t="str">
        <f t="shared" si="48"/>
        <v>00:05:17.2 (112)</v>
      </c>
      <c r="AA113" s="53" t="str">
        <f t="shared" si="49"/>
        <v>00:06:16.3 (171)</v>
      </c>
      <c r="AB113" s="53" t="str">
        <f t="shared" si="50"/>
        <v>DNS/DNF ()</v>
      </c>
      <c r="AC113" s="53" t="str">
        <f t="shared" si="51"/>
        <v>DNS/DNF ()</v>
      </c>
      <c r="AD113" s="53" t="str">
        <f t="shared" si="52"/>
        <v>DNS/DNF ()</v>
      </c>
      <c r="AE113" s="53">
        <v>31077674</v>
      </c>
      <c r="AF113" s="53">
        <v>31412187</v>
      </c>
      <c r="AG113" s="53">
        <v>35066564</v>
      </c>
      <c r="AH113" s="53">
        <v>35342777</v>
      </c>
      <c r="AI113" s="53">
        <v>37633093</v>
      </c>
      <c r="AJ113" s="53">
        <v>37784695</v>
      </c>
      <c r="AK113" s="53">
        <v>41807747</v>
      </c>
      <c r="AL113" s="53">
        <v>42124938</v>
      </c>
      <c r="AM113" s="53">
        <v>44012518</v>
      </c>
      <c r="AN113" s="53">
        <v>44388781</v>
      </c>
      <c r="AO113" s="53">
        <v>0</v>
      </c>
      <c r="AP113" s="53">
        <v>0</v>
      </c>
      <c r="AQ113" s="53">
        <v>0</v>
      </c>
      <c r="AR113" s="53">
        <v>0</v>
      </c>
      <c r="AS113" s="53">
        <v>0</v>
      </c>
      <c r="AT113" s="53">
        <v>0</v>
      </c>
      <c r="AU113" s="62">
        <f t="shared" si="53"/>
        <v>3.8716782407407406E-3</v>
      </c>
      <c r="AV113" s="62">
        <f t="shared" si="54"/>
        <v>3.1969097222222221E-3</v>
      </c>
      <c r="AW113" s="62">
        <f t="shared" si="55"/>
        <v>1.7546527777777777E-3</v>
      </c>
      <c r="AX113" s="62">
        <f t="shared" si="56"/>
        <v>3.6711921296296297E-3</v>
      </c>
      <c r="AY113" s="62">
        <f t="shared" si="57"/>
        <v>4.354895833333333E-3</v>
      </c>
      <c r="AZ113" s="62" t="str">
        <f t="shared" si="58"/>
        <v>DNS/DNF</v>
      </c>
      <c r="BA113" s="62" t="str">
        <f t="shared" si="59"/>
        <v>DNS/DNF</v>
      </c>
      <c r="BB113" s="62" t="str">
        <f t="shared" si="60"/>
        <v>DNS/DNF</v>
      </c>
      <c r="BC113" s="75">
        <f t="shared" si="61"/>
        <v>135</v>
      </c>
      <c r="BD113" s="53">
        <f t="shared" si="62"/>
        <v>461468</v>
      </c>
      <c r="BE113" s="53">
        <f t="shared" si="63"/>
        <v>268861</v>
      </c>
      <c r="BF113" s="53">
        <f t="shared" si="64"/>
        <v>155164</v>
      </c>
      <c r="BG113" s="53">
        <f t="shared" si="65"/>
        <v>464693</v>
      </c>
      <c r="BH113" s="53">
        <f t="shared" si="66"/>
        <v>358248</v>
      </c>
      <c r="BI113" s="53" t="str">
        <f t="shared" si="67"/>
        <v/>
      </c>
      <c r="BJ113" s="53" t="str">
        <f t="shared" si="68"/>
        <v/>
      </c>
      <c r="BK113" s="53" t="str">
        <f t="shared" si="69"/>
        <v/>
      </c>
    </row>
    <row r="114" spans="1:63">
      <c r="A114" s="53">
        <v>118</v>
      </c>
      <c r="B114" s="89" t="str">
        <f>IFERROR(VLOOKUP($A114,EntryList!$A$3:$N$645,2,FALSE),"")</f>
        <v>Robin Moore</v>
      </c>
      <c r="C114" s="74"/>
      <c r="D114" s="53">
        <f t="shared" si="35"/>
        <v>5</v>
      </c>
      <c r="E114" s="62">
        <v>5.341064814814815E-3</v>
      </c>
      <c r="F114" s="62">
        <v>2.7934837962962961E-3</v>
      </c>
      <c r="G114" s="62">
        <v>1.6420833333333337E-3</v>
      </c>
      <c r="H114" s="62">
        <v>3.244710648148148E-3</v>
      </c>
      <c r="I114" s="62">
        <v>3.8407986111111112E-3</v>
      </c>
      <c r="J114" s="62"/>
      <c r="K114" s="62"/>
      <c r="L114" s="62"/>
      <c r="M114" s="62">
        <v>1.6862141203703704E-2</v>
      </c>
      <c r="N114" s="62">
        <f t="shared" si="36"/>
        <v>1.6862141203703704E-2</v>
      </c>
      <c r="O114" s="53">
        <f t="shared" si="37"/>
        <v>135</v>
      </c>
      <c r="P114" s="53">
        <f t="shared" si="38"/>
        <v>61</v>
      </c>
      <c r="Q114" s="53">
        <f t="shared" si="39"/>
        <v>82</v>
      </c>
      <c r="R114" s="53">
        <f t="shared" si="40"/>
        <v>76</v>
      </c>
      <c r="S114" s="53">
        <f t="shared" si="41"/>
        <v>70</v>
      </c>
      <c r="T114" s="53" t="str">
        <f t="shared" si="42"/>
        <v/>
      </c>
      <c r="U114" s="53" t="str">
        <f t="shared" si="43"/>
        <v/>
      </c>
      <c r="V114" s="53" t="str">
        <f t="shared" si="44"/>
        <v/>
      </c>
      <c r="W114" s="53" t="str">
        <f t="shared" si="45"/>
        <v>00:07:41.5 (135)</v>
      </c>
      <c r="X114" s="53" t="str">
        <f t="shared" si="46"/>
        <v>00:04:01.4 (61)</v>
      </c>
      <c r="Y114" s="53" t="str">
        <f t="shared" si="47"/>
        <v>00:02:21.9 (82)</v>
      </c>
      <c r="Z114" s="53" t="str">
        <f t="shared" si="48"/>
        <v>00:04:40.3 (76)</v>
      </c>
      <c r="AA114" s="53" t="str">
        <f t="shared" si="49"/>
        <v>00:05:31.8 (70)</v>
      </c>
      <c r="AB114" s="53" t="str">
        <f t="shared" si="50"/>
        <v>DNS/DNF ()</v>
      </c>
      <c r="AC114" s="53" t="str">
        <f t="shared" si="51"/>
        <v>DNS/DNF ()</v>
      </c>
      <c r="AD114" s="53" t="str">
        <f t="shared" si="52"/>
        <v>DNS/DNF ()</v>
      </c>
      <c r="AE114" s="53">
        <v>32599148</v>
      </c>
      <c r="AF114" s="53">
        <v>33060616</v>
      </c>
      <c r="AG114" s="53">
        <v>37254334</v>
      </c>
      <c r="AH114" s="53">
        <v>37495691</v>
      </c>
      <c r="AI114" s="53">
        <v>40466866</v>
      </c>
      <c r="AJ114" s="53">
        <v>40608742</v>
      </c>
      <c r="AK114" s="53">
        <v>44859186</v>
      </c>
      <c r="AL114" s="53">
        <v>45139529</v>
      </c>
      <c r="AM114" s="53">
        <v>47770994</v>
      </c>
      <c r="AN114" s="53">
        <v>48102839</v>
      </c>
      <c r="AO114" s="53">
        <v>0</v>
      </c>
      <c r="AP114" s="53">
        <v>0</v>
      </c>
      <c r="AQ114" s="53">
        <v>0</v>
      </c>
      <c r="AR114" s="53">
        <v>0</v>
      </c>
      <c r="AS114" s="53">
        <v>0</v>
      </c>
      <c r="AT114" s="53">
        <v>0</v>
      </c>
      <c r="AU114" s="62">
        <f t="shared" si="53"/>
        <v>5.341064814814815E-3</v>
      </c>
      <c r="AV114" s="62">
        <f t="shared" si="54"/>
        <v>2.7934837962962961E-3</v>
      </c>
      <c r="AW114" s="62">
        <f t="shared" si="55"/>
        <v>1.6420833333333333E-3</v>
      </c>
      <c r="AX114" s="62">
        <f t="shared" si="56"/>
        <v>3.244710648148148E-3</v>
      </c>
      <c r="AY114" s="62">
        <f t="shared" si="57"/>
        <v>3.8407986111111112E-3</v>
      </c>
      <c r="AZ114" s="62" t="str">
        <f t="shared" si="58"/>
        <v>DNS/DNF</v>
      </c>
      <c r="BA114" s="62" t="str">
        <f t="shared" si="59"/>
        <v>DNS/DNF</v>
      </c>
      <c r="BB114" s="62" t="str">
        <f t="shared" si="60"/>
        <v>DNS/DNF</v>
      </c>
      <c r="BC114" s="75">
        <f t="shared" si="61"/>
        <v>85</v>
      </c>
      <c r="BD114" s="53">
        <f t="shared" si="62"/>
        <v>265759</v>
      </c>
      <c r="BE114" s="53">
        <f t="shared" si="63"/>
        <v>249041</v>
      </c>
      <c r="BF114" s="53">
        <f t="shared" si="64"/>
        <v>142979</v>
      </c>
      <c r="BG114" s="53">
        <f t="shared" si="65"/>
        <v>292994</v>
      </c>
      <c r="BH114" s="53">
        <f t="shared" si="66"/>
        <v>339953.00000000006</v>
      </c>
      <c r="BI114" s="53" t="str">
        <f t="shared" si="67"/>
        <v/>
      </c>
      <c r="BJ114" s="53" t="str">
        <f t="shared" si="68"/>
        <v/>
      </c>
      <c r="BK114" s="53" t="str">
        <f t="shared" si="69"/>
        <v/>
      </c>
    </row>
    <row r="115" spans="1:63">
      <c r="A115" s="53">
        <v>204</v>
      </c>
      <c r="B115" s="89" t="str">
        <f>IFERROR(VLOOKUP($A115,EntryList!$A$3:$N$645,2,FALSE),"")</f>
        <v>Tyler Pearce Denovan</v>
      </c>
      <c r="C115" s="74"/>
      <c r="D115" s="53">
        <f t="shared" si="35"/>
        <v>5</v>
      </c>
      <c r="E115" s="62">
        <v>3.5751388888888886E-3</v>
      </c>
      <c r="F115" s="62">
        <v>3.2429282407407407E-3</v>
      </c>
      <c r="G115" s="62">
        <v>1.857824074074074E-3</v>
      </c>
      <c r="H115" s="62">
        <v>3.7938310185185189E-3</v>
      </c>
      <c r="I115" s="62">
        <v>4.4038541666666662E-3</v>
      </c>
      <c r="J115" s="62"/>
      <c r="K115" s="62"/>
      <c r="L115" s="62"/>
      <c r="M115" s="62">
        <v>1.6873576388888891E-2</v>
      </c>
      <c r="N115" s="62">
        <f t="shared" si="36"/>
        <v>1.6873576388888888E-2</v>
      </c>
      <c r="O115" s="53">
        <f t="shared" si="37"/>
        <v>111</v>
      </c>
      <c r="P115" s="53">
        <f t="shared" si="38"/>
        <v>169</v>
      </c>
      <c r="Q115" s="53">
        <f t="shared" si="39"/>
        <v>156</v>
      </c>
      <c r="R115" s="53">
        <f t="shared" si="40"/>
        <v>119</v>
      </c>
      <c r="S115" s="53">
        <f t="shared" si="41"/>
        <v>175</v>
      </c>
      <c r="T115" s="53" t="str">
        <f t="shared" si="42"/>
        <v/>
      </c>
      <c r="U115" s="53" t="str">
        <f t="shared" si="43"/>
        <v/>
      </c>
      <c r="V115" s="53" t="str">
        <f t="shared" si="44"/>
        <v/>
      </c>
      <c r="W115" s="53" t="str">
        <f t="shared" si="45"/>
        <v>00:05:08.9 (111)</v>
      </c>
      <c r="X115" s="53" t="str">
        <f t="shared" si="46"/>
        <v>00:04:40.2 (169)</v>
      </c>
      <c r="Y115" s="53" t="str">
        <f t="shared" si="47"/>
        <v>00:02:40.5 (156)</v>
      </c>
      <c r="Z115" s="53" t="str">
        <f t="shared" si="48"/>
        <v>00:05:27.8 (119)</v>
      </c>
      <c r="AA115" s="53" t="str">
        <f t="shared" si="49"/>
        <v>00:06:20.5 (175)</v>
      </c>
      <c r="AB115" s="53" t="str">
        <f t="shared" si="50"/>
        <v>DNS/DNF ()</v>
      </c>
      <c r="AC115" s="53" t="str">
        <f t="shared" si="51"/>
        <v>DNS/DNF ()</v>
      </c>
      <c r="AD115" s="53" t="str">
        <f t="shared" si="52"/>
        <v>DNS/DNF ()</v>
      </c>
      <c r="AE115" s="53">
        <v>37150617</v>
      </c>
      <c r="AF115" s="53">
        <v>37459509</v>
      </c>
      <c r="AG115" s="53">
        <v>32669151</v>
      </c>
      <c r="AH115" s="53">
        <v>32949340</v>
      </c>
      <c r="AI115" s="53">
        <v>41039800</v>
      </c>
      <c r="AJ115" s="53">
        <v>41200316</v>
      </c>
      <c r="AK115" s="53">
        <v>45734806</v>
      </c>
      <c r="AL115" s="53">
        <v>46062593</v>
      </c>
      <c r="AM115" s="53">
        <v>48861534</v>
      </c>
      <c r="AN115" s="53">
        <v>49242027</v>
      </c>
      <c r="AO115" s="53">
        <v>0</v>
      </c>
      <c r="AP115" s="53">
        <v>0</v>
      </c>
      <c r="AQ115" s="53">
        <v>0</v>
      </c>
      <c r="AR115" s="53">
        <v>0</v>
      </c>
      <c r="AS115" s="53">
        <v>0</v>
      </c>
      <c r="AT115" s="53">
        <v>0</v>
      </c>
      <c r="AU115" s="62">
        <f t="shared" si="53"/>
        <v>3.575138888888889E-3</v>
      </c>
      <c r="AV115" s="62">
        <f t="shared" si="54"/>
        <v>3.2429282407407407E-3</v>
      </c>
      <c r="AW115" s="62">
        <f t="shared" si="55"/>
        <v>1.857824074074074E-3</v>
      </c>
      <c r="AX115" s="62">
        <f t="shared" si="56"/>
        <v>3.7938310185185184E-3</v>
      </c>
      <c r="AY115" s="62">
        <f t="shared" si="57"/>
        <v>4.403854166666667E-3</v>
      </c>
      <c r="AZ115" s="62" t="str">
        <f t="shared" si="58"/>
        <v>DNS/DNF</v>
      </c>
      <c r="BA115" s="62" t="str">
        <f t="shared" si="59"/>
        <v>DNS/DNF</v>
      </c>
      <c r="BB115" s="62" t="str">
        <f t="shared" si="60"/>
        <v>DNS/DNF</v>
      </c>
      <c r="BC115" s="75">
        <f t="shared" si="61"/>
        <v>146</v>
      </c>
      <c r="BD115" s="53" t="str">
        <f t="shared" si="62"/>
        <v/>
      </c>
      <c r="BE115" s="53">
        <f t="shared" si="63"/>
        <v>273206</v>
      </c>
      <c r="BF115" s="53">
        <f t="shared" si="64"/>
        <v>159462</v>
      </c>
      <c r="BG115" s="53" t="str">
        <f t="shared" si="65"/>
        <v/>
      </c>
      <c r="BH115" s="53">
        <f t="shared" si="66"/>
        <v>362397.99999999994</v>
      </c>
      <c r="BI115" s="53" t="str">
        <f t="shared" si="67"/>
        <v/>
      </c>
      <c r="BJ115" s="53" t="str">
        <f t="shared" si="68"/>
        <v/>
      </c>
      <c r="BK115" s="53" t="str">
        <f t="shared" si="69"/>
        <v/>
      </c>
    </row>
    <row r="116" spans="1:63">
      <c r="A116" s="53">
        <v>296</v>
      </c>
      <c r="B116" s="89" t="str">
        <f>IFERROR(VLOOKUP($A116,EntryList!$A$3:$N$645,2,FALSE),"")</f>
        <v>Daniel Franken</v>
      </c>
      <c r="C116" s="74"/>
      <c r="D116" s="53">
        <f t="shared" si="35"/>
        <v>5</v>
      </c>
      <c r="E116" s="62">
        <v>3.877685185185185E-3</v>
      </c>
      <c r="F116" s="62">
        <v>3.2918518518518518E-3</v>
      </c>
      <c r="G116" s="62">
        <v>1.8619328703703703E-3</v>
      </c>
      <c r="H116" s="62">
        <v>3.6365046296296297E-3</v>
      </c>
      <c r="I116" s="62">
        <v>4.276134259259259E-3</v>
      </c>
      <c r="J116" s="62"/>
      <c r="K116" s="62"/>
      <c r="L116" s="62"/>
      <c r="M116" s="62">
        <v>1.6944108796296296E-2</v>
      </c>
      <c r="N116" s="62">
        <f t="shared" si="36"/>
        <v>1.6944108796296296E-2</v>
      </c>
      <c r="O116" s="53">
        <f t="shared" si="37"/>
        <v>122</v>
      </c>
      <c r="P116" s="53">
        <f t="shared" si="38"/>
        <v>180</v>
      </c>
      <c r="Q116" s="53">
        <f t="shared" si="39"/>
        <v>160</v>
      </c>
      <c r="R116" s="53">
        <f t="shared" si="40"/>
        <v>110</v>
      </c>
      <c r="S116" s="53">
        <f t="shared" si="41"/>
        <v>161</v>
      </c>
      <c r="T116" s="53" t="str">
        <f t="shared" si="42"/>
        <v/>
      </c>
      <c r="U116" s="53" t="str">
        <f t="shared" si="43"/>
        <v/>
      </c>
      <c r="V116" s="53" t="str">
        <f t="shared" si="44"/>
        <v/>
      </c>
      <c r="W116" s="53" t="str">
        <f t="shared" si="45"/>
        <v>00:05:35.0 (122)</v>
      </c>
      <c r="X116" s="53" t="str">
        <f t="shared" si="46"/>
        <v>00:04:44.4 (180)</v>
      </c>
      <c r="Y116" s="53" t="str">
        <f t="shared" si="47"/>
        <v>00:02:40.9 (160)</v>
      </c>
      <c r="Z116" s="53" t="str">
        <f t="shared" si="48"/>
        <v>00:05:14.2 (110)</v>
      </c>
      <c r="AA116" s="53" t="str">
        <f t="shared" si="49"/>
        <v>00:06:09.5 (161)</v>
      </c>
      <c r="AB116" s="53" t="str">
        <f t="shared" si="50"/>
        <v>DNS/DNF ()</v>
      </c>
      <c r="AC116" s="53" t="str">
        <f t="shared" si="51"/>
        <v>DNS/DNF ()</v>
      </c>
      <c r="AD116" s="53" t="str">
        <f t="shared" si="52"/>
        <v>DNS/DNF ()</v>
      </c>
      <c r="AE116" s="53">
        <v>37176136</v>
      </c>
      <c r="AF116" s="53">
        <v>37511168</v>
      </c>
      <c r="AG116" s="53">
        <v>40714420</v>
      </c>
      <c r="AH116" s="53">
        <v>40998836</v>
      </c>
      <c r="AI116" s="53">
        <v>32554556</v>
      </c>
      <c r="AJ116" s="53">
        <v>32715427</v>
      </c>
      <c r="AK116" s="53">
        <v>45183068</v>
      </c>
      <c r="AL116" s="53">
        <v>45497262</v>
      </c>
      <c r="AM116" s="53">
        <v>48573730</v>
      </c>
      <c r="AN116" s="53">
        <v>48943188</v>
      </c>
      <c r="AO116" s="53">
        <v>0</v>
      </c>
      <c r="AP116" s="53">
        <v>0</v>
      </c>
      <c r="AQ116" s="53">
        <v>0</v>
      </c>
      <c r="AR116" s="53">
        <v>0</v>
      </c>
      <c r="AS116" s="53">
        <v>0</v>
      </c>
      <c r="AT116" s="53">
        <v>0</v>
      </c>
      <c r="AU116" s="62">
        <f t="shared" si="53"/>
        <v>3.8776851851851854E-3</v>
      </c>
      <c r="AV116" s="62">
        <f t="shared" si="54"/>
        <v>3.2918518518518518E-3</v>
      </c>
      <c r="AW116" s="62">
        <f t="shared" si="55"/>
        <v>1.8619328703703703E-3</v>
      </c>
      <c r="AX116" s="62">
        <f t="shared" si="56"/>
        <v>3.6365046296296297E-3</v>
      </c>
      <c r="AY116" s="62">
        <f t="shared" si="57"/>
        <v>4.276134259259259E-3</v>
      </c>
      <c r="AZ116" s="62" t="str">
        <f t="shared" si="58"/>
        <v>DNS/DNF</v>
      </c>
      <c r="BA116" s="62" t="str">
        <f t="shared" si="59"/>
        <v>DNS/DNF</v>
      </c>
      <c r="BB116" s="62" t="str">
        <f t="shared" si="60"/>
        <v>DNS/DNF</v>
      </c>
      <c r="BC116" s="75">
        <f t="shared" si="61"/>
        <v>147</v>
      </c>
      <c r="BD116" s="53" t="str">
        <f t="shared" si="62"/>
        <v/>
      </c>
      <c r="BE116" s="53">
        <f t="shared" si="63"/>
        <v>273528</v>
      </c>
      <c r="BF116" s="53">
        <f t="shared" si="64"/>
        <v>159610</v>
      </c>
      <c r="BG116" s="53" t="str">
        <f t="shared" si="65"/>
        <v/>
      </c>
      <c r="BH116" s="53">
        <f t="shared" si="66"/>
        <v>363371</v>
      </c>
      <c r="BI116" s="53" t="str">
        <f t="shared" si="67"/>
        <v/>
      </c>
      <c r="BJ116" s="53" t="str">
        <f t="shared" si="68"/>
        <v/>
      </c>
      <c r="BK116" s="53" t="str">
        <f t="shared" si="69"/>
        <v/>
      </c>
    </row>
    <row r="117" spans="1:63">
      <c r="A117" s="53">
        <v>104</v>
      </c>
      <c r="B117" s="89" t="str">
        <f>IFERROR(VLOOKUP($A117,EntryList!$A$3:$N$645,2,FALSE),"")</f>
        <v>Ryan Liversage</v>
      </c>
      <c r="C117" s="74"/>
      <c r="D117" s="53">
        <f t="shared" si="35"/>
        <v>5</v>
      </c>
      <c r="E117" s="62">
        <v>3.5423842592592594E-3</v>
      </c>
      <c r="F117" s="62">
        <v>3.3841435185185185E-3</v>
      </c>
      <c r="G117" s="62">
        <v>1.7900231481481482E-3</v>
      </c>
      <c r="H117" s="62">
        <v>3.6987384259259261E-3</v>
      </c>
      <c r="I117" s="62">
        <v>4.5593750000000001E-3</v>
      </c>
      <c r="J117" s="62"/>
      <c r="K117" s="62"/>
      <c r="L117" s="62"/>
      <c r="M117" s="62">
        <v>1.697466435185185E-2</v>
      </c>
      <c r="N117" s="62">
        <f t="shared" si="36"/>
        <v>1.6974664351851854E-2</v>
      </c>
      <c r="O117" s="53">
        <f t="shared" si="37"/>
        <v>110</v>
      </c>
      <c r="P117" s="53">
        <f t="shared" si="38"/>
        <v>192</v>
      </c>
      <c r="Q117" s="53">
        <f t="shared" si="39"/>
        <v>130</v>
      </c>
      <c r="R117" s="53">
        <f t="shared" si="40"/>
        <v>114</v>
      </c>
      <c r="S117" s="53">
        <f t="shared" si="41"/>
        <v>193</v>
      </c>
      <c r="T117" s="53" t="str">
        <f t="shared" si="42"/>
        <v/>
      </c>
      <c r="U117" s="53" t="str">
        <f t="shared" si="43"/>
        <v/>
      </c>
      <c r="V117" s="53" t="str">
        <f t="shared" si="44"/>
        <v/>
      </c>
      <c r="W117" s="53" t="str">
        <f t="shared" si="45"/>
        <v>00:05:06.1 (110)</v>
      </c>
      <c r="X117" s="53" t="str">
        <f t="shared" si="46"/>
        <v>00:04:52.4 (192)</v>
      </c>
      <c r="Y117" s="53" t="str">
        <f t="shared" si="47"/>
        <v>00:02:34.7 (130)</v>
      </c>
      <c r="Z117" s="53" t="str">
        <f t="shared" si="48"/>
        <v>00:05:19.6 (114)</v>
      </c>
      <c r="AA117" s="53" t="str">
        <f t="shared" si="49"/>
        <v>00:06:33.9 (193)</v>
      </c>
      <c r="AB117" s="53" t="str">
        <f t="shared" si="50"/>
        <v>DNS/DNF ()</v>
      </c>
      <c r="AC117" s="53" t="str">
        <f t="shared" si="51"/>
        <v>DNS/DNF ()</v>
      </c>
      <c r="AD117" s="53" t="str">
        <f t="shared" si="52"/>
        <v>DNS/DNF ()</v>
      </c>
      <c r="AE117" s="53">
        <v>32969343</v>
      </c>
      <c r="AF117" s="53">
        <v>33275405</v>
      </c>
      <c r="AG117" s="53">
        <v>37569710</v>
      </c>
      <c r="AH117" s="53">
        <v>37862100</v>
      </c>
      <c r="AI117" s="53">
        <v>41055658</v>
      </c>
      <c r="AJ117" s="53">
        <v>41210316</v>
      </c>
      <c r="AK117" s="53">
        <v>45303883</v>
      </c>
      <c r="AL117" s="53">
        <v>45623454</v>
      </c>
      <c r="AM117" s="53">
        <v>48463310</v>
      </c>
      <c r="AN117" s="53">
        <v>48857240</v>
      </c>
      <c r="AO117" s="53">
        <v>0</v>
      </c>
      <c r="AP117" s="53">
        <v>0</v>
      </c>
      <c r="AQ117" s="53">
        <v>0</v>
      </c>
      <c r="AR117" s="53">
        <v>0</v>
      </c>
      <c r="AS117" s="53">
        <v>0</v>
      </c>
      <c r="AT117" s="53">
        <v>0</v>
      </c>
      <c r="AU117" s="62">
        <f t="shared" si="53"/>
        <v>3.5423842592592594E-3</v>
      </c>
      <c r="AV117" s="62">
        <f t="shared" si="54"/>
        <v>3.3841435185185185E-3</v>
      </c>
      <c r="AW117" s="62">
        <f t="shared" si="55"/>
        <v>1.7900231481481482E-3</v>
      </c>
      <c r="AX117" s="62">
        <f t="shared" si="56"/>
        <v>3.6987384259259261E-3</v>
      </c>
      <c r="AY117" s="62">
        <f t="shared" si="57"/>
        <v>4.5593750000000001E-3</v>
      </c>
      <c r="AZ117" s="62" t="str">
        <f t="shared" si="58"/>
        <v>DNS/DNF</v>
      </c>
      <c r="BA117" s="62" t="str">
        <f t="shared" si="59"/>
        <v>DNS/DNF</v>
      </c>
      <c r="BB117" s="62" t="str">
        <f t="shared" si="60"/>
        <v>DNS/DNF</v>
      </c>
      <c r="BC117" s="75">
        <f t="shared" si="61"/>
        <v>148</v>
      </c>
      <c r="BD117" s="53" t="str">
        <f t="shared" si="62"/>
        <v/>
      </c>
      <c r="BE117" s="53">
        <f t="shared" si="63"/>
        <v>273529</v>
      </c>
      <c r="BF117" s="53">
        <f t="shared" si="64"/>
        <v>159611</v>
      </c>
      <c r="BG117" s="53" t="str">
        <f t="shared" si="65"/>
        <v/>
      </c>
      <c r="BH117" s="53">
        <f t="shared" si="66"/>
        <v>364341.00000000006</v>
      </c>
      <c r="BI117" s="53" t="str">
        <f t="shared" si="67"/>
        <v/>
      </c>
      <c r="BJ117" s="53" t="str">
        <f t="shared" si="68"/>
        <v/>
      </c>
      <c r="BK117" s="53" t="str">
        <f t="shared" si="69"/>
        <v/>
      </c>
    </row>
    <row r="118" spans="1:63">
      <c r="A118" s="53">
        <v>91</v>
      </c>
      <c r="B118" s="89" t="str">
        <f>IFERROR(VLOOKUP($A118,EntryList!$A$3:$N$645,2,FALSE),"")</f>
        <v>Grant Morris</v>
      </c>
      <c r="C118" s="74"/>
      <c r="D118" s="53">
        <f t="shared" si="35"/>
        <v>5</v>
      </c>
      <c r="E118" s="62">
        <v>4.4259490740740743E-3</v>
      </c>
      <c r="F118" s="62">
        <v>3.1570949074074075E-3</v>
      </c>
      <c r="G118" s="62">
        <v>1.7089351851851851E-3</v>
      </c>
      <c r="H118" s="62">
        <v>3.5947916666666667E-3</v>
      </c>
      <c r="I118" s="62">
        <v>4.0938310185185183E-3</v>
      </c>
      <c r="J118" s="62"/>
      <c r="K118" s="62"/>
      <c r="L118" s="62"/>
      <c r="M118" s="62">
        <v>1.6980601851851854E-2</v>
      </c>
      <c r="N118" s="62">
        <f t="shared" si="36"/>
        <v>1.6980601851851851E-2</v>
      </c>
      <c r="O118" s="53">
        <f t="shared" si="37"/>
        <v>130</v>
      </c>
      <c r="P118" s="53">
        <f t="shared" si="38"/>
        <v>144</v>
      </c>
      <c r="Q118" s="53">
        <f t="shared" si="39"/>
        <v>102</v>
      </c>
      <c r="R118" s="53">
        <f t="shared" si="40"/>
        <v>106</v>
      </c>
      <c r="S118" s="53">
        <f t="shared" si="41"/>
        <v>122</v>
      </c>
      <c r="T118" s="53" t="str">
        <f t="shared" si="42"/>
        <v/>
      </c>
      <c r="U118" s="53" t="str">
        <f t="shared" si="43"/>
        <v/>
      </c>
      <c r="V118" s="53" t="str">
        <f t="shared" si="44"/>
        <v/>
      </c>
      <c r="W118" s="53" t="str">
        <f t="shared" si="45"/>
        <v>00:06:22.4 (130)</v>
      </c>
      <c r="X118" s="53" t="str">
        <f t="shared" si="46"/>
        <v>00:04:32.8 (144)</v>
      </c>
      <c r="Y118" s="53" t="str">
        <f t="shared" si="47"/>
        <v>00:02:27.7 (102)</v>
      </c>
      <c r="Z118" s="53" t="str">
        <f t="shared" si="48"/>
        <v>00:05:10.6 (106)</v>
      </c>
      <c r="AA118" s="53" t="str">
        <f t="shared" si="49"/>
        <v>00:05:53.7 (122)</v>
      </c>
      <c r="AB118" s="53" t="str">
        <f t="shared" si="50"/>
        <v>DNS/DNF ()</v>
      </c>
      <c r="AC118" s="53" t="str">
        <f t="shared" si="51"/>
        <v>DNS/DNF ()</v>
      </c>
      <c r="AD118" s="53" t="str">
        <f t="shared" si="52"/>
        <v>DNS/DNF ()</v>
      </c>
      <c r="AE118" s="53">
        <v>33479388</v>
      </c>
      <c r="AF118" s="53">
        <v>33861790</v>
      </c>
      <c r="AG118" s="53">
        <v>39797122</v>
      </c>
      <c r="AH118" s="53">
        <v>40069895</v>
      </c>
      <c r="AI118" s="53">
        <v>36561684</v>
      </c>
      <c r="AJ118" s="53">
        <v>36709336</v>
      </c>
      <c r="AK118" s="53">
        <v>44952344</v>
      </c>
      <c r="AL118" s="53">
        <v>45262934</v>
      </c>
      <c r="AM118" s="53">
        <v>47808420</v>
      </c>
      <c r="AN118" s="53">
        <v>48162127</v>
      </c>
      <c r="AO118" s="53">
        <v>0</v>
      </c>
      <c r="AP118" s="53">
        <v>0</v>
      </c>
      <c r="AQ118" s="53">
        <v>0</v>
      </c>
      <c r="AR118" s="53">
        <v>0</v>
      </c>
      <c r="AS118" s="53">
        <v>0</v>
      </c>
      <c r="AT118" s="53">
        <v>0</v>
      </c>
      <c r="AU118" s="62">
        <f t="shared" si="53"/>
        <v>4.4259490740740743E-3</v>
      </c>
      <c r="AV118" s="62">
        <f t="shared" si="54"/>
        <v>3.1570949074074075E-3</v>
      </c>
      <c r="AW118" s="62">
        <f t="shared" si="55"/>
        <v>1.7089351851851851E-3</v>
      </c>
      <c r="AX118" s="62">
        <f t="shared" si="56"/>
        <v>3.5947916666666667E-3</v>
      </c>
      <c r="AY118" s="62">
        <f t="shared" si="57"/>
        <v>4.0938310185185183E-3</v>
      </c>
      <c r="AZ118" s="62" t="str">
        <f t="shared" si="58"/>
        <v>DNS/DNF</v>
      </c>
      <c r="BA118" s="62" t="str">
        <f t="shared" si="59"/>
        <v>DNS/DNF</v>
      </c>
      <c r="BB118" s="62" t="str">
        <f t="shared" si="60"/>
        <v>DNS/DNF</v>
      </c>
      <c r="BC118" s="75">
        <f t="shared" si="61"/>
        <v>121</v>
      </c>
      <c r="BD118" s="53">
        <f t="shared" si="62"/>
        <v>334513</v>
      </c>
      <c r="BE118" s="53">
        <f t="shared" si="63"/>
        <v>265583</v>
      </c>
      <c r="BF118" s="53">
        <f t="shared" si="64"/>
        <v>152320</v>
      </c>
      <c r="BG118" s="53">
        <f t="shared" si="65"/>
        <v>331270</v>
      </c>
      <c r="BH118" s="53">
        <f t="shared" si="66"/>
        <v>353426</v>
      </c>
      <c r="BI118" s="53" t="str">
        <f t="shared" si="67"/>
        <v/>
      </c>
      <c r="BJ118" s="53" t="str">
        <f t="shared" si="68"/>
        <v/>
      </c>
      <c r="BK118" s="53" t="str">
        <f t="shared" si="69"/>
        <v/>
      </c>
    </row>
    <row r="119" spans="1:63">
      <c r="A119" s="53">
        <v>273</v>
      </c>
      <c r="B119" s="89" t="str">
        <f>IFERROR(VLOOKUP($A119,EntryList!$A$3:$N$645,2,FALSE),"")</f>
        <v>Marc Ruwiel</v>
      </c>
      <c r="C119" s="74"/>
      <c r="D119" s="53">
        <f t="shared" si="35"/>
        <v>5</v>
      </c>
      <c r="E119" s="62">
        <v>3.9425462962962956E-3</v>
      </c>
      <c r="F119" s="62">
        <v>3.2121180555555553E-3</v>
      </c>
      <c r="G119" s="62">
        <v>1.9940277777777777E-3</v>
      </c>
      <c r="H119" s="62">
        <v>3.7965046296296301E-3</v>
      </c>
      <c r="I119" s="62">
        <v>4.1478587962962962E-3</v>
      </c>
      <c r="J119" s="62"/>
      <c r="K119" s="62"/>
      <c r="L119" s="62"/>
      <c r="M119" s="62">
        <v>1.7093055555555556E-2</v>
      </c>
      <c r="N119" s="62">
        <f t="shared" si="36"/>
        <v>1.7093055555555556E-2</v>
      </c>
      <c r="O119" s="53">
        <f t="shared" si="37"/>
        <v>123</v>
      </c>
      <c r="P119" s="53">
        <f t="shared" si="38"/>
        <v>160</v>
      </c>
      <c r="Q119" s="53">
        <f t="shared" si="39"/>
        <v>190</v>
      </c>
      <c r="R119" s="53">
        <f t="shared" si="40"/>
        <v>120</v>
      </c>
      <c r="S119" s="53">
        <f t="shared" si="41"/>
        <v>136</v>
      </c>
      <c r="T119" s="53" t="str">
        <f t="shared" si="42"/>
        <v/>
      </c>
      <c r="U119" s="53" t="str">
        <f t="shared" si="43"/>
        <v/>
      </c>
      <c r="V119" s="53" t="str">
        <f t="shared" si="44"/>
        <v/>
      </c>
      <c r="W119" s="53" t="str">
        <f t="shared" si="45"/>
        <v>00:05:40.6 (123)</v>
      </c>
      <c r="X119" s="53" t="str">
        <f t="shared" si="46"/>
        <v>00:04:37.5 (160)</v>
      </c>
      <c r="Y119" s="53" t="str">
        <f t="shared" si="47"/>
        <v>00:02:52.3 (190)</v>
      </c>
      <c r="Z119" s="53" t="str">
        <f t="shared" si="48"/>
        <v>00:05:28.0 (120)</v>
      </c>
      <c r="AA119" s="53" t="str">
        <f t="shared" si="49"/>
        <v>00:05:58.4 (136)</v>
      </c>
      <c r="AB119" s="53" t="str">
        <f t="shared" si="50"/>
        <v>DNS/DNF ()</v>
      </c>
      <c r="AC119" s="53" t="str">
        <f t="shared" si="51"/>
        <v>DNS/DNF ()</v>
      </c>
      <c r="AD119" s="53" t="str">
        <f t="shared" si="52"/>
        <v>DNS/DNF ()</v>
      </c>
      <c r="AE119" s="53">
        <v>37393096</v>
      </c>
      <c r="AF119" s="53">
        <v>37733732</v>
      </c>
      <c r="AG119" s="53">
        <v>33419235</v>
      </c>
      <c r="AH119" s="53">
        <v>33696762</v>
      </c>
      <c r="AI119" s="53">
        <v>40390652</v>
      </c>
      <c r="AJ119" s="53">
        <v>40562936</v>
      </c>
      <c r="AK119" s="53">
        <v>43868509</v>
      </c>
      <c r="AL119" s="53">
        <v>44196527</v>
      </c>
      <c r="AM119" s="53">
        <v>46816428</v>
      </c>
      <c r="AN119" s="53">
        <v>47174803</v>
      </c>
      <c r="AO119" s="53">
        <v>0</v>
      </c>
      <c r="AP119" s="53">
        <v>0</v>
      </c>
      <c r="AQ119" s="53">
        <v>0</v>
      </c>
      <c r="AR119" s="53">
        <v>0</v>
      </c>
      <c r="AS119" s="53">
        <v>0</v>
      </c>
      <c r="AT119" s="53">
        <v>0</v>
      </c>
      <c r="AU119" s="62">
        <f t="shared" si="53"/>
        <v>3.9425462962962964E-3</v>
      </c>
      <c r="AV119" s="62">
        <f t="shared" si="54"/>
        <v>3.2121180555555557E-3</v>
      </c>
      <c r="AW119" s="62">
        <f t="shared" si="55"/>
        <v>1.9940277777777777E-3</v>
      </c>
      <c r="AX119" s="62">
        <f t="shared" si="56"/>
        <v>3.7965046296296297E-3</v>
      </c>
      <c r="AY119" s="62">
        <f t="shared" si="57"/>
        <v>4.1478587962962962E-3</v>
      </c>
      <c r="AZ119" s="62" t="str">
        <f t="shared" si="58"/>
        <v>DNS/DNF</v>
      </c>
      <c r="BA119" s="62" t="str">
        <f t="shared" si="59"/>
        <v>DNS/DNF</v>
      </c>
      <c r="BB119" s="62" t="str">
        <f t="shared" si="60"/>
        <v>DNS/DNF</v>
      </c>
      <c r="BC119" s="75">
        <f t="shared" si="61"/>
        <v>146</v>
      </c>
      <c r="BD119" s="53" t="str">
        <f t="shared" si="62"/>
        <v/>
      </c>
      <c r="BE119" s="53">
        <f t="shared" si="63"/>
        <v>273206</v>
      </c>
      <c r="BF119" s="53">
        <f t="shared" si="64"/>
        <v>159462</v>
      </c>
      <c r="BG119" s="53" t="str">
        <f t="shared" si="65"/>
        <v/>
      </c>
      <c r="BH119" s="53">
        <f t="shared" si="66"/>
        <v>362397.99999999994</v>
      </c>
      <c r="BI119" s="53" t="str">
        <f t="shared" si="67"/>
        <v/>
      </c>
      <c r="BJ119" s="53" t="str">
        <f t="shared" si="68"/>
        <v/>
      </c>
      <c r="BK119" s="53" t="str">
        <f t="shared" si="69"/>
        <v/>
      </c>
    </row>
    <row r="120" spans="1:63">
      <c r="A120" s="53">
        <v>174</v>
      </c>
      <c r="B120" s="89" t="str">
        <f>IFERROR(VLOOKUP($A120,EntryList!$A$3:$N$645,2,FALSE),"")</f>
        <v>Chris Kistner</v>
      </c>
      <c r="C120" s="74"/>
      <c r="D120" s="53">
        <f t="shared" si="35"/>
        <v>5</v>
      </c>
      <c r="E120" s="62">
        <v>4.1548495370370368E-3</v>
      </c>
      <c r="F120" s="62">
        <v>3.1312037037037038E-3</v>
      </c>
      <c r="G120" s="62">
        <v>1.8479976851851852E-3</v>
      </c>
      <c r="H120" s="62">
        <v>3.7014004629629632E-3</v>
      </c>
      <c r="I120" s="62">
        <v>4.2778472222222219E-3</v>
      </c>
      <c r="J120" s="62"/>
      <c r="K120" s="62"/>
      <c r="L120" s="62"/>
      <c r="M120" s="62">
        <v>1.7113298611111109E-2</v>
      </c>
      <c r="N120" s="62">
        <f t="shared" si="36"/>
        <v>1.7113298611111109E-2</v>
      </c>
      <c r="O120" s="53">
        <f t="shared" si="37"/>
        <v>127</v>
      </c>
      <c r="P120" s="53">
        <f t="shared" si="38"/>
        <v>138</v>
      </c>
      <c r="Q120" s="53">
        <f t="shared" si="39"/>
        <v>149</v>
      </c>
      <c r="R120" s="53">
        <f t="shared" si="40"/>
        <v>115</v>
      </c>
      <c r="S120" s="53">
        <f t="shared" si="41"/>
        <v>162</v>
      </c>
      <c r="T120" s="53" t="str">
        <f t="shared" si="42"/>
        <v/>
      </c>
      <c r="U120" s="53" t="str">
        <f t="shared" si="43"/>
        <v/>
      </c>
      <c r="V120" s="53" t="str">
        <f t="shared" si="44"/>
        <v/>
      </c>
      <c r="W120" s="53" t="str">
        <f t="shared" si="45"/>
        <v>00:05:59.0 (127)</v>
      </c>
      <c r="X120" s="53" t="str">
        <f t="shared" si="46"/>
        <v>00:04:30.5 (138)</v>
      </c>
      <c r="Y120" s="53" t="str">
        <f t="shared" si="47"/>
        <v>00:02:39.7 (149)</v>
      </c>
      <c r="Z120" s="53" t="str">
        <f t="shared" si="48"/>
        <v>00:05:19.8 (115)</v>
      </c>
      <c r="AA120" s="53" t="str">
        <f t="shared" si="49"/>
        <v>00:06:09.6 (162)</v>
      </c>
      <c r="AB120" s="53" t="str">
        <f t="shared" si="50"/>
        <v>DNS/DNF ()</v>
      </c>
      <c r="AC120" s="53" t="str">
        <f t="shared" si="51"/>
        <v>DNS/DNF ()</v>
      </c>
      <c r="AD120" s="53" t="str">
        <f t="shared" si="52"/>
        <v>DNS/DNF ()</v>
      </c>
      <c r="AE120" s="53">
        <v>32517328</v>
      </c>
      <c r="AF120" s="53">
        <v>32876307</v>
      </c>
      <c r="AG120" s="53">
        <v>38416305</v>
      </c>
      <c r="AH120" s="53">
        <v>38686841</v>
      </c>
      <c r="AI120" s="53">
        <v>35213623</v>
      </c>
      <c r="AJ120" s="53">
        <v>35373290</v>
      </c>
      <c r="AK120" s="53">
        <v>42157883</v>
      </c>
      <c r="AL120" s="53">
        <v>42477684</v>
      </c>
      <c r="AM120" s="53">
        <v>44855784</v>
      </c>
      <c r="AN120" s="53">
        <v>45225390</v>
      </c>
      <c r="AO120" s="53">
        <v>0</v>
      </c>
      <c r="AP120" s="53">
        <v>0</v>
      </c>
      <c r="AQ120" s="53">
        <v>0</v>
      </c>
      <c r="AR120" s="53">
        <v>0</v>
      </c>
      <c r="AS120" s="53">
        <v>0</v>
      </c>
      <c r="AT120" s="53">
        <v>0</v>
      </c>
      <c r="AU120" s="62">
        <f t="shared" si="53"/>
        <v>4.1548495370370368E-3</v>
      </c>
      <c r="AV120" s="62">
        <f t="shared" si="54"/>
        <v>3.1312037037037038E-3</v>
      </c>
      <c r="AW120" s="62">
        <f t="shared" si="55"/>
        <v>1.8479976851851852E-3</v>
      </c>
      <c r="AX120" s="62">
        <f t="shared" si="56"/>
        <v>3.7014004629629628E-3</v>
      </c>
      <c r="AY120" s="62">
        <f t="shared" si="57"/>
        <v>4.2778472222222219E-3</v>
      </c>
      <c r="AZ120" s="62" t="str">
        <f t="shared" si="58"/>
        <v>DNS/DNF</v>
      </c>
      <c r="BA120" s="62" t="str">
        <f t="shared" si="59"/>
        <v>DNS/DNF</v>
      </c>
      <c r="BB120" s="62" t="str">
        <f t="shared" si="60"/>
        <v>DNS/DNF</v>
      </c>
      <c r="BC120" s="75">
        <f t="shared" si="61"/>
        <v>138</v>
      </c>
      <c r="BD120" s="53">
        <f t="shared" si="62"/>
        <v>480676</v>
      </c>
      <c r="BE120" s="53">
        <f t="shared" si="63"/>
        <v>270536</v>
      </c>
      <c r="BF120" s="53">
        <f t="shared" si="64"/>
        <v>156975</v>
      </c>
      <c r="BG120" s="53">
        <f t="shared" si="65"/>
        <v>691026.99999999988</v>
      </c>
      <c r="BH120" s="53">
        <f t="shared" si="66"/>
        <v>359502.00000000006</v>
      </c>
      <c r="BI120" s="53" t="str">
        <f t="shared" si="67"/>
        <v/>
      </c>
      <c r="BJ120" s="53" t="str">
        <f t="shared" si="68"/>
        <v/>
      </c>
      <c r="BK120" s="53" t="str">
        <f t="shared" si="69"/>
        <v/>
      </c>
    </row>
    <row r="121" spans="1:63">
      <c r="A121" s="53">
        <v>45</v>
      </c>
      <c r="B121" s="89" t="str">
        <f>IFERROR(VLOOKUP($A121,EntryList!$A$3:$N$645,2,FALSE),"")</f>
        <v>Rory Butler</v>
      </c>
      <c r="C121" s="74"/>
      <c r="D121" s="53">
        <f t="shared" si="35"/>
        <v>5</v>
      </c>
      <c r="E121" s="62">
        <v>3.6156250000000003E-3</v>
      </c>
      <c r="F121" s="62">
        <v>3.3490625E-3</v>
      </c>
      <c r="G121" s="62">
        <v>1.8709027777777778E-3</v>
      </c>
      <c r="H121" s="62">
        <v>3.8926273148148145E-3</v>
      </c>
      <c r="I121" s="62">
        <v>4.4652777777777772E-3</v>
      </c>
      <c r="J121" s="62"/>
      <c r="K121" s="62"/>
      <c r="L121" s="62"/>
      <c r="M121" s="62">
        <v>1.7193495370370369E-2</v>
      </c>
      <c r="N121" s="62">
        <f t="shared" si="36"/>
        <v>1.7193495370370369E-2</v>
      </c>
      <c r="O121" s="53">
        <f t="shared" si="37"/>
        <v>114</v>
      </c>
      <c r="P121" s="53">
        <f t="shared" si="38"/>
        <v>188</v>
      </c>
      <c r="Q121" s="53">
        <f t="shared" si="39"/>
        <v>164</v>
      </c>
      <c r="R121" s="53">
        <f t="shared" si="40"/>
        <v>124</v>
      </c>
      <c r="S121" s="53">
        <f t="shared" si="41"/>
        <v>182</v>
      </c>
      <c r="T121" s="53" t="str">
        <f t="shared" si="42"/>
        <v/>
      </c>
      <c r="U121" s="53" t="str">
        <f t="shared" si="43"/>
        <v/>
      </c>
      <c r="V121" s="53" t="str">
        <f t="shared" si="44"/>
        <v/>
      </c>
      <c r="W121" s="53" t="str">
        <f t="shared" si="45"/>
        <v>00:05:12.4 (114)</v>
      </c>
      <c r="X121" s="53" t="str">
        <f t="shared" si="46"/>
        <v>00:04:49.4 (188)</v>
      </c>
      <c r="Y121" s="53" t="str">
        <f t="shared" si="47"/>
        <v>00:02:41.6 (164)</v>
      </c>
      <c r="Z121" s="53" t="str">
        <f t="shared" si="48"/>
        <v>00:05:36.3 (124)</v>
      </c>
      <c r="AA121" s="53" t="str">
        <f t="shared" si="49"/>
        <v>00:06:25.8 (182)</v>
      </c>
      <c r="AB121" s="53" t="str">
        <f t="shared" si="50"/>
        <v>DNS/DNF ()</v>
      </c>
      <c r="AC121" s="53" t="str">
        <f t="shared" si="51"/>
        <v>DNS/DNF ()</v>
      </c>
      <c r="AD121" s="53" t="str">
        <f t="shared" si="52"/>
        <v>DNS/DNF ()</v>
      </c>
      <c r="AE121" s="53">
        <v>37568901</v>
      </c>
      <c r="AF121" s="53">
        <v>37881291</v>
      </c>
      <c r="AG121" s="53">
        <v>33442796</v>
      </c>
      <c r="AH121" s="53">
        <v>33732155</v>
      </c>
      <c r="AI121" s="53">
        <v>41072068</v>
      </c>
      <c r="AJ121" s="53">
        <v>41233714</v>
      </c>
      <c r="AK121" s="53">
        <v>45450513</v>
      </c>
      <c r="AL121" s="53">
        <v>45786836</v>
      </c>
      <c r="AM121" s="53">
        <v>48844644</v>
      </c>
      <c r="AN121" s="53">
        <v>49230444</v>
      </c>
      <c r="AO121" s="53">
        <v>0</v>
      </c>
      <c r="AP121" s="53">
        <v>0</v>
      </c>
      <c r="AQ121" s="53">
        <v>0</v>
      </c>
      <c r="AR121" s="53">
        <v>0</v>
      </c>
      <c r="AS121" s="53">
        <v>0</v>
      </c>
      <c r="AT121" s="53">
        <v>0</v>
      </c>
      <c r="AU121" s="62">
        <f t="shared" si="53"/>
        <v>3.6156249999999999E-3</v>
      </c>
      <c r="AV121" s="62">
        <f t="shared" si="54"/>
        <v>3.3490625E-3</v>
      </c>
      <c r="AW121" s="62">
        <f t="shared" si="55"/>
        <v>1.8709027777777778E-3</v>
      </c>
      <c r="AX121" s="62">
        <f t="shared" si="56"/>
        <v>3.8926273148148149E-3</v>
      </c>
      <c r="AY121" s="62">
        <f t="shared" si="57"/>
        <v>4.4652777777777781E-3</v>
      </c>
      <c r="AZ121" s="62" t="str">
        <f t="shared" si="58"/>
        <v>DNS/DNF</v>
      </c>
      <c r="BA121" s="62" t="str">
        <f t="shared" si="59"/>
        <v>DNS/DNF</v>
      </c>
      <c r="BB121" s="62" t="str">
        <f t="shared" si="60"/>
        <v>DNS/DNF</v>
      </c>
      <c r="BC121" s="75">
        <f t="shared" si="61"/>
        <v>154</v>
      </c>
      <c r="BD121" s="53" t="str">
        <f t="shared" si="62"/>
        <v/>
      </c>
      <c r="BE121" s="53">
        <f t="shared" si="63"/>
        <v>275800</v>
      </c>
      <c r="BF121" s="53">
        <f t="shared" si="64"/>
        <v>160347</v>
      </c>
      <c r="BG121" s="53" t="str">
        <f t="shared" si="65"/>
        <v/>
      </c>
      <c r="BH121" s="53">
        <f t="shared" si="66"/>
        <v>366286.00000000006</v>
      </c>
      <c r="BI121" s="53" t="str">
        <f t="shared" si="67"/>
        <v/>
      </c>
      <c r="BJ121" s="53" t="str">
        <f t="shared" si="68"/>
        <v/>
      </c>
      <c r="BK121" s="53" t="str">
        <f t="shared" si="69"/>
        <v/>
      </c>
    </row>
    <row r="122" spans="1:63">
      <c r="A122" s="53">
        <v>295</v>
      </c>
      <c r="B122" s="89" t="str">
        <f>IFERROR(VLOOKUP($A122,EntryList!$A$3:$N$645,2,FALSE),"")</f>
        <v>Andrew Henwood</v>
      </c>
      <c r="C122" s="74"/>
      <c r="D122" s="53">
        <f t="shared" si="35"/>
        <v>5</v>
      </c>
      <c r="E122" s="62">
        <v>4.2264930555555554E-3</v>
      </c>
      <c r="F122" s="62">
        <v>3.509097222222222E-3</v>
      </c>
      <c r="G122" s="62">
        <v>2.0149768518518516E-3</v>
      </c>
      <c r="H122" s="62">
        <v>3.8572916666666669E-3</v>
      </c>
      <c r="I122" s="62">
        <v>4.3500810185185179E-3</v>
      </c>
      <c r="J122" s="62"/>
      <c r="K122" s="62"/>
      <c r="L122" s="62"/>
      <c r="M122" s="62">
        <v>1.7957939814814815E-2</v>
      </c>
      <c r="N122" s="62">
        <f t="shared" si="36"/>
        <v>1.7957939814814812E-2</v>
      </c>
      <c r="O122" s="53">
        <f t="shared" si="37"/>
        <v>128</v>
      </c>
      <c r="P122" s="53">
        <f t="shared" si="38"/>
        <v>205</v>
      </c>
      <c r="Q122" s="53">
        <f t="shared" si="39"/>
        <v>193</v>
      </c>
      <c r="R122" s="53">
        <f t="shared" si="40"/>
        <v>122</v>
      </c>
      <c r="S122" s="53">
        <f t="shared" si="41"/>
        <v>170</v>
      </c>
      <c r="T122" s="53" t="str">
        <f t="shared" si="42"/>
        <v/>
      </c>
      <c r="U122" s="53" t="str">
        <f t="shared" si="43"/>
        <v/>
      </c>
      <c r="V122" s="53" t="str">
        <f t="shared" si="44"/>
        <v/>
      </c>
      <c r="W122" s="53" t="str">
        <f t="shared" si="45"/>
        <v>00:06:05.2 (128)</v>
      </c>
      <c r="X122" s="53" t="str">
        <f t="shared" si="46"/>
        <v>00:05:03.2 (205)</v>
      </c>
      <c r="Y122" s="53" t="str">
        <f t="shared" si="47"/>
        <v>00:02:54.1 (193)</v>
      </c>
      <c r="Z122" s="53" t="str">
        <f t="shared" si="48"/>
        <v>00:05:33.3 (122)</v>
      </c>
      <c r="AA122" s="53" t="str">
        <f t="shared" si="49"/>
        <v>00:06:15.8 (170)</v>
      </c>
      <c r="AB122" s="53" t="str">
        <f t="shared" si="50"/>
        <v>DNS/DNF ()</v>
      </c>
      <c r="AC122" s="53" t="str">
        <f t="shared" si="51"/>
        <v>DNS/DNF ()</v>
      </c>
      <c r="AD122" s="53" t="str">
        <f t="shared" si="52"/>
        <v>DNS/DNF ()</v>
      </c>
      <c r="AE122" s="53">
        <v>35788540</v>
      </c>
      <c r="AF122" s="53">
        <v>36153709</v>
      </c>
      <c r="AG122" s="53">
        <v>32501362</v>
      </c>
      <c r="AH122" s="53">
        <v>32804548</v>
      </c>
      <c r="AI122" s="53">
        <v>39185210</v>
      </c>
      <c r="AJ122" s="53">
        <v>39359304</v>
      </c>
      <c r="AK122" s="53">
        <v>42787322</v>
      </c>
      <c r="AL122" s="53">
        <v>43120592</v>
      </c>
      <c r="AM122" s="53">
        <v>45396656</v>
      </c>
      <c r="AN122" s="53">
        <v>45772503</v>
      </c>
      <c r="AO122" s="53">
        <v>0</v>
      </c>
      <c r="AP122" s="53">
        <v>0</v>
      </c>
      <c r="AQ122" s="53">
        <v>0</v>
      </c>
      <c r="AR122" s="53">
        <v>0</v>
      </c>
      <c r="AS122" s="53">
        <v>0</v>
      </c>
      <c r="AT122" s="53">
        <v>0</v>
      </c>
      <c r="AU122" s="62">
        <f t="shared" si="53"/>
        <v>4.2264930555555554E-3</v>
      </c>
      <c r="AV122" s="62">
        <f t="shared" si="54"/>
        <v>3.509097222222222E-3</v>
      </c>
      <c r="AW122" s="62">
        <f t="shared" si="55"/>
        <v>2.014976851851852E-3</v>
      </c>
      <c r="AX122" s="62">
        <f t="shared" si="56"/>
        <v>3.8572916666666669E-3</v>
      </c>
      <c r="AY122" s="62">
        <f t="shared" si="57"/>
        <v>4.3500810185185187E-3</v>
      </c>
      <c r="AZ122" s="62" t="str">
        <f t="shared" si="58"/>
        <v>DNS/DNF</v>
      </c>
      <c r="BA122" s="62" t="str">
        <f t="shared" si="59"/>
        <v>DNS/DNF</v>
      </c>
      <c r="BB122" s="62" t="str">
        <f t="shared" si="60"/>
        <v>DNS/DNF</v>
      </c>
      <c r="BC122" s="75">
        <f t="shared" si="61"/>
        <v>164</v>
      </c>
      <c r="BD122" s="53" t="str">
        <f t="shared" si="62"/>
        <v/>
      </c>
      <c r="BE122" s="53">
        <f t="shared" si="63"/>
        <v>278040</v>
      </c>
      <c r="BF122" s="53">
        <f t="shared" si="64"/>
        <v>161646</v>
      </c>
      <c r="BG122" s="53" t="str">
        <f t="shared" si="65"/>
        <v/>
      </c>
      <c r="BH122" s="53">
        <f t="shared" si="66"/>
        <v>371015</v>
      </c>
      <c r="BI122" s="53" t="str">
        <f t="shared" si="67"/>
        <v/>
      </c>
      <c r="BJ122" s="53" t="str">
        <f t="shared" si="68"/>
        <v/>
      </c>
      <c r="BK122" s="53" t="str">
        <f t="shared" si="69"/>
        <v/>
      </c>
    </row>
    <row r="123" spans="1:63">
      <c r="A123" s="53">
        <v>90</v>
      </c>
      <c r="B123" s="89" t="str">
        <f>IFERROR(VLOOKUP($A123,EntryList!$A$3:$N$645,2,FALSE),"")</f>
        <v>Jedri Visser</v>
      </c>
      <c r="C123" s="74"/>
      <c r="D123" s="53">
        <f t="shared" si="35"/>
        <v>5</v>
      </c>
      <c r="E123" s="62">
        <v>4.0084143518518515E-3</v>
      </c>
      <c r="F123" s="62">
        <v>3.6034953703703702E-3</v>
      </c>
      <c r="G123" s="62">
        <v>2.1162500000000001E-3</v>
      </c>
      <c r="H123" s="62">
        <v>3.8717592592592588E-3</v>
      </c>
      <c r="I123" s="62">
        <v>4.3696180555555554E-3</v>
      </c>
      <c r="J123" s="62"/>
      <c r="K123" s="62"/>
      <c r="L123" s="62"/>
      <c r="M123" s="62">
        <v>1.7969537037037037E-2</v>
      </c>
      <c r="N123" s="62">
        <f t="shared" si="36"/>
        <v>1.7969537037037034E-2</v>
      </c>
      <c r="O123" s="53">
        <f t="shared" si="37"/>
        <v>125</v>
      </c>
      <c r="P123" s="53">
        <f t="shared" si="38"/>
        <v>212</v>
      </c>
      <c r="Q123" s="53">
        <f t="shared" si="39"/>
        <v>211</v>
      </c>
      <c r="R123" s="53">
        <f t="shared" si="40"/>
        <v>123</v>
      </c>
      <c r="S123" s="53">
        <f t="shared" si="41"/>
        <v>172</v>
      </c>
      <c r="T123" s="53" t="str">
        <f t="shared" si="42"/>
        <v/>
      </c>
      <c r="U123" s="53" t="str">
        <f t="shared" si="43"/>
        <v/>
      </c>
      <c r="V123" s="53" t="str">
        <f t="shared" si="44"/>
        <v/>
      </c>
      <c r="W123" s="53" t="str">
        <f t="shared" si="45"/>
        <v>00:05:46.3 (125)</v>
      </c>
      <c r="X123" s="53" t="str">
        <f t="shared" si="46"/>
        <v>00:05:11.3 (212)</v>
      </c>
      <c r="Y123" s="53" t="str">
        <f t="shared" si="47"/>
        <v>00:03:02.8 (211)</v>
      </c>
      <c r="Z123" s="53" t="str">
        <f t="shared" si="48"/>
        <v>00:05:34.5 (123)</v>
      </c>
      <c r="AA123" s="53" t="str">
        <f t="shared" si="49"/>
        <v>00:06:17.5 (172)</v>
      </c>
      <c r="AB123" s="53" t="str">
        <f t="shared" si="50"/>
        <v>DNS/DNF ()</v>
      </c>
      <c r="AC123" s="53" t="str">
        <f t="shared" si="51"/>
        <v>DNS/DNF ()</v>
      </c>
      <c r="AD123" s="53" t="str">
        <f t="shared" si="52"/>
        <v>DNS/DNF ()</v>
      </c>
      <c r="AE123" s="53">
        <v>32912108</v>
      </c>
      <c r="AF123" s="53">
        <v>33258435</v>
      </c>
      <c r="AG123" s="53">
        <v>37590697</v>
      </c>
      <c r="AH123" s="53">
        <v>37902039</v>
      </c>
      <c r="AI123" s="53">
        <v>41345964</v>
      </c>
      <c r="AJ123" s="53">
        <v>41528808</v>
      </c>
      <c r="AK123" s="53">
        <v>45336233</v>
      </c>
      <c r="AL123" s="53">
        <v>45670753</v>
      </c>
      <c r="AM123" s="53">
        <v>48175690</v>
      </c>
      <c r="AN123" s="53">
        <v>48553225</v>
      </c>
      <c r="AO123" s="53">
        <v>0</v>
      </c>
      <c r="AP123" s="53">
        <v>0</v>
      </c>
      <c r="AQ123" s="53">
        <v>0</v>
      </c>
      <c r="AR123" s="53">
        <v>0</v>
      </c>
      <c r="AS123" s="53">
        <v>0</v>
      </c>
      <c r="AT123" s="53">
        <v>0</v>
      </c>
      <c r="AU123" s="62">
        <f t="shared" si="53"/>
        <v>4.0084143518518515E-3</v>
      </c>
      <c r="AV123" s="62">
        <f t="shared" si="54"/>
        <v>3.6034953703703702E-3</v>
      </c>
      <c r="AW123" s="62">
        <f t="shared" si="55"/>
        <v>2.1162500000000001E-3</v>
      </c>
      <c r="AX123" s="62">
        <f t="shared" si="56"/>
        <v>3.8717592592592593E-3</v>
      </c>
      <c r="AY123" s="62">
        <f t="shared" si="57"/>
        <v>4.3696180555555554E-3</v>
      </c>
      <c r="AZ123" s="62" t="str">
        <f t="shared" si="58"/>
        <v>DNS/DNF</v>
      </c>
      <c r="BA123" s="62" t="str">
        <f t="shared" si="59"/>
        <v>DNS/DNF</v>
      </c>
      <c r="BB123" s="62" t="str">
        <f t="shared" si="60"/>
        <v>DNS/DNF</v>
      </c>
      <c r="BC123" s="75">
        <f t="shared" si="61"/>
        <v>169</v>
      </c>
      <c r="BD123" s="53" t="str">
        <f t="shared" si="62"/>
        <v/>
      </c>
      <c r="BE123" s="53">
        <f t="shared" si="63"/>
        <v>280189</v>
      </c>
      <c r="BF123" s="53">
        <f t="shared" si="64"/>
        <v>163483</v>
      </c>
      <c r="BG123" s="53" t="str">
        <f t="shared" si="65"/>
        <v/>
      </c>
      <c r="BH123" s="53">
        <f t="shared" si="66"/>
        <v>375552.00000000006</v>
      </c>
      <c r="BI123" s="53" t="str">
        <f t="shared" si="67"/>
        <v/>
      </c>
      <c r="BJ123" s="53" t="str">
        <f t="shared" si="68"/>
        <v/>
      </c>
      <c r="BK123" s="53" t="str">
        <f t="shared" si="69"/>
        <v/>
      </c>
    </row>
    <row r="124" spans="1:63">
      <c r="A124" s="53">
        <v>10</v>
      </c>
      <c r="B124" s="89" t="str">
        <f>IFERROR(VLOOKUP($A124,EntryList!$A$3:$N$645,2,FALSE),"")</f>
        <v>Conner Morrison</v>
      </c>
      <c r="C124" s="74"/>
      <c r="D124" s="53">
        <f t="shared" si="35"/>
        <v>5</v>
      </c>
      <c r="E124" s="62">
        <v>5.5617245370370369E-3</v>
      </c>
      <c r="F124" s="62">
        <v>2.6973263888888893E-3</v>
      </c>
      <c r="G124" s="62">
        <v>1.5199189814814817E-3</v>
      </c>
      <c r="H124" s="62">
        <v>2.8679398148148145E-3</v>
      </c>
      <c r="I124" s="62">
        <v>5.483900462962963E-3</v>
      </c>
      <c r="J124" s="62"/>
      <c r="K124" s="62"/>
      <c r="L124" s="62"/>
      <c r="M124" s="62">
        <v>1.8130810185185184E-2</v>
      </c>
      <c r="N124" s="62">
        <f t="shared" si="36"/>
        <v>1.8130810185185184E-2</v>
      </c>
      <c r="O124" s="53">
        <f t="shared" si="37"/>
        <v>137</v>
      </c>
      <c r="P124" s="53">
        <f t="shared" si="38"/>
        <v>45</v>
      </c>
      <c r="Q124" s="53">
        <f t="shared" si="39"/>
        <v>53</v>
      </c>
      <c r="R124" s="53">
        <f t="shared" si="40"/>
        <v>27</v>
      </c>
      <c r="S124" s="53">
        <f t="shared" si="41"/>
        <v>237</v>
      </c>
      <c r="T124" s="53" t="str">
        <f t="shared" si="42"/>
        <v/>
      </c>
      <c r="U124" s="53" t="str">
        <f t="shared" si="43"/>
        <v/>
      </c>
      <c r="V124" s="53" t="str">
        <f t="shared" si="44"/>
        <v/>
      </c>
      <c r="W124" s="53" t="str">
        <f t="shared" si="45"/>
        <v>00:08:00.5 (137)</v>
      </c>
      <c r="X124" s="53" t="str">
        <f t="shared" si="46"/>
        <v>00:03:53.0 (45)</v>
      </c>
      <c r="Y124" s="53" t="str">
        <f t="shared" si="47"/>
        <v>00:02:11.3 (53)</v>
      </c>
      <c r="Z124" s="53" t="str">
        <f t="shared" si="48"/>
        <v>00:04:07.8 (27)</v>
      </c>
      <c r="AA124" s="53" t="str">
        <f t="shared" si="49"/>
        <v>00:07:53.8 (237)</v>
      </c>
      <c r="AB124" s="53" t="str">
        <f t="shared" si="50"/>
        <v>DNS/DNF ()</v>
      </c>
      <c r="AC124" s="53" t="str">
        <f t="shared" si="51"/>
        <v>DNS/DNF ()</v>
      </c>
      <c r="AD124" s="53" t="str">
        <f t="shared" si="52"/>
        <v>DNS/DNF ()</v>
      </c>
      <c r="AE124" s="53">
        <v>31273355</v>
      </c>
      <c r="AF124" s="53">
        <v>31753888</v>
      </c>
      <c r="AG124" s="53">
        <v>36304886</v>
      </c>
      <c r="AH124" s="53">
        <v>36537935</v>
      </c>
      <c r="AI124" s="53">
        <v>39496527</v>
      </c>
      <c r="AJ124" s="53">
        <v>39627848</v>
      </c>
      <c r="AK124" s="53">
        <v>44221119</v>
      </c>
      <c r="AL124" s="53">
        <v>44468909</v>
      </c>
      <c r="AM124" s="53">
        <v>47166870</v>
      </c>
      <c r="AN124" s="53">
        <v>47640679</v>
      </c>
      <c r="AO124" s="53">
        <v>0</v>
      </c>
      <c r="AP124" s="53">
        <v>0</v>
      </c>
      <c r="AQ124" s="53">
        <v>0</v>
      </c>
      <c r="AR124" s="53">
        <v>0</v>
      </c>
      <c r="AS124" s="53">
        <v>0</v>
      </c>
      <c r="AT124" s="53">
        <v>0</v>
      </c>
      <c r="AU124" s="62">
        <f t="shared" si="53"/>
        <v>5.5617245370370369E-3</v>
      </c>
      <c r="AV124" s="62">
        <f t="shared" si="54"/>
        <v>2.6973263888888889E-3</v>
      </c>
      <c r="AW124" s="62">
        <f t="shared" si="55"/>
        <v>1.5199189814814815E-3</v>
      </c>
      <c r="AX124" s="62">
        <f t="shared" si="56"/>
        <v>2.8679398148148149E-3</v>
      </c>
      <c r="AY124" s="62">
        <f t="shared" si="57"/>
        <v>5.483900462962963E-3</v>
      </c>
      <c r="AZ124" s="62" t="str">
        <f t="shared" si="58"/>
        <v>DNS/DNF</v>
      </c>
      <c r="BA124" s="62" t="str">
        <f t="shared" si="59"/>
        <v>DNS/DNF</v>
      </c>
      <c r="BB124" s="62" t="str">
        <f t="shared" si="60"/>
        <v>DNS/DNF</v>
      </c>
      <c r="BC124" s="75">
        <f t="shared" si="61"/>
        <v>100</v>
      </c>
      <c r="BD124" s="53">
        <f t="shared" si="62"/>
        <v>283353</v>
      </c>
      <c r="BE124" s="53">
        <f t="shared" si="63"/>
        <v>256501</v>
      </c>
      <c r="BF124" s="53">
        <f t="shared" si="64"/>
        <v>147192</v>
      </c>
      <c r="BG124" s="53">
        <f t="shared" si="65"/>
        <v>303873</v>
      </c>
      <c r="BH124" s="53">
        <f t="shared" si="66"/>
        <v>347435.99999999994</v>
      </c>
      <c r="BI124" s="53" t="str">
        <f t="shared" si="67"/>
        <v/>
      </c>
      <c r="BJ124" s="53" t="str">
        <f t="shared" si="68"/>
        <v/>
      </c>
      <c r="BK124" s="53" t="str">
        <f t="shared" si="69"/>
        <v/>
      </c>
    </row>
    <row r="125" spans="1:63">
      <c r="A125" s="53">
        <v>247</v>
      </c>
      <c r="B125" s="89" t="str">
        <f>IFERROR(VLOOKUP($A125,EntryList!$A$3:$N$645,2,FALSE),"")</f>
        <v>Pieter Venter Snr</v>
      </c>
      <c r="C125" s="74"/>
      <c r="D125" s="53">
        <f t="shared" si="35"/>
        <v>5</v>
      </c>
      <c r="E125" s="62">
        <v>5.5073032407407406E-3</v>
      </c>
      <c r="F125" s="62">
        <v>3.0996412037037038E-3</v>
      </c>
      <c r="G125" s="62">
        <v>1.9510069444444444E-3</v>
      </c>
      <c r="H125" s="62">
        <v>3.5485416666666664E-3</v>
      </c>
      <c r="I125" s="62">
        <v>4.072662037037037E-3</v>
      </c>
      <c r="J125" s="62"/>
      <c r="K125" s="62"/>
      <c r="L125" s="62"/>
      <c r="M125" s="62">
        <v>1.8179155092592592E-2</v>
      </c>
      <c r="N125" s="62">
        <f t="shared" si="36"/>
        <v>1.8179155092592592E-2</v>
      </c>
      <c r="O125" s="53">
        <f t="shared" si="37"/>
        <v>136</v>
      </c>
      <c r="P125" s="53">
        <f t="shared" si="38"/>
        <v>130</v>
      </c>
      <c r="Q125" s="53">
        <f t="shared" si="39"/>
        <v>182</v>
      </c>
      <c r="R125" s="53">
        <f t="shared" si="40"/>
        <v>103</v>
      </c>
      <c r="S125" s="53">
        <f t="shared" si="41"/>
        <v>114</v>
      </c>
      <c r="T125" s="53" t="str">
        <f t="shared" si="42"/>
        <v/>
      </c>
      <c r="U125" s="53" t="str">
        <f t="shared" si="43"/>
        <v/>
      </c>
      <c r="V125" s="53" t="str">
        <f t="shared" si="44"/>
        <v/>
      </c>
      <c r="W125" s="53" t="str">
        <f t="shared" si="45"/>
        <v>00:07:55.8 (136)</v>
      </c>
      <c r="X125" s="53" t="str">
        <f t="shared" si="46"/>
        <v>00:04:27.8 (130)</v>
      </c>
      <c r="Y125" s="53" t="str">
        <f t="shared" si="47"/>
        <v>00:02:48.6 (182)</v>
      </c>
      <c r="Z125" s="53" t="str">
        <f t="shared" si="48"/>
        <v>00:05:06.6 (103)</v>
      </c>
      <c r="AA125" s="53" t="str">
        <f t="shared" si="49"/>
        <v>00:05:51.9 (114)</v>
      </c>
      <c r="AB125" s="53" t="str">
        <f t="shared" si="50"/>
        <v>DNS/DNF ()</v>
      </c>
      <c r="AC125" s="53" t="str">
        <f t="shared" si="51"/>
        <v>DNS/DNF ()</v>
      </c>
      <c r="AD125" s="53" t="str">
        <f t="shared" si="52"/>
        <v>DNS/DNF ()</v>
      </c>
      <c r="AE125" s="53">
        <v>32161154</v>
      </c>
      <c r="AF125" s="53">
        <v>32636985</v>
      </c>
      <c r="AG125" s="53">
        <v>30034687</v>
      </c>
      <c r="AH125" s="53">
        <v>30302496</v>
      </c>
      <c r="AI125" s="53">
        <v>35486734</v>
      </c>
      <c r="AJ125" s="53">
        <v>35655301</v>
      </c>
      <c r="AK125" s="53">
        <v>39227157</v>
      </c>
      <c r="AL125" s="53">
        <v>39533751</v>
      </c>
      <c r="AM125" s="53">
        <v>43218216</v>
      </c>
      <c r="AN125" s="53">
        <v>43570094</v>
      </c>
      <c r="AO125" s="53">
        <v>0</v>
      </c>
      <c r="AP125" s="53">
        <v>0</v>
      </c>
      <c r="AQ125" s="53">
        <v>0</v>
      </c>
      <c r="AR125" s="53">
        <v>0</v>
      </c>
      <c r="AS125" s="53">
        <v>0</v>
      </c>
      <c r="AT125" s="53">
        <v>0</v>
      </c>
      <c r="AU125" s="62">
        <f t="shared" si="53"/>
        <v>5.5073032407407406E-3</v>
      </c>
      <c r="AV125" s="62">
        <f t="shared" si="54"/>
        <v>3.0996412037037038E-3</v>
      </c>
      <c r="AW125" s="62">
        <f t="shared" si="55"/>
        <v>1.9510069444444444E-3</v>
      </c>
      <c r="AX125" s="62">
        <f t="shared" si="56"/>
        <v>3.5485416666666669E-3</v>
      </c>
      <c r="AY125" s="62">
        <f t="shared" si="57"/>
        <v>4.072662037037037E-3</v>
      </c>
      <c r="AZ125" s="62" t="str">
        <f t="shared" si="58"/>
        <v>DNS/DNF</v>
      </c>
      <c r="BA125" s="62" t="str">
        <f t="shared" si="59"/>
        <v>DNS/DNF</v>
      </c>
      <c r="BB125" s="62" t="str">
        <f t="shared" si="60"/>
        <v>DNS/DNF</v>
      </c>
      <c r="BC125" s="75">
        <f t="shared" si="61"/>
        <v>133</v>
      </c>
      <c r="BD125" s="53">
        <f t="shared" si="62"/>
        <v>407223</v>
      </c>
      <c r="BE125" s="53">
        <f t="shared" si="63"/>
        <v>268812</v>
      </c>
      <c r="BF125" s="53">
        <f t="shared" si="64"/>
        <v>154974</v>
      </c>
      <c r="BG125" s="53">
        <f t="shared" si="65"/>
        <v>402673</v>
      </c>
      <c r="BH125" s="53">
        <f t="shared" si="66"/>
        <v>357086</v>
      </c>
      <c r="BI125" s="53" t="str">
        <f t="shared" si="67"/>
        <v/>
      </c>
      <c r="BJ125" s="53" t="str">
        <f t="shared" si="68"/>
        <v/>
      </c>
      <c r="BK125" s="53" t="str">
        <f t="shared" si="69"/>
        <v/>
      </c>
    </row>
    <row r="126" spans="1:63">
      <c r="A126" s="53">
        <v>145</v>
      </c>
      <c r="B126" s="89" t="str">
        <f>IFERROR(VLOOKUP($A126,EntryList!$A$3:$N$645,2,FALSE),"")</f>
        <v>Tristan Harley</v>
      </c>
      <c r="C126" s="74"/>
      <c r="D126" s="53">
        <f t="shared" si="35"/>
        <v>5</v>
      </c>
      <c r="E126" s="62">
        <v>4.8001504629629635E-3</v>
      </c>
      <c r="F126" s="62">
        <v>3.1660185185185181E-3</v>
      </c>
      <c r="G126" s="62">
        <v>1.9648611111111112E-3</v>
      </c>
      <c r="H126" s="62">
        <v>4.0737268518518518E-3</v>
      </c>
      <c r="I126" s="62">
        <v>4.2929513888888887E-3</v>
      </c>
      <c r="J126" s="62"/>
      <c r="K126" s="62"/>
      <c r="L126" s="62"/>
      <c r="M126" s="62">
        <v>1.8297708333333332E-2</v>
      </c>
      <c r="N126" s="62">
        <f t="shared" si="36"/>
        <v>1.8297708333333336E-2</v>
      </c>
      <c r="O126" s="53">
        <f t="shared" si="37"/>
        <v>134</v>
      </c>
      <c r="P126" s="53">
        <f t="shared" si="38"/>
        <v>149</v>
      </c>
      <c r="Q126" s="53">
        <f t="shared" si="39"/>
        <v>186</v>
      </c>
      <c r="R126" s="53">
        <f t="shared" si="40"/>
        <v>128</v>
      </c>
      <c r="S126" s="53">
        <f t="shared" si="41"/>
        <v>163</v>
      </c>
      <c r="T126" s="53" t="str">
        <f t="shared" si="42"/>
        <v/>
      </c>
      <c r="U126" s="53" t="str">
        <f t="shared" si="43"/>
        <v/>
      </c>
      <c r="V126" s="53" t="str">
        <f t="shared" si="44"/>
        <v/>
      </c>
      <c r="W126" s="53" t="str">
        <f t="shared" si="45"/>
        <v>00:06:54.7 (134)</v>
      </c>
      <c r="X126" s="53" t="str">
        <f t="shared" si="46"/>
        <v>00:04:33.5 (149)</v>
      </c>
      <c r="Y126" s="53" t="str">
        <f t="shared" si="47"/>
        <v>00:02:49.8 (186)</v>
      </c>
      <c r="Z126" s="53" t="str">
        <f t="shared" si="48"/>
        <v>00:05:52.0 (128)</v>
      </c>
      <c r="AA126" s="53" t="str">
        <f t="shared" si="49"/>
        <v>00:06:10.9 (163)</v>
      </c>
      <c r="AB126" s="53" t="str">
        <f t="shared" si="50"/>
        <v>DNS/DNF ()</v>
      </c>
      <c r="AC126" s="53" t="str">
        <f t="shared" si="51"/>
        <v>DNS/DNF ()</v>
      </c>
      <c r="AD126" s="53" t="str">
        <f t="shared" si="52"/>
        <v>DNS/DNF ()</v>
      </c>
      <c r="AE126" s="53">
        <v>41327178</v>
      </c>
      <c r="AF126" s="53">
        <v>41741911</v>
      </c>
      <c r="AG126" s="53">
        <v>35124567</v>
      </c>
      <c r="AH126" s="53">
        <v>35398111</v>
      </c>
      <c r="AI126" s="53">
        <v>38994946</v>
      </c>
      <c r="AJ126" s="53">
        <v>39164710</v>
      </c>
      <c r="AK126" s="53">
        <v>46058209</v>
      </c>
      <c r="AL126" s="53">
        <v>46410179</v>
      </c>
      <c r="AM126" s="53">
        <v>48926080</v>
      </c>
      <c r="AN126" s="53">
        <v>49296991</v>
      </c>
      <c r="AO126" s="53">
        <v>0</v>
      </c>
      <c r="AP126" s="53">
        <v>0</v>
      </c>
      <c r="AQ126" s="53">
        <v>0</v>
      </c>
      <c r="AR126" s="53">
        <v>0</v>
      </c>
      <c r="AS126" s="53">
        <v>0</v>
      </c>
      <c r="AT126" s="53">
        <v>0</v>
      </c>
      <c r="AU126" s="62">
        <f t="shared" si="53"/>
        <v>4.8001504629629627E-3</v>
      </c>
      <c r="AV126" s="62">
        <f t="shared" si="54"/>
        <v>3.1660185185185185E-3</v>
      </c>
      <c r="AW126" s="62">
        <f t="shared" si="55"/>
        <v>1.9648611111111112E-3</v>
      </c>
      <c r="AX126" s="62">
        <f t="shared" si="56"/>
        <v>4.0737268518518518E-3</v>
      </c>
      <c r="AY126" s="62">
        <f t="shared" si="57"/>
        <v>4.2929513888888887E-3</v>
      </c>
      <c r="AZ126" s="62" t="str">
        <f t="shared" si="58"/>
        <v>DNS/DNF</v>
      </c>
      <c r="BA126" s="62" t="str">
        <f t="shared" si="59"/>
        <v>DNS/DNF</v>
      </c>
      <c r="BB126" s="62" t="str">
        <f t="shared" si="60"/>
        <v>DNS/DNF</v>
      </c>
      <c r="BC126" s="75">
        <f t="shared" si="61"/>
        <v>152</v>
      </c>
      <c r="BD126" s="53" t="str">
        <f t="shared" si="62"/>
        <v/>
      </c>
      <c r="BE126" s="53">
        <f t="shared" si="63"/>
        <v>274828</v>
      </c>
      <c r="BF126" s="53">
        <f t="shared" si="64"/>
        <v>160178</v>
      </c>
      <c r="BG126" s="53" t="str">
        <f t="shared" si="65"/>
        <v/>
      </c>
      <c r="BH126" s="53">
        <f t="shared" si="66"/>
        <v>365092</v>
      </c>
      <c r="BI126" s="53" t="str">
        <f t="shared" si="67"/>
        <v/>
      </c>
      <c r="BJ126" s="53" t="str">
        <f t="shared" si="68"/>
        <v/>
      </c>
      <c r="BK126" s="53" t="str">
        <f t="shared" si="69"/>
        <v/>
      </c>
    </row>
    <row r="127" spans="1:63">
      <c r="A127" s="53">
        <v>127</v>
      </c>
      <c r="B127" s="89" t="str">
        <f>IFERROR(VLOOKUP($A127,EntryList!$A$3:$N$645,2,FALSE),"")</f>
        <v>Max Sullivan</v>
      </c>
      <c r="C127" s="74"/>
      <c r="D127" s="53">
        <f t="shared" si="35"/>
        <v>5</v>
      </c>
      <c r="E127" s="62">
        <v>8.3577662037037041E-3</v>
      </c>
      <c r="F127" s="62">
        <v>2.4606018518518518E-3</v>
      </c>
      <c r="G127" s="62">
        <v>1.3402199074074074E-3</v>
      </c>
      <c r="H127" s="62">
        <v>2.6200694444444444E-3</v>
      </c>
      <c r="I127" s="62">
        <v>3.5777430555555558E-3</v>
      </c>
      <c r="J127" s="62"/>
      <c r="K127" s="62"/>
      <c r="L127" s="62"/>
      <c r="M127" s="62">
        <v>1.8356400462962965E-2</v>
      </c>
      <c r="N127" s="62">
        <f t="shared" si="36"/>
        <v>1.8356400462962962E-2</v>
      </c>
      <c r="O127" s="53">
        <f t="shared" si="37"/>
        <v>141</v>
      </c>
      <c r="P127" s="53">
        <f t="shared" si="38"/>
        <v>9</v>
      </c>
      <c r="Q127" s="53">
        <f t="shared" si="39"/>
        <v>5</v>
      </c>
      <c r="R127" s="53">
        <f t="shared" si="40"/>
        <v>3</v>
      </c>
      <c r="S127" s="53">
        <f t="shared" si="41"/>
        <v>30</v>
      </c>
      <c r="T127" s="53" t="str">
        <f t="shared" si="42"/>
        <v/>
      </c>
      <c r="U127" s="53" t="str">
        <f t="shared" si="43"/>
        <v/>
      </c>
      <c r="V127" s="53" t="str">
        <f t="shared" si="44"/>
        <v/>
      </c>
      <c r="W127" s="53" t="str">
        <f t="shared" si="45"/>
        <v>00:12:02.1 (141)</v>
      </c>
      <c r="X127" s="53" t="str">
        <f t="shared" si="46"/>
        <v>00:03:32.6 (9)</v>
      </c>
      <c r="Y127" s="53" t="str">
        <f t="shared" si="47"/>
        <v>00:01:55.8 (5)</v>
      </c>
      <c r="Z127" s="53" t="str">
        <f t="shared" si="48"/>
        <v>00:03:46.4 (3)</v>
      </c>
      <c r="AA127" s="53" t="str">
        <f t="shared" si="49"/>
        <v>00:05:09.1 (30)</v>
      </c>
      <c r="AB127" s="53" t="str">
        <f t="shared" si="50"/>
        <v>DNS/DNF ()</v>
      </c>
      <c r="AC127" s="53" t="str">
        <f t="shared" si="51"/>
        <v>DNS/DNF ()</v>
      </c>
      <c r="AD127" s="53" t="str">
        <f t="shared" si="52"/>
        <v>DNS/DNF ()</v>
      </c>
      <c r="AE127" s="53">
        <v>31906528</v>
      </c>
      <c r="AF127" s="53">
        <v>32628639</v>
      </c>
      <c r="AG127" s="53">
        <v>30294429</v>
      </c>
      <c r="AH127" s="53">
        <v>30507025</v>
      </c>
      <c r="AI127" s="53">
        <v>35289372</v>
      </c>
      <c r="AJ127" s="53">
        <v>35405167</v>
      </c>
      <c r="AK127" s="53">
        <v>38122326</v>
      </c>
      <c r="AL127" s="53">
        <v>38348700</v>
      </c>
      <c r="AM127" s="53">
        <v>39837730</v>
      </c>
      <c r="AN127" s="53">
        <v>40146847</v>
      </c>
      <c r="AO127" s="53">
        <v>0</v>
      </c>
      <c r="AP127" s="53">
        <v>0</v>
      </c>
      <c r="AQ127" s="53">
        <v>0</v>
      </c>
      <c r="AR127" s="53">
        <v>0</v>
      </c>
      <c r="AS127" s="53">
        <v>0</v>
      </c>
      <c r="AT127" s="53">
        <v>0</v>
      </c>
      <c r="AU127" s="62">
        <f t="shared" si="53"/>
        <v>8.3577662037037041E-3</v>
      </c>
      <c r="AV127" s="62">
        <f t="shared" si="54"/>
        <v>2.4606018518518518E-3</v>
      </c>
      <c r="AW127" s="62">
        <f t="shared" si="55"/>
        <v>1.3402199074074074E-3</v>
      </c>
      <c r="AX127" s="62">
        <f t="shared" si="56"/>
        <v>2.6200694444444444E-3</v>
      </c>
      <c r="AY127" s="62">
        <f t="shared" si="57"/>
        <v>3.5777430555555554E-3</v>
      </c>
      <c r="AZ127" s="62" t="str">
        <f t="shared" si="58"/>
        <v>DNS/DNF</v>
      </c>
      <c r="BA127" s="62" t="str">
        <f t="shared" si="59"/>
        <v>DNS/DNF</v>
      </c>
      <c r="BB127" s="62" t="str">
        <f t="shared" si="60"/>
        <v>DNS/DNF</v>
      </c>
      <c r="BC127" s="75">
        <f t="shared" si="61"/>
        <v>38</v>
      </c>
      <c r="BD127" s="53">
        <f t="shared" si="62"/>
        <v>221681</v>
      </c>
      <c r="BE127" s="53">
        <f t="shared" si="63"/>
        <v>230621.99999999997</v>
      </c>
      <c r="BF127" s="53">
        <f t="shared" si="64"/>
        <v>128737</v>
      </c>
      <c r="BG127" s="53">
        <f t="shared" si="65"/>
        <v>255968</v>
      </c>
      <c r="BH127" s="53">
        <f t="shared" si="66"/>
        <v>311828</v>
      </c>
      <c r="BI127" s="53" t="str">
        <f t="shared" si="67"/>
        <v/>
      </c>
      <c r="BJ127" s="53" t="str">
        <f t="shared" si="68"/>
        <v/>
      </c>
      <c r="BK127" s="53" t="str">
        <f t="shared" si="69"/>
        <v/>
      </c>
    </row>
    <row r="128" spans="1:63">
      <c r="A128" s="53">
        <v>243</v>
      </c>
      <c r="B128" s="89" t="str">
        <f>IFERROR(VLOOKUP($A128,EntryList!$A$3:$N$645,2,FALSE),"")</f>
        <v>Marc Van Der Meer</v>
      </c>
      <c r="C128" s="74"/>
      <c r="D128" s="53">
        <f t="shared" si="35"/>
        <v>5</v>
      </c>
      <c r="E128" s="62">
        <v>4.7132291666666668E-3</v>
      </c>
      <c r="F128" s="62">
        <v>3.4325810185185188E-3</v>
      </c>
      <c r="G128" s="62">
        <v>1.8983333333333335E-3</v>
      </c>
      <c r="H128" s="62">
        <v>4.0580324074074078E-3</v>
      </c>
      <c r="I128" s="62">
        <v>4.6694328703703698E-3</v>
      </c>
      <c r="J128" s="62"/>
      <c r="K128" s="62"/>
      <c r="L128" s="62"/>
      <c r="M128" s="62">
        <v>1.8771608796296295E-2</v>
      </c>
      <c r="N128" s="62">
        <f t="shared" si="36"/>
        <v>1.8771608796296295E-2</v>
      </c>
      <c r="O128" s="53">
        <f t="shared" si="37"/>
        <v>133</v>
      </c>
      <c r="P128" s="53">
        <f t="shared" si="38"/>
        <v>198</v>
      </c>
      <c r="Q128" s="53">
        <f t="shared" si="39"/>
        <v>173</v>
      </c>
      <c r="R128" s="53">
        <f t="shared" si="40"/>
        <v>127</v>
      </c>
      <c r="S128" s="53">
        <f t="shared" si="41"/>
        <v>205</v>
      </c>
      <c r="T128" s="53" t="str">
        <f t="shared" si="42"/>
        <v/>
      </c>
      <c r="U128" s="53" t="str">
        <f t="shared" si="43"/>
        <v/>
      </c>
      <c r="V128" s="53" t="str">
        <f t="shared" si="44"/>
        <v/>
      </c>
      <c r="W128" s="53" t="str">
        <f t="shared" si="45"/>
        <v>00:06:47.2 (133)</v>
      </c>
      <c r="X128" s="53" t="str">
        <f t="shared" si="46"/>
        <v>00:04:56.6 (198)</v>
      </c>
      <c r="Y128" s="53" t="str">
        <f t="shared" si="47"/>
        <v>00:02:44.0 (173)</v>
      </c>
      <c r="Z128" s="53" t="str">
        <f t="shared" si="48"/>
        <v>00:05:50.6 (127)</v>
      </c>
      <c r="AA128" s="53" t="str">
        <f t="shared" si="49"/>
        <v>00:06:43.4 (205)</v>
      </c>
      <c r="AB128" s="53" t="str">
        <f t="shared" si="50"/>
        <v>DNS/DNF ()</v>
      </c>
      <c r="AC128" s="53" t="str">
        <f t="shared" si="51"/>
        <v>DNS/DNF ()</v>
      </c>
      <c r="AD128" s="53" t="str">
        <f t="shared" si="52"/>
        <v>DNS/DNF ()</v>
      </c>
      <c r="AE128" s="53">
        <v>37449421</v>
      </c>
      <c r="AF128" s="53">
        <v>37856644</v>
      </c>
      <c r="AG128" s="53">
        <v>33120743</v>
      </c>
      <c r="AH128" s="53">
        <v>33417318</v>
      </c>
      <c r="AI128" s="53">
        <v>40850756</v>
      </c>
      <c r="AJ128" s="53">
        <v>41014772</v>
      </c>
      <c r="AK128" s="53">
        <v>45919659</v>
      </c>
      <c r="AL128" s="53">
        <v>46270273</v>
      </c>
      <c r="AM128" s="53">
        <v>49244960</v>
      </c>
      <c r="AN128" s="53">
        <v>49648399</v>
      </c>
      <c r="AO128" s="53">
        <v>0</v>
      </c>
      <c r="AP128" s="53">
        <v>0</v>
      </c>
      <c r="AQ128" s="53">
        <v>0</v>
      </c>
      <c r="AR128" s="53">
        <v>0</v>
      </c>
      <c r="AS128" s="53">
        <v>0</v>
      </c>
      <c r="AT128" s="53">
        <v>0</v>
      </c>
      <c r="AU128" s="62">
        <f t="shared" si="53"/>
        <v>4.7132291666666668E-3</v>
      </c>
      <c r="AV128" s="62">
        <f t="shared" si="54"/>
        <v>3.4325810185185184E-3</v>
      </c>
      <c r="AW128" s="62">
        <f t="shared" si="55"/>
        <v>1.8983333333333333E-3</v>
      </c>
      <c r="AX128" s="62">
        <f t="shared" si="56"/>
        <v>4.0580324074074078E-3</v>
      </c>
      <c r="AY128" s="62">
        <f t="shared" si="57"/>
        <v>4.6694328703703707E-3</v>
      </c>
      <c r="AZ128" s="62" t="str">
        <f t="shared" si="58"/>
        <v>DNS/DNF</v>
      </c>
      <c r="BA128" s="62" t="str">
        <f t="shared" si="59"/>
        <v>DNS/DNF</v>
      </c>
      <c r="BB128" s="62" t="str">
        <f t="shared" si="60"/>
        <v>DNS/DNF</v>
      </c>
      <c r="BC128" s="75">
        <f t="shared" si="61"/>
        <v>167</v>
      </c>
      <c r="BD128" s="53" t="str">
        <f t="shared" si="62"/>
        <v/>
      </c>
      <c r="BE128" s="53">
        <f t="shared" si="63"/>
        <v>279753</v>
      </c>
      <c r="BF128" s="53">
        <f t="shared" si="64"/>
        <v>162617</v>
      </c>
      <c r="BG128" s="53" t="str">
        <f t="shared" si="65"/>
        <v/>
      </c>
      <c r="BH128" s="53">
        <f t="shared" si="66"/>
        <v>374062</v>
      </c>
      <c r="BI128" s="53" t="str">
        <f t="shared" si="67"/>
        <v/>
      </c>
      <c r="BJ128" s="53" t="str">
        <f t="shared" si="68"/>
        <v/>
      </c>
      <c r="BK128" s="53" t="str">
        <f t="shared" si="69"/>
        <v/>
      </c>
    </row>
    <row r="129" spans="1:63">
      <c r="A129" s="53">
        <v>89</v>
      </c>
      <c r="B129" s="89" t="str">
        <f>IFERROR(VLOOKUP($A129,EntryList!$A$3:$N$645,2,FALSE),"")</f>
        <v>Nicholas Thompson</v>
      </c>
      <c r="C129" s="74"/>
      <c r="D129" s="53">
        <f t="shared" si="35"/>
        <v>5</v>
      </c>
      <c r="E129" s="62">
        <v>4.3679513888888891E-3</v>
      </c>
      <c r="F129" s="62">
        <v>3.3945833333333332E-3</v>
      </c>
      <c r="G129" s="62">
        <v>2.1856018518518522E-3</v>
      </c>
      <c r="H129" s="62">
        <v>4.4222569444444448E-3</v>
      </c>
      <c r="I129" s="62">
        <v>4.7301736111111112E-3</v>
      </c>
      <c r="J129" s="62"/>
      <c r="K129" s="62"/>
      <c r="L129" s="62"/>
      <c r="M129" s="62">
        <v>1.9100567129629629E-2</v>
      </c>
      <c r="N129" s="62">
        <f t="shared" si="36"/>
        <v>1.9100567129629629E-2</v>
      </c>
      <c r="O129" s="53">
        <f t="shared" si="37"/>
        <v>129</v>
      </c>
      <c r="P129" s="53">
        <f t="shared" si="38"/>
        <v>193</v>
      </c>
      <c r="Q129" s="53">
        <f t="shared" si="39"/>
        <v>215</v>
      </c>
      <c r="R129" s="53">
        <f t="shared" si="40"/>
        <v>132</v>
      </c>
      <c r="S129" s="53">
        <f t="shared" si="41"/>
        <v>211</v>
      </c>
      <c r="T129" s="53" t="str">
        <f t="shared" si="42"/>
        <v/>
      </c>
      <c r="U129" s="53" t="str">
        <f t="shared" si="43"/>
        <v/>
      </c>
      <c r="V129" s="53" t="str">
        <f t="shared" si="44"/>
        <v/>
      </c>
      <c r="W129" s="53" t="str">
        <f t="shared" si="45"/>
        <v>00:06:17.4 (129)</v>
      </c>
      <c r="X129" s="53" t="str">
        <f t="shared" si="46"/>
        <v>00:04:53.3 (193)</v>
      </c>
      <c r="Y129" s="53" t="str">
        <f t="shared" si="47"/>
        <v>00:03:08.8 (215)</v>
      </c>
      <c r="Z129" s="53" t="str">
        <f t="shared" si="48"/>
        <v>00:06:22.1 (132)</v>
      </c>
      <c r="AA129" s="53" t="str">
        <f t="shared" si="49"/>
        <v>00:06:48.7 (211)</v>
      </c>
      <c r="AB129" s="53" t="str">
        <f t="shared" si="50"/>
        <v>DNS/DNF ()</v>
      </c>
      <c r="AC129" s="53" t="str">
        <f t="shared" si="51"/>
        <v>DNS/DNF ()</v>
      </c>
      <c r="AD129" s="53" t="str">
        <f t="shared" si="52"/>
        <v>DNS/DNF ()</v>
      </c>
      <c r="AE129" s="53">
        <v>32937395</v>
      </c>
      <c r="AF129" s="53">
        <v>33314786</v>
      </c>
      <c r="AG129" s="53">
        <v>37606572</v>
      </c>
      <c r="AH129" s="53">
        <v>37899864</v>
      </c>
      <c r="AI129" s="53">
        <v>41364038</v>
      </c>
      <c r="AJ129" s="53">
        <v>41552874</v>
      </c>
      <c r="AK129" s="53">
        <v>46096360</v>
      </c>
      <c r="AL129" s="53">
        <v>46478443</v>
      </c>
      <c r="AM129" s="53">
        <v>49054232</v>
      </c>
      <c r="AN129" s="53">
        <v>49462919</v>
      </c>
      <c r="AO129" s="53">
        <v>0</v>
      </c>
      <c r="AP129" s="53">
        <v>0</v>
      </c>
      <c r="AQ129" s="53">
        <v>0</v>
      </c>
      <c r="AR129" s="53">
        <v>0</v>
      </c>
      <c r="AS129" s="53">
        <v>0</v>
      </c>
      <c r="AT129" s="53">
        <v>0</v>
      </c>
      <c r="AU129" s="62">
        <f t="shared" si="53"/>
        <v>4.3679513888888891E-3</v>
      </c>
      <c r="AV129" s="62">
        <f t="shared" si="54"/>
        <v>3.3945833333333332E-3</v>
      </c>
      <c r="AW129" s="62">
        <f t="shared" si="55"/>
        <v>2.1856018518518518E-3</v>
      </c>
      <c r="AX129" s="62">
        <f t="shared" si="56"/>
        <v>4.4222569444444448E-3</v>
      </c>
      <c r="AY129" s="62">
        <f t="shared" si="57"/>
        <v>4.7301736111111112E-3</v>
      </c>
      <c r="AZ129" s="62" t="str">
        <f t="shared" si="58"/>
        <v>DNS/DNF</v>
      </c>
      <c r="BA129" s="62" t="str">
        <f t="shared" si="59"/>
        <v>DNS/DNF</v>
      </c>
      <c r="BB129" s="62" t="str">
        <f t="shared" si="60"/>
        <v>DNS/DNF</v>
      </c>
      <c r="BC129" s="75">
        <f t="shared" si="61"/>
        <v>176</v>
      </c>
      <c r="BD129" s="53" t="str">
        <f t="shared" si="62"/>
        <v/>
      </c>
      <c r="BE129" s="53">
        <f t="shared" si="63"/>
        <v>282723</v>
      </c>
      <c r="BF129" s="53">
        <f t="shared" si="64"/>
        <v>165030</v>
      </c>
      <c r="BG129" s="53" t="str">
        <f t="shared" si="65"/>
        <v/>
      </c>
      <c r="BH129" s="53">
        <f t="shared" si="66"/>
        <v>381657</v>
      </c>
      <c r="BI129" s="53" t="str">
        <f t="shared" si="67"/>
        <v/>
      </c>
      <c r="BJ129" s="53" t="str">
        <f t="shared" si="68"/>
        <v/>
      </c>
      <c r="BK129" s="53" t="str">
        <f t="shared" si="69"/>
        <v/>
      </c>
    </row>
    <row r="130" spans="1:63">
      <c r="A130" s="53">
        <v>100</v>
      </c>
      <c r="B130" s="89" t="str">
        <f>IFERROR(VLOOKUP($A130,EntryList!$A$3:$N$645,2,FALSE),"")</f>
        <v>Jan Cilliers</v>
      </c>
      <c r="C130" s="74"/>
      <c r="D130" s="53">
        <f t="shared" si="35"/>
        <v>5</v>
      </c>
      <c r="E130" s="62">
        <v>4.4317129629629628E-3</v>
      </c>
      <c r="F130" s="62">
        <v>3.7626736111111107E-3</v>
      </c>
      <c r="G130" s="62">
        <v>2.0768171296296294E-3</v>
      </c>
      <c r="H130" s="62">
        <v>4.3726620370370369E-3</v>
      </c>
      <c r="I130" s="62">
        <v>5.1378125E-3</v>
      </c>
      <c r="J130" s="62"/>
      <c r="K130" s="62"/>
      <c r="L130" s="62"/>
      <c r="M130" s="62">
        <v>1.978167824074074E-2</v>
      </c>
      <c r="N130" s="62">
        <f t="shared" si="36"/>
        <v>1.9781678240740744E-2</v>
      </c>
      <c r="O130" s="53">
        <f t="shared" si="37"/>
        <v>131</v>
      </c>
      <c r="P130" s="53">
        <f t="shared" si="38"/>
        <v>224</v>
      </c>
      <c r="Q130" s="53">
        <f t="shared" si="39"/>
        <v>206</v>
      </c>
      <c r="R130" s="53">
        <f t="shared" si="40"/>
        <v>131</v>
      </c>
      <c r="S130" s="53">
        <f t="shared" si="41"/>
        <v>226</v>
      </c>
      <c r="T130" s="53" t="str">
        <f t="shared" si="42"/>
        <v/>
      </c>
      <c r="U130" s="53" t="str">
        <f t="shared" si="43"/>
        <v/>
      </c>
      <c r="V130" s="53" t="str">
        <f t="shared" si="44"/>
        <v/>
      </c>
      <c r="W130" s="53" t="str">
        <f t="shared" si="45"/>
        <v>00:06:22.9 (131)</v>
      </c>
      <c r="X130" s="53" t="str">
        <f t="shared" si="46"/>
        <v>00:05:25.1 (224)</v>
      </c>
      <c r="Y130" s="53" t="str">
        <f t="shared" si="47"/>
        <v>00:02:59.4 (206)</v>
      </c>
      <c r="Z130" s="53" t="str">
        <f t="shared" si="48"/>
        <v>00:06:17.8 (131)</v>
      </c>
      <c r="AA130" s="53" t="str">
        <f t="shared" si="49"/>
        <v>00:07:23.9 (226)</v>
      </c>
      <c r="AB130" s="53" t="str">
        <f t="shared" si="50"/>
        <v>DNS/DNF ()</v>
      </c>
      <c r="AC130" s="53" t="str">
        <f t="shared" si="51"/>
        <v>DNS/DNF ()</v>
      </c>
      <c r="AD130" s="53" t="str">
        <f t="shared" si="52"/>
        <v>DNS/DNF ()</v>
      </c>
      <c r="AE130" s="53">
        <v>37197194</v>
      </c>
      <c r="AF130" s="53">
        <v>37580094</v>
      </c>
      <c r="AG130" s="53">
        <v>40748084</v>
      </c>
      <c r="AH130" s="53">
        <v>41073179</v>
      </c>
      <c r="AI130" s="53">
        <v>32581509</v>
      </c>
      <c r="AJ130" s="53">
        <v>32760946</v>
      </c>
      <c r="AK130" s="53">
        <v>45216842</v>
      </c>
      <c r="AL130" s="53">
        <v>45594640</v>
      </c>
      <c r="AM130" s="53">
        <v>48683112</v>
      </c>
      <c r="AN130" s="53">
        <v>49127019</v>
      </c>
      <c r="AO130" s="53">
        <v>0</v>
      </c>
      <c r="AP130" s="53">
        <v>0</v>
      </c>
      <c r="AQ130" s="53">
        <v>0</v>
      </c>
      <c r="AR130" s="53">
        <v>0</v>
      </c>
      <c r="AS130" s="53">
        <v>0</v>
      </c>
      <c r="AT130" s="53">
        <v>0</v>
      </c>
      <c r="AU130" s="62">
        <f t="shared" si="53"/>
        <v>4.4317129629629628E-3</v>
      </c>
      <c r="AV130" s="62">
        <f t="shared" si="54"/>
        <v>3.7626736111111112E-3</v>
      </c>
      <c r="AW130" s="62">
        <f t="shared" si="55"/>
        <v>2.0768171296296298E-3</v>
      </c>
      <c r="AX130" s="62">
        <f t="shared" si="56"/>
        <v>4.3726620370370369E-3</v>
      </c>
      <c r="AY130" s="62">
        <f t="shared" si="57"/>
        <v>5.1378125E-3</v>
      </c>
      <c r="AZ130" s="62" t="str">
        <f t="shared" si="58"/>
        <v>DNS/DNF</v>
      </c>
      <c r="BA130" s="62" t="str">
        <f t="shared" si="59"/>
        <v>DNS/DNF</v>
      </c>
      <c r="BB130" s="62" t="str">
        <f t="shared" si="60"/>
        <v>DNS/DNF</v>
      </c>
      <c r="BC130" s="75">
        <f t="shared" si="61"/>
        <v>184</v>
      </c>
      <c r="BD130" s="53" t="str">
        <f t="shared" si="62"/>
        <v/>
      </c>
      <c r="BE130" s="53">
        <f t="shared" si="63"/>
        <v>285573</v>
      </c>
      <c r="BF130" s="53">
        <f t="shared" si="64"/>
        <v>168945</v>
      </c>
      <c r="BG130" s="53" t="str">
        <f t="shared" si="65"/>
        <v/>
      </c>
      <c r="BH130" s="53">
        <f t="shared" si="66"/>
        <v>388246</v>
      </c>
      <c r="BI130" s="53" t="str">
        <f t="shared" si="67"/>
        <v/>
      </c>
      <c r="BJ130" s="53" t="str">
        <f t="shared" si="68"/>
        <v/>
      </c>
      <c r="BK130" s="53" t="str">
        <f t="shared" si="69"/>
        <v/>
      </c>
    </row>
    <row r="131" spans="1:63">
      <c r="A131" s="53">
        <v>234</v>
      </c>
      <c r="B131" s="89" t="str">
        <f>IFERROR(VLOOKUP($A131,EntryList!$A$3:$N$645,2,FALSE),"")</f>
        <v>Devon Coombe</v>
      </c>
      <c r="C131" s="74"/>
      <c r="D131" s="53">
        <f t="shared" ref="D131:D194" si="70">COUNT($AU131:$BB131)</f>
        <v>5</v>
      </c>
      <c r="E131" s="62">
        <v>8.1058217592592605E-3</v>
      </c>
      <c r="F131" s="62">
        <v>3.3177430555555551E-3</v>
      </c>
      <c r="G131" s="62">
        <v>2.2692361111111112E-3</v>
      </c>
      <c r="H131" s="62">
        <v>4.1786921296296303E-3</v>
      </c>
      <c r="I131" s="62">
        <v>4.4546180555555554E-3</v>
      </c>
      <c r="J131" s="62"/>
      <c r="K131" s="62"/>
      <c r="L131" s="62"/>
      <c r="M131" s="62">
        <v>2.2326111111111113E-2</v>
      </c>
      <c r="N131" s="62">
        <f t="shared" ref="N131:N194" si="71">SUM($AU131:$BB131)</f>
        <v>2.2326111111111109E-2</v>
      </c>
      <c r="O131" s="53">
        <f t="shared" ref="O131:O194" si="72">IFERROR(RANK($AU131,AU$3:AU$500,1),"")</f>
        <v>140</v>
      </c>
      <c r="P131" s="53">
        <f t="shared" ref="P131:P194" si="73">IFERROR(RANK($AV131,AV$3:AV$500,1),"")</f>
        <v>185</v>
      </c>
      <c r="Q131" s="53">
        <f t="shared" ref="Q131:Q194" si="74">IFERROR(RANK($AW131,AW$3:AW$500,1),"")</f>
        <v>223</v>
      </c>
      <c r="R131" s="53">
        <f t="shared" ref="R131:R194" si="75">IFERROR(RANK($AX131,AX$3:AX$500,1),"")</f>
        <v>130</v>
      </c>
      <c r="S131" s="53">
        <f t="shared" ref="S131:S194" si="76">IFERROR(RANK($AY131,AY$3:AY$500,1),"")</f>
        <v>181</v>
      </c>
      <c r="T131" s="53" t="str">
        <f t="shared" ref="T131:T194" si="77">IFERROR(RANK($AZ131,AZ$3:AZ$500,1),"")</f>
        <v/>
      </c>
      <c r="U131" s="53" t="str">
        <f t="shared" ref="U131:U194" si="78">IFERROR(RANK($BA131,BA$3:BA$500,1),"")</f>
        <v/>
      </c>
      <c r="V131" s="53" t="str">
        <f t="shared" ref="V131:V194" si="79">IFERROR(RANK($BB131,BB$3:BB$500,1),"")</f>
        <v/>
      </c>
      <c r="W131" s="53" t="str">
        <f t="shared" ref="W131:W194" si="80">CONCATENATE(TEXT($AU131,"[hh]:mm:ss.0")," ","(",$O131,")")</f>
        <v>00:11:40.3 (140)</v>
      </c>
      <c r="X131" s="53" t="str">
        <f t="shared" ref="X131:X194" si="81">CONCATENATE(TEXT($AV131,"[hh]:mm:ss.0")," ","(",$P131,")")</f>
        <v>00:04:46.7 (185)</v>
      </c>
      <c r="Y131" s="53" t="str">
        <f t="shared" ref="Y131:Y194" si="82">CONCATENATE(TEXT($AW131,"[hh]:mm:ss.0")," ","(",$Q131,")")</f>
        <v>00:03:16.1 (223)</v>
      </c>
      <c r="Z131" s="53" t="str">
        <f t="shared" ref="Z131:Z194" si="83">CONCATENATE(TEXT($AX131,"[hh]:mm:ss.0")," ","(",$R131,")")</f>
        <v>00:06:01.0 (130)</v>
      </c>
      <c r="AA131" s="53" t="str">
        <f t="shared" ref="AA131:AA194" si="84">CONCATENATE(TEXT($AY131,"[hh]:mm:ss.0")," ","(",$S131,")")</f>
        <v>00:06:24.9 (181)</v>
      </c>
      <c r="AB131" s="53" t="str">
        <f t="shared" ref="AB131:AB194" si="85">CONCATENATE(TEXT($AZ131,"[hh]:mm:ss.0")," ","(",$T131,")")</f>
        <v>DNS/DNF ()</v>
      </c>
      <c r="AC131" s="53" t="str">
        <f t="shared" ref="AC131:AC194" si="86">CONCATENATE(TEXT($BA131,"[hh]:mm:ss.0")," ","(",$U131,")")</f>
        <v>DNS/DNF ()</v>
      </c>
      <c r="AD131" s="53" t="str">
        <f t="shared" ref="AD131:AD194" si="87">CONCATENATE(TEXT($BB131,"[hh]:mm:ss.0")," ","(",$V131,")")</f>
        <v>DNS/DNF ()</v>
      </c>
      <c r="AE131" s="53">
        <v>38072055</v>
      </c>
      <c r="AF131" s="53">
        <v>38772398</v>
      </c>
      <c r="AG131" s="53">
        <v>34434530</v>
      </c>
      <c r="AH131" s="53">
        <v>34721183</v>
      </c>
      <c r="AI131" s="53">
        <v>41654628</v>
      </c>
      <c r="AJ131" s="53">
        <v>41850690</v>
      </c>
      <c r="AK131" s="53">
        <v>46492747</v>
      </c>
      <c r="AL131" s="53">
        <v>46853786</v>
      </c>
      <c r="AM131" s="53">
        <v>49080476</v>
      </c>
      <c r="AN131" s="53">
        <v>49465355</v>
      </c>
      <c r="AO131" s="53">
        <v>0</v>
      </c>
      <c r="AP131" s="53">
        <v>0</v>
      </c>
      <c r="AQ131" s="53">
        <v>0</v>
      </c>
      <c r="AR131" s="53">
        <v>0</v>
      </c>
      <c r="AS131" s="53">
        <v>0</v>
      </c>
      <c r="AT131" s="53">
        <v>0</v>
      </c>
      <c r="AU131" s="62">
        <f t="shared" ref="AU131:AU194" si="88">IF((OR($AE131=0,$AF131=0,$AF131-$AE131&lt;0)),"DNS/DNF",($AF131-$AE131)/86400000)</f>
        <v>8.1058217592592588E-3</v>
      </c>
      <c r="AV131" s="62">
        <f t="shared" ref="AV131:AV194" si="89">IF((OR($AG131=0,$AH131=0,$AH131-$AG131&lt;0)),"DNS/DNF",($AH131-$AG131)/86400000)</f>
        <v>3.3177430555555555E-3</v>
      </c>
      <c r="AW131" s="62">
        <f t="shared" ref="AW131:AW194" si="90">IF((OR($AI131=0,$AJ131=0,$AJ131-$AI131&lt;0)),"DNS/DNF",($AJ131-$AI131)/86400000)</f>
        <v>2.2692361111111112E-3</v>
      </c>
      <c r="AX131" s="62">
        <f t="shared" ref="AX131:AX194" si="91">IF((OR($AK131=0,$AL131=0,$AL131-$AK131&lt;0)),"DNS/DNF",($AL131-$AK131)/86400000)</f>
        <v>4.1786921296296294E-3</v>
      </c>
      <c r="AY131" s="62">
        <f t="shared" ref="AY131:AY194" si="92">IF((OR($AM131=0,$AM131=0,$AN131-$AM131&lt;0)),"DNS/DNF",($AN131-$AM131)/86400000)</f>
        <v>4.4546180555555554E-3</v>
      </c>
      <c r="AZ131" s="62" t="str">
        <f t="shared" ref="AZ131:AZ194" si="93">IF((OR($AO131=0,$AP131=0,$AP131-$AO131&lt;0)),"DNS/DNF",($AP131-$AO131)/86400000)</f>
        <v>DNS/DNF</v>
      </c>
      <c r="BA131" s="62" t="str">
        <f t="shared" ref="BA131:BA194" si="94">IF((OR($AQ131=0,$AR131=0,$AR131-$AQ131&lt;0)),"DNS/DNF",($AR131-$AQ131)/86400000)</f>
        <v>DNS/DNF</v>
      </c>
      <c r="BB131" s="62" t="str">
        <f t="shared" ref="BB131:BB194" si="95">IF((OR($AS131=0,$AT131=0,$AT131-$AS131&lt;0)),"DNS/DNF",($AT131-$AS131)/86400000)</f>
        <v>DNS/DNF</v>
      </c>
      <c r="BC131" s="75">
        <f t="shared" ref="BC131:BC194" si="96">IFERROR(ROUND(AVERAGE(O131:V131),0),"")</f>
        <v>172</v>
      </c>
      <c r="BD131" s="53" t="str">
        <f t="shared" ref="BD131:BD194" si="97">IFERROR((INDEX(($AU$3:$AU$500)*86400000,MATCH(BC131,$O$3:$O$500,0))),"")</f>
        <v/>
      </c>
      <c r="BE131" s="53">
        <f t="shared" ref="BE131:BE194" si="98">IFERROR((INDEX(($AV$3:$AV$500)*86400000,MATCH(BC131,$P$3:$P$500,0))),"")</f>
        <v>280650</v>
      </c>
      <c r="BF131" s="53">
        <f t="shared" ref="BF131:BF194" si="99">IFERROR((INDEX(($AW$3:$AW$500)*86400000,MATCH(BC131,$Q$3:$Q$500,0))),"")</f>
        <v>163919</v>
      </c>
      <c r="BG131" s="53" t="str">
        <f t="shared" ref="BG131:BG194" si="100">IFERROR((INDEX(($AX$3:$AX$500)*86400000,MATCH(BC131,$R$3:$R$500,0))),"")</f>
        <v/>
      </c>
      <c r="BH131" s="53">
        <f t="shared" ref="BH131:BH194" si="101">IFERROR((INDEX(($AY$3:$AY$500)*86400000,MATCH(BC131,$S$3:$S$500,0))),"")</f>
        <v>377535</v>
      </c>
      <c r="BI131" s="53" t="str">
        <f t="shared" ref="BI131:BI194" si="102">IFERROR((INDEX(($AZ$3:$AZ$500)*86400000,MATCH(BC131,$T$3:$T$500,0))),"")</f>
        <v/>
      </c>
      <c r="BJ131" s="53" t="str">
        <f t="shared" ref="BJ131:BJ194" si="103">IFERROR((INDEX(($BA$3:$BA$500)*86400000,MATCH(BC131,$U$3:$U$500,0))),"")</f>
        <v/>
      </c>
      <c r="BK131" s="53" t="str">
        <f t="shared" ref="BK131:BK194" si="104">IFERROR((INDEX(($BB$3:$BB$500)*86400000,MATCH(BC131,$V$3:$V$500,0))),"")</f>
        <v/>
      </c>
    </row>
    <row r="132" spans="1:63">
      <c r="A132" s="53">
        <v>262</v>
      </c>
      <c r="B132" s="89" t="str">
        <f>IFERROR(VLOOKUP($A132,EntryList!$A$3:$N$645,2,FALSE),"")</f>
        <v>Julian Peter Oosthuizen</v>
      </c>
      <c r="C132" s="74"/>
      <c r="D132" s="53">
        <f t="shared" si="70"/>
        <v>5</v>
      </c>
      <c r="E132" s="62">
        <v>6.0166666666666667E-3</v>
      </c>
      <c r="F132" s="62">
        <v>3.8634375000000001E-3</v>
      </c>
      <c r="G132" s="62">
        <v>2.4243981481481482E-3</v>
      </c>
      <c r="H132" s="62">
        <v>5.5647106481481494E-3</v>
      </c>
      <c r="I132" s="62">
        <v>5.4521296296296297E-3</v>
      </c>
      <c r="J132" s="62"/>
      <c r="K132" s="62"/>
      <c r="L132" s="62"/>
      <c r="M132" s="62">
        <v>2.3321342592592591E-2</v>
      </c>
      <c r="N132" s="62">
        <f t="shared" si="71"/>
        <v>2.3321342592592591E-2</v>
      </c>
      <c r="O132" s="53">
        <f t="shared" si="72"/>
        <v>139</v>
      </c>
      <c r="P132" s="53">
        <f t="shared" si="73"/>
        <v>234</v>
      </c>
      <c r="Q132" s="53">
        <f t="shared" si="74"/>
        <v>234</v>
      </c>
      <c r="R132" s="53">
        <f t="shared" si="75"/>
        <v>137</v>
      </c>
      <c r="S132" s="53">
        <f t="shared" si="76"/>
        <v>236</v>
      </c>
      <c r="T132" s="53" t="str">
        <f t="shared" si="77"/>
        <v/>
      </c>
      <c r="U132" s="53" t="str">
        <f t="shared" si="78"/>
        <v/>
      </c>
      <c r="V132" s="53" t="str">
        <f t="shared" si="79"/>
        <v/>
      </c>
      <c r="W132" s="53" t="str">
        <f t="shared" si="80"/>
        <v>00:08:39.8 (139)</v>
      </c>
      <c r="X132" s="53" t="str">
        <f t="shared" si="81"/>
        <v>00:05:33.8 (234)</v>
      </c>
      <c r="Y132" s="53" t="str">
        <f t="shared" si="82"/>
        <v>00:03:29.5 (234)</v>
      </c>
      <c r="Z132" s="53" t="str">
        <f t="shared" si="83"/>
        <v>00:08:00.8 (137)</v>
      </c>
      <c r="AA132" s="53" t="str">
        <f t="shared" si="84"/>
        <v>00:07:51.1 (236)</v>
      </c>
      <c r="AB132" s="53" t="str">
        <f t="shared" si="85"/>
        <v>DNS/DNF ()</v>
      </c>
      <c r="AC132" s="53" t="str">
        <f t="shared" si="86"/>
        <v>DNS/DNF ()</v>
      </c>
      <c r="AD132" s="53" t="str">
        <f t="shared" si="87"/>
        <v>DNS/DNF ()</v>
      </c>
      <c r="AE132" s="53">
        <v>36956400</v>
      </c>
      <c r="AF132" s="53">
        <v>37476240</v>
      </c>
      <c r="AG132" s="53">
        <v>32749621</v>
      </c>
      <c r="AH132" s="53">
        <v>33083422</v>
      </c>
      <c r="AI132" s="53">
        <v>40762172</v>
      </c>
      <c r="AJ132" s="53">
        <v>40971640</v>
      </c>
      <c r="AK132" s="53">
        <v>45968984</v>
      </c>
      <c r="AL132" s="53">
        <v>46449775</v>
      </c>
      <c r="AM132" s="53">
        <v>48896060</v>
      </c>
      <c r="AN132" s="53">
        <v>49367124</v>
      </c>
      <c r="AO132" s="53">
        <v>0</v>
      </c>
      <c r="AP132" s="53">
        <v>0</v>
      </c>
      <c r="AQ132" s="53">
        <v>0</v>
      </c>
      <c r="AR132" s="53">
        <v>0</v>
      </c>
      <c r="AS132" s="53">
        <v>0</v>
      </c>
      <c r="AT132" s="53">
        <v>0</v>
      </c>
      <c r="AU132" s="62">
        <f t="shared" si="88"/>
        <v>6.0166666666666667E-3</v>
      </c>
      <c r="AV132" s="62">
        <f t="shared" si="89"/>
        <v>3.8634375000000001E-3</v>
      </c>
      <c r="AW132" s="62">
        <f t="shared" si="90"/>
        <v>2.4243981481481482E-3</v>
      </c>
      <c r="AX132" s="62">
        <f t="shared" si="91"/>
        <v>5.5647106481481485E-3</v>
      </c>
      <c r="AY132" s="62">
        <f t="shared" si="92"/>
        <v>5.4521296296296297E-3</v>
      </c>
      <c r="AZ132" s="62" t="str">
        <f t="shared" si="93"/>
        <v>DNS/DNF</v>
      </c>
      <c r="BA132" s="62" t="str">
        <f t="shared" si="94"/>
        <v>DNS/DNF</v>
      </c>
      <c r="BB132" s="62" t="str">
        <f t="shared" si="95"/>
        <v>DNS/DNF</v>
      </c>
      <c r="BC132" s="75">
        <f t="shared" si="96"/>
        <v>196</v>
      </c>
      <c r="BD132" s="53" t="str">
        <f t="shared" si="97"/>
        <v/>
      </c>
      <c r="BE132" s="53">
        <f t="shared" si="98"/>
        <v>295610</v>
      </c>
      <c r="BF132" s="53">
        <f t="shared" si="99"/>
        <v>174536</v>
      </c>
      <c r="BG132" s="53" t="str">
        <f t="shared" si="100"/>
        <v/>
      </c>
      <c r="BH132" s="53">
        <f t="shared" si="101"/>
        <v>395570.00000000006</v>
      </c>
      <c r="BI132" s="53" t="str">
        <f t="shared" si="102"/>
        <v/>
      </c>
      <c r="BJ132" s="53" t="str">
        <f t="shared" si="103"/>
        <v/>
      </c>
      <c r="BK132" s="53" t="str">
        <f t="shared" si="104"/>
        <v/>
      </c>
    </row>
    <row r="133" spans="1:63">
      <c r="A133" s="53">
        <v>77</v>
      </c>
      <c r="B133" s="89" t="str">
        <f>IFERROR(VLOOKUP($A133,EntryList!$A$3:$N$645,2,FALSE),"")</f>
        <v>Pieter Berner</v>
      </c>
      <c r="C133" s="74"/>
      <c r="D133" s="53">
        <f t="shared" si="70"/>
        <v>4</v>
      </c>
      <c r="E133" s="62">
        <v>3.6697916666666667E-3</v>
      </c>
      <c r="F133" s="62">
        <v>3.167164351851852E-3</v>
      </c>
      <c r="G133" s="62">
        <v>1.7629629629629629E-3</v>
      </c>
      <c r="H133" s="62"/>
      <c r="I133" s="62">
        <v>4.107210648148148E-3</v>
      </c>
      <c r="J133" s="62"/>
      <c r="K133" s="62"/>
      <c r="L133" s="62"/>
      <c r="M133" s="62">
        <v>1.2707129629629631E-2</v>
      </c>
      <c r="N133" s="62">
        <f t="shared" si="71"/>
        <v>1.2707129629629629E-2</v>
      </c>
      <c r="O133" s="53">
        <f t="shared" si="72"/>
        <v>117</v>
      </c>
      <c r="P133" s="53">
        <f t="shared" si="73"/>
        <v>150</v>
      </c>
      <c r="Q133" s="53">
        <f t="shared" si="74"/>
        <v>121</v>
      </c>
      <c r="R133" s="53" t="str">
        <f t="shared" si="75"/>
        <v/>
      </c>
      <c r="S133" s="53">
        <f t="shared" si="76"/>
        <v>127</v>
      </c>
      <c r="T133" s="53" t="str">
        <f t="shared" si="77"/>
        <v/>
      </c>
      <c r="U133" s="53" t="str">
        <f t="shared" si="78"/>
        <v/>
      </c>
      <c r="V133" s="53" t="str">
        <f t="shared" si="79"/>
        <v/>
      </c>
      <c r="W133" s="53" t="str">
        <f t="shared" si="80"/>
        <v>00:05:17.1 (117)</v>
      </c>
      <c r="X133" s="53" t="str">
        <f t="shared" si="81"/>
        <v>00:04:33.6 (150)</v>
      </c>
      <c r="Y133" s="53" t="str">
        <f t="shared" si="82"/>
        <v>00:02:32.3 (121)</v>
      </c>
      <c r="Z133" s="53" t="str">
        <f t="shared" si="83"/>
        <v>DNS/DNF ()</v>
      </c>
      <c r="AA133" s="53" t="str">
        <f t="shared" si="84"/>
        <v>00:05:54.9 (127)</v>
      </c>
      <c r="AB133" s="53" t="str">
        <f t="shared" si="85"/>
        <v>DNS/DNF ()</v>
      </c>
      <c r="AC133" s="53" t="str">
        <f t="shared" si="86"/>
        <v>DNS/DNF ()</v>
      </c>
      <c r="AD133" s="53" t="str">
        <f t="shared" si="87"/>
        <v>DNS/DNF ()</v>
      </c>
      <c r="AE133" s="53">
        <v>36232218</v>
      </c>
      <c r="AF133" s="53">
        <v>36549288</v>
      </c>
      <c r="AG133" s="53">
        <v>32301206</v>
      </c>
      <c r="AH133" s="53">
        <v>32574849</v>
      </c>
      <c r="AI133" s="53">
        <v>39755746</v>
      </c>
      <c r="AJ133" s="53">
        <v>39908066</v>
      </c>
      <c r="AK133" s="53">
        <v>0</v>
      </c>
      <c r="AL133" s="53">
        <v>0</v>
      </c>
      <c r="AM133" s="53">
        <v>43595264</v>
      </c>
      <c r="AN133" s="53">
        <v>43950127</v>
      </c>
      <c r="AO133" s="53">
        <v>0</v>
      </c>
      <c r="AP133" s="53">
        <v>0</v>
      </c>
      <c r="AQ133" s="53">
        <v>0</v>
      </c>
      <c r="AR133" s="53">
        <v>0</v>
      </c>
      <c r="AS133" s="53">
        <v>0</v>
      </c>
      <c r="AT133" s="53">
        <v>0</v>
      </c>
      <c r="AU133" s="62">
        <f t="shared" si="88"/>
        <v>3.6697916666666667E-3</v>
      </c>
      <c r="AV133" s="62">
        <f t="shared" si="89"/>
        <v>3.167164351851852E-3</v>
      </c>
      <c r="AW133" s="62">
        <f t="shared" si="90"/>
        <v>1.7629629629629629E-3</v>
      </c>
      <c r="AX133" s="62" t="str">
        <f t="shared" si="91"/>
        <v>DNS/DNF</v>
      </c>
      <c r="AY133" s="62">
        <f t="shared" si="92"/>
        <v>4.107210648148148E-3</v>
      </c>
      <c r="AZ133" s="62" t="str">
        <f t="shared" si="93"/>
        <v>DNS/DNF</v>
      </c>
      <c r="BA133" s="62" t="str">
        <f t="shared" si="94"/>
        <v>DNS/DNF</v>
      </c>
      <c r="BB133" s="62" t="str">
        <f t="shared" si="95"/>
        <v>DNS/DNF</v>
      </c>
      <c r="BC133" s="75">
        <f t="shared" si="96"/>
        <v>129</v>
      </c>
      <c r="BD133" s="53">
        <f t="shared" si="97"/>
        <v>377391</v>
      </c>
      <c r="BE133" s="53">
        <f t="shared" si="98"/>
        <v>267588</v>
      </c>
      <c r="BF133" s="53">
        <f t="shared" si="99"/>
        <v>154389</v>
      </c>
      <c r="BG133" s="53">
        <f t="shared" si="100"/>
        <v>360043</v>
      </c>
      <c r="BH133" s="53">
        <f t="shared" si="101"/>
        <v>356434</v>
      </c>
      <c r="BI133" s="53" t="str">
        <f t="shared" si="102"/>
        <v/>
      </c>
      <c r="BJ133" s="53" t="str">
        <f t="shared" si="103"/>
        <v/>
      </c>
      <c r="BK133" s="53" t="str">
        <f t="shared" si="104"/>
        <v/>
      </c>
    </row>
    <row r="134" spans="1:63" ht="13.5" customHeight="1">
      <c r="A134" s="53">
        <v>157</v>
      </c>
      <c r="B134" s="89" t="str">
        <f>IFERROR(VLOOKUP($A134,EntryList!$A$3:$N$645,2,FALSE),"")</f>
        <v>Xander De Bruyn</v>
      </c>
      <c r="C134" s="74"/>
      <c r="D134" s="53">
        <f t="shared" si="70"/>
        <v>4</v>
      </c>
      <c r="E134" s="62"/>
      <c r="F134" s="62">
        <v>3.1099421296296292E-3</v>
      </c>
      <c r="G134" s="62">
        <v>1.7831018518518519E-3</v>
      </c>
      <c r="H134" s="62">
        <v>3.8341435185185184E-3</v>
      </c>
      <c r="I134" s="62">
        <v>4.1675115740740743E-3</v>
      </c>
      <c r="J134" s="62"/>
      <c r="K134" s="62"/>
      <c r="L134" s="62"/>
      <c r="M134" s="62">
        <v>1.2894699074074074E-2</v>
      </c>
      <c r="N134" s="62">
        <f t="shared" si="71"/>
        <v>1.2894699074074076E-2</v>
      </c>
      <c r="O134" s="53" t="str">
        <f t="shared" si="72"/>
        <v/>
      </c>
      <c r="P134" s="53">
        <f t="shared" si="73"/>
        <v>132</v>
      </c>
      <c r="Q134" s="53">
        <f t="shared" si="74"/>
        <v>127</v>
      </c>
      <c r="R134" s="53">
        <f t="shared" si="75"/>
        <v>121</v>
      </c>
      <c r="S134" s="53">
        <f t="shared" si="76"/>
        <v>143</v>
      </c>
      <c r="T134" s="53" t="str">
        <f t="shared" si="77"/>
        <v/>
      </c>
      <c r="U134" s="53" t="str">
        <f t="shared" si="78"/>
        <v/>
      </c>
      <c r="V134" s="53" t="str">
        <f t="shared" si="79"/>
        <v/>
      </c>
      <c r="W134" s="53" t="str">
        <f t="shared" si="80"/>
        <v>DNS/DNF ()</v>
      </c>
      <c r="X134" s="53" t="str">
        <f t="shared" si="81"/>
        <v>00:04:28.7 (132)</v>
      </c>
      <c r="Y134" s="53" t="str">
        <f t="shared" si="82"/>
        <v>00:02:34.1 (127)</v>
      </c>
      <c r="Z134" s="53" t="str">
        <f t="shared" si="83"/>
        <v>00:05:31.3 (121)</v>
      </c>
      <c r="AA134" s="53" t="str">
        <f t="shared" si="84"/>
        <v>00:06:00.1 (143)</v>
      </c>
      <c r="AB134" s="53" t="str">
        <f t="shared" si="85"/>
        <v>DNS/DNF ()</v>
      </c>
      <c r="AC134" s="53" t="str">
        <f t="shared" si="86"/>
        <v>DNS/DNF ()</v>
      </c>
      <c r="AD134" s="53" t="str">
        <f t="shared" si="87"/>
        <v>DNS/DNF ()</v>
      </c>
      <c r="AE134" s="53">
        <v>0</v>
      </c>
      <c r="AF134" s="53">
        <v>0</v>
      </c>
      <c r="AG134" s="53">
        <v>40126580</v>
      </c>
      <c r="AH134" s="53">
        <v>40395279</v>
      </c>
      <c r="AI134" s="53">
        <v>32703529</v>
      </c>
      <c r="AJ134" s="53">
        <v>32857589</v>
      </c>
      <c r="AK134" s="53">
        <v>44534191</v>
      </c>
      <c r="AL134" s="53">
        <v>44865461</v>
      </c>
      <c r="AM134" s="53">
        <v>48376968</v>
      </c>
      <c r="AN134" s="53">
        <v>48737041</v>
      </c>
      <c r="AO134" s="53">
        <v>0</v>
      </c>
      <c r="AP134" s="53">
        <v>0</v>
      </c>
      <c r="AQ134" s="53">
        <v>0</v>
      </c>
      <c r="AR134" s="53">
        <v>0</v>
      </c>
      <c r="AS134" s="53">
        <v>0</v>
      </c>
      <c r="AT134" s="53">
        <v>0</v>
      </c>
      <c r="AU134" s="62" t="str">
        <f t="shared" si="88"/>
        <v>DNS/DNF</v>
      </c>
      <c r="AV134" s="62">
        <f t="shared" si="89"/>
        <v>3.1099421296296296E-3</v>
      </c>
      <c r="AW134" s="62">
        <f t="shared" si="90"/>
        <v>1.7831018518518519E-3</v>
      </c>
      <c r="AX134" s="62">
        <f t="shared" si="91"/>
        <v>3.8341435185185184E-3</v>
      </c>
      <c r="AY134" s="62">
        <f t="shared" si="92"/>
        <v>4.1675115740740743E-3</v>
      </c>
      <c r="AZ134" s="62" t="str">
        <f t="shared" si="93"/>
        <v>DNS/DNF</v>
      </c>
      <c r="BA134" s="62" t="str">
        <f t="shared" si="94"/>
        <v>DNS/DNF</v>
      </c>
      <c r="BB134" s="62" t="str">
        <f t="shared" si="95"/>
        <v>DNS/DNF</v>
      </c>
      <c r="BC134" s="75">
        <f t="shared" si="96"/>
        <v>131</v>
      </c>
      <c r="BD134" s="53">
        <f t="shared" si="97"/>
        <v>382900</v>
      </c>
      <c r="BE134" s="53">
        <f t="shared" si="98"/>
        <v>268444</v>
      </c>
      <c r="BF134" s="53" t="str">
        <f t="shared" si="99"/>
        <v/>
      </c>
      <c r="BG134" s="53">
        <f t="shared" si="100"/>
        <v>377798</v>
      </c>
      <c r="BH134" s="53">
        <f t="shared" si="101"/>
        <v>356882</v>
      </c>
      <c r="BI134" s="53" t="str">
        <f t="shared" si="102"/>
        <v/>
      </c>
      <c r="BJ134" s="53" t="str">
        <f t="shared" si="103"/>
        <v/>
      </c>
      <c r="BK134" s="53" t="str">
        <f t="shared" si="104"/>
        <v/>
      </c>
    </row>
    <row r="135" spans="1:63">
      <c r="A135" s="53">
        <v>266</v>
      </c>
      <c r="B135" s="89" t="str">
        <f>IFERROR(VLOOKUP($A135,EntryList!$A$3:$N$645,2,FALSE),"")</f>
        <v>Philip Van Schalkwyk Snr</v>
      </c>
      <c r="C135" s="74"/>
      <c r="D135" s="53">
        <f t="shared" si="70"/>
        <v>4</v>
      </c>
      <c r="E135" s="62"/>
      <c r="F135" s="62">
        <v>3.2351620370370368E-3</v>
      </c>
      <c r="G135" s="62">
        <v>1.9632870370370373E-3</v>
      </c>
      <c r="H135" s="62">
        <v>3.766597222222222E-3</v>
      </c>
      <c r="I135" s="62">
        <v>4.2307175925925923E-3</v>
      </c>
      <c r="J135" s="62"/>
      <c r="K135" s="62"/>
      <c r="L135" s="62"/>
      <c r="M135" s="62">
        <v>1.3195763888888887E-2</v>
      </c>
      <c r="N135" s="62">
        <f t="shared" si="71"/>
        <v>1.3195763888888889E-2</v>
      </c>
      <c r="O135" s="53" t="str">
        <f t="shared" si="72"/>
        <v/>
      </c>
      <c r="P135" s="53">
        <f t="shared" si="73"/>
        <v>166</v>
      </c>
      <c r="Q135" s="53">
        <f t="shared" si="74"/>
        <v>185</v>
      </c>
      <c r="R135" s="53">
        <f t="shared" si="75"/>
        <v>118</v>
      </c>
      <c r="S135" s="53">
        <f t="shared" si="76"/>
        <v>153</v>
      </c>
      <c r="T135" s="53" t="str">
        <f t="shared" si="77"/>
        <v/>
      </c>
      <c r="U135" s="53" t="str">
        <f t="shared" si="78"/>
        <v/>
      </c>
      <c r="V135" s="53" t="str">
        <f t="shared" si="79"/>
        <v/>
      </c>
      <c r="W135" s="53" t="str">
        <f t="shared" si="80"/>
        <v>DNS/DNF ()</v>
      </c>
      <c r="X135" s="53" t="str">
        <f t="shared" si="81"/>
        <v>00:04:39.5 (166)</v>
      </c>
      <c r="Y135" s="53" t="str">
        <f t="shared" si="82"/>
        <v>00:02:49.6 (185)</v>
      </c>
      <c r="Z135" s="53" t="str">
        <f t="shared" si="83"/>
        <v>00:05:25.4 (118)</v>
      </c>
      <c r="AA135" s="53" t="str">
        <f t="shared" si="84"/>
        <v>00:06:05.5 (153)</v>
      </c>
      <c r="AB135" s="53" t="str">
        <f t="shared" si="85"/>
        <v>DNS/DNF ()</v>
      </c>
      <c r="AC135" s="53" t="str">
        <f t="shared" si="86"/>
        <v>DNS/DNF ()</v>
      </c>
      <c r="AD135" s="53" t="str">
        <f t="shared" si="87"/>
        <v>DNS/DNF ()</v>
      </c>
      <c r="AE135" s="53">
        <v>0</v>
      </c>
      <c r="AF135" s="53">
        <v>0</v>
      </c>
      <c r="AG135" s="53">
        <v>30037538</v>
      </c>
      <c r="AH135" s="53">
        <v>30317056</v>
      </c>
      <c r="AI135" s="53">
        <v>35490153</v>
      </c>
      <c r="AJ135" s="53">
        <v>35659781</v>
      </c>
      <c r="AK135" s="53">
        <v>39231721</v>
      </c>
      <c r="AL135" s="53">
        <v>39557155</v>
      </c>
      <c r="AM135" s="53">
        <v>43221316</v>
      </c>
      <c r="AN135" s="53">
        <v>43586850</v>
      </c>
      <c r="AO135" s="53">
        <v>0</v>
      </c>
      <c r="AP135" s="53">
        <v>0</v>
      </c>
      <c r="AQ135" s="53">
        <v>0</v>
      </c>
      <c r="AR135" s="53">
        <v>0</v>
      </c>
      <c r="AS135" s="53">
        <v>0</v>
      </c>
      <c r="AT135" s="53">
        <v>0</v>
      </c>
      <c r="AU135" s="62" t="str">
        <f t="shared" si="88"/>
        <v>DNS/DNF</v>
      </c>
      <c r="AV135" s="62">
        <f t="shared" si="89"/>
        <v>3.2351620370370368E-3</v>
      </c>
      <c r="AW135" s="62">
        <f t="shared" si="90"/>
        <v>1.9632870370370368E-3</v>
      </c>
      <c r="AX135" s="62">
        <f t="shared" si="91"/>
        <v>3.7665972222222224E-3</v>
      </c>
      <c r="AY135" s="62">
        <f t="shared" si="92"/>
        <v>4.2307175925925923E-3</v>
      </c>
      <c r="AZ135" s="62" t="str">
        <f t="shared" si="93"/>
        <v>DNS/DNF</v>
      </c>
      <c r="BA135" s="62" t="str">
        <f t="shared" si="94"/>
        <v>DNS/DNF</v>
      </c>
      <c r="BB135" s="62" t="str">
        <f t="shared" si="95"/>
        <v>DNS/DNF</v>
      </c>
      <c r="BC135" s="75">
        <f t="shared" si="96"/>
        <v>156</v>
      </c>
      <c r="BD135" s="53" t="str">
        <f t="shared" si="97"/>
        <v/>
      </c>
      <c r="BE135" s="53">
        <f t="shared" si="98"/>
        <v>276213</v>
      </c>
      <c r="BF135" s="53">
        <f t="shared" si="99"/>
        <v>160516</v>
      </c>
      <c r="BG135" s="53" t="str">
        <f t="shared" si="100"/>
        <v/>
      </c>
      <c r="BH135" s="53">
        <f t="shared" si="101"/>
        <v>367705.00000000006</v>
      </c>
      <c r="BI135" s="53" t="str">
        <f t="shared" si="102"/>
        <v/>
      </c>
      <c r="BJ135" s="53" t="str">
        <f t="shared" si="103"/>
        <v/>
      </c>
      <c r="BK135" s="53" t="str">
        <f t="shared" si="104"/>
        <v/>
      </c>
    </row>
    <row r="136" spans="1:63">
      <c r="A136" s="53">
        <v>230</v>
      </c>
      <c r="B136" s="89" t="str">
        <f>IFERROR(VLOOKUP($A136,EntryList!$A$3:$N$645,2,FALSE),"")</f>
        <v>Christo Van Eeden</v>
      </c>
      <c r="C136" s="74"/>
      <c r="D136" s="53">
        <f t="shared" si="70"/>
        <v>4</v>
      </c>
      <c r="E136" s="62"/>
      <c r="F136" s="62">
        <v>3.2378819444444443E-3</v>
      </c>
      <c r="G136" s="62">
        <v>1.9076504629629628E-3</v>
      </c>
      <c r="H136" s="62">
        <v>5.1182060185185185E-3</v>
      </c>
      <c r="I136" s="62">
        <v>4.5416319444444445E-3</v>
      </c>
      <c r="J136" s="62"/>
      <c r="K136" s="62"/>
      <c r="L136" s="62"/>
      <c r="M136" s="62">
        <v>1.480537037037037E-2</v>
      </c>
      <c r="N136" s="62">
        <f t="shared" si="71"/>
        <v>1.4805370370370372E-2</v>
      </c>
      <c r="O136" s="53" t="str">
        <f t="shared" si="72"/>
        <v/>
      </c>
      <c r="P136" s="53">
        <f t="shared" si="73"/>
        <v>167</v>
      </c>
      <c r="Q136" s="53">
        <f t="shared" si="74"/>
        <v>174</v>
      </c>
      <c r="R136" s="53">
        <f t="shared" si="75"/>
        <v>134</v>
      </c>
      <c r="S136" s="53">
        <f t="shared" si="76"/>
        <v>190</v>
      </c>
      <c r="T136" s="53" t="str">
        <f t="shared" si="77"/>
        <v/>
      </c>
      <c r="U136" s="53" t="str">
        <f t="shared" si="78"/>
        <v/>
      </c>
      <c r="V136" s="53" t="str">
        <f t="shared" si="79"/>
        <v/>
      </c>
      <c r="W136" s="53" t="str">
        <f t="shared" si="80"/>
        <v>DNS/DNF ()</v>
      </c>
      <c r="X136" s="53" t="str">
        <f t="shared" si="81"/>
        <v>00:04:39.8 (167)</v>
      </c>
      <c r="Y136" s="53" t="str">
        <f t="shared" si="82"/>
        <v>00:02:44.8 (174)</v>
      </c>
      <c r="Z136" s="53" t="str">
        <f t="shared" si="83"/>
        <v>00:07:22.2 (134)</v>
      </c>
      <c r="AA136" s="53" t="str">
        <f t="shared" si="84"/>
        <v>00:06:32.4 (190)</v>
      </c>
      <c r="AB136" s="53" t="str">
        <f t="shared" si="85"/>
        <v>DNS/DNF ()</v>
      </c>
      <c r="AC136" s="53" t="str">
        <f t="shared" si="86"/>
        <v>DNS/DNF ()</v>
      </c>
      <c r="AD136" s="53" t="str">
        <f t="shared" si="87"/>
        <v>DNS/DNF ()</v>
      </c>
      <c r="AE136" s="53">
        <v>0</v>
      </c>
      <c r="AF136" s="53">
        <v>0</v>
      </c>
      <c r="AG136" s="53">
        <v>31710960</v>
      </c>
      <c r="AH136" s="53">
        <v>31990713</v>
      </c>
      <c r="AI136" s="53">
        <v>34358848</v>
      </c>
      <c r="AJ136" s="53">
        <v>34523669</v>
      </c>
      <c r="AK136" s="53">
        <v>38328324</v>
      </c>
      <c r="AL136" s="53">
        <v>38770537</v>
      </c>
      <c r="AM136" s="53">
        <v>41726992</v>
      </c>
      <c r="AN136" s="53">
        <v>42119389</v>
      </c>
      <c r="AO136" s="53">
        <v>0</v>
      </c>
      <c r="AP136" s="53">
        <v>0</v>
      </c>
      <c r="AQ136" s="53">
        <v>0</v>
      </c>
      <c r="AR136" s="53">
        <v>0</v>
      </c>
      <c r="AS136" s="53">
        <v>0</v>
      </c>
      <c r="AT136" s="53">
        <v>0</v>
      </c>
      <c r="AU136" s="62" t="str">
        <f t="shared" si="88"/>
        <v>DNS/DNF</v>
      </c>
      <c r="AV136" s="62">
        <f t="shared" si="89"/>
        <v>3.2378819444444443E-3</v>
      </c>
      <c r="AW136" s="62">
        <f t="shared" si="90"/>
        <v>1.907650462962963E-3</v>
      </c>
      <c r="AX136" s="62">
        <f t="shared" si="91"/>
        <v>5.1182060185185185E-3</v>
      </c>
      <c r="AY136" s="62">
        <f t="shared" si="92"/>
        <v>4.5416319444444445E-3</v>
      </c>
      <c r="AZ136" s="62" t="str">
        <f t="shared" si="93"/>
        <v>DNS/DNF</v>
      </c>
      <c r="BA136" s="62" t="str">
        <f t="shared" si="94"/>
        <v>DNS/DNF</v>
      </c>
      <c r="BB136" s="62" t="str">
        <f t="shared" si="95"/>
        <v>DNS/DNF</v>
      </c>
      <c r="BC136" s="75">
        <f t="shared" si="96"/>
        <v>166</v>
      </c>
      <c r="BD136" s="53" t="str">
        <f t="shared" si="97"/>
        <v/>
      </c>
      <c r="BE136" s="53">
        <f t="shared" si="98"/>
        <v>279518</v>
      </c>
      <c r="BF136" s="53">
        <f t="shared" si="99"/>
        <v>162017</v>
      </c>
      <c r="BG136" s="53" t="str">
        <f t="shared" si="100"/>
        <v/>
      </c>
      <c r="BH136" s="53">
        <f t="shared" si="101"/>
        <v>373489</v>
      </c>
      <c r="BI136" s="53" t="str">
        <f t="shared" si="102"/>
        <v/>
      </c>
      <c r="BJ136" s="53" t="str">
        <f t="shared" si="103"/>
        <v/>
      </c>
      <c r="BK136" s="53" t="str">
        <f t="shared" si="104"/>
        <v/>
      </c>
    </row>
    <row r="137" spans="1:63">
      <c r="A137" s="53">
        <v>132</v>
      </c>
      <c r="B137" s="89" t="str">
        <f>IFERROR(VLOOKUP($A137,EntryList!$A$3:$N$645,2,FALSE),"")</f>
        <v>Warwick Davison</v>
      </c>
      <c r="C137" s="74"/>
      <c r="D137" s="53">
        <f t="shared" si="70"/>
        <v>4</v>
      </c>
      <c r="E137" s="62"/>
      <c r="F137" s="62">
        <v>3.7365509259259257E-3</v>
      </c>
      <c r="G137" s="62">
        <v>2.7022337962962963E-3</v>
      </c>
      <c r="H137" s="62">
        <v>4.66056712962963E-3</v>
      </c>
      <c r="I137" s="62">
        <v>4.9082291666666666E-3</v>
      </c>
      <c r="J137" s="62"/>
      <c r="K137" s="62"/>
      <c r="L137" s="62"/>
      <c r="M137" s="62">
        <v>1.6007581018518516E-2</v>
      </c>
      <c r="N137" s="62">
        <f t="shared" si="71"/>
        <v>1.600758101851852E-2</v>
      </c>
      <c r="O137" s="53" t="str">
        <f t="shared" si="72"/>
        <v/>
      </c>
      <c r="P137" s="53">
        <f t="shared" si="73"/>
        <v>221</v>
      </c>
      <c r="Q137" s="53">
        <f t="shared" si="74"/>
        <v>241</v>
      </c>
      <c r="R137" s="53">
        <f t="shared" si="75"/>
        <v>133</v>
      </c>
      <c r="S137" s="53">
        <f t="shared" si="76"/>
        <v>218</v>
      </c>
      <c r="T137" s="53" t="str">
        <f t="shared" si="77"/>
        <v/>
      </c>
      <c r="U137" s="53" t="str">
        <f t="shared" si="78"/>
        <v/>
      </c>
      <c r="V137" s="53" t="str">
        <f t="shared" si="79"/>
        <v/>
      </c>
      <c r="W137" s="53" t="str">
        <f t="shared" si="80"/>
        <v>DNS/DNF ()</v>
      </c>
      <c r="X137" s="53" t="str">
        <f t="shared" si="81"/>
        <v>00:05:22.8 (221)</v>
      </c>
      <c r="Y137" s="53" t="str">
        <f t="shared" si="82"/>
        <v>00:03:53.5 (241)</v>
      </c>
      <c r="Z137" s="53" t="str">
        <f t="shared" si="83"/>
        <v>00:06:42.7 (133)</v>
      </c>
      <c r="AA137" s="53" t="str">
        <f t="shared" si="84"/>
        <v>00:07:04.1 (218)</v>
      </c>
      <c r="AB137" s="53" t="str">
        <f t="shared" si="85"/>
        <v>DNS/DNF ()</v>
      </c>
      <c r="AC137" s="53" t="str">
        <f t="shared" si="86"/>
        <v>DNS/DNF ()</v>
      </c>
      <c r="AD137" s="53" t="str">
        <f t="shared" si="87"/>
        <v>DNS/DNF ()</v>
      </c>
      <c r="AE137" s="53">
        <v>0</v>
      </c>
      <c r="AF137" s="53">
        <v>0</v>
      </c>
      <c r="AG137" s="53">
        <v>34592498</v>
      </c>
      <c r="AH137" s="53">
        <v>34915336</v>
      </c>
      <c r="AI137" s="53">
        <v>37389628</v>
      </c>
      <c r="AJ137" s="53">
        <v>37623101</v>
      </c>
      <c r="AK137" s="53">
        <v>42474975</v>
      </c>
      <c r="AL137" s="53">
        <v>42877648</v>
      </c>
      <c r="AM137" s="53">
        <v>45915132</v>
      </c>
      <c r="AN137" s="53">
        <v>46339203</v>
      </c>
      <c r="AO137" s="53">
        <v>0</v>
      </c>
      <c r="AP137" s="53">
        <v>0</v>
      </c>
      <c r="AQ137" s="53">
        <v>0</v>
      </c>
      <c r="AR137" s="53">
        <v>0</v>
      </c>
      <c r="AS137" s="53">
        <v>0</v>
      </c>
      <c r="AT137" s="53">
        <v>0</v>
      </c>
      <c r="AU137" s="62" t="str">
        <f t="shared" si="88"/>
        <v>DNS/DNF</v>
      </c>
      <c r="AV137" s="62">
        <f t="shared" si="89"/>
        <v>3.7365509259259257E-3</v>
      </c>
      <c r="AW137" s="62">
        <f t="shared" si="90"/>
        <v>2.7022337962962963E-3</v>
      </c>
      <c r="AX137" s="62">
        <f t="shared" si="91"/>
        <v>4.66056712962963E-3</v>
      </c>
      <c r="AY137" s="62">
        <f t="shared" si="92"/>
        <v>4.9082291666666666E-3</v>
      </c>
      <c r="AZ137" s="62" t="str">
        <f t="shared" si="93"/>
        <v>DNS/DNF</v>
      </c>
      <c r="BA137" s="62" t="str">
        <f t="shared" si="94"/>
        <v>DNS/DNF</v>
      </c>
      <c r="BB137" s="62" t="str">
        <f t="shared" si="95"/>
        <v>DNS/DNF</v>
      </c>
      <c r="BC137" s="75">
        <f t="shared" si="96"/>
        <v>203</v>
      </c>
      <c r="BD137" s="53" t="str">
        <f t="shared" si="97"/>
        <v/>
      </c>
      <c r="BE137" s="53">
        <f t="shared" si="98"/>
        <v>301337</v>
      </c>
      <c r="BF137" s="53">
        <f t="shared" si="99"/>
        <v>177034.99999999997</v>
      </c>
      <c r="BG137" s="53" t="str">
        <f t="shared" si="100"/>
        <v/>
      </c>
      <c r="BH137" s="53">
        <f t="shared" si="101"/>
        <v>401811</v>
      </c>
      <c r="BI137" s="53" t="str">
        <f t="shared" si="102"/>
        <v/>
      </c>
      <c r="BJ137" s="53" t="str">
        <f t="shared" si="103"/>
        <v/>
      </c>
      <c r="BK137" s="53" t="str">
        <f t="shared" si="104"/>
        <v/>
      </c>
    </row>
    <row r="138" spans="1:63">
      <c r="A138" s="53">
        <v>229</v>
      </c>
      <c r="B138" s="89" t="str">
        <f>IFERROR(VLOOKUP($A138,EntryList!$A$3:$N$645,2,FALSE),"")</f>
        <v>Mark Minter</v>
      </c>
      <c r="C138" s="74"/>
      <c r="D138" s="53">
        <f t="shared" si="70"/>
        <v>4</v>
      </c>
      <c r="E138" s="62"/>
      <c r="F138" s="62">
        <v>3.8120486111111111E-3</v>
      </c>
      <c r="G138" s="62">
        <v>2.2633796296296295E-3</v>
      </c>
      <c r="H138" s="62">
        <v>5.3783912037037038E-3</v>
      </c>
      <c r="I138" s="62">
        <v>4.7689120370370368E-3</v>
      </c>
      <c r="J138" s="62"/>
      <c r="K138" s="62"/>
      <c r="L138" s="62"/>
      <c r="M138" s="62">
        <v>1.622273148148148E-2</v>
      </c>
      <c r="N138" s="62">
        <f t="shared" si="71"/>
        <v>1.622273148148148E-2</v>
      </c>
      <c r="O138" s="53" t="str">
        <f t="shared" si="72"/>
        <v/>
      </c>
      <c r="P138" s="53">
        <f t="shared" si="73"/>
        <v>228</v>
      </c>
      <c r="Q138" s="53">
        <f t="shared" si="74"/>
        <v>221</v>
      </c>
      <c r="R138" s="53">
        <f t="shared" si="75"/>
        <v>135</v>
      </c>
      <c r="S138" s="53">
        <f t="shared" si="76"/>
        <v>212</v>
      </c>
      <c r="T138" s="53" t="str">
        <f t="shared" si="77"/>
        <v/>
      </c>
      <c r="U138" s="53" t="str">
        <f t="shared" si="78"/>
        <v/>
      </c>
      <c r="V138" s="53" t="str">
        <f t="shared" si="79"/>
        <v/>
      </c>
      <c r="W138" s="53" t="str">
        <f t="shared" si="80"/>
        <v>DNS/DNF ()</v>
      </c>
      <c r="X138" s="53" t="str">
        <f t="shared" si="81"/>
        <v>00:05:29.4 (228)</v>
      </c>
      <c r="Y138" s="53" t="str">
        <f t="shared" si="82"/>
        <v>00:03:15.6 (221)</v>
      </c>
      <c r="Z138" s="53" t="str">
        <f t="shared" si="83"/>
        <v>00:07:44.7 (135)</v>
      </c>
      <c r="AA138" s="53" t="str">
        <f t="shared" si="84"/>
        <v>00:06:52.0 (212)</v>
      </c>
      <c r="AB138" s="53" t="str">
        <f t="shared" si="85"/>
        <v>DNS/DNF ()</v>
      </c>
      <c r="AC138" s="53" t="str">
        <f t="shared" si="86"/>
        <v>DNS/DNF ()</v>
      </c>
      <c r="AD138" s="53" t="str">
        <f t="shared" si="87"/>
        <v>DNS/DNF ()</v>
      </c>
      <c r="AE138" s="53">
        <v>0</v>
      </c>
      <c r="AF138" s="53">
        <v>0</v>
      </c>
      <c r="AG138" s="53">
        <v>31716334</v>
      </c>
      <c r="AH138" s="53">
        <v>32045695</v>
      </c>
      <c r="AI138" s="53">
        <v>34363771</v>
      </c>
      <c r="AJ138" s="53">
        <v>34559327</v>
      </c>
      <c r="AK138" s="53">
        <v>38335837</v>
      </c>
      <c r="AL138" s="53">
        <v>38800530</v>
      </c>
      <c r="AM138" s="53">
        <v>41730670</v>
      </c>
      <c r="AN138" s="53">
        <v>42142704</v>
      </c>
      <c r="AO138" s="53">
        <v>0</v>
      </c>
      <c r="AP138" s="53">
        <v>0</v>
      </c>
      <c r="AQ138" s="53">
        <v>0</v>
      </c>
      <c r="AR138" s="53">
        <v>0</v>
      </c>
      <c r="AS138" s="53">
        <v>0</v>
      </c>
      <c r="AT138" s="53">
        <v>0</v>
      </c>
      <c r="AU138" s="62" t="str">
        <f t="shared" si="88"/>
        <v>DNS/DNF</v>
      </c>
      <c r="AV138" s="62">
        <f t="shared" si="89"/>
        <v>3.8120486111111111E-3</v>
      </c>
      <c r="AW138" s="62">
        <f t="shared" si="90"/>
        <v>2.2633796296296295E-3</v>
      </c>
      <c r="AX138" s="62">
        <f t="shared" si="91"/>
        <v>5.3783912037037038E-3</v>
      </c>
      <c r="AY138" s="62">
        <f t="shared" si="92"/>
        <v>4.7689120370370368E-3</v>
      </c>
      <c r="AZ138" s="62" t="str">
        <f t="shared" si="93"/>
        <v>DNS/DNF</v>
      </c>
      <c r="BA138" s="62" t="str">
        <f t="shared" si="94"/>
        <v>DNS/DNF</v>
      </c>
      <c r="BB138" s="62" t="str">
        <f t="shared" si="95"/>
        <v>DNS/DNF</v>
      </c>
      <c r="BC138" s="75">
        <f t="shared" si="96"/>
        <v>199</v>
      </c>
      <c r="BD138" s="53" t="str">
        <f t="shared" si="97"/>
        <v/>
      </c>
      <c r="BE138" s="53">
        <f t="shared" si="98"/>
        <v>297226</v>
      </c>
      <c r="BF138" s="53">
        <f t="shared" si="99"/>
        <v>175564.99999999997</v>
      </c>
      <c r="BG138" s="53" t="str">
        <f t="shared" si="100"/>
        <v/>
      </c>
      <c r="BH138" s="53">
        <f t="shared" si="101"/>
        <v>397957</v>
      </c>
      <c r="BI138" s="53" t="str">
        <f t="shared" si="102"/>
        <v/>
      </c>
      <c r="BJ138" s="53" t="str">
        <f t="shared" si="103"/>
        <v/>
      </c>
      <c r="BK138" s="53" t="str">
        <f t="shared" si="104"/>
        <v/>
      </c>
    </row>
    <row r="139" spans="1:63">
      <c r="A139" s="53">
        <v>244</v>
      </c>
      <c r="B139" s="89" t="str">
        <f>IFERROR(VLOOKUP($A139,EntryList!$A$3:$N$645,2,FALSE),"")</f>
        <v>Devon Van Straten</v>
      </c>
      <c r="C139" s="74"/>
      <c r="D139" s="53">
        <f t="shared" si="70"/>
        <v>4</v>
      </c>
      <c r="E139" s="62"/>
      <c r="F139" s="62">
        <v>5.1179282407407415E-3</v>
      </c>
      <c r="G139" s="62">
        <v>3.1526620370370372E-3</v>
      </c>
      <c r="H139" s="62">
        <v>7.9979976851851844E-3</v>
      </c>
      <c r="I139" s="62">
        <v>6.302291666666667E-3</v>
      </c>
      <c r="J139" s="62"/>
      <c r="K139" s="62"/>
      <c r="L139" s="62"/>
      <c r="M139" s="62">
        <v>2.2570879629629628E-2</v>
      </c>
      <c r="N139" s="62">
        <f t="shared" si="71"/>
        <v>2.2570879629629628E-2</v>
      </c>
      <c r="O139" s="53" t="str">
        <f t="shared" si="72"/>
        <v/>
      </c>
      <c r="P139" s="53">
        <f t="shared" si="73"/>
        <v>252</v>
      </c>
      <c r="Q139" s="53">
        <f t="shared" si="74"/>
        <v>245</v>
      </c>
      <c r="R139" s="53">
        <f t="shared" si="75"/>
        <v>138</v>
      </c>
      <c r="S139" s="53">
        <f t="shared" si="76"/>
        <v>240</v>
      </c>
      <c r="T139" s="53" t="str">
        <f t="shared" si="77"/>
        <v/>
      </c>
      <c r="U139" s="53" t="str">
        <f t="shared" si="78"/>
        <v/>
      </c>
      <c r="V139" s="53" t="str">
        <f t="shared" si="79"/>
        <v/>
      </c>
      <c r="W139" s="53" t="str">
        <f t="shared" si="80"/>
        <v>DNS/DNF ()</v>
      </c>
      <c r="X139" s="53" t="str">
        <f t="shared" si="81"/>
        <v>00:07:22.2 (252)</v>
      </c>
      <c r="Y139" s="53" t="str">
        <f t="shared" si="82"/>
        <v>00:04:32.4 (245)</v>
      </c>
      <c r="Z139" s="53" t="str">
        <f t="shared" si="83"/>
        <v>00:11:31.0 (138)</v>
      </c>
      <c r="AA139" s="53" t="str">
        <f t="shared" si="84"/>
        <v>00:09:04.5 (240)</v>
      </c>
      <c r="AB139" s="53" t="str">
        <f t="shared" si="85"/>
        <v>DNS/DNF ()</v>
      </c>
      <c r="AC139" s="53" t="str">
        <f t="shared" si="86"/>
        <v>DNS/DNF ()</v>
      </c>
      <c r="AD139" s="53" t="str">
        <f t="shared" si="87"/>
        <v>DNS/DNF ()</v>
      </c>
      <c r="AE139" s="53">
        <v>0</v>
      </c>
      <c r="AF139" s="53">
        <v>0</v>
      </c>
      <c r="AG139" s="53">
        <v>33132710</v>
      </c>
      <c r="AH139" s="53">
        <v>33574899</v>
      </c>
      <c r="AI139" s="53">
        <v>40864664</v>
      </c>
      <c r="AJ139" s="53">
        <v>41137054</v>
      </c>
      <c r="AK139" s="53">
        <v>46135288</v>
      </c>
      <c r="AL139" s="53">
        <v>46826315</v>
      </c>
      <c r="AM139" s="53">
        <v>49280398</v>
      </c>
      <c r="AN139" s="53">
        <v>49824916</v>
      </c>
      <c r="AO139" s="53">
        <v>0</v>
      </c>
      <c r="AP139" s="53">
        <v>0</v>
      </c>
      <c r="AQ139" s="53">
        <v>0</v>
      </c>
      <c r="AR139" s="53">
        <v>0</v>
      </c>
      <c r="AS139" s="53">
        <v>0</v>
      </c>
      <c r="AT139" s="53">
        <v>0</v>
      </c>
      <c r="AU139" s="62" t="str">
        <f t="shared" si="88"/>
        <v>DNS/DNF</v>
      </c>
      <c r="AV139" s="62">
        <f t="shared" si="89"/>
        <v>5.1179282407407406E-3</v>
      </c>
      <c r="AW139" s="62">
        <f t="shared" si="90"/>
        <v>3.1526620370370372E-3</v>
      </c>
      <c r="AX139" s="62">
        <f t="shared" si="91"/>
        <v>7.9979976851851844E-3</v>
      </c>
      <c r="AY139" s="62">
        <f t="shared" si="92"/>
        <v>6.302291666666667E-3</v>
      </c>
      <c r="AZ139" s="62" t="str">
        <f t="shared" si="93"/>
        <v>DNS/DNF</v>
      </c>
      <c r="BA139" s="62" t="str">
        <f t="shared" si="94"/>
        <v>DNS/DNF</v>
      </c>
      <c r="BB139" s="62" t="str">
        <f t="shared" si="95"/>
        <v>DNS/DNF</v>
      </c>
      <c r="BC139" s="75">
        <f t="shared" si="96"/>
        <v>219</v>
      </c>
      <c r="BD139" s="53" t="str">
        <f t="shared" si="97"/>
        <v/>
      </c>
      <c r="BE139" s="53">
        <f t="shared" si="98"/>
        <v>320260</v>
      </c>
      <c r="BF139" s="53">
        <f t="shared" si="99"/>
        <v>193023</v>
      </c>
      <c r="BG139" s="53" t="str">
        <f t="shared" si="100"/>
        <v/>
      </c>
      <c r="BH139" s="53">
        <f t="shared" si="101"/>
        <v>426741</v>
      </c>
      <c r="BI139" s="53" t="str">
        <f t="shared" si="102"/>
        <v/>
      </c>
      <c r="BJ139" s="53" t="str">
        <f t="shared" si="103"/>
        <v/>
      </c>
      <c r="BK139" s="53" t="str">
        <f t="shared" si="104"/>
        <v/>
      </c>
    </row>
    <row r="140" spans="1:63">
      <c r="A140" s="53">
        <v>74</v>
      </c>
      <c r="B140" s="89" t="str">
        <f>IFERROR(VLOOKUP($A140,EntryList!$A$3:$N$645,2,FALSE),"")</f>
        <v>Franco Pretorius</v>
      </c>
      <c r="C140" s="74"/>
      <c r="D140" s="53">
        <f t="shared" si="70"/>
        <v>4</v>
      </c>
      <c r="E140" s="62">
        <v>2.5998148148148148E-3</v>
      </c>
      <c r="F140" s="62">
        <v>2.718587962962963E-3</v>
      </c>
      <c r="G140" s="62">
        <v>1.4216898148148149E-3</v>
      </c>
      <c r="H140" s="62">
        <v>1.9391331018518521E-2</v>
      </c>
      <c r="I140" s="62"/>
      <c r="J140" s="62"/>
      <c r="K140" s="62"/>
      <c r="L140" s="62"/>
      <c r="M140" s="62">
        <v>2.613142361111111E-2</v>
      </c>
      <c r="N140" s="62">
        <f t="shared" si="71"/>
        <v>2.613142361111111E-2</v>
      </c>
      <c r="O140" s="53">
        <f t="shared" si="72"/>
        <v>41</v>
      </c>
      <c r="P140" s="53">
        <f t="shared" si="73"/>
        <v>50</v>
      </c>
      <c r="Q140" s="53">
        <f t="shared" si="74"/>
        <v>18</v>
      </c>
      <c r="R140" s="53">
        <f t="shared" si="75"/>
        <v>139</v>
      </c>
      <c r="S140" s="53" t="str">
        <f t="shared" si="76"/>
        <v/>
      </c>
      <c r="T140" s="53" t="str">
        <f t="shared" si="77"/>
        <v/>
      </c>
      <c r="U140" s="53" t="str">
        <f t="shared" si="78"/>
        <v/>
      </c>
      <c r="V140" s="53" t="str">
        <f t="shared" si="79"/>
        <v/>
      </c>
      <c r="W140" s="53" t="str">
        <f t="shared" si="80"/>
        <v>00:03:44.6 (41)</v>
      </c>
      <c r="X140" s="53" t="str">
        <f t="shared" si="81"/>
        <v>00:03:54.9 (50)</v>
      </c>
      <c r="Y140" s="53" t="str">
        <f t="shared" si="82"/>
        <v>00:02:02.8 (18)</v>
      </c>
      <c r="Z140" s="53" t="str">
        <f t="shared" si="83"/>
        <v>00:27:55.4 (139)</v>
      </c>
      <c r="AA140" s="53" t="str">
        <f t="shared" si="84"/>
        <v>DNS/DNF ()</v>
      </c>
      <c r="AB140" s="53" t="str">
        <f t="shared" si="85"/>
        <v>DNS/DNF ()</v>
      </c>
      <c r="AC140" s="53" t="str">
        <f t="shared" si="86"/>
        <v>DNS/DNF ()</v>
      </c>
      <c r="AD140" s="53" t="str">
        <f t="shared" si="87"/>
        <v>DNS/DNF ()</v>
      </c>
      <c r="AE140" s="53">
        <v>33335728</v>
      </c>
      <c r="AF140" s="53">
        <v>33560352</v>
      </c>
      <c r="AG140" s="53">
        <v>36950034</v>
      </c>
      <c r="AH140" s="53">
        <v>37184920</v>
      </c>
      <c r="AI140" s="53">
        <v>30927340</v>
      </c>
      <c r="AJ140" s="53">
        <v>31050174</v>
      </c>
      <c r="AK140" s="53">
        <v>40695797</v>
      </c>
      <c r="AL140" s="53">
        <v>42371208</v>
      </c>
      <c r="AM140" s="53">
        <v>0</v>
      </c>
      <c r="AN140" s="53">
        <v>0</v>
      </c>
      <c r="AO140" s="53">
        <v>0</v>
      </c>
      <c r="AP140" s="53">
        <v>0</v>
      </c>
      <c r="AQ140" s="53">
        <v>0</v>
      </c>
      <c r="AR140" s="53">
        <v>0</v>
      </c>
      <c r="AS140" s="53">
        <v>0</v>
      </c>
      <c r="AT140" s="53">
        <v>0</v>
      </c>
      <c r="AU140" s="62">
        <f t="shared" si="88"/>
        <v>2.5998148148148148E-3</v>
      </c>
      <c r="AV140" s="62">
        <f t="shared" si="89"/>
        <v>2.718587962962963E-3</v>
      </c>
      <c r="AW140" s="62">
        <f t="shared" si="90"/>
        <v>1.4216898148148149E-3</v>
      </c>
      <c r="AX140" s="62">
        <f t="shared" si="91"/>
        <v>1.9391331018518518E-2</v>
      </c>
      <c r="AY140" s="62" t="str">
        <f t="shared" si="92"/>
        <v>DNS/DNF</v>
      </c>
      <c r="AZ140" s="62" t="str">
        <f t="shared" si="93"/>
        <v>DNS/DNF</v>
      </c>
      <c r="BA140" s="62" t="str">
        <f t="shared" si="94"/>
        <v>DNS/DNF</v>
      </c>
      <c r="BB140" s="62" t="str">
        <f t="shared" si="95"/>
        <v>DNS/DNF</v>
      </c>
      <c r="BC140" s="75">
        <f t="shared" si="96"/>
        <v>62</v>
      </c>
      <c r="BD140" s="53">
        <f t="shared" si="97"/>
        <v>243746</v>
      </c>
      <c r="BE140" s="53">
        <f t="shared" si="98"/>
        <v>241360</v>
      </c>
      <c r="BF140" s="53">
        <f t="shared" si="99"/>
        <v>135623</v>
      </c>
      <c r="BG140" s="53">
        <f t="shared" si="100"/>
        <v>270806</v>
      </c>
      <c r="BH140" s="53">
        <f t="shared" si="101"/>
        <v>327088</v>
      </c>
      <c r="BI140" s="53" t="str">
        <f t="shared" si="102"/>
        <v/>
      </c>
      <c r="BJ140" s="53" t="str">
        <f t="shared" si="103"/>
        <v/>
      </c>
      <c r="BK140" s="53" t="str">
        <f t="shared" si="104"/>
        <v/>
      </c>
    </row>
    <row r="141" spans="1:63">
      <c r="A141" s="53">
        <v>220</v>
      </c>
      <c r="B141" s="89" t="str">
        <f>IFERROR(VLOOKUP($A141,EntryList!$A$3:$N$645,2,FALSE),"")</f>
        <v>Mackinley Daly</v>
      </c>
      <c r="C141" s="74"/>
      <c r="D141" s="53">
        <f t="shared" si="70"/>
        <v>3</v>
      </c>
      <c r="E141" s="62">
        <v>2.325416666666667E-3</v>
      </c>
      <c r="F141" s="62">
        <v>2.6813425925925924E-3</v>
      </c>
      <c r="G141" s="62">
        <v>1.4272916666666668E-3</v>
      </c>
      <c r="H141" s="62"/>
      <c r="I141" s="62"/>
      <c r="J141" s="62"/>
      <c r="K141" s="62"/>
      <c r="L141" s="62"/>
      <c r="M141" s="62">
        <v>6.4340509259259264E-3</v>
      </c>
      <c r="N141" s="62">
        <f t="shared" si="71"/>
        <v>6.4340509259259264E-3</v>
      </c>
      <c r="O141" s="53">
        <f t="shared" si="72"/>
        <v>16</v>
      </c>
      <c r="P141" s="53">
        <f t="shared" si="73"/>
        <v>39</v>
      </c>
      <c r="Q141" s="53">
        <f t="shared" si="74"/>
        <v>21</v>
      </c>
      <c r="R141" s="53" t="str">
        <f t="shared" si="75"/>
        <v/>
      </c>
      <c r="S141" s="53" t="str">
        <f t="shared" si="76"/>
        <v/>
      </c>
      <c r="T141" s="53" t="str">
        <f t="shared" si="77"/>
        <v/>
      </c>
      <c r="U141" s="53" t="str">
        <f t="shared" si="78"/>
        <v/>
      </c>
      <c r="V141" s="53" t="str">
        <f t="shared" si="79"/>
        <v/>
      </c>
      <c r="W141" s="53" t="str">
        <f t="shared" si="80"/>
        <v>00:03:20.9 (16)</v>
      </c>
      <c r="X141" s="53" t="str">
        <f t="shared" si="81"/>
        <v>00:03:51.7 (39)</v>
      </c>
      <c r="Y141" s="53" t="str">
        <f t="shared" si="82"/>
        <v>00:02:03.3 (21)</v>
      </c>
      <c r="Z141" s="53" t="str">
        <f t="shared" si="83"/>
        <v>DNS/DNF ()</v>
      </c>
      <c r="AA141" s="53" t="str">
        <f t="shared" si="84"/>
        <v>DNS/DNF ()</v>
      </c>
      <c r="AB141" s="53" t="str">
        <f t="shared" si="85"/>
        <v>DNS/DNF ()</v>
      </c>
      <c r="AC141" s="53" t="str">
        <f t="shared" si="86"/>
        <v>DNS/DNF ()</v>
      </c>
      <c r="AD141" s="53" t="str">
        <f t="shared" si="87"/>
        <v>DNS/DNF ()</v>
      </c>
      <c r="AE141" s="53">
        <v>31250897</v>
      </c>
      <c r="AF141" s="53">
        <v>31451813</v>
      </c>
      <c r="AG141" s="53">
        <v>36940001</v>
      </c>
      <c r="AH141" s="53">
        <v>37171669</v>
      </c>
      <c r="AI141" s="53">
        <v>40061610</v>
      </c>
      <c r="AJ141" s="53">
        <v>40184928</v>
      </c>
      <c r="AK141" s="53">
        <v>0</v>
      </c>
      <c r="AL141" s="53">
        <v>0</v>
      </c>
      <c r="AM141" s="53">
        <v>0</v>
      </c>
      <c r="AN141" s="53">
        <v>0</v>
      </c>
      <c r="AO141" s="53">
        <v>0</v>
      </c>
      <c r="AP141" s="53">
        <v>0</v>
      </c>
      <c r="AQ141" s="53">
        <v>0</v>
      </c>
      <c r="AR141" s="53">
        <v>0</v>
      </c>
      <c r="AS141" s="53">
        <v>0</v>
      </c>
      <c r="AT141" s="53">
        <v>0</v>
      </c>
      <c r="AU141" s="62">
        <f t="shared" si="88"/>
        <v>2.3254166666666666E-3</v>
      </c>
      <c r="AV141" s="62">
        <f t="shared" si="89"/>
        <v>2.6813425925925928E-3</v>
      </c>
      <c r="AW141" s="62">
        <f t="shared" si="90"/>
        <v>1.4272916666666668E-3</v>
      </c>
      <c r="AX141" s="62" t="str">
        <f t="shared" si="91"/>
        <v>DNS/DNF</v>
      </c>
      <c r="AY141" s="62" t="str">
        <f t="shared" si="92"/>
        <v>DNS/DNF</v>
      </c>
      <c r="AZ141" s="62" t="str">
        <f t="shared" si="93"/>
        <v>DNS/DNF</v>
      </c>
      <c r="BA141" s="62" t="str">
        <f t="shared" si="94"/>
        <v>DNS/DNF</v>
      </c>
      <c r="BB141" s="62" t="str">
        <f t="shared" si="95"/>
        <v>DNS/DNF</v>
      </c>
      <c r="BC141" s="75">
        <f t="shared" si="96"/>
        <v>25</v>
      </c>
      <c r="BD141" s="53">
        <f t="shared" si="97"/>
        <v>212902.00000000003</v>
      </c>
      <c r="BE141" s="53">
        <f t="shared" si="98"/>
        <v>222882.99999999997</v>
      </c>
      <c r="BF141" s="53">
        <f t="shared" si="99"/>
        <v>125086</v>
      </c>
      <c r="BG141" s="53">
        <f t="shared" si="100"/>
        <v>246973.99999999997</v>
      </c>
      <c r="BH141" s="53">
        <f t="shared" si="101"/>
        <v>306577</v>
      </c>
      <c r="BI141" s="53" t="str">
        <f t="shared" si="102"/>
        <v/>
      </c>
      <c r="BJ141" s="53" t="str">
        <f t="shared" si="103"/>
        <v/>
      </c>
      <c r="BK141" s="53" t="str">
        <f t="shared" si="104"/>
        <v/>
      </c>
    </row>
    <row r="142" spans="1:63">
      <c r="A142" s="53">
        <v>238</v>
      </c>
      <c r="B142" s="89" t="str">
        <f>IFERROR(VLOOKUP($A142,EntryList!$A$3:$N$645,2,FALSE),"")</f>
        <v>Louis Van Der Walt</v>
      </c>
      <c r="C142" s="74"/>
      <c r="D142" s="53">
        <f t="shared" si="70"/>
        <v>3</v>
      </c>
      <c r="E142" s="62"/>
      <c r="F142" s="62">
        <v>2.6844560185185183E-3</v>
      </c>
      <c r="G142" s="62">
        <v>1.462476851851852E-3</v>
      </c>
      <c r="H142" s="62"/>
      <c r="I142" s="62">
        <v>3.6091203703703702E-3</v>
      </c>
      <c r="J142" s="62"/>
      <c r="K142" s="62"/>
      <c r="L142" s="62"/>
      <c r="M142" s="62">
        <v>7.7560532407407413E-3</v>
      </c>
      <c r="N142" s="62">
        <f t="shared" si="71"/>
        <v>7.7560532407407404E-3</v>
      </c>
      <c r="O142" s="53" t="str">
        <f t="shared" si="72"/>
        <v/>
      </c>
      <c r="P142" s="53">
        <f t="shared" si="73"/>
        <v>41</v>
      </c>
      <c r="Q142" s="53">
        <f t="shared" si="74"/>
        <v>31</v>
      </c>
      <c r="R142" s="53" t="str">
        <f t="shared" si="75"/>
        <v/>
      </c>
      <c r="S142" s="53">
        <f t="shared" si="76"/>
        <v>38</v>
      </c>
      <c r="T142" s="53" t="str">
        <f t="shared" si="77"/>
        <v/>
      </c>
      <c r="U142" s="53" t="str">
        <f t="shared" si="78"/>
        <v/>
      </c>
      <c r="V142" s="53" t="str">
        <f t="shared" si="79"/>
        <v/>
      </c>
      <c r="W142" s="53" t="str">
        <f t="shared" si="80"/>
        <v>DNS/DNF ()</v>
      </c>
      <c r="X142" s="53" t="str">
        <f t="shared" si="81"/>
        <v>00:03:51.9 (41)</v>
      </c>
      <c r="Y142" s="53" t="str">
        <f t="shared" si="82"/>
        <v>00:02:06.4 (31)</v>
      </c>
      <c r="Z142" s="53" t="str">
        <f t="shared" si="83"/>
        <v>DNS/DNF ()</v>
      </c>
      <c r="AA142" s="53" t="str">
        <f t="shared" si="84"/>
        <v>00:05:11.8 (38)</v>
      </c>
      <c r="AB142" s="53" t="str">
        <f t="shared" si="85"/>
        <v>DNS/DNF ()</v>
      </c>
      <c r="AC142" s="53" t="str">
        <f t="shared" si="86"/>
        <v>DNS/DNF ()</v>
      </c>
      <c r="AD142" s="53" t="str">
        <f t="shared" si="87"/>
        <v>DNS/DNF ()</v>
      </c>
      <c r="AE142" s="53">
        <v>0</v>
      </c>
      <c r="AF142" s="53">
        <v>0</v>
      </c>
      <c r="AG142" s="53">
        <v>32943008</v>
      </c>
      <c r="AH142" s="53">
        <v>33174945</v>
      </c>
      <c r="AI142" s="53">
        <v>35329370</v>
      </c>
      <c r="AJ142" s="53">
        <v>35455728</v>
      </c>
      <c r="AK142" s="53">
        <v>0</v>
      </c>
      <c r="AL142" s="53">
        <v>0</v>
      </c>
      <c r="AM142" s="53">
        <v>38301079</v>
      </c>
      <c r="AN142" s="53">
        <v>38612907</v>
      </c>
      <c r="AO142" s="53">
        <v>0</v>
      </c>
      <c r="AP142" s="53">
        <v>0</v>
      </c>
      <c r="AQ142" s="53">
        <v>0</v>
      </c>
      <c r="AR142" s="53">
        <v>0</v>
      </c>
      <c r="AS142" s="53">
        <v>0</v>
      </c>
      <c r="AT142" s="53">
        <v>0</v>
      </c>
      <c r="AU142" s="62" t="str">
        <f t="shared" si="88"/>
        <v>DNS/DNF</v>
      </c>
      <c r="AV142" s="62">
        <f t="shared" si="89"/>
        <v>2.6844560185185183E-3</v>
      </c>
      <c r="AW142" s="62">
        <f t="shared" si="90"/>
        <v>1.462476851851852E-3</v>
      </c>
      <c r="AX142" s="62" t="str">
        <f t="shared" si="91"/>
        <v>DNS/DNF</v>
      </c>
      <c r="AY142" s="62">
        <f t="shared" si="92"/>
        <v>3.6091203703703702E-3</v>
      </c>
      <c r="AZ142" s="62" t="str">
        <f t="shared" si="93"/>
        <v>DNS/DNF</v>
      </c>
      <c r="BA142" s="62" t="str">
        <f t="shared" si="94"/>
        <v>DNS/DNF</v>
      </c>
      <c r="BB142" s="62" t="str">
        <f t="shared" si="95"/>
        <v>DNS/DNF</v>
      </c>
      <c r="BC142" s="75">
        <f t="shared" si="96"/>
        <v>37</v>
      </c>
      <c r="BD142" s="53">
        <f t="shared" si="97"/>
        <v>220374</v>
      </c>
      <c r="BE142" s="53">
        <f t="shared" si="98"/>
        <v>230424</v>
      </c>
      <c r="BF142" s="53">
        <f t="shared" si="99"/>
        <v>127998</v>
      </c>
      <c r="BG142" s="53">
        <f t="shared" si="100"/>
        <v>255161</v>
      </c>
      <c r="BH142" s="53">
        <f t="shared" si="101"/>
        <v>311759</v>
      </c>
      <c r="BI142" s="53" t="str">
        <f t="shared" si="102"/>
        <v/>
      </c>
      <c r="BJ142" s="53" t="str">
        <f t="shared" si="103"/>
        <v/>
      </c>
      <c r="BK142" s="53" t="str">
        <f t="shared" si="104"/>
        <v/>
      </c>
    </row>
    <row r="143" spans="1:63">
      <c r="A143" s="53">
        <v>134</v>
      </c>
      <c r="B143" s="89" t="str">
        <f>IFERROR(VLOOKUP($A143,EntryList!$A$3:$N$645,2,FALSE),"")</f>
        <v>Christiaan De Villiers</v>
      </c>
      <c r="C143" s="74"/>
      <c r="D143" s="53">
        <f t="shared" si="70"/>
        <v>3</v>
      </c>
      <c r="E143" s="62"/>
      <c r="F143" s="62">
        <v>2.7204166666666666E-3</v>
      </c>
      <c r="G143" s="62">
        <v>1.4608564814814814E-3</v>
      </c>
      <c r="H143" s="62"/>
      <c r="I143" s="62">
        <v>3.5939236111111115E-3</v>
      </c>
      <c r="J143" s="62"/>
      <c r="K143" s="62"/>
      <c r="L143" s="62"/>
      <c r="M143" s="62">
        <v>7.7751967592592586E-3</v>
      </c>
      <c r="N143" s="62">
        <f t="shared" si="71"/>
        <v>7.7751967592592586E-3</v>
      </c>
      <c r="O143" s="53" t="str">
        <f t="shared" si="72"/>
        <v/>
      </c>
      <c r="P143" s="53">
        <f t="shared" si="73"/>
        <v>52</v>
      </c>
      <c r="Q143" s="53">
        <f t="shared" si="74"/>
        <v>30</v>
      </c>
      <c r="R143" s="53" t="str">
        <f t="shared" si="75"/>
        <v/>
      </c>
      <c r="S143" s="53">
        <f t="shared" si="76"/>
        <v>33</v>
      </c>
      <c r="T143" s="53" t="str">
        <f t="shared" si="77"/>
        <v/>
      </c>
      <c r="U143" s="53" t="str">
        <f t="shared" si="78"/>
        <v/>
      </c>
      <c r="V143" s="53" t="str">
        <f t="shared" si="79"/>
        <v/>
      </c>
      <c r="W143" s="53" t="str">
        <f t="shared" si="80"/>
        <v>DNS/DNF ()</v>
      </c>
      <c r="X143" s="53" t="str">
        <f t="shared" si="81"/>
        <v>00:03:55.0 (52)</v>
      </c>
      <c r="Y143" s="53" t="str">
        <f t="shared" si="82"/>
        <v>00:02:06.2 (30)</v>
      </c>
      <c r="Z143" s="53" t="str">
        <f t="shared" si="83"/>
        <v>DNS/DNF ()</v>
      </c>
      <c r="AA143" s="53" t="str">
        <f t="shared" si="84"/>
        <v>00:05:10.5 (33)</v>
      </c>
      <c r="AB143" s="53" t="str">
        <f t="shared" si="85"/>
        <v>DNS/DNF ()</v>
      </c>
      <c r="AC143" s="53" t="str">
        <f t="shared" si="86"/>
        <v>DNS/DNF ()</v>
      </c>
      <c r="AD143" s="53" t="str">
        <f t="shared" si="87"/>
        <v>DNS/DNF ()</v>
      </c>
      <c r="AE143" s="53">
        <v>0</v>
      </c>
      <c r="AF143" s="53">
        <v>0</v>
      </c>
      <c r="AG143" s="53">
        <v>35240687</v>
      </c>
      <c r="AH143" s="53">
        <v>35475731</v>
      </c>
      <c r="AI143" s="53">
        <v>38810989</v>
      </c>
      <c r="AJ143" s="53">
        <v>38937207</v>
      </c>
      <c r="AK143" s="53">
        <v>0</v>
      </c>
      <c r="AL143" s="53">
        <v>0</v>
      </c>
      <c r="AM143" s="53">
        <v>42478776</v>
      </c>
      <c r="AN143" s="53">
        <v>42789291</v>
      </c>
      <c r="AO143" s="53">
        <v>0</v>
      </c>
      <c r="AP143" s="53">
        <v>0</v>
      </c>
      <c r="AQ143" s="53">
        <v>0</v>
      </c>
      <c r="AR143" s="53">
        <v>0</v>
      </c>
      <c r="AS143" s="53">
        <v>0</v>
      </c>
      <c r="AT143" s="53">
        <v>0</v>
      </c>
      <c r="AU143" s="62" t="str">
        <f t="shared" si="88"/>
        <v>DNS/DNF</v>
      </c>
      <c r="AV143" s="62">
        <f t="shared" si="89"/>
        <v>2.7204166666666666E-3</v>
      </c>
      <c r="AW143" s="62">
        <f t="shared" si="90"/>
        <v>1.4608564814814814E-3</v>
      </c>
      <c r="AX143" s="62" t="str">
        <f t="shared" si="91"/>
        <v>DNS/DNF</v>
      </c>
      <c r="AY143" s="62">
        <f t="shared" si="92"/>
        <v>3.5939236111111111E-3</v>
      </c>
      <c r="AZ143" s="62" t="str">
        <f t="shared" si="93"/>
        <v>DNS/DNF</v>
      </c>
      <c r="BA143" s="62" t="str">
        <f t="shared" si="94"/>
        <v>DNS/DNF</v>
      </c>
      <c r="BB143" s="62" t="str">
        <f t="shared" si="95"/>
        <v>DNS/DNF</v>
      </c>
      <c r="BC143" s="75">
        <f t="shared" si="96"/>
        <v>38</v>
      </c>
      <c r="BD143" s="53">
        <f t="shared" si="97"/>
        <v>221681</v>
      </c>
      <c r="BE143" s="53">
        <f t="shared" si="98"/>
        <v>230621.99999999997</v>
      </c>
      <c r="BF143" s="53">
        <f t="shared" si="99"/>
        <v>128737</v>
      </c>
      <c r="BG143" s="53">
        <f t="shared" si="100"/>
        <v>255968</v>
      </c>
      <c r="BH143" s="53">
        <f t="shared" si="101"/>
        <v>311828</v>
      </c>
      <c r="BI143" s="53" t="str">
        <f t="shared" si="102"/>
        <v/>
      </c>
      <c r="BJ143" s="53" t="str">
        <f t="shared" si="103"/>
        <v/>
      </c>
      <c r="BK143" s="53" t="str">
        <f t="shared" si="104"/>
        <v/>
      </c>
    </row>
    <row r="144" spans="1:63">
      <c r="A144" s="53">
        <v>96</v>
      </c>
      <c r="B144" s="89" t="str">
        <f>IFERROR(VLOOKUP($A144,EntryList!$A$3:$N$645,2,FALSE),"")</f>
        <v>Sven Etsebeth</v>
      </c>
      <c r="C144" s="74"/>
      <c r="D144" s="53">
        <f t="shared" si="70"/>
        <v>3</v>
      </c>
      <c r="E144" s="62"/>
      <c r="F144" s="62">
        <v>2.7578819444444447E-3</v>
      </c>
      <c r="G144" s="62">
        <v>1.5622222222222224E-3</v>
      </c>
      <c r="H144" s="62"/>
      <c r="I144" s="62">
        <v>3.6167361111111109E-3</v>
      </c>
      <c r="J144" s="62"/>
      <c r="K144" s="62"/>
      <c r="L144" s="62"/>
      <c r="M144" s="62">
        <v>7.9368402777777788E-3</v>
      </c>
      <c r="N144" s="62">
        <f t="shared" si="71"/>
        <v>7.936840277777777E-3</v>
      </c>
      <c r="O144" s="53" t="str">
        <f t="shared" si="72"/>
        <v/>
      </c>
      <c r="P144" s="53">
        <f t="shared" si="73"/>
        <v>58</v>
      </c>
      <c r="Q144" s="53">
        <f t="shared" si="74"/>
        <v>60</v>
      </c>
      <c r="R144" s="53" t="str">
        <f t="shared" si="75"/>
        <v/>
      </c>
      <c r="S144" s="53">
        <f t="shared" si="76"/>
        <v>39</v>
      </c>
      <c r="T144" s="53" t="str">
        <f t="shared" si="77"/>
        <v/>
      </c>
      <c r="U144" s="53" t="str">
        <f t="shared" si="78"/>
        <v/>
      </c>
      <c r="V144" s="53" t="str">
        <f t="shared" si="79"/>
        <v/>
      </c>
      <c r="W144" s="53" t="str">
        <f t="shared" si="80"/>
        <v>DNS/DNF ()</v>
      </c>
      <c r="X144" s="53" t="str">
        <f t="shared" si="81"/>
        <v>00:03:58.3 (58)</v>
      </c>
      <c r="Y144" s="53" t="str">
        <f t="shared" si="82"/>
        <v>00:02:15.0 (60)</v>
      </c>
      <c r="Z144" s="53" t="str">
        <f t="shared" si="83"/>
        <v>DNS/DNF ()</v>
      </c>
      <c r="AA144" s="53" t="str">
        <f t="shared" si="84"/>
        <v>00:05:12.5 (39)</v>
      </c>
      <c r="AB144" s="53" t="str">
        <f t="shared" si="85"/>
        <v>DNS/DNF ()</v>
      </c>
      <c r="AC144" s="53" t="str">
        <f t="shared" si="86"/>
        <v>DNS/DNF ()</v>
      </c>
      <c r="AD144" s="53" t="str">
        <f t="shared" si="87"/>
        <v>DNS/DNF ()</v>
      </c>
      <c r="AE144" s="53">
        <v>0</v>
      </c>
      <c r="AF144" s="53">
        <v>0</v>
      </c>
      <c r="AG144" s="53">
        <v>36132152</v>
      </c>
      <c r="AH144" s="53">
        <v>36370433</v>
      </c>
      <c r="AI144" s="53">
        <v>40546034</v>
      </c>
      <c r="AJ144" s="53">
        <v>40681010</v>
      </c>
      <c r="AK144" s="53">
        <v>0</v>
      </c>
      <c r="AL144" s="53">
        <v>0</v>
      </c>
      <c r="AM144" s="53">
        <v>45826192</v>
      </c>
      <c r="AN144" s="53">
        <v>46138678</v>
      </c>
      <c r="AO144" s="53">
        <v>0</v>
      </c>
      <c r="AP144" s="53">
        <v>0</v>
      </c>
      <c r="AQ144" s="53">
        <v>0</v>
      </c>
      <c r="AR144" s="53">
        <v>0</v>
      </c>
      <c r="AS144" s="53">
        <v>0</v>
      </c>
      <c r="AT144" s="53">
        <v>0</v>
      </c>
      <c r="AU144" s="62" t="str">
        <f t="shared" si="88"/>
        <v>DNS/DNF</v>
      </c>
      <c r="AV144" s="62">
        <f t="shared" si="89"/>
        <v>2.7578819444444443E-3</v>
      </c>
      <c r="AW144" s="62">
        <f t="shared" si="90"/>
        <v>1.5622222222222222E-3</v>
      </c>
      <c r="AX144" s="62" t="str">
        <f t="shared" si="91"/>
        <v>DNS/DNF</v>
      </c>
      <c r="AY144" s="62">
        <f t="shared" si="92"/>
        <v>3.6167361111111109E-3</v>
      </c>
      <c r="AZ144" s="62" t="str">
        <f t="shared" si="93"/>
        <v>DNS/DNF</v>
      </c>
      <c r="BA144" s="62" t="str">
        <f t="shared" si="94"/>
        <v>DNS/DNF</v>
      </c>
      <c r="BB144" s="62" t="str">
        <f t="shared" si="95"/>
        <v>DNS/DNF</v>
      </c>
      <c r="BC144" s="75">
        <f t="shared" si="96"/>
        <v>52</v>
      </c>
      <c r="BD144" s="53">
        <f t="shared" si="97"/>
        <v>232106</v>
      </c>
      <c r="BE144" s="53">
        <f t="shared" si="98"/>
        <v>235044</v>
      </c>
      <c r="BF144" s="53">
        <f t="shared" si="99"/>
        <v>131146</v>
      </c>
      <c r="BG144" s="53">
        <f t="shared" si="100"/>
        <v>262777</v>
      </c>
      <c r="BH144" s="53">
        <f t="shared" si="101"/>
        <v>320104</v>
      </c>
      <c r="BI144" s="53" t="str">
        <f t="shared" si="102"/>
        <v/>
      </c>
      <c r="BJ144" s="53" t="str">
        <f t="shared" si="103"/>
        <v/>
      </c>
      <c r="BK144" s="53" t="str">
        <f t="shared" si="104"/>
        <v/>
      </c>
    </row>
    <row r="145" spans="1:63">
      <c r="A145" s="53">
        <v>58</v>
      </c>
      <c r="B145" s="89" t="str">
        <f>IFERROR(VLOOKUP($A145,EntryList!$A$3:$N$645,2,FALSE),"")</f>
        <v>Craig Fussell</v>
      </c>
      <c r="C145" s="74"/>
      <c r="D145" s="53">
        <f t="shared" si="70"/>
        <v>3</v>
      </c>
      <c r="E145" s="62">
        <v>3.2216550925925924E-3</v>
      </c>
      <c r="F145" s="62">
        <v>2.999814814814815E-3</v>
      </c>
      <c r="G145" s="62">
        <v>1.7900231481481482E-3</v>
      </c>
      <c r="H145" s="62"/>
      <c r="I145" s="62"/>
      <c r="J145" s="62"/>
      <c r="K145" s="62"/>
      <c r="L145" s="62"/>
      <c r="M145" s="62">
        <v>8.0114930555555564E-3</v>
      </c>
      <c r="N145" s="62">
        <f t="shared" si="71"/>
        <v>8.0114930555555564E-3</v>
      </c>
      <c r="O145" s="53">
        <f t="shared" si="72"/>
        <v>97</v>
      </c>
      <c r="P145" s="53">
        <f t="shared" si="73"/>
        <v>109</v>
      </c>
      <c r="Q145" s="53">
        <f t="shared" si="74"/>
        <v>130</v>
      </c>
      <c r="R145" s="53" t="str">
        <f t="shared" si="75"/>
        <v/>
      </c>
      <c r="S145" s="53" t="str">
        <f t="shared" si="76"/>
        <v/>
      </c>
      <c r="T145" s="53" t="str">
        <f t="shared" si="77"/>
        <v/>
      </c>
      <c r="U145" s="53" t="str">
        <f t="shared" si="78"/>
        <v/>
      </c>
      <c r="V145" s="53" t="str">
        <f t="shared" si="79"/>
        <v/>
      </c>
      <c r="W145" s="53" t="str">
        <f t="shared" si="80"/>
        <v>00:04:38.4 (97)</v>
      </c>
      <c r="X145" s="53" t="str">
        <f t="shared" si="81"/>
        <v>00:04:19.2 (109)</v>
      </c>
      <c r="Y145" s="53" t="str">
        <f t="shared" si="82"/>
        <v>00:02:34.7 (130)</v>
      </c>
      <c r="Z145" s="53" t="str">
        <f t="shared" si="83"/>
        <v>DNS/DNF ()</v>
      </c>
      <c r="AA145" s="53" t="str">
        <f t="shared" si="84"/>
        <v>DNS/DNF ()</v>
      </c>
      <c r="AB145" s="53" t="str">
        <f t="shared" si="85"/>
        <v>DNS/DNF ()</v>
      </c>
      <c r="AC145" s="53" t="str">
        <f t="shared" si="86"/>
        <v>DNS/DNF ()</v>
      </c>
      <c r="AD145" s="53" t="str">
        <f t="shared" si="87"/>
        <v>DNS/DNF ()</v>
      </c>
      <c r="AE145" s="53">
        <v>33831372</v>
      </c>
      <c r="AF145" s="53">
        <v>34109723</v>
      </c>
      <c r="AG145" s="53">
        <v>31080726</v>
      </c>
      <c r="AH145" s="53">
        <v>31339910</v>
      </c>
      <c r="AI145" s="53">
        <v>36263616</v>
      </c>
      <c r="AJ145" s="53">
        <v>36418274</v>
      </c>
      <c r="AK145" s="53">
        <v>39837868</v>
      </c>
      <c r="AL145" s="53">
        <v>0</v>
      </c>
      <c r="AM145" s="53">
        <v>0</v>
      </c>
      <c r="AN145" s="53">
        <v>0</v>
      </c>
      <c r="AO145" s="53">
        <v>0</v>
      </c>
      <c r="AP145" s="53">
        <v>0</v>
      </c>
      <c r="AQ145" s="53">
        <v>0</v>
      </c>
      <c r="AR145" s="53">
        <v>0</v>
      </c>
      <c r="AS145" s="53">
        <v>0</v>
      </c>
      <c r="AT145" s="53">
        <v>0</v>
      </c>
      <c r="AU145" s="62">
        <f t="shared" si="88"/>
        <v>3.2216550925925928E-3</v>
      </c>
      <c r="AV145" s="62">
        <f t="shared" si="89"/>
        <v>2.999814814814815E-3</v>
      </c>
      <c r="AW145" s="62">
        <f t="shared" si="90"/>
        <v>1.7900231481481482E-3</v>
      </c>
      <c r="AX145" s="62" t="str">
        <f t="shared" si="91"/>
        <v>DNS/DNF</v>
      </c>
      <c r="AY145" s="62" t="str">
        <f t="shared" si="92"/>
        <v>DNS/DNF</v>
      </c>
      <c r="AZ145" s="62" t="str">
        <f t="shared" si="93"/>
        <v>DNS/DNF</v>
      </c>
      <c r="BA145" s="62" t="str">
        <f t="shared" si="94"/>
        <v>DNS/DNF</v>
      </c>
      <c r="BB145" s="62" t="str">
        <f t="shared" si="95"/>
        <v>DNS/DNF</v>
      </c>
      <c r="BC145" s="75">
        <f t="shared" si="96"/>
        <v>112</v>
      </c>
      <c r="BD145" s="53">
        <f t="shared" si="97"/>
        <v>309874</v>
      </c>
      <c r="BE145" s="53">
        <f t="shared" si="98"/>
        <v>260349</v>
      </c>
      <c r="BF145" s="53">
        <f t="shared" si="99"/>
        <v>151053</v>
      </c>
      <c r="BG145" s="53">
        <f t="shared" si="100"/>
        <v>317191</v>
      </c>
      <c r="BH145" s="53">
        <f t="shared" si="101"/>
        <v>351837</v>
      </c>
      <c r="BI145" s="53" t="str">
        <f t="shared" si="102"/>
        <v/>
      </c>
      <c r="BJ145" s="53" t="str">
        <f t="shared" si="103"/>
        <v/>
      </c>
      <c r="BK145" s="53" t="str">
        <f t="shared" si="104"/>
        <v/>
      </c>
    </row>
    <row r="146" spans="1:63" ht="13.5" customHeight="1">
      <c r="A146" s="53">
        <v>191</v>
      </c>
      <c r="B146" s="89" t="str">
        <f>IFERROR(VLOOKUP($A146,EntryList!$A$3:$N$645,2,FALSE),"")</f>
        <v>Pieter Heyns</v>
      </c>
      <c r="C146" s="74"/>
      <c r="D146" s="53">
        <f t="shared" si="70"/>
        <v>3</v>
      </c>
      <c r="E146" s="62"/>
      <c r="F146" s="62">
        <v>2.7617476851851852E-3</v>
      </c>
      <c r="G146" s="62">
        <v>1.5023148148148148E-3</v>
      </c>
      <c r="H146" s="62"/>
      <c r="I146" s="62">
        <v>3.7584606481481479E-3</v>
      </c>
      <c r="J146" s="62"/>
      <c r="K146" s="62"/>
      <c r="L146" s="62"/>
      <c r="M146" s="62">
        <v>8.0225231481481484E-3</v>
      </c>
      <c r="N146" s="62">
        <f t="shared" si="71"/>
        <v>8.0225231481481484E-3</v>
      </c>
      <c r="O146" s="53" t="str">
        <f t="shared" si="72"/>
        <v/>
      </c>
      <c r="P146" s="53">
        <f t="shared" si="73"/>
        <v>59</v>
      </c>
      <c r="Q146" s="53">
        <f t="shared" si="74"/>
        <v>43</v>
      </c>
      <c r="R146" s="53" t="str">
        <f t="shared" si="75"/>
        <v/>
      </c>
      <c r="S146" s="53">
        <f t="shared" si="76"/>
        <v>57</v>
      </c>
      <c r="T146" s="53" t="str">
        <f t="shared" si="77"/>
        <v/>
      </c>
      <c r="U146" s="53" t="str">
        <f t="shared" si="78"/>
        <v/>
      </c>
      <c r="V146" s="53" t="str">
        <f t="shared" si="79"/>
        <v/>
      </c>
      <c r="W146" s="53" t="str">
        <f t="shared" si="80"/>
        <v>DNS/DNF ()</v>
      </c>
      <c r="X146" s="53" t="str">
        <f t="shared" si="81"/>
        <v>00:03:58.6 (59)</v>
      </c>
      <c r="Y146" s="53" t="str">
        <f t="shared" si="82"/>
        <v>00:02:09.8 (43)</v>
      </c>
      <c r="Z146" s="53" t="str">
        <f t="shared" si="83"/>
        <v>DNS/DNF ()</v>
      </c>
      <c r="AA146" s="53" t="str">
        <f t="shared" si="84"/>
        <v>00:05:24.7 (57)</v>
      </c>
      <c r="AB146" s="53" t="str">
        <f t="shared" si="85"/>
        <v>DNS/DNF ()</v>
      </c>
      <c r="AC146" s="53" t="str">
        <f t="shared" si="86"/>
        <v>DNS/DNF ()</v>
      </c>
      <c r="AD146" s="53" t="str">
        <f t="shared" si="87"/>
        <v>DNS/DNF ()</v>
      </c>
      <c r="AE146" s="53">
        <v>0</v>
      </c>
      <c r="AF146" s="53">
        <v>0</v>
      </c>
      <c r="AG146" s="53">
        <v>36314310</v>
      </c>
      <c r="AH146" s="53">
        <v>36552925</v>
      </c>
      <c r="AI146" s="53">
        <v>40489524</v>
      </c>
      <c r="AJ146" s="53">
        <v>40619324</v>
      </c>
      <c r="AK146" s="53">
        <v>0</v>
      </c>
      <c r="AL146" s="53">
        <v>0</v>
      </c>
      <c r="AM146" s="53">
        <v>44682002</v>
      </c>
      <c r="AN146" s="53">
        <v>45006733</v>
      </c>
      <c r="AO146" s="53">
        <v>0</v>
      </c>
      <c r="AP146" s="53">
        <v>0</v>
      </c>
      <c r="AQ146" s="53">
        <v>0</v>
      </c>
      <c r="AR146" s="53">
        <v>0</v>
      </c>
      <c r="AS146" s="53">
        <v>0</v>
      </c>
      <c r="AT146" s="53">
        <v>0</v>
      </c>
      <c r="AU146" s="62" t="str">
        <f t="shared" si="88"/>
        <v>DNS/DNF</v>
      </c>
      <c r="AV146" s="62">
        <f t="shared" si="89"/>
        <v>2.7617476851851852E-3</v>
      </c>
      <c r="AW146" s="62">
        <f t="shared" si="90"/>
        <v>1.5023148148148148E-3</v>
      </c>
      <c r="AX146" s="62" t="str">
        <f t="shared" si="91"/>
        <v>DNS/DNF</v>
      </c>
      <c r="AY146" s="62">
        <f t="shared" si="92"/>
        <v>3.7584606481481484E-3</v>
      </c>
      <c r="AZ146" s="62" t="str">
        <f t="shared" si="93"/>
        <v>DNS/DNF</v>
      </c>
      <c r="BA146" s="62" t="str">
        <f t="shared" si="94"/>
        <v>DNS/DNF</v>
      </c>
      <c r="BB146" s="62" t="str">
        <f t="shared" si="95"/>
        <v>DNS/DNF</v>
      </c>
      <c r="BC146" s="75">
        <f t="shared" si="96"/>
        <v>53</v>
      </c>
      <c r="BD146" s="53">
        <f t="shared" si="97"/>
        <v>233632</v>
      </c>
      <c r="BE146" s="53">
        <f t="shared" si="98"/>
        <v>235953</v>
      </c>
      <c r="BF146" s="53">
        <f t="shared" si="99"/>
        <v>131321</v>
      </c>
      <c r="BG146" s="53">
        <f t="shared" si="100"/>
        <v>263210</v>
      </c>
      <c r="BH146" s="53">
        <f t="shared" si="101"/>
        <v>320334</v>
      </c>
      <c r="BI146" s="53" t="str">
        <f t="shared" si="102"/>
        <v/>
      </c>
      <c r="BJ146" s="53" t="str">
        <f t="shared" si="103"/>
        <v/>
      </c>
      <c r="BK146" s="53" t="str">
        <f t="shared" si="104"/>
        <v/>
      </c>
    </row>
    <row r="147" spans="1:63">
      <c r="A147" s="53">
        <v>293</v>
      </c>
      <c r="B147" s="89" t="str">
        <f>IFERROR(VLOOKUP($A147,EntryList!$A$3:$N$645,2,FALSE),"")</f>
        <v>Wynand Mostert</v>
      </c>
      <c r="C147" s="74"/>
      <c r="D147" s="53">
        <f t="shared" si="70"/>
        <v>3</v>
      </c>
      <c r="E147" s="62"/>
      <c r="F147" s="62">
        <v>2.7309375000000003E-3</v>
      </c>
      <c r="G147" s="62">
        <v>1.5565972222222222E-3</v>
      </c>
      <c r="H147" s="62"/>
      <c r="I147" s="62">
        <v>3.7701967592592596E-3</v>
      </c>
      <c r="J147" s="62"/>
      <c r="K147" s="62"/>
      <c r="L147" s="62"/>
      <c r="M147" s="62">
        <v>8.0577314814814817E-3</v>
      </c>
      <c r="N147" s="62">
        <f t="shared" si="71"/>
        <v>8.0577314814814817E-3</v>
      </c>
      <c r="O147" s="53" t="str">
        <f t="shared" si="72"/>
        <v/>
      </c>
      <c r="P147" s="53">
        <f t="shared" si="73"/>
        <v>53</v>
      </c>
      <c r="Q147" s="53">
        <f t="shared" si="74"/>
        <v>59</v>
      </c>
      <c r="R147" s="53" t="str">
        <f t="shared" si="75"/>
        <v/>
      </c>
      <c r="S147" s="53">
        <f t="shared" si="76"/>
        <v>60</v>
      </c>
      <c r="T147" s="53" t="str">
        <f t="shared" si="77"/>
        <v/>
      </c>
      <c r="U147" s="53" t="str">
        <f t="shared" si="78"/>
        <v/>
      </c>
      <c r="V147" s="53" t="str">
        <f t="shared" si="79"/>
        <v/>
      </c>
      <c r="W147" s="53" t="str">
        <f t="shared" si="80"/>
        <v>DNS/DNF ()</v>
      </c>
      <c r="X147" s="53" t="str">
        <f t="shared" si="81"/>
        <v>00:03:56.0 (53)</v>
      </c>
      <c r="Y147" s="53" t="str">
        <f t="shared" si="82"/>
        <v>00:02:14.5 (59)</v>
      </c>
      <c r="Z147" s="53" t="str">
        <f t="shared" si="83"/>
        <v>DNS/DNF ()</v>
      </c>
      <c r="AA147" s="53" t="str">
        <f t="shared" si="84"/>
        <v>00:05:25.7 (60)</v>
      </c>
      <c r="AB147" s="53" t="str">
        <f t="shared" si="85"/>
        <v>DNS/DNF ()</v>
      </c>
      <c r="AC147" s="53" t="str">
        <f t="shared" si="86"/>
        <v>DNS/DNF ()</v>
      </c>
      <c r="AD147" s="53" t="str">
        <f t="shared" si="87"/>
        <v>DNS/DNF ()</v>
      </c>
      <c r="AE147" s="53">
        <v>0</v>
      </c>
      <c r="AF147" s="53">
        <v>0</v>
      </c>
      <c r="AG147" s="53">
        <v>34793899</v>
      </c>
      <c r="AH147" s="53">
        <v>35029852</v>
      </c>
      <c r="AI147" s="53">
        <v>37995830</v>
      </c>
      <c r="AJ147" s="53">
        <v>38130320</v>
      </c>
      <c r="AK147" s="53">
        <v>0</v>
      </c>
      <c r="AL147" s="53">
        <v>0</v>
      </c>
      <c r="AM147" s="53">
        <v>42265746</v>
      </c>
      <c r="AN147" s="53">
        <v>42591491</v>
      </c>
      <c r="AO147" s="53">
        <v>0</v>
      </c>
      <c r="AP147" s="53">
        <v>0</v>
      </c>
      <c r="AQ147" s="53">
        <v>0</v>
      </c>
      <c r="AR147" s="53">
        <v>0</v>
      </c>
      <c r="AS147" s="53">
        <v>0</v>
      </c>
      <c r="AT147" s="53">
        <v>0</v>
      </c>
      <c r="AU147" s="62" t="str">
        <f t="shared" si="88"/>
        <v>DNS/DNF</v>
      </c>
      <c r="AV147" s="62">
        <f t="shared" si="89"/>
        <v>2.7309374999999999E-3</v>
      </c>
      <c r="AW147" s="62">
        <f t="shared" si="90"/>
        <v>1.5565972222222222E-3</v>
      </c>
      <c r="AX147" s="62" t="str">
        <f t="shared" si="91"/>
        <v>DNS/DNF</v>
      </c>
      <c r="AY147" s="62">
        <f t="shared" si="92"/>
        <v>3.7701967592592592E-3</v>
      </c>
      <c r="AZ147" s="62" t="str">
        <f t="shared" si="93"/>
        <v>DNS/DNF</v>
      </c>
      <c r="BA147" s="62" t="str">
        <f t="shared" si="94"/>
        <v>DNS/DNF</v>
      </c>
      <c r="BB147" s="62" t="str">
        <f t="shared" si="95"/>
        <v>DNS/DNF</v>
      </c>
      <c r="BC147" s="75">
        <f t="shared" si="96"/>
        <v>57</v>
      </c>
      <c r="BD147" s="53">
        <f t="shared" si="97"/>
        <v>240618</v>
      </c>
      <c r="BE147" s="53">
        <f t="shared" si="98"/>
        <v>238052</v>
      </c>
      <c r="BF147" s="53">
        <f t="shared" si="99"/>
        <v>132934</v>
      </c>
      <c r="BG147" s="53">
        <f t="shared" si="100"/>
        <v>265972</v>
      </c>
      <c r="BH147" s="53">
        <f t="shared" si="101"/>
        <v>324731</v>
      </c>
      <c r="BI147" s="53" t="str">
        <f t="shared" si="102"/>
        <v/>
      </c>
      <c r="BJ147" s="53" t="str">
        <f t="shared" si="103"/>
        <v/>
      </c>
      <c r="BK147" s="53" t="str">
        <f t="shared" si="104"/>
        <v/>
      </c>
    </row>
    <row r="148" spans="1:63">
      <c r="A148" s="53">
        <v>215</v>
      </c>
      <c r="B148" s="89" t="str">
        <f>IFERROR(VLOOKUP($A148,EntryList!$A$3:$N$645,2,FALSE),"")</f>
        <v>Benjamin Fourie</v>
      </c>
      <c r="C148" s="74"/>
      <c r="D148" s="53">
        <f t="shared" si="70"/>
        <v>3</v>
      </c>
      <c r="E148" s="62"/>
      <c r="F148" s="62">
        <v>2.8562037037037041E-3</v>
      </c>
      <c r="G148" s="62">
        <v>1.5952893518518519E-3</v>
      </c>
      <c r="H148" s="62"/>
      <c r="I148" s="62">
        <v>3.6451736111111112E-3</v>
      </c>
      <c r="J148" s="62"/>
      <c r="K148" s="62"/>
      <c r="L148" s="62"/>
      <c r="M148" s="62">
        <v>8.0966666666666669E-3</v>
      </c>
      <c r="N148" s="62">
        <f t="shared" si="71"/>
        <v>8.0966666666666669E-3</v>
      </c>
      <c r="O148" s="53" t="str">
        <f t="shared" si="72"/>
        <v/>
      </c>
      <c r="P148" s="53">
        <f t="shared" si="73"/>
        <v>80</v>
      </c>
      <c r="Q148" s="53">
        <f t="shared" si="74"/>
        <v>71</v>
      </c>
      <c r="R148" s="53" t="str">
        <f t="shared" si="75"/>
        <v/>
      </c>
      <c r="S148" s="53">
        <f t="shared" si="76"/>
        <v>42</v>
      </c>
      <c r="T148" s="53" t="str">
        <f t="shared" si="77"/>
        <v/>
      </c>
      <c r="U148" s="53" t="str">
        <f t="shared" si="78"/>
        <v/>
      </c>
      <c r="V148" s="53" t="str">
        <f t="shared" si="79"/>
        <v/>
      </c>
      <c r="W148" s="53" t="str">
        <f t="shared" si="80"/>
        <v>DNS/DNF ()</v>
      </c>
      <c r="X148" s="53" t="str">
        <f t="shared" si="81"/>
        <v>00:04:06.8 (80)</v>
      </c>
      <c r="Y148" s="53" t="str">
        <f t="shared" si="82"/>
        <v>00:02:17.8 (71)</v>
      </c>
      <c r="Z148" s="53" t="str">
        <f t="shared" si="83"/>
        <v>DNS/DNF ()</v>
      </c>
      <c r="AA148" s="53" t="str">
        <f t="shared" si="84"/>
        <v>00:05:14.9 (42)</v>
      </c>
      <c r="AB148" s="53" t="str">
        <f t="shared" si="85"/>
        <v>DNS/DNF ()</v>
      </c>
      <c r="AC148" s="53" t="str">
        <f t="shared" si="86"/>
        <v>DNS/DNF ()</v>
      </c>
      <c r="AD148" s="53" t="str">
        <f t="shared" si="87"/>
        <v>DNS/DNF ()</v>
      </c>
      <c r="AE148" s="53">
        <v>0</v>
      </c>
      <c r="AF148" s="53">
        <v>0</v>
      </c>
      <c r="AG148" s="53">
        <v>33980067</v>
      </c>
      <c r="AH148" s="53">
        <v>34226843</v>
      </c>
      <c r="AI148" s="53">
        <v>36826942</v>
      </c>
      <c r="AJ148" s="53">
        <v>36964775</v>
      </c>
      <c r="AK148" s="53">
        <v>0</v>
      </c>
      <c r="AL148" s="53">
        <v>0</v>
      </c>
      <c r="AM148" s="53">
        <v>40639476</v>
      </c>
      <c r="AN148" s="53">
        <v>40954419</v>
      </c>
      <c r="AO148" s="53">
        <v>0</v>
      </c>
      <c r="AP148" s="53">
        <v>0</v>
      </c>
      <c r="AQ148" s="53">
        <v>0</v>
      </c>
      <c r="AR148" s="53">
        <v>0</v>
      </c>
      <c r="AS148" s="53">
        <v>0</v>
      </c>
      <c r="AT148" s="53">
        <v>0</v>
      </c>
      <c r="AU148" s="62" t="str">
        <f t="shared" si="88"/>
        <v>DNS/DNF</v>
      </c>
      <c r="AV148" s="62">
        <f t="shared" si="89"/>
        <v>2.8562037037037037E-3</v>
      </c>
      <c r="AW148" s="62">
        <f t="shared" si="90"/>
        <v>1.5952893518518519E-3</v>
      </c>
      <c r="AX148" s="62" t="str">
        <f t="shared" si="91"/>
        <v>DNS/DNF</v>
      </c>
      <c r="AY148" s="62">
        <f t="shared" si="92"/>
        <v>3.6451736111111112E-3</v>
      </c>
      <c r="AZ148" s="62" t="str">
        <f t="shared" si="93"/>
        <v>DNS/DNF</v>
      </c>
      <c r="BA148" s="62" t="str">
        <f t="shared" si="94"/>
        <v>DNS/DNF</v>
      </c>
      <c r="BB148" s="62" t="str">
        <f t="shared" si="95"/>
        <v>DNS/DNF</v>
      </c>
      <c r="BC148" s="75">
        <f t="shared" si="96"/>
        <v>64</v>
      </c>
      <c r="BD148" s="53">
        <f t="shared" si="97"/>
        <v>244548.99999999997</v>
      </c>
      <c r="BE148" s="53">
        <f t="shared" si="98"/>
        <v>241582</v>
      </c>
      <c r="BF148" s="53">
        <f t="shared" si="99"/>
        <v>135848</v>
      </c>
      <c r="BG148" s="53">
        <f t="shared" si="100"/>
        <v>272370</v>
      </c>
      <c r="BH148" s="53">
        <f t="shared" si="101"/>
        <v>327999</v>
      </c>
      <c r="BI148" s="53" t="str">
        <f t="shared" si="102"/>
        <v/>
      </c>
      <c r="BJ148" s="53" t="str">
        <f t="shared" si="103"/>
        <v/>
      </c>
      <c r="BK148" s="53" t="str">
        <f t="shared" si="104"/>
        <v/>
      </c>
    </row>
    <row r="149" spans="1:63">
      <c r="A149" s="53">
        <v>205</v>
      </c>
      <c r="B149" s="89" t="str">
        <f>IFERROR(VLOOKUP($A149,EntryList!$A$3:$N$645,2,FALSE),"")</f>
        <v>Johmar Loubser</v>
      </c>
      <c r="C149" s="74"/>
      <c r="D149" s="53">
        <f t="shared" si="70"/>
        <v>3</v>
      </c>
      <c r="E149" s="62"/>
      <c r="F149" s="62">
        <v>2.8332291666666666E-3</v>
      </c>
      <c r="G149" s="62">
        <v>1.5814930555555556E-3</v>
      </c>
      <c r="H149" s="62"/>
      <c r="I149" s="62">
        <v>3.6926736111111114E-3</v>
      </c>
      <c r="J149" s="62"/>
      <c r="K149" s="62"/>
      <c r="L149" s="62"/>
      <c r="M149" s="62">
        <v>8.1073958333333328E-3</v>
      </c>
      <c r="N149" s="62">
        <f t="shared" si="71"/>
        <v>8.1073958333333328E-3</v>
      </c>
      <c r="O149" s="53" t="str">
        <f t="shared" si="72"/>
        <v/>
      </c>
      <c r="P149" s="53">
        <f t="shared" si="73"/>
        <v>74</v>
      </c>
      <c r="Q149" s="53">
        <f t="shared" si="74"/>
        <v>67</v>
      </c>
      <c r="R149" s="53" t="str">
        <f t="shared" si="75"/>
        <v/>
      </c>
      <c r="S149" s="53">
        <f t="shared" si="76"/>
        <v>51</v>
      </c>
      <c r="T149" s="53" t="str">
        <f t="shared" si="77"/>
        <v/>
      </c>
      <c r="U149" s="53" t="str">
        <f t="shared" si="78"/>
        <v/>
      </c>
      <c r="V149" s="53" t="str">
        <f t="shared" si="79"/>
        <v/>
      </c>
      <c r="W149" s="53" t="str">
        <f t="shared" si="80"/>
        <v>DNS/DNF ()</v>
      </c>
      <c r="X149" s="53" t="str">
        <f t="shared" si="81"/>
        <v>00:04:04.8 (74)</v>
      </c>
      <c r="Y149" s="53" t="str">
        <f t="shared" si="82"/>
        <v>00:02:16.6 (67)</v>
      </c>
      <c r="Z149" s="53" t="str">
        <f t="shared" si="83"/>
        <v>DNS/DNF ()</v>
      </c>
      <c r="AA149" s="53" t="str">
        <f t="shared" si="84"/>
        <v>00:05:19.0 (51)</v>
      </c>
      <c r="AB149" s="53" t="str">
        <f t="shared" si="85"/>
        <v>DNS/DNF ()</v>
      </c>
      <c r="AC149" s="53" t="str">
        <f t="shared" si="86"/>
        <v>DNS/DNF ()</v>
      </c>
      <c r="AD149" s="53" t="str">
        <f t="shared" si="87"/>
        <v>DNS/DNF ()</v>
      </c>
      <c r="AE149" s="53">
        <v>0</v>
      </c>
      <c r="AF149" s="53">
        <v>0</v>
      </c>
      <c r="AG149" s="53">
        <v>34749150</v>
      </c>
      <c r="AH149" s="53">
        <v>34993941</v>
      </c>
      <c r="AI149" s="53">
        <v>37964088</v>
      </c>
      <c r="AJ149" s="53">
        <v>38100729</v>
      </c>
      <c r="AK149" s="53">
        <v>0</v>
      </c>
      <c r="AL149" s="53">
        <v>0</v>
      </c>
      <c r="AM149" s="53">
        <v>42199188</v>
      </c>
      <c r="AN149" s="53">
        <v>42518235</v>
      </c>
      <c r="AO149" s="53">
        <v>0</v>
      </c>
      <c r="AP149" s="53">
        <v>0</v>
      </c>
      <c r="AQ149" s="53">
        <v>0</v>
      </c>
      <c r="AR149" s="53">
        <v>0</v>
      </c>
      <c r="AS149" s="53">
        <v>0</v>
      </c>
      <c r="AT149" s="53">
        <v>0</v>
      </c>
      <c r="AU149" s="62" t="str">
        <f t="shared" si="88"/>
        <v>DNS/DNF</v>
      </c>
      <c r="AV149" s="62">
        <f t="shared" si="89"/>
        <v>2.8332291666666666E-3</v>
      </c>
      <c r="AW149" s="62">
        <f t="shared" si="90"/>
        <v>1.5814930555555556E-3</v>
      </c>
      <c r="AX149" s="62" t="str">
        <f t="shared" si="91"/>
        <v>DNS/DNF</v>
      </c>
      <c r="AY149" s="62">
        <f t="shared" si="92"/>
        <v>3.692673611111111E-3</v>
      </c>
      <c r="AZ149" s="62" t="str">
        <f t="shared" si="93"/>
        <v>DNS/DNF</v>
      </c>
      <c r="BA149" s="62" t="str">
        <f t="shared" si="94"/>
        <v>DNS/DNF</v>
      </c>
      <c r="BB149" s="62" t="str">
        <f t="shared" si="95"/>
        <v>DNS/DNF</v>
      </c>
      <c r="BC149" s="75">
        <f t="shared" si="96"/>
        <v>64</v>
      </c>
      <c r="BD149" s="53">
        <f t="shared" si="97"/>
        <v>244548.99999999997</v>
      </c>
      <c r="BE149" s="53">
        <f t="shared" si="98"/>
        <v>241582</v>
      </c>
      <c r="BF149" s="53">
        <f t="shared" si="99"/>
        <v>135848</v>
      </c>
      <c r="BG149" s="53">
        <f t="shared" si="100"/>
        <v>272370</v>
      </c>
      <c r="BH149" s="53">
        <f t="shared" si="101"/>
        <v>327999</v>
      </c>
      <c r="BI149" s="53" t="str">
        <f t="shared" si="102"/>
        <v/>
      </c>
      <c r="BJ149" s="53" t="str">
        <f t="shared" si="103"/>
        <v/>
      </c>
      <c r="BK149" s="53" t="str">
        <f t="shared" si="104"/>
        <v/>
      </c>
    </row>
    <row r="150" spans="1:63">
      <c r="A150" s="53">
        <v>139</v>
      </c>
      <c r="B150" s="89" t="str">
        <f>IFERROR(VLOOKUP($A150,EntryList!$A$3:$N$645,2,FALSE),"")</f>
        <v>Heinrich Vreken</v>
      </c>
      <c r="C150" s="74"/>
      <c r="D150" s="53">
        <f t="shared" si="70"/>
        <v>3</v>
      </c>
      <c r="E150" s="62"/>
      <c r="F150" s="62">
        <v>2.882418981481481E-3</v>
      </c>
      <c r="G150" s="62">
        <v>1.5881944444444444E-3</v>
      </c>
      <c r="H150" s="62"/>
      <c r="I150" s="62">
        <v>3.8472685185185185E-3</v>
      </c>
      <c r="J150" s="62"/>
      <c r="K150" s="62"/>
      <c r="L150" s="62"/>
      <c r="M150" s="62">
        <v>8.3178819444444437E-3</v>
      </c>
      <c r="N150" s="62">
        <f t="shared" si="71"/>
        <v>8.3178819444444437E-3</v>
      </c>
      <c r="O150" s="53" t="str">
        <f t="shared" si="72"/>
        <v/>
      </c>
      <c r="P150" s="53">
        <f t="shared" si="73"/>
        <v>85</v>
      </c>
      <c r="Q150" s="53">
        <f t="shared" si="74"/>
        <v>68</v>
      </c>
      <c r="R150" s="53" t="str">
        <f t="shared" si="75"/>
        <v/>
      </c>
      <c r="S150" s="53">
        <f t="shared" si="76"/>
        <v>71</v>
      </c>
      <c r="T150" s="53" t="str">
        <f t="shared" si="77"/>
        <v/>
      </c>
      <c r="U150" s="53" t="str">
        <f t="shared" si="78"/>
        <v/>
      </c>
      <c r="V150" s="53" t="str">
        <f t="shared" si="79"/>
        <v/>
      </c>
      <c r="W150" s="53" t="str">
        <f t="shared" si="80"/>
        <v>DNS/DNF ()</v>
      </c>
      <c r="X150" s="53" t="str">
        <f t="shared" si="81"/>
        <v>00:04:09.0 (85)</v>
      </c>
      <c r="Y150" s="53" t="str">
        <f t="shared" si="82"/>
        <v>00:02:17.2 (68)</v>
      </c>
      <c r="Z150" s="53" t="str">
        <f t="shared" si="83"/>
        <v>DNS/DNF ()</v>
      </c>
      <c r="AA150" s="53" t="str">
        <f t="shared" si="84"/>
        <v>00:05:32.4 (71)</v>
      </c>
      <c r="AB150" s="53" t="str">
        <f t="shared" si="85"/>
        <v>DNS/DNF ()</v>
      </c>
      <c r="AC150" s="53" t="str">
        <f t="shared" si="86"/>
        <v>DNS/DNF ()</v>
      </c>
      <c r="AD150" s="53" t="str">
        <f t="shared" si="87"/>
        <v>DNS/DNF ()</v>
      </c>
      <c r="AE150" s="53">
        <v>0</v>
      </c>
      <c r="AF150" s="53">
        <v>0</v>
      </c>
      <c r="AG150" s="53">
        <v>34075207</v>
      </c>
      <c r="AH150" s="53">
        <v>34324248</v>
      </c>
      <c r="AI150" s="53">
        <v>36932117</v>
      </c>
      <c r="AJ150" s="53">
        <v>37069337</v>
      </c>
      <c r="AK150" s="53">
        <v>0</v>
      </c>
      <c r="AL150" s="53">
        <v>0</v>
      </c>
      <c r="AM150" s="53">
        <v>40701102</v>
      </c>
      <c r="AN150" s="53">
        <v>41033506</v>
      </c>
      <c r="AO150" s="53">
        <v>0</v>
      </c>
      <c r="AP150" s="53">
        <v>0</v>
      </c>
      <c r="AQ150" s="53">
        <v>0</v>
      </c>
      <c r="AR150" s="53">
        <v>0</v>
      </c>
      <c r="AS150" s="53">
        <v>0</v>
      </c>
      <c r="AT150" s="53">
        <v>0</v>
      </c>
      <c r="AU150" s="62" t="str">
        <f t="shared" si="88"/>
        <v>DNS/DNF</v>
      </c>
      <c r="AV150" s="62">
        <f t="shared" si="89"/>
        <v>2.8824189814814815E-3</v>
      </c>
      <c r="AW150" s="62">
        <f t="shared" si="90"/>
        <v>1.5881944444444444E-3</v>
      </c>
      <c r="AX150" s="62" t="str">
        <f t="shared" si="91"/>
        <v>DNS/DNF</v>
      </c>
      <c r="AY150" s="62">
        <f t="shared" si="92"/>
        <v>3.8472685185185185E-3</v>
      </c>
      <c r="AZ150" s="62" t="str">
        <f t="shared" si="93"/>
        <v>DNS/DNF</v>
      </c>
      <c r="BA150" s="62" t="str">
        <f t="shared" si="94"/>
        <v>DNS/DNF</v>
      </c>
      <c r="BB150" s="62" t="str">
        <f t="shared" si="95"/>
        <v>DNS/DNF</v>
      </c>
      <c r="BC150" s="75">
        <f t="shared" si="96"/>
        <v>75</v>
      </c>
      <c r="BD150" s="53">
        <f t="shared" si="97"/>
        <v>254080</v>
      </c>
      <c r="BE150" s="53">
        <f t="shared" si="98"/>
        <v>245751</v>
      </c>
      <c r="BF150" s="53">
        <f t="shared" si="99"/>
        <v>139218</v>
      </c>
      <c r="BG150" s="53">
        <f t="shared" si="100"/>
        <v>280337</v>
      </c>
      <c r="BH150" s="53">
        <f t="shared" si="101"/>
        <v>334143</v>
      </c>
      <c r="BI150" s="53" t="str">
        <f t="shared" si="102"/>
        <v/>
      </c>
      <c r="BJ150" s="53" t="str">
        <f t="shared" si="103"/>
        <v/>
      </c>
      <c r="BK150" s="53" t="str">
        <f t="shared" si="104"/>
        <v/>
      </c>
    </row>
    <row r="151" spans="1:63">
      <c r="A151" s="53">
        <v>265</v>
      </c>
      <c r="B151" s="89" t="str">
        <f>IFERROR(VLOOKUP($A151,EntryList!$A$3:$N$645,2,FALSE),"")</f>
        <v>Phil Hulse</v>
      </c>
      <c r="C151" s="74"/>
      <c r="D151" s="53">
        <f t="shared" si="70"/>
        <v>3</v>
      </c>
      <c r="E151" s="62"/>
      <c r="F151" s="62">
        <v>2.8677314814814815E-3</v>
      </c>
      <c r="G151" s="62">
        <v>1.5933449074074077E-3</v>
      </c>
      <c r="H151" s="62"/>
      <c r="I151" s="62">
        <v>3.8655324074074078E-3</v>
      </c>
      <c r="J151" s="62"/>
      <c r="K151" s="62"/>
      <c r="L151" s="62"/>
      <c r="M151" s="62">
        <v>8.3266087962962972E-3</v>
      </c>
      <c r="N151" s="62">
        <f t="shared" si="71"/>
        <v>8.3266087962962972E-3</v>
      </c>
      <c r="O151" s="53" t="str">
        <f t="shared" si="72"/>
        <v/>
      </c>
      <c r="P151" s="53">
        <f t="shared" si="73"/>
        <v>81</v>
      </c>
      <c r="Q151" s="53">
        <f t="shared" si="74"/>
        <v>70</v>
      </c>
      <c r="R151" s="53" t="str">
        <f t="shared" si="75"/>
        <v/>
      </c>
      <c r="S151" s="53">
        <f t="shared" si="76"/>
        <v>74</v>
      </c>
      <c r="T151" s="53" t="str">
        <f t="shared" si="77"/>
        <v/>
      </c>
      <c r="U151" s="53" t="str">
        <f t="shared" si="78"/>
        <v/>
      </c>
      <c r="V151" s="53" t="str">
        <f t="shared" si="79"/>
        <v/>
      </c>
      <c r="W151" s="53" t="str">
        <f t="shared" si="80"/>
        <v>DNS/DNF ()</v>
      </c>
      <c r="X151" s="53" t="str">
        <f t="shared" si="81"/>
        <v>00:04:07.8 (81)</v>
      </c>
      <c r="Y151" s="53" t="str">
        <f t="shared" si="82"/>
        <v>00:02:17.7 (70)</v>
      </c>
      <c r="Z151" s="53" t="str">
        <f t="shared" si="83"/>
        <v>DNS/DNF ()</v>
      </c>
      <c r="AA151" s="53" t="str">
        <f t="shared" si="84"/>
        <v>00:05:34.0 (74)</v>
      </c>
      <c r="AB151" s="53" t="str">
        <f t="shared" si="85"/>
        <v>DNS/DNF ()</v>
      </c>
      <c r="AC151" s="53" t="str">
        <f t="shared" si="86"/>
        <v>DNS/DNF ()</v>
      </c>
      <c r="AD151" s="53" t="str">
        <f t="shared" si="87"/>
        <v>DNS/DNF ()</v>
      </c>
      <c r="AE151" s="53">
        <v>0</v>
      </c>
      <c r="AF151" s="53">
        <v>0</v>
      </c>
      <c r="AG151" s="53">
        <v>33760548</v>
      </c>
      <c r="AH151" s="53">
        <v>34008320</v>
      </c>
      <c r="AI151" s="53">
        <v>37180192</v>
      </c>
      <c r="AJ151" s="53">
        <v>37317857</v>
      </c>
      <c r="AK151" s="53">
        <v>0</v>
      </c>
      <c r="AL151" s="53">
        <v>0</v>
      </c>
      <c r="AM151" s="53">
        <v>42005332</v>
      </c>
      <c r="AN151" s="53">
        <v>42339314</v>
      </c>
      <c r="AO151" s="53">
        <v>0</v>
      </c>
      <c r="AP151" s="53">
        <v>0</v>
      </c>
      <c r="AQ151" s="53">
        <v>0</v>
      </c>
      <c r="AR151" s="53">
        <v>0</v>
      </c>
      <c r="AS151" s="53">
        <v>0</v>
      </c>
      <c r="AT151" s="53">
        <v>0</v>
      </c>
      <c r="AU151" s="62" t="str">
        <f t="shared" si="88"/>
        <v>DNS/DNF</v>
      </c>
      <c r="AV151" s="62">
        <f t="shared" si="89"/>
        <v>2.8677314814814815E-3</v>
      </c>
      <c r="AW151" s="62">
        <f t="shared" si="90"/>
        <v>1.5933449074074075E-3</v>
      </c>
      <c r="AX151" s="62" t="str">
        <f t="shared" si="91"/>
        <v>DNS/DNF</v>
      </c>
      <c r="AY151" s="62">
        <f t="shared" si="92"/>
        <v>3.8655324074074074E-3</v>
      </c>
      <c r="AZ151" s="62" t="str">
        <f t="shared" si="93"/>
        <v>DNS/DNF</v>
      </c>
      <c r="BA151" s="62" t="str">
        <f t="shared" si="94"/>
        <v>DNS/DNF</v>
      </c>
      <c r="BB151" s="62" t="str">
        <f t="shared" si="95"/>
        <v>DNS/DNF</v>
      </c>
      <c r="BC151" s="75">
        <f t="shared" si="96"/>
        <v>75</v>
      </c>
      <c r="BD151" s="53">
        <f t="shared" si="97"/>
        <v>254080</v>
      </c>
      <c r="BE151" s="53">
        <f t="shared" si="98"/>
        <v>245751</v>
      </c>
      <c r="BF151" s="53">
        <f t="shared" si="99"/>
        <v>139218</v>
      </c>
      <c r="BG151" s="53">
        <f t="shared" si="100"/>
        <v>280337</v>
      </c>
      <c r="BH151" s="53">
        <f t="shared" si="101"/>
        <v>334143</v>
      </c>
      <c r="BI151" s="53" t="str">
        <f t="shared" si="102"/>
        <v/>
      </c>
      <c r="BJ151" s="53" t="str">
        <f t="shared" si="103"/>
        <v/>
      </c>
      <c r="BK151" s="53" t="str">
        <f t="shared" si="104"/>
        <v/>
      </c>
    </row>
    <row r="152" spans="1:63">
      <c r="A152" s="53">
        <v>53</v>
      </c>
      <c r="B152" s="89" t="str">
        <f>IFERROR(VLOOKUP($A152,EntryList!$A$3:$N$645,2,FALSE),"")</f>
        <v>Paul Combrinck</v>
      </c>
      <c r="C152" s="74"/>
      <c r="D152" s="53">
        <f t="shared" si="70"/>
        <v>3</v>
      </c>
      <c r="E152" s="62"/>
      <c r="F152" s="62">
        <v>2.879953703703704E-3</v>
      </c>
      <c r="G152" s="62">
        <v>1.7513541666666667E-3</v>
      </c>
      <c r="H152" s="62"/>
      <c r="I152" s="62">
        <v>3.9010995370370367E-3</v>
      </c>
      <c r="J152" s="62"/>
      <c r="K152" s="62"/>
      <c r="L152" s="62"/>
      <c r="M152" s="62">
        <v>8.532407407407407E-3</v>
      </c>
      <c r="N152" s="62">
        <f t="shared" si="71"/>
        <v>8.5324074074074087E-3</v>
      </c>
      <c r="O152" s="53" t="str">
        <f t="shared" si="72"/>
        <v/>
      </c>
      <c r="P152" s="53">
        <f t="shared" si="73"/>
        <v>84</v>
      </c>
      <c r="Q152" s="53">
        <f t="shared" si="74"/>
        <v>114</v>
      </c>
      <c r="R152" s="53" t="str">
        <f t="shared" si="75"/>
        <v/>
      </c>
      <c r="S152" s="53">
        <f t="shared" si="76"/>
        <v>79</v>
      </c>
      <c r="T152" s="53" t="str">
        <f t="shared" si="77"/>
        <v/>
      </c>
      <c r="U152" s="53" t="str">
        <f t="shared" si="78"/>
        <v/>
      </c>
      <c r="V152" s="53" t="str">
        <f t="shared" si="79"/>
        <v/>
      </c>
      <c r="W152" s="53" t="str">
        <f t="shared" si="80"/>
        <v>DNS/DNF ()</v>
      </c>
      <c r="X152" s="53" t="str">
        <f t="shared" si="81"/>
        <v>00:04:08.8 (84)</v>
      </c>
      <c r="Y152" s="53" t="str">
        <f t="shared" si="82"/>
        <v>00:02:31.3 (114)</v>
      </c>
      <c r="Z152" s="53" t="str">
        <f t="shared" si="83"/>
        <v>DNS/DNF ()</v>
      </c>
      <c r="AA152" s="53" t="str">
        <f t="shared" si="84"/>
        <v>00:05:37.1 (79)</v>
      </c>
      <c r="AB152" s="53" t="str">
        <f t="shared" si="85"/>
        <v>DNS/DNF ()</v>
      </c>
      <c r="AC152" s="53" t="str">
        <f t="shared" si="86"/>
        <v>DNS/DNF ()</v>
      </c>
      <c r="AD152" s="53" t="str">
        <f t="shared" si="87"/>
        <v>DNS/DNF ()</v>
      </c>
      <c r="AE152" s="53">
        <v>0</v>
      </c>
      <c r="AF152" s="53">
        <v>0</v>
      </c>
      <c r="AG152" s="53">
        <v>30586495</v>
      </c>
      <c r="AH152" s="53">
        <v>30835323</v>
      </c>
      <c r="AI152" s="53">
        <v>33000065</v>
      </c>
      <c r="AJ152" s="53">
        <v>33151382</v>
      </c>
      <c r="AK152" s="53">
        <v>0</v>
      </c>
      <c r="AL152" s="53">
        <v>0</v>
      </c>
      <c r="AM152" s="53">
        <v>36733668</v>
      </c>
      <c r="AN152" s="53">
        <v>37070723</v>
      </c>
      <c r="AO152" s="53">
        <v>0</v>
      </c>
      <c r="AP152" s="53">
        <v>0</v>
      </c>
      <c r="AQ152" s="53">
        <v>0</v>
      </c>
      <c r="AR152" s="53">
        <v>0</v>
      </c>
      <c r="AS152" s="53">
        <v>0</v>
      </c>
      <c r="AT152" s="53">
        <v>0</v>
      </c>
      <c r="AU152" s="62" t="str">
        <f t="shared" si="88"/>
        <v>DNS/DNF</v>
      </c>
      <c r="AV152" s="62">
        <f t="shared" si="89"/>
        <v>2.8799537037037036E-3</v>
      </c>
      <c r="AW152" s="62">
        <f t="shared" si="90"/>
        <v>1.7513541666666667E-3</v>
      </c>
      <c r="AX152" s="62" t="str">
        <f t="shared" si="91"/>
        <v>DNS/DNF</v>
      </c>
      <c r="AY152" s="62">
        <f t="shared" si="92"/>
        <v>3.9010995370370371E-3</v>
      </c>
      <c r="AZ152" s="62" t="str">
        <f t="shared" si="93"/>
        <v>DNS/DNF</v>
      </c>
      <c r="BA152" s="62" t="str">
        <f t="shared" si="94"/>
        <v>DNS/DNF</v>
      </c>
      <c r="BB152" s="62" t="str">
        <f t="shared" si="95"/>
        <v>DNS/DNF</v>
      </c>
      <c r="BC152" s="75">
        <f t="shared" si="96"/>
        <v>92</v>
      </c>
      <c r="BD152" s="53">
        <f t="shared" si="97"/>
        <v>275746</v>
      </c>
      <c r="BE152" s="53">
        <f t="shared" si="98"/>
        <v>252630.00000000003</v>
      </c>
      <c r="BF152" s="53">
        <f t="shared" si="99"/>
        <v>145826</v>
      </c>
      <c r="BG152" s="53">
        <f t="shared" si="100"/>
        <v>296542</v>
      </c>
      <c r="BH152" s="53">
        <f t="shared" si="101"/>
        <v>342364</v>
      </c>
      <c r="BI152" s="53" t="str">
        <f t="shared" si="102"/>
        <v/>
      </c>
      <c r="BJ152" s="53" t="str">
        <f t="shared" si="103"/>
        <v/>
      </c>
      <c r="BK152" s="53" t="str">
        <f t="shared" si="104"/>
        <v/>
      </c>
    </row>
    <row r="153" spans="1:63">
      <c r="A153" s="53">
        <v>154</v>
      </c>
      <c r="B153" s="89" t="str">
        <f>IFERROR(VLOOKUP($A153,EntryList!$A$3:$N$645,2,FALSE),"")</f>
        <v>Philip Viljoen</v>
      </c>
      <c r="C153" s="74"/>
      <c r="D153" s="53">
        <f t="shared" si="70"/>
        <v>3</v>
      </c>
      <c r="E153" s="62">
        <v>2.9465162037037034E-3</v>
      </c>
      <c r="F153" s="62"/>
      <c r="G153" s="62">
        <v>1.8680671296296295E-3</v>
      </c>
      <c r="H153" s="62"/>
      <c r="I153" s="62">
        <v>3.820138888888889E-3</v>
      </c>
      <c r="J153" s="62"/>
      <c r="K153" s="62"/>
      <c r="L153" s="62"/>
      <c r="M153" s="62">
        <v>8.6347222222222225E-3</v>
      </c>
      <c r="N153" s="62">
        <f t="shared" si="71"/>
        <v>8.6347222222222225E-3</v>
      </c>
      <c r="O153" s="53">
        <f t="shared" si="72"/>
        <v>77</v>
      </c>
      <c r="P153" s="53" t="str">
        <f t="shared" si="73"/>
        <v/>
      </c>
      <c r="Q153" s="53">
        <f t="shared" si="74"/>
        <v>162</v>
      </c>
      <c r="R153" s="53" t="str">
        <f t="shared" si="75"/>
        <v/>
      </c>
      <c r="S153" s="53">
        <f t="shared" si="76"/>
        <v>67</v>
      </c>
      <c r="T153" s="53" t="str">
        <f t="shared" si="77"/>
        <v/>
      </c>
      <c r="U153" s="53" t="str">
        <f t="shared" si="78"/>
        <v/>
      </c>
      <c r="V153" s="53" t="str">
        <f t="shared" si="79"/>
        <v/>
      </c>
      <c r="W153" s="53" t="str">
        <f t="shared" si="80"/>
        <v>00:04:14.6 (77)</v>
      </c>
      <c r="X153" s="53" t="str">
        <f t="shared" si="81"/>
        <v>DNS/DNF ()</v>
      </c>
      <c r="Y153" s="53" t="str">
        <f t="shared" si="82"/>
        <v>00:02:41.4 (162)</v>
      </c>
      <c r="Z153" s="53" t="str">
        <f t="shared" si="83"/>
        <v>DNS/DNF ()</v>
      </c>
      <c r="AA153" s="53" t="str">
        <f t="shared" si="84"/>
        <v>00:05:30.1 (67)</v>
      </c>
      <c r="AB153" s="53" t="str">
        <f t="shared" si="85"/>
        <v>DNS/DNF ()</v>
      </c>
      <c r="AC153" s="53" t="str">
        <f t="shared" si="86"/>
        <v>DNS/DNF ()</v>
      </c>
      <c r="AD153" s="53" t="str">
        <f t="shared" si="87"/>
        <v>DNS/DNF ()</v>
      </c>
      <c r="AE153" s="53">
        <v>28135810</v>
      </c>
      <c r="AF153" s="53">
        <v>28390389</v>
      </c>
      <c r="AG153" s="53">
        <v>0</v>
      </c>
      <c r="AH153" s="53">
        <v>0</v>
      </c>
      <c r="AI153" s="53">
        <v>30580798</v>
      </c>
      <c r="AJ153" s="53">
        <v>30742199</v>
      </c>
      <c r="AK153" s="53">
        <v>0</v>
      </c>
      <c r="AL153" s="53">
        <v>32070682</v>
      </c>
      <c r="AM153" s="53">
        <v>36257769</v>
      </c>
      <c r="AN153" s="53">
        <v>36587829</v>
      </c>
      <c r="AO153" s="53">
        <v>0</v>
      </c>
      <c r="AP153" s="53">
        <v>0</v>
      </c>
      <c r="AQ153" s="53">
        <v>0</v>
      </c>
      <c r="AR153" s="53">
        <v>0</v>
      </c>
      <c r="AS153" s="53">
        <v>0</v>
      </c>
      <c r="AT153" s="53">
        <v>0</v>
      </c>
      <c r="AU153" s="62">
        <f t="shared" si="88"/>
        <v>2.9465162037037038E-3</v>
      </c>
      <c r="AV153" s="62" t="str">
        <f t="shared" si="89"/>
        <v>DNS/DNF</v>
      </c>
      <c r="AW153" s="62">
        <f t="shared" si="90"/>
        <v>1.8680671296296297E-3</v>
      </c>
      <c r="AX153" s="62" t="str">
        <f t="shared" si="91"/>
        <v>DNS/DNF</v>
      </c>
      <c r="AY153" s="62">
        <f t="shared" si="92"/>
        <v>3.820138888888889E-3</v>
      </c>
      <c r="AZ153" s="62" t="str">
        <f t="shared" si="93"/>
        <v>DNS/DNF</v>
      </c>
      <c r="BA153" s="62" t="str">
        <f t="shared" si="94"/>
        <v>DNS/DNF</v>
      </c>
      <c r="BB153" s="62" t="str">
        <f t="shared" si="95"/>
        <v>DNS/DNF</v>
      </c>
      <c r="BC153" s="75">
        <f t="shared" si="96"/>
        <v>102</v>
      </c>
      <c r="BD153" s="53">
        <f t="shared" si="97"/>
        <v>286786</v>
      </c>
      <c r="BE153" s="53">
        <f t="shared" si="98"/>
        <v>256902</v>
      </c>
      <c r="BF153" s="53">
        <f t="shared" si="99"/>
        <v>147652</v>
      </c>
      <c r="BG153" s="53">
        <f t="shared" si="100"/>
        <v>304902</v>
      </c>
      <c r="BH153" s="53">
        <f t="shared" si="101"/>
        <v>348108</v>
      </c>
      <c r="BI153" s="53" t="str">
        <f t="shared" si="102"/>
        <v/>
      </c>
      <c r="BJ153" s="53" t="str">
        <f t="shared" si="103"/>
        <v/>
      </c>
      <c r="BK153" s="53" t="str">
        <f t="shared" si="104"/>
        <v/>
      </c>
    </row>
    <row r="154" spans="1:63">
      <c r="A154" s="53">
        <v>209</v>
      </c>
      <c r="B154" s="89" t="str">
        <f>IFERROR(VLOOKUP($A154,EntryList!$A$3:$N$645,2,FALSE),"")</f>
        <v>Jack Goosen</v>
      </c>
      <c r="C154" s="74"/>
      <c r="D154" s="53">
        <f t="shared" si="70"/>
        <v>3</v>
      </c>
      <c r="E154" s="62"/>
      <c r="F154" s="62">
        <v>3.0861805555555556E-3</v>
      </c>
      <c r="G154" s="62">
        <v>1.6548495370370369E-3</v>
      </c>
      <c r="H154" s="62"/>
      <c r="I154" s="62">
        <v>3.9020717592592592E-3</v>
      </c>
      <c r="J154" s="62"/>
      <c r="K154" s="62"/>
      <c r="L154" s="62"/>
      <c r="M154" s="62">
        <v>8.6431018518518515E-3</v>
      </c>
      <c r="N154" s="62">
        <f t="shared" si="71"/>
        <v>8.6431018518518515E-3</v>
      </c>
      <c r="O154" s="53" t="str">
        <f t="shared" si="72"/>
        <v/>
      </c>
      <c r="P154" s="53">
        <f t="shared" si="73"/>
        <v>126</v>
      </c>
      <c r="Q154" s="53">
        <f t="shared" si="74"/>
        <v>85</v>
      </c>
      <c r="R154" s="53" t="str">
        <f t="shared" si="75"/>
        <v/>
      </c>
      <c r="S154" s="53">
        <f t="shared" si="76"/>
        <v>80</v>
      </c>
      <c r="T154" s="53" t="str">
        <f t="shared" si="77"/>
        <v/>
      </c>
      <c r="U154" s="53" t="str">
        <f t="shared" si="78"/>
        <v/>
      </c>
      <c r="V154" s="53" t="str">
        <f t="shared" si="79"/>
        <v/>
      </c>
      <c r="W154" s="53" t="str">
        <f t="shared" si="80"/>
        <v>DNS/DNF ()</v>
      </c>
      <c r="X154" s="53" t="str">
        <f t="shared" si="81"/>
        <v>00:04:26.6 (126)</v>
      </c>
      <c r="Y154" s="53" t="str">
        <f t="shared" si="82"/>
        <v>00:02:23.0 (85)</v>
      </c>
      <c r="Z154" s="53" t="str">
        <f t="shared" si="83"/>
        <v>DNS/DNF ()</v>
      </c>
      <c r="AA154" s="53" t="str">
        <f t="shared" si="84"/>
        <v>00:05:37.1 (80)</v>
      </c>
      <c r="AB154" s="53" t="str">
        <f t="shared" si="85"/>
        <v>DNS/DNF ()</v>
      </c>
      <c r="AC154" s="53" t="str">
        <f t="shared" si="86"/>
        <v>DNS/DNF ()</v>
      </c>
      <c r="AD154" s="53" t="str">
        <f t="shared" si="87"/>
        <v>DNS/DNF ()</v>
      </c>
      <c r="AE154" s="53">
        <v>0</v>
      </c>
      <c r="AF154" s="53">
        <v>0</v>
      </c>
      <c r="AG154" s="53">
        <v>32818284</v>
      </c>
      <c r="AH154" s="53">
        <v>33084930</v>
      </c>
      <c r="AI154" s="53">
        <v>36025603</v>
      </c>
      <c r="AJ154" s="53">
        <v>36168582</v>
      </c>
      <c r="AK154" s="53">
        <v>0</v>
      </c>
      <c r="AL154" s="53">
        <v>0</v>
      </c>
      <c r="AM154" s="53">
        <v>40759812</v>
      </c>
      <c r="AN154" s="53">
        <v>41096951</v>
      </c>
      <c r="AO154" s="53">
        <v>0</v>
      </c>
      <c r="AP154" s="53">
        <v>0</v>
      </c>
      <c r="AQ154" s="53">
        <v>0</v>
      </c>
      <c r="AR154" s="53">
        <v>0</v>
      </c>
      <c r="AS154" s="53">
        <v>0</v>
      </c>
      <c r="AT154" s="53">
        <v>0</v>
      </c>
      <c r="AU154" s="62" t="str">
        <f t="shared" si="88"/>
        <v>DNS/DNF</v>
      </c>
      <c r="AV154" s="62">
        <f t="shared" si="89"/>
        <v>3.0861805555555556E-3</v>
      </c>
      <c r="AW154" s="62">
        <f t="shared" si="90"/>
        <v>1.6548495370370371E-3</v>
      </c>
      <c r="AX154" s="62" t="str">
        <f t="shared" si="91"/>
        <v>DNS/DNF</v>
      </c>
      <c r="AY154" s="62">
        <f t="shared" si="92"/>
        <v>3.9020717592592592E-3</v>
      </c>
      <c r="AZ154" s="62" t="str">
        <f t="shared" si="93"/>
        <v>DNS/DNF</v>
      </c>
      <c r="BA154" s="62" t="str">
        <f t="shared" si="94"/>
        <v>DNS/DNF</v>
      </c>
      <c r="BB154" s="62" t="str">
        <f t="shared" si="95"/>
        <v>DNS/DNF</v>
      </c>
      <c r="BC154" s="75">
        <f t="shared" si="96"/>
        <v>97</v>
      </c>
      <c r="BD154" s="53">
        <f t="shared" si="97"/>
        <v>278351</v>
      </c>
      <c r="BE154" s="53">
        <f t="shared" si="98"/>
        <v>254490</v>
      </c>
      <c r="BF154" s="53">
        <f t="shared" si="99"/>
        <v>146362</v>
      </c>
      <c r="BG154" s="53">
        <f t="shared" si="100"/>
        <v>301363</v>
      </c>
      <c r="BH154" s="53">
        <f t="shared" si="101"/>
        <v>344306</v>
      </c>
      <c r="BI154" s="53" t="str">
        <f t="shared" si="102"/>
        <v/>
      </c>
      <c r="BJ154" s="53" t="str">
        <f t="shared" si="103"/>
        <v/>
      </c>
      <c r="BK154" s="53" t="str">
        <f t="shared" si="104"/>
        <v/>
      </c>
    </row>
    <row r="155" spans="1:63">
      <c r="A155" s="53">
        <v>211</v>
      </c>
      <c r="B155" s="89" t="str">
        <f>IFERROR(VLOOKUP($A155,EntryList!$A$3:$N$645,2,FALSE),"")</f>
        <v>Jonathan Dunkley</v>
      </c>
      <c r="C155" s="74"/>
      <c r="D155" s="53">
        <f t="shared" si="70"/>
        <v>3</v>
      </c>
      <c r="E155" s="62"/>
      <c r="F155" s="62">
        <v>2.9228703703703704E-3</v>
      </c>
      <c r="G155" s="62">
        <v>1.7577314814814816E-3</v>
      </c>
      <c r="H155" s="62"/>
      <c r="I155" s="62">
        <v>3.9795833333333332E-3</v>
      </c>
      <c r="J155" s="62"/>
      <c r="K155" s="62"/>
      <c r="L155" s="62"/>
      <c r="M155" s="62">
        <v>8.6601851851851857E-3</v>
      </c>
      <c r="N155" s="62">
        <f t="shared" si="71"/>
        <v>8.660185185185184E-3</v>
      </c>
      <c r="O155" s="53" t="str">
        <f t="shared" si="72"/>
        <v/>
      </c>
      <c r="P155" s="53">
        <f t="shared" si="73"/>
        <v>91</v>
      </c>
      <c r="Q155" s="53">
        <f t="shared" si="74"/>
        <v>120</v>
      </c>
      <c r="R155" s="53" t="str">
        <f t="shared" si="75"/>
        <v/>
      </c>
      <c r="S155" s="53">
        <f t="shared" si="76"/>
        <v>96</v>
      </c>
      <c r="T155" s="53" t="str">
        <f t="shared" si="77"/>
        <v/>
      </c>
      <c r="U155" s="53" t="str">
        <f t="shared" si="78"/>
        <v/>
      </c>
      <c r="V155" s="53" t="str">
        <f t="shared" si="79"/>
        <v/>
      </c>
      <c r="W155" s="53" t="str">
        <f t="shared" si="80"/>
        <v>DNS/DNF ()</v>
      </c>
      <c r="X155" s="53" t="str">
        <f t="shared" si="81"/>
        <v>00:04:12.5 (91)</v>
      </c>
      <c r="Y155" s="53" t="str">
        <f t="shared" si="82"/>
        <v>00:02:31.9 (120)</v>
      </c>
      <c r="Z155" s="53" t="str">
        <f t="shared" si="83"/>
        <v>DNS/DNF ()</v>
      </c>
      <c r="AA155" s="53" t="str">
        <f t="shared" si="84"/>
        <v>00:05:43.8 (96)</v>
      </c>
      <c r="AB155" s="53" t="str">
        <f t="shared" si="85"/>
        <v>DNS/DNF ()</v>
      </c>
      <c r="AC155" s="53" t="str">
        <f t="shared" si="86"/>
        <v>DNS/DNF ()</v>
      </c>
      <c r="AD155" s="53" t="str">
        <f t="shared" si="87"/>
        <v>DNS/DNF ()</v>
      </c>
      <c r="AE155" s="53">
        <v>0</v>
      </c>
      <c r="AF155" s="53">
        <v>0</v>
      </c>
      <c r="AG155" s="53">
        <v>36183700</v>
      </c>
      <c r="AH155" s="53">
        <v>36436236</v>
      </c>
      <c r="AI155" s="53">
        <v>40586972</v>
      </c>
      <c r="AJ155" s="53">
        <v>40738840</v>
      </c>
      <c r="AK155" s="53">
        <v>0</v>
      </c>
      <c r="AL155" s="53">
        <v>0</v>
      </c>
      <c r="AM155" s="53">
        <v>45872088</v>
      </c>
      <c r="AN155" s="53">
        <v>46215924</v>
      </c>
      <c r="AO155" s="53">
        <v>0</v>
      </c>
      <c r="AP155" s="53">
        <v>0</v>
      </c>
      <c r="AQ155" s="53">
        <v>0</v>
      </c>
      <c r="AR155" s="53">
        <v>0</v>
      </c>
      <c r="AS155" s="53">
        <v>0</v>
      </c>
      <c r="AT155" s="53">
        <v>0</v>
      </c>
      <c r="AU155" s="62" t="str">
        <f t="shared" si="88"/>
        <v>DNS/DNF</v>
      </c>
      <c r="AV155" s="62">
        <f t="shared" si="89"/>
        <v>2.9228703703703704E-3</v>
      </c>
      <c r="AW155" s="62">
        <f t="shared" si="90"/>
        <v>1.7577314814814814E-3</v>
      </c>
      <c r="AX155" s="62" t="str">
        <f t="shared" si="91"/>
        <v>DNS/DNF</v>
      </c>
      <c r="AY155" s="62">
        <f t="shared" si="92"/>
        <v>3.9795833333333332E-3</v>
      </c>
      <c r="AZ155" s="62" t="str">
        <f t="shared" si="93"/>
        <v>DNS/DNF</v>
      </c>
      <c r="BA155" s="62" t="str">
        <f t="shared" si="94"/>
        <v>DNS/DNF</v>
      </c>
      <c r="BB155" s="62" t="str">
        <f t="shared" si="95"/>
        <v>DNS/DNF</v>
      </c>
      <c r="BC155" s="75">
        <f t="shared" si="96"/>
        <v>102</v>
      </c>
      <c r="BD155" s="53">
        <f t="shared" si="97"/>
        <v>286786</v>
      </c>
      <c r="BE155" s="53">
        <f t="shared" si="98"/>
        <v>256902</v>
      </c>
      <c r="BF155" s="53">
        <f t="shared" si="99"/>
        <v>147652</v>
      </c>
      <c r="BG155" s="53">
        <f t="shared" si="100"/>
        <v>304902</v>
      </c>
      <c r="BH155" s="53">
        <f t="shared" si="101"/>
        <v>348108</v>
      </c>
      <c r="BI155" s="53" t="str">
        <f t="shared" si="102"/>
        <v/>
      </c>
      <c r="BJ155" s="53" t="str">
        <f t="shared" si="103"/>
        <v/>
      </c>
      <c r="BK155" s="53" t="str">
        <f t="shared" si="104"/>
        <v/>
      </c>
    </row>
    <row r="156" spans="1:63">
      <c r="A156" s="53">
        <v>182</v>
      </c>
      <c r="B156" s="89" t="str">
        <f>IFERROR(VLOOKUP($A156,EntryList!$A$3:$N$645,2,FALSE),"")</f>
        <v>Aaron Budke</v>
      </c>
      <c r="C156" s="74"/>
      <c r="D156" s="53">
        <f t="shared" si="70"/>
        <v>3</v>
      </c>
      <c r="E156" s="62"/>
      <c r="F156" s="62">
        <v>3.0809837962962965E-3</v>
      </c>
      <c r="G156" s="62">
        <v>1.7243402777777778E-3</v>
      </c>
      <c r="H156" s="62"/>
      <c r="I156" s="62">
        <v>3.8697106481481482E-3</v>
      </c>
      <c r="J156" s="62"/>
      <c r="K156" s="62"/>
      <c r="L156" s="62"/>
      <c r="M156" s="62">
        <v>8.6750347222222229E-3</v>
      </c>
      <c r="N156" s="62">
        <f t="shared" si="71"/>
        <v>8.6750347222222229E-3</v>
      </c>
      <c r="O156" s="53" t="str">
        <f t="shared" si="72"/>
        <v/>
      </c>
      <c r="P156" s="53">
        <f t="shared" si="73"/>
        <v>125</v>
      </c>
      <c r="Q156" s="53">
        <f t="shared" si="74"/>
        <v>107</v>
      </c>
      <c r="R156" s="53" t="str">
        <f t="shared" si="75"/>
        <v/>
      </c>
      <c r="S156" s="53">
        <f t="shared" si="76"/>
        <v>76</v>
      </c>
      <c r="T156" s="53" t="str">
        <f t="shared" si="77"/>
        <v/>
      </c>
      <c r="U156" s="53" t="str">
        <f t="shared" si="78"/>
        <v/>
      </c>
      <c r="V156" s="53" t="str">
        <f t="shared" si="79"/>
        <v/>
      </c>
      <c r="W156" s="53" t="str">
        <f t="shared" si="80"/>
        <v>DNS/DNF ()</v>
      </c>
      <c r="X156" s="53" t="str">
        <f t="shared" si="81"/>
        <v>00:04:26.2 (125)</v>
      </c>
      <c r="Y156" s="53" t="str">
        <f t="shared" si="82"/>
        <v>00:02:29.0 (107)</v>
      </c>
      <c r="Z156" s="53" t="str">
        <f t="shared" si="83"/>
        <v>DNS/DNF ()</v>
      </c>
      <c r="AA156" s="53" t="str">
        <f t="shared" si="84"/>
        <v>00:05:34.3 (76)</v>
      </c>
      <c r="AB156" s="53" t="str">
        <f t="shared" si="85"/>
        <v>DNS/DNF ()</v>
      </c>
      <c r="AC156" s="53" t="str">
        <f t="shared" si="86"/>
        <v>DNS/DNF ()</v>
      </c>
      <c r="AD156" s="53" t="str">
        <f t="shared" si="87"/>
        <v>DNS/DNF ()</v>
      </c>
      <c r="AE156" s="53">
        <v>0</v>
      </c>
      <c r="AF156" s="53">
        <v>0</v>
      </c>
      <c r="AG156" s="53">
        <v>37052212</v>
      </c>
      <c r="AH156" s="53">
        <v>37318409</v>
      </c>
      <c r="AI156" s="53">
        <v>32883914</v>
      </c>
      <c r="AJ156" s="53">
        <v>33032897</v>
      </c>
      <c r="AK156" s="53">
        <v>0</v>
      </c>
      <c r="AL156" s="53">
        <v>0</v>
      </c>
      <c r="AM156" s="53">
        <v>40229706</v>
      </c>
      <c r="AN156" s="53">
        <v>40564049</v>
      </c>
      <c r="AO156" s="53">
        <v>0</v>
      </c>
      <c r="AP156" s="53">
        <v>0</v>
      </c>
      <c r="AQ156" s="53">
        <v>0</v>
      </c>
      <c r="AR156" s="53">
        <v>0</v>
      </c>
      <c r="AS156" s="53">
        <v>0</v>
      </c>
      <c r="AT156" s="53">
        <v>0</v>
      </c>
      <c r="AU156" s="62" t="str">
        <f t="shared" si="88"/>
        <v>DNS/DNF</v>
      </c>
      <c r="AV156" s="62">
        <f t="shared" si="89"/>
        <v>3.0809837962962965E-3</v>
      </c>
      <c r="AW156" s="62">
        <f t="shared" si="90"/>
        <v>1.7243402777777778E-3</v>
      </c>
      <c r="AX156" s="62" t="str">
        <f t="shared" si="91"/>
        <v>DNS/DNF</v>
      </c>
      <c r="AY156" s="62">
        <f t="shared" si="92"/>
        <v>3.8697106481481482E-3</v>
      </c>
      <c r="AZ156" s="62" t="str">
        <f t="shared" si="93"/>
        <v>DNS/DNF</v>
      </c>
      <c r="BA156" s="62" t="str">
        <f t="shared" si="94"/>
        <v>DNS/DNF</v>
      </c>
      <c r="BB156" s="62" t="str">
        <f t="shared" si="95"/>
        <v>DNS/DNF</v>
      </c>
      <c r="BC156" s="75">
        <f t="shared" si="96"/>
        <v>103</v>
      </c>
      <c r="BD156" s="53">
        <f t="shared" si="97"/>
        <v>288879</v>
      </c>
      <c r="BE156" s="53">
        <f t="shared" si="98"/>
        <v>257553</v>
      </c>
      <c r="BF156" s="53">
        <f t="shared" si="99"/>
        <v>147702</v>
      </c>
      <c r="BG156" s="53">
        <f t="shared" si="100"/>
        <v>306594</v>
      </c>
      <c r="BH156" s="53">
        <f t="shared" si="101"/>
        <v>348270.99999999994</v>
      </c>
      <c r="BI156" s="53" t="str">
        <f t="shared" si="102"/>
        <v/>
      </c>
      <c r="BJ156" s="53" t="str">
        <f t="shared" si="103"/>
        <v/>
      </c>
      <c r="BK156" s="53" t="str">
        <f t="shared" si="104"/>
        <v/>
      </c>
    </row>
    <row r="157" spans="1:63">
      <c r="A157" s="53">
        <v>99</v>
      </c>
      <c r="B157" s="89" t="str">
        <f>IFERROR(VLOOKUP($A157,EntryList!$A$3:$N$645,2,FALSE),"")</f>
        <v>Lian De Jager</v>
      </c>
      <c r="C157" s="74"/>
      <c r="D157" s="53">
        <f t="shared" si="70"/>
        <v>3</v>
      </c>
      <c r="E157" s="62"/>
      <c r="F157" s="62">
        <v>3.182037037037037E-3</v>
      </c>
      <c r="G157" s="62">
        <v>1.6408564814814816E-3</v>
      </c>
      <c r="H157" s="62"/>
      <c r="I157" s="62">
        <v>3.8980902777777777E-3</v>
      </c>
      <c r="J157" s="62"/>
      <c r="K157" s="62"/>
      <c r="L157" s="62"/>
      <c r="M157" s="62">
        <v>8.7209837962962961E-3</v>
      </c>
      <c r="N157" s="62">
        <f t="shared" si="71"/>
        <v>8.7209837962962961E-3</v>
      </c>
      <c r="O157" s="53" t="str">
        <f t="shared" si="72"/>
        <v/>
      </c>
      <c r="P157" s="53">
        <f t="shared" si="73"/>
        <v>153</v>
      </c>
      <c r="Q157" s="53">
        <f t="shared" si="74"/>
        <v>81</v>
      </c>
      <c r="R157" s="53" t="str">
        <f t="shared" si="75"/>
        <v/>
      </c>
      <c r="S157" s="53">
        <f t="shared" si="76"/>
        <v>78</v>
      </c>
      <c r="T157" s="53" t="str">
        <f t="shared" si="77"/>
        <v/>
      </c>
      <c r="U157" s="53" t="str">
        <f t="shared" si="78"/>
        <v/>
      </c>
      <c r="V157" s="53" t="str">
        <f t="shared" si="79"/>
        <v/>
      </c>
      <c r="W157" s="53" t="str">
        <f t="shared" si="80"/>
        <v>DNS/DNF ()</v>
      </c>
      <c r="X157" s="53" t="str">
        <f t="shared" si="81"/>
        <v>00:04:34.9 (153)</v>
      </c>
      <c r="Y157" s="53" t="str">
        <f t="shared" si="82"/>
        <v>00:02:21.8 (81)</v>
      </c>
      <c r="Z157" s="53" t="str">
        <f t="shared" si="83"/>
        <v>DNS/DNF ()</v>
      </c>
      <c r="AA157" s="53" t="str">
        <f t="shared" si="84"/>
        <v>00:05:36.8 (78)</v>
      </c>
      <c r="AB157" s="53" t="str">
        <f t="shared" si="85"/>
        <v>DNS/DNF ()</v>
      </c>
      <c r="AC157" s="53" t="str">
        <f t="shared" si="86"/>
        <v>DNS/DNF ()</v>
      </c>
      <c r="AD157" s="53" t="str">
        <f t="shared" si="87"/>
        <v>DNS/DNF ()</v>
      </c>
      <c r="AE157" s="53">
        <v>0</v>
      </c>
      <c r="AF157" s="53">
        <v>0</v>
      </c>
      <c r="AG157" s="53">
        <v>36449108</v>
      </c>
      <c r="AH157" s="53">
        <v>36724036</v>
      </c>
      <c r="AI157" s="53">
        <v>40136664</v>
      </c>
      <c r="AJ157" s="53">
        <v>40278434</v>
      </c>
      <c r="AK157" s="53">
        <v>0</v>
      </c>
      <c r="AL157" s="53">
        <v>0</v>
      </c>
      <c r="AM157" s="53">
        <v>43622470</v>
      </c>
      <c r="AN157" s="53">
        <v>43959265</v>
      </c>
      <c r="AO157" s="53">
        <v>0</v>
      </c>
      <c r="AP157" s="53">
        <v>0</v>
      </c>
      <c r="AQ157" s="53">
        <v>0</v>
      </c>
      <c r="AR157" s="53">
        <v>0</v>
      </c>
      <c r="AS157" s="53">
        <v>0</v>
      </c>
      <c r="AT157" s="53">
        <v>0</v>
      </c>
      <c r="AU157" s="62" t="str">
        <f t="shared" si="88"/>
        <v>DNS/DNF</v>
      </c>
      <c r="AV157" s="62">
        <f t="shared" si="89"/>
        <v>3.182037037037037E-3</v>
      </c>
      <c r="AW157" s="62">
        <f t="shared" si="90"/>
        <v>1.6408564814814814E-3</v>
      </c>
      <c r="AX157" s="62" t="str">
        <f t="shared" si="91"/>
        <v>DNS/DNF</v>
      </c>
      <c r="AY157" s="62">
        <f t="shared" si="92"/>
        <v>3.8980902777777777E-3</v>
      </c>
      <c r="AZ157" s="62" t="str">
        <f t="shared" si="93"/>
        <v>DNS/DNF</v>
      </c>
      <c r="BA157" s="62" t="str">
        <f t="shared" si="94"/>
        <v>DNS/DNF</v>
      </c>
      <c r="BB157" s="62" t="str">
        <f t="shared" si="95"/>
        <v>DNS/DNF</v>
      </c>
      <c r="BC157" s="75">
        <f t="shared" si="96"/>
        <v>104</v>
      </c>
      <c r="BD157" s="53">
        <f t="shared" si="97"/>
        <v>289099</v>
      </c>
      <c r="BE157" s="53">
        <f t="shared" si="98"/>
        <v>257875.00000000003</v>
      </c>
      <c r="BF157" s="53">
        <f t="shared" si="99"/>
        <v>147732</v>
      </c>
      <c r="BG157" s="53">
        <f t="shared" si="100"/>
        <v>306982</v>
      </c>
      <c r="BH157" s="53">
        <f t="shared" si="101"/>
        <v>348729</v>
      </c>
      <c r="BI157" s="53" t="str">
        <f t="shared" si="102"/>
        <v/>
      </c>
      <c r="BJ157" s="53" t="str">
        <f t="shared" si="103"/>
        <v/>
      </c>
      <c r="BK157" s="53" t="str">
        <f t="shared" si="104"/>
        <v/>
      </c>
    </row>
    <row r="158" spans="1:63">
      <c r="A158" s="53">
        <v>267</v>
      </c>
      <c r="B158" s="89" t="str">
        <f>IFERROR(VLOOKUP($A158,EntryList!$A$3:$N$645,2,FALSE),"")</f>
        <v>Calum Marriott</v>
      </c>
      <c r="C158" s="74"/>
      <c r="D158" s="53">
        <f t="shared" si="70"/>
        <v>3</v>
      </c>
      <c r="E158" s="62"/>
      <c r="F158" s="62">
        <v>2.9864004629629633E-3</v>
      </c>
      <c r="G158" s="62">
        <v>1.6940046296296295E-3</v>
      </c>
      <c r="H158" s="62"/>
      <c r="I158" s="62">
        <v>4.050868055555555E-3</v>
      </c>
      <c r="J158" s="62"/>
      <c r="K158" s="62"/>
      <c r="L158" s="62"/>
      <c r="M158" s="62">
        <v>8.7312731481481477E-3</v>
      </c>
      <c r="N158" s="62">
        <f t="shared" si="71"/>
        <v>8.7312731481481477E-3</v>
      </c>
      <c r="O158" s="53" t="str">
        <f t="shared" si="72"/>
        <v/>
      </c>
      <c r="P158" s="53">
        <f t="shared" si="73"/>
        <v>106</v>
      </c>
      <c r="Q158" s="53">
        <f t="shared" si="74"/>
        <v>97</v>
      </c>
      <c r="R158" s="53" t="str">
        <f t="shared" si="75"/>
        <v/>
      </c>
      <c r="S158" s="53">
        <f t="shared" si="76"/>
        <v>108</v>
      </c>
      <c r="T158" s="53" t="str">
        <f t="shared" si="77"/>
        <v/>
      </c>
      <c r="U158" s="53" t="str">
        <f t="shared" si="78"/>
        <v/>
      </c>
      <c r="V158" s="53" t="str">
        <f t="shared" si="79"/>
        <v/>
      </c>
      <c r="W158" s="53" t="str">
        <f t="shared" si="80"/>
        <v>DNS/DNF ()</v>
      </c>
      <c r="X158" s="53" t="str">
        <f t="shared" si="81"/>
        <v>00:04:18.0 (106)</v>
      </c>
      <c r="Y158" s="53" t="str">
        <f t="shared" si="82"/>
        <v>00:02:26.4 (97)</v>
      </c>
      <c r="Z158" s="53" t="str">
        <f t="shared" si="83"/>
        <v>DNS/DNF ()</v>
      </c>
      <c r="AA158" s="53" t="str">
        <f t="shared" si="84"/>
        <v>00:05:50.0 (108)</v>
      </c>
      <c r="AB158" s="53" t="str">
        <f t="shared" si="85"/>
        <v>DNS/DNF ()</v>
      </c>
      <c r="AC158" s="53" t="str">
        <f t="shared" si="86"/>
        <v>DNS/DNF ()</v>
      </c>
      <c r="AD158" s="53" t="str">
        <f t="shared" si="87"/>
        <v>DNS/DNF ()</v>
      </c>
      <c r="AE158" s="53">
        <v>0</v>
      </c>
      <c r="AF158" s="53">
        <v>0</v>
      </c>
      <c r="AG158" s="53">
        <v>36317426</v>
      </c>
      <c r="AH158" s="53">
        <v>36575451</v>
      </c>
      <c r="AI158" s="53">
        <v>40497138</v>
      </c>
      <c r="AJ158" s="53">
        <v>40643500</v>
      </c>
      <c r="AK158" s="53">
        <v>0</v>
      </c>
      <c r="AL158" s="53">
        <v>0</v>
      </c>
      <c r="AM158" s="53">
        <v>44693260</v>
      </c>
      <c r="AN158" s="53">
        <v>45043255</v>
      </c>
      <c r="AO158" s="53">
        <v>0</v>
      </c>
      <c r="AP158" s="53">
        <v>0</v>
      </c>
      <c r="AQ158" s="53">
        <v>0</v>
      </c>
      <c r="AR158" s="53">
        <v>0</v>
      </c>
      <c r="AS158" s="53">
        <v>0</v>
      </c>
      <c r="AT158" s="53">
        <v>0</v>
      </c>
      <c r="AU158" s="62" t="str">
        <f t="shared" si="88"/>
        <v>DNS/DNF</v>
      </c>
      <c r="AV158" s="62">
        <f t="shared" si="89"/>
        <v>2.9864004629629628E-3</v>
      </c>
      <c r="AW158" s="62">
        <f t="shared" si="90"/>
        <v>1.6940046296296297E-3</v>
      </c>
      <c r="AX158" s="62" t="str">
        <f t="shared" si="91"/>
        <v>DNS/DNF</v>
      </c>
      <c r="AY158" s="62">
        <f t="shared" si="92"/>
        <v>4.0508680555555558E-3</v>
      </c>
      <c r="AZ158" s="62" t="str">
        <f t="shared" si="93"/>
        <v>DNS/DNF</v>
      </c>
      <c r="BA158" s="62" t="str">
        <f t="shared" si="94"/>
        <v>DNS/DNF</v>
      </c>
      <c r="BB158" s="62" t="str">
        <f t="shared" si="95"/>
        <v>DNS/DNF</v>
      </c>
      <c r="BC158" s="75">
        <f t="shared" si="96"/>
        <v>104</v>
      </c>
      <c r="BD158" s="53">
        <f t="shared" si="97"/>
        <v>289099</v>
      </c>
      <c r="BE158" s="53">
        <f t="shared" si="98"/>
        <v>257875.00000000003</v>
      </c>
      <c r="BF158" s="53">
        <f t="shared" si="99"/>
        <v>147732</v>
      </c>
      <c r="BG158" s="53">
        <f t="shared" si="100"/>
        <v>306982</v>
      </c>
      <c r="BH158" s="53">
        <f t="shared" si="101"/>
        <v>348729</v>
      </c>
      <c r="BI158" s="53" t="str">
        <f t="shared" si="102"/>
        <v/>
      </c>
      <c r="BJ158" s="53" t="str">
        <f t="shared" si="103"/>
        <v/>
      </c>
      <c r="BK158" s="53" t="str">
        <f t="shared" si="104"/>
        <v/>
      </c>
    </row>
    <row r="159" spans="1:63">
      <c r="A159" s="53">
        <v>278</v>
      </c>
      <c r="B159" s="89" t="str">
        <f>IFERROR(VLOOKUP($A159,EntryList!$A$3:$N$645,2,FALSE),"")</f>
        <v>Thomas Dawson</v>
      </c>
      <c r="C159" s="74"/>
      <c r="D159" s="53">
        <f t="shared" si="70"/>
        <v>3</v>
      </c>
      <c r="E159" s="62"/>
      <c r="F159" s="62">
        <v>2.966238425925926E-3</v>
      </c>
      <c r="G159" s="62">
        <v>1.6979745370370369E-3</v>
      </c>
      <c r="H159" s="62"/>
      <c r="I159" s="62">
        <v>4.0726388888888887E-3</v>
      </c>
      <c r="J159" s="62"/>
      <c r="K159" s="62"/>
      <c r="L159" s="62"/>
      <c r="M159" s="62">
        <v>8.7368518518518515E-3</v>
      </c>
      <c r="N159" s="62">
        <f t="shared" si="71"/>
        <v>8.7368518518518515E-3</v>
      </c>
      <c r="O159" s="53" t="str">
        <f t="shared" si="72"/>
        <v/>
      </c>
      <c r="P159" s="53">
        <f t="shared" si="73"/>
        <v>99</v>
      </c>
      <c r="Q159" s="53">
        <f t="shared" si="74"/>
        <v>98</v>
      </c>
      <c r="R159" s="53" t="str">
        <f t="shared" si="75"/>
        <v/>
      </c>
      <c r="S159" s="53">
        <f t="shared" si="76"/>
        <v>113</v>
      </c>
      <c r="T159" s="53" t="str">
        <f t="shared" si="77"/>
        <v/>
      </c>
      <c r="U159" s="53" t="str">
        <f t="shared" si="78"/>
        <v/>
      </c>
      <c r="V159" s="53" t="str">
        <f t="shared" si="79"/>
        <v/>
      </c>
      <c r="W159" s="53" t="str">
        <f t="shared" si="80"/>
        <v>DNS/DNF ()</v>
      </c>
      <c r="X159" s="53" t="str">
        <f t="shared" si="81"/>
        <v>00:04:16.3 (99)</v>
      </c>
      <c r="Y159" s="53" t="str">
        <f t="shared" si="82"/>
        <v>00:02:26.7 (98)</v>
      </c>
      <c r="Z159" s="53" t="str">
        <f t="shared" si="83"/>
        <v>DNS/DNF ()</v>
      </c>
      <c r="AA159" s="53" t="str">
        <f t="shared" si="84"/>
        <v>00:05:51.9 (113)</v>
      </c>
      <c r="AB159" s="53" t="str">
        <f t="shared" si="85"/>
        <v>DNS/DNF ()</v>
      </c>
      <c r="AC159" s="53" t="str">
        <f t="shared" si="86"/>
        <v>DNS/DNF ()</v>
      </c>
      <c r="AD159" s="53" t="str">
        <f t="shared" si="87"/>
        <v>DNS/DNF ()</v>
      </c>
      <c r="AE159" s="53">
        <v>0</v>
      </c>
      <c r="AF159" s="53">
        <v>0</v>
      </c>
      <c r="AG159" s="53">
        <v>38131473</v>
      </c>
      <c r="AH159" s="53">
        <v>38387756</v>
      </c>
      <c r="AI159" s="53">
        <v>33992051</v>
      </c>
      <c r="AJ159" s="53">
        <v>34138756</v>
      </c>
      <c r="AK159" s="53">
        <v>0</v>
      </c>
      <c r="AL159" s="53">
        <v>0</v>
      </c>
      <c r="AM159" s="53">
        <v>42698844</v>
      </c>
      <c r="AN159" s="53">
        <v>43050720</v>
      </c>
      <c r="AO159" s="53">
        <v>0</v>
      </c>
      <c r="AP159" s="53">
        <v>0</v>
      </c>
      <c r="AQ159" s="53">
        <v>0</v>
      </c>
      <c r="AR159" s="53">
        <v>0</v>
      </c>
      <c r="AS159" s="53">
        <v>0</v>
      </c>
      <c r="AT159" s="53">
        <v>0</v>
      </c>
      <c r="AU159" s="62" t="str">
        <f t="shared" si="88"/>
        <v>DNS/DNF</v>
      </c>
      <c r="AV159" s="62">
        <f t="shared" si="89"/>
        <v>2.966238425925926E-3</v>
      </c>
      <c r="AW159" s="62">
        <f t="shared" si="90"/>
        <v>1.6979745370370371E-3</v>
      </c>
      <c r="AX159" s="62" t="str">
        <f t="shared" si="91"/>
        <v>DNS/DNF</v>
      </c>
      <c r="AY159" s="62">
        <f t="shared" si="92"/>
        <v>4.0726388888888887E-3</v>
      </c>
      <c r="AZ159" s="62" t="str">
        <f t="shared" si="93"/>
        <v>DNS/DNF</v>
      </c>
      <c r="BA159" s="62" t="str">
        <f t="shared" si="94"/>
        <v>DNS/DNF</v>
      </c>
      <c r="BB159" s="62" t="str">
        <f t="shared" si="95"/>
        <v>DNS/DNF</v>
      </c>
      <c r="BC159" s="75">
        <f t="shared" si="96"/>
        <v>103</v>
      </c>
      <c r="BD159" s="53">
        <f t="shared" si="97"/>
        <v>288879</v>
      </c>
      <c r="BE159" s="53">
        <f t="shared" si="98"/>
        <v>257553</v>
      </c>
      <c r="BF159" s="53">
        <f t="shared" si="99"/>
        <v>147702</v>
      </c>
      <c r="BG159" s="53">
        <f t="shared" si="100"/>
        <v>306594</v>
      </c>
      <c r="BH159" s="53">
        <f t="shared" si="101"/>
        <v>348270.99999999994</v>
      </c>
      <c r="BI159" s="53" t="str">
        <f t="shared" si="102"/>
        <v/>
      </c>
      <c r="BJ159" s="53" t="str">
        <f t="shared" si="103"/>
        <v/>
      </c>
      <c r="BK159" s="53" t="str">
        <f t="shared" si="104"/>
        <v/>
      </c>
    </row>
    <row r="160" spans="1:63">
      <c r="A160" s="53">
        <v>109</v>
      </c>
      <c r="B160" s="89" t="str">
        <f>IFERROR(VLOOKUP($A160,EntryList!$A$3:$N$645,2,FALSE),"")</f>
        <v>Sean Stephens</v>
      </c>
      <c r="C160" s="74"/>
      <c r="D160" s="53">
        <f t="shared" si="70"/>
        <v>3</v>
      </c>
      <c r="E160" s="62"/>
      <c r="F160" s="62">
        <v>2.9846643518518516E-3</v>
      </c>
      <c r="G160" s="62">
        <v>1.7331944444444443E-3</v>
      </c>
      <c r="H160" s="62"/>
      <c r="I160" s="62">
        <v>4.0703819444444442E-3</v>
      </c>
      <c r="J160" s="62"/>
      <c r="K160" s="62"/>
      <c r="L160" s="62"/>
      <c r="M160" s="62">
        <v>8.7882407407407406E-3</v>
      </c>
      <c r="N160" s="62">
        <f t="shared" si="71"/>
        <v>8.7882407407407406E-3</v>
      </c>
      <c r="O160" s="53" t="str">
        <f t="shared" si="72"/>
        <v/>
      </c>
      <c r="P160" s="53">
        <f t="shared" si="73"/>
        <v>104</v>
      </c>
      <c r="Q160" s="53">
        <f t="shared" si="74"/>
        <v>110</v>
      </c>
      <c r="R160" s="53" t="str">
        <f t="shared" si="75"/>
        <v/>
      </c>
      <c r="S160" s="53">
        <f t="shared" si="76"/>
        <v>110</v>
      </c>
      <c r="T160" s="53" t="str">
        <f t="shared" si="77"/>
        <v/>
      </c>
      <c r="U160" s="53" t="str">
        <f t="shared" si="78"/>
        <v/>
      </c>
      <c r="V160" s="53" t="str">
        <f t="shared" si="79"/>
        <v/>
      </c>
      <c r="W160" s="53" t="str">
        <f t="shared" si="80"/>
        <v>DNS/DNF ()</v>
      </c>
      <c r="X160" s="53" t="str">
        <f t="shared" si="81"/>
        <v>00:04:17.9 (104)</v>
      </c>
      <c r="Y160" s="53" t="str">
        <f t="shared" si="82"/>
        <v>00:02:29.7 (110)</v>
      </c>
      <c r="Z160" s="53" t="str">
        <f t="shared" si="83"/>
        <v>DNS/DNF ()</v>
      </c>
      <c r="AA160" s="53" t="str">
        <f t="shared" si="84"/>
        <v>00:05:51.7 (110)</v>
      </c>
      <c r="AB160" s="53" t="str">
        <f t="shared" si="85"/>
        <v>DNS/DNF ()</v>
      </c>
      <c r="AC160" s="53" t="str">
        <f t="shared" si="86"/>
        <v>DNS/DNF ()</v>
      </c>
      <c r="AD160" s="53" t="str">
        <f t="shared" si="87"/>
        <v>DNS/DNF ()</v>
      </c>
      <c r="AE160" s="53">
        <v>0</v>
      </c>
      <c r="AF160" s="53">
        <v>0</v>
      </c>
      <c r="AG160" s="53">
        <v>37296120</v>
      </c>
      <c r="AH160" s="53">
        <v>37553995</v>
      </c>
      <c r="AI160" s="53">
        <v>41777480</v>
      </c>
      <c r="AJ160" s="53">
        <v>41927228</v>
      </c>
      <c r="AK160" s="53">
        <v>0</v>
      </c>
      <c r="AL160" s="53">
        <v>0</v>
      </c>
      <c r="AM160" s="53">
        <v>48403324</v>
      </c>
      <c r="AN160" s="53">
        <v>48755005</v>
      </c>
      <c r="AO160" s="53">
        <v>0</v>
      </c>
      <c r="AP160" s="53">
        <v>0</v>
      </c>
      <c r="AQ160" s="53">
        <v>0</v>
      </c>
      <c r="AR160" s="53">
        <v>0</v>
      </c>
      <c r="AS160" s="53">
        <v>0</v>
      </c>
      <c r="AT160" s="53">
        <v>0</v>
      </c>
      <c r="AU160" s="62" t="str">
        <f t="shared" si="88"/>
        <v>DNS/DNF</v>
      </c>
      <c r="AV160" s="62">
        <f t="shared" si="89"/>
        <v>2.9846643518518521E-3</v>
      </c>
      <c r="AW160" s="62">
        <f t="shared" si="90"/>
        <v>1.7331944444444445E-3</v>
      </c>
      <c r="AX160" s="62" t="str">
        <f t="shared" si="91"/>
        <v>DNS/DNF</v>
      </c>
      <c r="AY160" s="62">
        <f t="shared" si="92"/>
        <v>4.0703819444444442E-3</v>
      </c>
      <c r="AZ160" s="62" t="str">
        <f t="shared" si="93"/>
        <v>DNS/DNF</v>
      </c>
      <c r="BA160" s="62" t="str">
        <f t="shared" si="94"/>
        <v>DNS/DNF</v>
      </c>
      <c r="BB160" s="62" t="str">
        <f t="shared" si="95"/>
        <v>DNS/DNF</v>
      </c>
      <c r="BC160" s="75">
        <f t="shared" si="96"/>
        <v>108</v>
      </c>
      <c r="BD160" s="53">
        <f t="shared" si="97"/>
        <v>297983</v>
      </c>
      <c r="BE160" s="53">
        <f t="shared" si="98"/>
        <v>259110.99999999997</v>
      </c>
      <c r="BF160" s="53">
        <f t="shared" si="99"/>
        <v>149112</v>
      </c>
      <c r="BG160" s="53">
        <f t="shared" si="100"/>
        <v>311090</v>
      </c>
      <c r="BH160" s="53">
        <f t="shared" si="101"/>
        <v>349995</v>
      </c>
      <c r="BI160" s="53" t="str">
        <f t="shared" si="102"/>
        <v/>
      </c>
      <c r="BJ160" s="53" t="str">
        <f t="shared" si="103"/>
        <v/>
      </c>
      <c r="BK160" s="53" t="str">
        <f t="shared" si="104"/>
        <v/>
      </c>
    </row>
    <row r="161" spans="1:63">
      <c r="A161" s="53">
        <v>133</v>
      </c>
      <c r="B161" s="89" t="str">
        <f>IFERROR(VLOOKUP($A161,EntryList!$A$3:$N$645,2,FALSE),"")</f>
        <v>Christiaan De Villiers Snr</v>
      </c>
      <c r="C161" s="74"/>
      <c r="D161" s="53">
        <f t="shared" si="70"/>
        <v>3</v>
      </c>
      <c r="E161" s="62"/>
      <c r="F161" s="62">
        <v>3.0015162037037037E-3</v>
      </c>
      <c r="G161" s="62">
        <v>1.8539120370370374E-3</v>
      </c>
      <c r="H161" s="62"/>
      <c r="I161" s="62">
        <v>3.9348611111111112E-3</v>
      </c>
      <c r="J161" s="62"/>
      <c r="K161" s="62"/>
      <c r="L161" s="62"/>
      <c r="M161" s="62">
        <v>8.7902893518518512E-3</v>
      </c>
      <c r="N161" s="62">
        <f t="shared" si="71"/>
        <v>8.790289351851853E-3</v>
      </c>
      <c r="O161" s="53" t="str">
        <f t="shared" si="72"/>
        <v/>
      </c>
      <c r="P161" s="53">
        <f t="shared" si="73"/>
        <v>110</v>
      </c>
      <c r="Q161" s="53">
        <f t="shared" si="74"/>
        <v>152</v>
      </c>
      <c r="R161" s="53" t="str">
        <f t="shared" si="75"/>
        <v/>
      </c>
      <c r="S161" s="53">
        <f t="shared" si="76"/>
        <v>86</v>
      </c>
      <c r="T161" s="53" t="str">
        <f t="shared" si="77"/>
        <v/>
      </c>
      <c r="U161" s="53" t="str">
        <f t="shared" si="78"/>
        <v/>
      </c>
      <c r="V161" s="53" t="str">
        <f t="shared" si="79"/>
        <v/>
      </c>
      <c r="W161" s="53" t="str">
        <f t="shared" si="80"/>
        <v>DNS/DNF ()</v>
      </c>
      <c r="X161" s="53" t="str">
        <f t="shared" si="81"/>
        <v>00:04:19.3 (110)</v>
      </c>
      <c r="Y161" s="53" t="str">
        <f t="shared" si="82"/>
        <v>00:02:40.2 (152)</v>
      </c>
      <c r="Z161" s="53" t="str">
        <f t="shared" si="83"/>
        <v>DNS/DNF ()</v>
      </c>
      <c r="AA161" s="53" t="str">
        <f t="shared" si="84"/>
        <v>00:05:40.0 (86)</v>
      </c>
      <c r="AB161" s="53" t="str">
        <f t="shared" si="85"/>
        <v>DNS/DNF ()</v>
      </c>
      <c r="AC161" s="53" t="str">
        <f t="shared" si="86"/>
        <v>DNS/DNF ()</v>
      </c>
      <c r="AD161" s="53" t="str">
        <f t="shared" si="87"/>
        <v>DNS/DNF ()</v>
      </c>
      <c r="AE161" s="53">
        <v>0</v>
      </c>
      <c r="AF161" s="53">
        <v>0</v>
      </c>
      <c r="AG161" s="53">
        <v>35249198</v>
      </c>
      <c r="AH161" s="53">
        <v>35508529</v>
      </c>
      <c r="AI161" s="53">
        <v>38818369</v>
      </c>
      <c r="AJ161" s="53">
        <v>38978547</v>
      </c>
      <c r="AK161" s="53">
        <v>0</v>
      </c>
      <c r="AL161" s="53">
        <v>0</v>
      </c>
      <c r="AM161" s="53">
        <v>42483472</v>
      </c>
      <c r="AN161" s="53">
        <v>42823444</v>
      </c>
      <c r="AO161" s="53">
        <v>0</v>
      </c>
      <c r="AP161" s="53">
        <v>0</v>
      </c>
      <c r="AQ161" s="53">
        <v>0</v>
      </c>
      <c r="AR161" s="53">
        <v>0</v>
      </c>
      <c r="AS161" s="53">
        <v>0</v>
      </c>
      <c r="AT161" s="53">
        <v>0</v>
      </c>
      <c r="AU161" s="62" t="str">
        <f t="shared" si="88"/>
        <v>DNS/DNF</v>
      </c>
      <c r="AV161" s="62">
        <f t="shared" si="89"/>
        <v>3.0015162037037037E-3</v>
      </c>
      <c r="AW161" s="62">
        <f t="shared" si="90"/>
        <v>1.8539120370370369E-3</v>
      </c>
      <c r="AX161" s="62" t="str">
        <f t="shared" si="91"/>
        <v>DNS/DNF</v>
      </c>
      <c r="AY161" s="62">
        <f t="shared" si="92"/>
        <v>3.9348611111111112E-3</v>
      </c>
      <c r="AZ161" s="62" t="str">
        <f t="shared" si="93"/>
        <v>DNS/DNF</v>
      </c>
      <c r="BA161" s="62" t="str">
        <f t="shared" si="94"/>
        <v>DNS/DNF</v>
      </c>
      <c r="BB161" s="62" t="str">
        <f t="shared" si="95"/>
        <v>DNS/DNF</v>
      </c>
      <c r="BC161" s="75">
        <f t="shared" si="96"/>
        <v>116</v>
      </c>
      <c r="BD161" s="53">
        <f t="shared" si="97"/>
        <v>315207</v>
      </c>
      <c r="BE161" s="53">
        <f t="shared" si="98"/>
        <v>263002</v>
      </c>
      <c r="BF161" s="53">
        <f t="shared" si="99"/>
        <v>151602</v>
      </c>
      <c r="BG161" s="53">
        <f t="shared" si="100"/>
        <v>321001</v>
      </c>
      <c r="BH161" s="53">
        <f t="shared" si="101"/>
        <v>352232</v>
      </c>
      <c r="BI161" s="53" t="str">
        <f t="shared" si="102"/>
        <v/>
      </c>
      <c r="BJ161" s="53" t="str">
        <f t="shared" si="103"/>
        <v/>
      </c>
      <c r="BK161" s="53" t="str">
        <f t="shared" si="104"/>
        <v/>
      </c>
    </row>
    <row r="162" spans="1:63">
      <c r="A162" s="53">
        <v>189</v>
      </c>
      <c r="B162" s="89" t="str">
        <f>IFERROR(VLOOKUP($A162,EntryList!$A$3:$N$645,2,FALSE),"")</f>
        <v>Duncan Sephton</v>
      </c>
      <c r="C162" s="74"/>
      <c r="D162" s="53">
        <f t="shared" si="70"/>
        <v>3</v>
      </c>
      <c r="E162" s="62"/>
      <c r="F162" s="62">
        <v>2.9989699074074072E-3</v>
      </c>
      <c r="G162" s="62">
        <v>1.859976851851852E-3</v>
      </c>
      <c r="H162" s="62"/>
      <c r="I162" s="62">
        <v>3.9721759259259259E-3</v>
      </c>
      <c r="J162" s="62"/>
      <c r="K162" s="62"/>
      <c r="L162" s="62"/>
      <c r="M162" s="62">
        <v>8.8311226851851849E-3</v>
      </c>
      <c r="N162" s="62">
        <f t="shared" si="71"/>
        <v>8.8311226851851849E-3</v>
      </c>
      <c r="O162" s="53" t="str">
        <f t="shared" si="72"/>
        <v/>
      </c>
      <c r="P162" s="53">
        <f t="shared" si="73"/>
        <v>108</v>
      </c>
      <c r="Q162" s="53">
        <f t="shared" si="74"/>
        <v>157</v>
      </c>
      <c r="R162" s="53" t="str">
        <f t="shared" si="75"/>
        <v/>
      </c>
      <c r="S162" s="53">
        <f t="shared" si="76"/>
        <v>94</v>
      </c>
      <c r="T162" s="53" t="str">
        <f t="shared" si="77"/>
        <v/>
      </c>
      <c r="U162" s="53" t="str">
        <f t="shared" si="78"/>
        <v/>
      </c>
      <c r="V162" s="53" t="str">
        <f t="shared" si="79"/>
        <v/>
      </c>
      <c r="W162" s="53" t="str">
        <f t="shared" si="80"/>
        <v>DNS/DNF ()</v>
      </c>
      <c r="X162" s="53" t="str">
        <f t="shared" si="81"/>
        <v>00:04:19.1 (108)</v>
      </c>
      <c r="Y162" s="53" t="str">
        <f t="shared" si="82"/>
        <v>00:02:40.7 (157)</v>
      </c>
      <c r="Z162" s="53" t="str">
        <f t="shared" si="83"/>
        <v>DNS/DNF ()</v>
      </c>
      <c r="AA162" s="53" t="str">
        <f t="shared" si="84"/>
        <v>00:05:43.2 (94)</v>
      </c>
      <c r="AB162" s="53" t="str">
        <f t="shared" si="85"/>
        <v>DNS/DNF ()</v>
      </c>
      <c r="AC162" s="53" t="str">
        <f t="shared" si="86"/>
        <v>DNS/DNF ()</v>
      </c>
      <c r="AD162" s="53" t="str">
        <f t="shared" si="87"/>
        <v>DNS/DNF ()</v>
      </c>
      <c r="AE162" s="53">
        <v>0</v>
      </c>
      <c r="AF162" s="53">
        <v>0</v>
      </c>
      <c r="AG162" s="53">
        <v>37066600</v>
      </c>
      <c r="AH162" s="53">
        <v>37325711</v>
      </c>
      <c r="AI162" s="53">
        <v>32855691</v>
      </c>
      <c r="AJ162" s="53">
        <v>33016393</v>
      </c>
      <c r="AK162" s="53">
        <v>0</v>
      </c>
      <c r="AL162" s="53">
        <v>0</v>
      </c>
      <c r="AM162" s="53">
        <v>40242518</v>
      </c>
      <c r="AN162" s="53">
        <v>40585714</v>
      </c>
      <c r="AO162" s="53">
        <v>0</v>
      </c>
      <c r="AP162" s="53">
        <v>0</v>
      </c>
      <c r="AQ162" s="53">
        <v>0</v>
      </c>
      <c r="AR162" s="53">
        <v>0</v>
      </c>
      <c r="AS162" s="53">
        <v>0</v>
      </c>
      <c r="AT162" s="53">
        <v>0</v>
      </c>
      <c r="AU162" s="62" t="str">
        <f t="shared" si="88"/>
        <v>DNS/DNF</v>
      </c>
      <c r="AV162" s="62">
        <f t="shared" si="89"/>
        <v>2.9989699074074072E-3</v>
      </c>
      <c r="AW162" s="62">
        <f t="shared" si="90"/>
        <v>1.8599768518518518E-3</v>
      </c>
      <c r="AX162" s="62" t="str">
        <f t="shared" si="91"/>
        <v>DNS/DNF</v>
      </c>
      <c r="AY162" s="62">
        <f t="shared" si="92"/>
        <v>3.9721759259259259E-3</v>
      </c>
      <c r="AZ162" s="62" t="str">
        <f t="shared" si="93"/>
        <v>DNS/DNF</v>
      </c>
      <c r="BA162" s="62" t="str">
        <f t="shared" si="94"/>
        <v>DNS/DNF</v>
      </c>
      <c r="BB162" s="62" t="str">
        <f t="shared" si="95"/>
        <v>DNS/DNF</v>
      </c>
      <c r="BC162" s="75">
        <f t="shared" si="96"/>
        <v>120</v>
      </c>
      <c r="BD162" s="53">
        <f t="shared" si="97"/>
        <v>333949</v>
      </c>
      <c r="BE162" s="53">
        <f t="shared" si="98"/>
        <v>264618</v>
      </c>
      <c r="BF162" s="53">
        <f t="shared" si="99"/>
        <v>151868</v>
      </c>
      <c r="BG162" s="53">
        <f t="shared" si="100"/>
        <v>328018</v>
      </c>
      <c r="BH162" s="53">
        <f t="shared" si="101"/>
        <v>353420</v>
      </c>
      <c r="BI162" s="53" t="str">
        <f t="shared" si="102"/>
        <v/>
      </c>
      <c r="BJ162" s="53" t="str">
        <f t="shared" si="103"/>
        <v/>
      </c>
      <c r="BK162" s="53" t="str">
        <f t="shared" si="104"/>
        <v/>
      </c>
    </row>
    <row r="163" spans="1:63">
      <c r="A163" s="53">
        <v>159</v>
      </c>
      <c r="B163" s="89" t="str">
        <f>IFERROR(VLOOKUP($A163,EntryList!$A$3:$N$645,2,FALSE),"")</f>
        <v>Ridha Davids</v>
      </c>
      <c r="C163" s="74"/>
      <c r="D163" s="53">
        <f t="shared" si="70"/>
        <v>3</v>
      </c>
      <c r="E163" s="62"/>
      <c r="F163" s="62">
        <v>3.1069907407407405E-3</v>
      </c>
      <c r="G163" s="62">
        <v>1.7563657407407408E-3</v>
      </c>
      <c r="H163" s="62"/>
      <c r="I163" s="62">
        <v>4.0253472222222227E-3</v>
      </c>
      <c r="J163" s="62"/>
      <c r="K163" s="62"/>
      <c r="L163" s="62"/>
      <c r="M163" s="62">
        <v>8.8887037037037042E-3</v>
      </c>
      <c r="N163" s="62">
        <f t="shared" si="71"/>
        <v>8.8887037037037042E-3</v>
      </c>
      <c r="O163" s="53" t="str">
        <f t="shared" si="72"/>
        <v/>
      </c>
      <c r="P163" s="53">
        <f t="shared" si="73"/>
        <v>131</v>
      </c>
      <c r="Q163" s="53">
        <f t="shared" si="74"/>
        <v>117</v>
      </c>
      <c r="R163" s="53" t="str">
        <f t="shared" si="75"/>
        <v/>
      </c>
      <c r="S163" s="53">
        <f t="shared" si="76"/>
        <v>101</v>
      </c>
      <c r="T163" s="53" t="str">
        <f t="shared" si="77"/>
        <v/>
      </c>
      <c r="U163" s="53" t="str">
        <f t="shared" si="78"/>
        <v/>
      </c>
      <c r="V163" s="53" t="str">
        <f t="shared" si="79"/>
        <v/>
      </c>
      <c r="W163" s="53" t="str">
        <f t="shared" si="80"/>
        <v>DNS/DNF ()</v>
      </c>
      <c r="X163" s="53" t="str">
        <f t="shared" si="81"/>
        <v>00:04:28.4 (131)</v>
      </c>
      <c r="Y163" s="53" t="str">
        <f t="shared" si="82"/>
        <v>00:02:31.8 (117)</v>
      </c>
      <c r="Z163" s="53" t="str">
        <f t="shared" si="83"/>
        <v>DNS/DNF ()</v>
      </c>
      <c r="AA163" s="53" t="str">
        <f t="shared" si="84"/>
        <v>00:05:47.8 (101)</v>
      </c>
      <c r="AB163" s="53" t="str">
        <f t="shared" si="85"/>
        <v>DNS/DNF ()</v>
      </c>
      <c r="AC163" s="53" t="str">
        <f t="shared" si="86"/>
        <v>DNS/DNF ()</v>
      </c>
      <c r="AD163" s="53" t="str">
        <f t="shared" si="87"/>
        <v>DNS/DNF ()</v>
      </c>
      <c r="AE163" s="53">
        <v>0</v>
      </c>
      <c r="AF163" s="53">
        <v>0</v>
      </c>
      <c r="AG163" s="53">
        <v>35577433</v>
      </c>
      <c r="AH163" s="53">
        <v>35845877</v>
      </c>
      <c r="AI163" s="53">
        <v>39591574</v>
      </c>
      <c r="AJ163" s="53">
        <v>39743324</v>
      </c>
      <c r="AK163" s="53">
        <v>0</v>
      </c>
      <c r="AL163" s="53">
        <v>0</v>
      </c>
      <c r="AM163" s="53">
        <v>43297734</v>
      </c>
      <c r="AN163" s="53">
        <v>43645524</v>
      </c>
      <c r="AO163" s="53">
        <v>0</v>
      </c>
      <c r="AP163" s="53">
        <v>0</v>
      </c>
      <c r="AQ163" s="53">
        <v>0</v>
      </c>
      <c r="AR163" s="53">
        <v>0</v>
      </c>
      <c r="AS163" s="53">
        <v>0</v>
      </c>
      <c r="AT163" s="53">
        <v>0</v>
      </c>
      <c r="AU163" s="62" t="str">
        <f t="shared" si="88"/>
        <v>DNS/DNF</v>
      </c>
      <c r="AV163" s="62">
        <f t="shared" si="89"/>
        <v>3.1069907407407409E-3</v>
      </c>
      <c r="AW163" s="62">
        <f t="shared" si="90"/>
        <v>1.7563657407407408E-3</v>
      </c>
      <c r="AX163" s="62" t="str">
        <f t="shared" si="91"/>
        <v>DNS/DNF</v>
      </c>
      <c r="AY163" s="62">
        <f t="shared" si="92"/>
        <v>4.0253472222222218E-3</v>
      </c>
      <c r="AZ163" s="62" t="str">
        <f t="shared" si="93"/>
        <v>DNS/DNF</v>
      </c>
      <c r="BA163" s="62" t="str">
        <f t="shared" si="94"/>
        <v>DNS/DNF</v>
      </c>
      <c r="BB163" s="62" t="str">
        <f t="shared" si="95"/>
        <v>DNS/DNF</v>
      </c>
      <c r="BC163" s="75">
        <f t="shared" si="96"/>
        <v>116</v>
      </c>
      <c r="BD163" s="53">
        <f t="shared" si="97"/>
        <v>315207</v>
      </c>
      <c r="BE163" s="53">
        <f t="shared" si="98"/>
        <v>263002</v>
      </c>
      <c r="BF163" s="53">
        <f t="shared" si="99"/>
        <v>151602</v>
      </c>
      <c r="BG163" s="53">
        <f t="shared" si="100"/>
        <v>321001</v>
      </c>
      <c r="BH163" s="53">
        <f t="shared" si="101"/>
        <v>352232</v>
      </c>
      <c r="BI163" s="53" t="str">
        <f t="shared" si="102"/>
        <v/>
      </c>
      <c r="BJ163" s="53" t="str">
        <f t="shared" si="103"/>
        <v/>
      </c>
      <c r="BK163" s="53" t="str">
        <f t="shared" si="104"/>
        <v/>
      </c>
    </row>
    <row r="164" spans="1:63">
      <c r="A164" s="53">
        <v>148</v>
      </c>
      <c r="B164" s="89" t="str">
        <f>IFERROR(VLOOKUP($A164,EntryList!$A$3:$N$645,2,FALSE),"")</f>
        <v>Thomas Kabalin</v>
      </c>
      <c r="C164" s="74"/>
      <c r="D164" s="53">
        <f t="shared" si="70"/>
        <v>3</v>
      </c>
      <c r="E164" s="62"/>
      <c r="F164" s="62">
        <v>3.0404976851851856E-3</v>
      </c>
      <c r="G164" s="62">
        <v>1.7482986111111111E-3</v>
      </c>
      <c r="H164" s="62"/>
      <c r="I164" s="62">
        <v>4.104409722222222E-3</v>
      </c>
      <c r="J164" s="62"/>
      <c r="K164" s="62"/>
      <c r="L164" s="62"/>
      <c r="M164" s="62">
        <v>8.893206018518519E-3</v>
      </c>
      <c r="N164" s="62">
        <f t="shared" si="71"/>
        <v>8.8932060185185173E-3</v>
      </c>
      <c r="O164" s="53" t="str">
        <f t="shared" si="72"/>
        <v/>
      </c>
      <c r="P164" s="53">
        <f t="shared" si="73"/>
        <v>115</v>
      </c>
      <c r="Q164" s="53">
        <f t="shared" si="74"/>
        <v>112</v>
      </c>
      <c r="R164" s="53" t="str">
        <f t="shared" si="75"/>
        <v/>
      </c>
      <c r="S164" s="53">
        <f t="shared" si="76"/>
        <v>126</v>
      </c>
      <c r="T164" s="53" t="str">
        <f t="shared" si="77"/>
        <v/>
      </c>
      <c r="U164" s="53" t="str">
        <f t="shared" si="78"/>
        <v/>
      </c>
      <c r="V164" s="53" t="str">
        <f t="shared" si="79"/>
        <v/>
      </c>
      <c r="W164" s="53" t="str">
        <f t="shared" si="80"/>
        <v>DNS/DNF ()</v>
      </c>
      <c r="X164" s="53" t="str">
        <f t="shared" si="81"/>
        <v>00:04:22.7 (115)</v>
      </c>
      <c r="Y164" s="53" t="str">
        <f t="shared" si="82"/>
        <v>00:02:31.1 (112)</v>
      </c>
      <c r="Z164" s="53" t="str">
        <f t="shared" si="83"/>
        <v>DNS/DNF ()</v>
      </c>
      <c r="AA164" s="53" t="str">
        <f t="shared" si="84"/>
        <v>00:05:54.6 (126)</v>
      </c>
      <c r="AB164" s="53" t="str">
        <f t="shared" si="85"/>
        <v>DNS/DNF ()</v>
      </c>
      <c r="AC164" s="53" t="str">
        <f t="shared" si="86"/>
        <v>DNS/DNF ()</v>
      </c>
      <c r="AD164" s="53" t="str">
        <f t="shared" si="87"/>
        <v>DNS/DNF ()</v>
      </c>
      <c r="AE164" s="53">
        <v>0</v>
      </c>
      <c r="AF164" s="53">
        <v>0</v>
      </c>
      <c r="AG164" s="53">
        <v>34238789</v>
      </c>
      <c r="AH164" s="53">
        <v>34501488</v>
      </c>
      <c r="AI164" s="53">
        <v>37668079</v>
      </c>
      <c r="AJ164" s="53">
        <v>37819132</v>
      </c>
      <c r="AK164" s="53">
        <v>0</v>
      </c>
      <c r="AL164" s="53">
        <v>0</v>
      </c>
      <c r="AM164" s="53">
        <v>41270824</v>
      </c>
      <c r="AN164" s="53">
        <v>41625445</v>
      </c>
      <c r="AO164" s="53">
        <v>0</v>
      </c>
      <c r="AP164" s="53">
        <v>0</v>
      </c>
      <c r="AQ164" s="53">
        <v>0</v>
      </c>
      <c r="AR164" s="53">
        <v>0</v>
      </c>
      <c r="AS164" s="53">
        <v>0</v>
      </c>
      <c r="AT164" s="53">
        <v>0</v>
      </c>
      <c r="AU164" s="62" t="str">
        <f t="shared" si="88"/>
        <v>DNS/DNF</v>
      </c>
      <c r="AV164" s="62">
        <f t="shared" si="89"/>
        <v>3.0404976851851851E-3</v>
      </c>
      <c r="AW164" s="62">
        <f t="shared" si="90"/>
        <v>1.7482986111111111E-3</v>
      </c>
      <c r="AX164" s="62" t="str">
        <f t="shared" si="91"/>
        <v>DNS/DNF</v>
      </c>
      <c r="AY164" s="62">
        <f t="shared" si="92"/>
        <v>4.104409722222222E-3</v>
      </c>
      <c r="AZ164" s="62" t="str">
        <f t="shared" si="93"/>
        <v>DNS/DNF</v>
      </c>
      <c r="BA164" s="62" t="str">
        <f t="shared" si="94"/>
        <v>DNS/DNF</v>
      </c>
      <c r="BB164" s="62" t="str">
        <f t="shared" si="95"/>
        <v>DNS/DNF</v>
      </c>
      <c r="BC164" s="75">
        <f t="shared" si="96"/>
        <v>118</v>
      </c>
      <c r="BD164" s="53">
        <f t="shared" si="97"/>
        <v>322090</v>
      </c>
      <c r="BE164" s="53">
        <f t="shared" si="98"/>
        <v>263614</v>
      </c>
      <c r="BF164" s="53">
        <f t="shared" si="99"/>
        <v>151830</v>
      </c>
      <c r="BG164" s="53">
        <f t="shared" si="100"/>
        <v>325434</v>
      </c>
      <c r="BH164" s="53">
        <f t="shared" si="101"/>
        <v>353113</v>
      </c>
      <c r="BI164" s="53" t="str">
        <f t="shared" si="102"/>
        <v/>
      </c>
      <c r="BJ164" s="53" t="str">
        <f t="shared" si="103"/>
        <v/>
      </c>
      <c r="BK164" s="53" t="str">
        <f t="shared" si="104"/>
        <v/>
      </c>
    </row>
    <row r="165" spans="1:63">
      <c r="A165" s="53">
        <v>63</v>
      </c>
      <c r="B165" s="89" t="str">
        <f>IFERROR(VLOOKUP($A165,EntryList!$A$3:$N$645,2,FALSE),"")</f>
        <v>Joshua Baptie</v>
      </c>
      <c r="C165" s="74"/>
      <c r="D165" s="53">
        <f t="shared" si="70"/>
        <v>3</v>
      </c>
      <c r="E165" s="62"/>
      <c r="F165" s="62">
        <v>3.0263773148148151E-3</v>
      </c>
      <c r="G165" s="62">
        <v>1.6936574074074074E-3</v>
      </c>
      <c r="H165" s="62"/>
      <c r="I165" s="62">
        <v>4.2253472222222224E-3</v>
      </c>
      <c r="J165" s="62"/>
      <c r="K165" s="62"/>
      <c r="L165" s="62"/>
      <c r="M165" s="62">
        <v>8.9453819444444433E-3</v>
      </c>
      <c r="N165" s="62">
        <f t="shared" si="71"/>
        <v>8.945381944444445E-3</v>
      </c>
      <c r="O165" s="53" t="str">
        <f t="shared" si="72"/>
        <v/>
      </c>
      <c r="P165" s="53">
        <f t="shared" si="73"/>
        <v>114</v>
      </c>
      <c r="Q165" s="53">
        <f t="shared" si="74"/>
        <v>96</v>
      </c>
      <c r="R165" s="53" t="str">
        <f t="shared" si="75"/>
        <v/>
      </c>
      <c r="S165" s="53">
        <f t="shared" si="76"/>
        <v>151</v>
      </c>
      <c r="T165" s="53" t="str">
        <f t="shared" si="77"/>
        <v/>
      </c>
      <c r="U165" s="53" t="str">
        <f t="shared" si="78"/>
        <v/>
      </c>
      <c r="V165" s="53" t="str">
        <f t="shared" si="79"/>
        <v/>
      </c>
      <c r="W165" s="53" t="str">
        <f t="shared" si="80"/>
        <v>DNS/DNF ()</v>
      </c>
      <c r="X165" s="53" t="str">
        <f t="shared" si="81"/>
        <v>00:04:21.5 (114)</v>
      </c>
      <c r="Y165" s="53" t="str">
        <f t="shared" si="82"/>
        <v>00:02:26.3 (96)</v>
      </c>
      <c r="Z165" s="53" t="str">
        <f t="shared" si="83"/>
        <v>DNS/DNF ()</v>
      </c>
      <c r="AA165" s="53" t="str">
        <f t="shared" si="84"/>
        <v>00:06:05.1 (151)</v>
      </c>
      <c r="AB165" s="53" t="str">
        <f t="shared" si="85"/>
        <v>DNS/DNF ()</v>
      </c>
      <c r="AC165" s="53" t="str">
        <f t="shared" si="86"/>
        <v>DNS/DNF ()</v>
      </c>
      <c r="AD165" s="53" t="str">
        <f t="shared" si="87"/>
        <v>DNS/DNF ()</v>
      </c>
      <c r="AE165" s="53">
        <v>0</v>
      </c>
      <c r="AF165" s="53">
        <v>0</v>
      </c>
      <c r="AG165" s="53">
        <v>36690346</v>
      </c>
      <c r="AH165" s="53">
        <v>36951825</v>
      </c>
      <c r="AI165" s="53">
        <v>41391546</v>
      </c>
      <c r="AJ165" s="53">
        <v>41537878</v>
      </c>
      <c r="AK165" s="53">
        <v>0</v>
      </c>
      <c r="AL165" s="53">
        <v>0</v>
      </c>
      <c r="AM165" s="53">
        <v>47814424</v>
      </c>
      <c r="AN165" s="53">
        <v>48179494</v>
      </c>
      <c r="AO165" s="53">
        <v>0</v>
      </c>
      <c r="AP165" s="53">
        <v>0</v>
      </c>
      <c r="AQ165" s="53">
        <v>0</v>
      </c>
      <c r="AR165" s="53">
        <v>0</v>
      </c>
      <c r="AS165" s="53">
        <v>0</v>
      </c>
      <c r="AT165" s="53">
        <v>0</v>
      </c>
      <c r="AU165" s="62" t="str">
        <f t="shared" si="88"/>
        <v>DNS/DNF</v>
      </c>
      <c r="AV165" s="62">
        <f t="shared" si="89"/>
        <v>3.0263773148148146E-3</v>
      </c>
      <c r="AW165" s="62">
        <f t="shared" si="90"/>
        <v>1.6936574074074074E-3</v>
      </c>
      <c r="AX165" s="62" t="str">
        <f t="shared" si="91"/>
        <v>DNS/DNF</v>
      </c>
      <c r="AY165" s="62">
        <f t="shared" si="92"/>
        <v>4.2253472222222224E-3</v>
      </c>
      <c r="AZ165" s="62" t="str">
        <f t="shared" si="93"/>
        <v>DNS/DNF</v>
      </c>
      <c r="BA165" s="62" t="str">
        <f t="shared" si="94"/>
        <v>DNS/DNF</v>
      </c>
      <c r="BB165" s="62" t="str">
        <f t="shared" si="95"/>
        <v>DNS/DNF</v>
      </c>
      <c r="BC165" s="75">
        <f t="shared" si="96"/>
        <v>120</v>
      </c>
      <c r="BD165" s="53">
        <f t="shared" si="97"/>
        <v>333949</v>
      </c>
      <c r="BE165" s="53">
        <f t="shared" si="98"/>
        <v>264618</v>
      </c>
      <c r="BF165" s="53">
        <f t="shared" si="99"/>
        <v>151868</v>
      </c>
      <c r="BG165" s="53">
        <f t="shared" si="100"/>
        <v>328018</v>
      </c>
      <c r="BH165" s="53">
        <f t="shared" si="101"/>
        <v>353420</v>
      </c>
      <c r="BI165" s="53" t="str">
        <f t="shared" si="102"/>
        <v/>
      </c>
      <c r="BJ165" s="53" t="str">
        <f t="shared" si="103"/>
        <v/>
      </c>
      <c r="BK165" s="53" t="str">
        <f t="shared" si="104"/>
        <v/>
      </c>
    </row>
    <row r="166" spans="1:63">
      <c r="A166" s="53">
        <v>82</v>
      </c>
      <c r="B166" s="89" t="str">
        <f>IFERROR(VLOOKUP($A166,EntryList!$A$3:$N$645,2,FALSE),"")</f>
        <v>Michael Collins</v>
      </c>
      <c r="C166" s="74"/>
      <c r="D166" s="53">
        <f t="shared" si="70"/>
        <v>3</v>
      </c>
      <c r="E166" s="62"/>
      <c r="F166" s="62">
        <v>3.0738773148148144E-3</v>
      </c>
      <c r="G166" s="62">
        <v>1.9249421296296297E-3</v>
      </c>
      <c r="H166" s="62"/>
      <c r="I166" s="62">
        <v>3.9706597222222218E-3</v>
      </c>
      <c r="J166" s="62"/>
      <c r="K166" s="62"/>
      <c r="L166" s="62"/>
      <c r="M166" s="62">
        <v>8.9694791666666673E-3</v>
      </c>
      <c r="N166" s="62">
        <f t="shared" si="71"/>
        <v>8.9694791666666673E-3</v>
      </c>
      <c r="O166" s="53" t="str">
        <f t="shared" si="72"/>
        <v/>
      </c>
      <c r="P166" s="53">
        <f t="shared" si="73"/>
        <v>121</v>
      </c>
      <c r="Q166" s="53">
        <f t="shared" si="74"/>
        <v>179</v>
      </c>
      <c r="R166" s="53" t="str">
        <f t="shared" si="75"/>
        <v/>
      </c>
      <c r="S166" s="53">
        <f t="shared" si="76"/>
        <v>93</v>
      </c>
      <c r="T166" s="53" t="str">
        <f t="shared" si="77"/>
        <v/>
      </c>
      <c r="U166" s="53" t="str">
        <f t="shared" si="78"/>
        <v/>
      </c>
      <c r="V166" s="53" t="str">
        <f t="shared" si="79"/>
        <v/>
      </c>
      <c r="W166" s="53" t="str">
        <f t="shared" si="80"/>
        <v>DNS/DNF ()</v>
      </c>
      <c r="X166" s="53" t="str">
        <f t="shared" si="81"/>
        <v>00:04:25.6 (121)</v>
      </c>
      <c r="Y166" s="53" t="str">
        <f t="shared" si="82"/>
        <v>00:02:46.3 (179)</v>
      </c>
      <c r="Z166" s="53" t="str">
        <f t="shared" si="83"/>
        <v>DNS/DNF ()</v>
      </c>
      <c r="AA166" s="53" t="str">
        <f t="shared" si="84"/>
        <v>00:05:43.1 (93)</v>
      </c>
      <c r="AB166" s="53" t="str">
        <f t="shared" si="85"/>
        <v>DNS/DNF ()</v>
      </c>
      <c r="AC166" s="53" t="str">
        <f t="shared" si="86"/>
        <v>DNS/DNF ()</v>
      </c>
      <c r="AD166" s="53" t="str">
        <f t="shared" si="87"/>
        <v>DNS/DNF ()</v>
      </c>
      <c r="AE166" s="53">
        <v>0</v>
      </c>
      <c r="AF166" s="53">
        <v>0</v>
      </c>
      <c r="AG166" s="53">
        <v>34462999</v>
      </c>
      <c r="AH166" s="53">
        <v>34728582</v>
      </c>
      <c r="AI166" s="53">
        <v>37699526</v>
      </c>
      <c r="AJ166" s="53">
        <v>37865841</v>
      </c>
      <c r="AK166" s="53">
        <v>0</v>
      </c>
      <c r="AL166" s="53">
        <v>0</v>
      </c>
      <c r="AM166" s="53">
        <v>40815756</v>
      </c>
      <c r="AN166" s="53">
        <v>41158821</v>
      </c>
      <c r="AO166" s="53">
        <v>0</v>
      </c>
      <c r="AP166" s="53">
        <v>0</v>
      </c>
      <c r="AQ166" s="53">
        <v>0</v>
      </c>
      <c r="AR166" s="53">
        <v>0</v>
      </c>
      <c r="AS166" s="53">
        <v>0</v>
      </c>
      <c r="AT166" s="53">
        <v>0</v>
      </c>
      <c r="AU166" s="62" t="str">
        <f t="shared" si="88"/>
        <v>DNS/DNF</v>
      </c>
      <c r="AV166" s="62">
        <f t="shared" si="89"/>
        <v>3.0738773148148149E-3</v>
      </c>
      <c r="AW166" s="62">
        <f t="shared" si="90"/>
        <v>1.9249421296296295E-3</v>
      </c>
      <c r="AX166" s="62" t="str">
        <f t="shared" si="91"/>
        <v>DNS/DNF</v>
      </c>
      <c r="AY166" s="62">
        <f t="shared" si="92"/>
        <v>3.9706597222222226E-3</v>
      </c>
      <c r="AZ166" s="62" t="str">
        <f t="shared" si="93"/>
        <v>DNS/DNF</v>
      </c>
      <c r="BA166" s="62" t="str">
        <f t="shared" si="94"/>
        <v>DNS/DNF</v>
      </c>
      <c r="BB166" s="62" t="str">
        <f t="shared" si="95"/>
        <v>DNS/DNF</v>
      </c>
      <c r="BC166" s="75">
        <f t="shared" si="96"/>
        <v>131</v>
      </c>
      <c r="BD166" s="53">
        <f t="shared" si="97"/>
        <v>382900</v>
      </c>
      <c r="BE166" s="53">
        <f t="shared" si="98"/>
        <v>268444</v>
      </c>
      <c r="BF166" s="53" t="str">
        <f t="shared" si="99"/>
        <v/>
      </c>
      <c r="BG166" s="53">
        <f t="shared" si="100"/>
        <v>377798</v>
      </c>
      <c r="BH166" s="53">
        <f t="shared" si="101"/>
        <v>356882</v>
      </c>
      <c r="BI166" s="53" t="str">
        <f t="shared" si="102"/>
        <v/>
      </c>
      <c r="BJ166" s="53" t="str">
        <f t="shared" si="103"/>
        <v/>
      </c>
      <c r="BK166" s="53" t="str">
        <f t="shared" si="104"/>
        <v/>
      </c>
    </row>
    <row r="167" spans="1:63">
      <c r="A167" s="53">
        <v>110</v>
      </c>
      <c r="B167" s="89" t="str">
        <f>IFERROR(VLOOKUP($A167,EntryList!$A$3:$N$645,2,FALSE),"")</f>
        <v>Carlo Stephens</v>
      </c>
      <c r="C167" s="74"/>
      <c r="D167" s="53">
        <f t="shared" si="70"/>
        <v>3</v>
      </c>
      <c r="E167" s="62"/>
      <c r="F167" s="62">
        <v>3.1112499999999999E-3</v>
      </c>
      <c r="G167" s="62">
        <v>1.8612268518518518E-3</v>
      </c>
      <c r="H167" s="62"/>
      <c r="I167" s="62">
        <v>4.0375462962962969E-3</v>
      </c>
      <c r="J167" s="62"/>
      <c r="K167" s="62"/>
      <c r="L167" s="62"/>
      <c r="M167" s="62">
        <v>9.0100231481481489E-3</v>
      </c>
      <c r="N167" s="62">
        <f t="shared" si="71"/>
        <v>9.0100231481481472E-3</v>
      </c>
      <c r="O167" s="53" t="str">
        <f t="shared" si="72"/>
        <v/>
      </c>
      <c r="P167" s="53">
        <f t="shared" si="73"/>
        <v>133</v>
      </c>
      <c r="Q167" s="53">
        <f t="shared" si="74"/>
        <v>159</v>
      </c>
      <c r="R167" s="53" t="str">
        <f t="shared" si="75"/>
        <v/>
      </c>
      <c r="S167" s="53">
        <f t="shared" si="76"/>
        <v>106</v>
      </c>
      <c r="T167" s="53" t="str">
        <f t="shared" si="77"/>
        <v/>
      </c>
      <c r="U167" s="53" t="str">
        <f t="shared" si="78"/>
        <v/>
      </c>
      <c r="V167" s="53" t="str">
        <f t="shared" si="79"/>
        <v/>
      </c>
      <c r="W167" s="53" t="str">
        <f t="shared" si="80"/>
        <v>DNS/DNF ()</v>
      </c>
      <c r="X167" s="53" t="str">
        <f t="shared" si="81"/>
        <v>00:04:28.8 (133)</v>
      </c>
      <c r="Y167" s="53" t="str">
        <f t="shared" si="82"/>
        <v>00:02:40.8 (159)</v>
      </c>
      <c r="Z167" s="53" t="str">
        <f t="shared" si="83"/>
        <v>DNS/DNF ()</v>
      </c>
      <c r="AA167" s="53" t="str">
        <f t="shared" si="84"/>
        <v>00:05:48.8 (106)</v>
      </c>
      <c r="AB167" s="53" t="str">
        <f t="shared" si="85"/>
        <v>DNS/DNF ()</v>
      </c>
      <c r="AC167" s="53" t="str">
        <f t="shared" si="86"/>
        <v>DNS/DNF ()</v>
      </c>
      <c r="AD167" s="53" t="str">
        <f t="shared" si="87"/>
        <v>DNS/DNF ()</v>
      </c>
      <c r="AE167" s="53">
        <v>0</v>
      </c>
      <c r="AF167" s="53">
        <v>0</v>
      </c>
      <c r="AG167" s="53">
        <v>37299469</v>
      </c>
      <c r="AH167" s="53">
        <v>37568281</v>
      </c>
      <c r="AI167" s="53">
        <v>41782284</v>
      </c>
      <c r="AJ167" s="53">
        <v>41943094</v>
      </c>
      <c r="AK167" s="53">
        <v>0</v>
      </c>
      <c r="AL167" s="53">
        <v>0</v>
      </c>
      <c r="AM167" s="53">
        <v>48407828</v>
      </c>
      <c r="AN167" s="53">
        <v>48756672</v>
      </c>
      <c r="AO167" s="53">
        <v>0</v>
      </c>
      <c r="AP167" s="53">
        <v>0</v>
      </c>
      <c r="AQ167" s="53">
        <v>0</v>
      </c>
      <c r="AR167" s="53">
        <v>0</v>
      </c>
      <c r="AS167" s="53">
        <v>0</v>
      </c>
      <c r="AT167" s="53">
        <v>0</v>
      </c>
      <c r="AU167" s="62" t="str">
        <f t="shared" si="88"/>
        <v>DNS/DNF</v>
      </c>
      <c r="AV167" s="62">
        <f t="shared" si="89"/>
        <v>3.1112499999999999E-3</v>
      </c>
      <c r="AW167" s="62">
        <f t="shared" si="90"/>
        <v>1.8612268518518518E-3</v>
      </c>
      <c r="AX167" s="62" t="str">
        <f t="shared" si="91"/>
        <v>DNS/DNF</v>
      </c>
      <c r="AY167" s="62">
        <f t="shared" si="92"/>
        <v>4.037546296296296E-3</v>
      </c>
      <c r="AZ167" s="62" t="str">
        <f t="shared" si="93"/>
        <v>DNS/DNF</v>
      </c>
      <c r="BA167" s="62" t="str">
        <f t="shared" si="94"/>
        <v>DNS/DNF</v>
      </c>
      <c r="BB167" s="62" t="str">
        <f t="shared" si="95"/>
        <v>DNS/DNF</v>
      </c>
      <c r="BC167" s="75">
        <f t="shared" si="96"/>
        <v>133</v>
      </c>
      <c r="BD167" s="53">
        <f t="shared" si="97"/>
        <v>407223</v>
      </c>
      <c r="BE167" s="53">
        <f t="shared" si="98"/>
        <v>268812</v>
      </c>
      <c r="BF167" s="53">
        <f t="shared" si="99"/>
        <v>154974</v>
      </c>
      <c r="BG167" s="53">
        <f t="shared" si="100"/>
        <v>402673</v>
      </c>
      <c r="BH167" s="53">
        <f t="shared" si="101"/>
        <v>357086</v>
      </c>
      <c r="BI167" s="53" t="str">
        <f t="shared" si="102"/>
        <v/>
      </c>
      <c r="BJ167" s="53" t="str">
        <f t="shared" si="103"/>
        <v/>
      </c>
      <c r="BK167" s="53" t="str">
        <f t="shared" si="104"/>
        <v/>
      </c>
    </row>
    <row r="168" spans="1:63">
      <c r="A168" s="53">
        <v>79</v>
      </c>
      <c r="B168" s="89" t="str">
        <f>IFERROR(VLOOKUP($A168,EntryList!$A$3:$N$645,2,FALSE),"")</f>
        <v>Nico De Nysschen</v>
      </c>
      <c r="C168" s="74"/>
      <c r="D168" s="53">
        <f t="shared" si="70"/>
        <v>3</v>
      </c>
      <c r="E168" s="62"/>
      <c r="F168" s="62">
        <v>3.1958796296296297E-3</v>
      </c>
      <c r="G168" s="62">
        <v>1.7936805555555555E-3</v>
      </c>
      <c r="H168" s="62"/>
      <c r="I168" s="62">
        <v>4.0362152777777775E-3</v>
      </c>
      <c r="J168" s="62"/>
      <c r="K168" s="62"/>
      <c r="L168" s="62"/>
      <c r="M168" s="62">
        <v>9.0257754629629629E-3</v>
      </c>
      <c r="N168" s="62">
        <f t="shared" si="71"/>
        <v>9.0257754629629629E-3</v>
      </c>
      <c r="O168" s="53" t="str">
        <f t="shared" si="72"/>
        <v/>
      </c>
      <c r="P168" s="53">
        <f t="shared" si="73"/>
        <v>155</v>
      </c>
      <c r="Q168" s="53">
        <f t="shared" si="74"/>
        <v>133</v>
      </c>
      <c r="R168" s="53" t="str">
        <f t="shared" si="75"/>
        <v/>
      </c>
      <c r="S168" s="53">
        <f t="shared" si="76"/>
        <v>104</v>
      </c>
      <c r="T168" s="53" t="str">
        <f t="shared" si="77"/>
        <v/>
      </c>
      <c r="U168" s="53" t="str">
        <f t="shared" si="78"/>
        <v/>
      </c>
      <c r="V168" s="53" t="str">
        <f t="shared" si="79"/>
        <v/>
      </c>
      <c r="W168" s="53" t="str">
        <f t="shared" si="80"/>
        <v>DNS/DNF ()</v>
      </c>
      <c r="X168" s="53" t="str">
        <f t="shared" si="81"/>
        <v>00:04:36.1 (155)</v>
      </c>
      <c r="Y168" s="53" t="str">
        <f t="shared" si="82"/>
        <v>00:02:35.0 (133)</v>
      </c>
      <c r="Z168" s="53" t="str">
        <f t="shared" si="83"/>
        <v>DNS/DNF ()</v>
      </c>
      <c r="AA168" s="53" t="str">
        <f t="shared" si="84"/>
        <v>00:05:48.7 (104)</v>
      </c>
      <c r="AB168" s="53" t="str">
        <f t="shared" si="85"/>
        <v>DNS/DNF ()</v>
      </c>
      <c r="AC168" s="53" t="str">
        <f t="shared" si="86"/>
        <v>DNS/DNF ()</v>
      </c>
      <c r="AD168" s="53" t="str">
        <f t="shared" si="87"/>
        <v>DNS/DNF ()</v>
      </c>
      <c r="AE168" s="53">
        <v>0</v>
      </c>
      <c r="AF168" s="53">
        <v>0</v>
      </c>
      <c r="AG168" s="53">
        <v>36471855</v>
      </c>
      <c r="AH168" s="53">
        <v>36747979</v>
      </c>
      <c r="AI168" s="53">
        <v>40145514</v>
      </c>
      <c r="AJ168" s="53">
        <v>40300488</v>
      </c>
      <c r="AK168" s="53">
        <v>0</v>
      </c>
      <c r="AL168" s="53">
        <v>0</v>
      </c>
      <c r="AM168" s="53">
        <v>43639484</v>
      </c>
      <c r="AN168" s="53">
        <v>43988213</v>
      </c>
      <c r="AO168" s="53">
        <v>0</v>
      </c>
      <c r="AP168" s="53">
        <v>0</v>
      </c>
      <c r="AQ168" s="53">
        <v>0</v>
      </c>
      <c r="AR168" s="53">
        <v>0</v>
      </c>
      <c r="AS168" s="53">
        <v>0</v>
      </c>
      <c r="AT168" s="53">
        <v>0</v>
      </c>
      <c r="AU168" s="62" t="str">
        <f t="shared" si="88"/>
        <v>DNS/DNF</v>
      </c>
      <c r="AV168" s="62">
        <f t="shared" si="89"/>
        <v>3.1958796296296297E-3</v>
      </c>
      <c r="AW168" s="62">
        <f t="shared" si="90"/>
        <v>1.7936805555555555E-3</v>
      </c>
      <c r="AX168" s="62" t="str">
        <f t="shared" si="91"/>
        <v>DNS/DNF</v>
      </c>
      <c r="AY168" s="62">
        <f t="shared" si="92"/>
        <v>4.0362152777777775E-3</v>
      </c>
      <c r="AZ168" s="62" t="str">
        <f t="shared" si="93"/>
        <v>DNS/DNF</v>
      </c>
      <c r="BA168" s="62" t="str">
        <f t="shared" si="94"/>
        <v>DNS/DNF</v>
      </c>
      <c r="BB168" s="62" t="str">
        <f t="shared" si="95"/>
        <v>DNS/DNF</v>
      </c>
      <c r="BC168" s="75">
        <f t="shared" si="96"/>
        <v>131</v>
      </c>
      <c r="BD168" s="53">
        <f t="shared" si="97"/>
        <v>382900</v>
      </c>
      <c r="BE168" s="53">
        <f t="shared" si="98"/>
        <v>268444</v>
      </c>
      <c r="BF168" s="53" t="str">
        <f t="shared" si="99"/>
        <v/>
      </c>
      <c r="BG168" s="53">
        <f t="shared" si="100"/>
        <v>377798</v>
      </c>
      <c r="BH168" s="53">
        <f t="shared" si="101"/>
        <v>356882</v>
      </c>
      <c r="BI168" s="53" t="str">
        <f t="shared" si="102"/>
        <v/>
      </c>
      <c r="BJ168" s="53" t="str">
        <f t="shared" si="103"/>
        <v/>
      </c>
      <c r="BK168" s="53" t="str">
        <f t="shared" si="104"/>
        <v/>
      </c>
    </row>
    <row r="169" spans="1:63">
      <c r="A169" s="53">
        <v>156</v>
      </c>
      <c r="B169" s="89" t="str">
        <f>IFERROR(VLOOKUP($A169,EntryList!$A$3:$N$645,2,FALSE),"")</f>
        <v>Gary Kroukamp</v>
      </c>
      <c r="C169" s="74"/>
      <c r="D169" s="53">
        <f t="shared" si="70"/>
        <v>3</v>
      </c>
      <c r="E169" s="62"/>
      <c r="F169" s="62">
        <v>3.1554050925925929E-3</v>
      </c>
      <c r="G169" s="62">
        <v>1.7814004629629629E-3</v>
      </c>
      <c r="H169" s="62"/>
      <c r="I169" s="62">
        <v>4.1442708333333331E-3</v>
      </c>
      <c r="J169" s="62"/>
      <c r="K169" s="62"/>
      <c r="L169" s="62"/>
      <c r="M169" s="62">
        <v>9.0810763888888885E-3</v>
      </c>
      <c r="N169" s="62">
        <f t="shared" si="71"/>
        <v>9.0810763888888885E-3</v>
      </c>
      <c r="O169" s="53" t="str">
        <f t="shared" si="72"/>
        <v/>
      </c>
      <c r="P169" s="53">
        <f t="shared" si="73"/>
        <v>143</v>
      </c>
      <c r="Q169" s="53">
        <f t="shared" si="74"/>
        <v>126</v>
      </c>
      <c r="R169" s="53" t="str">
        <f t="shared" si="75"/>
        <v/>
      </c>
      <c r="S169" s="53">
        <f t="shared" si="76"/>
        <v>134</v>
      </c>
      <c r="T169" s="53" t="str">
        <f t="shared" si="77"/>
        <v/>
      </c>
      <c r="U169" s="53" t="str">
        <f t="shared" si="78"/>
        <v/>
      </c>
      <c r="V169" s="53" t="str">
        <f t="shared" si="79"/>
        <v/>
      </c>
      <c r="W169" s="53" t="str">
        <f t="shared" si="80"/>
        <v>DNS/DNF ()</v>
      </c>
      <c r="X169" s="53" t="str">
        <f t="shared" si="81"/>
        <v>00:04:32.6 (143)</v>
      </c>
      <c r="Y169" s="53" t="str">
        <f t="shared" si="82"/>
        <v>00:02:33.9 (126)</v>
      </c>
      <c r="Z169" s="53" t="str">
        <f t="shared" si="83"/>
        <v>DNS/DNF ()</v>
      </c>
      <c r="AA169" s="53" t="str">
        <f t="shared" si="84"/>
        <v>00:05:58.1 (134)</v>
      </c>
      <c r="AB169" s="53" t="str">
        <f t="shared" si="85"/>
        <v>DNS/DNF ()</v>
      </c>
      <c r="AC169" s="53" t="str">
        <f t="shared" si="86"/>
        <v>DNS/DNF ()</v>
      </c>
      <c r="AD169" s="53" t="str">
        <f t="shared" si="87"/>
        <v>DNS/DNF ()</v>
      </c>
      <c r="AE169" s="53">
        <v>0</v>
      </c>
      <c r="AF169" s="53">
        <v>0</v>
      </c>
      <c r="AG169" s="53">
        <v>35181001</v>
      </c>
      <c r="AH169" s="53">
        <v>35453628</v>
      </c>
      <c r="AI169" s="53">
        <v>38915576</v>
      </c>
      <c r="AJ169" s="53">
        <v>39069489</v>
      </c>
      <c r="AK169" s="53">
        <v>0</v>
      </c>
      <c r="AL169" s="53">
        <v>0</v>
      </c>
      <c r="AM169" s="53">
        <v>42815584</v>
      </c>
      <c r="AN169" s="53">
        <v>43173649</v>
      </c>
      <c r="AO169" s="53">
        <v>0</v>
      </c>
      <c r="AP169" s="53">
        <v>0</v>
      </c>
      <c r="AQ169" s="53">
        <v>0</v>
      </c>
      <c r="AR169" s="53">
        <v>0</v>
      </c>
      <c r="AS169" s="53">
        <v>0</v>
      </c>
      <c r="AT169" s="53">
        <v>0</v>
      </c>
      <c r="AU169" s="62" t="str">
        <f t="shared" si="88"/>
        <v>DNS/DNF</v>
      </c>
      <c r="AV169" s="62">
        <f t="shared" si="89"/>
        <v>3.1554050925925925E-3</v>
      </c>
      <c r="AW169" s="62">
        <f t="shared" si="90"/>
        <v>1.7814004629629629E-3</v>
      </c>
      <c r="AX169" s="62" t="str">
        <f t="shared" si="91"/>
        <v>DNS/DNF</v>
      </c>
      <c r="AY169" s="62">
        <f t="shared" si="92"/>
        <v>4.1442708333333331E-3</v>
      </c>
      <c r="AZ169" s="62" t="str">
        <f t="shared" si="93"/>
        <v>DNS/DNF</v>
      </c>
      <c r="BA169" s="62" t="str">
        <f t="shared" si="94"/>
        <v>DNS/DNF</v>
      </c>
      <c r="BB169" s="62" t="str">
        <f t="shared" si="95"/>
        <v>DNS/DNF</v>
      </c>
      <c r="BC169" s="75">
        <f t="shared" si="96"/>
        <v>134</v>
      </c>
      <c r="BD169" s="53">
        <f t="shared" si="97"/>
        <v>414733</v>
      </c>
      <c r="BE169" s="53">
        <f t="shared" si="98"/>
        <v>268842</v>
      </c>
      <c r="BF169" s="53">
        <f t="shared" si="99"/>
        <v>155013</v>
      </c>
      <c r="BG169" s="53">
        <f t="shared" si="100"/>
        <v>442213</v>
      </c>
      <c r="BH169" s="53">
        <f t="shared" si="101"/>
        <v>358065</v>
      </c>
      <c r="BI169" s="53" t="str">
        <f t="shared" si="102"/>
        <v/>
      </c>
      <c r="BJ169" s="53" t="str">
        <f t="shared" si="103"/>
        <v/>
      </c>
      <c r="BK169" s="53" t="str">
        <f t="shared" si="104"/>
        <v/>
      </c>
    </row>
    <row r="170" spans="1:63">
      <c r="A170" s="53">
        <v>271</v>
      </c>
      <c r="B170" s="89" t="str">
        <f>IFERROR(VLOOKUP($A170,EntryList!$A$3:$N$645,2,FALSE),"")</f>
        <v>Kylie Hanekom</v>
      </c>
      <c r="C170" s="74"/>
      <c r="D170" s="53">
        <f t="shared" si="70"/>
        <v>3</v>
      </c>
      <c r="E170" s="62"/>
      <c r="F170" s="62">
        <v>3.0440046296296296E-3</v>
      </c>
      <c r="G170" s="62">
        <v>1.8079861111111111E-3</v>
      </c>
      <c r="H170" s="62"/>
      <c r="I170" s="62">
        <v>4.2708333333333339E-3</v>
      </c>
      <c r="J170" s="62"/>
      <c r="K170" s="62"/>
      <c r="L170" s="62"/>
      <c r="M170" s="62">
        <v>9.1228240740740731E-3</v>
      </c>
      <c r="N170" s="62">
        <f t="shared" si="71"/>
        <v>9.1228240740740749E-3</v>
      </c>
      <c r="O170" s="53" t="str">
        <f t="shared" si="72"/>
        <v/>
      </c>
      <c r="P170" s="53">
        <f t="shared" si="73"/>
        <v>116</v>
      </c>
      <c r="Q170" s="53">
        <f t="shared" si="74"/>
        <v>137</v>
      </c>
      <c r="R170" s="53" t="str">
        <f t="shared" si="75"/>
        <v/>
      </c>
      <c r="S170" s="53">
        <f t="shared" si="76"/>
        <v>160</v>
      </c>
      <c r="T170" s="53" t="str">
        <f t="shared" si="77"/>
        <v/>
      </c>
      <c r="U170" s="53" t="str">
        <f t="shared" si="78"/>
        <v/>
      </c>
      <c r="V170" s="53" t="str">
        <f t="shared" si="79"/>
        <v/>
      </c>
      <c r="W170" s="53" t="str">
        <f t="shared" si="80"/>
        <v>DNS/DNF ()</v>
      </c>
      <c r="X170" s="53" t="str">
        <f t="shared" si="81"/>
        <v>00:04:23.0 (116)</v>
      </c>
      <c r="Y170" s="53" t="str">
        <f t="shared" si="82"/>
        <v>00:02:36.2 (137)</v>
      </c>
      <c r="Z170" s="53" t="str">
        <f t="shared" si="83"/>
        <v>DNS/DNF ()</v>
      </c>
      <c r="AA170" s="53" t="str">
        <f t="shared" si="84"/>
        <v>00:06:09.0 (160)</v>
      </c>
      <c r="AB170" s="53" t="str">
        <f t="shared" si="85"/>
        <v>DNS/DNF ()</v>
      </c>
      <c r="AC170" s="53" t="str">
        <f t="shared" si="86"/>
        <v>DNS/DNF ()</v>
      </c>
      <c r="AD170" s="53" t="str">
        <f t="shared" si="87"/>
        <v>DNS/DNF ()</v>
      </c>
      <c r="AE170" s="53">
        <v>0</v>
      </c>
      <c r="AF170" s="53">
        <v>0</v>
      </c>
      <c r="AG170" s="53">
        <v>31640899</v>
      </c>
      <c r="AH170" s="53">
        <v>31903901</v>
      </c>
      <c r="AI170" s="53">
        <v>34051344</v>
      </c>
      <c r="AJ170" s="53">
        <v>34207554</v>
      </c>
      <c r="AK170" s="53">
        <v>0</v>
      </c>
      <c r="AL170" s="53">
        <v>0</v>
      </c>
      <c r="AM170" s="53">
        <v>36761783</v>
      </c>
      <c r="AN170" s="53">
        <v>37130783</v>
      </c>
      <c r="AO170" s="53">
        <v>0</v>
      </c>
      <c r="AP170" s="53">
        <v>0</v>
      </c>
      <c r="AQ170" s="53">
        <v>0</v>
      </c>
      <c r="AR170" s="53">
        <v>0</v>
      </c>
      <c r="AS170" s="53">
        <v>0</v>
      </c>
      <c r="AT170" s="53">
        <v>0</v>
      </c>
      <c r="AU170" s="62" t="str">
        <f t="shared" si="88"/>
        <v>DNS/DNF</v>
      </c>
      <c r="AV170" s="62">
        <f t="shared" si="89"/>
        <v>3.0440046296296296E-3</v>
      </c>
      <c r="AW170" s="62">
        <f t="shared" si="90"/>
        <v>1.8079861111111111E-3</v>
      </c>
      <c r="AX170" s="62" t="str">
        <f t="shared" si="91"/>
        <v>DNS/DNF</v>
      </c>
      <c r="AY170" s="62">
        <f t="shared" si="92"/>
        <v>4.2708333333333331E-3</v>
      </c>
      <c r="AZ170" s="62" t="str">
        <f t="shared" si="93"/>
        <v>DNS/DNF</v>
      </c>
      <c r="BA170" s="62" t="str">
        <f t="shared" si="94"/>
        <v>DNS/DNF</v>
      </c>
      <c r="BB170" s="62" t="str">
        <f t="shared" si="95"/>
        <v>DNS/DNF</v>
      </c>
      <c r="BC170" s="75">
        <f t="shared" si="96"/>
        <v>138</v>
      </c>
      <c r="BD170" s="53">
        <f t="shared" si="97"/>
        <v>480676</v>
      </c>
      <c r="BE170" s="53">
        <f t="shared" si="98"/>
        <v>270536</v>
      </c>
      <c r="BF170" s="53">
        <f t="shared" si="99"/>
        <v>156975</v>
      </c>
      <c r="BG170" s="53">
        <f t="shared" si="100"/>
        <v>691026.99999999988</v>
      </c>
      <c r="BH170" s="53">
        <f t="shared" si="101"/>
        <v>359502.00000000006</v>
      </c>
      <c r="BI170" s="53" t="str">
        <f t="shared" si="102"/>
        <v/>
      </c>
      <c r="BJ170" s="53" t="str">
        <f t="shared" si="103"/>
        <v/>
      </c>
      <c r="BK170" s="53" t="str">
        <f t="shared" si="104"/>
        <v/>
      </c>
    </row>
    <row r="171" spans="1:63">
      <c r="A171" s="53">
        <v>98</v>
      </c>
      <c r="B171" s="89" t="str">
        <f>IFERROR(VLOOKUP($A171,EntryList!$A$3:$N$645,2,FALSE),"")</f>
        <v>Chrisman De Jager</v>
      </c>
      <c r="C171" s="74"/>
      <c r="D171" s="53">
        <f t="shared" si="70"/>
        <v>3</v>
      </c>
      <c r="E171" s="62"/>
      <c r="F171" s="62">
        <v>3.1510995370370369E-3</v>
      </c>
      <c r="G171" s="62">
        <v>1.847337962962963E-3</v>
      </c>
      <c r="H171" s="62"/>
      <c r="I171" s="62">
        <v>4.1253935185185187E-3</v>
      </c>
      <c r="J171" s="62"/>
      <c r="K171" s="62"/>
      <c r="L171" s="62"/>
      <c r="M171" s="62">
        <v>9.1238310185185172E-3</v>
      </c>
      <c r="N171" s="62">
        <f t="shared" si="71"/>
        <v>9.123831018518519E-3</v>
      </c>
      <c r="O171" s="53" t="str">
        <f t="shared" si="72"/>
        <v/>
      </c>
      <c r="P171" s="53">
        <f t="shared" si="73"/>
        <v>141</v>
      </c>
      <c r="Q171" s="53">
        <f t="shared" si="74"/>
        <v>147</v>
      </c>
      <c r="R171" s="53" t="str">
        <f t="shared" si="75"/>
        <v/>
      </c>
      <c r="S171" s="53">
        <f t="shared" si="76"/>
        <v>129</v>
      </c>
      <c r="T171" s="53" t="str">
        <f t="shared" si="77"/>
        <v/>
      </c>
      <c r="U171" s="53" t="str">
        <f t="shared" si="78"/>
        <v/>
      </c>
      <c r="V171" s="53" t="str">
        <f t="shared" si="79"/>
        <v/>
      </c>
      <c r="W171" s="53" t="str">
        <f t="shared" si="80"/>
        <v>DNS/DNF ()</v>
      </c>
      <c r="X171" s="53" t="str">
        <f t="shared" si="81"/>
        <v>00:04:32.3 (141)</v>
      </c>
      <c r="Y171" s="53" t="str">
        <f t="shared" si="82"/>
        <v>00:02:39.6 (147)</v>
      </c>
      <c r="Z171" s="53" t="str">
        <f t="shared" si="83"/>
        <v>DNS/DNF ()</v>
      </c>
      <c r="AA171" s="53" t="str">
        <f t="shared" si="84"/>
        <v>00:05:56.4 (129)</v>
      </c>
      <c r="AB171" s="53" t="str">
        <f t="shared" si="85"/>
        <v>DNS/DNF ()</v>
      </c>
      <c r="AC171" s="53" t="str">
        <f t="shared" si="86"/>
        <v>DNS/DNF ()</v>
      </c>
      <c r="AD171" s="53" t="str">
        <f t="shared" si="87"/>
        <v>DNS/DNF ()</v>
      </c>
      <c r="AE171" s="53">
        <v>0</v>
      </c>
      <c r="AF171" s="53">
        <v>0</v>
      </c>
      <c r="AG171" s="53">
        <v>36430034</v>
      </c>
      <c r="AH171" s="53">
        <v>36702289</v>
      </c>
      <c r="AI171" s="53">
        <v>40158144</v>
      </c>
      <c r="AJ171" s="53">
        <v>40317754</v>
      </c>
      <c r="AK171" s="53">
        <v>0</v>
      </c>
      <c r="AL171" s="53">
        <v>0</v>
      </c>
      <c r="AM171" s="53">
        <v>43656410</v>
      </c>
      <c r="AN171" s="53">
        <v>44012844</v>
      </c>
      <c r="AO171" s="53">
        <v>0</v>
      </c>
      <c r="AP171" s="53">
        <v>0</v>
      </c>
      <c r="AQ171" s="53">
        <v>0</v>
      </c>
      <c r="AR171" s="53">
        <v>0</v>
      </c>
      <c r="AS171" s="53">
        <v>0</v>
      </c>
      <c r="AT171" s="53">
        <v>0</v>
      </c>
      <c r="AU171" s="62" t="str">
        <f t="shared" si="88"/>
        <v>DNS/DNF</v>
      </c>
      <c r="AV171" s="62">
        <f t="shared" si="89"/>
        <v>3.1510995370370369E-3</v>
      </c>
      <c r="AW171" s="62">
        <f t="shared" si="90"/>
        <v>1.847337962962963E-3</v>
      </c>
      <c r="AX171" s="62" t="str">
        <f t="shared" si="91"/>
        <v>DNS/DNF</v>
      </c>
      <c r="AY171" s="62">
        <f t="shared" si="92"/>
        <v>4.1253935185185187E-3</v>
      </c>
      <c r="AZ171" s="62" t="str">
        <f t="shared" si="93"/>
        <v>DNS/DNF</v>
      </c>
      <c r="BA171" s="62" t="str">
        <f t="shared" si="94"/>
        <v>DNS/DNF</v>
      </c>
      <c r="BB171" s="62" t="str">
        <f t="shared" si="95"/>
        <v>DNS/DNF</v>
      </c>
      <c r="BC171" s="75">
        <f t="shared" si="96"/>
        <v>139</v>
      </c>
      <c r="BD171" s="53">
        <f t="shared" si="97"/>
        <v>519840</v>
      </c>
      <c r="BE171" s="53">
        <f t="shared" si="98"/>
        <v>271425</v>
      </c>
      <c r="BF171" s="53">
        <f t="shared" si="99"/>
        <v>157789</v>
      </c>
      <c r="BG171" s="53">
        <f t="shared" si="100"/>
        <v>1675411</v>
      </c>
      <c r="BH171" s="53">
        <f t="shared" si="101"/>
        <v>359633</v>
      </c>
      <c r="BI171" s="53" t="str">
        <f t="shared" si="102"/>
        <v/>
      </c>
      <c r="BJ171" s="53" t="str">
        <f t="shared" si="103"/>
        <v/>
      </c>
      <c r="BK171" s="53" t="str">
        <f t="shared" si="104"/>
        <v/>
      </c>
    </row>
    <row r="172" spans="1:63">
      <c r="A172" s="53">
        <v>255</v>
      </c>
      <c r="B172" s="89" t="str">
        <f>IFERROR(VLOOKUP($A172,EntryList!$A$3:$N$645,2,FALSE),"")</f>
        <v>Jadon Hunter</v>
      </c>
      <c r="C172" s="74"/>
      <c r="D172" s="53">
        <f t="shared" si="70"/>
        <v>3</v>
      </c>
      <c r="E172" s="62"/>
      <c r="F172" s="62">
        <v>3.1621064814814815E-3</v>
      </c>
      <c r="G172" s="62">
        <v>1.7869097222222221E-3</v>
      </c>
      <c r="H172" s="62"/>
      <c r="I172" s="62">
        <v>4.1803935185185182E-3</v>
      </c>
      <c r="J172" s="62"/>
      <c r="K172" s="62"/>
      <c r="L172" s="62"/>
      <c r="M172" s="62">
        <v>9.1294097222222228E-3</v>
      </c>
      <c r="N172" s="62">
        <f t="shared" si="71"/>
        <v>9.1294097222222211E-3</v>
      </c>
      <c r="O172" s="53" t="str">
        <f t="shared" si="72"/>
        <v/>
      </c>
      <c r="P172" s="53">
        <f t="shared" si="73"/>
        <v>146</v>
      </c>
      <c r="Q172" s="53">
        <f t="shared" si="74"/>
        <v>129</v>
      </c>
      <c r="R172" s="53" t="str">
        <f t="shared" si="75"/>
        <v/>
      </c>
      <c r="S172" s="53">
        <f t="shared" si="76"/>
        <v>145</v>
      </c>
      <c r="T172" s="53" t="str">
        <f t="shared" si="77"/>
        <v/>
      </c>
      <c r="U172" s="53" t="str">
        <f t="shared" si="78"/>
        <v/>
      </c>
      <c r="V172" s="53" t="str">
        <f t="shared" si="79"/>
        <v/>
      </c>
      <c r="W172" s="53" t="str">
        <f t="shared" si="80"/>
        <v>DNS/DNF ()</v>
      </c>
      <c r="X172" s="53" t="str">
        <f t="shared" si="81"/>
        <v>00:04:33.2 (146)</v>
      </c>
      <c r="Y172" s="53" t="str">
        <f t="shared" si="82"/>
        <v>00:02:34.4 (129)</v>
      </c>
      <c r="Z172" s="53" t="str">
        <f t="shared" si="83"/>
        <v>DNS/DNF ()</v>
      </c>
      <c r="AA172" s="53" t="str">
        <f t="shared" si="84"/>
        <v>00:06:01.2 (145)</v>
      </c>
      <c r="AB172" s="53" t="str">
        <f t="shared" si="85"/>
        <v>DNS/DNF ()</v>
      </c>
      <c r="AC172" s="53" t="str">
        <f t="shared" si="86"/>
        <v>DNS/DNF ()</v>
      </c>
      <c r="AD172" s="53" t="str">
        <f t="shared" si="87"/>
        <v>DNS/DNF ()</v>
      </c>
      <c r="AE172" s="53">
        <v>0</v>
      </c>
      <c r="AF172" s="53">
        <v>0</v>
      </c>
      <c r="AG172" s="53">
        <v>34295114</v>
      </c>
      <c r="AH172" s="53">
        <v>34568320</v>
      </c>
      <c r="AI172" s="53">
        <v>37264300</v>
      </c>
      <c r="AJ172" s="53">
        <v>37418689</v>
      </c>
      <c r="AK172" s="53">
        <v>0</v>
      </c>
      <c r="AL172" s="53">
        <v>0</v>
      </c>
      <c r="AM172" s="53">
        <v>39982612</v>
      </c>
      <c r="AN172" s="53">
        <v>40343798</v>
      </c>
      <c r="AO172" s="53">
        <v>0</v>
      </c>
      <c r="AP172" s="53">
        <v>0</v>
      </c>
      <c r="AQ172" s="53">
        <v>0</v>
      </c>
      <c r="AR172" s="53">
        <v>0</v>
      </c>
      <c r="AS172" s="53">
        <v>0</v>
      </c>
      <c r="AT172" s="53">
        <v>0</v>
      </c>
      <c r="AU172" s="62" t="str">
        <f t="shared" si="88"/>
        <v>DNS/DNF</v>
      </c>
      <c r="AV172" s="62">
        <f t="shared" si="89"/>
        <v>3.1621064814814815E-3</v>
      </c>
      <c r="AW172" s="62">
        <f t="shared" si="90"/>
        <v>1.7869097222222223E-3</v>
      </c>
      <c r="AX172" s="62" t="str">
        <f t="shared" si="91"/>
        <v>DNS/DNF</v>
      </c>
      <c r="AY172" s="62">
        <f t="shared" si="92"/>
        <v>4.1803935185185182E-3</v>
      </c>
      <c r="AZ172" s="62" t="str">
        <f t="shared" si="93"/>
        <v>DNS/DNF</v>
      </c>
      <c r="BA172" s="62" t="str">
        <f t="shared" si="94"/>
        <v>DNS/DNF</v>
      </c>
      <c r="BB172" s="62" t="str">
        <f t="shared" si="95"/>
        <v>DNS/DNF</v>
      </c>
      <c r="BC172" s="75">
        <f t="shared" si="96"/>
        <v>140</v>
      </c>
      <c r="BD172" s="53">
        <f t="shared" si="97"/>
        <v>700343</v>
      </c>
      <c r="BE172" s="53">
        <f t="shared" si="98"/>
        <v>271801</v>
      </c>
      <c r="BF172" s="53">
        <f t="shared" si="99"/>
        <v>158223</v>
      </c>
      <c r="BG172" s="53" t="str">
        <f t="shared" si="100"/>
        <v/>
      </c>
      <c r="BH172" s="53">
        <f t="shared" si="101"/>
        <v>359657</v>
      </c>
      <c r="BI172" s="53" t="str">
        <f t="shared" si="102"/>
        <v/>
      </c>
      <c r="BJ172" s="53" t="str">
        <f t="shared" si="103"/>
        <v/>
      </c>
      <c r="BK172" s="53" t="str">
        <f t="shared" si="104"/>
        <v/>
      </c>
    </row>
    <row r="173" spans="1:63">
      <c r="A173" s="53">
        <v>171</v>
      </c>
      <c r="B173" s="89" t="str">
        <f>IFERROR(VLOOKUP($A173,EntryList!$A$3:$N$645,2,FALSE),"")</f>
        <v>Ezra Evans</v>
      </c>
      <c r="C173" s="74"/>
      <c r="D173" s="53">
        <f t="shared" si="70"/>
        <v>3</v>
      </c>
      <c r="E173" s="62"/>
      <c r="F173" s="62">
        <v>3.1607523148148146E-3</v>
      </c>
      <c r="G173" s="62">
        <v>1.7572916666666666E-3</v>
      </c>
      <c r="H173" s="62"/>
      <c r="I173" s="62">
        <v>4.2219328703703707E-3</v>
      </c>
      <c r="J173" s="62"/>
      <c r="K173" s="62"/>
      <c r="L173" s="62"/>
      <c r="M173" s="62">
        <v>9.1399768518518523E-3</v>
      </c>
      <c r="N173" s="62">
        <f t="shared" si="71"/>
        <v>9.1399768518518523E-3</v>
      </c>
      <c r="O173" s="53" t="str">
        <f t="shared" si="72"/>
        <v/>
      </c>
      <c r="P173" s="53">
        <f t="shared" si="73"/>
        <v>145</v>
      </c>
      <c r="Q173" s="53">
        <f t="shared" si="74"/>
        <v>118</v>
      </c>
      <c r="R173" s="53" t="str">
        <f t="shared" si="75"/>
        <v/>
      </c>
      <c r="S173" s="53">
        <f t="shared" si="76"/>
        <v>150</v>
      </c>
      <c r="T173" s="53" t="str">
        <f t="shared" si="77"/>
        <v/>
      </c>
      <c r="U173" s="53" t="str">
        <f t="shared" si="78"/>
        <v/>
      </c>
      <c r="V173" s="53" t="str">
        <f t="shared" si="79"/>
        <v/>
      </c>
      <c r="W173" s="53" t="str">
        <f t="shared" si="80"/>
        <v>DNS/DNF ()</v>
      </c>
      <c r="X173" s="53" t="str">
        <f t="shared" si="81"/>
        <v>00:04:33.1 (145)</v>
      </c>
      <c r="Y173" s="53" t="str">
        <f t="shared" si="82"/>
        <v>00:02:31.8 (118)</v>
      </c>
      <c r="Z173" s="53" t="str">
        <f t="shared" si="83"/>
        <v>DNS/DNF ()</v>
      </c>
      <c r="AA173" s="53" t="str">
        <f t="shared" si="84"/>
        <v>00:06:04.8 (150)</v>
      </c>
      <c r="AB173" s="53" t="str">
        <f t="shared" si="85"/>
        <v>DNS/DNF ()</v>
      </c>
      <c r="AC173" s="53" t="str">
        <f t="shared" si="86"/>
        <v>DNS/DNF ()</v>
      </c>
      <c r="AD173" s="53" t="str">
        <f t="shared" si="87"/>
        <v>DNS/DNF ()</v>
      </c>
      <c r="AE173" s="53">
        <v>0</v>
      </c>
      <c r="AF173" s="53">
        <v>0</v>
      </c>
      <c r="AG173" s="53">
        <v>35109398</v>
      </c>
      <c r="AH173" s="53">
        <v>35382487</v>
      </c>
      <c r="AI173" s="53">
        <v>38890718</v>
      </c>
      <c r="AJ173" s="53">
        <v>39042548</v>
      </c>
      <c r="AK173" s="53">
        <v>0</v>
      </c>
      <c r="AL173" s="53">
        <v>0</v>
      </c>
      <c r="AM173" s="53">
        <v>42786468</v>
      </c>
      <c r="AN173" s="53">
        <v>43151243</v>
      </c>
      <c r="AO173" s="53">
        <v>0</v>
      </c>
      <c r="AP173" s="53">
        <v>0</v>
      </c>
      <c r="AQ173" s="53">
        <v>0</v>
      </c>
      <c r="AR173" s="53">
        <v>0</v>
      </c>
      <c r="AS173" s="53">
        <v>0</v>
      </c>
      <c r="AT173" s="53">
        <v>0</v>
      </c>
      <c r="AU173" s="62" t="str">
        <f t="shared" si="88"/>
        <v>DNS/DNF</v>
      </c>
      <c r="AV173" s="62">
        <f t="shared" si="89"/>
        <v>3.160752314814815E-3</v>
      </c>
      <c r="AW173" s="62">
        <f t="shared" si="90"/>
        <v>1.7572916666666668E-3</v>
      </c>
      <c r="AX173" s="62" t="str">
        <f t="shared" si="91"/>
        <v>DNS/DNF</v>
      </c>
      <c r="AY173" s="62">
        <f t="shared" si="92"/>
        <v>4.2219328703703707E-3</v>
      </c>
      <c r="AZ173" s="62" t="str">
        <f t="shared" si="93"/>
        <v>DNS/DNF</v>
      </c>
      <c r="BA173" s="62" t="str">
        <f t="shared" si="94"/>
        <v>DNS/DNF</v>
      </c>
      <c r="BB173" s="62" t="str">
        <f t="shared" si="95"/>
        <v>DNS/DNF</v>
      </c>
      <c r="BC173" s="75">
        <f t="shared" si="96"/>
        <v>138</v>
      </c>
      <c r="BD173" s="53">
        <f t="shared" si="97"/>
        <v>480676</v>
      </c>
      <c r="BE173" s="53">
        <f t="shared" si="98"/>
        <v>270536</v>
      </c>
      <c r="BF173" s="53">
        <f t="shared" si="99"/>
        <v>156975</v>
      </c>
      <c r="BG173" s="53">
        <f t="shared" si="100"/>
        <v>691026.99999999988</v>
      </c>
      <c r="BH173" s="53">
        <f t="shared" si="101"/>
        <v>359502.00000000006</v>
      </c>
      <c r="BI173" s="53" t="str">
        <f t="shared" si="102"/>
        <v/>
      </c>
      <c r="BJ173" s="53" t="str">
        <f t="shared" si="103"/>
        <v/>
      </c>
      <c r="BK173" s="53" t="str">
        <f t="shared" si="104"/>
        <v/>
      </c>
    </row>
    <row r="174" spans="1:63">
      <c r="A174" s="53">
        <v>70</v>
      </c>
      <c r="B174" s="89" t="str">
        <f>IFERROR(VLOOKUP($A174,EntryList!$A$3:$N$645,2,FALSE),"")</f>
        <v>Adam Dawson</v>
      </c>
      <c r="C174" s="74"/>
      <c r="D174" s="53">
        <f t="shared" si="70"/>
        <v>3</v>
      </c>
      <c r="E174" s="62"/>
      <c r="F174" s="62">
        <v>3.1921296296296298E-3</v>
      </c>
      <c r="G174" s="62">
        <v>1.8855208333333334E-3</v>
      </c>
      <c r="H174" s="62"/>
      <c r="I174" s="62">
        <v>4.0780902777777777E-3</v>
      </c>
      <c r="J174" s="62"/>
      <c r="K174" s="62"/>
      <c r="L174" s="62"/>
      <c r="M174" s="62">
        <v>9.1557407407407403E-3</v>
      </c>
      <c r="N174" s="62">
        <f t="shared" si="71"/>
        <v>9.1557407407407403E-3</v>
      </c>
      <c r="O174" s="53" t="str">
        <f t="shared" si="72"/>
        <v/>
      </c>
      <c r="P174" s="53">
        <f t="shared" si="73"/>
        <v>154</v>
      </c>
      <c r="Q174" s="53">
        <f t="shared" si="74"/>
        <v>168</v>
      </c>
      <c r="R174" s="53" t="str">
        <f t="shared" si="75"/>
        <v/>
      </c>
      <c r="S174" s="53">
        <f t="shared" si="76"/>
        <v>117</v>
      </c>
      <c r="T174" s="53" t="str">
        <f t="shared" si="77"/>
        <v/>
      </c>
      <c r="U174" s="53" t="str">
        <f t="shared" si="78"/>
        <v/>
      </c>
      <c r="V174" s="53" t="str">
        <f t="shared" si="79"/>
        <v/>
      </c>
      <c r="W174" s="53" t="str">
        <f t="shared" si="80"/>
        <v>DNS/DNF ()</v>
      </c>
      <c r="X174" s="53" t="str">
        <f t="shared" si="81"/>
        <v>00:04:35.8 (154)</v>
      </c>
      <c r="Y174" s="53" t="str">
        <f t="shared" si="82"/>
        <v>00:02:42.9 (168)</v>
      </c>
      <c r="Z174" s="53" t="str">
        <f t="shared" si="83"/>
        <v>DNS/DNF ()</v>
      </c>
      <c r="AA174" s="53" t="str">
        <f t="shared" si="84"/>
        <v>00:05:52.3 (117)</v>
      </c>
      <c r="AB174" s="53" t="str">
        <f t="shared" si="85"/>
        <v>DNS/DNF ()</v>
      </c>
      <c r="AC174" s="53" t="str">
        <f t="shared" si="86"/>
        <v>DNS/DNF ()</v>
      </c>
      <c r="AD174" s="53" t="str">
        <f t="shared" si="87"/>
        <v>DNS/DNF ()</v>
      </c>
      <c r="AE174" s="53">
        <v>0</v>
      </c>
      <c r="AF174" s="53">
        <v>0</v>
      </c>
      <c r="AG174" s="53">
        <v>38163776</v>
      </c>
      <c r="AH174" s="53">
        <v>38439576</v>
      </c>
      <c r="AI174" s="53">
        <v>33955467</v>
      </c>
      <c r="AJ174" s="53">
        <v>34118376</v>
      </c>
      <c r="AK174" s="53">
        <v>0</v>
      </c>
      <c r="AL174" s="53">
        <v>0</v>
      </c>
      <c r="AM174" s="53">
        <v>42720420</v>
      </c>
      <c r="AN174" s="53">
        <v>43072767</v>
      </c>
      <c r="AO174" s="53">
        <v>0</v>
      </c>
      <c r="AP174" s="53">
        <v>0</v>
      </c>
      <c r="AQ174" s="53">
        <v>0</v>
      </c>
      <c r="AR174" s="53">
        <v>0</v>
      </c>
      <c r="AS174" s="53">
        <v>0</v>
      </c>
      <c r="AT174" s="53">
        <v>0</v>
      </c>
      <c r="AU174" s="62" t="str">
        <f t="shared" si="88"/>
        <v>DNS/DNF</v>
      </c>
      <c r="AV174" s="62">
        <f t="shared" si="89"/>
        <v>3.1921296296296298E-3</v>
      </c>
      <c r="AW174" s="62">
        <f t="shared" si="90"/>
        <v>1.8855208333333332E-3</v>
      </c>
      <c r="AX174" s="62" t="str">
        <f t="shared" si="91"/>
        <v>DNS/DNF</v>
      </c>
      <c r="AY174" s="62">
        <f t="shared" si="92"/>
        <v>4.0780902777777777E-3</v>
      </c>
      <c r="AZ174" s="62" t="str">
        <f t="shared" si="93"/>
        <v>DNS/DNF</v>
      </c>
      <c r="BA174" s="62" t="str">
        <f t="shared" si="94"/>
        <v>DNS/DNF</v>
      </c>
      <c r="BB174" s="62" t="str">
        <f t="shared" si="95"/>
        <v>DNS/DNF</v>
      </c>
      <c r="BC174" s="75">
        <f t="shared" si="96"/>
        <v>146</v>
      </c>
      <c r="BD174" s="53" t="str">
        <f t="shared" si="97"/>
        <v/>
      </c>
      <c r="BE174" s="53">
        <f t="shared" si="98"/>
        <v>273206</v>
      </c>
      <c r="BF174" s="53">
        <f t="shared" si="99"/>
        <v>159462</v>
      </c>
      <c r="BG174" s="53" t="str">
        <f t="shared" si="100"/>
        <v/>
      </c>
      <c r="BH174" s="53">
        <f t="shared" si="101"/>
        <v>362397.99999999994</v>
      </c>
      <c r="BI174" s="53" t="str">
        <f t="shared" si="102"/>
        <v/>
      </c>
      <c r="BJ174" s="53" t="str">
        <f t="shared" si="103"/>
        <v/>
      </c>
      <c r="BK174" s="53" t="str">
        <f t="shared" si="104"/>
        <v/>
      </c>
    </row>
    <row r="175" spans="1:63">
      <c r="A175" s="53">
        <v>7</v>
      </c>
      <c r="B175" s="89" t="str">
        <f>IFERROR(VLOOKUP($A175,EntryList!$A$3:$N$645,2,FALSE),"")</f>
        <v>Stéphen Du Toit</v>
      </c>
      <c r="C175" s="74"/>
      <c r="D175" s="53">
        <f t="shared" si="70"/>
        <v>3</v>
      </c>
      <c r="E175" s="62"/>
      <c r="F175" s="62">
        <v>3.1658449074074076E-3</v>
      </c>
      <c r="G175" s="62">
        <v>1.8553356481481478E-3</v>
      </c>
      <c r="H175" s="62"/>
      <c r="I175" s="62">
        <v>4.1609027777777781E-3</v>
      </c>
      <c r="J175" s="62"/>
      <c r="K175" s="62"/>
      <c r="L175" s="62"/>
      <c r="M175" s="62">
        <v>9.1820833333333338E-3</v>
      </c>
      <c r="N175" s="62">
        <f t="shared" si="71"/>
        <v>9.1820833333333338E-3</v>
      </c>
      <c r="O175" s="53" t="str">
        <f t="shared" si="72"/>
        <v/>
      </c>
      <c r="P175" s="53">
        <f t="shared" si="73"/>
        <v>148</v>
      </c>
      <c r="Q175" s="53">
        <f t="shared" si="74"/>
        <v>153</v>
      </c>
      <c r="R175" s="53" t="str">
        <f t="shared" si="75"/>
        <v/>
      </c>
      <c r="S175" s="53">
        <f t="shared" si="76"/>
        <v>138</v>
      </c>
      <c r="T175" s="53" t="str">
        <f t="shared" si="77"/>
        <v/>
      </c>
      <c r="U175" s="53" t="str">
        <f t="shared" si="78"/>
        <v/>
      </c>
      <c r="V175" s="53" t="str">
        <f t="shared" si="79"/>
        <v/>
      </c>
      <c r="W175" s="53" t="str">
        <f t="shared" si="80"/>
        <v>DNS/DNF ()</v>
      </c>
      <c r="X175" s="53" t="str">
        <f t="shared" si="81"/>
        <v>00:04:33.5 (148)</v>
      </c>
      <c r="Y175" s="53" t="str">
        <f t="shared" si="82"/>
        <v>00:02:40.3 (153)</v>
      </c>
      <c r="Z175" s="53" t="str">
        <f t="shared" si="83"/>
        <v>DNS/DNF ()</v>
      </c>
      <c r="AA175" s="53" t="str">
        <f t="shared" si="84"/>
        <v>00:05:59.5 (138)</v>
      </c>
      <c r="AB175" s="53" t="str">
        <f t="shared" si="85"/>
        <v>DNS/DNF ()</v>
      </c>
      <c r="AC175" s="53" t="str">
        <f t="shared" si="86"/>
        <v>DNS/DNF ()</v>
      </c>
      <c r="AD175" s="53" t="str">
        <f t="shared" si="87"/>
        <v>DNS/DNF ()</v>
      </c>
      <c r="AE175" s="53">
        <v>0</v>
      </c>
      <c r="AF175" s="53">
        <v>0</v>
      </c>
      <c r="AG175" s="53">
        <v>34017928</v>
      </c>
      <c r="AH175" s="53">
        <v>34291457</v>
      </c>
      <c r="AI175" s="53">
        <v>36878354</v>
      </c>
      <c r="AJ175" s="53">
        <v>37038655</v>
      </c>
      <c r="AK175" s="53">
        <v>0</v>
      </c>
      <c r="AL175" s="53">
        <v>0</v>
      </c>
      <c r="AM175" s="53">
        <v>40735260</v>
      </c>
      <c r="AN175" s="53">
        <v>41094762</v>
      </c>
      <c r="AO175" s="53">
        <v>0</v>
      </c>
      <c r="AP175" s="53">
        <v>0</v>
      </c>
      <c r="AQ175" s="53">
        <v>0</v>
      </c>
      <c r="AR175" s="53">
        <v>0</v>
      </c>
      <c r="AS175" s="53">
        <v>0</v>
      </c>
      <c r="AT175" s="53">
        <v>0</v>
      </c>
      <c r="AU175" s="62" t="str">
        <f t="shared" si="88"/>
        <v>DNS/DNF</v>
      </c>
      <c r="AV175" s="62">
        <f t="shared" si="89"/>
        <v>3.1658449074074076E-3</v>
      </c>
      <c r="AW175" s="62">
        <f t="shared" si="90"/>
        <v>1.8553356481481481E-3</v>
      </c>
      <c r="AX175" s="62" t="str">
        <f t="shared" si="91"/>
        <v>DNS/DNF</v>
      </c>
      <c r="AY175" s="62">
        <f t="shared" si="92"/>
        <v>4.1609027777777781E-3</v>
      </c>
      <c r="AZ175" s="62" t="str">
        <f t="shared" si="93"/>
        <v>DNS/DNF</v>
      </c>
      <c r="BA175" s="62" t="str">
        <f t="shared" si="94"/>
        <v>DNS/DNF</v>
      </c>
      <c r="BB175" s="62" t="str">
        <f t="shared" si="95"/>
        <v>DNS/DNF</v>
      </c>
      <c r="BC175" s="75">
        <f t="shared" si="96"/>
        <v>146</v>
      </c>
      <c r="BD175" s="53" t="str">
        <f t="shared" si="97"/>
        <v/>
      </c>
      <c r="BE175" s="53">
        <f t="shared" si="98"/>
        <v>273206</v>
      </c>
      <c r="BF175" s="53">
        <f t="shared" si="99"/>
        <v>159462</v>
      </c>
      <c r="BG175" s="53" t="str">
        <f t="shared" si="100"/>
        <v/>
      </c>
      <c r="BH175" s="53">
        <f t="shared" si="101"/>
        <v>362397.99999999994</v>
      </c>
      <c r="BI175" s="53" t="str">
        <f t="shared" si="102"/>
        <v/>
      </c>
      <c r="BJ175" s="53" t="str">
        <f t="shared" si="103"/>
        <v/>
      </c>
      <c r="BK175" s="53" t="str">
        <f t="shared" si="104"/>
        <v/>
      </c>
    </row>
    <row r="176" spans="1:63">
      <c r="A176" s="53">
        <v>75</v>
      </c>
      <c r="B176" s="89" t="str">
        <f>IFERROR(VLOOKUP($A176,EntryList!$A$3:$N$645,2,FALSE),"")</f>
        <v>Michelle George</v>
      </c>
      <c r="C176" s="74"/>
      <c r="D176" s="53">
        <f t="shared" si="70"/>
        <v>3</v>
      </c>
      <c r="E176" s="62"/>
      <c r="F176" s="62">
        <v>3.165833333333333E-3</v>
      </c>
      <c r="G176" s="62">
        <v>1.894016203703704E-3</v>
      </c>
      <c r="H176" s="62"/>
      <c r="I176" s="62">
        <v>4.1624189814814814E-3</v>
      </c>
      <c r="J176" s="62"/>
      <c r="K176" s="62"/>
      <c r="L176" s="62"/>
      <c r="M176" s="62">
        <v>9.2222685185185185E-3</v>
      </c>
      <c r="N176" s="62">
        <f t="shared" si="71"/>
        <v>9.2222685185185185E-3</v>
      </c>
      <c r="O176" s="53" t="str">
        <f t="shared" si="72"/>
        <v/>
      </c>
      <c r="P176" s="53">
        <f t="shared" si="73"/>
        <v>147</v>
      </c>
      <c r="Q176" s="53">
        <f t="shared" si="74"/>
        <v>170</v>
      </c>
      <c r="R176" s="53" t="str">
        <f t="shared" si="75"/>
        <v/>
      </c>
      <c r="S176" s="53">
        <f t="shared" si="76"/>
        <v>139</v>
      </c>
      <c r="T176" s="53" t="str">
        <f t="shared" si="77"/>
        <v/>
      </c>
      <c r="U176" s="53" t="str">
        <f t="shared" si="78"/>
        <v/>
      </c>
      <c r="V176" s="53" t="str">
        <f t="shared" si="79"/>
        <v/>
      </c>
      <c r="W176" s="53" t="str">
        <f t="shared" si="80"/>
        <v>DNS/DNF ()</v>
      </c>
      <c r="X176" s="53" t="str">
        <f t="shared" si="81"/>
        <v>00:04:33.5 (147)</v>
      </c>
      <c r="Y176" s="53" t="str">
        <f t="shared" si="82"/>
        <v>00:02:43.6 (170)</v>
      </c>
      <c r="Z176" s="53" t="str">
        <f t="shared" si="83"/>
        <v>DNS/DNF ()</v>
      </c>
      <c r="AA176" s="53" t="str">
        <f t="shared" si="84"/>
        <v>00:05:59.6 (139)</v>
      </c>
      <c r="AB176" s="53" t="str">
        <f t="shared" si="85"/>
        <v>DNS/DNF ()</v>
      </c>
      <c r="AC176" s="53" t="str">
        <f t="shared" si="86"/>
        <v>DNS/DNF ()</v>
      </c>
      <c r="AD176" s="53" t="str">
        <f t="shared" si="87"/>
        <v>DNS/DNF ()</v>
      </c>
      <c r="AE176" s="53">
        <v>0</v>
      </c>
      <c r="AF176" s="53">
        <v>0</v>
      </c>
      <c r="AG176" s="53">
        <v>33701651</v>
      </c>
      <c r="AH176" s="53">
        <v>33975179</v>
      </c>
      <c r="AI176" s="53">
        <v>37069713</v>
      </c>
      <c r="AJ176" s="53">
        <v>37233356</v>
      </c>
      <c r="AK176" s="53">
        <v>0</v>
      </c>
      <c r="AL176" s="53">
        <v>0</v>
      </c>
      <c r="AM176" s="53">
        <v>41896044</v>
      </c>
      <c r="AN176" s="53">
        <v>42255677</v>
      </c>
      <c r="AO176" s="53">
        <v>0</v>
      </c>
      <c r="AP176" s="53">
        <v>0</v>
      </c>
      <c r="AQ176" s="53">
        <v>0</v>
      </c>
      <c r="AR176" s="53">
        <v>0</v>
      </c>
      <c r="AS176" s="53">
        <v>0</v>
      </c>
      <c r="AT176" s="53">
        <v>0</v>
      </c>
      <c r="AU176" s="62" t="str">
        <f t="shared" si="88"/>
        <v>DNS/DNF</v>
      </c>
      <c r="AV176" s="62">
        <f t="shared" si="89"/>
        <v>3.1658333333333334E-3</v>
      </c>
      <c r="AW176" s="62">
        <f t="shared" si="90"/>
        <v>1.8940162037037037E-3</v>
      </c>
      <c r="AX176" s="62" t="str">
        <f t="shared" si="91"/>
        <v>DNS/DNF</v>
      </c>
      <c r="AY176" s="62">
        <f t="shared" si="92"/>
        <v>4.1624189814814814E-3</v>
      </c>
      <c r="AZ176" s="62" t="str">
        <f t="shared" si="93"/>
        <v>DNS/DNF</v>
      </c>
      <c r="BA176" s="62" t="str">
        <f t="shared" si="94"/>
        <v>DNS/DNF</v>
      </c>
      <c r="BB176" s="62" t="str">
        <f t="shared" si="95"/>
        <v>DNS/DNF</v>
      </c>
      <c r="BC176" s="75">
        <f t="shared" si="96"/>
        <v>152</v>
      </c>
      <c r="BD176" s="53" t="str">
        <f t="shared" si="97"/>
        <v/>
      </c>
      <c r="BE176" s="53">
        <f t="shared" si="98"/>
        <v>274828</v>
      </c>
      <c r="BF176" s="53">
        <f t="shared" si="99"/>
        <v>160178</v>
      </c>
      <c r="BG176" s="53" t="str">
        <f t="shared" si="100"/>
        <v/>
      </c>
      <c r="BH176" s="53">
        <f t="shared" si="101"/>
        <v>365092</v>
      </c>
      <c r="BI176" s="53" t="str">
        <f t="shared" si="102"/>
        <v/>
      </c>
      <c r="BJ176" s="53" t="str">
        <f t="shared" si="103"/>
        <v/>
      </c>
      <c r="BK176" s="53" t="str">
        <f t="shared" si="104"/>
        <v/>
      </c>
    </row>
    <row r="177" spans="1:63">
      <c r="A177" s="53">
        <v>228</v>
      </c>
      <c r="B177" s="89" t="str">
        <f>IFERROR(VLOOKUP($A177,EntryList!$A$3:$N$645,2,FALSE),"")</f>
        <v>Fred Lowe</v>
      </c>
      <c r="C177" s="74"/>
      <c r="D177" s="53">
        <f t="shared" si="70"/>
        <v>3</v>
      </c>
      <c r="E177" s="62"/>
      <c r="F177" s="62">
        <v>3.2927893518518519E-3</v>
      </c>
      <c r="G177" s="62">
        <v>1.8724189814814816E-3</v>
      </c>
      <c r="H177" s="62"/>
      <c r="I177" s="62">
        <v>4.0739004629629632E-3</v>
      </c>
      <c r="J177" s="62"/>
      <c r="K177" s="62"/>
      <c r="L177" s="62"/>
      <c r="M177" s="62">
        <v>9.2391087962962973E-3</v>
      </c>
      <c r="N177" s="62">
        <f t="shared" si="71"/>
        <v>9.2391087962962956E-3</v>
      </c>
      <c r="O177" s="53" t="str">
        <f t="shared" si="72"/>
        <v/>
      </c>
      <c r="P177" s="53">
        <f t="shared" si="73"/>
        <v>181</v>
      </c>
      <c r="Q177" s="53">
        <f t="shared" si="74"/>
        <v>165</v>
      </c>
      <c r="R177" s="53" t="str">
        <f t="shared" si="75"/>
        <v/>
      </c>
      <c r="S177" s="53">
        <f t="shared" si="76"/>
        <v>115</v>
      </c>
      <c r="T177" s="53" t="str">
        <f t="shared" si="77"/>
        <v/>
      </c>
      <c r="U177" s="53" t="str">
        <f t="shared" si="78"/>
        <v/>
      </c>
      <c r="V177" s="53" t="str">
        <f t="shared" si="79"/>
        <v/>
      </c>
      <c r="W177" s="53" t="str">
        <f t="shared" si="80"/>
        <v>DNS/DNF ()</v>
      </c>
      <c r="X177" s="53" t="str">
        <f t="shared" si="81"/>
        <v>00:04:44.5 (181)</v>
      </c>
      <c r="Y177" s="53" t="str">
        <f t="shared" si="82"/>
        <v>00:02:41.8 (165)</v>
      </c>
      <c r="Z177" s="53" t="str">
        <f t="shared" si="83"/>
        <v>DNS/DNF ()</v>
      </c>
      <c r="AA177" s="53" t="str">
        <f t="shared" si="84"/>
        <v>00:05:52.0 (115)</v>
      </c>
      <c r="AB177" s="53" t="str">
        <f t="shared" si="85"/>
        <v>DNS/DNF ()</v>
      </c>
      <c r="AC177" s="53" t="str">
        <f t="shared" si="86"/>
        <v>DNS/DNF ()</v>
      </c>
      <c r="AD177" s="53" t="str">
        <f t="shared" si="87"/>
        <v>DNS/DNF ()</v>
      </c>
      <c r="AE177" s="53">
        <v>0</v>
      </c>
      <c r="AF177" s="53">
        <v>0</v>
      </c>
      <c r="AG177" s="53">
        <v>33829254</v>
      </c>
      <c r="AH177" s="53">
        <v>34113751</v>
      </c>
      <c r="AI177" s="53">
        <v>36618934</v>
      </c>
      <c r="AJ177" s="53">
        <v>36780711</v>
      </c>
      <c r="AK177" s="53">
        <v>0</v>
      </c>
      <c r="AL177" s="53">
        <v>0</v>
      </c>
      <c r="AM177" s="53">
        <v>39899756</v>
      </c>
      <c r="AN177" s="53">
        <v>40251741</v>
      </c>
      <c r="AO177" s="53">
        <v>0</v>
      </c>
      <c r="AP177" s="53">
        <v>0</v>
      </c>
      <c r="AQ177" s="53">
        <v>0</v>
      </c>
      <c r="AR177" s="53">
        <v>0</v>
      </c>
      <c r="AS177" s="53">
        <v>0</v>
      </c>
      <c r="AT177" s="53">
        <v>0</v>
      </c>
      <c r="AU177" s="62" t="str">
        <f t="shared" si="88"/>
        <v>DNS/DNF</v>
      </c>
      <c r="AV177" s="62">
        <f t="shared" si="89"/>
        <v>3.2927893518518519E-3</v>
      </c>
      <c r="AW177" s="62">
        <f t="shared" si="90"/>
        <v>1.8724189814814814E-3</v>
      </c>
      <c r="AX177" s="62" t="str">
        <f t="shared" si="91"/>
        <v>DNS/DNF</v>
      </c>
      <c r="AY177" s="62">
        <f t="shared" si="92"/>
        <v>4.0739004629629632E-3</v>
      </c>
      <c r="AZ177" s="62" t="str">
        <f t="shared" si="93"/>
        <v>DNS/DNF</v>
      </c>
      <c r="BA177" s="62" t="str">
        <f t="shared" si="94"/>
        <v>DNS/DNF</v>
      </c>
      <c r="BB177" s="62" t="str">
        <f t="shared" si="95"/>
        <v>DNS/DNF</v>
      </c>
      <c r="BC177" s="75">
        <f t="shared" si="96"/>
        <v>154</v>
      </c>
      <c r="BD177" s="53" t="str">
        <f t="shared" si="97"/>
        <v/>
      </c>
      <c r="BE177" s="53">
        <f t="shared" si="98"/>
        <v>275800</v>
      </c>
      <c r="BF177" s="53">
        <f t="shared" si="99"/>
        <v>160347</v>
      </c>
      <c r="BG177" s="53" t="str">
        <f t="shared" si="100"/>
        <v/>
      </c>
      <c r="BH177" s="53">
        <f t="shared" si="101"/>
        <v>366286.00000000006</v>
      </c>
      <c r="BI177" s="53" t="str">
        <f t="shared" si="102"/>
        <v/>
      </c>
      <c r="BJ177" s="53" t="str">
        <f t="shared" si="103"/>
        <v/>
      </c>
      <c r="BK177" s="53" t="str">
        <f t="shared" si="104"/>
        <v/>
      </c>
    </row>
    <row r="178" spans="1:63">
      <c r="A178" s="53">
        <v>60</v>
      </c>
      <c r="B178" s="89" t="str">
        <f>IFERROR(VLOOKUP($A178,EntryList!$A$3:$N$645,2,FALSE),"")</f>
        <v>Christiaan Steffens</v>
      </c>
      <c r="C178" s="74"/>
      <c r="D178" s="53">
        <f t="shared" si="70"/>
        <v>3</v>
      </c>
      <c r="E178" s="62"/>
      <c r="F178" s="62">
        <v>3.2496990740740737E-3</v>
      </c>
      <c r="G178" s="62">
        <v>1.8700462962962965E-3</v>
      </c>
      <c r="H178" s="62"/>
      <c r="I178" s="62">
        <v>4.125127314814815E-3</v>
      </c>
      <c r="J178" s="62"/>
      <c r="K178" s="62"/>
      <c r="L178" s="62"/>
      <c r="M178" s="62">
        <v>9.2448726851851858E-3</v>
      </c>
      <c r="N178" s="62">
        <f t="shared" si="71"/>
        <v>9.2448726851851841E-3</v>
      </c>
      <c r="O178" s="53" t="str">
        <f t="shared" si="72"/>
        <v/>
      </c>
      <c r="P178" s="53">
        <f t="shared" si="73"/>
        <v>174</v>
      </c>
      <c r="Q178" s="53">
        <f t="shared" si="74"/>
        <v>163</v>
      </c>
      <c r="R178" s="53" t="str">
        <f t="shared" si="75"/>
        <v/>
      </c>
      <c r="S178" s="53">
        <f t="shared" si="76"/>
        <v>128</v>
      </c>
      <c r="T178" s="53" t="str">
        <f t="shared" si="77"/>
        <v/>
      </c>
      <c r="U178" s="53" t="str">
        <f t="shared" si="78"/>
        <v/>
      </c>
      <c r="V178" s="53" t="str">
        <f t="shared" si="79"/>
        <v/>
      </c>
      <c r="W178" s="53" t="str">
        <f t="shared" si="80"/>
        <v>DNS/DNF ()</v>
      </c>
      <c r="X178" s="53" t="str">
        <f t="shared" si="81"/>
        <v>00:04:40.8 (174)</v>
      </c>
      <c r="Y178" s="53" t="str">
        <f t="shared" si="82"/>
        <v>00:02:41.6 (163)</v>
      </c>
      <c r="Z178" s="53" t="str">
        <f t="shared" si="83"/>
        <v>DNS/DNF ()</v>
      </c>
      <c r="AA178" s="53" t="str">
        <f t="shared" si="84"/>
        <v>00:05:56.4 (128)</v>
      </c>
      <c r="AB178" s="53" t="str">
        <f t="shared" si="85"/>
        <v>DNS/DNF ()</v>
      </c>
      <c r="AC178" s="53" t="str">
        <f t="shared" si="86"/>
        <v>DNS/DNF ()</v>
      </c>
      <c r="AD178" s="53" t="str">
        <f t="shared" si="87"/>
        <v>DNS/DNF ()</v>
      </c>
      <c r="AE178" s="53">
        <v>0</v>
      </c>
      <c r="AF178" s="53">
        <v>0</v>
      </c>
      <c r="AG178" s="53">
        <v>32968653</v>
      </c>
      <c r="AH178" s="53">
        <v>33249427</v>
      </c>
      <c r="AI178" s="53">
        <v>35351879</v>
      </c>
      <c r="AJ178" s="53">
        <v>35513451</v>
      </c>
      <c r="AK178" s="53">
        <v>0</v>
      </c>
      <c r="AL178" s="53">
        <v>0</v>
      </c>
      <c r="AM178" s="53">
        <v>38309601</v>
      </c>
      <c r="AN178" s="53">
        <v>38666012</v>
      </c>
      <c r="AO178" s="53">
        <v>0</v>
      </c>
      <c r="AP178" s="53">
        <v>0</v>
      </c>
      <c r="AQ178" s="53">
        <v>0</v>
      </c>
      <c r="AR178" s="53">
        <v>0</v>
      </c>
      <c r="AS178" s="53">
        <v>0</v>
      </c>
      <c r="AT178" s="53">
        <v>0</v>
      </c>
      <c r="AU178" s="62" t="str">
        <f t="shared" si="88"/>
        <v>DNS/DNF</v>
      </c>
      <c r="AV178" s="62">
        <f t="shared" si="89"/>
        <v>3.2496990740740741E-3</v>
      </c>
      <c r="AW178" s="62">
        <f t="shared" si="90"/>
        <v>1.8700462962962963E-3</v>
      </c>
      <c r="AX178" s="62" t="str">
        <f t="shared" si="91"/>
        <v>DNS/DNF</v>
      </c>
      <c r="AY178" s="62">
        <f t="shared" si="92"/>
        <v>4.125127314814815E-3</v>
      </c>
      <c r="AZ178" s="62" t="str">
        <f t="shared" si="93"/>
        <v>DNS/DNF</v>
      </c>
      <c r="BA178" s="62" t="str">
        <f t="shared" si="94"/>
        <v>DNS/DNF</v>
      </c>
      <c r="BB178" s="62" t="str">
        <f t="shared" si="95"/>
        <v>DNS/DNF</v>
      </c>
      <c r="BC178" s="75">
        <f t="shared" si="96"/>
        <v>155</v>
      </c>
      <c r="BD178" s="53" t="str">
        <f t="shared" si="97"/>
        <v/>
      </c>
      <c r="BE178" s="53">
        <f t="shared" si="98"/>
        <v>276124</v>
      </c>
      <c r="BF178" s="53">
        <f t="shared" si="99"/>
        <v>160392</v>
      </c>
      <c r="BG178" s="53" t="str">
        <f t="shared" si="100"/>
        <v/>
      </c>
      <c r="BH178" s="53">
        <f t="shared" si="101"/>
        <v>367684</v>
      </c>
      <c r="BI178" s="53" t="str">
        <f t="shared" si="102"/>
        <v/>
      </c>
      <c r="BJ178" s="53" t="str">
        <f t="shared" si="103"/>
        <v/>
      </c>
      <c r="BK178" s="53" t="str">
        <f t="shared" si="104"/>
        <v/>
      </c>
    </row>
    <row r="179" spans="1:63">
      <c r="A179" s="53">
        <v>275</v>
      </c>
      <c r="B179" s="89" t="str">
        <f>IFERROR(VLOOKUP($A179,EntryList!$A$3:$N$645,2,FALSE),"")</f>
        <v>Joshua Ord</v>
      </c>
      <c r="C179" s="74"/>
      <c r="D179" s="53">
        <f t="shared" si="70"/>
        <v>3</v>
      </c>
      <c r="E179" s="62"/>
      <c r="F179" s="62">
        <v>3.272256944444444E-3</v>
      </c>
      <c r="G179" s="62">
        <v>1.8495370370370369E-3</v>
      </c>
      <c r="H179" s="62"/>
      <c r="I179" s="62">
        <v>4.1944212962962959E-3</v>
      </c>
      <c r="J179" s="62"/>
      <c r="K179" s="62"/>
      <c r="L179" s="62"/>
      <c r="M179" s="62">
        <v>9.3162152777777774E-3</v>
      </c>
      <c r="N179" s="62">
        <f t="shared" si="71"/>
        <v>9.3162152777777774E-3</v>
      </c>
      <c r="O179" s="53" t="str">
        <f t="shared" si="72"/>
        <v/>
      </c>
      <c r="P179" s="53">
        <f t="shared" si="73"/>
        <v>176</v>
      </c>
      <c r="Q179" s="53">
        <f t="shared" si="74"/>
        <v>150</v>
      </c>
      <c r="R179" s="53" t="str">
        <f t="shared" si="75"/>
        <v/>
      </c>
      <c r="S179" s="53">
        <f t="shared" si="76"/>
        <v>146</v>
      </c>
      <c r="T179" s="53" t="str">
        <f t="shared" si="77"/>
        <v/>
      </c>
      <c r="U179" s="53" t="str">
        <f t="shared" si="78"/>
        <v/>
      </c>
      <c r="V179" s="53" t="str">
        <f t="shared" si="79"/>
        <v/>
      </c>
      <c r="W179" s="53" t="str">
        <f t="shared" si="80"/>
        <v>DNS/DNF ()</v>
      </c>
      <c r="X179" s="53" t="str">
        <f t="shared" si="81"/>
        <v>00:04:42.7 (176)</v>
      </c>
      <c r="Y179" s="53" t="str">
        <f t="shared" si="82"/>
        <v>00:02:39.8 (150)</v>
      </c>
      <c r="Z179" s="53" t="str">
        <f t="shared" si="83"/>
        <v>DNS/DNF ()</v>
      </c>
      <c r="AA179" s="53" t="str">
        <f t="shared" si="84"/>
        <v>00:06:02.4 (146)</v>
      </c>
      <c r="AB179" s="53" t="str">
        <f t="shared" si="85"/>
        <v>DNS/DNF ()</v>
      </c>
      <c r="AC179" s="53" t="str">
        <f t="shared" si="86"/>
        <v>DNS/DNF ()</v>
      </c>
      <c r="AD179" s="53" t="str">
        <f t="shared" si="87"/>
        <v>DNS/DNF ()</v>
      </c>
      <c r="AE179" s="53">
        <v>0</v>
      </c>
      <c r="AF179" s="53">
        <v>0</v>
      </c>
      <c r="AG179" s="53">
        <v>32846405</v>
      </c>
      <c r="AH179" s="53">
        <v>33129128</v>
      </c>
      <c r="AI179" s="53">
        <v>36077783</v>
      </c>
      <c r="AJ179" s="53">
        <v>36237583</v>
      </c>
      <c r="AK179" s="53">
        <v>0</v>
      </c>
      <c r="AL179" s="53">
        <v>0</v>
      </c>
      <c r="AM179" s="53">
        <v>40038366</v>
      </c>
      <c r="AN179" s="53">
        <v>40400764</v>
      </c>
      <c r="AO179" s="53">
        <v>0</v>
      </c>
      <c r="AP179" s="53">
        <v>0</v>
      </c>
      <c r="AQ179" s="53">
        <v>0</v>
      </c>
      <c r="AR179" s="53">
        <v>0</v>
      </c>
      <c r="AS179" s="53">
        <v>0</v>
      </c>
      <c r="AT179" s="53">
        <v>0</v>
      </c>
      <c r="AU179" s="62" t="str">
        <f t="shared" si="88"/>
        <v>DNS/DNF</v>
      </c>
      <c r="AV179" s="62">
        <f t="shared" si="89"/>
        <v>3.2722569444444444E-3</v>
      </c>
      <c r="AW179" s="62">
        <f t="shared" si="90"/>
        <v>1.8495370370370371E-3</v>
      </c>
      <c r="AX179" s="62" t="str">
        <f t="shared" si="91"/>
        <v>DNS/DNF</v>
      </c>
      <c r="AY179" s="62">
        <f t="shared" si="92"/>
        <v>4.1944212962962959E-3</v>
      </c>
      <c r="AZ179" s="62" t="str">
        <f t="shared" si="93"/>
        <v>DNS/DNF</v>
      </c>
      <c r="BA179" s="62" t="str">
        <f t="shared" si="94"/>
        <v>DNS/DNF</v>
      </c>
      <c r="BB179" s="62" t="str">
        <f t="shared" si="95"/>
        <v>DNS/DNF</v>
      </c>
      <c r="BC179" s="75">
        <f t="shared" si="96"/>
        <v>157</v>
      </c>
      <c r="BD179" s="53" t="str">
        <f t="shared" si="97"/>
        <v/>
      </c>
      <c r="BE179" s="53">
        <f t="shared" si="98"/>
        <v>276549</v>
      </c>
      <c r="BF179" s="53">
        <f t="shared" si="99"/>
        <v>160702</v>
      </c>
      <c r="BG179" s="53" t="str">
        <f t="shared" si="100"/>
        <v/>
      </c>
      <c r="BH179" s="53">
        <f t="shared" si="101"/>
        <v>367998</v>
      </c>
      <c r="BI179" s="53" t="str">
        <f t="shared" si="102"/>
        <v/>
      </c>
      <c r="BJ179" s="53" t="str">
        <f t="shared" si="103"/>
        <v/>
      </c>
      <c r="BK179" s="53" t="str">
        <f t="shared" si="104"/>
        <v/>
      </c>
    </row>
    <row r="180" spans="1:63">
      <c r="A180" s="53">
        <v>240</v>
      </c>
      <c r="B180" s="89" t="str">
        <f>IFERROR(VLOOKUP($A180,EntryList!$A$3:$N$645,2,FALSE),"")</f>
        <v>Robert Du Preez</v>
      </c>
      <c r="C180" s="74"/>
      <c r="D180" s="53">
        <f t="shared" si="70"/>
        <v>3</v>
      </c>
      <c r="E180" s="62"/>
      <c r="F180" s="62">
        <v>3.0882060185185183E-3</v>
      </c>
      <c r="G180" s="62">
        <v>1.9100694444444445E-3</v>
      </c>
      <c r="H180" s="62"/>
      <c r="I180" s="62">
        <v>4.322789351851852E-3</v>
      </c>
      <c r="J180" s="62"/>
      <c r="K180" s="62"/>
      <c r="L180" s="62"/>
      <c r="M180" s="62">
        <v>9.321064814814815E-3</v>
      </c>
      <c r="N180" s="62">
        <f t="shared" si="71"/>
        <v>9.321064814814815E-3</v>
      </c>
      <c r="O180" s="53" t="str">
        <f t="shared" si="72"/>
        <v/>
      </c>
      <c r="P180" s="53">
        <f t="shared" si="73"/>
        <v>127</v>
      </c>
      <c r="Q180" s="53">
        <f t="shared" si="74"/>
        <v>176</v>
      </c>
      <c r="R180" s="53" t="str">
        <f t="shared" si="75"/>
        <v/>
      </c>
      <c r="S180" s="53">
        <f t="shared" si="76"/>
        <v>166</v>
      </c>
      <c r="T180" s="53" t="str">
        <f t="shared" si="77"/>
        <v/>
      </c>
      <c r="U180" s="53" t="str">
        <f t="shared" si="78"/>
        <v/>
      </c>
      <c r="V180" s="53" t="str">
        <f t="shared" si="79"/>
        <v/>
      </c>
      <c r="W180" s="53" t="str">
        <f t="shared" si="80"/>
        <v>DNS/DNF ()</v>
      </c>
      <c r="X180" s="53" t="str">
        <f t="shared" si="81"/>
        <v>00:04:26.8 (127)</v>
      </c>
      <c r="Y180" s="53" t="str">
        <f t="shared" si="82"/>
        <v>00:02:45.0 (176)</v>
      </c>
      <c r="Z180" s="53" t="str">
        <f t="shared" si="83"/>
        <v>DNS/DNF ()</v>
      </c>
      <c r="AA180" s="53" t="str">
        <f t="shared" si="84"/>
        <v>00:06:13.5 (166)</v>
      </c>
      <c r="AB180" s="53" t="str">
        <f t="shared" si="85"/>
        <v>DNS/DNF ()</v>
      </c>
      <c r="AC180" s="53" t="str">
        <f t="shared" si="86"/>
        <v>DNS/DNF ()</v>
      </c>
      <c r="AD180" s="53" t="str">
        <f t="shared" si="87"/>
        <v>DNS/DNF ()</v>
      </c>
      <c r="AE180" s="53">
        <v>0</v>
      </c>
      <c r="AF180" s="53">
        <v>0</v>
      </c>
      <c r="AG180" s="53">
        <v>36598491</v>
      </c>
      <c r="AH180" s="53">
        <v>36865312</v>
      </c>
      <c r="AI180" s="53">
        <v>40900936</v>
      </c>
      <c r="AJ180" s="53">
        <v>41065966</v>
      </c>
      <c r="AK180" s="53">
        <v>0</v>
      </c>
      <c r="AL180" s="53">
        <v>0</v>
      </c>
      <c r="AM180" s="53">
        <v>44804812</v>
      </c>
      <c r="AN180" s="53">
        <v>45178301</v>
      </c>
      <c r="AO180" s="53">
        <v>0</v>
      </c>
      <c r="AP180" s="53">
        <v>0</v>
      </c>
      <c r="AQ180" s="53">
        <v>0</v>
      </c>
      <c r="AR180" s="53">
        <v>0</v>
      </c>
      <c r="AS180" s="53">
        <v>0</v>
      </c>
      <c r="AT180" s="53">
        <v>0</v>
      </c>
      <c r="AU180" s="62" t="str">
        <f t="shared" si="88"/>
        <v>DNS/DNF</v>
      </c>
      <c r="AV180" s="62">
        <f t="shared" si="89"/>
        <v>3.0882060185185183E-3</v>
      </c>
      <c r="AW180" s="62">
        <f t="shared" si="90"/>
        <v>1.9100694444444445E-3</v>
      </c>
      <c r="AX180" s="62" t="str">
        <f t="shared" si="91"/>
        <v>DNS/DNF</v>
      </c>
      <c r="AY180" s="62">
        <f t="shared" si="92"/>
        <v>4.322789351851852E-3</v>
      </c>
      <c r="AZ180" s="62" t="str">
        <f t="shared" si="93"/>
        <v>DNS/DNF</v>
      </c>
      <c r="BA180" s="62" t="str">
        <f t="shared" si="94"/>
        <v>DNS/DNF</v>
      </c>
      <c r="BB180" s="62" t="str">
        <f t="shared" si="95"/>
        <v>DNS/DNF</v>
      </c>
      <c r="BC180" s="75">
        <f t="shared" si="96"/>
        <v>156</v>
      </c>
      <c r="BD180" s="53" t="str">
        <f t="shared" si="97"/>
        <v/>
      </c>
      <c r="BE180" s="53">
        <f t="shared" si="98"/>
        <v>276213</v>
      </c>
      <c r="BF180" s="53">
        <f t="shared" si="99"/>
        <v>160516</v>
      </c>
      <c r="BG180" s="53" t="str">
        <f t="shared" si="100"/>
        <v/>
      </c>
      <c r="BH180" s="53">
        <f t="shared" si="101"/>
        <v>367705.00000000006</v>
      </c>
      <c r="BI180" s="53" t="str">
        <f t="shared" si="102"/>
        <v/>
      </c>
      <c r="BJ180" s="53" t="str">
        <f t="shared" si="103"/>
        <v/>
      </c>
      <c r="BK180" s="53" t="str">
        <f t="shared" si="104"/>
        <v/>
      </c>
    </row>
    <row r="181" spans="1:63">
      <c r="A181" s="53">
        <v>97</v>
      </c>
      <c r="B181" s="89" t="str">
        <f>IFERROR(VLOOKUP($A181,EntryList!$A$3:$N$645,2,FALSE),"")</f>
        <v>Amy Burton</v>
      </c>
      <c r="C181" s="74"/>
      <c r="D181" s="53">
        <f t="shared" si="70"/>
        <v>3</v>
      </c>
      <c r="E181" s="62"/>
      <c r="F181" s="62">
        <v>3.2548148148148145E-3</v>
      </c>
      <c r="G181" s="62">
        <v>1.8972106481481481E-3</v>
      </c>
      <c r="H181" s="62"/>
      <c r="I181" s="62">
        <v>4.1738078703703703E-3</v>
      </c>
      <c r="J181" s="62"/>
      <c r="K181" s="62"/>
      <c r="L181" s="62"/>
      <c r="M181" s="62">
        <v>9.3258333333333335E-3</v>
      </c>
      <c r="N181" s="62">
        <f t="shared" si="71"/>
        <v>9.3258333333333335E-3</v>
      </c>
      <c r="O181" s="53" t="str">
        <f t="shared" si="72"/>
        <v/>
      </c>
      <c r="P181" s="53">
        <f t="shared" si="73"/>
        <v>175</v>
      </c>
      <c r="Q181" s="53">
        <f t="shared" si="74"/>
        <v>172</v>
      </c>
      <c r="R181" s="53" t="str">
        <f t="shared" si="75"/>
        <v/>
      </c>
      <c r="S181" s="53">
        <f t="shared" si="76"/>
        <v>144</v>
      </c>
      <c r="T181" s="53" t="str">
        <f t="shared" si="77"/>
        <v/>
      </c>
      <c r="U181" s="53" t="str">
        <f t="shared" si="78"/>
        <v/>
      </c>
      <c r="V181" s="53" t="str">
        <f t="shared" si="79"/>
        <v/>
      </c>
      <c r="W181" s="53" t="str">
        <f t="shared" si="80"/>
        <v>DNS/DNF ()</v>
      </c>
      <c r="X181" s="53" t="str">
        <f t="shared" si="81"/>
        <v>00:04:41.2 (175)</v>
      </c>
      <c r="Y181" s="53" t="str">
        <f t="shared" si="82"/>
        <v>00:02:43.9 (172)</v>
      </c>
      <c r="Z181" s="53" t="str">
        <f t="shared" si="83"/>
        <v>DNS/DNF ()</v>
      </c>
      <c r="AA181" s="53" t="str">
        <f t="shared" si="84"/>
        <v>00:06:00.6 (144)</v>
      </c>
      <c r="AB181" s="53" t="str">
        <f t="shared" si="85"/>
        <v>DNS/DNF ()</v>
      </c>
      <c r="AC181" s="53" t="str">
        <f t="shared" si="86"/>
        <v>DNS/DNF ()</v>
      </c>
      <c r="AD181" s="53" t="str">
        <f t="shared" si="87"/>
        <v>DNS/DNF ()</v>
      </c>
      <c r="AE181" s="53">
        <v>0</v>
      </c>
      <c r="AF181" s="53">
        <v>0</v>
      </c>
      <c r="AG181" s="53">
        <v>33724442</v>
      </c>
      <c r="AH181" s="53">
        <v>34005658</v>
      </c>
      <c r="AI181" s="53">
        <v>37110116</v>
      </c>
      <c r="AJ181" s="53">
        <v>37274035</v>
      </c>
      <c r="AK181" s="53">
        <v>0</v>
      </c>
      <c r="AL181" s="53">
        <v>0</v>
      </c>
      <c r="AM181" s="53">
        <v>41907940</v>
      </c>
      <c r="AN181" s="53">
        <v>42268557</v>
      </c>
      <c r="AO181" s="53">
        <v>0</v>
      </c>
      <c r="AP181" s="53">
        <v>0</v>
      </c>
      <c r="AQ181" s="53">
        <v>0</v>
      </c>
      <c r="AR181" s="53">
        <v>0</v>
      </c>
      <c r="AS181" s="53">
        <v>0</v>
      </c>
      <c r="AT181" s="53">
        <v>0</v>
      </c>
      <c r="AU181" s="62" t="str">
        <f t="shared" si="88"/>
        <v>DNS/DNF</v>
      </c>
      <c r="AV181" s="62">
        <f t="shared" si="89"/>
        <v>3.254814814814815E-3</v>
      </c>
      <c r="AW181" s="62">
        <f t="shared" si="90"/>
        <v>1.8972106481481481E-3</v>
      </c>
      <c r="AX181" s="62" t="str">
        <f t="shared" si="91"/>
        <v>DNS/DNF</v>
      </c>
      <c r="AY181" s="62">
        <f t="shared" si="92"/>
        <v>4.1738078703703703E-3</v>
      </c>
      <c r="AZ181" s="62" t="str">
        <f t="shared" si="93"/>
        <v>DNS/DNF</v>
      </c>
      <c r="BA181" s="62" t="str">
        <f t="shared" si="94"/>
        <v>DNS/DNF</v>
      </c>
      <c r="BB181" s="62" t="str">
        <f t="shared" si="95"/>
        <v>DNS/DNF</v>
      </c>
      <c r="BC181" s="75">
        <f t="shared" si="96"/>
        <v>164</v>
      </c>
      <c r="BD181" s="53" t="str">
        <f t="shared" si="97"/>
        <v/>
      </c>
      <c r="BE181" s="53">
        <f t="shared" si="98"/>
        <v>278040</v>
      </c>
      <c r="BF181" s="53">
        <f t="shared" si="99"/>
        <v>161646</v>
      </c>
      <c r="BG181" s="53" t="str">
        <f t="shared" si="100"/>
        <v/>
      </c>
      <c r="BH181" s="53">
        <f t="shared" si="101"/>
        <v>371015</v>
      </c>
      <c r="BI181" s="53" t="str">
        <f t="shared" si="102"/>
        <v/>
      </c>
      <c r="BJ181" s="53" t="str">
        <f t="shared" si="103"/>
        <v/>
      </c>
      <c r="BK181" s="53" t="str">
        <f t="shared" si="104"/>
        <v/>
      </c>
    </row>
    <row r="182" spans="1:63">
      <c r="A182" s="53">
        <v>223</v>
      </c>
      <c r="B182" s="89" t="str">
        <f>IFERROR(VLOOKUP($A182,EntryList!$A$3:$N$645,2,FALSE),"")</f>
        <v>Megan Van Der Helm</v>
      </c>
      <c r="C182" s="74"/>
      <c r="D182" s="53">
        <f t="shared" si="70"/>
        <v>3</v>
      </c>
      <c r="E182" s="62"/>
      <c r="F182" s="62">
        <v>3.2442361111111109E-3</v>
      </c>
      <c r="G182" s="62">
        <v>1.8449652777777778E-3</v>
      </c>
      <c r="H182" s="62"/>
      <c r="I182" s="62">
        <v>4.2556018518518516E-3</v>
      </c>
      <c r="J182" s="62"/>
      <c r="K182" s="62"/>
      <c r="L182" s="62"/>
      <c r="M182" s="62">
        <v>9.3448032407407403E-3</v>
      </c>
      <c r="N182" s="62">
        <f t="shared" si="71"/>
        <v>9.3448032407407403E-3</v>
      </c>
      <c r="O182" s="53" t="str">
        <f t="shared" si="72"/>
        <v/>
      </c>
      <c r="P182" s="53">
        <f t="shared" si="73"/>
        <v>170</v>
      </c>
      <c r="Q182" s="53">
        <f t="shared" si="74"/>
        <v>145</v>
      </c>
      <c r="R182" s="53" t="str">
        <f t="shared" si="75"/>
        <v/>
      </c>
      <c r="S182" s="53">
        <f t="shared" si="76"/>
        <v>155</v>
      </c>
      <c r="T182" s="53" t="str">
        <f t="shared" si="77"/>
        <v/>
      </c>
      <c r="U182" s="53" t="str">
        <f t="shared" si="78"/>
        <v/>
      </c>
      <c r="V182" s="53" t="str">
        <f t="shared" si="79"/>
        <v/>
      </c>
      <c r="W182" s="53" t="str">
        <f t="shared" si="80"/>
        <v>DNS/DNF ()</v>
      </c>
      <c r="X182" s="53" t="str">
        <f t="shared" si="81"/>
        <v>00:04:40.3 (170)</v>
      </c>
      <c r="Y182" s="53" t="str">
        <f t="shared" si="82"/>
        <v>00:02:39.4 (145)</v>
      </c>
      <c r="Z182" s="53" t="str">
        <f t="shared" si="83"/>
        <v>DNS/DNF ()</v>
      </c>
      <c r="AA182" s="53" t="str">
        <f t="shared" si="84"/>
        <v>00:06:07.7 (155)</v>
      </c>
      <c r="AB182" s="53" t="str">
        <f t="shared" si="85"/>
        <v>DNS/DNF ()</v>
      </c>
      <c r="AC182" s="53" t="str">
        <f t="shared" si="86"/>
        <v>DNS/DNF ()</v>
      </c>
      <c r="AD182" s="53" t="str">
        <f t="shared" si="87"/>
        <v>DNS/DNF ()</v>
      </c>
      <c r="AE182" s="53">
        <v>0</v>
      </c>
      <c r="AF182" s="53">
        <v>0</v>
      </c>
      <c r="AG182" s="53">
        <v>37973192</v>
      </c>
      <c r="AH182" s="53">
        <v>38253494</v>
      </c>
      <c r="AI182" s="53">
        <v>33551927</v>
      </c>
      <c r="AJ182" s="53">
        <v>33711332</v>
      </c>
      <c r="AK182" s="53">
        <v>0</v>
      </c>
      <c r="AL182" s="53">
        <v>0</v>
      </c>
      <c r="AM182" s="53">
        <v>41689206</v>
      </c>
      <c r="AN182" s="53">
        <v>42056890</v>
      </c>
      <c r="AO182" s="53">
        <v>0</v>
      </c>
      <c r="AP182" s="53">
        <v>0</v>
      </c>
      <c r="AQ182" s="53">
        <v>0</v>
      </c>
      <c r="AR182" s="53">
        <v>0</v>
      </c>
      <c r="AS182" s="53">
        <v>0</v>
      </c>
      <c r="AT182" s="53">
        <v>0</v>
      </c>
      <c r="AU182" s="62" t="str">
        <f t="shared" si="88"/>
        <v>DNS/DNF</v>
      </c>
      <c r="AV182" s="62">
        <f t="shared" si="89"/>
        <v>3.2442361111111109E-3</v>
      </c>
      <c r="AW182" s="62">
        <f t="shared" si="90"/>
        <v>1.8449652777777778E-3</v>
      </c>
      <c r="AX182" s="62" t="str">
        <f t="shared" si="91"/>
        <v>DNS/DNF</v>
      </c>
      <c r="AY182" s="62">
        <f t="shared" si="92"/>
        <v>4.2556018518518516E-3</v>
      </c>
      <c r="AZ182" s="62" t="str">
        <f t="shared" si="93"/>
        <v>DNS/DNF</v>
      </c>
      <c r="BA182" s="62" t="str">
        <f t="shared" si="94"/>
        <v>DNS/DNF</v>
      </c>
      <c r="BB182" s="62" t="str">
        <f t="shared" si="95"/>
        <v>DNS/DNF</v>
      </c>
      <c r="BC182" s="75">
        <f t="shared" si="96"/>
        <v>157</v>
      </c>
      <c r="BD182" s="53" t="str">
        <f t="shared" si="97"/>
        <v/>
      </c>
      <c r="BE182" s="53">
        <f t="shared" si="98"/>
        <v>276549</v>
      </c>
      <c r="BF182" s="53">
        <f t="shared" si="99"/>
        <v>160702</v>
      </c>
      <c r="BG182" s="53" t="str">
        <f t="shared" si="100"/>
        <v/>
      </c>
      <c r="BH182" s="53">
        <f t="shared" si="101"/>
        <v>367998</v>
      </c>
      <c r="BI182" s="53" t="str">
        <f t="shared" si="102"/>
        <v/>
      </c>
      <c r="BJ182" s="53" t="str">
        <f t="shared" si="103"/>
        <v/>
      </c>
      <c r="BK182" s="53" t="str">
        <f t="shared" si="104"/>
        <v/>
      </c>
    </row>
    <row r="183" spans="1:63">
      <c r="A183" s="53">
        <v>34</v>
      </c>
      <c r="B183" s="89" t="str">
        <f>IFERROR(VLOOKUP($A183,EntryList!$A$3:$N$645,2,FALSE),"")</f>
        <v>Luc Riley Rossouw</v>
      </c>
      <c r="C183" s="74"/>
      <c r="D183" s="53">
        <f t="shared" si="70"/>
        <v>3</v>
      </c>
      <c r="E183" s="62"/>
      <c r="F183" s="62">
        <v>3.2487500000000003E-3</v>
      </c>
      <c r="G183" s="62">
        <v>1.8070370370370369E-3</v>
      </c>
      <c r="H183" s="62"/>
      <c r="I183" s="62">
        <v>4.3042939814814819E-3</v>
      </c>
      <c r="J183" s="62"/>
      <c r="K183" s="62"/>
      <c r="L183" s="62"/>
      <c r="M183" s="62">
        <v>9.3600810185185176E-3</v>
      </c>
      <c r="N183" s="62">
        <f t="shared" si="71"/>
        <v>9.3600810185185193E-3</v>
      </c>
      <c r="O183" s="53" t="str">
        <f t="shared" si="72"/>
        <v/>
      </c>
      <c r="P183" s="53">
        <f t="shared" si="73"/>
        <v>173</v>
      </c>
      <c r="Q183" s="53">
        <f t="shared" si="74"/>
        <v>136</v>
      </c>
      <c r="R183" s="53" t="str">
        <f t="shared" si="75"/>
        <v/>
      </c>
      <c r="S183" s="53">
        <f t="shared" si="76"/>
        <v>165</v>
      </c>
      <c r="T183" s="53" t="str">
        <f t="shared" si="77"/>
        <v/>
      </c>
      <c r="U183" s="53" t="str">
        <f t="shared" si="78"/>
        <v/>
      </c>
      <c r="V183" s="53" t="str">
        <f t="shared" si="79"/>
        <v/>
      </c>
      <c r="W183" s="53" t="str">
        <f t="shared" si="80"/>
        <v>DNS/DNF ()</v>
      </c>
      <c r="X183" s="53" t="str">
        <f t="shared" si="81"/>
        <v>00:04:40.7 (173)</v>
      </c>
      <c r="Y183" s="53" t="str">
        <f t="shared" si="82"/>
        <v>00:02:36.1 (136)</v>
      </c>
      <c r="Z183" s="53" t="str">
        <f t="shared" si="83"/>
        <v>DNS/DNF ()</v>
      </c>
      <c r="AA183" s="53" t="str">
        <f t="shared" si="84"/>
        <v>00:06:11.9 (165)</v>
      </c>
      <c r="AB183" s="53" t="str">
        <f t="shared" si="85"/>
        <v>DNS/DNF ()</v>
      </c>
      <c r="AC183" s="53" t="str">
        <f t="shared" si="86"/>
        <v>DNS/DNF ()</v>
      </c>
      <c r="AD183" s="53" t="str">
        <f t="shared" si="87"/>
        <v>DNS/DNF ()</v>
      </c>
      <c r="AE183" s="53">
        <v>0</v>
      </c>
      <c r="AF183" s="53">
        <v>0</v>
      </c>
      <c r="AG183" s="53">
        <v>38186424</v>
      </c>
      <c r="AH183" s="53">
        <v>38467116</v>
      </c>
      <c r="AI183" s="53">
        <v>33916947</v>
      </c>
      <c r="AJ183" s="53">
        <v>34073075</v>
      </c>
      <c r="AK183" s="53">
        <v>0</v>
      </c>
      <c r="AL183" s="53">
        <v>0</v>
      </c>
      <c r="AM183" s="53">
        <v>42732756</v>
      </c>
      <c r="AN183" s="53">
        <v>43104647</v>
      </c>
      <c r="AO183" s="53">
        <v>0</v>
      </c>
      <c r="AP183" s="53">
        <v>0</v>
      </c>
      <c r="AQ183" s="53">
        <v>0</v>
      </c>
      <c r="AR183" s="53">
        <v>0</v>
      </c>
      <c r="AS183" s="53">
        <v>0</v>
      </c>
      <c r="AT183" s="53">
        <v>0</v>
      </c>
      <c r="AU183" s="62" t="str">
        <f t="shared" si="88"/>
        <v>DNS/DNF</v>
      </c>
      <c r="AV183" s="62">
        <f t="shared" si="89"/>
        <v>3.2487499999999999E-3</v>
      </c>
      <c r="AW183" s="62">
        <f t="shared" si="90"/>
        <v>1.8070370370370371E-3</v>
      </c>
      <c r="AX183" s="62" t="str">
        <f t="shared" si="91"/>
        <v>DNS/DNF</v>
      </c>
      <c r="AY183" s="62">
        <f t="shared" si="92"/>
        <v>4.3042939814814819E-3</v>
      </c>
      <c r="AZ183" s="62" t="str">
        <f t="shared" si="93"/>
        <v>DNS/DNF</v>
      </c>
      <c r="BA183" s="62" t="str">
        <f t="shared" si="94"/>
        <v>DNS/DNF</v>
      </c>
      <c r="BB183" s="62" t="str">
        <f t="shared" si="95"/>
        <v>DNS/DNF</v>
      </c>
      <c r="BC183" s="75">
        <f t="shared" si="96"/>
        <v>158</v>
      </c>
      <c r="BD183" s="53" t="str">
        <f t="shared" si="97"/>
        <v/>
      </c>
      <c r="BE183" s="53">
        <f t="shared" si="98"/>
        <v>276707</v>
      </c>
      <c r="BF183" s="53">
        <f t="shared" si="99"/>
        <v>160794</v>
      </c>
      <c r="BG183" s="53" t="str">
        <f t="shared" si="100"/>
        <v/>
      </c>
      <c r="BH183" s="53">
        <f t="shared" si="101"/>
        <v>368519</v>
      </c>
      <c r="BI183" s="53" t="str">
        <f t="shared" si="102"/>
        <v/>
      </c>
      <c r="BJ183" s="53" t="str">
        <f t="shared" si="103"/>
        <v/>
      </c>
      <c r="BK183" s="53" t="str">
        <f t="shared" si="104"/>
        <v/>
      </c>
    </row>
    <row r="184" spans="1:63">
      <c r="A184" s="53">
        <v>164</v>
      </c>
      <c r="B184" s="89" t="str">
        <f>IFERROR(VLOOKUP($A184,EntryList!$A$3:$N$645,2,FALSE),"")</f>
        <v>Joffre Venter</v>
      </c>
      <c r="C184" s="74"/>
      <c r="D184" s="53">
        <f t="shared" si="70"/>
        <v>3</v>
      </c>
      <c r="E184" s="62"/>
      <c r="F184" s="62">
        <v>3.2268518518518518E-3</v>
      </c>
      <c r="G184" s="62">
        <v>2.0251388888888888E-3</v>
      </c>
      <c r="H184" s="62"/>
      <c r="I184" s="62">
        <v>4.1599768518518513E-3</v>
      </c>
      <c r="J184" s="62"/>
      <c r="K184" s="62"/>
      <c r="L184" s="62"/>
      <c r="M184" s="62">
        <v>9.4119675925925916E-3</v>
      </c>
      <c r="N184" s="62">
        <f t="shared" si="71"/>
        <v>9.4119675925925933E-3</v>
      </c>
      <c r="O184" s="53" t="str">
        <f t="shared" si="72"/>
        <v/>
      </c>
      <c r="P184" s="53">
        <f t="shared" si="73"/>
        <v>165</v>
      </c>
      <c r="Q184" s="53">
        <f t="shared" si="74"/>
        <v>197</v>
      </c>
      <c r="R184" s="53" t="str">
        <f t="shared" si="75"/>
        <v/>
      </c>
      <c r="S184" s="53">
        <f t="shared" si="76"/>
        <v>137</v>
      </c>
      <c r="T184" s="53" t="str">
        <f t="shared" si="77"/>
        <v/>
      </c>
      <c r="U184" s="53" t="str">
        <f t="shared" si="78"/>
        <v/>
      </c>
      <c r="V184" s="53" t="str">
        <f t="shared" si="79"/>
        <v/>
      </c>
      <c r="W184" s="53" t="str">
        <f t="shared" si="80"/>
        <v>DNS/DNF ()</v>
      </c>
      <c r="X184" s="53" t="str">
        <f t="shared" si="81"/>
        <v>00:04:38.8 (165)</v>
      </c>
      <c r="Y184" s="53" t="str">
        <f t="shared" si="82"/>
        <v>00:02:55.0 (197)</v>
      </c>
      <c r="Z184" s="53" t="str">
        <f t="shared" si="83"/>
        <v>DNS/DNF ()</v>
      </c>
      <c r="AA184" s="53" t="str">
        <f t="shared" si="84"/>
        <v>00:05:59.4 (137)</v>
      </c>
      <c r="AB184" s="53" t="str">
        <f t="shared" si="85"/>
        <v>DNS/DNF ()</v>
      </c>
      <c r="AC184" s="53" t="str">
        <f t="shared" si="86"/>
        <v>DNS/DNF ()</v>
      </c>
      <c r="AD184" s="53" t="str">
        <f t="shared" si="87"/>
        <v>DNS/DNF ()</v>
      </c>
      <c r="AE184" s="53">
        <v>0</v>
      </c>
      <c r="AF184" s="53">
        <v>0</v>
      </c>
      <c r="AG184" s="53">
        <v>34683169</v>
      </c>
      <c r="AH184" s="53">
        <v>34961969</v>
      </c>
      <c r="AI184" s="53">
        <v>38139739</v>
      </c>
      <c r="AJ184" s="53">
        <v>38314711</v>
      </c>
      <c r="AK184" s="53">
        <v>0</v>
      </c>
      <c r="AL184" s="53">
        <v>0</v>
      </c>
      <c r="AM184" s="53">
        <v>42951320</v>
      </c>
      <c r="AN184" s="53">
        <v>43310742</v>
      </c>
      <c r="AO184" s="53">
        <v>0</v>
      </c>
      <c r="AP184" s="53">
        <v>0</v>
      </c>
      <c r="AQ184" s="53">
        <v>0</v>
      </c>
      <c r="AR184" s="53">
        <v>0</v>
      </c>
      <c r="AS184" s="53">
        <v>0</v>
      </c>
      <c r="AT184" s="53">
        <v>0</v>
      </c>
      <c r="AU184" s="62" t="str">
        <f t="shared" si="88"/>
        <v>DNS/DNF</v>
      </c>
      <c r="AV184" s="62">
        <f t="shared" si="89"/>
        <v>3.2268518518518518E-3</v>
      </c>
      <c r="AW184" s="62">
        <f t="shared" si="90"/>
        <v>2.0251388888888888E-3</v>
      </c>
      <c r="AX184" s="62" t="str">
        <f t="shared" si="91"/>
        <v>DNS/DNF</v>
      </c>
      <c r="AY184" s="62">
        <f t="shared" si="92"/>
        <v>4.1599768518518522E-3</v>
      </c>
      <c r="AZ184" s="62" t="str">
        <f t="shared" si="93"/>
        <v>DNS/DNF</v>
      </c>
      <c r="BA184" s="62" t="str">
        <f t="shared" si="94"/>
        <v>DNS/DNF</v>
      </c>
      <c r="BB184" s="62" t="str">
        <f t="shared" si="95"/>
        <v>DNS/DNF</v>
      </c>
      <c r="BC184" s="75">
        <f t="shared" si="96"/>
        <v>166</v>
      </c>
      <c r="BD184" s="53" t="str">
        <f t="shared" si="97"/>
        <v/>
      </c>
      <c r="BE184" s="53">
        <f t="shared" si="98"/>
        <v>279518</v>
      </c>
      <c r="BF184" s="53">
        <f t="shared" si="99"/>
        <v>162017</v>
      </c>
      <c r="BG184" s="53" t="str">
        <f t="shared" si="100"/>
        <v/>
      </c>
      <c r="BH184" s="53">
        <f t="shared" si="101"/>
        <v>373489</v>
      </c>
      <c r="BI184" s="53" t="str">
        <f t="shared" si="102"/>
        <v/>
      </c>
      <c r="BJ184" s="53" t="str">
        <f t="shared" si="103"/>
        <v/>
      </c>
      <c r="BK184" s="53" t="str">
        <f t="shared" si="104"/>
        <v/>
      </c>
    </row>
    <row r="185" spans="1:63">
      <c r="A185" s="53">
        <v>67</v>
      </c>
      <c r="B185" s="89" t="str">
        <f>IFERROR(VLOOKUP($A185,EntryList!$A$3:$N$645,2,FALSE),"")</f>
        <v>Ebrahiem Van Der Schyff</v>
      </c>
      <c r="C185" s="74"/>
      <c r="D185" s="53">
        <f t="shared" si="70"/>
        <v>3</v>
      </c>
      <c r="E185" s="62"/>
      <c r="F185" s="62">
        <v>3.2482638888888891E-3</v>
      </c>
      <c r="G185" s="62">
        <v>1.981689814814815E-3</v>
      </c>
      <c r="H185" s="62"/>
      <c r="I185" s="62">
        <v>4.2169097222222226E-3</v>
      </c>
      <c r="J185" s="62"/>
      <c r="K185" s="62"/>
      <c r="L185" s="62"/>
      <c r="M185" s="62">
        <v>9.4468634259259263E-3</v>
      </c>
      <c r="N185" s="62">
        <f t="shared" si="71"/>
        <v>9.4468634259259263E-3</v>
      </c>
      <c r="O185" s="53" t="str">
        <f t="shared" si="72"/>
        <v/>
      </c>
      <c r="P185" s="53">
        <f t="shared" si="73"/>
        <v>172</v>
      </c>
      <c r="Q185" s="53">
        <f t="shared" si="74"/>
        <v>188</v>
      </c>
      <c r="R185" s="53" t="str">
        <f t="shared" si="75"/>
        <v/>
      </c>
      <c r="S185" s="53">
        <f t="shared" si="76"/>
        <v>148</v>
      </c>
      <c r="T185" s="53" t="str">
        <f t="shared" si="77"/>
        <v/>
      </c>
      <c r="U185" s="53" t="str">
        <f t="shared" si="78"/>
        <v/>
      </c>
      <c r="V185" s="53" t="str">
        <f t="shared" si="79"/>
        <v/>
      </c>
      <c r="W185" s="53" t="str">
        <f t="shared" si="80"/>
        <v>DNS/DNF ()</v>
      </c>
      <c r="X185" s="53" t="str">
        <f t="shared" si="81"/>
        <v>00:04:40.6 (172)</v>
      </c>
      <c r="Y185" s="53" t="str">
        <f t="shared" si="82"/>
        <v>00:02:51.2 (188)</v>
      </c>
      <c r="Z185" s="53" t="str">
        <f t="shared" si="83"/>
        <v>DNS/DNF ()</v>
      </c>
      <c r="AA185" s="53" t="str">
        <f t="shared" si="84"/>
        <v>00:06:04.3 (148)</v>
      </c>
      <c r="AB185" s="53" t="str">
        <f t="shared" si="85"/>
        <v>DNS/DNF ()</v>
      </c>
      <c r="AC185" s="53" t="str">
        <f t="shared" si="86"/>
        <v>DNS/DNF ()</v>
      </c>
      <c r="AD185" s="53" t="str">
        <f t="shared" si="87"/>
        <v>DNS/DNF ()</v>
      </c>
      <c r="AE185" s="53">
        <v>0</v>
      </c>
      <c r="AF185" s="53">
        <v>0</v>
      </c>
      <c r="AG185" s="53">
        <v>35548383</v>
      </c>
      <c r="AH185" s="53">
        <v>35829033</v>
      </c>
      <c r="AI185" s="53">
        <v>39574652</v>
      </c>
      <c r="AJ185" s="53">
        <v>39745870</v>
      </c>
      <c r="AK185" s="53">
        <v>0</v>
      </c>
      <c r="AL185" s="53">
        <v>0</v>
      </c>
      <c r="AM185" s="53">
        <v>43302542</v>
      </c>
      <c r="AN185" s="53">
        <v>43666883</v>
      </c>
      <c r="AO185" s="53">
        <v>0</v>
      </c>
      <c r="AP185" s="53">
        <v>0</v>
      </c>
      <c r="AQ185" s="53">
        <v>0</v>
      </c>
      <c r="AR185" s="53">
        <v>0</v>
      </c>
      <c r="AS185" s="53">
        <v>0</v>
      </c>
      <c r="AT185" s="53">
        <v>0</v>
      </c>
      <c r="AU185" s="62" t="str">
        <f t="shared" si="88"/>
        <v>DNS/DNF</v>
      </c>
      <c r="AV185" s="62">
        <f t="shared" si="89"/>
        <v>3.2482638888888891E-3</v>
      </c>
      <c r="AW185" s="62">
        <f t="shared" si="90"/>
        <v>1.9816898148148146E-3</v>
      </c>
      <c r="AX185" s="62" t="str">
        <f t="shared" si="91"/>
        <v>DNS/DNF</v>
      </c>
      <c r="AY185" s="62">
        <f t="shared" si="92"/>
        <v>4.2169097222222226E-3</v>
      </c>
      <c r="AZ185" s="62" t="str">
        <f t="shared" si="93"/>
        <v>DNS/DNF</v>
      </c>
      <c r="BA185" s="62" t="str">
        <f t="shared" si="94"/>
        <v>DNS/DNF</v>
      </c>
      <c r="BB185" s="62" t="str">
        <f t="shared" si="95"/>
        <v>DNS/DNF</v>
      </c>
      <c r="BC185" s="75">
        <f t="shared" si="96"/>
        <v>169</v>
      </c>
      <c r="BD185" s="53" t="str">
        <f t="shared" si="97"/>
        <v/>
      </c>
      <c r="BE185" s="53">
        <f t="shared" si="98"/>
        <v>280189</v>
      </c>
      <c r="BF185" s="53">
        <f t="shared" si="99"/>
        <v>163483</v>
      </c>
      <c r="BG185" s="53" t="str">
        <f t="shared" si="100"/>
        <v/>
      </c>
      <c r="BH185" s="53">
        <f t="shared" si="101"/>
        <v>375552.00000000006</v>
      </c>
      <c r="BI185" s="53" t="str">
        <f t="shared" si="102"/>
        <v/>
      </c>
      <c r="BJ185" s="53" t="str">
        <f t="shared" si="103"/>
        <v/>
      </c>
      <c r="BK185" s="53" t="str">
        <f t="shared" si="104"/>
        <v/>
      </c>
    </row>
    <row r="186" spans="1:63">
      <c r="A186" s="53">
        <v>251</v>
      </c>
      <c r="B186" s="89" t="str">
        <f>IFERROR(VLOOKUP($A186,EntryList!$A$3:$N$645,2,FALSE),"")</f>
        <v>Lineke Groenewald</v>
      </c>
      <c r="C186" s="74"/>
      <c r="D186" s="53">
        <f t="shared" si="70"/>
        <v>3</v>
      </c>
      <c r="E186" s="62"/>
      <c r="F186" s="62">
        <v>3.3589467592592594E-3</v>
      </c>
      <c r="G186" s="62">
        <v>1.8921643518518517E-3</v>
      </c>
      <c r="H186" s="62"/>
      <c r="I186" s="62">
        <v>4.2394212962962958E-3</v>
      </c>
      <c r="J186" s="62"/>
      <c r="K186" s="62"/>
      <c r="L186" s="62"/>
      <c r="M186" s="62">
        <v>9.4905324074074076E-3</v>
      </c>
      <c r="N186" s="62">
        <f t="shared" si="71"/>
        <v>9.4905324074074076E-3</v>
      </c>
      <c r="O186" s="53" t="str">
        <f t="shared" si="72"/>
        <v/>
      </c>
      <c r="P186" s="53">
        <f t="shared" si="73"/>
        <v>189</v>
      </c>
      <c r="Q186" s="53">
        <f t="shared" si="74"/>
        <v>169</v>
      </c>
      <c r="R186" s="53" t="str">
        <f t="shared" si="75"/>
        <v/>
      </c>
      <c r="S186" s="53">
        <f t="shared" si="76"/>
        <v>154</v>
      </c>
      <c r="T186" s="53" t="str">
        <f t="shared" si="77"/>
        <v/>
      </c>
      <c r="U186" s="53" t="str">
        <f t="shared" si="78"/>
        <v/>
      </c>
      <c r="V186" s="53" t="str">
        <f t="shared" si="79"/>
        <v/>
      </c>
      <c r="W186" s="53" t="str">
        <f t="shared" si="80"/>
        <v>DNS/DNF ()</v>
      </c>
      <c r="X186" s="53" t="str">
        <f t="shared" si="81"/>
        <v>00:04:50.2 (189)</v>
      </c>
      <c r="Y186" s="53" t="str">
        <f t="shared" si="82"/>
        <v>00:02:43.5 (169)</v>
      </c>
      <c r="Z186" s="53" t="str">
        <f t="shared" si="83"/>
        <v>DNS/DNF ()</v>
      </c>
      <c r="AA186" s="53" t="str">
        <f t="shared" si="84"/>
        <v>00:06:06.3 (154)</v>
      </c>
      <c r="AB186" s="53" t="str">
        <f t="shared" si="85"/>
        <v>DNS/DNF ()</v>
      </c>
      <c r="AC186" s="53" t="str">
        <f t="shared" si="86"/>
        <v>DNS/DNF ()</v>
      </c>
      <c r="AD186" s="53" t="str">
        <f t="shared" si="87"/>
        <v>DNS/DNF ()</v>
      </c>
      <c r="AE186" s="53">
        <v>0</v>
      </c>
      <c r="AF186" s="53">
        <v>0</v>
      </c>
      <c r="AG186" s="53">
        <v>34881942</v>
      </c>
      <c r="AH186" s="53">
        <v>35172155</v>
      </c>
      <c r="AI186" s="53">
        <v>38080625</v>
      </c>
      <c r="AJ186" s="53">
        <v>38244108</v>
      </c>
      <c r="AK186" s="53">
        <v>0</v>
      </c>
      <c r="AL186" s="53">
        <v>0</v>
      </c>
      <c r="AM186" s="53">
        <v>42309014</v>
      </c>
      <c r="AN186" s="53">
        <v>42675300</v>
      </c>
      <c r="AO186" s="53">
        <v>0</v>
      </c>
      <c r="AP186" s="53">
        <v>0</v>
      </c>
      <c r="AQ186" s="53">
        <v>0</v>
      </c>
      <c r="AR186" s="53">
        <v>0</v>
      </c>
      <c r="AS186" s="53">
        <v>0</v>
      </c>
      <c r="AT186" s="53">
        <v>0</v>
      </c>
      <c r="AU186" s="62" t="str">
        <f t="shared" si="88"/>
        <v>DNS/DNF</v>
      </c>
      <c r="AV186" s="62">
        <f t="shared" si="89"/>
        <v>3.3589467592592594E-3</v>
      </c>
      <c r="AW186" s="62">
        <f t="shared" si="90"/>
        <v>1.8921643518518519E-3</v>
      </c>
      <c r="AX186" s="62" t="str">
        <f t="shared" si="91"/>
        <v>DNS/DNF</v>
      </c>
      <c r="AY186" s="62">
        <f t="shared" si="92"/>
        <v>4.2394212962962967E-3</v>
      </c>
      <c r="AZ186" s="62" t="str">
        <f t="shared" si="93"/>
        <v>DNS/DNF</v>
      </c>
      <c r="BA186" s="62" t="str">
        <f t="shared" si="94"/>
        <v>DNS/DNF</v>
      </c>
      <c r="BB186" s="62" t="str">
        <f t="shared" si="95"/>
        <v>DNS/DNF</v>
      </c>
      <c r="BC186" s="75">
        <f t="shared" si="96"/>
        <v>171</v>
      </c>
      <c r="BD186" s="53" t="str">
        <f t="shared" si="97"/>
        <v/>
      </c>
      <c r="BE186" s="53">
        <f t="shared" si="98"/>
        <v>280317</v>
      </c>
      <c r="BF186" s="53">
        <f t="shared" si="99"/>
        <v>163848</v>
      </c>
      <c r="BG186" s="53" t="str">
        <f t="shared" si="100"/>
        <v/>
      </c>
      <c r="BH186" s="53">
        <f t="shared" si="101"/>
        <v>376263</v>
      </c>
      <c r="BI186" s="53" t="str">
        <f t="shared" si="102"/>
        <v/>
      </c>
      <c r="BJ186" s="53" t="str">
        <f t="shared" si="103"/>
        <v/>
      </c>
      <c r="BK186" s="53" t="str">
        <f t="shared" si="104"/>
        <v/>
      </c>
    </row>
    <row r="187" spans="1:63">
      <c r="A187" s="53">
        <v>5</v>
      </c>
      <c r="B187" s="89" t="str">
        <f>IFERROR(VLOOKUP($A187,EntryList!$A$3:$N$645,2,FALSE),"")</f>
        <v>Charl Du Plessis</v>
      </c>
      <c r="C187" s="74"/>
      <c r="D187" s="53">
        <f t="shared" si="70"/>
        <v>3</v>
      </c>
      <c r="E187" s="62"/>
      <c r="F187" s="62">
        <v>3.2144328703703697E-3</v>
      </c>
      <c r="G187" s="62">
        <v>1.9553819444444445E-3</v>
      </c>
      <c r="H187" s="62"/>
      <c r="I187" s="62">
        <v>4.3391435185185182E-3</v>
      </c>
      <c r="J187" s="62"/>
      <c r="K187" s="62"/>
      <c r="L187" s="62"/>
      <c r="M187" s="62">
        <v>9.5089583333333328E-3</v>
      </c>
      <c r="N187" s="62">
        <f t="shared" si="71"/>
        <v>9.5089583333333328E-3</v>
      </c>
      <c r="O187" s="53" t="str">
        <f t="shared" si="72"/>
        <v/>
      </c>
      <c r="P187" s="53">
        <f t="shared" si="73"/>
        <v>162</v>
      </c>
      <c r="Q187" s="53">
        <f t="shared" si="74"/>
        <v>184</v>
      </c>
      <c r="R187" s="53" t="str">
        <f t="shared" si="75"/>
        <v/>
      </c>
      <c r="S187" s="53">
        <f t="shared" si="76"/>
        <v>168</v>
      </c>
      <c r="T187" s="53" t="str">
        <f t="shared" si="77"/>
        <v/>
      </c>
      <c r="U187" s="53" t="str">
        <f t="shared" si="78"/>
        <v/>
      </c>
      <c r="V187" s="53" t="str">
        <f t="shared" si="79"/>
        <v/>
      </c>
      <c r="W187" s="53" t="str">
        <f t="shared" si="80"/>
        <v>DNS/DNF ()</v>
      </c>
      <c r="X187" s="53" t="str">
        <f t="shared" si="81"/>
        <v>00:04:37.7 (162)</v>
      </c>
      <c r="Y187" s="53" t="str">
        <f t="shared" si="82"/>
        <v>00:02:48.9 (184)</v>
      </c>
      <c r="Z187" s="53" t="str">
        <f t="shared" si="83"/>
        <v>DNS/DNF ()</v>
      </c>
      <c r="AA187" s="53" t="str">
        <f t="shared" si="84"/>
        <v>00:06:14.9 (168)</v>
      </c>
      <c r="AB187" s="53" t="str">
        <f t="shared" si="85"/>
        <v>DNS/DNF ()</v>
      </c>
      <c r="AC187" s="53" t="str">
        <f t="shared" si="86"/>
        <v>DNS/DNF ()</v>
      </c>
      <c r="AD187" s="53" t="str">
        <f t="shared" si="87"/>
        <v>DNS/DNF ()</v>
      </c>
      <c r="AE187" s="53">
        <v>0</v>
      </c>
      <c r="AF187" s="53">
        <v>0</v>
      </c>
      <c r="AG187" s="53">
        <v>32990279</v>
      </c>
      <c r="AH187" s="53">
        <v>33268006</v>
      </c>
      <c r="AI187" s="53">
        <v>35393278</v>
      </c>
      <c r="AJ187" s="53">
        <v>35562223</v>
      </c>
      <c r="AK187" s="53">
        <v>0</v>
      </c>
      <c r="AL187" s="53">
        <v>0</v>
      </c>
      <c r="AM187" s="53">
        <v>38366776</v>
      </c>
      <c r="AN187" s="53">
        <v>38741678</v>
      </c>
      <c r="AO187" s="53">
        <v>0</v>
      </c>
      <c r="AP187" s="53">
        <v>0</v>
      </c>
      <c r="AQ187" s="53">
        <v>0</v>
      </c>
      <c r="AR187" s="53">
        <v>0</v>
      </c>
      <c r="AS187" s="53">
        <v>0</v>
      </c>
      <c r="AT187" s="53">
        <v>0</v>
      </c>
      <c r="AU187" s="62" t="str">
        <f t="shared" si="88"/>
        <v>DNS/DNF</v>
      </c>
      <c r="AV187" s="62">
        <f t="shared" si="89"/>
        <v>3.2144328703703705E-3</v>
      </c>
      <c r="AW187" s="62">
        <f t="shared" si="90"/>
        <v>1.9553819444444445E-3</v>
      </c>
      <c r="AX187" s="62" t="str">
        <f t="shared" si="91"/>
        <v>DNS/DNF</v>
      </c>
      <c r="AY187" s="62">
        <f t="shared" si="92"/>
        <v>4.3391435185185182E-3</v>
      </c>
      <c r="AZ187" s="62" t="str">
        <f t="shared" si="93"/>
        <v>DNS/DNF</v>
      </c>
      <c r="BA187" s="62" t="str">
        <f t="shared" si="94"/>
        <v>DNS/DNF</v>
      </c>
      <c r="BB187" s="62" t="str">
        <f t="shared" si="95"/>
        <v>DNS/DNF</v>
      </c>
      <c r="BC187" s="75">
        <f t="shared" si="96"/>
        <v>171</v>
      </c>
      <c r="BD187" s="53" t="str">
        <f t="shared" si="97"/>
        <v/>
      </c>
      <c r="BE187" s="53">
        <f t="shared" si="98"/>
        <v>280317</v>
      </c>
      <c r="BF187" s="53">
        <f t="shared" si="99"/>
        <v>163848</v>
      </c>
      <c r="BG187" s="53" t="str">
        <f t="shared" si="100"/>
        <v/>
      </c>
      <c r="BH187" s="53">
        <f t="shared" si="101"/>
        <v>376263</v>
      </c>
      <c r="BI187" s="53" t="str">
        <f t="shared" si="102"/>
        <v/>
      </c>
      <c r="BJ187" s="53" t="str">
        <f t="shared" si="103"/>
        <v/>
      </c>
      <c r="BK187" s="53" t="str">
        <f t="shared" si="104"/>
        <v/>
      </c>
    </row>
    <row r="188" spans="1:63">
      <c r="A188" s="53">
        <v>194</v>
      </c>
      <c r="B188" s="89" t="str">
        <f>IFERROR(VLOOKUP($A188,EntryList!$A$3:$N$645,2,FALSE),"")</f>
        <v>Hanru Van Heyningen</v>
      </c>
      <c r="C188" s="74"/>
      <c r="D188" s="53">
        <f t="shared" si="70"/>
        <v>3</v>
      </c>
      <c r="E188" s="62"/>
      <c r="F188" s="62">
        <v>3.4030671296296296E-3</v>
      </c>
      <c r="G188" s="62">
        <v>1.875196759259259E-3</v>
      </c>
      <c r="H188" s="62"/>
      <c r="I188" s="62">
        <v>4.2941550925925925E-3</v>
      </c>
      <c r="J188" s="62"/>
      <c r="K188" s="62"/>
      <c r="L188" s="62"/>
      <c r="M188" s="62">
        <v>9.5724189814814804E-3</v>
      </c>
      <c r="N188" s="62">
        <f t="shared" si="71"/>
        <v>9.5724189814814821E-3</v>
      </c>
      <c r="O188" s="53" t="str">
        <f t="shared" si="72"/>
        <v/>
      </c>
      <c r="P188" s="53">
        <f t="shared" si="73"/>
        <v>194</v>
      </c>
      <c r="Q188" s="53">
        <f t="shared" si="74"/>
        <v>166</v>
      </c>
      <c r="R188" s="53" t="str">
        <f t="shared" si="75"/>
        <v/>
      </c>
      <c r="S188" s="53">
        <f t="shared" si="76"/>
        <v>164</v>
      </c>
      <c r="T188" s="53" t="str">
        <f t="shared" si="77"/>
        <v/>
      </c>
      <c r="U188" s="53" t="str">
        <f t="shared" si="78"/>
        <v/>
      </c>
      <c r="V188" s="53" t="str">
        <f t="shared" si="79"/>
        <v/>
      </c>
      <c r="W188" s="53" t="str">
        <f t="shared" si="80"/>
        <v>DNS/DNF ()</v>
      </c>
      <c r="X188" s="53" t="str">
        <f t="shared" si="81"/>
        <v>00:04:54.0 (194)</v>
      </c>
      <c r="Y188" s="53" t="str">
        <f t="shared" si="82"/>
        <v>00:02:42.0 (166)</v>
      </c>
      <c r="Z188" s="53" t="str">
        <f t="shared" si="83"/>
        <v>DNS/DNF ()</v>
      </c>
      <c r="AA188" s="53" t="str">
        <f t="shared" si="84"/>
        <v>00:06:11.0 (164)</v>
      </c>
      <c r="AB188" s="53" t="str">
        <f t="shared" si="85"/>
        <v>DNS/DNF ()</v>
      </c>
      <c r="AC188" s="53" t="str">
        <f t="shared" si="86"/>
        <v>DNS/DNF ()</v>
      </c>
      <c r="AD188" s="53" t="str">
        <f t="shared" si="87"/>
        <v>DNS/DNF ()</v>
      </c>
      <c r="AE188" s="53">
        <v>0</v>
      </c>
      <c r="AF188" s="53">
        <v>0</v>
      </c>
      <c r="AG188" s="53">
        <v>35265286</v>
      </c>
      <c r="AH188" s="53">
        <v>35559311</v>
      </c>
      <c r="AI188" s="53">
        <v>38840113</v>
      </c>
      <c r="AJ188" s="53">
        <v>39002130</v>
      </c>
      <c r="AK188" s="53">
        <v>0</v>
      </c>
      <c r="AL188" s="53">
        <v>0</v>
      </c>
      <c r="AM188" s="53">
        <v>42496156</v>
      </c>
      <c r="AN188" s="53">
        <v>42867171</v>
      </c>
      <c r="AO188" s="53">
        <v>0</v>
      </c>
      <c r="AP188" s="53">
        <v>0</v>
      </c>
      <c r="AQ188" s="53">
        <v>0</v>
      </c>
      <c r="AR188" s="53">
        <v>0</v>
      </c>
      <c r="AS188" s="53">
        <v>0</v>
      </c>
      <c r="AT188" s="53">
        <v>0</v>
      </c>
      <c r="AU188" s="62" t="str">
        <f t="shared" si="88"/>
        <v>DNS/DNF</v>
      </c>
      <c r="AV188" s="62">
        <f t="shared" si="89"/>
        <v>3.4030671296296296E-3</v>
      </c>
      <c r="AW188" s="62">
        <f t="shared" si="90"/>
        <v>1.8751967592592592E-3</v>
      </c>
      <c r="AX188" s="62" t="str">
        <f t="shared" si="91"/>
        <v>DNS/DNF</v>
      </c>
      <c r="AY188" s="62">
        <f t="shared" si="92"/>
        <v>4.2941550925925925E-3</v>
      </c>
      <c r="AZ188" s="62" t="str">
        <f t="shared" si="93"/>
        <v>DNS/DNF</v>
      </c>
      <c r="BA188" s="62" t="str">
        <f t="shared" si="94"/>
        <v>DNS/DNF</v>
      </c>
      <c r="BB188" s="62" t="str">
        <f t="shared" si="95"/>
        <v>DNS/DNF</v>
      </c>
      <c r="BC188" s="75">
        <f t="shared" si="96"/>
        <v>175</v>
      </c>
      <c r="BD188" s="53" t="str">
        <f t="shared" si="97"/>
        <v/>
      </c>
      <c r="BE188" s="53">
        <f t="shared" si="98"/>
        <v>281216</v>
      </c>
      <c r="BF188" s="53">
        <f t="shared" si="99"/>
        <v>165024</v>
      </c>
      <c r="BG188" s="53" t="str">
        <f t="shared" si="100"/>
        <v/>
      </c>
      <c r="BH188" s="53">
        <f t="shared" si="101"/>
        <v>380493.00000000006</v>
      </c>
      <c r="BI188" s="53" t="str">
        <f t="shared" si="102"/>
        <v/>
      </c>
      <c r="BJ188" s="53" t="str">
        <f t="shared" si="103"/>
        <v/>
      </c>
      <c r="BK188" s="53" t="str">
        <f t="shared" si="104"/>
        <v/>
      </c>
    </row>
    <row r="189" spans="1:63">
      <c r="A189" s="53">
        <v>207</v>
      </c>
      <c r="B189" s="89" t="str">
        <f>IFERROR(VLOOKUP($A189,EntryList!$A$3:$N$645,2,FALSE),"")</f>
        <v>Roxy Baynes</v>
      </c>
      <c r="C189" s="74"/>
      <c r="D189" s="53">
        <f t="shared" si="70"/>
        <v>3</v>
      </c>
      <c r="E189" s="62"/>
      <c r="F189" s="62">
        <v>3.2138541666666669E-3</v>
      </c>
      <c r="G189" s="62">
        <v>1.8525115740740739E-3</v>
      </c>
      <c r="H189" s="62"/>
      <c r="I189" s="62">
        <v>4.507048611111111E-3</v>
      </c>
      <c r="J189" s="62"/>
      <c r="K189" s="62"/>
      <c r="L189" s="62"/>
      <c r="M189" s="62">
        <v>9.573414351851852E-3</v>
      </c>
      <c r="N189" s="62">
        <f t="shared" si="71"/>
        <v>9.573414351851852E-3</v>
      </c>
      <c r="O189" s="53" t="str">
        <f t="shared" si="72"/>
        <v/>
      </c>
      <c r="P189" s="53">
        <f t="shared" si="73"/>
        <v>161</v>
      </c>
      <c r="Q189" s="53">
        <f t="shared" si="74"/>
        <v>151</v>
      </c>
      <c r="R189" s="53" t="str">
        <f t="shared" si="75"/>
        <v/>
      </c>
      <c r="S189" s="53">
        <f t="shared" si="76"/>
        <v>186</v>
      </c>
      <c r="T189" s="53" t="str">
        <f t="shared" si="77"/>
        <v/>
      </c>
      <c r="U189" s="53" t="str">
        <f t="shared" si="78"/>
        <v/>
      </c>
      <c r="V189" s="53" t="str">
        <f t="shared" si="79"/>
        <v/>
      </c>
      <c r="W189" s="53" t="str">
        <f t="shared" si="80"/>
        <v>DNS/DNF ()</v>
      </c>
      <c r="X189" s="53" t="str">
        <f t="shared" si="81"/>
        <v>00:04:37.7 (161)</v>
      </c>
      <c r="Y189" s="53" t="str">
        <f t="shared" si="82"/>
        <v>00:02:40.1 (151)</v>
      </c>
      <c r="Z189" s="53" t="str">
        <f t="shared" si="83"/>
        <v>DNS/DNF ()</v>
      </c>
      <c r="AA189" s="53" t="str">
        <f t="shared" si="84"/>
        <v>00:06:29.4 (186)</v>
      </c>
      <c r="AB189" s="53" t="str">
        <f t="shared" si="85"/>
        <v>DNS/DNF ()</v>
      </c>
      <c r="AC189" s="53" t="str">
        <f t="shared" si="86"/>
        <v>DNS/DNF ()</v>
      </c>
      <c r="AD189" s="53" t="str">
        <f t="shared" si="87"/>
        <v>DNS/DNF ()</v>
      </c>
      <c r="AE189" s="53">
        <v>0</v>
      </c>
      <c r="AF189" s="53">
        <v>0</v>
      </c>
      <c r="AG189" s="53">
        <v>37902278</v>
      </c>
      <c r="AH189" s="53">
        <v>38179955</v>
      </c>
      <c r="AI189" s="53">
        <v>33589885</v>
      </c>
      <c r="AJ189" s="53">
        <v>33749942</v>
      </c>
      <c r="AK189" s="53">
        <v>0</v>
      </c>
      <c r="AL189" s="53">
        <v>0</v>
      </c>
      <c r="AM189" s="53">
        <v>41652306</v>
      </c>
      <c r="AN189" s="53">
        <v>42041715</v>
      </c>
      <c r="AO189" s="53">
        <v>0</v>
      </c>
      <c r="AP189" s="53">
        <v>0</v>
      </c>
      <c r="AQ189" s="53">
        <v>0</v>
      </c>
      <c r="AR189" s="53">
        <v>0</v>
      </c>
      <c r="AS189" s="53">
        <v>0</v>
      </c>
      <c r="AT189" s="53">
        <v>0</v>
      </c>
      <c r="AU189" s="62" t="str">
        <f t="shared" si="88"/>
        <v>DNS/DNF</v>
      </c>
      <c r="AV189" s="62">
        <f t="shared" si="89"/>
        <v>3.2138541666666665E-3</v>
      </c>
      <c r="AW189" s="62">
        <f t="shared" si="90"/>
        <v>1.8525115740740741E-3</v>
      </c>
      <c r="AX189" s="62" t="str">
        <f t="shared" si="91"/>
        <v>DNS/DNF</v>
      </c>
      <c r="AY189" s="62">
        <f t="shared" si="92"/>
        <v>4.507048611111111E-3</v>
      </c>
      <c r="AZ189" s="62" t="str">
        <f t="shared" si="93"/>
        <v>DNS/DNF</v>
      </c>
      <c r="BA189" s="62" t="str">
        <f t="shared" si="94"/>
        <v>DNS/DNF</v>
      </c>
      <c r="BB189" s="62" t="str">
        <f t="shared" si="95"/>
        <v>DNS/DNF</v>
      </c>
      <c r="BC189" s="75">
        <f t="shared" si="96"/>
        <v>166</v>
      </c>
      <c r="BD189" s="53" t="str">
        <f t="shared" si="97"/>
        <v/>
      </c>
      <c r="BE189" s="53">
        <f t="shared" si="98"/>
        <v>279518</v>
      </c>
      <c r="BF189" s="53">
        <f t="shared" si="99"/>
        <v>162017</v>
      </c>
      <c r="BG189" s="53" t="str">
        <f t="shared" si="100"/>
        <v/>
      </c>
      <c r="BH189" s="53">
        <f t="shared" si="101"/>
        <v>373489</v>
      </c>
      <c r="BI189" s="53" t="str">
        <f t="shared" si="102"/>
        <v/>
      </c>
      <c r="BJ189" s="53" t="str">
        <f t="shared" si="103"/>
        <v/>
      </c>
      <c r="BK189" s="53" t="str">
        <f t="shared" si="104"/>
        <v/>
      </c>
    </row>
    <row r="190" spans="1:63">
      <c r="A190" s="53">
        <v>268</v>
      </c>
      <c r="B190" s="89" t="str">
        <f>IFERROR(VLOOKUP($A190,EntryList!$A$3:$N$645,2,FALSE),"")</f>
        <v>Boetie Van Niekerk</v>
      </c>
      <c r="C190" s="74"/>
      <c r="D190" s="53">
        <f t="shared" si="70"/>
        <v>3</v>
      </c>
      <c r="E190" s="62"/>
      <c r="F190" s="62">
        <v>3.2865393518518517E-3</v>
      </c>
      <c r="G190" s="62">
        <v>1.9208796296296298E-3</v>
      </c>
      <c r="H190" s="62"/>
      <c r="I190" s="62">
        <v>4.421261574074074E-3</v>
      </c>
      <c r="J190" s="62"/>
      <c r="K190" s="62"/>
      <c r="L190" s="62"/>
      <c r="M190" s="62">
        <v>9.6286805555555553E-3</v>
      </c>
      <c r="N190" s="62">
        <f t="shared" si="71"/>
        <v>9.6286805555555553E-3</v>
      </c>
      <c r="O190" s="53" t="str">
        <f t="shared" si="72"/>
        <v/>
      </c>
      <c r="P190" s="53">
        <f t="shared" si="73"/>
        <v>177</v>
      </c>
      <c r="Q190" s="53">
        <f t="shared" si="74"/>
        <v>177</v>
      </c>
      <c r="R190" s="53" t="str">
        <f t="shared" si="75"/>
        <v/>
      </c>
      <c r="S190" s="53">
        <f t="shared" si="76"/>
        <v>177</v>
      </c>
      <c r="T190" s="53" t="str">
        <f t="shared" si="77"/>
        <v/>
      </c>
      <c r="U190" s="53" t="str">
        <f t="shared" si="78"/>
        <v/>
      </c>
      <c r="V190" s="53" t="str">
        <f t="shared" si="79"/>
        <v/>
      </c>
      <c r="W190" s="53" t="str">
        <f t="shared" si="80"/>
        <v>DNS/DNF ()</v>
      </c>
      <c r="X190" s="53" t="str">
        <f t="shared" si="81"/>
        <v>00:04:44.0 (177)</v>
      </c>
      <c r="Y190" s="53" t="str">
        <f t="shared" si="82"/>
        <v>00:02:46.0 (177)</v>
      </c>
      <c r="Z190" s="53" t="str">
        <f t="shared" si="83"/>
        <v>DNS/DNF ()</v>
      </c>
      <c r="AA190" s="53" t="str">
        <f t="shared" si="84"/>
        <v>00:06:22.0 (177)</v>
      </c>
      <c r="AB190" s="53" t="str">
        <f t="shared" si="85"/>
        <v>DNS/DNF ()</v>
      </c>
      <c r="AC190" s="53" t="str">
        <f t="shared" si="86"/>
        <v>DNS/DNF ()</v>
      </c>
      <c r="AD190" s="53" t="str">
        <f t="shared" si="87"/>
        <v>DNS/DNF ()</v>
      </c>
      <c r="AE190" s="53">
        <v>0</v>
      </c>
      <c r="AF190" s="53">
        <v>0</v>
      </c>
      <c r="AG190" s="53">
        <v>36330534</v>
      </c>
      <c r="AH190" s="53">
        <v>36614491</v>
      </c>
      <c r="AI190" s="53">
        <v>40925316</v>
      </c>
      <c r="AJ190" s="53">
        <v>41091280</v>
      </c>
      <c r="AK190" s="53">
        <v>0</v>
      </c>
      <c r="AL190" s="53">
        <v>0</v>
      </c>
      <c r="AM190" s="53">
        <v>45078778</v>
      </c>
      <c r="AN190" s="53">
        <v>45460775</v>
      </c>
      <c r="AO190" s="53">
        <v>0</v>
      </c>
      <c r="AP190" s="53">
        <v>0</v>
      </c>
      <c r="AQ190" s="53">
        <v>0</v>
      </c>
      <c r="AR190" s="53">
        <v>0</v>
      </c>
      <c r="AS190" s="53">
        <v>0</v>
      </c>
      <c r="AT190" s="53">
        <v>0</v>
      </c>
      <c r="AU190" s="62" t="str">
        <f t="shared" si="88"/>
        <v>DNS/DNF</v>
      </c>
      <c r="AV190" s="62">
        <f t="shared" si="89"/>
        <v>3.2865393518518517E-3</v>
      </c>
      <c r="AW190" s="62">
        <f t="shared" si="90"/>
        <v>1.9208796296296296E-3</v>
      </c>
      <c r="AX190" s="62" t="str">
        <f t="shared" si="91"/>
        <v>DNS/DNF</v>
      </c>
      <c r="AY190" s="62">
        <f t="shared" si="92"/>
        <v>4.421261574074074E-3</v>
      </c>
      <c r="AZ190" s="62" t="str">
        <f t="shared" si="93"/>
        <v>DNS/DNF</v>
      </c>
      <c r="BA190" s="62" t="str">
        <f t="shared" si="94"/>
        <v>DNS/DNF</v>
      </c>
      <c r="BB190" s="62" t="str">
        <f t="shared" si="95"/>
        <v>DNS/DNF</v>
      </c>
      <c r="BC190" s="75">
        <f t="shared" si="96"/>
        <v>177</v>
      </c>
      <c r="BD190" s="53" t="str">
        <f t="shared" si="97"/>
        <v/>
      </c>
      <c r="BE190" s="53">
        <f t="shared" si="98"/>
        <v>283957</v>
      </c>
      <c r="BF190" s="53">
        <f t="shared" si="99"/>
        <v>165964</v>
      </c>
      <c r="BG190" s="53" t="str">
        <f t="shared" si="100"/>
        <v/>
      </c>
      <c r="BH190" s="53">
        <f t="shared" si="101"/>
        <v>381997</v>
      </c>
      <c r="BI190" s="53" t="str">
        <f t="shared" si="102"/>
        <v/>
      </c>
      <c r="BJ190" s="53" t="str">
        <f t="shared" si="103"/>
        <v/>
      </c>
      <c r="BK190" s="53" t="str">
        <f t="shared" si="104"/>
        <v/>
      </c>
    </row>
    <row r="191" spans="1:63">
      <c r="A191" s="53">
        <v>254</v>
      </c>
      <c r="B191" s="89" t="str">
        <f>IFERROR(VLOOKUP($A191,EntryList!$A$3:$N$645,2,FALSE),"")</f>
        <v>Andrew Hunter</v>
      </c>
      <c r="C191" s="74"/>
      <c r="D191" s="53">
        <f t="shared" si="70"/>
        <v>3</v>
      </c>
      <c r="E191" s="62"/>
      <c r="F191" s="62">
        <v>3.3448611111111114E-3</v>
      </c>
      <c r="G191" s="62">
        <v>1.9819097222222221E-3</v>
      </c>
      <c r="H191" s="62"/>
      <c r="I191" s="62">
        <v>4.3294212962962956E-3</v>
      </c>
      <c r="J191" s="62"/>
      <c r="K191" s="62"/>
      <c r="L191" s="62"/>
      <c r="M191" s="62">
        <v>9.6561921296296292E-3</v>
      </c>
      <c r="N191" s="62">
        <f t="shared" si="71"/>
        <v>9.6561921296296292E-3</v>
      </c>
      <c r="O191" s="53" t="str">
        <f t="shared" si="72"/>
        <v/>
      </c>
      <c r="P191" s="53">
        <f t="shared" si="73"/>
        <v>187</v>
      </c>
      <c r="Q191" s="53">
        <f t="shared" si="74"/>
        <v>189</v>
      </c>
      <c r="R191" s="53" t="str">
        <f t="shared" si="75"/>
        <v/>
      </c>
      <c r="S191" s="53">
        <f t="shared" si="76"/>
        <v>167</v>
      </c>
      <c r="T191" s="53" t="str">
        <f t="shared" si="77"/>
        <v/>
      </c>
      <c r="U191" s="53" t="str">
        <f t="shared" si="78"/>
        <v/>
      </c>
      <c r="V191" s="53" t="str">
        <f t="shared" si="79"/>
        <v/>
      </c>
      <c r="W191" s="53" t="str">
        <f t="shared" si="80"/>
        <v>DNS/DNF ()</v>
      </c>
      <c r="X191" s="53" t="str">
        <f t="shared" si="81"/>
        <v>00:04:49.0 (187)</v>
      </c>
      <c r="Y191" s="53" t="str">
        <f t="shared" si="82"/>
        <v>00:02:51.2 (189)</v>
      </c>
      <c r="Z191" s="53" t="str">
        <f t="shared" si="83"/>
        <v>DNS/DNF ()</v>
      </c>
      <c r="AA191" s="53" t="str">
        <f t="shared" si="84"/>
        <v>00:06:14.1 (167)</v>
      </c>
      <c r="AB191" s="53" t="str">
        <f t="shared" si="85"/>
        <v>DNS/DNF ()</v>
      </c>
      <c r="AC191" s="53" t="str">
        <f t="shared" si="86"/>
        <v>DNS/DNF ()</v>
      </c>
      <c r="AD191" s="53" t="str">
        <f t="shared" si="87"/>
        <v>DNS/DNF ()</v>
      </c>
      <c r="AE191" s="53">
        <v>0</v>
      </c>
      <c r="AF191" s="53">
        <v>0</v>
      </c>
      <c r="AG191" s="53">
        <v>34310513</v>
      </c>
      <c r="AH191" s="53">
        <v>34599509</v>
      </c>
      <c r="AI191" s="53">
        <v>37273592</v>
      </c>
      <c r="AJ191" s="53">
        <v>37444829</v>
      </c>
      <c r="AK191" s="53">
        <v>0</v>
      </c>
      <c r="AL191" s="53">
        <v>0</v>
      </c>
      <c r="AM191" s="53">
        <v>39989130</v>
      </c>
      <c r="AN191" s="53">
        <v>40363192</v>
      </c>
      <c r="AO191" s="53">
        <v>0</v>
      </c>
      <c r="AP191" s="53">
        <v>0</v>
      </c>
      <c r="AQ191" s="53">
        <v>0</v>
      </c>
      <c r="AR191" s="53">
        <v>0</v>
      </c>
      <c r="AS191" s="53">
        <v>0</v>
      </c>
      <c r="AT191" s="53">
        <v>0</v>
      </c>
      <c r="AU191" s="62" t="str">
        <f t="shared" si="88"/>
        <v>DNS/DNF</v>
      </c>
      <c r="AV191" s="62">
        <f t="shared" si="89"/>
        <v>3.344861111111111E-3</v>
      </c>
      <c r="AW191" s="62">
        <f t="shared" si="90"/>
        <v>1.9819097222222221E-3</v>
      </c>
      <c r="AX191" s="62" t="str">
        <f t="shared" si="91"/>
        <v>DNS/DNF</v>
      </c>
      <c r="AY191" s="62">
        <f t="shared" si="92"/>
        <v>4.3294212962962965E-3</v>
      </c>
      <c r="AZ191" s="62" t="str">
        <f t="shared" si="93"/>
        <v>DNS/DNF</v>
      </c>
      <c r="BA191" s="62" t="str">
        <f t="shared" si="94"/>
        <v>DNS/DNF</v>
      </c>
      <c r="BB191" s="62" t="str">
        <f t="shared" si="95"/>
        <v>DNS/DNF</v>
      </c>
      <c r="BC191" s="75">
        <f t="shared" si="96"/>
        <v>181</v>
      </c>
      <c r="BD191" s="53" t="str">
        <f t="shared" si="97"/>
        <v/>
      </c>
      <c r="BE191" s="53">
        <f t="shared" si="98"/>
        <v>284497</v>
      </c>
      <c r="BF191" s="53">
        <f t="shared" si="99"/>
        <v>168216</v>
      </c>
      <c r="BG191" s="53" t="str">
        <f t="shared" si="100"/>
        <v/>
      </c>
      <c r="BH191" s="53">
        <f t="shared" si="101"/>
        <v>384879</v>
      </c>
      <c r="BI191" s="53" t="str">
        <f t="shared" si="102"/>
        <v/>
      </c>
      <c r="BJ191" s="53" t="str">
        <f t="shared" si="103"/>
        <v/>
      </c>
      <c r="BK191" s="53" t="str">
        <f t="shared" si="104"/>
        <v/>
      </c>
    </row>
    <row r="192" spans="1:63">
      <c r="A192" s="53">
        <v>38</v>
      </c>
      <c r="B192" s="89" t="str">
        <f>IFERROR(VLOOKUP($A192,EntryList!$A$3:$N$645,2,FALSE),"")</f>
        <v>James Marais</v>
      </c>
      <c r="C192" s="74"/>
      <c r="D192" s="53">
        <f t="shared" si="70"/>
        <v>3</v>
      </c>
      <c r="E192" s="62"/>
      <c r="F192" s="62">
        <v>3.2047569444444441E-3</v>
      </c>
      <c r="G192" s="62">
        <v>2.0336342592592593E-3</v>
      </c>
      <c r="H192" s="62"/>
      <c r="I192" s="62">
        <v>4.4258796296296294E-3</v>
      </c>
      <c r="J192" s="62"/>
      <c r="K192" s="62"/>
      <c r="L192" s="62"/>
      <c r="M192" s="62">
        <v>9.6642708333333337E-3</v>
      </c>
      <c r="N192" s="62">
        <f t="shared" si="71"/>
        <v>9.664270833333332E-3</v>
      </c>
      <c r="O192" s="53" t="str">
        <f t="shared" si="72"/>
        <v/>
      </c>
      <c r="P192" s="53">
        <f t="shared" si="73"/>
        <v>159</v>
      </c>
      <c r="Q192" s="53">
        <f t="shared" si="74"/>
        <v>201</v>
      </c>
      <c r="R192" s="53" t="str">
        <f t="shared" si="75"/>
        <v/>
      </c>
      <c r="S192" s="53">
        <f t="shared" si="76"/>
        <v>178</v>
      </c>
      <c r="T192" s="53" t="str">
        <f t="shared" si="77"/>
        <v/>
      </c>
      <c r="U192" s="53" t="str">
        <f t="shared" si="78"/>
        <v/>
      </c>
      <c r="V192" s="53" t="str">
        <f t="shared" si="79"/>
        <v/>
      </c>
      <c r="W192" s="53" t="str">
        <f t="shared" si="80"/>
        <v>DNS/DNF ()</v>
      </c>
      <c r="X192" s="53" t="str">
        <f t="shared" si="81"/>
        <v>00:04:36.9 (159)</v>
      </c>
      <c r="Y192" s="53" t="str">
        <f t="shared" si="82"/>
        <v>00:02:55.7 (201)</v>
      </c>
      <c r="Z192" s="53" t="str">
        <f t="shared" si="83"/>
        <v>DNS/DNF ()</v>
      </c>
      <c r="AA192" s="53" t="str">
        <f t="shared" si="84"/>
        <v>00:06:22.4 (178)</v>
      </c>
      <c r="AB192" s="53" t="str">
        <f t="shared" si="85"/>
        <v>DNS/DNF ()</v>
      </c>
      <c r="AC192" s="53" t="str">
        <f t="shared" si="86"/>
        <v>DNS/DNF ()</v>
      </c>
      <c r="AD192" s="53" t="str">
        <f t="shared" si="87"/>
        <v>DNS/DNF ()</v>
      </c>
      <c r="AE192" s="53">
        <v>0</v>
      </c>
      <c r="AF192" s="53">
        <v>0</v>
      </c>
      <c r="AG192" s="53">
        <v>36360047</v>
      </c>
      <c r="AH192" s="53">
        <v>36636938</v>
      </c>
      <c r="AI192" s="53">
        <v>41130144</v>
      </c>
      <c r="AJ192" s="53">
        <v>41305850</v>
      </c>
      <c r="AK192" s="53">
        <v>0</v>
      </c>
      <c r="AL192" s="53">
        <v>0</v>
      </c>
      <c r="AM192" s="53">
        <v>45125280</v>
      </c>
      <c r="AN192" s="53">
        <v>45507676</v>
      </c>
      <c r="AO192" s="53">
        <v>0</v>
      </c>
      <c r="AP192" s="53">
        <v>0</v>
      </c>
      <c r="AQ192" s="53">
        <v>0</v>
      </c>
      <c r="AR192" s="53">
        <v>0</v>
      </c>
      <c r="AS192" s="53">
        <v>0</v>
      </c>
      <c r="AT192" s="53">
        <v>0</v>
      </c>
      <c r="AU192" s="62" t="str">
        <f t="shared" si="88"/>
        <v>DNS/DNF</v>
      </c>
      <c r="AV192" s="62">
        <f t="shared" si="89"/>
        <v>3.2047569444444445E-3</v>
      </c>
      <c r="AW192" s="62">
        <f t="shared" si="90"/>
        <v>2.0336342592592593E-3</v>
      </c>
      <c r="AX192" s="62" t="str">
        <f t="shared" si="91"/>
        <v>DNS/DNF</v>
      </c>
      <c r="AY192" s="62">
        <f t="shared" si="92"/>
        <v>4.4258796296296294E-3</v>
      </c>
      <c r="AZ192" s="62" t="str">
        <f t="shared" si="93"/>
        <v>DNS/DNF</v>
      </c>
      <c r="BA192" s="62" t="str">
        <f t="shared" si="94"/>
        <v>DNS/DNF</v>
      </c>
      <c r="BB192" s="62" t="str">
        <f t="shared" si="95"/>
        <v>DNS/DNF</v>
      </c>
      <c r="BC192" s="75">
        <f t="shared" si="96"/>
        <v>179</v>
      </c>
      <c r="BD192" s="53" t="str">
        <f t="shared" si="97"/>
        <v/>
      </c>
      <c r="BE192" s="53">
        <f t="shared" si="98"/>
        <v>284414</v>
      </c>
      <c r="BF192" s="53">
        <f t="shared" si="99"/>
        <v>166315</v>
      </c>
      <c r="BG192" s="53" t="str">
        <f t="shared" si="100"/>
        <v/>
      </c>
      <c r="BH192" s="53">
        <f t="shared" si="101"/>
        <v>384202</v>
      </c>
      <c r="BI192" s="53" t="str">
        <f t="shared" si="102"/>
        <v/>
      </c>
      <c r="BJ192" s="53" t="str">
        <f t="shared" si="103"/>
        <v/>
      </c>
      <c r="BK192" s="53" t="str">
        <f t="shared" si="104"/>
        <v/>
      </c>
    </row>
    <row r="193" spans="1:63">
      <c r="A193" s="53">
        <v>71</v>
      </c>
      <c r="B193" s="89" t="str">
        <f>IFERROR(VLOOKUP($A193,EntryList!$A$3:$N$645,2,FALSE),"")</f>
        <v>Marc Dawson</v>
      </c>
      <c r="C193" s="74"/>
      <c r="D193" s="53">
        <f t="shared" si="70"/>
        <v>3</v>
      </c>
      <c r="E193" s="62"/>
      <c r="F193" s="62">
        <v>3.2918287037037035E-3</v>
      </c>
      <c r="G193" s="62">
        <v>2.0490162037037035E-3</v>
      </c>
      <c r="H193" s="62"/>
      <c r="I193" s="62">
        <v>4.372962962962963E-3</v>
      </c>
      <c r="J193" s="62"/>
      <c r="K193" s="62"/>
      <c r="L193" s="62"/>
      <c r="M193" s="62">
        <v>9.7138078703703692E-3</v>
      </c>
      <c r="N193" s="62">
        <f t="shared" si="71"/>
        <v>9.7138078703703709E-3</v>
      </c>
      <c r="O193" s="53" t="str">
        <f t="shared" si="72"/>
        <v/>
      </c>
      <c r="P193" s="53">
        <f t="shared" si="73"/>
        <v>179</v>
      </c>
      <c r="Q193" s="53">
        <f t="shared" si="74"/>
        <v>203</v>
      </c>
      <c r="R193" s="53" t="str">
        <f t="shared" si="75"/>
        <v/>
      </c>
      <c r="S193" s="53">
        <f t="shared" si="76"/>
        <v>173</v>
      </c>
      <c r="T193" s="53" t="str">
        <f t="shared" si="77"/>
        <v/>
      </c>
      <c r="U193" s="53" t="str">
        <f t="shared" si="78"/>
        <v/>
      </c>
      <c r="V193" s="53" t="str">
        <f t="shared" si="79"/>
        <v/>
      </c>
      <c r="W193" s="53" t="str">
        <f t="shared" si="80"/>
        <v>DNS/DNF ()</v>
      </c>
      <c r="X193" s="53" t="str">
        <f t="shared" si="81"/>
        <v>00:04:44.4 (179)</v>
      </c>
      <c r="Y193" s="53" t="str">
        <f t="shared" si="82"/>
        <v>00:02:57.0 (203)</v>
      </c>
      <c r="Z193" s="53" t="str">
        <f t="shared" si="83"/>
        <v>DNS/DNF ()</v>
      </c>
      <c r="AA193" s="53" t="str">
        <f t="shared" si="84"/>
        <v>00:06:17.8 (173)</v>
      </c>
      <c r="AB193" s="53" t="str">
        <f t="shared" si="85"/>
        <v>DNS/DNF ()</v>
      </c>
      <c r="AC193" s="53" t="str">
        <f t="shared" si="86"/>
        <v>DNS/DNF ()</v>
      </c>
      <c r="AD193" s="53" t="str">
        <f t="shared" si="87"/>
        <v>DNS/DNF ()</v>
      </c>
      <c r="AE193" s="53">
        <v>0</v>
      </c>
      <c r="AF193" s="53">
        <v>0</v>
      </c>
      <c r="AG193" s="53">
        <v>38233319</v>
      </c>
      <c r="AH193" s="53">
        <v>38517733</v>
      </c>
      <c r="AI193" s="53">
        <v>34004035</v>
      </c>
      <c r="AJ193" s="53">
        <v>34181070</v>
      </c>
      <c r="AK193" s="53">
        <v>0</v>
      </c>
      <c r="AL193" s="53">
        <v>0</v>
      </c>
      <c r="AM193" s="53">
        <v>43097920</v>
      </c>
      <c r="AN193" s="53">
        <v>43475744</v>
      </c>
      <c r="AO193" s="53">
        <v>0</v>
      </c>
      <c r="AP193" s="53">
        <v>0</v>
      </c>
      <c r="AQ193" s="53">
        <v>0</v>
      </c>
      <c r="AR193" s="53">
        <v>0</v>
      </c>
      <c r="AS193" s="53">
        <v>0</v>
      </c>
      <c r="AT193" s="53">
        <v>0</v>
      </c>
      <c r="AU193" s="62" t="str">
        <f t="shared" si="88"/>
        <v>DNS/DNF</v>
      </c>
      <c r="AV193" s="62">
        <f t="shared" si="89"/>
        <v>3.2918287037037035E-3</v>
      </c>
      <c r="AW193" s="62">
        <f t="shared" si="90"/>
        <v>2.0490162037037035E-3</v>
      </c>
      <c r="AX193" s="62" t="str">
        <f t="shared" si="91"/>
        <v>DNS/DNF</v>
      </c>
      <c r="AY193" s="62">
        <f t="shared" si="92"/>
        <v>4.372962962962963E-3</v>
      </c>
      <c r="AZ193" s="62" t="str">
        <f t="shared" si="93"/>
        <v>DNS/DNF</v>
      </c>
      <c r="BA193" s="62" t="str">
        <f t="shared" si="94"/>
        <v>DNS/DNF</v>
      </c>
      <c r="BB193" s="62" t="str">
        <f t="shared" si="95"/>
        <v>DNS/DNF</v>
      </c>
      <c r="BC193" s="75">
        <f t="shared" si="96"/>
        <v>185</v>
      </c>
      <c r="BD193" s="53" t="str">
        <f t="shared" si="97"/>
        <v/>
      </c>
      <c r="BE193" s="53">
        <f t="shared" si="98"/>
        <v>286653</v>
      </c>
      <c r="BF193" s="53">
        <f t="shared" si="99"/>
        <v>169627.99999999997</v>
      </c>
      <c r="BG193" s="53" t="str">
        <f t="shared" si="100"/>
        <v/>
      </c>
      <c r="BH193" s="53">
        <f t="shared" si="101"/>
        <v>388455.00000000006</v>
      </c>
      <c r="BI193" s="53" t="str">
        <f t="shared" si="102"/>
        <v/>
      </c>
      <c r="BJ193" s="53" t="str">
        <f t="shared" si="103"/>
        <v/>
      </c>
      <c r="BK193" s="53" t="str">
        <f t="shared" si="104"/>
        <v/>
      </c>
    </row>
    <row r="194" spans="1:63">
      <c r="A194" s="53">
        <v>106</v>
      </c>
      <c r="B194" s="89" t="str">
        <f>IFERROR(VLOOKUP($A194,EntryList!$A$3:$N$645,2,FALSE),"")</f>
        <v>Rezah Levy</v>
      </c>
      <c r="C194" s="74"/>
      <c r="D194" s="53">
        <f t="shared" si="70"/>
        <v>3</v>
      </c>
      <c r="E194" s="62"/>
      <c r="F194" s="62">
        <v>3.3052430555555556E-3</v>
      </c>
      <c r="G194" s="62">
        <v>1.9469444444444445E-3</v>
      </c>
      <c r="H194" s="62"/>
      <c r="I194" s="62">
        <v>4.4935879629629631E-3</v>
      </c>
      <c r="J194" s="62"/>
      <c r="K194" s="62"/>
      <c r="L194" s="62"/>
      <c r="M194" s="62">
        <v>9.745775462962963E-3</v>
      </c>
      <c r="N194" s="62">
        <f t="shared" si="71"/>
        <v>9.745775462962963E-3</v>
      </c>
      <c r="O194" s="53" t="str">
        <f t="shared" si="72"/>
        <v/>
      </c>
      <c r="P194" s="53">
        <f t="shared" si="73"/>
        <v>184</v>
      </c>
      <c r="Q194" s="53">
        <f t="shared" si="74"/>
        <v>181</v>
      </c>
      <c r="R194" s="53" t="str">
        <f t="shared" si="75"/>
        <v/>
      </c>
      <c r="S194" s="53">
        <f t="shared" si="76"/>
        <v>184</v>
      </c>
      <c r="T194" s="53" t="str">
        <f t="shared" si="77"/>
        <v/>
      </c>
      <c r="U194" s="53" t="str">
        <f t="shared" si="78"/>
        <v/>
      </c>
      <c r="V194" s="53" t="str">
        <f t="shared" si="79"/>
        <v/>
      </c>
      <c r="W194" s="53" t="str">
        <f t="shared" si="80"/>
        <v>DNS/DNF ()</v>
      </c>
      <c r="X194" s="53" t="str">
        <f t="shared" si="81"/>
        <v>00:04:45.6 (184)</v>
      </c>
      <c r="Y194" s="53" t="str">
        <f t="shared" si="82"/>
        <v>00:02:48.2 (181)</v>
      </c>
      <c r="Z194" s="53" t="str">
        <f t="shared" si="83"/>
        <v>DNS/DNF ()</v>
      </c>
      <c r="AA194" s="53" t="str">
        <f t="shared" si="84"/>
        <v>00:06:28.2 (184)</v>
      </c>
      <c r="AB194" s="53" t="str">
        <f t="shared" si="85"/>
        <v>DNS/DNF ()</v>
      </c>
      <c r="AC194" s="53" t="str">
        <f t="shared" si="86"/>
        <v>DNS/DNF ()</v>
      </c>
      <c r="AD194" s="53" t="str">
        <f t="shared" si="87"/>
        <v>DNS/DNF ()</v>
      </c>
      <c r="AE194" s="53">
        <v>0</v>
      </c>
      <c r="AF194" s="53">
        <v>0</v>
      </c>
      <c r="AG194" s="53">
        <v>37304543</v>
      </c>
      <c r="AH194" s="53">
        <v>37590116</v>
      </c>
      <c r="AI194" s="53">
        <v>41789694</v>
      </c>
      <c r="AJ194" s="53">
        <v>41957910</v>
      </c>
      <c r="AK194" s="53">
        <v>0</v>
      </c>
      <c r="AL194" s="53">
        <v>0</v>
      </c>
      <c r="AM194" s="53">
        <v>48413252</v>
      </c>
      <c r="AN194" s="53">
        <v>48801498</v>
      </c>
      <c r="AO194" s="53">
        <v>0</v>
      </c>
      <c r="AP194" s="53">
        <v>0</v>
      </c>
      <c r="AQ194" s="53">
        <v>0</v>
      </c>
      <c r="AR194" s="53">
        <v>0</v>
      </c>
      <c r="AS194" s="53">
        <v>0</v>
      </c>
      <c r="AT194" s="53">
        <v>0</v>
      </c>
      <c r="AU194" s="62" t="str">
        <f t="shared" si="88"/>
        <v>DNS/DNF</v>
      </c>
      <c r="AV194" s="62">
        <f t="shared" si="89"/>
        <v>3.3052430555555556E-3</v>
      </c>
      <c r="AW194" s="62">
        <f t="shared" si="90"/>
        <v>1.9469444444444445E-3</v>
      </c>
      <c r="AX194" s="62" t="str">
        <f t="shared" si="91"/>
        <v>DNS/DNF</v>
      </c>
      <c r="AY194" s="62">
        <f t="shared" si="92"/>
        <v>4.4935879629629631E-3</v>
      </c>
      <c r="AZ194" s="62" t="str">
        <f t="shared" si="93"/>
        <v>DNS/DNF</v>
      </c>
      <c r="BA194" s="62" t="str">
        <f t="shared" si="94"/>
        <v>DNS/DNF</v>
      </c>
      <c r="BB194" s="62" t="str">
        <f t="shared" si="95"/>
        <v>DNS/DNF</v>
      </c>
      <c r="BC194" s="75">
        <f t="shared" si="96"/>
        <v>183</v>
      </c>
      <c r="BD194" s="53" t="str">
        <f t="shared" si="97"/>
        <v/>
      </c>
      <c r="BE194" s="53">
        <f t="shared" si="98"/>
        <v>284625</v>
      </c>
      <c r="BF194" s="53">
        <f t="shared" si="99"/>
        <v>168940</v>
      </c>
      <c r="BG194" s="53" t="str">
        <f t="shared" si="100"/>
        <v/>
      </c>
      <c r="BH194" s="53">
        <f t="shared" si="101"/>
        <v>387927</v>
      </c>
      <c r="BI194" s="53" t="str">
        <f t="shared" si="102"/>
        <v/>
      </c>
      <c r="BJ194" s="53" t="str">
        <f t="shared" si="103"/>
        <v/>
      </c>
      <c r="BK194" s="53" t="str">
        <f t="shared" si="104"/>
        <v/>
      </c>
    </row>
    <row r="195" spans="1:63">
      <c r="A195" s="53">
        <v>161</v>
      </c>
      <c r="B195" s="89" t="str">
        <f>IFERROR(VLOOKUP($A195,EntryList!$A$3:$N$645,2,FALSE),"")</f>
        <v>Henk De Kock</v>
      </c>
      <c r="C195" s="74"/>
      <c r="D195" s="53">
        <f t="shared" ref="D195:D262" si="105">COUNT($AU195:$BB195)</f>
        <v>3</v>
      </c>
      <c r="E195" s="62"/>
      <c r="F195" s="62">
        <v>3.3681365740740742E-3</v>
      </c>
      <c r="G195" s="62">
        <v>1.9237962962962965E-3</v>
      </c>
      <c r="H195" s="62"/>
      <c r="I195" s="62">
        <v>4.4898958333333327E-3</v>
      </c>
      <c r="J195" s="62"/>
      <c r="K195" s="62"/>
      <c r="L195" s="62"/>
      <c r="M195" s="62">
        <v>9.781828703703704E-3</v>
      </c>
      <c r="N195" s="62">
        <f t="shared" ref="N195:N262" si="106">SUM($AU195:$BB195)</f>
        <v>9.781828703703704E-3</v>
      </c>
      <c r="O195" s="53" t="str">
        <f t="shared" ref="O195:O262" si="107">IFERROR(RANK($AU195,AU$3:AU$500,1),"")</f>
        <v/>
      </c>
      <c r="P195" s="53">
        <f t="shared" ref="P195:P262" si="108">IFERROR(RANK($AV195,AV$3:AV$500,1),"")</f>
        <v>190</v>
      </c>
      <c r="Q195" s="53">
        <f t="shared" ref="Q195:Q262" si="109">IFERROR(RANK($AW195,AW$3:AW$500,1),"")</f>
        <v>178</v>
      </c>
      <c r="R195" s="53" t="str">
        <f t="shared" ref="R195:R262" si="110">IFERROR(RANK($AX195,AX$3:AX$500,1),"")</f>
        <v/>
      </c>
      <c r="S195" s="53">
        <f t="shared" ref="S195:S262" si="111">IFERROR(RANK($AY195,AY$3:AY$500,1),"")</f>
        <v>183</v>
      </c>
      <c r="T195" s="53" t="str">
        <f t="shared" ref="T195:T262" si="112">IFERROR(RANK($AZ195,AZ$3:AZ$500,1),"")</f>
        <v/>
      </c>
      <c r="U195" s="53" t="str">
        <f t="shared" ref="U195:U262" si="113">IFERROR(RANK($BA195,BA$3:BA$500,1),"")</f>
        <v/>
      </c>
      <c r="V195" s="53" t="str">
        <f t="shared" ref="V195:V262" si="114">IFERROR(RANK($BB195,BB$3:BB$500,1),"")</f>
        <v/>
      </c>
      <c r="W195" s="53" t="str">
        <f t="shared" ref="W195:W262" si="115">CONCATENATE(TEXT($AU195,"[hh]:mm:ss.0")," ","(",$O195,")")</f>
        <v>DNS/DNF ()</v>
      </c>
      <c r="X195" s="53" t="str">
        <f t="shared" ref="X195:X262" si="116">CONCATENATE(TEXT($AV195,"[hh]:mm:ss.0")," ","(",$P195,")")</f>
        <v>00:04:51.0 (190)</v>
      </c>
      <c r="Y195" s="53" t="str">
        <f t="shared" ref="Y195:Y262" si="117">CONCATENATE(TEXT($AW195,"[hh]:mm:ss.0")," ","(",$Q195,")")</f>
        <v>00:02:46.2 (178)</v>
      </c>
      <c r="Z195" s="53" t="str">
        <f t="shared" ref="Z195:Z262" si="118">CONCATENATE(TEXT($AX195,"[hh]:mm:ss.0")," ","(",$R195,")")</f>
        <v>DNS/DNF ()</v>
      </c>
      <c r="AA195" s="53" t="str">
        <f t="shared" ref="AA195:AA262" si="119">CONCATENATE(TEXT($AY195,"[hh]:mm:ss.0")," ","(",$S195,")")</f>
        <v>00:06:27.9 (183)</v>
      </c>
      <c r="AB195" s="53" t="str">
        <f t="shared" ref="AB195:AB262" si="120">CONCATENATE(TEXT($AZ195,"[hh]:mm:ss.0")," ","(",$T195,")")</f>
        <v>DNS/DNF ()</v>
      </c>
      <c r="AC195" s="53" t="str">
        <f t="shared" ref="AC195:AC262" si="121">CONCATENATE(TEXT($BA195,"[hh]:mm:ss.0")," ","(",$U195,")")</f>
        <v>DNS/DNF ()</v>
      </c>
      <c r="AD195" s="53" t="str">
        <f t="shared" ref="AD195:AD262" si="122">CONCATENATE(TEXT($BB195,"[hh]:mm:ss.0")," ","(",$V195,")")</f>
        <v>DNS/DNF ()</v>
      </c>
      <c r="AE195" s="53">
        <v>0</v>
      </c>
      <c r="AF195" s="53">
        <v>0</v>
      </c>
      <c r="AG195" s="53">
        <v>37865153</v>
      </c>
      <c r="AH195" s="53">
        <v>38156160</v>
      </c>
      <c r="AI195" s="53">
        <v>33234698</v>
      </c>
      <c r="AJ195" s="53">
        <v>33400914</v>
      </c>
      <c r="AK195" s="53">
        <v>0</v>
      </c>
      <c r="AL195" s="53">
        <v>0</v>
      </c>
      <c r="AM195" s="53">
        <v>42399764</v>
      </c>
      <c r="AN195" s="53">
        <v>42787691</v>
      </c>
      <c r="AO195" s="53">
        <v>0</v>
      </c>
      <c r="AP195" s="53">
        <v>0</v>
      </c>
      <c r="AQ195" s="53">
        <v>0</v>
      </c>
      <c r="AR195" s="53">
        <v>0</v>
      </c>
      <c r="AS195" s="53">
        <v>0</v>
      </c>
      <c r="AT195" s="53">
        <v>0</v>
      </c>
      <c r="AU195" s="62" t="str">
        <f t="shared" ref="AU195:AU262" si="123">IF((OR($AE195=0,$AF195=0,$AF195-$AE195&lt;0)),"DNS/DNF",($AF195-$AE195)/86400000)</f>
        <v>DNS/DNF</v>
      </c>
      <c r="AV195" s="62">
        <f t="shared" ref="AV195:AV262" si="124">IF((OR($AG195=0,$AH195=0,$AH195-$AG195&lt;0)),"DNS/DNF",($AH195-$AG195)/86400000)</f>
        <v>3.3681365740740742E-3</v>
      </c>
      <c r="AW195" s="62">
        <f t="shared" ref="AW195:AW262" si="125">IF((OR($AI195=0,$AJ195=0,$AJ195-$AI195&lt;0)),"DNS/DNF",($AJ195-$AI195)/86400000)</f>
        <v>1.9237962962962963E-3</v>
      </c>
      <c r="AX195" s="62" t="str">
        <f t="shared" ref="AX195:AX262" si="126">IF((OR($AK195=0,$AL195=0,$AL195-$AK195&lt;0)),"DNS/DNF",($AL195-$AK195)/86400000)</f>
        <v>DNS/DNF</v>
      </c>
      <c r="AY195" s="62">
        <f t="shared" ref="AY195:AY262" si="127">IF((OR($AM195=0,$AM195=0,$AN195-$AM195&lt;0)),"DNS/DNF",($AN195-$AM195)/86400000)</f>
        <v>4.4898958333333336E-3</v>
      </c>
      <c r="AZ195" s="62" t="str">
        <f t="shared" ref="AZ195:AZ262" si="128">IF((OR($AO195=0,$AP195=0,$AP195-$AO195&lt;0)),"DNS/DNF",($AP195-$AO195)/86400000)</f>
        <v>DNS/DNF</v>
      </c>
      <c r="BA195" s="62" t="str">
        <f t="shared" ref="BA195:BA262" si="129">IF((OR($AQ195=0,$AR195=0,$AR195-$AQ195&lt;0)),"DNS/DNF",($AR195-$AQ195)/86400000)</f>
        <v>DNS/DNF</v>
      </c>
      <c r="BB195" s="62" t="str">
        <f t="shared" ref="BB195:BB262" si="130">IF((OR($AS195=0,$AT195=0,$AT195-$AS195&lt;0)),"DNS/DNF",($AT195-$AS195)/86400000)</f>
        <v>DNS/DNF</v>
      </c>
      <c r="BC195" s="75">
        <f t="shared" ref="BC195:BC262" si="131">IFERROR(ROUND(AVERAGE(O195:V195),0),"")</f>
        <v>184</v>
      </c>
      <c r="BD195" s="53" t="str">
        <f t="shared" ref="BD195:BD258" si="132">IFERROR((INDEX(($AU$3:$AU$500)*86400000,MATCH(BC195,$O$3:$O$500,0))),"")</f>
        <v/>
      </c>
      <c r="BE195" s="53">
        <f t="shared" ref="BE195:BE262" si="133">IFERROR((INDEX(($AV$3:$AV$500)*86400000,MATCH(BC195,$P$3:$P$500,0))),"")</f>
        <v>285573</v>
      </c>
      <c r="BF195" s="53">
        <f t="shared" ref="BF195:BF262" si="134">IFERROR((INDEX(($AW$3:$AW$500)*86400000,MATCH(BC195,$Q$3:$Q$500,0))),"")</f>
        <v>168945</v>
      </c>
      <c r="BG195" s="53" t="str">
        <f t="shared" ref="BG195:BG262" si="135">IFERROR((INDEX(($AX$3:$AX$500)*86400000,MATCH(BC195,$R$3:$R$500,0))),"")</f>
        <v/>
      </c>
      <c r="BH195" s="53">
        <f t="shared" ref="BH195:BH262" si="136">IFERROR((INDEX(($AY$3:$AY$500)*86400000,MATCH(BC195,$S$3:$S$500,0))),"")</f>
        <v>388246</v>
      </c>
      <c r="BI195" s="53" t="str">
        <f t="shared" ref="BI195:BI262" si="137">IFERROR((INDEX(($AZ$3:$AZ$500)*86400000,MATCH(BC195,$T$3:$T$500,0))),"")</f>
        <v/>
      </c>
      <c r="BJ195" s="53" t="str">
        <f t="shared" ref="BJ195:BJ262" si="138">IFERROR((INDEX(($BA$3:$BA$500)*86400000,MATCH(BC195,$U$3:$U$500,0))),"")</f>
        <v/>
      </c>
      <c r="BK195" s="53" t="str">
        <f t="shared" ref="BK195:BK262" si="139">IFERROR((INDEX(($BB$3:$BB$500)*86400000,MATCH(BC195,$V$3:$V$500,0))),"")</f>
        <v/>
      </c>
    </row>
    <row r="196" spans="1:63">
      <c r="A196" s="53">
        <v>83</v>
      </c>
      <c r="B196" s="89" t="str">
        <f>IFERROR(VLOOKUP($A196,EntryList!$A$3:$N$645,2,FALSE),"")</f>
        <v>Jean Ehlers</v>
      </c>
      <c r="C196" s="74"/>
      <c r="D196" s="53">
        <f t="shared" si="105"/>
        <v>3</v>
      </c>
      <c r="E196" s="62"/>
      <c r="F196" s="62">
        <v>3.4876967592592594E-3</v>
      </c>
      <c r="G196" s="62">
        <v>2.2491435185185188E-3</v>
      </c>
      <c r="H196" s="62"/>
      <c r="I196" s="62">
        <v>4.0651736111111106E-3</v>
      </c>
      <c r="J196" s="62"/>
      <c r="K196" s="62"/>
      <c r="L196" s="62"/>
      <c r="M196" s="62">
        <v>9.8020138888888896E-3</v>
      </c>
      <c r="N196" s="62">
        <f t="shared" si="106"/>
        <v>9.8020138888888896E-3</v>
      </c>
      <c r="O196" s="53" t="str">
        <f t="shared" si="107"/>
        <v/>
      </c>
      <c r="P196" s="53">
        <f t="shared" si="108"/>
        <v>203</v>
      </c>
      <c r="Q196" s="53">
        <f t="shared" si="109"/>
        <v>220</v>
      </c>
      <c r="R196" s="53" t="str">
        <f t="shared" si="110"/>
        <v/>
      </c>
      <c r="S196" s="53">
        <f t="shared" si="111"/>
        <v>109</v>
      </c>
      <c r="T196" s="53" t="str">
        <f t="shared" si="112"/>
        <v/>
      </c>
      <c r="U196" s="53" t="str">
        <f t="shared" si="113"/>
        <v/>
      </c>
      <c r="V196" s="53" t="str">
        <f t="shared" si="114"/>
        <v/>
      </c>
      <c r="W196" s="53" t="str">
        <f t="shared" si="115"/>
        <v>DNS/DNF ()</v>
      </c>
      <c r="X196" s="53" t="str">
        <f t="shared" si="116"/>
        <v>00:05:01.3 (203)</v>
      </c>
      <c r="Y196" s="53" t="str">
        <f t="shared" si="117"/>
        <v>00:03:14.3 (220)</v>
      </c>
      <c r="Z196" s="53" t="str">
        <f t="shared" si="118"/>
        <v>DNS/DNF ()</v>
      </c>
      <c r="AA196" s="53" t="str">
        <f t="shared" si="119"/>
        <v>00:05:51.2 (109)</v>
      </c>
      <c r="AB196" s="53" t="str">
        <f t="shared" si="120"/>
        <v>DNS/DNF ()</v>
      </c>
      <c r="AC196" s="53" t="str">
        <f t="shared" si="121"/>
        <v>DNS/DNF ()</v>
      </c>
      <c r="AD196" s="53" t="str">
        <f t="shared" si="122"/>
        <v>DNS/DNF ()</v>
      </c>
      <c r="AE196" s="53">
        <v>0</v>
      </c>
      <c r="AF196" s="53">
        <v>0</v>
      </c>
      <c r="AG196" s="53">
        <v>33613145</v>
      </c>
      <c r="AH196" s="53">
        <v>33914482</v>
      </c>
      <c r="AI196" s="53">
        <v>36105720</v>
      </c>
      <c r="AJ196" s="53">
        <v>36300046</v>
      </c>
      <c r="AK196" s="53">
        <v>0</v>
      </c>
      <c r="AL196" s="53">
        <v>0</v>
      </c>
      <c r="AM196" s="53">
        <v>38499257</v>
      </c>
      <c r="AN196" s="53">
        <v>38850488</v>
      </c>
      <c r="AO196" s="53">
        <v>0</v>
      </c>
      <c r="AP196" s="53">
        <v>0</v>
      </c>
      <c r="AQ196" s="53">
        <v>0</v>
      </c>
      <c r="AR196" s="53">
        <v>0</v>
      </c>
      <c r="AS196" s="53">
        <v>0</v>
      </c>
      <c r="AT196" s="53">
        <v>0</v>
      </c>
      <c r="AU196" s="62" t="str">
        <f t="shared" si="123"/>
        <v>DNS/DNF</v>
      </c>
      <c r="AV196" s="62">
        <f t="shared" si="124"/>
        <v>3.4876967592592594E-3</v>
      </c>
      <c r="AW196" s="62">
        <f t="shared" si="125"/>
        <v>2.2491435185185184E-3</v>
      </c>
      <c r="AX196" s="62" t="str">
        <f t="shared" si="126"/>
        <v>DNS/DNF</v>
      </c>
      <c r="AY196" s="62">
        <f t="shared" si="127"/>
        <v>4.0651736111111114E-3</v>
      </c>
      <c r="AZ196" s="62" t="str">
        <f t="shared" si="128"/>
        <v>DNS/DNF</v>
      </c>
      <c r="BA196" s="62" t="str">
        <f t="shared" si="129"/>
        <v>DNS/DNF</v>
      </c>
      <c r="BB196" s="62" t="str">
        <f t="shared" si="130"/>
        <v>DNS/DNF</v>
      </c>
      <c r="BC196" s="75">
        <f t="shared" si="131"/>
        <v>177</v>
      </c>
      <c r="BD196" s="53" t="str">
        <f t="shared" si="132"/>
        <v/>
      </c>
      <c r="BE196" s="53">
        <f t="shared" si="133"/>
        <v>283957</v>
      </c>
      <c r="BF196" s="53">
        <f t="shared" si="134"/>
        <v>165964</v>
      </c>
      <c r="BG196" s="53" t="str">
        <f t="shared" si="135"/>
        <v/>
      </c>
      <c r="BH196" s="53">
        <f t="shared" si="136"/>
        <v>381997</v>
      </c>
      <c r="BI196" s="53" t="str">
        <f t="shared" si="137"/>
        <v/>
      </c>
      <c r="BJ196" s="53" t="str">
        <f t="shared" si="138"/>
        <v/>
      </c>
      <c r="BK196" s="53" t="str">
        <f t="shared" si="139"/>
        <v/>
      </c>
    </row>
    <row r="197" spans="1:63">
      <c r="A197" s="53">
        <v>6</v>
      </c>
      <c r="B197" s="89" t="str">
        <f>IFERROR(VLOOKUP($A197,EntryList!$A$3:$N$645,2,FALSE),"")</f>
        <v>James Collins</v>
      </c>
      <c r="C197" s="74"/>
      <c r="D197" s="53">
        <f t="shared" si="105"/>
        <v>3</v>
      </c>
      <c r="E197" s="62"/>
      <c r="F197" s="62">
        <v>3.2942708333333335E-3</v>
      </c>
      <c r="G197" s="62">
        <v>1.8610416666666664E-3</v>
      </c>
      <c r="H197" s="62"/>
      <c r="I197" s="62">
        <v>4.6825694444444441E-3</v>
      </c>
      <c r="J197" s="62"/>
      <c r="K197" s="62"/>
      <c r="L197" s="62"/>
      <c r="M197" s="62">
        <v>9.8378819444444442E-3</v>
      </c>
      <c r="N197" s="62">
        <f t="shared" si="106"/>
        <v>9.8378819444444442E-3</v>
      </c>
      <c r="O197" s="53" t="str">
        <f t="shared" si="107"/>
        <v/>
      </c>
      <c r="P197" s="53">
        <f t="shared" si="108"/>
        <v>183</v>
      </c>
      <c r="Q197" s="53">
        <f t="shared" si="109"/>
        <v>158</v>
      </c>
      <c r="R197" s="53" t="str">
        <f t="shared" si="110"/>
        <v/>
      </c>
      <c r="S197" s="53">
        <f t="shared" si="111"/>
        <v>206</v>
      </c>
      <c r="T197" s="53" t="str">
        <f t="shared" si="112"/>
        <v/>
      </c>
      <c r="U197" s="53" t="str">
        <f t="shared" si="113"/>
        <v/>
      </c>
      <c r="V197" s="53" t="str">
        <f t="shared" si="114"/>
        <v/>
      </c>
      <c r="W197" s="53" t="str">
        <f t="shared" si="115"/>
        <v>DNS/DNF ()</v>
      </c>
      <c r="X197" s="53" t="str">
        <f t="shared" si="116"/>
        <v>00:04:44.6 (183)</v>
      </c>
      <c r="Y197" s="53" t="str">
        <f t="shared" si="117"/>
        <v>00:02:40.8 (158)</v>
      </c>
      <c r="Z197" s="53" t="str">
        <f t="shared" si="118"/>
        <v>DNS/DNF ()</v>
      </c>
      <c r="AA197" s="53" t="str">
        <f t="shared" si="119"/>
        <v>00:06:44.6 (206)</v>
      </c>
      <c r="AB197" s="53" t="str">
        <f t="shared" si="120"/>
        <v>DNS/DNF ()</v>
      </c>
      <c r="AC197" s="53" t="str">
        <f t="shared" si="121"/>
        <v>DNS/DNF ()</v>
      </c>
      <c r="AD197" s="53" t="str">
        <f t="shared" si="122"/>
        <v>DNS/DNF ()</v>
      </c>
      <c r="AE197" s="53">
        <v>0</v>
      </c>
      <c r="AF197" s="53">
        <v>0</v>
      </c>
      <c r="AG197" s="53">
        <v>35101930</v>
      </c>
      <c r="AH197" s="53">
        <v>35386555</v>
      </c>
      <c r="AI197" s="53">
        <v>39002434</v>
      </c>
      <c r="AJ197" s="53">
        <v>39163228</v>
      </c>
      <c r="AK197" s="53">
        <v>0</v>
      </c>
      <c r="AL197" s="53">
        <v>0</v>
      </c>
      <c r="AM197" s="53">
        <v>42898008</v>
      </c>
      <c r="AN197" s="53">
        <v>43302582</v>
      </c>
      <c r="AO197" s="53">
        <v>0</v>
      </c>
      <c r="AP197" s="53">
        <v>0</v>
      </c>
      <c r="AQ197" s="53">
        <v>0</v>
      </c>
      <c r="AR197" s="53">
        <v>0</v>
      </c>
      <c r="AS197" s="53">
        <v>0</v>
      </c>
      <c r="AT197" s="53">
        <v>0</v>
      </c>
      <c r="AU197" s="62" t="str">
        <f t="shared" si="123"/>
        <v>DNS/DNF</v>
      </c>
      <c r="AV197" s="62">
        <f t="shared" si="124"/>
        <v>3.2942708333333335E-3</v>
      </c>
      <c r="AW197" s="62">
        <f t="shared" si="125"/>
        <v>1.8610416666666667E-3</v>
      </c>
      <c r="AX197" s="62" t="str">
        <f t="shared" si="126"/>
        <v>DNS/DNF</v>
      </c>
      <c r="AY197" s="62">
        <f t="shared" si="127"/>
        <v>4.6825694444444441E-3</v>
      </c>
      <c r="AZ197" s="62" t="str">
        <f t="shared" si="128"/>
        <v>DNS/DNF</v>
      </c>
      <c r="BA197" s="62" t="str">
        <f t="shared" si="129"/>
        <v>DNS/DNF</v>
      </c>
      <c r="BB197" s="62" t="str">
        <f t="shared" si="130"/>
        <v>DNS/DNF</v>
      </c>
      <c r="BC197" s="75">
        <f t="shared" si="131"/>
        <v>182</v>
      </c>
      <c r="BD197" s="53" t="str">
        <f t="shared" si="132"/>
        <v/>
      </c>
      <c r="BE197" s="53">
        <f t="shared" si="133"/>
        <v>284552</v>
      </c>
      <c r="BF197" s="53">
        <f t="shared" si="134"/>
        <v>168567</v>
      </c>
      <c r="BG197" s="53" t="str">
        <f t="shared" si="135"/>
        <v/>
      </c>
      <c r="BH197" s="53">
        <f t="shared" si="136"/>
        <v>385800</v>
      </c>
      <c r="BI197" s="53" t="str">
        <f t="shared" si="137"/>
        <v/>
      </c>
      <c r="BJ197" s="53" t="str">
        <f t="shared" si="138"/>
        <v/>
      </c>
      <c r="BK197" s="53" t="str">
        <f t="shared" si="139"/>
        <v/>
      </c>
    </row>
    <row r="198" spans="1:63">
      <c r="A198" s="53">
        <v>263</v>
      </c>
      <c r="B198" s="89" t="str">
        <f>IFERROR(VLOOKUP($A198,EntryList!$A$3:$N$645,2,FALSE),"")</f>
        <v>Julian Robin Oosthuizen</v>
      </c>
      <c r="C198" s="74"/>
      <c r="D198" s="53">
        <f t="shared" si="105"/>
        <v>3</v>
      </c>
      <c r="E198" s="62">
        <v>4.6783101851851855E-3</v>
      </c>
      <c r="F198" s="62">
        <v>3.3709490740740744E-3</v>
      </c>
      <c r="G198" s="62">
        <v>2.367766203703704E-3</v>
      </c>
      <c r="H198" s="62">
        <v>4.1671643518518516E-3</v>
      </c>
      <c r="I198" s="62"/>
      <c r="J198" s="62"/>
      <c r="K198" s="62"/>
      <c r="L198" s="62"/>
      <c r="M198" s="62">
        <v>1.4584189814814812E-2</v>
      </c>
      <c r="N198" s="62">
        <f t="shared" si="106"/>
        <v>9.9058796296296291E-3</v>
      </c>
      <c r="O198" s="53" t="str">
        <f t="shared" si="107"/>
        <v/>
      </c>
      <c r="P198" s="53">
        <f t="shared" si="108"/>
        <v>191</v>
      </c>
      <c r="Q198" s="53">
        <f t="shared" si="109"/>
        <v>230</v>
      </c>
      <c r="R198" s="53">
        <f t="shared" si="110"/>
        <v>129</v>
      </c>
      <c r="S198" s="53" t="str">
        <f t="shared" si="111"/>
        <v/>
      </c>
      <c r="T198" s="53" t="str">
        <f t="shared" si="112"/>
        <v/>
      </c>
      <c r="U198" s="53" t="str">
        <f t="shared" si="113"/>
        <v/>
      </c>
      <c r="V198" s="53" t="str">
        <f t="shared" si="114"/>
        <v/>
      </c>
      <c r="W198" s="53" t="str">
        <f t="shared" si="115"/>
        <v>DNS/DNF ()</v>
      </c>
      <c r="X198" s="53" t="str">
        <f t="shared" si="116"/>
        <v>00:04:51.2 (191)</v>
      </c>
      <c r="Y198" s="53" t="str">
        <f t="shared" si="117"/>
        <v>00:03:24.6 (230)</v>
      </c>
      <c r="Z198" s="53" t="str">
        <f t="shared" si="118"/>
        <v>00:06:00.0 (129)</v>
      </c>
      <c r="AA198" s="53" t="str">
        <f t="shared" si="119"/>
        <v>DNS/DNF ()</v>
      </c>
      <c r="AB198" s="53" t="str">
        <f t="shared" si="120"/>
        <v>DNS/DNF ()</v>
      </c>
      <c r="AC198" s="53" t="str">
        <f t="shared" si="121"/>
        <v>DNS/DNF ()</v>
      </c>
      <c r="AD198" s="53" t="str">
        <f t="shared" si="122"/>
        <v>DNS/DNF ()</v>
      </c>
      <c r="AE198" s="53">
        <v>0</v>
      </c>
      <c r="AF198" s="53">
        <v>35005668</v>
      </c>
      <c r="AG198" s="53">
        <v>32038638</v>
      </c>
      <c r="AH198" s="53">
        <v>32329888</v>
      </c>
      <c r="AI198" s="53">
        <v>37295303</v>
      </c>
      <c r="AJ198" s="53">
        <v>37499878</v>
      </c>
      <c r="AK198" s="53">
        <v>41957879</v>
      </c>
      <c r="AL198" s="53">
        <v>42317922</v>
      </c>
      <c r="AM198" s="53">
        <v>0</v>
      </c>
      <c r="AN198" s="53">
        <v>0</v>
      </c>
      <c r="AO198" s="53">
        <v>0</v>
      </c>
      <c r="AP198" s="53">
        <v>0</v>
      </c>
      <c r="AQ198" s="53">
        <v>0</v>
      </c>
      <c r="AR198" s="53">
        <v>0</v>
      </c>
      <c r="AS198" s="53">
        <v>0</v>
      </c>
      <c r="AT198" s="53">
        <v>0</v>
      </c>
      <c r="AU198" s="62" t="str">
        <f t="shared" si="123"/>
        <v>DNS/DNF</v>
      </c>
      <c r="AV198" s="62">
        <f t="shared" si="124"/>
        <v>3.370949074074074E-3</v>
      </c>
      <c r="AW198" s="62">
        <f t="shared" si="125"/>
        <v>2.3677662037037035E-3</v>
      </c>
      <c r="AX198" s="62">
        <f t="shared" si="126"/>
        <v>4.1671643518518516E-3</v>
      </c>
      <c r="AY198" s="62" t="str">
        <f t="shared" si="127"/>
        <v>DNS/DNF</v>
      </c>
      <c r="AZ198" s="62" t="str">
        <f t="shared" si="128"/>
        <v>DNS/DNF</v>
      </c>
      <c r="BA198" s="62" t="str">
        <f t="shared" si="129"/>
        <v>DNS/DNF</v>
      </c>
      <c r="BB198" s="62" t="str">
        <f t="shared" si="130"/>
        <v>DNS/DNF</v>
      </c>
      <c r="BC198" s="75">
        <f t="shared" si="131"/>
        <v>183</v>
      </c>
      <c r="BD198" s="53" t="str">
        <f t="shared" si="132"/>
        <v/>
      </c>
      <c r="BE198" s="53">
        <f t="shared" si="133"/>
        <v>284625</v>
      </c>
      <c r="BF198" s="53">
        <f t="shared" si="134"/>
        <v>168940</v>
      </c>
      <c r="BG198" s="53" t="str">
        <f t="shared" si="135"/>
        <v/>
      </c>
      <c r="BH198" s="53">
        <f t="shared" si="136"/>
        <v>387927</v>
      </c>
      <c r="BI198" s="53" t="str">
        <f t="shared" si="137"/>
        <v/>
      </c>
      <c r="BJ198" s="53" t="str">
        <f t="shared" si="138"/>
        <v/>
      </c>
      <c r="BK198" s="53" t="str">
        <f t="shared" si="139"/>
        <v/>
      </c>
    </row>
    <row r="199" spans="1:63">
      <c r="A199" s="53">
        <v>269</v>
      </c>
      <c r="B199" s="89" t="str">
        <f>IFERROR(VLOOKUP($A199,EntryList!$A$3:$N$645,2,FALSE),"")</f>
        <v>Dean Van Niekerk Van Niekerk</v>
      </c>
      <c r="C199" s="74"/>
      <c r="D199" s="53">
        <f t="shared" si="105"/>
        <v>3</v>
      </c>
      <c r="E199" s="62"/>
      <c r="F199" s="62">
        <v>3.4522453703703698E-3</v>
      </c>
      <c r="G199" s="62">
        <v>1.8963888888888886E-3</v>
      </c>
      <c r="H199" s="62"/>
      <c r="I199" s="62">
        <v>4.5785300925925924E-3</v>
      </c>
      <c r="J199" s="62"/>
      <c r="K199" s="62"/>
      <c r="L199" s="62"/>
      <c r="M199" s="62">
        <v>9.9271643518518519E-3</v>
      </c>
      <c r="N199" s="62">
        <f t="shared" si="106"/>
        <v>9.9271643518518519E-3</v>
      </c>
      <c r="O199" s="53" t="str">
        <f t="shared" si="107"/>
        <v/>
      </c>
      <c r="P199" s="53">
        <f t="shared" si="108"/>
        <v>200</v>
      </c>
      <c r="Q199" s="53">
        <f t="shared" si="109"/>
        <v>171</v>
      </c>
      <c r="R199" s="53" t="str">
        <f t="shared" si="110"/>
        <v/>
      </c>
      <c r="S199" s="53">
        <f t="shared" si="111"/>
        <v>197</v>
      </c>
      <c r="T199" s="53" t="str">
        <f t="shared" si="112"/>
        <v/>
      </c>
      <c r="U199" s="53" t="str">
        <f t="shared" si="113"/>
        <v/>
      </c>
      <c r="V199" s="53" t="str">
        <f t="shared" si="114"/>
        <v/>
      </c>
      <c r="W199" s="53" t="str">
        <f t="shared" si="115"/>
        <v>DNS/DNF ()</v>
      </c>
      <c r="X199" s="53" t="str">
        <f t="shared" si="116"/>
        <v>00:04:58.3 (200)</v>
      </c>
      <c r="Y199" s="53" t="str">
        <f t="shared" si="117"/>
        <v>00:02:43.8 (171)</v>
      </c>
      <c r="Z199" s="53" t="str">
        <f t="shared" si="118"/>
        <v>DNS/DNF ()</v>
      </c>
      <c r="AA199" s="53" t="str">
        <f t="shared" si="119"/>
        <v>00:06:35.6 (197)</v>
      </c>
      <c r="AB199" s="53" t="str">
        <f t="shared" si="120"/>
        <v>DNS/DNF ()</v>
      </c>
      <c r="AC199" s="53" t="str">
        <f t="shared" si="121"/>
        <v>DNS/DNF ()</v>
      </c>
      <c r="AD199" s="53" t="str">
        <f t="shared" si="122"/>
        <v>DNS/DNF ()</v>
      </c>
      <c r="AE199" s="53">
        <v>0</v>
      </c>
      <c r="AF199" s="53">
        <v>0</v>
      </c>
      <c r="AG199" s="53">
        <v>36323861</v>
      </c>
      <c r="AH199" s="53">
        <v>36622135</v>
      </c>
      <c r="AI199" s="53">
        <v>40945898</v>
      </c>
      <c r="AJ199" s="53">
        <v>41109746</v>
      </c>
      <c r="AK199" s="53">
        <v>0</v>
      </c>
      <c r="AL199" s="53">
        <v>0</v>
      </c>
      <c r="AM199" s="53">
        <v>45094672</v>
      </c>
      <c r="AN199" s="53">
        <v>45490257</v>
      </c>
      <c r="AO199" s="53">
        <v>0</v>
      </c>
      <c r="AP199" s="53">
        <v>0</v>
      </c>
      <c r="AQ199" s="53">
        <v>0</v>
      </c>
      <c r="AR199" s="53">
        <v>0</v>
      </c>
      <c r="AS199" s="53">
        <v>0</v>
      </c>
      <c r="AT199" s="53">
        <v>0</v>
      </c>
      <c r="AU199" s="62" t="str">
        <f t="shared" si="123"/>
        <v>DNS/DNF</v>
      </c>
      <c r="AV199" s="62">
        <f t="shared" si="124"/>
        <v>3.4522453703703703E-3</v>
      </c>
      <c r="AW199" s="62">
        <f t="shared" si="125"/>
        <v>1.8963888888888889E-3</v>
      </c>
      <c r="AX199" s="62" t="str">
        <f t="shared" si="126"/>
        <v>DNS/DNF</v>
      </c>
      <c r="AY199" s="62">
        <f t="shared" si="127"/>
        <v>4.5785300925925924E-3</v>
      </c>
      <c r="AZ199" s="62" t="str">
        <f t="shared" si="128"/>
        <v>DNS/DNF</v>
      </c>
      <c r="BA199" s="62" t="str">
        <f t="shared" si="129"/>
        <v>DNS/DNF</v>
      </c>
      <c r="BB199" s="62" t="str">
        <f t="shared" si="130"/>
        <v>DNS/DNF</v>
      </c>
      <c r="BC199" s="75">
        <f t="shared" si="131"/>
        <v>189</v>
      </c>
      <c r="BD199" s="53" t="str">
        <f t="shared" si="132"/>
        <v/>
      </c>
      <c r="BE199" s="53">
        <f t="shared" si="133"/>
        <v>290213</v>
      </c>
      <c r="BF199" s="53">
        <f t="shared" si="134"/>
        <v>171237</v>
      </c>
      <c r="BG199" s="53" t="str">
        <f t="shared" si="135"/>
        <v/>
      </c>
      <c r="BH199" s="53">
        <f t="shared" si="136"/>
        <v>391370</v>
      </c>
      <c r="BI199" s="53" t="str">
        <f t="shared" si="137"/>
        <v/>
      </c>
      <c r="BJ199" s="53" t="str">
        <f t="shared" si="138"/>
        <v/>
      </c>
      <c r="BK199" s="53" t="str">
        <f t="shared" si="139"/>
        <v/>
      </c>
    </row>
    <row r="200" spans="1:63">
      <c r="A200" s="53">
        <v>137</v>
      </c>
      <c r="B200" s="89" t="str">
        <f>IFERROR(VLOOKUP($A200,EntryList!$A$3:$N$645,2,FALSE),"")</f>
        <v>Lombard Rousseau</v>
      </c>
      <c r="C200" s="74"/>
      <c r="D200" s="53">
        <f t="shared" si="105"/>
        <v>3</v>
      </c>
      <c r="E200" s="62"/>
      <c r="F200" s="62">
        <v>3.4401157407407405E-3</v>
      </c>
      <c r="G200" s="62">
        <v>1.9268518518518517E-3</v>
      </c>
      <c r="H200" s="62"/>
      <c r="I200" s="62">
        <v>4.6595717592592591E-3</v>
      </c>
      <c r="J200" s="62"/>
      <c r="K200" s="62"/>
      <c r="L200" s="62"/>
      <c r="M200" s="62">
        <v>1.0026539351851852E-2</v>
      </c>
      <c r="N200" s="62">
        <f t="shared" si="106"/>
        <v>1.0026539351851851E-2</v>
      </c>
      <c r="O200" s="53" t="str">
        <f t="shared" si="107"/>
        <v/>
      </c>
      <c r="P200" s="53">
        <f t="shared" si="108"/>
        <v>199</v>
      </c>
      <c r="Q200" s="53">
        <f t="shared" si="109"/>
        <v>180</v>
      </c>
      <c r="R200" s="53" t="str">
        <f t="shared" si="110"/>
        <v/>
      </c>
      <c r="S200" s="53">
        <f t="shared" si="111"/>
        <v>204</v>
      </c>
      <c r="T200" s="53" t="str">
        <f t="shared" si="112"/>
        <v/>
      </c>
      <c r="U200" s="53" t="str">
        <f t="shared" si="113"/>
        <v/>
      </c>
      <c r="V200" s="53" t="str">
        <f t="shared" si="114"/>
        <v/>
      </c>
      <c r="W200" s="53" t="str">
        <f t="shared" si="115"/>
        <v>DNS/DNF ()</v>
      </c>
      <c r="X200" s="53" t="str">
        <f t="shared" si="116"/>
        <v>00:04:57.2 (199)</v>
      </c>
      <c r="Y200" s="53" t="str">
        <f t="shared" si="117"/>
        <v>00:02:46.5 (180)</v>
      </c>
      <c r="Z200" s="53" t="str">
        <f t="shared" si="118"/>
        <v>DNS/DNF ()</v>
      </c>
      <c r="AA200" s="53" t="str">
        <f t="shared" si="119"/>
        <v>00:06:42.6 (204)</v>
      </c>
      <c r="AB200" s="53" t="str">
        <f t="shared" si="120"/>
        <v>DNS/DNF ()</v>
      </c>
      <c r="AC200" s="53" t="str">
        <f t="shared" si="121"/>
        <v>DNS/DNF ()</v>
      </c>
      <c r="AD200" s="53" t="str">
        <f t="shared" si="122"/>
        <v>DNS/DNF ()</v>
      </c>
      <c r="AE200" s="53">
        <v>0</v>
      </c>
      <c r="AF200" s="53">
        <v>0</v>
      </c>
      <c r="AG200" s="53">
        <v>36565876</v>
      </c>
      <c r="AH200" s="53">
        <v>36863102</v>
      </c>
      <c r="AI200" s="53">
        <v>40889644</v>
      </c>
      <c r="AJ200" s="53">
        <v>41056124</v>
      </c>
      <c r="AK200" s="53">
        <v>0</v>
      </c>
      <c r="AL200" s="53">
        <v>0</v>
      </c>
      <c r="AM200" s="53">
        <v>44774662</v>
      </c>
      <c r="AN200" s="53">
        <v>45177249</v>
      </c>
      <c r="AO200" s="53">
        <v>0</v>
      </c>
      <c r="AP200" s="53">
        <v>0</v>
      </c>
      <c r="AQ200" s="53">
        <v>0</v>
      </c>
      <c r="AR200" s="53">
        <v>0</v>
      </c>
      <c r="AS200" s="53">
        <v>0</v>
      </c>
      <c r="AT200" s="53">
        <v>0</v>
      </c>
      <c r="AU200" s="62" t="str">
        <f t="shared" si="123"/>
        <v>DNS/DNF</v>
      </c>
      <c r="AV200" s="62">
        <f t="shared" si="124"/>
        <v>3.4401157407407405E-3</v>
      </c>
      <c r="AW200" s="62">
        <f t="shared" si="125"/>
        <v>1.9268518518518519E-3</v>
      </c>
      <c r="AX200" s="62" t="str">
        <f t="shared" si="126"/>
        <v>DNS/DNF</v>
      </c>
      <c r="AY200" s="62">
        <f t="shared" si="127"/>
        <v>4.6595717592592591E-3</v>
      </c>
      <c r="AZ200" s="62" t="str">
        <f t="shared" si="128"/>
        <v>DNS/DNF</v>
      </c>
      <c r="BA200" s="62" t="str">
        <f t="shared" si="129"/>
        <v>DNS/DNF</v>
      </c>
      <c r="BB200" s="62" t="str">
        <f t="shared" si="130"/>
        <v>DNS/DNF</v>
      </c>
      <c r="BC200" s="75">
        <f t="shared" si="131"/>
        <v>194</v>
      </c>
      <c r="BD200" s="53" t="str">
        <f t="shared" si="132"/>
        <v/>
      </c>
      <c r="BE200" s="53">
        <f t="shared" si="133"/>
        <v>294025</v>
      </c>
      <c r="BF200" s="53">
        <f t="shared" si="134"/>
        <v>174108</v>
      </c>
      <c r="BG200" s="53" t="str">
        <f t="shared" si="135"/>
        <v/>
      </c>
      <c r="BH200" s="53">
        <f t="shared" si="136"/>
        <v>394168</v>
      </c>
      <c r="BI200" s="53" t="str">
        <f t="shared" si="137"/>
        <v/>
      </c>
      <c r="BJ200" s="53" t="str">
        <f t="shared" si="138"/>
        <v/>
      </c>
      <c r="BK200" s="53" t="str">
        <f t="shared" si="139"/>
        <v/>
      </c>
    </row>
    <row r="201" spans="1:63">
      <c r="A201" s="53">
        <v>138</v>
      </c>
      <c r="B201" s="89" t="str">
        <f>IFERROR(VLOOKUP($A201,EntryList!$A$3:$N$645,2,FALSE),"")</f>
        <v>Ben Kroukamp</v>
      </c>
      <c r="C201" s="74"/>
      <c r="D201" s="53">
        <f t="shared" si="105"/>
        <v>3</v>
      </c>
      <c r="E201" s="62"/>
      <c r="F201" s="62">
        <v>3.5663888888888893E-3</v>
      </c>
      <c r="G201" s="62">
        <v>1.9998611111111111E-3</v>
      </c>
      <c r="H201" s="62"/>
      <c r="I201" s="62">
        <v>4.496006944444444E-3</v>
      </c>
      <c r="J201" s="62"/>
      <c r="K201" s="62"/>
      <c r="L201" s="62"/>
      <c r="M201" s="62">
        <v>1.0062256944444443E-2</v>
      </c>
      <c r="N201" s="62">
        <f t="shared" si="106"/>
        <v>1.0062256944444445E-2</v>
      </c>
      <c r="O201" s="53" t="str">
        <f t="shared" si="107"/>
        <v/>
      </c>
      <c r="P201" s="53">
        <f t="shared" si="108"/>
        <v>210</v>
      </c>
      <c r="Q201" s="53">
        <f t="shared" si="109"/>
        <v>192</v>
      </c>
      <c r="R201" s="53" t="str">
        <f t="shared" si="110"/>
        <v/>
      </c>
      <c r="S201" s="53">
        <f t="shared" si="111"/>
        <v>185</v>
      </c>
      <c r="T201" s="53" t="str">
        <f t="shared" si="112"/>
        <v/>
      </c>
      <c r="U201" s="53" t="str">
        <f t="shared" si="113"/>
        <v/>
      </c>
      <c r="V201" s="53" t="str">
        <f t="shared" si="114"/>
        <v/>
      </c>
      <c r="W201" s="53" t="str">
        <f t="shared" si="115"/>
        <v>DNS/DNF ()</v>
      </c>
      <c r="X201" s="53" t="str">
        <f t="shared" si="116"/>
        <v>00:05:08.1 (210)</v>
      </c>
      <c r="Y201" s="53" t="str">
        <f t="shared" si="117"/>
        <v>00:02:52.8 (192)</v>
      </c>
      <c r="Z201" s="53" t="str">
        <f t="shared" si="118"/>
        <v>DNS/DNF ()</v>
      </c>
      <c r="AA201" s="53" t="str">
        <f t="shared" si="119"/>
        <v>00:06:28.5 (185)</v>
      </c>
      <c r="AB201" s="53" t="str">
        <f t="shared" si="120"/>
        <v>DNS/DNF ()</v>
      </c>
      <c r="AC201" s="53" t="str">
        <f t="shared" si="121"/>
        <v>DNS/DNF ()</v>
      </c>
      <c r="AD201" s="53" t="str">
        <f t="shared" si="122"/>
        <v>DNS/DNF ()</v>
      </c>
      <c r="AE201" s="53">
        <v>0</v>
      </c>
      <c r="AF201" s="53">
        <v>0</v>
      </c>
      <c r="AG201" s="53">
        <v>35159192</v>
      </c>
      <c r="AH201" s="53">
        <v>35467328</v>
      </c>
      <c r="AI201" s="53">
        <v>38933419</v>
      </c>
      <c r="AJ201" s="53">
        <v>39106207</v>
      </c>
      <c r="AK201" s="53">
        <v>0</v>
      </c>
      <c r="AL201" s="53">
        <v>0</v>
      </c>
      <c r="AM201" s="53">
        <v>42844340</v>
      </c>
      <c r="AN201" s="53">
        <v>43232795</v>
      </c>
      <c r="AO201" s="53">
        <v>0</v>
      </c>
      <c r="AP201" s="53">
        <v>0</v>
      </c>
      <c r="AQ201" s="53">
        <v>0</v>
      </c>
      <c r="AR201" s="53">
        <v>0</v>
      </c>
      <c r="AS201" s="53">
        <v>0</v>
      </c>
      <c r="AT201" s="53">
        <v>0</v>
      </c>
      <c r="AU201" s="62" t="str">
        <f t="shared" si="123"/>
        <v>DNS/DNF</v>
      </c>
      <c r="AV201" s="62">
        <f t="shared" si="124"/>
        <v>3.5663888888888889E-3</v>
      </c>
      <c r="AW201" s="62">
        <f t="shared" si="125"/>
        <v>1.9998611111111111E-3</v>
      </c>
      <c r="AX201" s="62" t="str">
        <f t="shared" si="126"/>
        <v>DNS/DNF</v>
      </c>
      <c r="AY201" s="62">
        <f t="shared" si="127"/>
        <v>4.4960069444444448E-3</v>
      </c>
      <c r="AZ201" s="62" t="str">
        <f t="shared" si="128"/>
        <v>DNS/DNF</v>
      </c>
      <c r="BA201" s="62" t="str">
        <f t="shared" si="129"/>
        <v>DNS/DNF</v>
      </c>
      <c r="BB201" s="62" t="str">
        <f t="shared" si="130"/>
        <v>DNS/DNF</v>
      </c>
      <c r="BC201" s="75">
        <f t="shared" si="131"/>
        <v>196</v>
      </c>
      <c r="BD201" s="53" t="str">
        <f t="shared" si="132"/>
        <v/>
      </c>
      <c r="BE201" s="53">
        <f t="shared" si="133"/>
        <v>295610</v>
      </c>
      <c r="BF201" s="53">
        <f t="shared" si="134"/>
        <v>174536</v>
      </c>
      <c r="BG201" s="53" t="str">
        <f t="shared" si="135"/>
        <v/>
      </c>
      <c r="BH201" s="53">
        <f t="shared" si="136"/>
        <v>395570.00000000006</v>
      </c>
      <c r="BI201" s="53" t="str">
        <f t="shared" si="137"/>
        <v/>
      </c>
      <c r="BJ201" s="53" t="str">
        <f t="shared" si="138"/>
        <v/>
      </c>
      <c r="BK201" s="53" t="str">
        <f t="shared" si="139"/>
        <v/>
      </c>
    </row>
    <row r="202" spans="1:63">
      <c r="A202" s="53">
        <v>85</v>
      </c>
      <c r="B202" s="89" t="str">
        <f>IFERROR(VLOOKUP($A202,EntryList!$A$3:$N$645,2,FALSE),"")</f>
        <v>Alec Retief</v>
      </c>
      <c r="C202" s="74"/>
      <c r="D202" s="53">
        <f t="shared" si="105"/>
        <v>3</v>
      </c>
      <c r="E202" s="62"/>
      <c r="F202" s="62">
        <v>3.7067129629629624E-3</v>
      </c>
      <c r="G202" s="62">
        <v>1.91E-3</v>
      </c>
      <c r="H202" s="62"/>
      <c r="I202" s="62">
        <v>4.4531828703703704E-3</v>
      </c>
      <c r="J202" s="62"/>
      <c r="K202" s="62"/>
      <c r="L202" s="62"/>
      <c r="M202" s="62">
        <v>1.0069895833333333E-2</v>
      </c>
      <c r="N202" s="62">
        <f t="shared" si="106"/>
        <v>1.0069895833333333E-2</v>
      </c>
      <c r="O202" s="53" t="str">
        <f t="shared" si="107"/>
        <v/>
      </c>
      <c r="P202" s="53">
        <f t="shared" si="108"/>
        <v>219</v>
      </c>
      <c r="Q202" s="53">
        <f t="shared" si="109"/>
        <v>175</v>
      </c>
      <c r="R202" s="53" t="str">
        <f t="shared" si="110"/>
        <v/>
      </c>
      <c r="S202" s="53">
        <f t="shared" si="111"/>
        <v>180</v>
      </c>
      <c r="T202" s="53" t="str">
        <f t="shared" si="112"/>
        <v/>
      </c>
      <c r="U202" s="53" t="str">
        <f t="shared" si="113"/>
        <v/>
      </c>
      <c r="V202" s="53" t="str">
        <f t="shared" si="114"/>
        <v/>
      </c>
      <c r="W202" s="53" t="str">
        <f t="shared" si="115"/>
        <v>DNS/DNF ()</v>
      </c>
      <c r="X202" s="53" t="str">
        <f t="shared" si="116"/>
        <v>00:05:20.3 (219)</v>
      </c>
      <c r="Y202" s="53" t="str">
        <f t="shared" si="117"/>
        <v>00:02:45.0 (175)</v>
      </c>
      <c r="Z202" s="53" t="str">
        <f t="shared" si="118"/>
        <v>DNS/DNF ()</v>
      </c>
      <c r="AA202" s="53" t="str">
        <f t="shared" si="119"/>
        <v>00:06:24.8 (180)</v>
      </c>
      <c r="AB202" s="53" t="str">
        <f t="shared" si="120"/>
        <v>DNS/DNF ()</v>
      </c>
      <c r="AC202" s="53" t="str">
        <f t="shared" si="121"/>
        <v>DNS/DNF ()</v>
      </c>
      <c r="AD202" s="53" t="str">
        <f t="shared" si="122"/>
        <v>DNS/DNF ()</v>
      </c>
      <c r="AE202" s="53">
        <v>0</v>
      </c>
      <c r="AF202" s="53">
        <v>0</v>
      </c>
      <c r="AG202" s="53">
        <v>36522238</v>
      </c>
      <c r="AH202" s="53">
        <v>36842498</v>
      </c>
      <c r="AI202" s="53">
        <v>40676272</v>
      </c>
      <c r="AJ202" s="53">
        <v>40841296</v>
      </c>
      <c r="AK202" s="53">
        <v>0</v>
      </c>
      <c r="AL202" s="53">
        <v>0</v>
      </c>
      <c r="AM202" s="53">
        <v>44705462</v>
      </c>
      <c r="AN202" s="53">
        <v>45090217</v>
      </c>
      <c r="AO202" s="53">
        <v>0</v>
      </c>
      <c r="AP202" s="53">
        <v>0</v>
      </c>
      <c r="AQ202" s="53">
        <v>0</v>
      </c>
      <c r="AR202" s="53">
        <v>0</v>
      </c>
      <c r="AS202" s="53">
        <v>0</v>
      </c>
      <c r="AT202" s="53">
        <v>0</v>
      </c>
      <c r="AU202" s="62" t="str">
        <f t="shared" si="123"/>
        <v>DNS/DNF</v>
      </c>
      <c r="AV202" s="62">
        <f t="shared" si="124"/>
        <v>3.7067129629629629E-3</v>
      </c>
      <c r="AW202" s="62">
        <f t="shared" si="125"/>
        <v>1.91E-3</v>
      </c>
      <c r="AX202" s="62" t="str">
        <f t="shared" si="126"/>
        <v>DNS/DNF</v>
      </c>
      <c r="AY202" s="62">
        <f t="shared" si="127"/>
        <v>4.4531828703703704E-3</v>
      </c>
      <c r="AZ202" s="62" t="str">
        <f t="shared" si="128"/>
        <v>DNS/DNF</v>
      </c>
      <c r="BA202" s="62" t="str">
        <f t="shared" si="129"/>
        <v>DNS/DNF</v>
      </c>
      <c r="BB202" s="62" t="str">
        <f t="shared" si="130"/>
        <v>DNS/DNF</v>
      </c>
      <c r="BC202" s="75">
        <f t="shared" si="131"/>
        <v>191</v>
      </c>
      <c r="BD202" s="53" t="str">
        <f t="shared" si="132"/>
        <v/>
      </c>
      <c r="BE202" s="53">
        <f t="shared" si="133"/>
        <v>291250</v>
      </c>
      <c r="BF202" s="53">
        <f t="shared" si="134"/>
        <v>172727.99999999997</v>
      </c>
      <c r="BG202" s="53" t="str">
        <f t="shared" si="135"/>
        <v/>
      </c>
      <c r="BH202" s="53">
        <f t="shared" si="136"/>
        <v>392510</v>
      </c>
      <c r="BI202" s="53" t="str">
        <f t="shared" si="137"/>
        <v/>
      </c>
      <c r="BJ202" s="53" t="str">
        <f t="shared" si="138"/>
        <v/>
      </c>
      <c r="BK202" s="53" t="str">
        <f t="shared" si="139"/>
        <v/>
      </c>
    </row>
    <row r="203" spans="1:63">
      <c r="A203" s="53">
        <v>270</v>
      </c>
      <c r="B203" s="89" t="str">
        <f>IFERROR(VLOOKUP($A203,EntryList!$A$3:$N$645,2,FALSE),"")</f>
        <v>Taegan Felton</v>
      </c>
      <c r="C203" s="74"/>
      <c r="D203" s="53">
        <f t="shared" si="105"/>
        <v>3</v>
      </c>
      <c r="E203" s="62"/>
      <c r="F203" s="62">
        <v>3.5215277777777775E-3</v>
      </c>
      <c r="G203" s="62">
        <v>2.0376273148148146E-3</v>
      </c>
      <c r="H203" s="62"/>
      <c r="I203" s="62">
        <v>4.5297453703703706E-3</v>
      </c>
      <c r="J203" s="62"/>
      <c r="K203" s="62"/>
      <c r="L203" s="62"/>
      <c r="M203" s="62">
        <v>1.0088900462962963E-2</v>
      </c>
      <c r="N203" s="62">
        <f t="shared" si="106"/>
        <v>1.0088900462962964E-2</v>
      </c>
      <c r="O203" s="53" t="str">
        <f t="shared" si="107"/>
        <v/>
      </c>
      <c r="P203" s="53">
        <f t="shared" si="108"/>
        <v>206</v>
      </c>
      <c r="Q203" s="53">
        <f t="shared" si="109"/>
        <v>202</v>
      </c>
      <c r="R203" s="53" t="str">
        <f t="shared" si="110"/>
        <v/>
      </c>
      <c r="S203" s="53">
        <f t="shared" si="111"/>
        <v>189</v>
      </c>
      <c r="T203" s="53" t="str">
        <f t="shared" si="112"/>
        <v/>
      </c>
      <c r="U203" s="53" t="str">
        <f t="shared" si="113"/>
        <v/>
      </c>
      <c r="V203" s="53" t="str">
        <f t="shared" si="114"/>
        <v/>
      </c>
      <c r="W203" s="53" t="str">
        <f t="shared" si="115"/>
        <v>DNS/DNF ()</v>
      </c>
      <c r="X203" s="53" t="str">
        <f t="shared" si="116"/>
        <v>00:05:04.3 (206)</v>
      </c>
      <c r="Y203" s="53" t="str">
        <f t="shared" si="117"/>
        <v>00:02:56.1 (202)</v>
      </c>
      <c r="Z203" s="53" t="str">
        <f t="shared" si="118"/>
        <v>DNS/DNF ()</v>
      </c>
      <c r="AA203" s="53" t="str">
        <f t="shared" si="119"/>
        <v>00:06:31.4 (189)</v>
      </c>
      <c r="AB203" s="53" t="str">
        <f t="shared" si="120"/>
        <v>DNS/DNF ()</v>
      </c>
      <c r="AC203" s="53" t="str">
        <f t="shared" si="121"/>
        <v>DNS/DNF ()</v>
      </c>
      <c r="AD203" s="53" t="str">
        <f t="shared" si="122"/>
        <v>DNS/DNF ()</v>
      </c>
      <c r="AE203" s="53">
        <v>0</v>
      </c>
      <c r="AF203" s="53">
        <v>0</v>
      </c>
      <c r="AG203" s="53">
        <v>34486067</v>
      </c>
      <c r="AH203" s="53">
        <v>34790327</v>
      </c>
      <c r="AI203" s="53">
        <v>37720243</v>
      </c>
      <c r="AJ203" s="53">
        <v>37896294</v>
      </c>
      <c r="AK203" s="53">
        <v>0</v>
      </c>
      <c r="AL203" s="53">
        <v>0</v>
      </c>
      <c r="AM203" s="53">
        <v>40254988</v>
      </c>
      <c r="AN203" s="53">
        <v>40646358</v>
      </c>
      <c r="AO203" s="53">
        <v>0</v>
      </c>
      <c r="AP203" s="53">
        <v>0</v>
      </c>
      <c r="AQ203" s="53">
        <v>0</v>
      </c>
      <c r="AR203" s="53">
        <v>0</v>
      </c>
      <c r="AS203" s="53">
        <v>0</v>
      </c>
      <c r="AT203" s="53">
        <v>0</v>
      </c>
      <c r="AU203" s="62" t="str">
        <f t="shared" si="123"/>
        <v>DNS/DNF</v>
      </c>
      <c r="AV203" s="62">
        <f t="shared" si="124"/>
        <v>3.5215277777777779E-3</v>
      </c>
      <c r="AW203" s="62">
        <f t="shared" si="125"/>
        <v>2.037627314814815E-3</v>
      </c>
      <c r="AX203" s="62" t="str">
        <f t="shared" si="126"/>
        <v>DNS/DNF</v>
      </c>
      <c r="AY203" s="62">
        <f t="shared" si="127"/>
        <v>4.5297453703703706E-3</v>
      </c>
      <c r="AZ203" s="62" t="str">
        <f t="shared" si="128"/>
        <v>DNS/DNF</v>
      </c>
      <c r="BA203" s="62" t="str">
        <f t="shared" si="129"/>
        <v>DNS/DNF</v>
      </c>
      <c r="BB203" s="62" t="str">
        <f t="shared" si="130"/>
        <v>DNS/DNF</v>
      </c>
      <c r="BC203" s="75">
        <f t="shared" si="131"/>
        <v>199</v>
      </c>
      <c r="BD203" s="53" t="str">
        <f t="shared" si="132"/>
        <v/>
      </c>
      <c r="BE203" s="53">
        <f t="shared" si="133"/>
        <v>297226</v>
      </c>
      <c r="BF203" s="53">
        <f t="shared" si="134"/>
        <v>175564.99999999997</v>
      </c>
      <c r="BG203" s="53" t="str">
        <f t="shared" si="135"/>
        <v/>
      </c>
      <c r="BH203" s="53">
        <f t="shared" si="136"/>
        <v>397957</v>
      </c>
      <c r="BI203" s="53" t="str">
        <f t="shared" si="137"/>
        <v/>
      </c>
      <c r="BJ203" s="53" t="str">
        <f t="shared" si="138"/>
        <v/>
      </c>
      <c r="BK203" s="53" t="str">
        <f t="shared" si="139"/>
        <v/>
      </c>
    </row>
    <row r="204" spans="1:63">
      <c r="A204" s="53">
        <v>175</v>
      </c>
      <c r="B204" s="89" t="str">
        <f>IFERROR(VLOOKUP($A204,EntryList!$A$3:$N$645,2,FALSE),"")</f>
        <v>Shane Robert</v>
      </c>
      <c r="C204" s="74"/>
      <c r="D204" s="53">
        <f t="shared" si="105"/>
        <v>3</v>
      </c>
      <c r="E204" s="62"/>
      <c r="F204" s="62">
        <v>3.4158333333333332E-3</v>
      </c>
      <c r="G204" s="62">
        <v>2.1130787037037034E-3</v>
      </c>
      <c r="H204" s="62"/>
      <c r="I204" s="62">
        <v>4.578356481481481E-3</v>
      </c>
      <c r="J204" s="62"/>
      <c r="K204" s="62"/>
      <c r="L204" s="62"/>
      <c r="M204" s="62">
        <v>1.0107268518518519E-2</v>
      </c>
      <c r="N204" s="62">
        <f t="shared" si="106"/>
        <v>1.0107268518518519E-2</v>
      </c>
      <c r="O204" s="53" t="str">
        <f t="shared" si="107"/>
        <v/>
      </c>
      <c r="P204" s="53">
        <f t="shared" si="108"/>
        <v>195</v>
      </c>
      <c r="Q204" s="53">
        <f t="shared" si="109"/>
        <v>210</v>
      </c>
      <c r="R204" s="53" t="str">
        <f t="shared" si="110"/>
        <v/>
      </c>
      <c r="S204" s="53">
        <f t="shared" si="111"/>
        <v>196</v>
      </c>
      <c r="T204" s="53" t="str">
        <f t="shared" si="112"/>
        <v/>
      </c>
      <c r="U204" s="53" t="str">
        <f t="shared" si="113"/>
        <v/>
      </c>
      <c r="V204" s="53" t="str">
        <f t="shared" si="114"/>
        <v/>
      </c>
      <c r="W204" s="53" t="str">
        <f t="shared" si="115"/>
        <v>DNS/DNF ()</v>
      </c>
      <c r="X204" s="53" t="str">
        <f t="shared" si="116"/>
        <v>00:04:55.1 (195)</v>
      </c>
      <c r="Y204" s="53" t="str">
        <f t="shared" si="117"/>
        <v>00:03:02.6 (210)</v>
      </c>
      <c r="Z204" s="53" t="str">
        <f t="shared" si="118"/>
        <v>DNS/DNF ()</v>
      </c>
      <c r="AA204" s="53" t="str">
        <f t="shared" si="119"/>
        <v>00:06:35.6 (196)</v>
      </c>
      <c r="AB204" s="53" t="str">
        <f t="shared" si="120"/>
        <v>DNS/DNF ()</v>
      </c>
      <c r="AC204" s="53" t="str">
        <f t="shared" si="121"/>
        <v>DNS/DNF ()</v>
      </c>
      <c r="AD204" s="53" t="str">
        <f t="shared" si="122"/>
        <v>DNS/DNF ()</v>
      </c>
      <c r="AE204" s="53">
        <v>0</v>
      </c>
      <c r="AF204" s="53">
        <v>0</v>
      </c>
      <c r="AG204" s="53">
        <v>35325928</v>
      </c>
      <c r="AH204" s="53">
        <v>35621056</v>
      </c>
      <c r="AI204" s="53">
        <v>39200175</v>
      </c>
      <c r="AJ204" s="53">
        <v>39382745</v>
      </c>
      <c r="AK204" s="53">
        <v>0</v>
      </c>
      <c r="AL204" s="53">
        <v>0</v>
      </c>
      <c r="AM204" s="53">
        <v>45062202</v>
      </c>
      <c r="AN204" s="53">
        <v>45457772</v>
      </c>
      <c r="AO204" s="53">
        <v>0</v>
      </c>
      <c r="AP204" s="53">
        <v>0</v>
      </c>
      <c r="AQ204" s="53">
        <v>0</v>
      </c>
      <c r="AR204" s="53">
        <v>0</v>
      </c>
      <c r="AS204" s="53">
        <v>0</v>
      </c>
      <c r="AT204" s="53">
        <v>0</v>
      </c>
      <c r="AU204" s="62" t="str">
        <f t="shared" si="123"/>
        <v>DNS/DNF</v>
      </c>
      <c r="AV204" s="62">
        <f t="shared" si="124"/>
        <v>3.4158333333333332E-3</v>
      </c>
      <c r="AW204" s="62">
        <f t="shared" si="125"/>
        <v>2.1130787037037038E-3</v>
      </c>
      <c r="AX204" s="62" t="str">
        <f t="shared" si="126"/>
        <v>DNS/DNF</v>
      </c>
      <c r="AY204" s="62">
        <f t="shared" si="127"/>
        <v>4.5783564814814819E-3</v>
      </c>
      <c r="AZ204" s="62" t="str">
        <f t="shared" si="128"/>
        <v>DNS/DNF</v>
      </c>
      <c r="BA204" s="62" t="str">
        <f t="shared" si="129"/>
        <v>DNS/DNF</v>
      </c>
      <c r="BB204" s="62" t="str">
        <f t="shared" si="130"/>
        <v>DNS/DNF</v>
      </c>
      <c r="BC204" s="75">
        <f t="shared" si="131"/>
        <v>200</v>
      </c>
      <c r="BD204" s="53" t="str">
        <f t="shared" si="132"/>
        <v/>
      </c>
      <c r="BE204" s="53">
        <f t="shared" si="133"/>
        <v>298274</v>
      </c>
      <c r="BF204" s="53">
        <f t="shared" si="134"/>
        <v>175568</v>
      </c>
      <c r="BG204" s="53" t="str">
        <f t="shared" si="135"/>
        <v/>
      </c>
      <c r="BH204" s="53">
        <f t="shared" si="136"/>
        <v>398417</v>
      </c>
      <c r="BI204" s="53" t="str">
        <f t="shared" si="137"/>
        <v/>
      </c>
      <c r="BJ204" s="53" t="str">
        <f t="shared" si="138"/>
        <v/>
      </c>
      <c r="BK204" s="53" t="str">
        <f t="shared" si="139"/>
        <v/>
      </c>
    </row>
    <row r="205" spans="1:63">
      <c r="A205" s="53">
        <v>76</v>
      </c>
      <c r="B205" s="89" t="str">
        <f>IFERROR(VLOOKUP($A205,EntryList!$A$3:$N$645,2,FALSE),"")</f>
        <v>Carter Spolander</v>
      </c>
      <c r="C205" s="74"/>
      <c r="D205" s="53">
        <f t="shared" si="105"/>
        <v>3</v>
      </c>
      <c r="E205" s="62"/>
      <c r="F205" s="62">
        <v>3.4704050925925926E-3</v>
      </c>
      <c r="G205" s="62">
        <v>2.0161342592592596E-3</v>
      </c>
      <c r="H205" s="62"/>
      <c r="I205" s="62">
        <v>4.6505902777777769E-3</v>
      </c>
      <c r="J205" s="62"/>
      <c r="K205" s="62"/>
      <c r="L205" s="62"/>
      <c r="M205" s="62">
        <v>1.013712962962963E-2</v>
      </c>
      <c r="N205" s="62">
        <f t="shared" si="106"/>
        <v>1.013712962962963E-2</v>
      </c>
      <c r="O205" s="53" t="str">
        <f t="shared" si="107"/>
        <v/>
      </c>
      <c r="P205" s="53">
        <f t="shared" si="108"/>
        <v>202</v>
      </c>
      <c r="Q205" s="53">
        <f t="shared" si="109"/>
        <v>195</v>
      </c>
      <c r="R205" s="53" t="str">
        <f t="shared" si="110"/>
        <v/>
      </c>
      <c r="S205" s="53">
        <f t="shared" si="111"/>
        <v>203</v>
      </c>
      <c r="T205" s="53" t="str">
        <f t="shared" si="112"/>
        <v/>
      </c>
      <c r="U205" s="53" t="str">
        <f t="shared" si="113"/>
        <v/>
      </c>
      <c r="V205" s="53" t="str">
        <f t="shared" si="114"/>
        <v/>
      </c>
      <c r="W205" s="53" t="str">
        <f t="shared" si="115"/>
        <v>DNS/DNF ()</v>
      </c>
      <c r="X205" s="53" t="str">
        <f t="shared" si="116"/>
        <v>00:04:59.8 (202)</v>
      </c>
      <c r="Y205" s="53" t="str">
        <f t="shared" si="117"/>
        <v>00:02:54.2 (195)</v>
      </c>
      <c r="Z205" s="53" t="str">
        <f t="shared" si="118"/>
        <v>DNS/DNF ()</v>
      </c>
      <c r="AA205" s="53" t="str">
        <f t="shared" si="119"/>
        <v>00:06:41.8 (203)</v>
      </c>
      <c r="AB205" s="53" t="str">
        <f t="shared" si="120"/>
        <v>DNS/DNF ()</v>
      </c>
      <c r="AC205" s="53" t="str">
        <f t="shared" si="121"/>
        <v>DNS/DNF ()</v>
      </c>
      <c r="AD205" s="53" t="str">
        <f t="shared" si="122"/>
        <v>DNS/DNF ()</v>
      </c>
      <c r="AE205" s="53">
        <v>0</v>
      </c>
      <c r="AF205" s="53">
        <v>0</v>
      </c>
      <c r="AG205" s="53">
        <v>36544402</v>
      </c>
      <c r="AH205" s="53">
        <v>36844245</v>
      </c>
      <c r="AI205" s="53">
        <v>40625750</v>
      </c>
      <c r="AJ205" s="53">
        <v>40799944</v>
      </c>
      <c r="AK205" s="53">
        <v>0</v>
      </c>
      <c r="AL205" s="53">
        <v>0</v>
      </c>
      <c r="AM205" s="53">
        <v>44748900</v>
      </c>
      <c r="AN205" s="53">
        <v>45150711</v>
      </c>
      <c r="AO205" s="53">
        <v>0</v>
      </c>
      <c r="AP205" s="53">
        <v>0</v>
      </c>
      <c r="AQ205" s="53">
        <v>0</v>
      </c>
      <c r="AR205" s="53">
        <v>0</v>
      </c>
      <c r="AS205" s="53">
        <v>0</v>
      </c>
      <c r="AT205" s="53">
        <v>0</v>
      </c>
      <c r="AU205" s="62" t="str">
        <f t="shared" si="123"/>
        <v>DNS/DNF</v>
      </c>
      <c r="AV205" s="62">
        <f t="shared" si="124"/>
        <v>3.4704050925925926E-3</v>
      </c>
      <c r="AW205" s="62">
        <f t="shared" si="125"/>
        <v>2.0161342592592592E-3</v>
      </c>
      <c r="AX205" s="62" t="str">
        <f t="shared" si="126"/>
        <v>DNS/DNF</v>
      </c>
      <c r="AY205" s="62">
        <f t="shared" si="127"/>
        <v>4.6505902777777778E-3</v>
      </c>
      <c r="AZ205" s="62" t="str">
        <f t="shared" si="128"/>
        <v>DNS/DNF</v>
      </c>
      <c r="BA205" s="62" t="str">
        <f t="shared" si="129"/>
        <v>DNS/DNF</v>
      </c>
      <c r="BB205" s="62" t="str">
        <f t="shared" si="130"/>
        <v>DNS/DNF</v>
      </c>
      <c r="BC205" s="75">
        <f t="shared" si="131"/>
        <v>200</v>
      </c>
      <c r="BD205" s="53" t="str">
        <f t="shared" si="132"/>
        <v/>
      </c>
      <c r="BE205" s="53">
        <f t="shared" si="133"/>
        <v>298274</v>
      </c>
      <c r="BF205" s="53">
        <f t="shared" si="134"/>
        <v>175568</v>
      </c>
      <c r="BG205" s="53" t="str">
        <f t="shared" si="135"/>
        <v/>
      </c>
      <c r="BH205" s="53">
        <f t="shared" si="136"/>
        <v>398417</v>
      </c>
      <c r="BI205" s="53" t="str">
        <f t="shared" si="137"/>
        <v/>
      </c>
      <c r="BJ205" s="53" t="str">
        <f t="shared" si="138"/>
        <v/>
      </c>
      <c r="BK205" s="53" t="str">
        <f t="shared" si="139"/>
        <v/>
      </c>
    </row>
    <row r="206" spans="1:63">
      <c r="A206" s="53">
        <v>147</v>
      </c>
      <c r="B206" s="89" t="str">
        <f>IFERROR(VLOOKUP($A206,EntryList!$A$3:$N$645,2,FALSE),"")</f>
        <v>Coenie Van Niekerk</v>
      </c>
      <c r="C206" s="74"/>
      <c r="D206" s="53">
        <f t="shared" si="105"/>
        <v>3</v>
      </c>
      <c r="E206" s="62">
        <v>3.0597569444444444E-3</v>
      </c>
      <c r="F206" s="62"/>
      <c r="G206" s="62">
        <v>1.6154050925925925E-3</v>
      </c>
      <c r="H206" s="62">
        <v>5.4871412037037041E-3</v>
      </c>
      <c r="I206" s="62"/>
      <c r="J206" s="62"/>
      <c r="K206" s="62"/>
      <c r="L206" s="62"/>
      <c r="M206" s="62">
        <v>1.0162303240740741E-2</v>
      </c>
      <c r="N206" s="62">
        <f t="shared" si="106"/>
        <v>1.0162303240740741E-2</v>
      </c>
      <c r="O206" s="53">
        <f t="shared" si="107"/>
        <v>83</v>
      </c>
      <c r="P206" s="53" t="str">
        <f t="shared" si="108"/>
        <v/>
      </c>
      <c r="Q206" s="53">
        <f t="shared" si="109"/>
        <v>76</v>
      </c>
      <c r="R206" s="53">
        <f t="shared" si="110"/>
        <v>136</v>
      </c>
      <c r="S206" s="53" t="str">
        <f t="shared" si="111"/>
        <v/>
      </c>
      <c r="T206" s="53" t="str">
        <f t="shared" si="112"/>
        <v/>
      </c>
      <c r="U206" s="53" t="str">
        <f t="shared" si="113"/>
        <v/>
      </c>
      <c r="V206" s="53" t="str">
        <f t="shared" si="114"/>
        <v/>
      </c>
      <c r="W206" s="53" t="str">
        <f t="shared" si="115"/>
        <v>00:04:24.4 (83)</v>
      </c>
      <c r="X206" s="53" t="str">
        <f t="shared" si="116"/>
        <v>DNS/DNF ()</v>
      </c>
      <c r="Y206" s="53" t="str">
        <f t="shared" si="117"/>
        <v>00:02:19.6 (76)</v>
      </c>
      <c r="Z206" s="53" t="str">
        <f t="shared" si="118"/>
        <v>00:07:54.1 (136)</v>
      </c>
      <c r="AA206" s="53" t="str">
        <f t="shared" si="119"/>
        <v>DNS/DNF ()</v>
      </c>
      <c r="AB206" s="53" t="str">
        <f t="shared" si="120"/>
        <v>DNS/DNF ()</v>
      </c>
      <c r="AC206" s="53" t="str">
        <f t="shared" si="121"/>
        <v>DNS/DNF ()</v>
      </c>
      <c r="AD206" s="53" t="str">
        <f t="shared" si="122"/>
        <v>DNS/DNF ()</v>
      </c>
      <c r="AE206" s="53">
        <v>27924310</v>
      </c>
      <c r="AF206" s="53">
        <v>28188673</v>
      </c>
      <c r="AG206" s="53">
        <v>0</v>
      </c>
      <c r="AH206" s="53">
        <v>0</v>
      </c>
      <c r="AI206" s="53">
        <v>30578078</v>
      </c>
      <c r="AJ206" s="53">
        <v>30717649</v>
      </c>
      <c r="AK206" s="53">
        <v>36751501</v>
      </c>
      <c r="AL206" s="53">
        <v>37225590</v>
      </c>
      <c r="AM206" s="53">
        <v>0</v>
      </c>
      <c r="AN206" s="53">
        <v>0</v>
      </c>
      <c r="AO206" s="53">
        <v>0</v>
      </c>
      <c r="AP206" s="53">
        <v>0</v>
      </c>
      <c r="AQ206" s="53">
        <v>0</v>
      </c>
      <c r="AR206" s="53">
        <v>0</v>
      </c>
      <c r="AS206" s="53">
        <v>0</v>
      </c>
      <c r="AT206" s="53">
        <v>0</v>
      </c>
      <c r="AU206" s="62">
        <f t="shared" si="123"/>
        <v>3.0597569444444444E-3</v>
      </c>
      <c r="AV206" s="62" t="str">
        <f t="shared" si="124"/>
        <v>DNS/DNF</v>
      </c>
      <c r="AW206" s="62">
        <f t="shared" si="125"/>
        <v>1.6154050925925925E-3</v>
      </c>
      <c r="AX206" s="62">
        <f t="shared" si="126"/>
        <v>5.4871412037037033E-3</v>
      </c>
      <c r="AY206" s="62" t="str">
        <f t="shared" si="127"/>
        <v>DNS/DNF</v>
      </c>
      <c r="AZ206" s="62" t="str">
        <f t="shared" si="128"/>
        <v>DNS/DNF</v>
      </c>
      <c r="BA206" s="62" t="str">
        <f t="shared" si="129"/>
        <v>DNS/DNF</v>
      </c>
      <c r="BB206" s="62" t="str">
        <f t="shared" si="130"/>
        <v>DNS/DNF</v>
      </c>
      <c r="BC206" s="75">
        <f t="shared" si="131"/>
        <v>98</v>
      </c>
      <c r="BD206" s="53">
        <f t="shared" si="132"/>
        <v>280995</v>
      </c>
      <c r="BE206" s="53">
        <f t="shared" si="133"/>
        <v>256226</v>
      </c>
      <c r="BF206" s="53">
        <f t="shared" si="134"/>
        <v>146705</v>
      </c>
      <c r="BG206" s="53">
        <f t="shared" si="135"/>
        <v>301759</v>
      </c>
      <c r="BH206" s="53">
        <f t="shared" si="136"/>
        <v>344338</v>
      </c>
      <c r="BI206" s="53" t="str">
        <f t="shared" si="137"/>
        <v/>
      </c>
      <c r="BJ206" s="53" t="str">
        <f t="shared" si="138"/>
        <v/>
      </c>
      <c r="BK206" s="53" t="str">
        <f t="shared" si="139"/>
        <v/>
      </c>
    </row>
    <row r="207" spans="1:63">
      <c r="A207" s="53">
        <v>87</v>
      </c>
      <c r="B207" s="89" t="str">
        <f>IFERROR(VLOOKUP($A207,EntryList!$A$3:$N$645,2,FALSE),"")</f>
        <v>Schalk Duvenage</v>
      </c>
      <c r="C207" s="74"/>
      <c r="D207" s="53">
        <f t="shared" si="105"/>
        <v>3</v>
      </c>
      <c r="E207" s="62"/>
      <c r="F207" s="62">
        <v>3.627060185185185E-3</v>
      </c>
      <c r="G207" s="62">
        <v>2.0320023148148146E-3</v>
      </c>
      <c r="H207" s="62"/>
      <c r="I207" s="62">
        <v>4.5621296296296304E-3</v>
      </c>
      <c r="J207" s="62"/>
      <c r="K207" s="62"/>
      <c r="L207" s="62"/>
      <c r="M207" s="62">
        <v>1.0221192129629629E-2</v>
      </c>
      <c r="N207" s="62">
        <f t="shared" si="106"/>
        <v>1.0221192129629629E-2</v>
      </c>
      <c r="O207" s="53" t="str">
        <f t="shared" si="107"/>
        <v/>
      </c>
      <c r="P207" s="53">
        <f t="shared" si="108"/>
        <v>213</v>
      </c>
      <c r="Q207" s="53">
        <f t="shared" si="109"/>
        <v>199</v>
      </c>
      <c r="R207" s="53" t="str">
        <f t="shared" si="110"/>
        <v/>
      </c>
      <c r="S207" s="53">
        <f t="shared" si="111"/>
        <v>194</v>
      </c>
      <c r="T207" s="53" t="str">
        <f t="shared" si="112"/>
        <v/>
      </c>
      <c r="U207" s="53" t="str">
        <f t="shared" si="113"/>
        <v/>
      </c>
      <c r="V207" s="53" t="str">
        <f t="shared" si="114"/>
        <v/>
      </c>
      <c r="W207" s="53" t="str">
        <f t="shared" si="115"/>
        <v>DNS/DNF ()</v>
      </c>
      <c r="X207" s="53" t="str">
        <f t="shared" si="116"/>
        <v>00:05:13.4 (213)</v>
      </c>
      <c r="Y207" s="53" t="str">
        <f t="shared" si="117"/>
        <v>00:02:55.6 (199)</v>
      </c>
      <c r="Z207" s="53" t="str">
        <f t="shared" si="118"/>
        <v>DNS/DNF ()</v>
      </c>
      <c r="AA207" s="53" t="str">
        <f t="shared" si="119"/>
        <v>00:06:34.2 (194)</v>
      </c>
      <c r="AB207" s="53" t="str">
        <f t="shared" si="120"/>
        <v>DNS/DNF ()</v>
      </c>
      <c r="AC207" s="53" t="str">
        <f t="shared" si="121"/>
        <v>DNS/DNF ()</v>
      </c>
      <c r="AD207" s="53" t="str">
        <f t="shared" si="122"/>
        <v>DNS/DNF ()</v>
      </c>
      <c r="AE207" s="53">
        <v>0</v>
      </c>
      <c r="AF207" s="53">
        <v>0</v>
      </c>
      <c r="AG207" s="53">
        <v>34566027</v>
      </c>
      <c r="AH207" s="53">
        <v>34879405</v>
      </c>
      <c r="AI207" s="53">
        <v>37359384</v>
      </c>
      <c r="AJ207" s="53">
        <v>37534949</v>
      </c>
      <c r="AK207" s="53">
        <v>0</v>
      </c>
      <c r="AL207" s="53">
        <v>0</v>
      </c>
      <c r="AM207" s="53">
        <v>40079642</v>
      </c>
      <c r="AN207" s="53">
        <v>40473810</v>
      </c>
      <c r="AO207" s="53">
        <v>0</v>
      </c>
      <c r="AP207" s="53">
        <v>0</v>
      </c>
      <c r="AQ207" s="53">
        <v>0</v>
      </c>
      <c r="AR207" s="53">
        <v>0</v>
      </c>
      <c r="AS207" s="53">
        <v>0</v>
      </c>
      <c r="AT207" s="53">
        <v>0</v>
      </c>
      <c r="AU207" s="62" t="str">
        <f t="shared" si="123"/>
        <v>DNS/DNF</v>
      </c>
      <c r="AV207" s="62">
        <f t="shared" si="124"/>
        <v>3.627060185185185E-3</v>
      </c>
      <c r="AW207" s="62">
        <f t="shared" si="125"/>
        <v>2.0320023148148146E-3</v>
      </c>
      <c r="AX207" s="62" t="str">
        <f t="shared" si="126"/>
        <v>DNS/DNF</v>
      </c>
      <c r="AY207" s="62">
        <f t="shared" si="127"/>
        <v>4.5621296296296295E-3</v>
      </c>
      <c r="AZ207" s="62" t="str">
        <f t="shared" si="128"/>
        <v>DNS/DNF</v>
      </c>
      <c r="BA207" s="62" t="str">
        <f t="shared" si="129"/>
        <v>DNS/DNF</v>
      </c>
      <c r="BB207" s="62" t="str">
        <f t="shared" si="130"/>
        <v>DNS/DNF</v>
      </c>
      <c r="BC207" s="75">
        <f t="shared" si="131"/>
        <v>202</v>
      </c>
      <c r="BD207" s="53" t="str">
        <f t="shared" si="132"/>
        <v/>
      </c>
      <c r="BE207" s="53">
        <f t="shared" si="133"/>
        <v>299843</v>
      </c>
      <c r="BF207" s="53">
        <f t="shared" si="134"/>
        <v>176051.00000000003</v>
      </c>
      <c r="BG207" s="53" t="str">
        <f t="shared" si="135"/>
        <v/>
      </c>
      <c r="BH207" s="53">
        <f t="shared" si="136"/>
        <v>401223</v>
      </c>
      <c r="BI207" s="53" t="str">
        <f t="shared" si="137"/>
        <v/>
      </c>
      <c r="BJ207" s="53" t="str">
        <f t="shared" si="138"/>
        <v/>
      </c>
      <c r="BK207" s="53" t="str">
        <f t="shared" si="139"/>
        <v/>
      </c>
    </row>
    <row r="208" spans="1:63">
      <c r="A208" s="53">
        <v>264</v>
      </c>
      <c r="B208" s="89" t="str">
        <f>IFERROR(VLOOKUP($A208,EntryList!$A$3:$N$645,2,FALSE),"")</f>
        <v>Jeanie De Villiers</v>
      </c>
      <c r="C208" s="74"/>
      <c r="D208" s="53">
        <f t="shared" si="105"/>
        <v>3</v>
      </c>
      <c r="E208" s="62"/>
      <c r="F208" s="62">
        <v>3.6525231481481482E-3</v>
      </c>
      <c r="G208" s="62">
        <v>2.0627777777777775E-3</v>
      </c>
      <c r="H208" s="62"/>
      <c r="I208" s="62">
        <v>4.5111574074074073E-3</v>
      </c>
      <c r="J208" s="62"/>
      <c r="K208" s="62"/>
      <c r="L208" s="62"/>
      <c r="M208" s="62">
        <v>1.0226458333333334E-2</v>
      </c>
      <c r="N208" s="62">
        <f t="shared" si="106"/>
        <v>1.0226458333333334E-2</v>
      </c>
      <c r="O208" s="53" t="str">
        <f t="shared" si="107"/>
        <v/>
      </c>
      <c r="P208" s="53">
        <f t="shared" si="108"/>
        <v>216</v>
      </c>
      <c r="Q208" s="53">
        <f t="shared" si="109"/>
        <v>204</v>
      </c>
      <c r="R208" s="53" t="str">
        <f t="shared" si="110"/>
        <v/>
      </c>
      <c r="S208" s="53">
        <f t="shared" si="111"/>
        <v>187</v>
      </c>
      <c r="T208" s="53" t="str">
        <f t="shared" si="112"/>
        <v/>
      </c>
      <c r="U208" s="53" t="str">
        <f t="shared" si="113"/>
        <v/>
      </c>
      <c r="V208" s="53" t="str">
        <f t="shared" si="114"/>
        <v/>
      </c>
      <c r="W208" s="53" t="str">
        <f t="shared" si="115"/>
        <v>DNS/DNF ()</v>
      </c>
      <c r="X208" s="53" t="str">
        <f t="shared" si="116"/>
        <v>00:05:15.6 (216)</v>
      </c>
      <c r="Y208" s="53" t="str">
        <f t="shared" si="117"/>
        <v>00:02:58.2 (204)</v>
      </c>
      <c r="Z208" s="53" t="str">
        <f t="shared" si="118"/>
        <v>DNS/DNF ()</v>
      </c>
      <c r="AA208" s="53" t="str">
        <f t="shared" si="119"/>
        <v>00:06:29.8 (187)</v>
      </c>
      <c r="AB208" s="53" t="str">
        <f t="shared" si="120"/>
        <v>DNS/DNF ()</v>
      </c>
      <c r="AC208" s="53" t="str">
        <f t="shared" si="121"/>
        <v>DNS/DNF ()</v>
      </c>
      <c r="AD208" s="53" t="str">
        <f t="shared" si="122"/>
        <v>DNS/DNF ()</v>
      </c>
      <c r="AE208" s="53">
        <v>0</v>
      </c>
      <c r="AF208" s="53">
        <v>0</v>
      </c>
      <c r="AG208" s="53">
        <v>33582733</v>
      </c>
      <c r="AH208" s="53">
        <v>33898311</v>
      </c>
      <c r="AI208" s="53">
        <v>36152668</v>
      </c>
      <c r="AJ208" s="53">
        <v>36330892</v>
      </c>
      <c r="AK208" s="53">
        <v>0</v>
      </c>
      <c r="AL208" s="53">
        <v>0</v>
      </c>
      <c r="AM208" s="53">
        <v>39468269</v>
      </c>
      <c r="AN208" s="53">
        <v>39858033</v>
      </c>
      <c r="AO208" s="53">
        <v>0</v>
      </c>
      <c r="AP208" s="53">
        <v>0</v>
      </c>
      <c r="AQ208" s="53">
        <v>0</v>
      </c>
      <c r="AR208" s="53">
        <v>0</v>
      </c>
      <c r="AS208" s="53">
        <v>0</v>
      </c>
      <c r="AT208" s="53">
        <v>0</v>
      </c>
      <c r="AU208" s="62" t="str">
        <f t="shared" si="123"/>
        <v>DNS/DNF</v>
      </c>
      <c r="AV208" s="62">
        <f t="shared" si="124"/>
        <v>3.6525231481481482E-3</v>
      </c>
      <c r="AW208" s="62">
        <f t="shared" si="125"/>
        <v>2.062777777777778E-3</v>
      </c>
      <c r="AX208" s="62" t="str">
        <f t="shared" si="126"/>
        <v>DNS/DNF</v>
      </c>
      <c r="AY208" s="62">
        <f t="shared" si="127"/>
        <v>4.5111574074074073E-3</v>
      </c>
      <c r="AZ208" s="62" t="str">
        <f t="shared" si="128"/>
        <v>DNS/DNF</v>
      </c>
      <c r="BA208" s="62" t="str">
        <f t="shared" si="129"/>
        <v>DNS/DNF</v>
      </c>
      <c r="BB208" s="62" t="str">
        <f t="shared" si="130"/>
        <v>DNS/DNF</v>
      </c>
      <c r="BC208" s="75">
        <f t="shared" si="131"/>
        <v>202</v>
      </c>
      <c r="BD208" s="53" t="str">
        <f t="shared" si="132"/>
        <v/>
      </c>
      <c r="BE208" s="53">
        <f t="shared" si="133"/>
        <v>299843</v>
      </c>
      <c r="BF208" s="53">
        <f t="shared" si="134"/>
        <v>176051.00000000003</v>
      </c>
      <c r="BG208" s="53" t="str">
        <f t="shared" si="135"/>
        <v/>
      </c>
      <c r="BH208" s="53">
        <f t="shared" si="136"/>
        <v>401223</v>
      </c>
      <c r="BI208" s="53" t="str">
        <f t="shared" si="137"/>
        <v/>
      </c>
      <c r="BJ208" s="53" t="str">
        <f t="shared" si="138"/>
        <v/>
      </c>
      <c r="BK208" s="53" t="str">
        <f t="shared" si="139"/>
        <v/>
      </c>
    </row>
    <row r="209" spans="1:63">
      <c r="A209" s="53">
        <v>29</v>
      </c>
      <c r="B209" s="89" t="str">
        <f>IFERROR(VLOOKUP($A209,EntryList!$A$3:$N$645,2,FALSE),"")</f>
        <v>Adeeb Said</v>
      </c>
      <c r="C209" s="74"/>
      <c r="D209" s="53">
        <f t="shared" si="105"/>
        <v>3</v>
      </c>
      <c r="E209" s="62"/>
      <c r="F209" s="62">
        <v>3.603483796296296E-3</v>
      </c>
      <c r="G209" s="62">
        <v>1.9991666666666669E-3</v>
      </c>
      <c r="H209" s="62"/>
      <c r="I209" s="62">
        <v>4.6437847222222219E-3</v>
      </c>
      <c r="J209" s="62"/>
      <c r="K209" s="62"/>
      <c r="L209" s="62"/>
      <c r="M209" s="62">
        <v>1.0246435185185185E-2</v>
      </c>
      <c r="N209" s="62">
        <f t="shared" si="106"/>
        <v>1.0246435185185185E-2</v>
      </c>
      <c r="O209" s="53" t="str">
        <f t="shared" si="107"/>
        <v/>
      </c>
      <c r="P209" s="53">
        <f t="shared" si="108"/>
        <v>211</v>
      </c>
      <c r="Q209" s="53">
        <f t="shared" si="109"/>
        <v>191</v>
      </c>
      <c r="R209" s="53" t="str">
        <f t="shared" si="110"/>
        <v/>
      </c>
      <c r="S209" s="53">
        <f t="shared" si="111"/>
        <v>202</v>
      </c>
      <c r="T209" s="53" t="str">
        <f t="shared" si="112"/>
        <v/>
      </c>
      <c r="U209" s="53" t="str">
        <f t="shared" si="113"/>
        <v/>
      </c>
      <c r="V209" s="53" t="str">
        <f t="shared" si="114"/>
        <v/>
      </c>
      <c r="W209" s="53" t="str">
        <f t="shared" si="115"/>
        <v>DNS/DNF ()</v>
      </c>
      <c r="X209" s="53" t="str">
        <f t="shared" si="116"/>
        <v>00:05:11.3 (211)</v>
      </c>
      <c r="Y209" s="53" t="str">
        <f t="shared" si="117"/>
        <v>00:02:52.7 (191)</v>
      </c>
      <c r="Z209" s="53" t="str">
        <f t="shared" si="118"/>
        <v>DNS/DNF ()</v>
      </c>
      <c r="AA209" s="53" t="str">
        <f t="shared" si="119"/>
        <v>00:06:41.2 (202)</v>
      </c>
      <c r="AB209" s="53" t="str">
        <f t="shared" si="120"/>
        <v>DNS/DNF ()</v>
      </c>
      <c r="AC209" s="53" t="str">
        <f t="shared" si="121"/>
        <v>DNS/DNF ()</v>
      </c>
      <c r="AD209" s="53" t="str">
        <f t="shared" si="122"/>
        <v>DNS/DNF ()</v>
      </c>
      <c r="AE209" s="53">
        <v>0</v>
      </c>
      <c r="AF209" s="53">
        <v>0</v>
      </c>
      <c r="AG209" s="53">
        <v>35637472</v>
      </c>
      <c r="AH209" s="53">
        <v>35948813</v>
      </c>
      <c r="AI209" s="53">
        <v>40226424</v>
      </c>
      <c r="AJ209" s="53">
        <v>40399152</v>
      </c>
      <c r="AK209" s="53">
        <v>0</v>
      </c>
      <c r="AL209" s="53">
        <v>0</v>
      </c>
      <c r="AM209" s="53">
        <v>44138652</v>
      </c>
      <c r="AN209" s="53">
        <v>44539875</v>
      </c>
      <c r="AO209" s="53">
        <v>0</v>
      </c>
      <c r="AP209" s="53">
        <v>0</v>
      </c>
      <c r="AQ209" s="53">
        <v>0</v>
      </c>
      <c r="AR209" s="53">
        <v>0</v>
      </c>
      <c r="AS209" s="53">
        <v>0</v>
      </c>
      <c r="AT209" s="53">
        <v>0</v>
      </c>
      <c r="AU209" s="62" t="str">
        <f t="shared" si="123"/>
        <v>DNS/DNF</v>
      </c>
      <c r="AV209" s="62">
        <f t="shared" si="124"/>
        <v>3.6034837962962965E-3</v>
      </c>
      <c r="AW209" s="62">
        <f t="shared" si="125"/>
        <v>1.9991666666666665E-3</v>
      </c>
      <c r="AX209" s="62" t="str">
        <f t="shared" si="126"/>
        <v>DNS/DNF</v>
      </c>
      <c r="AY209" s="62">
        <f t="shared" si="127"/>
        <v>4.6437847222222219E-3</v>
      </c>
      <c r="AZ209" s="62" t="str">
        <f t="shared" si="128"/>
        <v>DNS/DNF</v>
      </c>
      <c r="BA209" s="62" t="str">
        <f t="shared" si="129"/>
        <v>DNS/DNF</v>
      </c>
      <c r="BB209" s="62" t="str">
        <f t="shared" si="130"/>
        <v>DNS/DNF</v>
      </c>
      <c r="BC209" s="75">
        <f t="shared" si="131"/>
        <v>201</v>
      </c>
      <c r="BD209" s="53" t="str">
        <f t="shared" si="132"/>
        <v/>
      </c>
      <c r="BE209" s="53">
        <f t="shared" si="133"/>
        <v>298504</v>
      </c>
      <c r="BF209" s="53">
        <f t="shared" si="134"/>
        <v>175706</v>
      </c>
      <c r="BG209" s="53" t="str">
        <f t="shared" si="135"/>
        <v/>
      </c>
      <c r="BH209" s="53">
        <f t="shared" si="136"/>
        <v>400645</v>
      </c>
      <c r="BI209" s="53" t="str">
        <f t="shared" si="137"/>
        <v/>
      </c>
      <c r="BJ209" s="53" t="str">
        <f t="shared" si="138"/>
        <v/>
      </c>
      <c r="BK209" s="53" t="str">
        <f t="shared" si="139"/>
        <v/>
      </c>
    </row>
    <row r="210" spans="1:63">
      <c r="A210" s="53">
        <v>1</v>
      </c>
      <c r="B210" s="89" t="str">
        <f>IFERROR(VLOOKUP($A210,EntryList!$A$3:$N$645,2,FALSE),"")</f>
        <v>Warren Lawrence</v>
      </c>
      <c r="C210" s="74"/>
      <c r="D210" s="53">
        <f t="shared" si="105"/>
        <v>3</v>
      </c>
      <c r="E210" s="62"/>
      <c r="F210" s="62">
        <v>3.5065393518518523E-3</v>
      </c>
      <c r="G210" s="62">
        <v>2.0320370370370371E-3</v>
      </c>
      <c r="H210" s="62"/>
      <c r="I210" s="62">
        <v>4.7236458333333332E-3</v>
      </c>
      <c r="J210" s="62"/>
      <c r="K210" s="62"/>
      <c r="L210" s="62"/>
      <c r="M210" s="62">
        <v>1.0262222222222223E-2</v>
      </c>
      <c r="N210" s="62">
        <f t="shared" si="106"/>
        <v>1.0262222222222221E-2</v>
      </c>
      <c r="O210" s="53" t="str">
        <f t="shared" si="107"/>
        <v/>
      </c>
      <c r="P210" s="53">
        <f t="shared" si="108"/>
        <v>204</v>
      </c>
      <c r="Q210" s="53">
        <f t="shared" si="109"/>
        <v>200</v>
      </c>
      <c r="R210" s="53" t="str">
        <f t="shared" si="110"/>
        <v/>
      </c>
      <c r="S210" s="53">
        <f t="shared" si="111"/>
        <v>209</v>
      </c>
      <c r="T210" s="53" t="str">
        <f t="shared" si="112"/>
        <v/>
      </c>
      <c r="U210" s="53" t="str">
        <f t="shared" si="113"/>
        <v/>
      </c>
      <c r="V210" s="53" t="str">
        <f t="shared" si="114"/>
        <v/>
      </c>
      <c r="W210" s="53" t="str">
        <f t="shared" si="115"/>
        <v>DNS/DNF ()</v>
      </c>
      <c r="X210" s="53" t="str">
        <f t="shared" si="116"/>
        <v>00:05:03.0 (204)</v>
      </c>
      <c r="Y210" s="53" t="str">
        <f t="shared" si="117"/>
        <v>00:02:55.6 (200)</v>
      </c>
      <c r="Z210" s="53" t="str">
        <f t="shared" si="118"/>
        <v>DNS/DNF ()</v>
      </c>
      <c r="AA210" s="53" t="str">
        <f t="shared" si="119"/>
        <v>00:06:48.1 (209)</v>
      </c>
      <c r="AB210" s="53" t="str">
        <f t="shared" si="120"/>
        <v>DNS/DNF ()</v>
      </c>
      <c r="AC210" s="53" t="str">
        <f t="shared" si="121"/>
        <v>DNS/DNF ()</v>
      </c>
      <c r="AD210" s="53" t="str">
        <f t="shared" si="122"/>
        <v>DNS/DNF ()</v>
      </c>
      <c r="AE210" s="53">
        <v>0</v>
      </c>
      <c r="AF210" s="53">
        <v>0</v>
      </c>
      <c r="AG210" s="53">
        <v>33007562</v>
      </c>
      <c r="AH210" s="53">
        <v>33310527</v>
      </c>
      <c r="AI210" s="53">
        <v>35409787</v>
      </c>
      <c r="AJ210" s="53">
        <v>35585355</v>
      </c>
      <c r="AK210" s="53">
        <v>0</v>
      </c>
      <c r="AL210" s="53">
        <v>0</v>
      </c>
      <c r="AM210" s="53">
        <v>38397099</v>
      </c>
      <c r="AN210" s="53">
        <v>38805222</v>
      </c>
      <c r="AO210" s="53">
        <v>0</v>
      </c>
      <c r="AP210" s="53">
        <v>0</v>
      </c>
      <c r="AQ210" s="53">
        <v>0</v>
      </c>
      <c r="AR210" s="53">
        <v>0</v>
      </c>
      <c r="AS210" s="53">
        <v>0</v>
      </c>
      <c r="AT210" s="53">
        <v>0</v>
      </c>
      <c r="AU210" s="62" t="str">
        <f t="shared" si="123"/>
        <v>DNS/DNF</v>
      </c>
      <c r="AV210" s="62">
        <f t="shared" si="124"/>
        <v>3.5065393518518518E-3</v>
      </c>
      <c r="AW210" s="62">
        <f t="shared" si="125"/>
        <v>2.0320370370370371E-3</v>
      </c>
      <c r="AX210" s="62" t="str">
        <f t="shared" si="126"/>
        <v>DNS/DNF</v>
      </c>
      <c r="AY210" s="62">
        <f t="shared" si="127"/>
        <v>4.7236458333333332E-3</v>
      </c>
      <c r="AZ210" s="62" t="str">
        <f t="shared" si="128"/>
        <v>DNS/DNF</v>
      </c>
      <c r="BA210" s="62" t="str">
        <f t="shared" si="129"/>
        <v>DNS/DNF</v>
      </c>
      <c r="BB210" s="62" t="str">
        <f t="shared" si="130"/>
        <v>DNS/DNF</v>
      </c>
      <c r="BC210" s="75">
        <f t="shared" si="131"/>
        <v>204</v>
      </c>
      <c r="BD210" s="53" t="str">
        <f t="shared" si="132"/>
        <v/>
      </c>
      <c r="BE210" s="53">
        <f t="shared" si="133"/>
        <v>302965</v>
      </c>
      <c r="BF210" s="53">
        <f t="shared" si="134"/>
        <v>178224.00000000003</v>
      </c>
      <c r="BG210" s="53" t="str">
        <f t="shared" si="135"/>
        <v/>
      </c>
      <c r="BH210" s="53">
        <f t="shared" si="136"/>
        <v>402587</v>
      </c>
      <c r="BI210" s="53" t="str">
        <f t="shared" si="137"/>
        <v/>
      </c>
      <c r="BJ210" s="53" t="str">
        <f t="shared" si="138"/>
        <v/>
      </c>
      <c r="BK210" s="53" t="str">
        <f t="shared" si="139"/>
        <v/>
      </c>
    </row>
    <row r="211" spans="1:63">
      <c r="A211" s="53">
        <v>176</v>
      </c>
      <c r="B211" s="89" t="str">
        <f>IFERROR(VLOOKUP($A211,EntryList!$A$3:$N$645,2,FALSE),"")</f>
        <v>Mike Fairbrother</v>
      </c>
      <c r="C211" s="74"/>
      <c r="D211" s="53">
        <f t="shared" si="105"/>
        <v>3</v>
      </c>
      <c r="E211" s="62"/>
      <c r="F211" s="62">
        <v>3.5592361111111115E-3</v>
      </c>
      <c r="G211" s="62">
        <v>2.2089699074074073E-3</v>
      </c>
      <c r="H211" s="62"/>
      <c r="I211" s="62">
        <v>4.5450115740740737E-3</v>
      </c>
      <c r="J211" s="62"/>
      <c r="K211" s="62"/>
      <c r="L211" s="62"/>
      <c r="M211" s="62">
        <v>1.0313217592592593E-2</v>
      </c>
      <c r="N211" s="62">
        <f t="shared" si="106"/>
        <v>1.0313217592592593E-2</v>
      </c>
      <c r="O211" s="53" t="str">
        <f t="shared" si="107"/>
        <v/>
      </c>
      <c r="P211" s="53">
        <f t="shared" si="108"/>
        <v>209</v>
      </c>
      <c r="Q211" s="53">
        <f t="shared" si="109"/>
        <v>216</v>
      </c>
      <c r="R211" s="53" t="str">
        <f t="shared" si="110"/>
        <v/>
      </c>
      <c r="S211" s="53">
        <f t="shared" si="111"/>
        <v>192</v>
      </c>
      <c r="T211" s="53" t="str">
        <f t="shared" si="112"/>
        <v/>
      </c>
      <c r="U211" s="53" t="str">
        <f t="shared" si="113"/>
        <v/>
      </c>
      <c r="V211" s="53" t="str">
        <f t="shared" si="114"/>
        <v/>
      </c>
      <c r="W211" s="53" t="str">
        <f t="shared" si="115"/>
        <v>DNS/DNF ()</v>
      </c>
      <c r="X211" s="53" t="str">
        <f t="shared" si="116"/>
        <v>00:05:07.5 (209)</v>
      </c>
      <c r="Y211" s="53" t="str">
        <f t="shared" si="117"/>
        <v>00:03:10.9 (216)</v>
      </c>
      <c r="Z211" s="53" t="str">
        <f t="shared" si="118"/>
        <v>DNS/DNF ()</v>
      </c>
      <c r="AA211" s="53" t="str">
        <f t="shared" si="119"/>
        <v>00:06:32.7 (192)</v>
      </c>
      <c r="AB211" s="53" t="str">
        <f t="shared" si="120"/>
        <v>DNS/DNF ()</v>
      </c>
      <c r="AC211" s="53" t="str">
        <f t="shared" si="121"/>
        <v>DNS/DNF ()</v>
      </c>
      <c r="AD211" s="53" t="str">
        <f t="shared" si="122"/>
        <v>DNS/DNF ()</v>
      </c>
      <c r="AE211" s="53">
        <v>0</v>
      </c>
      <c r="AF211" s="53">
        <v>0</v>
      </c>
      <c r="AG211" s="53">
        <v>37465420</v>
      </c>
      <c r="AH211" s="53">
        <v>37772938</v>
      </c>
      <c r="AI211" s="53">
        <v>33057757</v>
      </c>
      <c r="AJ211" s="53">
        <v>33248612</v>
      </c>
      <c r="AK211" s="53">
        <v>0</v>
      </c>
      <c r="AL211" s="53">
        <v>0</v>
      </c>
      <c r="AM211" s="53">
        <v>40828566</v>
      </c>
      <c r="AN211" s="53">
        <v>41221255</v>
      </c>
      <c r="AO211" s="53">
        <v>0</v>
      </c>
      <c r="AP211" s="53">
        <v>0</v>
      </c>
      <c r="AQ211" s="53">
        <v>0</v>
      </c>
      <c r="AR211" s="53">
        <v>0</v>
      </c>
      <c r="AS211" s="53">
        <v>0</v>
      </c>
      <c r="AT211" s="53">
        <v>0</v>
      </c>
      <c r="AU211" s="62" t="str">
        <f t="shared" si="123"/>
        <v>DNS/DNF</v>
      </c>
      <c r="AV211" s="62">
        <f t="shared" si="124"/>
        <v>3.5592361111111111E-3</v>
      </c>
      <c r="AW211" s="62">
        <f t="shared" si="125"/>
        <v>2.2089699074074073E-3</v>
      </c>
      <c r="AX211" s="62" t="str">
        <f t="shared" si="126"/>
        <v>DNS/DNF</v>
      </c>
      <c r="AY211" s="62">
        <f t="shared" si="127"/>
        <v>4.5450115740740737E-3</v>
      </c>
      <c r="AZ211" s="62" t="str">
        <f t="shared" si="128"/>
        <v>DNS/DNF</v>
      </c>
      <c r="BA211" s="62" t="str">
        <f t="shared" si="129"/>
        <v>DNS/DNF</v>
      </c>
      <c r="BB211" s="62" t="str">
        <f t="shared" si="130"/>
        <v>DNS/DNF</v>
      </c>
      <c r="BC211" s="75">
        <f t="shared" si="131"/>
        <v>206</v>
      </c>
      <c r="BD211" s="53" t="str">
        <f t="shared" si="132"/>
        <v/>
      </c>
      <c r="BE211" s="53">
        <f t="shared" si="133"/>
        <v>304260</v>
      </c>
      <c r="BF211" s="53">
        <f t="shared" si="134"/>
        <v>179437.00000000003</v>
      </c>
      <c r="BG211" s="53" t="str">
        <f t="shared" si="135"/>
        <v/>
      </c>
      <c r="BH211" s="53">
        <f t="shared" si="136"/>
        <v>404573.99999999994</v>
      </c>
      <c r="BI211" s="53" t="str">
        <f t="shared" si="137"/>
        <v/>
      </c>
      <c r="BJ211" s="53" t="str">
        <f t="shared" si="138"/>
        <v/>
      </c>
      <c r="BK211" s="53" t="str">
        <f t="shared" si="139"/>
        <v/>
      </c>
    </row>
    <row r="212" spans="1:63">
      <c r="A212" s="53">
        <v>221</v>
      </c>
      <c r="B212" s="89" t="str">
        <f>IFERROR(VLOOKUP($A212,EntryList!$A$3:$N$645,2,FALSE),"")</f>
        <v>Chris Groeneveld</v>
      </c>
      <c r="C212" s="74"/>
      <c r="D212" s="53">
        <f t="shared" si="105"/>
        <v>3</v>
      </c>
      <c r="E212" s="62"/>
      <c r="F212" s="62">
        <v>3.731909722222222E-3</v>
      </c>
      <c r="G212" s="62">
        <v>2.0200925925925929E-3</v>
      </c>
      <c r="H212" s="62"/>
      <c r="I212" s="62">
        <v>4.5706828703703699E-3</v>
      </c>
      <c r="J212" s="62"/>
      <c r="K212" s="62"/>
      <c r="L212" s="62"/>
      <c r="M212" s="62">
        <v>1.0322685185185185E-2</v>
      </c>
      <c r="N212" s="62">
        <f t="shared" si="106"/>
        <v>1.0322685185185185E-2</v>
      </c>
      <c r="O212" s="53" t="str">
        <f t="shared" si="107"/>
        <v/>
      </c>
      <c r="P212" s="53">
        <f t="shared" si="108"/>
        <v>220</v>
      </c>
      <c r="Q212" s="53">
        <f t="shared" si="109"/>
        <v>196</v>
      </c>
      <c r="R212" s="53" t="str">
        <f t="shared" si="110"/>
        <v/>
      </c>
      <c r="S212" s="53">
        <f t="shared" si="111"/>
        <v>195</v>
      </c>
      <c r="T212" s="53" t="str">
        <f t="shared" si="112"/>
        <v/>
      </c>
      <c r="U212" s="53" t="str">
        <f t="shared" si="113"/>
        <v/>
      </c>
      <c r="V212" s="53" t="str">
        <f t="shared" si="114"/>
        <v/>
      </c>
      <c r="W212" s="53" t="str">
        <f t="shared" si="115"/>
        <v>DNS/DNF ()</v>
      </c>
      <c r="X212" s="53" t="str">
        <f t="shared" si="116"/>
        <v>00:05:22.4 (220)</v>
      </c>
      <c r="Y212" s="53" t="str">
        <f t="shared" si="117"/>
        <v>00:02:54.5 (196)</v>
      </c>
      <c r="Z212" s="53" t="str">
        <f t="shared" si="118"/>
        <v>DNS/DNF ()</v>
      </c>
      <c r="AA212" s="53" t="str">
        <f t="shared" si="119"/>
        <v>00:06:34.9 (195)</v>
      </c>
      <c r="AB212" s="53" t="str">
        <f t="shared" si="120"/>
        <v>DNS/DNF ()</v>
      </c>
      <c r="AC212" s="53" t="str">
        <f t="shared" si="121"/>
        <v>DNS/DNF ()</v>
      </c>
      <c r="AD212" s="53" t="str">
        <f t="shared" si="122"/>
        <v>DNS/DNF ()</v>
      </c>
      <c r="AE212" s="53">
        <v>0</v>
      </c>
      <c r="AF212" s="53">
        <v>0</v>
      </c>
      <c r="AG212" s="53">
        <v>34155494</v>
      </c>
      <c r="AH212" s="53">
        <v>34477931</v>
      </c>
      <c r="AI212" s="53">
        <v>39079307</v>
      </c>
      <c r="AJ212" s="53">
        <v>39253843</v>
      </c>
      <c r="AK212" s="53">
        <v>0</v>
      </c>
      <c r="AL212" s="53">
        <v>0</v>
      </c>
      <c r="AM212" s="53">
        <v>42672674</v>
      </c>
      <c r="AN212" s="53">
        <v>43067581</v>
      </c>
      <c r="AO212" s="53">
        <v>0</v>
      </c>
      <c r="AP212" s="53">
        <v>0</v>
      </c>
      <c r="AQ212" s="53">
        <v>0</v>
      </c>
      <c r="AR212" s="53">
        <v>0</v>
      </c>
      <c r="AS212" s="53">
        <v>0</v>
      </c>
      <c r="AT212" s="53">
        <v>0</v>
      </c>
      <c r="AU212" s="62" t="str">
        <f t="shared" si="123"/>
        <v>DNS/DNF</v>
      </c>
      <c r="AV212" s="62">
        <f t="shared" si="124"/>
        <v>3.7319097222222224E-3</v>
      </c>
      <c r="AW212" s="62">
        <f t="shared" si="125"/>
        <v>2.0200925925925924E-3</v>
      </c>
      <c r="AX212" s="62" t="str">
        <f t="shared" si="126"/>
        <v>DNS/DNF</v>
      </c>
      <c r="AY212" s="62">
        <f t="shared" si="127"/>
        <v>4.5706828703703708E-3</v>
      </c>
      <c r="AZ212" s="62" t="str">
        <f t="shared" si="128"/>
        <v>DNS/DNF</v>
      </c>
      <c r="BA212" s="62" t="str">
        <f t="shared" si="129"/>
        <v>DNS/DNF</v>
      </c>
      <c r="BB212" s="62" t="str">
        <f t="shared" si="130"/>
        <v>DNS/DNF</v>
      </c>
      <c r="BC212" s="75">
        <f t="shared" si="131"/>
        <v>204</v>
      </c>
      <c r="BD212" s="53" t="str">
        <f t="shared" si="132"/>
        <v/>
      </c>
      <c r="BE212" s="53">
        <f t="shared" si="133"/>
        <v>302965</v>
      </c>
      <c r="BF212" s="53">
        <f t="shared" si="134"/>
        <v>178224.00000000003</v>
      </c>
      <c r="BG212" s="53" t="str">
        <f t="shared" si="135"/>
        <v/>
      </c>
      <c r="BH212" s="53">
        <f t="shared" si="136"/>
        <v>402587</v>
      </c>
      <c r="BI212" s="53" t="str">
        <f t="shared" si="137"/>
        <v/>
      </c>
      <c r="BJ212" s="53" t="str">
        <f t="shared" si="138"/>
        <v/>
      </c>
      <c r="BK212" s="53" t="str">
        <f t="shared" si="139"/>
        <v/>
      </c>
    </row>
    <row r="213" spans="1:63">
      <c r="A213" s="53">
        <v>222</v>
      </c>
      <c r="B213" s="89" t="str">
        <f>IFERROR(VLOOKUP($A213,EntryList!$A$3:$N$645,2,FALSE),"")</f>
        <v>Shandri Erasmus</v>
      </c>
      <c r="C213" s="74"/>
      <c r="D213" s="53">
        <f t="shared" si="105"/>
        <v>3</v>
      </c>
      <c r="E213" s="62"/>
      <c r="F213" s="62">
        <v>3.5589004629629629E-3</v>
      </c>
      <c r="G213" s="62">
        <v>2.267465277777778E-3</v>
      </c>
      <c r="H213" s="62"/>
      <c r="I213" s="62">
        <v>4.5254629629629629E-3</v>
      </c>
      <c r="J213" s="62"/>
      <c r="K213" s="62"/>
      <c r="L213" s="62"/>
      <c r="M213" s="62">
        <v>1.0351828703703703E-2</v>
      </c>
      <c r="N213" s="62">
        <f t="shared" si="106"/>
        <v>1.0351828703703703E-2</v>
      </c>
      <c r="O213" s="53" t="str">
        <f t="shared" si="107"/>
        <v/>
      </c>
      <c r="P213" s="53">
        <f t="shared" si="108"/>
        <v>208</v>
      </c>
      <c r="Q213" s="53">
        <f t="shared" si="109"/>
        <v>222</v>
      </c>
      <c r="R213" s="53" t="str">
        <f t="shared" si="110"/>
        <v/>
      </c>
      <c r="S213" s="53">
        <f t="shared" si="111"/>
        <v>188</v>
      </c>
      <c r="T213" s="53" t="str">
        <f t="shared" si="112"/>
        <v/>
      </c>
      <c r="U213" s="53" t="str">
        <f t="shared" si="113"/>
        <v/>
      </c>
      <c r="V213" s="53" t="str">
        <f t="shared" si="114"/>
        <v/>
      </c>
      <c r="W213" s="53" t="str">
        <f t="shared" si="115"/>
        <v>DNS/DNF ()</v>
      </c>
      <c r="X213" s="53" t="str">
        <f t="shared" si="116"/>
        <v>00:05:07.5 (208)</v>
      </c>
      <c r="Y213" s="53" t="str">
        <f t="shared" si="117"/>
        <v>00:03:15.9 (222)</v>
      </c>
      <c r="Z213" s="53" t="str">
        <f t="shared" si="118"/>
        <v>DNS/DNF ()</v>
      </c>
      <c r="AA213" s="53" t="str">
        <f t="shared" si="119"/>
        <v>00:06:31.0 (188)</v>
      </c>
      <c r="AB213" s="53" t="str">
        <f t="shared" si="120"/>
        <v>DNS/DNF ()</v>
      </c>
      <c r="AC213" s="53" t="str">
        <f t="shared" si="121"/>
        <v>DNS/DNF ()</v>
      </c>
      <c r="AD213" s="53" t="str">
        <f t="shared" si="122"/>
        <v>DNS/DNF ()</v>
      </c>
      <c r="AE213" s="53">
        <v>0</v>
      </c>
      <c r="AF213" s="53">
        <v>0</v>
      </c>
      <c r="AG213" s="53">
        <v>31653791</v>
      </c>
      <c r="AH213" s="53">
        <v>31961280</v>
      </c>
      <c r="AI213" s="53">
        <v>34064695</v>
      </c>
      <c r="AJ213" s="53">
        <v>34260604</v>
      </c>
      <c r="AK213" s="53">
        <v>0</v>
      </c>
      <c r="AL213" s="53">
        <v>0</v>
      </c>
      <c r="AM213" s="53">
        <v>36767816</v>
      </c>
      <c r="AN213" s="53">
        <v>37158816</v>
      </c>
      <c r="AO213" s="53">
        <v>0</v>
      </c>
      <c r="AP213" s="53">
        <v>0</v>
      </c>
      <c r="AQ213" s="53">
        <v>0</v>
      </c>
      <c r="AR213" s="53">
        <v>0</v>
      </c>
      <c r="AS213" s="53">
        <v>0</v>
      </c>
      <c r="AT213" s="53">
        <v>0</v>
      </c>
      <c r="AU213" s="62" t="str">
        <f t="shared" si="123"/>
        <v>DNS/DNF</v>
      </c>
      <c r="AV213" s="62">
        <f t="shared" si="124"/>
        <v>3.5589004629629629E-3</v>
      </c>
      <c r="AW213" s="62">
        <f t="shared" si="125"/>
        <v>2.267465277777778E-3</v>
      </c>
      <c r="AX213" s="62" t="str">
        <f t="shared" si="126"/>
        <v>DNS/DNF</v>
      </c>
      <c r="AY213" s="62">
        <f t="shared" si="127"/>
        <v>4.5254629629629629E-3</v>
      </c>
      <c r="AZ213" s="62" t="str">
        <f t="shared" si="128"/>
        <v>DNS/DNF</v>
      </c>
      <c r="BA213" s="62" t="str">
        <f t="shared" si="129"/>
        <v>DNS/DNF</v>
      </c>
      <c r="BB213" s="62" t="str">
        <f t="shared" si="130"/>
        <v>DNS/DNF</v>
      </c>
      <c r="BC213" s="75">
        <f t="shared" si="131"/>
        <v>206</v>
      </c>
      <c r="BD213" s="53" t="str">
        <f t="shared" si="132"/>
        <v/>
      </c>
      <c r="BE213" s="53">
        <f t="shared" si="133"/>
        <v>304260</v>
      </c>
      <c r="BF213" s="53">
        <f t="shared" si="134"/>
        <v>179437.00000000003</v>
      </c>
      <c r="BG213" s="53" t="str">
        <f t="shared" si="135"/>
        <v/>
      </c>
      <c r="BH213" s="53">
        <f t="shared" si="136"/>
        <v>404573.99999999994</v>
      </c>
      <c r="BI213" s="53" t="str">
        <f t="shared" si="137"/>
        <v/>
      </c>
      <c r="BJ213" s="53" t="str">
        <f t="shared" si="138"/>
        <v/>
      </c>
      <c r="BK213" s="53" t="str">
        <f t="shared" si="139"/>
        <v/>
      </c>
    </row>
    <row r="214" spans="1:63">
      <c r="A214" s="53">
        <v>120</v>
      </c>
      <c r="B214" s="89" t="str">
        <f>IFERROR(VLOOKUP($A214,EntryList!$A$3:$N$645,2,FALSE),"")</f>
        <v>Gregg Blomeyer</v>
      </c>
      <c r="C214" s="74"/>
      <c r="D214" s="53">
        <f t="shared" si="105"/>
        <v>3</v>
      </c>
      <c r="E214" s="62"/>
      <c r="F214" s="62">
        <v>3.421412037037037E-3</v>
      </c>
      <c r="G214" s="62">
        <v>2.0737731481481479E-3</v>
      </c>
      <c r="H214" s="62"/>
      <c r="I214" s="62">
        <v>4.8692013888888891E-3</v>
      </c>
      <c r="J214" s="62"/>
      <c r="K214" s="62"/>
      <c r="L214" s="62"/>
      <c r="M214" s="62">
        <v>1.0364386574074074E-2</v>
      </c>
      <c r="N214" s="62">
        <f t="shared" si="106"/>
        <v>1.0364386574074073E-2</v>
      </c>
      <c r="O214" s="53" t="str">
        <f t="shared" si="107"/>
        <v/>
      </c>
      <c r="P214" s="53">
        <f t="shared" si="108"/>
        <v>196</v>
      </c>
      <c r="Q214" s="53">
        <f t="shared" si="109"/>
        <v>205</v>
      </c>
      <c r="R214" s="53" t="str">
        <f t="shared" si="110"/>
        <v/>
      </c>
      <c r="S214" s="53">
        <f t="shared" si="111"/>
        <v>216</v>
      </c>
      <c r="T214" s="53" t="str">
        <f t="shared" si="112"/>
        <v/>
      </c>
      <c r="U214" s="53" t="str">
        <f t="shared" si="113"/>
        <v/>
      </c>
      <c r="V214" s="53" t="str">
        <f t="shared" si="114"/>
        <v/>
      </c>
      <c r="W214" s="53" t="str">
        <f t="shared" si="115"/>
        <v>DNS/DNF ()</v>
      </c>
      <c r="X214" s="53" t="str">
        <f t="shared" si="116"/>
        <v>00:04:55.6 (196)</v>
      </c>
      <c r="Y214" s="53" t="str">
        <f t="shared" si="117"/>
        <v>00:02:59.2 (205)</v>
      </c>
      <c r="Z214" s="53" t="str">
        <f t="shared" si="118"/>
        <v>DNS/DNF ()</v>
      </c>
      <c r="AA214" s="53" t="str">
        <f t="shared" si="119"/>
        <v>00:07:00.7 (216)</v>
      </c>
      <c r="AB214" s="53" t="str">
        <f t="shared" si="120"/>
        <v>DNS/DNF ()</v>
      </c>
      <c r="AC214" s="53" t="str">
        <f t="shared" si="121"/>
        <v>DNS/DNF ()</v>
      </c>
      <c r="AD214" s="53" t="str">
        <f t="shared" si="122"/>
        <v>DNS/DNF ()</v>
      </c>
      <c r="AE214" s="53">
        <v>0</v>
      </c>
      <c r="AF214" s="53">
        <v>0</v>
      </c>
      <c r="AG214" s="53">
        <v>38016533</v>
      </c>
      <c r="AH214" s="53">
        <v>38312143</v>
      </c>
      <c r="AI214" s="53">
        <v>32964876</v>
      </c>
      <c r="AJ214" s="53">
        <v>33144050</v>
      </c>
      <c r="AK214" s="53">
        <v>0</v>
      </c>
      <c r="AL214" s="53">
        <v>0</v>
      </c>
      <c r="AM214" s="53">
        <v>44047976</v>
      </c>
      <c r="AN214" s="53">
        <v>44468675</v>
      </c>
      <c r="AO214" s="53">
        <v>0</v>
      </c>
      <c r="AP214" s="53">
        <v>0</v>
      </c>
      <c r="AQ214" s="53">
        <v>0</v>
      </c>
      <c r="AR214" s="53">
        <v>0</v>
      </c>
      <c r="AS214" s="53">
        <v>0</v>
      </c>
      <c r="AT214" s="53">
        <v>0</v>
      </c>
      <c r="AU214" s="62" t="str">
        <f t="shared" si="123"/>
        <v>DNS/DNF</v>
      </c>
      <c r="AV214" s="62">
        <f t="shared" si="124"/>
        <v>3.421412037037037E-3</v>
      </c>
      <c r="AW214" s="62">
        <f t="shared" si="125"/>
        <v>2.0737731481481479E-3</v>
      </c>
      <c r="AX214" s="62" t="str">
        <f t="shared" si="126"/>
        <v>DNS/DNF</v>
      </c>
      <c r="AY214" s="62">
        <f t="shared" si="127"/>
        <v>4.8692013888888891E-3</v>
      </c>
      <c r="AZ214" s="62" t="str">
        <f t="shared" si="128"/>
        <v>DNS/DNF</v>
      </c>
      <c r="BA214" s="62" t="str">
        <f t="shared" si="129"/>
        <v>DNS/DNF</v>
      </c>
      <c r="BB214" s="62" t="str">
        <f t="shared" si="130"/>
        <v>DNS/DNF</v>
      </c>
      <c r="BC214" s="75">
        <f t="shared" si="131"/>
        <v>206</v>
      </c>
      <c r="BD214" s="53" t="str">
        <f t="shared" si="132"/>
        <v/>
      </c>
      <c r="BE214" s="53">
        <f t="shared" si="133"/>
        <v>304260</v>
      </c>
      <c r="BF214" s="53">
        <f t="shared" si="134"/>
        <v>179437.00000000003</v>
      </c>
      <c r="BG214" s="53" t="str">
        <f t="shared" si="135"/>
        <v/>
      </c>
      <c r="BH214" s="53">
        <f t="shared" si="136"/>
        <v>404573.99999999994</v>
      </c>
      <c r="BI214" s="53" t="str">
        <f t="shared" si="137"/>
        <v/>
      </c>
      <c r="BJ214" s="53" t="str">
        <f t="shared" si="138"/>
        <v/>
      </c>
      <c r="BK214" s="53" t="str">
        <f t="shared" si="139"/>
        <v/>
      </c>
    </row>
    <row r="215" spans="1:63">
      <c r="A215" s="53">
        <v>93</v>
      </c>
      <c r="B215" s="89" t="str">
        <f>IFERROR(VLOOKUP($A215,EntryList!$A$3:$N$645,2,FALSE),"")</f>
        <v>Michael Morgan</v>
      </c>
      <c r="C215" s="74"/>
      <c r="D215" s="53">
        <f t="shared" si="105"/>
        <v>3</v>
      </c>
      <c r="E215" s="62"/>
      <c r="F215" s="62">
        <v>3.6300925925925927E-3</v>
      </c>
      <c r="G215" s="62">
        <v>2.103449074074074E-3</v>
      </c>
      <c r="H215" s="62"/>
      <c r="I215" s="62">
        <v>4.7101041666666671E-3</v>
      </c>
      <c r="J215" s="62"/>
      <c r="K215" s="62"/>
      <c r="L215" s="62"/>
      <c r="M215" s="62">
        <v>1.0443645833333334E-2</v>
      </c>
      <c r="N215" s="62">
        <f t="shared" si="106"/>
        <v>1.0443645833333333E-2</v>
      </c>
      <c r="O215" s="53" t="str">
        <f t="shared" si="107"/>
        <v/>
      </c>
      <c r="P215" s="53">
        <f t="shared" si="108"/>
        <v>214</v>
      </c>
      <c r="Q215" s="53">
        <f t="shared" si="109"/>
        <v>209</v>
      </c>
      <c r="R215" s="53" t="str">
        <f t="shared" si="110"/>
        <v/>
      </c>
      <c r="S215" s="53">
        <f t="shared" si="111"/>
        <v>208</v>
      </c>
      <c r="T215" s="53" t="str">
        <f t="shared" si="112"/>
        <v/>
      </c>
      <c r="U215" s="53" t="str">
        <f t="shared" si="113"/>
        <v/>
      </c>
      <c r="V215" s="53" t="str">
        <f t="shared" si="114"/>
        <v/>
      </c>
      <c r="W215" s="53" t="str">
        <f t="shared" si="115"/>
        <v>DNS/DNF ()</v>
      </c>
      <c r="X215" s="53" t="str">
        <f t="shared" si="116"/>
        <v>00:05:13.6 (214)</v>
      </c>
      <c r="Y215" s="53" t="str">
        <f t="shared" si="117"/>
        <v>00:03:01.7 (209)</v>
      </c>
      <c r="Z215" s="53" t="str">
        <f t="shared" si="118"/>
        <v>DNS/DNF ()</v>
      </c>
      <c r="AA215" s="53" t="str">
        <f t="shared" si="119"/>
        <v>00:06:47.0 (208)</v>
      </c>
      <c r="AB215" s="53" t="str">
        <f t="shared" si="120"/>
        <v>DNS/DNF ()</v>
      </c>
      <c r="AC215" s="53" t="str">
        <f t="shared" si="121"/>
        <v>DNS/DNF ()</v>
      </c>
      <c r="AD215" s="53" t="str">
        <f t="shared" si="122"/>
        <v>DNS/DNF ()</v>
      </c>
      <c r="AE215" s="53">
        <v>0</v>
      </c>
      <c r="AF215" s="53">
        <v>0</v>
      </c>
      <c r="AG215" s="53">
        <v>33791045</v>
      </c>
      <c r="AH215" s="53">
        <v>34104685</v>
      </c>
      <c r="AI215" s="53">
        <v>37210315</v>
      </c>
      <c r="AJ215" s="53">
        <v>37392053</v>
      </c>
      <c r="AK215" s="53">
        <v>0</v>
      </c>
      <c r="AL215" s="53">
        <v>0</v>
      </c>
      <c r="AM215" s="53">
        <v>42017106</v>
      </c>
      <c r="AN215" s="53">
        <v>42424059</v>
      </c>
      <c r="AO215" s="53">
        <v>0</v>
      </c>
      <c r="AP215" s="53">
        <v>0</v>
      </c>
      <c r="AQ215" s="53">
        <v>0</v>
      </c>
      <c r="AR215" s="53">
        <v>0</v>
      </c>
      <c r="AS215" s="53">
        <v>0</v>
      </c>
      <c r="AT215" s="53">
        <v>0</v>
      </c>
      <c r="AU215" s="62" t="str">
        <f t="shared" si="123"/>
        <v>DNS/DNF</v>
      </c>
      <c r="AV215" s="62">
        <f t="shared" si="124"/>
        <v>3.6300925925925927E-3</v>
      </c>
      <c r="AW215" s="62">
        <f t="shared" si="125"/>
        <v>2.103449074074074E-3</v>
      </c>
      <c r="AX215" s="62" t="str">
        <f t="shared" si="126"/>
        <v>DNS/DNF</v>
      </c>
      <c r="AY215" s="62">
        <f t="shared" si="127"/>
        <v>4.7101041666666663E-3</v>
      </c>
      <c r="AZ215" s="62" t="str">
        <f t="shared" si="128"/>
        <v>DNS/DNF</v>
      </c>
      <c r="BA215" s="62" t="str">
        <f t="shared" si="129"/>
        <v>DNS/DNF</v>
      </c>
      <c r="BB215" s="62" t="str">
        <f t="shared" si="130"/>
        <v>DNS/DNF</v>
      </c>
      <c r="BC215" s="75">
        <f t="shared" si="131"/>
        <v>210</v>
      </c>
      <c r="BD215" s="53" t="str">
        <f t="shared" si="132"/>
        <v/>
      </c>
      <c r="BE215" s="53">
        <f t="shared" si="133"/>
        <v>308136</v>
      </c>
      <c r="BF215" s="53">
        <f t="shared" si="134"/>
        <v>182570</v>
      </c>
      <c r="BG215" s="53" t="str">
        <f t="shared" si="135"/>
        <v/>
      </c>
      <c r="BH215" s="53">
        <f t="shared" si="136"/>
        <v>408141</v>
      </c>
      <c r="BI215" s="53" t="str">
        <f t="shared" si="137"/>
        <v/>
      </c>
      <c r="BJ215" s="53" t="str">
        <f t="shared" si="138"/>
        <v/>
      </c>
      <c r="BK215" s="53" t="str">
        <f t="shared" si="139"/>
        <v/>
      </c>
    </row>
    <row r="216" spans="1:63">
      <c r="A216" s="53">
        <v>224</v>
      </c>
      <c r="B216" s="89" t="str">
        <f>IFERROR(VLOOKUP($A216,EntryList!$A$3:$N$645,2,FALSE),"")</f>
        <v>Dj Oosthuizen</v>
      </c>
      <c r="C216" s="74"/>
      <c r="D216" s="53">
        <f t="shared" si="105"/>
        <v>3</v>
      </c>
      <c r="E216" s="62"/>
      <c r="F216" s="62">
        <v>3.4275810185185186E-3</v>
      </c>
      <c r="G216" s="62">
        <v>2.0822222222222223E-3</v>
      </c>
      <c r="H216" s="62"/>
      <c r="I216" s="62">
        <v>4.9735648148148152E-3</v>
      </c>
      <c r="J216" s="62"/>
      <c r="K216" s="62"/>
      <c r="L216" s="62"/>
      <c r="M216" s="62">
        <v>1.0483368055555555E-2</v>
      </c>
      <c r="N216" s="62">
        <f t="shared" si="106"/>
        <v>1.0483368055555557E-2</v>
      </c>
      <c r="O216" s="53" t="str">
        <f t="shared" si="107"/>
        <v/>
      </c>
      <c r="P216" s="53">
        <f t="shared" si="108"/>
        <v>197</v>
      </c>
      <c r="Q216" s="53">
        <f t="shared" si="109"/>
        <v>207</v>
      </c>
      <c r="R216" s="53" t="str">
        <f t="shared" si="110"/>
        <v/>
      </c>
      <c r="S216" s="53">
        <f t="shared" si="111"/>
        <v>221</v>
      </c>
      <c r="T216" s="53" t="str">
        <f t="shared" si="112"/>
        <v/>
      </c>
      <c r="U216" s="53" t="str">
        <f t="shared" si="113"/>
        <v/>
      </c>
      <c r="V216" s="53" t="str">
        <f t="shared" si="114"/>
        <v/>
      </c>
      <c r="W216" s="53" t="str">
        <f t="shared" si="115"/>
        <v>DNS/DNF ()</v>
      </c>
      <c r="X216" s="53" t="str">
        <f t="shared" si="116"/>
        <v>00:04:56.1 (197)</v>
      </c>
      <c r="Y216" s="53" t="str">
        <f t="shared" si="117"/>
        <v>00:02:59.9 (207)</v>
      </c>
      <c r="Z216" s="53" t="str">
        <f t="shared" si="118"/>
        <v>DNS/DNF ()</v>
      </c>
      <c r="AA216" s="53" t="str">
        <f t="shared" si="119"/>
        <v>00:07:09.7 (221)</v>
      </c>
      <c r="AB216" s="53" t="str">
        <f t="shared" si="120"/>
        <v>DNS/DNF ()</v>
      </c>
      <c r="AC216" s="53" t="str">
        <f t="shared" si="121"/>
        <v>DNS/DNF ()</v>
      </c>
      <c r="AD216" s="53" t="str">
        <f t="shared" si="122"/>
        <v>DNS/DNF ()</v>
      </c>
      <c r="AE216" s="53">
        <v>0</v>
      </c>
      <c r="AF216" s="53">
        <v>0</v>
      </c>
      <c r="AG216" s="53">
        <v>38007440</v>
      </c>
      <c r="AH216" s="53">
        <v>38303583</v>
      </c>
      <c r="AI216" s="53">
        <v>32967861</v>
      </c>
      <c r="AJ216" s="53">
        <v>33147765</v>
      </c>
      <c r="AK216" s="53">
        <v>0</v>
      </c>
      <c r="AL216" s="53">
        <v>0</v>
      </c>
      <c r="AM216" s="53">
        <v>44042096</v>
      </c>
      <c r="AN216" s="53">
        <v>44471812</v>
      </c>
      <c r="AO216" s="53">
        <v>0</v>
      </c>
      <c r="AP216" s="53">
        <v>0</v>
      </c>
      <c r="AQ216" s="53">
        <v>0</v>
      </c>
      <c r="AR216" s="53">
        <v>0</v>
      </c>
      <c r="AS216" s="53">
        <v>0</v>
      </c>
      <c r="AT216" s="53">
        <v>0</v>
      </c>
      <c r="AU216" s="62" t="str">
        <f t="shared" si="123"/>
        <v>DNS/DNF</v>
      </c>
      <c r="AV216" s="62">
        <f t="shared" si="124"/>
        <v>3.4275810185185186E-3</v>
      </c>
      <c r="AW216" s="62">
        <f t="shared" si="125"/>
        <v>2.0822222222222223E-3</v>
      </c>
      <c r="AX216" s="62" t="str">
        <f t="shared" si="126"/>
        <v>DNS/DNF</v>
      </c>
      <c r="AY216" s="62">
        <f t="shared" si="127"/>
        <v>4.9735648148148152E-3</v>
      </c>
      <c r="AZ216" s="62" t="str">
        <f t="shared" si="128"/>
        <v>DNS/DNF</v>
      </c>
      <c r="BA216" s="62" t="str">
        <f t="shared" si="129"/>
        <v>DNS/DNF</v>
      </c>
      <c r="BB216" s="62" t="str">
        <f t="shared" si="130"/>
        <v>DNS/DNF</v>
      </c>
      <c r="BC216" s="75">
        <f t="shared" si="131"/>
        <v>208</v>
      </c>
      <c r="BD216" s="53" t="str">
        <f t="shared" si="132"/>
        <v/>
      </c>
      <c r="BE216" s="53">
        <f t="shared" si="133"/>
        <v>307489</v>
      </c>
      <c r="BF216" s="53">
        <f t="shared" si="134"/>
        <v>180738</v>
      </c>
      <c r="BG216" s="53" t="str">
        <f t="shared" si="135"/>
        <v/>
      </c>
      <c r="BH216" s="53">
        <f t="shared" si="136"/>
        <v>406952.99999999994</v>
      </c>
      <c r="BI216" s="53" t="str">
        <f t="shared" si="137"/>
        <v/>
      </c>
      <c r="BJ216" s="53" t="str">
        <f t="shared" si="138"/>
        <v/>
      </c>
      <c r="BK216" s="53" t="str">
        <f t="shared" si="139"/>
        <v/>
      </c>
    </row>
    <row r="217" spans="1:63">
      <c r="A217" s="53">
        <v>37</v>
      </c>
      <c r="B217" s="89" t="str">
        <f>IFERROR(VLOOKUP($A217,EntryList!$A$3:$N$645,2,FALSE),"")</f>
        <v>Bradley Stow</v>
      </c>
      <c r="C217" s="74"/>
      <c r="D217" s="53">
        <f t="shared" si="105"/>
        <v>3</v>
      </c>
      <c r="E217" s="62"/>
      <c r="F217" s="62">
        <v>3.0503472222222221E-3</v>
      </c>
      <c r="G217" s="62">
        <v>2.0151388888888888E-3</v>
      </c>
      <c r="H217" s="62"/>
      <c r="I217" s="62">
        <v>5.4864583333333336E-3</v>
      </c>
      <c r="J217" s="62"/>
      <c r="K217" s="62"/>
      <c r="L217" s="62"/>
      <c r="M217" s="62">
        <v>1.0551944444444445E-2</v>
      </c>
      <c r="N217" s="62">
        <f t="shared" si="106"/>
        <v>1.0551944444444444E-2</v>
      </c>
      <c r="O217" s="53" t="str">
        <f t="shared" si="107"/>
        <v/>
      </c>
      <c r="P217" s="53">
        <f t="shared" si="108"/>
        <v>117</v>
      </c>
      <c r="Q217" s="53">
        <f t="shared" si="109"/>
        <v>194</v>
      </c>
      <c r="R217" s="53" t="str">
        <f t="shared" si="110"/>
        <v/>
      </c>
      <c r="S217" s="53">
        <f t="shared" si="111"/>
        <v>238</v>
      </c>
      <c r="T217" s="53" t="str">
        <f t="shared" si="112"/>
        <v/>
      </c>
      <c r="U217" s="53" t="str">
        <f t="shared" si="113"/>
        <v/>
      </c>
      <c r="V217" s="53" t="str">
        <f t="shared" si="114"/>
        <v/>
      </c>
      <c r="W217" s="53" t="str">
        <f t="shared" si="115"/>
        <v>DNS/DNF ()</v>
      </c>
      <c r="X217" s="53" t="str">
        <f t="shared" si="116"/>
        <v>00:04:23.5 (117)</v>
      </c>
      <c r="Y217" s="53" t="str">
        <f t="shared" si="117"/>
        <v>00:02:54.1 (194)</v>
      </c>
      <c r="Z217" s="53" t="str">
        <f t="shared" si="118"/>
        <v>DNS/DNF ()</v>
      </c>
      <c r="AA217" s="53" t="str">
        <f t="shared" si="119"/>
        <v>00:07:54.0 (238)</v>
      </c>
      <c r="AB217" s="53" t="str">
        <f t="shared" si="120"/>
        <v>DNS/DNF ()</v>
      </c>
      <c r="AC217" s="53" t="str">
        <f t="shared" si="121"/>
        <v>DNS/DNF ()</v>
      </c>
      <c r="AD217" s="53" t="str">
        <f t="shared" si="122"/>
        <v>DNS/DNF ()</v>
      </c>
      <c r="AE217" s="53">
        <v>0</v>
      </c>
      <c r="AF217" s="53">
        <v>0</v>
      </c>
      <c r="AG217" s="53">
        <v>36375135</v>
      </c>
      <c r="AH217" s="53">
        <v>36638685</v>
      </c>
      <c r="AI217" s="53">
        <v>41135110</v>
      </c>
      <c r="AJ217" s="53">
        <v>41309218</v>
      </c>
      <c r="AK217" s="53">
        <v>0</v>
      </c>
      <c r="AL217" s="53">
        <v>0</v>
      </c>
      <c r="AM217" s="53">
        <v>45140724</v>
      </c>
      <c r="AN217" s="53">
        <v>45614754</v>
      </c>
      <c r="AO217" s="53">
        <v>0</v>
      </c>
      <c r="AP217" s="53">
        <v>0</v>
      </c>
      <c r="AQ217" s="53">
        <v>0</v>
      </c>
      <c r="AR217" s="53">
        <v>0</v>
      </c>
      <c r="AS217" s="53">
        <v>0</v>
      </c>
      <c r="AT217" s="53">
        <v>0</v>
      </c>
      <c r="AU217" s="62" t="str">
        <f t="shared" si="123"/>
        <v>DNS/DNF</v>
      </c>
      <c r="AV217" s="62">
        <f t="shared" si="124"/>
        <v>3.0503472222222221E-3</v>
      </c>
      <c r="AW217" s="62">
        <f t="shared" si="125"/>
        <v>2.0151388888888888E-3</v>
      </c>
      <c r="AX217" s="62" t="str">
        <f t="shared" si="126"/>
        <v>DNS/DNF</v>
      </c>
      <c r="AY217" s="62">
        <f t="shared" si="127"/>
        <v>5.4864583333333336E-3</v>
      </c>
      <c r="AZ217" s="62" t="str">
        <f t="shared" si="128"/>
        <v>DNS/DNF</v>
      </c>
      <c r="BA217" s="62" t="str">
        <f t="shared" si="129"/>
        <v>DNS/DNF</v>
      </c>
      <c r="BB217" s="62" t="str">
        <f t="shared" si="130"/>
        <v>DNS/DNF</v>
      </c>
      <c r="BC217" s="75">
        <f t="shared" si="131"/>
        <v>183</v>
      </c>
      <c r="BD217" s="53" t="str">
        <f t="shared" si="132"/>
        <v/>
      </c>
      <c r="BE217" s="53">
        <f t="shared" si="133"/>
        <v>284625</v>
      </c>
      <c r="BF217" s="53">
        <f t="shared" si="134"/>
        <v>168940</v>
      </c>
      <c r="BG217" s="53" t="str">
        <f t="shared" si="135"/>
        <v/>
      </c>
      <c r="BH217" s="53">
        <f t="shared" si="136"/>
        <v>387927</v>
      </c>
      <c r="BI217" s="53" t="str">
        <f t="shared" si="137"/>
        <v/>
      </c>
      <c r="BJ217" s="53" t="str">
        <f t="shared" si="138"/>
        <v/>
      </c>
      <c r="BK217" s="53" t="str">
        <f t="shared" si="139"/>
        <v/>
      </c>
    </row>
    <row r="218" spans="1:63">
      <c r="A218" s="53">
        <v>112</v>
      </c>
      <c r="B218" s="89" t="str">
        <f>IFERROR(VLOOKUP($A218,EntryList!$A$3:$N$645,2,FALSE),"")</f>
        <v>Yaseen Enos</v>
      </c>
      <c r="C218" s="74"/>
      <c r="D218" s="53">
        <f t="shared" si="105"/>
        <v>3</v>
      </c>
      <c r="E218" s="62"/>
      <c r="F218" s="62">
        <v>3.8265972222222221E-3</v>
      </c>
      <c r="G218" s="62">
        <v>2.123159722222222E-3</v>
      </c>
      <c r="H218" s="62"/>
      <c r="I218" s="62">
        <v>4.6059837962962964E-3</v>
      </c>
      <c r="J218" s="62"/>
      <c r="K218" s="62"/>
      <c r="L218" s="62"/>
      <c r="M218" s="62">
        <v>1.0555740740740741E-2</v>
      </c>
      <c r="N218" s="62">
        <f t="shared" si="106"/>
        <v>1.0555740740740741E-2</v>
      </c>
      <c r="O218" s="53" t="str">
        <f t="shared" si="107"/>
        <v/>
      </c>
      <c r="P218" s="53">
        <f t="shared" si="108"/>
        <v>230</v>
      </c>
      <c r="Q218" s="53">
        <f t="shared" si="109"/>
        <v>212</v>
      </c>
      <c r="R218" s="53" t="str">
        <f t="shared" si="110"/>
        <v/>
      </c>
      <c r="S218" s="53">
        <f t="shared" si="111"/>
        <v>199</v>
      </c>
      <c r="T218" s="53" t="str">
        <f t="shared" si="112"/>
        <v/>
      </c>
      <c r="U218" s="53" t="str">
        <f t="shared" si="113"/>
        <v/>
      </c>
      <c r="V218" s="53" t="str">
        <f t="shared" si="114"/>
        <v/>
      </c>
      <c r="W218" s="53" t="str">
        <f t="shared" si="115"/>
        <v>DNS/DNF ()</v>
      </c>
      <c r="X218" s="53" t="str">
        <f t="shared" si="116"/>
        <v>00:05:30.6 (230)</v>
      </c>
      <c r="Y218" s="53" t="str">
        <f t="shared" si="117"/>
        <v>00:03:03.4 (212)</v>
      </c>
      <c r="Z218" s="53" t="str">
        <f t="shared" si="118"/>
        <v>DNS/DNF ()</v>
      </c>
      <c r="AA218" s="53" t="str">
        <f t="shared" si="119"/>
        <v>00:06:38.0 (199)</v>
      </c>
      <c r="AB218" s="53" t="str">
        <f t="shared" si="120"/>
        <v>DNS/DNF ()</v>
      </c>
      <c r="AC218" s="53" t="str">
        <f t="shared" si="121"/>
        <v>DNS/DNF ()</v>
      </c>
      <c r="AD218" s="53" t="str">
        <f t="shared" si="122"/>
        <v>DNS/DNF ()</v>
      </c>
      <c r="AE218" s="53">
        <v>0</v>
      </c>
      <c r="AF218" s="53">
        <v>0</v>
      </c>
      <c r="AG218" s="53">
        <v>33486850</v>
      </c>
      <c r="AH218" s="53">
        <v>33817468</v>
      </c>
      <c r="AI218" s="53">
        <v>35921196</v>
      </c>
      <c r="AJ218" s="53">
        <v>36104637</v>
      </c>
      <c r="AK218" s="53">
        <v>0</v>
      </c>
      <c r="AL218" s="53">
        <v>0</v>
      </c>
      <c r="AM218" s="53">
        <v>38431227</v>
      </c>
      <c r="AN218" s="53">
        <v>38829184</v>
      </c>
      <c r="AO218" s="53">
        <v>0</v>
      </c>
      <c r="AP218" s="53">
        <v>0</v>
      </c>
      <c r="AQ218" s="53">
        <v>0</v>
      </c>
      <c r="AR218" s="53">
        <v>0</v>
      </c>
      <c r="AS218" s="53">
        <v>0</v>
      </c>
      <c r="AT218" s="53">
        <v>0</v>
      </c>
      <c r="AU218" s="62" t="str">
        <f t="shared" si="123"/>
        <v>DNS/DNF</v>
      </c>
      <c r="AV218" s="62">
        <f t="shared" si="124"/>
        <v>3.8265972222222221E-3</v>
      </c>
      <c r="AW218" s="62">
        <f t="shared" si="125"/>
        <v>2.123159722222222E-3</v>
      </c>
      <c r="AX218" s="62" t="str">
        <f t="shared" si="126"/>
        <v>DNS/DNF</v>
      </c>
      <c r="AY218" s="62">
        <f t="shared" si="127"/>
        <v>4.6059837962962964E-3</v>
      </c>
      <c r="AZ218" s="62" t="str">
        <f t="shared" si="128"/>
        <v>DNS/DNF</v>
      </c>
      <c r="BA218" s="62" t="str">
        <f t="shared" si="129"/>
        <v>DNS/DNF</v>
      </c>
      <c r="BB218" s="62" t="str">
        <f t="shared" si="130"/>
        <v>DNS/DNF</v>
      </c>
      <c r="BC218" s="75">
        <f t="shared" si="131"/>
        <v>214</v>
      </c>
      <c r="BD218" s="53" t="str">
        <f t="shared" si="132"/>
        <v/>
      </c>
      <c r="BE218" s="53">
        <f t="shared" si="133"/>
        <v>313640</v>
      </c>
      <c r="BF218" s="53">
        <f t="shared" si="134"/>
        <v>187121</v>
      </c>
      <c r="BG218" s="53" t="str">
        <f t="shared" si="135"/>
        <v/>
      </c>
      <c r="BH218" s="53">
        <f t="shared" si="136"/>
        <v>417854.00000000006</v>
      </c>
      <c r="BI218" s="53" t="str">
        <f t="shared" si="137"/>
        <v/>
      </c>
      <c r="BJ218" s="53" t="str">
        <f t="shared" si="138"/>
        <v/>
      </c>
      <c r="BK218" s="53" t="str">
        <f t="shared" si="139"/>
        <v/>
      </c>
    </row>
    <row r="219" spans="1:63">
      <c r="A219" s="53">
        <v>65</v>
      </c>
      <c r="B219" s="89" t="str">
        <f>IFERROR(VLOOKUP($A219,EntryList!$A$3:$N$645,2,FALSE),"")</f>
        <v>Matt Nicholson</v>
      </c>
      <c r="C219" s="74"/>
      <c r="D219" s="53">
        <f t="shared" si="105"/>
        <v>3</v>
      </c>
      <c r="E219" s="62"/>
      <c r="F219" s="62">
        <v>3.8502893518518517E-3</v>
      </c>
      <c r="G219" s="62">
        <v>2.1657523148148148E-3</v>
      </c>
      <c r="H219" s="62"/>
      <c r="I219" s="62">
        <v>4.5429398148148148E-3</v>
      </c>
      <c r="J219" s="62"/>
      <c r="K219" s="62"/>
      <c r="L219" s="62"/>
      <c r="M219" s="62">
        <v>1.0558981481481482E-2</v>
      </c>
      <c r="N219" s="62">
        <f t="shared" si="106"/>
        <v>1.0558981481481482E-2</v>
      </c>
      <c r="O219" s="53" t="str">
        <f t="shared" si="107"/>
        <v/>
      </c>
      <c r="P219" s="53">
        <f t="shared" si="108"/>
        <v>233</v>
      </c>
      <c r="Q219" s="53">
        <f t="shared" si="109"/>
        <v>214</v>
      </c>
      <c r="R219" s="53" t="str">
        <f t="shared" si="110"/>
        <v/>
      </c>
      <c r="S219" s="53">
        <f t="shared" si="111"/>
        <v>191</v>
      </c>
      <c r="T219" s="53" t="str">
        <f t="shared" si="112"/>
        <v/>
      </c>
      <c r="U219" s="53" t="str">
        <f t="shared" si="113"/>
        <v/>
      </c>
      <c r="V219" s="53" t="str">
        <f t="shared" si="114"/>
        <v/>
      </c>
      <c r="W219" s="53" t="str">
        <f t="shared" si="115"/>
        <v>DNS/DNF ()</v>
      </c>
      <c r="X219" s="53" t="str">
        <f t="shared" si="116"/>
        <v>00:05:32.7 (233)</v>
      </c>
      <c r="Y219" s="53" t="str">
        <f t="shared" si="117"/>
        <v>00:03:07.1 (214)</v>
      </c>
      <c r="Z219" s="53" t="str">
        <f t="shared" si="118"/>
        <v>DNS/DNF ()</v>
      </c>
      <c r="AA219" s="53" t="str">
        <f t="shared" si="119"/>
        <v>00:06:32.5 (191)</v>
      </c>
      <c r="AB219" s="53" t="str">
        <f t="shared" si="120"/>
        <v>DNS/DNF ()</v>
      </c>
      <c r="AC219" s="53" t="str">
        <f t="shared" si="121"/>
        <v>DNS/DNF ()</v>
      </c>
      <c r="AD219" s="53" t="str">
        <f t="shared" si="122"/>
        <v>DNS/DNF ()</v>
      </c>
      <c r="AE219" s="53">
        <v>0</v>
      </c>
      <c r="AF219" s="53">
        <v>0</v>
      </c>
      <c r="AG219" s="53">
        <v>32959875</v>
      </c>
      <c r="AH219" s="53">
        <v>33292540</v>
      </c>
      <c r="AI219" s="53">
        <v>35366941</v>
      </c>
      <c r="AJ219" s="53">
        <v>35554062</v>
      </c>
      <c r="AK219" s="53">
        <v>0</v>
      </c>
      <c r="AL219" s="53">
        <v>0</v>
      </c>
      <c r="AM219" s="53">
        <v>38322718</v>
      </c>
      <c r="AN219" s="53">
        <v>38715228</v>
      </c>
      <c r="AO219" s="53">
        <v>0</v>
      </c>
      <c r="AP219" s="53">
        <v>0</v>
      </c>
      <c r="AQ219" s="53">
        <v>0</v>
      </c>
      <c r="AR219" s="53">
        <v>0</v>
      </c>
      <c r="AS219" s="53">
        <v>0</v>
      </c>
      <c r="AT219" s="53">
        <v>0</v>
      </c>
      <c r="AU219" s="62" t="str">
        <f t="shared" si="123"/>
        <v>DNS/DNF</v>
      </c>
      <c r="AV219" s="62">
        <f t="shared" si="124"/>
        <v>3.8502893518518517E-3</v>
      </c>
      <c r="AW219" s="62">
        <f t="shared" si="125"/>
        <v>2.1657523148148148E-3</v>
      </c>
      <c r="AX219" s="62" t="str">
        <f t="shared" si="126"/>
        <v>DNS/DNF</v>
      </c>
      <c r="AY219" s="62">
        <f t="shared" si="127"/>
        <v>4.5429398148148148E-3</v>
      </c>
      <c r="AZ219" s="62" t="str">
        <f t="shared" si="128"/>
        <v>DNS/DNF</v>
      </c>
      <c r="BA219" s="62" t="str">
        <f t="shared" si="129"/>
        <v>DNS/DNF</v>
      </c>
      <c r="BB219" s="62" t="str">
        <f t="shared" si="130"/>
        <v>DNS/DNF</v>
      </c>
      <c r="BC219" s="75">
        <f t="shared" si="131"/>
        <v>213</v>
      </c>
      <c r="BD219" s="53" t="str">
        <f t="shared" si="132"/>
        <v/>
      </c>
      <c r="BE219" s="53">
        <f t="shared" si="133"/>
        <v>313378</v>
      </c>
      <c r="BF219" s="53">
        <f t="shared" si="134"/>
        <v>183943</v>
      </c>
      <c r="BG219" s="53" t="str">
        <f t="shared" si="135"/>
        <v/>
      </c>
      <c r="BH219" s="53">
        <f t="shared" si="136"/>
        <v>413953.00000000006</v>
      </c>
      <c r="BI219" s="53" t="str">
        <f t="shared" si="137"/>
        <v/>
      </c>
      <c r="BJ219" s="53" t="str">
        <f t="shared" si="138"/>
        <v/>
      </c>
      <c r="BK219" s="53" t="str">
        <f t="shared" si="139"/>
        <v/>
      </c>
    </row>
    <row r="220" spans="1:63">
      <c r="A220" s="53">
        <v>12</v>
      </c>
      <c r="B220" s="89" t="str">
        <f>IFERROR(VLOOKUP($A220,EntryList!$A$3:$N$645,2,FALSE),"")</f>
        <v>Dylan Wiggill</v>
      </c>
      <c r="C220" s="74"/>
      <c r="D220" s="53">
        <f t="shared" si="105"/>
        <v>3</v>
      </c>
      <c r="E220" s="62"/>
      <c r="F220" s="62">
        <v>3.663645833333333E-3</v>
      </c>
      <c r="G220" s="62">
        <v>2.4075347222222219E-3</v>
      </c>
      <c r="H220" s="62"/>
      <c r="I220" s="62">
        <v>4.6113078703703706E-3</v>
      </c>
      <c r="J220" s="62"/>
      <c r="K220" s="62"/>
      <c r="L220" s="62"/>
      <c r="M220" s="62">
        <v>1.0682488425925925E-2</v>
      </c>
      <c r="N220" s="62">
        <f t="shared" si="106"/>
        <v>1.0682488425925927E-2</v>
      </c>
      <c r="O220" s="53" t="str">
        <f t="shared" si="107"/>
        <v/>
      </c>
      <c r="P220" s="53">
        <f t="shared" si="108"/>
        <v>217</v>
      </c>
      <c r="Q220" s="53">
        <f t="shared" si="109"/>
        <v>232</v>
      </c>
      <c r="R220" s="53" t="str">
        <f t="shared" si="110"/>
        <v/>
      </c>
      <c r="S220" s="53">
        <f t="shared" si="111"/>
        <v>200</v>
      </c>
      <c r="T220" s="53" t="str">
        <f t="shared" si="112"/>
        <v/>
      </c>
      <c r="U220" s="53" t="str">
        <f t="shared" si="113"/>
        <v/>
      </c>
      <c r="V220" s="53" t="str">
        <f t="shared" si="114"/>
        <v/>
      </c>
      <c r="W220" s="53" t="str">
        <f t="shared" si="115"/>
        <v>DNS/DNF ()</v>
      </c>
      <c r="X220" s="53" t="str">
        <f t="shared" si="116"/>
        <v>00:05:16.5 (217)</v>
      </c>
      <c r="Y220" s="53" t="str">
        <f t="shared" si="117"/>
        <v>00:03:28.0 (232)</v>
      </c>
      <c r="Z220" s="53" t="str">
        <f t="shared" si="118"/>
        <v>DNS/DNF ()</v>
      </c>
      <c r="AA220" s="53" t="str">
        <f t="shared" si="119"/>
        <v>00:06:38.4 (200)</v>
      </c>
      <c r="AB220" s="53" t="str">
        <f t="shared" si="120"/>
        <v>DNS/DNF ()</v>
      </c>
      <c r="AC220" s="53" t="str">
        <f t="shared" si="121"/>
        <v>DNS/DNF ()</v>
      </c>
      <c r="AD220" s="53" t="str">
        <f t="shared" si="122"/>
        <v>DNS/DNF ()</v>
      </c>
      <c r="AE220" s="53">
        <v>0</v>
      </c>
      <c r="AF220" s="53">
        <v>0</v>
      </c>
      <c r="AG220" s="53">
        <v>39879936</v>
      </c>
      <c r="AH220" s="53">
        <v>40196475</v>
      </c>
      <c r="AI220" s="53">
        <v>35049778</v>
      </c>
      <c r="AJ220" s="53">
        <v>35257789</v>
      </c>
      <c r="AK220" s="53">
        <v>0</v>
      </c>
      <c r="AL220" s="53">
        <v>0</v>
      </c>
      <c r="AM220" s="53">
        <v>44407406</v>
      </c>
      <c r="AN220" s="53">
        <v>44805823</v>
      </c>
      <c r="AO220" s="53">
        <v>0</v>
      </c>
      <c r="AP220" s="53">
        <v>0</v>
      </c>
      <c r="AQ220" s="53">
        <v>0</v>
      </c>
      <c r="AR220" s="53">
        <v>0</v>
      </c>
      <c r="AS220" s="53">
        <v>0</v>
      </c>
      <c r="AT220" s="53">
        <v>0</v>
      </c>
      <c r="AU220" s="62" t="str">
        <f t="shared" si="123"/>
        <v>DNS/DNF</v>
      </c>
      <c r="AV220" s="62">
        <f t="shared" si="124"/>
        <v>3.6636458333333334E-3</v>
      </c>
      <c r="AW220" s="62">
        <f t="shared" si="125"/>
        <v>2.4075347222222224E-3</v>
      </c>
      <c r="AX220" s="62" t="str">
        <f t="shared" si="126"/>
        <v>DNS/DNF</v>
      </c>
      <c r="AY220" s="62">
        <f t="shared" si="127"/>
        <v>4.6113078703703706E-3</v>
      </c>
      <c r="AZ220" s="62" t="str">
        <f t="shared" si="128"/>
        <v>DNS/DNF</v>
      </c>
      <c r="BA220" s="62" t="str">
        <f t="shared" si="129"/>
        <v>DNS/DNF</v>
      </c>
      <c r="BB220" s="62" t="str">
        <f t="shared" si="130"/>
        <v>DNS/DNF</v>
      </c>
      <c r="BC220" s="75">
        <f t="shared" si="131"/>
        <v>216</v>
      </c>
      <c r="BD220" s="53" t="str">
        <f t="shared" si="132"/>
        <v/>
      </c>
      <c r="BE220" s="53">
        <f t="shared" si="133"/>
        <v>315578</v>
      </c>
      <c r="BF220" s="53">
        <f t="shared" si="134"/>
        <v>190855</v>
      </c>
      <c r="BG220" s="53" t="str">
        <f t="shared" si="135"/>
        <v/>
      </c>
      <c r="BH220" s="53">
        <f t="shared" si="136"/>
        <v>420699</v>
      </c>
      <c r="BI220" s="53" t="str">
        <f t="shared" si="137"/>
        <v/>
      </c>
      <c r="BJ220" s="53" t="str">
        <f t="shared" si="138"/>
        <v/>
      </c>
      <c r="BK220" s="53" t="str">
        <f t="shared" si="139"/>
        <v/>
      </c>
    </row>
    <row r="221" spans="1:63">
      <c r="A221" s="53">
        <v>217</v>
      </c>
      <c r="B221" s="89" t="str">
        <f>IFERROR(VLOOKUP($A221,EntryList!$A$3:$N$645,2,FALSE),"")</f>
        <v>Frans Smit</v>
      </c>
      <c r="C221" s="74"/>
      <c r="D221" s="53">
        <f t="shared" si="105"/>
        <v>3</v>
      </c>
      <c r="E221" s="62"/>
      <c r="F221" s="62">
        <v>4.2238078703703708E-3</v>
      </c>
      <c r="G221" s="62">
        <v>2.0296643518518519E-3</v>
      </c>
      <c r="H221" s="62"/>
      <c r="I221" s="62">
        <v>4.4467824074074071E-3</v>
      </c>
      <c r="J221" s="62"/>
      <c r="K221" s="62"/>
      <c r="L221" s="62"/>
      <c r="M221" s="62">
        <v>1.0700254629629631E-2</v>
      </c>
      <c r="N221" s="62">
        <f t="shared" si="106"/>
        <v>1.0700254629629629E-2</v>
      </c>
      <c r="O221" s="53" t="str">
        <f t="shared" si="107"/>
        <v/>
      </c>
      <c r="P221" s="53">
        <f t="shared" si="108"/>
        <v>241</v>
      </c>
      <c r="Q221" s="53">
        <f t="shared" si="109"/>
        <v>198</v>
      </c>
      <c r="R221" s="53" t="str">
        <f t="shared" si="110"/>
        <v/>
      </c>
      <c r="S221" s="53">
        <f t="shared" si="111"/>
        <v>179</v>
      </c>
      <c r="T221" s="53" t="str">
        <f t="shared" si="112"/>
        <v/>
      </c>
      <c r="U221" s="53" t="str">
        <f t="shared" si="113"/>
        <v/>
      </c>
      <c r="V221" s="53" t="str">
        <f t="shared" si="114"/>
        <v/>
      </c>
      <c r="W221" s="53" t="str">
        <f t="shared" si="115"/>
        <v>DNS/DNF ()</v>
      </c>
      <c r="X221" s="53" t="str">
        <f t="shared" si="116"/>
        <v>00:06:04.9 (241)</v>
      </c>
      <c r="Y221" s="53" t="str">
        <f t="shared" si="117"/>
        <v>00:02:55.4 (198)</v>
      </c>
      <c r="Z221" s="53" t="str">
        <f t="shared" si="118"/>
        <v>DNS/DNF ()</v>
      </c>
      <c r="AA221" s="53" t="str">
        <f t="shared" si="119"/>
        <v>00:06:24.2 (179)</v>
      </c>
      <c r="AB221" s="53" t="str">
        <f t="shared" si="120"/>
        <v>DNS/DNF ()</v>
      </c>
      <c r="AC221" s="53" t="str">
        <f t="shared" si="121"/>
        <v>DNS/DNF ()</v>
      </c>
      <c r="AD221" s="53" t="str">
        <f t="shared" si="122"/>
        <v>DNS/DNF ()</v>
      </c>
      <c r="AE221" s="53">
        <v>0</v>
      </c>
      <c r="AF221" s="53">
        <v>0</v>
      </c>
      <c r="AG221" s="53">
        <v>34180067</v>
      </c>
      <c r="AH221" s="53">
        <v>34545004</v>
      </c>
      <c r="AI221" s="53">
        <v>39066292</v>
      </c>
      <c r="AJ221" s="53">
        <v>39241655</v>
      </c>
      <c r="AK221" s="53">
        <v>0</v>
      </c>
      <c r="AL221" s="53">
        <v>0</v>
      </c>
      <c r="AM221" s="53">
        <v>42665006</v>
      </c>
      <c r="AN221" s="53">
        <v>43049208</v>
      </c>
      <c r="AO221" s="53">
        <v>0</v>
      </c>
      <c r="AP221" s="53">
        <v>0</v>
      </c>
      <c r="AQ221" s="53">
        <v>0</v>
      </c>
      <c r="AR221" s="53">
        <v>0</v>
      </c>
      <c r="AS221" s="53">
        <v>0</v>
      </c>
      <c r="AT221" s="53">
        <v>0</v>
      </c>
      <c r="AU221" s="62" t="str">
        <f t="shared" si="123"/>
        <v>DNS/DNF</v>
      </c>
      <c r="AV221" s="62">
        <f t="shared" si="124"/>
        <v>4.22380787037037E-3</v>
      </c>
      <c r="AW221" s="62">
        <f t="shared" si="125"/>
        <v>2.0296643518518519E-3</v>
      </c>
      <c r="AX221" s="62" t="str">
        <f t="shared" si="126"/>
        <v>DNS/DNF</v>
      </c>
      <c r="AY221" s="62">
        <f t="shared" si="127"/>
        <v>4.4467824074074071E-3</v>
      </c>
      <c r="AZ221" s="62" t="str">
        <f t="shared" si="128"/>
        <v>DNS/DNF</v>
      </c>
      <c r="BA221" s="62" t="str">
        <f t="shared" si="129"/>
        <v>DNS/DNF</v>
      </c>
      <c r="BB221" s="62" t="str">
        <f t="shared" si="130"/>
        <v>DNS/DNF</v>
      </c>
      <c r="BC221" s="75">
        <f t="shared" si="131"/>
        <v>206</v>
      </c>
      <c r="BD221" s="53" t="str">
        <f t="shared" si="132"/>
        <v/>
      </c>
      <c r="BE221" s="53">
        <f t="shared" si="133"/>
        <v>304260</v>
      </c>
      <c r="BF221" s="53">
        <f t="shared" si="134"/>
        <v>179437.00000000003</v>
      </c>
      <c r="BG221" s="53" t="str">
        <f t="shared" si="135"/>
        <v/>
      </c>
      <c r="BH221" s="53">
        <f t="shared" si="136"/>
        <v>404573.99999999994</v>
      </c>
      <c r="BI221" s="53" t="str">
        <f t="shared" si="137"/>
        <v/>
      </c>
      <c r="BJ221" s="53" t="str">
        <f t="shared" si="138"/>
        <v/>
      </c>
      <c r="BK221" s="53" t="str">
        <f t="shared" si="139"/>
        <v/>
      </c>
    </row>
    <row r="222" spans="1:63">
      <c r="A222" s="53">
        <v>272</v>
      </c>
      <c r="B222" s="89" t="str">
        <f>IFERROR(VLOOKUP($A222,EntryList!$A$3:$N$645,2,FALSE),"")</f>
        <v>Alisha Myers</v>
      </c>
      <c r="C222" s="74"/>
      <c r="D222" s="53">
        <f t="shared" si="105"/>
        <v>3</v>
      </c>
      <c r="E222" s="62"/>
      <c r="F222" s="62">
        <v>3.7396412037037034E-3</v>
      </c>
      <c r="G222" s="62">
        <v>2.1289699074074075E-3</v>
      </c>
      <c r="H222" s="62"/>
      <c r="I222" s="62">
        <v>4.8362731481481477E-3</v>
      </c>
      <c r="J222" s="62"/>
      <c r="K222" s="62"/>
      <c r="L222" s="62"/>
      <c r="M222" s="62">
        <v>1.0704884259259259E-2</v>
      </c>
      <c r="N222" s="62">
        <f t="shared" si="106"/>
        <v>1.0704884259259259E-2</v>
      </c>
      <c r="O222" s="53" t="str">
        <f t="shared" si="107"/>
        <v/>
      </c>
      <c r="P222" s="53">
        <f t="shared" si="108"/>
        <v>222</v>
      </c>
      <c r="Q222" s="53">
        <f t="shared" si="109"/>
        <v>213</v>
      </c>
      <c r="R222" s="53" t="str">
        <f t="shared" si="110"/>
        <v/>
      </c>
      <c r="S222" s="53">
        <f t="shared" si="111"/>
        <v>214</v>
      </c>
      <c r="T222" s="53" t="str">
        <f t="shared" si="112"/>
        <v/>
      </c>
      <c r="U222" s="53" t="str">
        <f t="shared" si="113"/>
        <v/>
      </c>
      <c r="V222" s="53" t="str">
        <f t="shared" si="114"/>
        <v/>
      </c>
      <c r="W222" s="53" t="str">
        <f t="shared" si="115"/>
        <v>DNS/DNF ()</v>
      </c>
      <c r="X222" s="53" t="str">
        <f t="shared" si="116"/>
        <v>00:05:23.1 (222)</v>
      </c>
      <c r="Y222" s="53" t="str">
        <f t="shared" si="117"/>
        <v>00:03:03.9 (213)</v>
      </c>
      <c r="Z222" s="53" t="str">
        <f t="shared" si="118"/>
        <v>DNS/DNF ()</v>
      </c>
      <c r="AA222" s="53" t="str">
        <f t="shared" si="119"/>
        <v>00:06:57.9 (214)</v>
      </c>
      <c r="AB222" s="53" t="str">
        <f t="shared" si="120"/>
        <v>DNS/DNF ()</v>
      </c>
      <c r="AC222" s="53" t="str">
        <f t="shared" si="121"/>
        <v>DNS/DNF ()</v>
      </c>
      <c r="AD222" s="53" t="str">
        <f t="shared" si="122"/>
        <v>DNS/DNF ()</v>
      </c>
      <c r="AE222" s="53">
        <v>0</v>
      </c>
      <c r="AF222" s="53">
        <v>0</v>
      </c>
      <c r="AG222" s="53">
        <v>34512352</v>
      </c>
      <c r="AH222" s="53">
        <v>34835457</v>
      </c>
      <c r="AI222" s="53">
        <v>37314647</v>
      </c>
      <c r="AJ222" s="53">
        <v>37498590</v>
      </c>
      <c r="AK222" s="53">
        <v>0</v>
      </c>
      <c r="AL222" s="53">
        <v>0</v>
      </c>
      <c r="AM222" s="53">
        <v>41920178</v>
      </c>
      <c r="AN222" s="53">
        <v>42338032</v>
      </c>
      <c r="AO222" s="53">
        <v>0</v>
      </c>
      <c r="AP222" s="53">
        <v>0</v>
      </c>
      <c r="AQ222" s="53">
        <v>0</v>
      </c>
      <c r="AR222" s="53">
        <v>0</v>
      </c>
      <c r="AS222" s="53">
        <v>0</v>
      </c>
      <c r="AT222" s="53">
        <v>0</v>
      </c>
      <c r="AU222" s="62" t="str">
        <f t="shared" si="123"/>
        <v>DNS/DNF</v>
      </c>
      <c r="AV222" s="62">
        <f t="shared" si="124"/>
        <v>3.7396412037037038E-3</v>
      </c>
      <c r="AW222" s="62">
        <f t="shared" si="125"/>
        <v>2.1289699074074075E-3</v>
      </c>
      <c r="AX222" s="62" t="str">
        <f t="shared" si="126"/>
        <v>DNS/DNF</v>
      </c>
      <c r="AY222" s="62">
        <f t="shared" si="127"/>
        <v>4.8362731481481486E-3</v>
      </c>
      <c r="AZ222" s="62" t="str">
        <f t="shared" si="128"/>
        <v>DNS/DNF</v>
      </c>
      <c r="BA222" s="62" t="str">
        <f t="shared" si="129"/>
        <v>DNS/DNF</v>
      </c>
      <c r="BB222" s="62" t="str">
        <f t="shared" si="130"/>
        <v>DNS/DNF</v>
      </c>
      <c r="BC222" s="75">
        <f t="shared" si="131"/>
        <v>216</v>
      </c>
      <c r="BD222" s="53" t="str">
        <f t="shared" si="132"/>
        <v/>
      </c>
      <c r="BE222" s="53">
        <f t="shared" si="133"/>
        <v>315578</v>
      </c>
      <c r="BF222" s="53">
        <f t="shared" si="134"/>
        <v>190855</v>
      </c>
      <c r="BG222" s="53" t="str">
        <f t="shared" si="135"/>
        <v/>
      </c>
      <c r="BH222" s="53">
        <f t="shared" si="136"/>
        <v>420699</v>
      </c>
      <c r="BI222" s="53" t="str">
        <f t="shared" si="137"/>
        <v/>
      </c>
      <c r="BJ222" s="53" t="str">
        <f t="shared" si="138"/>
        <v/>
      </c>
      <c r="BK222" s="53" t="str">
        <f t="shared" si="139"/>
        <v/>
      </c>
    </row>
    <row r="223" spans="1:63">
      <c r="A223" s="53">
        <v>21</v>
      </c>
      <c r="B223" s="89" t="str">
        <f>IFERROR(VLOOKUP($A223,EntryList!$A$3:$N$645,2,FALSE),"")</f>
        <v>Adam Bethlehem</v>
      </c>
      <c r="C223" s="74"/>
      <c r="D223" s="53">
        <f t="shared" si="105"/>
        <v>3</v>
      </c>
      <c r="E223" s="62"/>
      <c r="F223" s="62">
        <v>3.8222222222222216E-3</v>
      </c>
      <c r="G223" s="62">
        <v>2.2941319444444446E-3</v>
      </c>
      <c r="H223" s="62"/>
      <c r="I223" s="62">
        <v>4.5917592592592598E-3</v>
      </c>
      <c r="J223" s="62"/>
      <c r="K223" s="62"/>
      <c r="L223" s="62"/>
      <c r="M223" s="62">
        <v>1.0708113425925926E-2</v>
      </c>
      <c r="N223" s="62">
        <f t="shared" si="106"/>
        <v>1.0708113425925925E-2</v>
      </c>
      <c r="O223" s="53" t="str">
        <f t="shared" si="107"/>
        <v/>
      </c>
      <c r="P223" s="53">
        <f t="shared" si="108"/>
        <v>229</v>
      </c>
      <c r="Q223" s="53">
        <f t="shared" si="109"/>
        <v>225</v>
      </c>
      <c r="R223" s="53" t="str">
        <f t="shared" si="110"/>
        <v/>
      </c>
      <c r="S223" s="53">
        <f t="shared" si="111"/>
        <v>198</v>
      </c>
      <c r="T223" s="53" t="str">
        <f t="shared" si="112"/>
        <v/>
      </c>
      <c r="U223" s="53" t="str">
        <f t="shared" si="113"/>
        <v/>
      </c>
      <c r="V223" s="53" t="str">
        <f t="shared" si="114"/>
        <v/>
      </c>
      <c r="W223" s="53" t="str">
        <f t="shared" si="115"/>
        <v>DNS/DNF ()</v>
      </c>
      <c r="X223" s="53" t="str">
        <f t="shared" si="116"/>
        <v>00:05:30.2 (229)</v>
      </c>
      <c r="Y223" s="53" t="str">
        <f t="shared" si="117"/>
        <v>00:03:18.2 (225)</v>
      </c>
      <c r="Z223" s="53" t="str">
        <f t="shared" si="118"/>
        <v>DNS/DNF ()</v>
      </c>
      <c r="AA223" s="53" t="str">
        <f t="shared" si="119"/>
        <v>00:06:36.7 (198)</v>
      </c>
      <c r="AB223" s="53" t="str">
        <f t="shared" si="120"/>
        <v>DNS/DNF ()</v>
      </c>
      <c r="AC223" s="53" t="str">
        <f t="shared" si="121"/>
        <v>DNS/DNF ()</v>
      </c>
      <c r="AD223" s="53" t="str">
        <f t="shared" si="122"/>
        <v>DNS/DNF ()</v>
      </c>
      <c r="AE223" s="53">
        <v>0</v>
      </c>
      <c r="AF223" s="53">
        <v>0</v>
      </c>
      <c r="AG223" s="53">
        <v>33834090</v>
      </c>
      <c r="AH223" s="53">
        <v>34164330</v>
      </c>
      <c r="AI223" s="53">
        <v>36621924</v>
      </c>
      <c r="AJ223" s="53">
        <v>36820137</v>
      </c>
      <c r="AK223" s="53">
        <v>0</v>
      </c>
      <c r="AL223" s="53">
        <v>0</v>
      </c>
      <c r="AM223" s="53">
        <v>39904448</v>
      </c>
      <c r="AN223" s="53">
        <v>40301176</v>
      </c>
      <c r="AO223" s="53">
        <v>0</v>
      </c>
      <c r="AP223" s="53">
        <v>0</v>
      </c>
      <c r="AQ223" s="53">
        <v>0</v>
      </c>
      <c r="AR223" s="53">
        <v>0</v>
      </c>
      <c r="AS223" s="53">
        <v>0</v>
      </c>
      <c r="AT223" s="53">
        <v>0</v>
      </c>
      <c r="AU223" s="62" t="str">
        <f t="shared" si="123"/>
        <v>DNS/DNF</v>
      </c>
      <c r="AV223" s="62">
        <f t="shared" si="124"/>
        <v>3.8222222222222221E-3</v>
      </c>
      <c r="AW223" s="62">
        <f t="shared" si="125"/>
        <v>2.2941319444444446E-3</v>
      </c>
      <c r="AX223" s="62" t="str">
        <f t="shared" si="126"/>
        <v>DNS/DNF</v>
      </c>
      <c r="AY223" s="62">
        <f t="shared" si="127"/>
        <v>4.591759259259259E-3</v>
      </c>
      <c r="AZ223" s="62" t="str">
        <f t="shared" si="128"/>
        <v>DNS/DNF</v>
      </c>
      <c r="BA223" s="62" t="str">
        <f t="shared" si="129"/>
        <v>DNS/DNF</v>
      </c>
      <c r="BB223" s="62" t="str">
        <f t="shared" si="130"/>
        <v>DNS/DNF</v>
      </c>
      <c r="BC223" s="75">
        <f t="shared" si="131"/>
        <v>217</v>
      </c>
      <c r="BD223" s="53" t="str">
        <f t="shared" si="132"/>
        <v/>
      </c>
      <c r="BE223" s="53">
        <f t="shared" si="133"/>
        <v>316539</v>
      </c>
      <c r="BF223" s="53">
        <f t="shared" si="134"/>
        <v>191712</v>
      </c>
      <c r="BG223" s="53" t="str">
        <f t="shared" si="135"/>
        <v/>
      </c>
      <c r="BH223" s="53">
        <f t="shared" si="136"/>
        <v>421446.99999999994</v>
      </c>
      <c r="BI223" s="53" t="str">
        <f t="shared" si="137"/>
        <v/>
      </c>
      <c r="BJ223" s="53" t="str">
        <f t="shared" si="138"/>
        <v/>
      </c>
      <c r="BK223" s="53" t="str">
        <f t="shared" si="139"/>
        <v/>
      </c>
    </row>
    <row r="224" spans="1:63">
      <c r="A224" s="53">
        <v>121</v>
      </c>
      <c r="B224" s="89" t="str">
        <f>IFERROR(VLOOKUP($A224,EntryList!$A$3:$N$645,2,FALSE),"")</f>
        <v>Gabriel Cohn</v>
      </c>
      <c r="C224" s="74"/>
      <c r="D224" s="53">
        <f t="shared" si="105"/>
        <v>3</v>
      </c>
      <c r="E224" s="62"/>
      <c r="F224" s="62">
        <v>3.8448842592592593E-3</v>
      </c>
      <c r="G224" s="62">
        <v>2.3341203703703701E-3</v>
      </c>
      <c r="H224" s="62"/>
      <c r="I224" s="62">
        <v>4.6370949074074075E-3</v>
      </c>
      <c r="J224" s="62"/>
      <c r="K224" s="62"/>
      <c r="L224" s="62"/>
      <c r="M224" s="62">
        <v>1.0816099537037037E-2</v>
      </c>
      <c r="N224" s="62">
        <f t="shared" si="106"/>
        <v>1.0816099537037037E-2</v>
      </c>
      <c r="O224" s="53" t="str">
        <f t="shared" si="107"/>
        <v/>
      </c>
      <c r="P224" s="53">
        <f t="shared" si="108"/>
        <v>232</v>
      </c>
      <c r="Q224" s="53">
        <f t="shared" si="109"/>
        <v>227</v>
      </c>
      <c r="R224" s="53" t="str">
        <f t="shared" si="110"/>
        <v/>
      </c>
      <c r="S224" s="53">
        <f t="shared" si="111"/>
        <v>201</v>
      </c>
      <c r="T224" s="53" t="str">
        <f t="shared" si="112"/>
        <v/>
      </c>
      <c r="U224" s="53" t="str">
        <f t="shared" si="113"/>
        <v/>
      </c>
      <c r="V224" s="53" t="str">
        <f t="shared" si="114"/>
        <v/>
      </c>
      <c r="W224" s="53" t="str">
        <f t="shared" si="115"/>
        <v>DNS/DNF ()</v>
      </c>
      <c r="X224" s="53" t="str">
        <f t="shared" si="116"/>
        <v>00:05:32.2 (232)</v>
      </c>
      <c r="Y224" s="53" t="str">
        <f t="shared" si="117"/>
        <v>00:03:21.7 (227)</v>
      </c>
      <c r="Z224" s="53" t="str">
        <f t="shared" si="118"/>
        <v>DNS/DNF ()</v>
      </c>
      <c r="AA224" s="53" t="str">
        <f t="shared" si="119"/>
        <v>00:06:40.6 (201)</v>
      </c>
      <c r="AB224" s="53" t="str">
        <f t="shared" si="120"/>
        <v>DNS/DNF ()</v>
      </c>
      <c r="AC224" s="53" t="str">
        <f t="shared" si="121"/>
        <v>DNS/DNF ()</v>
      </c>
      <c r="AD224" s="53" t="str">
        <f t="shared" si="122"/>
        <v>DNS/DNF ()</v>
      </c>
      <c r="AE224" s="53">
        <v>0</v>
      </c>
      <c r="AF224" s="53">
        <v>0</v>
      </c>
      <c r="AG224" s="53">
        <v>36495364</v>
      </c>
      <c r="AH224" s="53">
        <v>36827562</v>
      </c>
      <c r="AI224" s="53">
        <v>40654390</v>
      </c>
      <c r="AJ224" s="53">
        <v>40856058</v>
      </c>
      <c r="AK224" s="53">
        <v>0</v>
      </c>
      <c r="AL224" s="53">
        <v>0</v>
      </c>
      <c r="AM224" s="53">
        <v>44724682</v>
      </c>
      <c r="AN224" s="53">
        <v>45125327</v>
      </c>
      <c r="AO224" s="53">
        <v>0</v>
      </c>
      <c r="AP224" s="53">
        <v>0</v>
      </c>
      <c r="AQ224" s="53">
        <v>0</v>
      </c>
      <c r="AR224" s="53">
        <v>0</v>
      </c>
      <c r="AS224" s="53">
        <v>0</v>
      </c>
      <c r="AT224" s="53">
        <v>0</v>
      </c>
      <c r="AU224" s="62" t="str">
        <f t="shared" si="123"/>
        <v>DNS/DNF</v>
      </c>
      <c r="AV224" s="62">
        <f t="shared" si="124"/>
        <v>3.8448842592592593E-3</v>
      </c>
      <c r="AW224" s="62">
        <f t="shared" si="125"/>
        <v>2.3341203703703705E-3</v>
      </c>
      <c r="AX224" s="62" t="str">
        <f t="shared" si="126"/>
        <v>DNS/DNF</v>
      </c>
      <c r="AY224" s="62">
        <f t="shared" si="127"/>
        <v>4.6370949074074075E-3</v>
      </c>
      <c r="AZ224" s="62" t="str">
        <f t="shared" si="128"/>
        <v>DNS/DNF</v>
      </c>
      <c r="BA224" s="62" t="str">
        <f t="shared" si="129"/>
        <v>DNS/DNF</v>
      </c>
      <c r="BB224" s="62" t="str">
        <f t="shared" si="130"/>
        <v>DNS/DNF</v>
      </c>
      <c r="BC224" s="75">
        <f t="shared" si="131"/>
        <v>220</v>
      </c>
      <c r="BD224" s="53" t="str">
        <f t="shared" si="132"/>
        <v/>
      </c>
      <c r="BE224" s="53">
        <f t="shared" si="133"/>
        <v>322437</v>
      </c>
      <c r="BF224" s="53">
        <f t="shared" si="134"/>
        <v>194326</v>
      </c>
      <c r="BG224" s="53" t="str">
        <f t="shared" si="135"/>
        <v/>
      </c>
      <c r="BH224" s="53">
        <f t="shared" si="136"/>
        <v>429326</v>
      </c>
      <c r="BI224" s="53" t="str">
        <f t="shared" si="137"/>
        <v/>
      </c>
      <c r="BJ224" s="53" t="str">
        <f t="shared" si="138"/>
        <v/>
      </c>
      <c r="BK224" s="53" t="str">
        <f t="shared" si="139"/>
        <v/>
      </c>
    </row>
    <row r="225" spans="1:63">
      <c r="A225" s="53">
        <v>28</v>
      </c>
      <c r="B225" s="89" t="str">
        <f>IFERROR(VLOOKUP($A225,EntryList!$A$3:$N$645,2,FALSE),"")</f>
        <v>Ridoh Gamildien</v>
      </c>
      <c r="C225" s="74"/>
      <c r="D225" s="53">
        <f t="shared" si="105"/>
        <v>3</v>
      </c>
      <c r="E225" s="62"/>
      <c r="F225" s="62">
        <v>3.7756018518518525E-3</v>
      </c>
      <c r="G225" s="62">
        <v>2.3425694444444444E-3</v>
      </c>
      <c r="H225" s="62"/>
      <c r="I225" s="62">
        <v>4.7082870370370369E-3</v>
      </c>
      <c r="J225" s="62"/>
      <c r="K225" s="62"/>
      <c r="L225" s="62"/>
      <c r="M225" s="62">
        <v>1.0826458333333332E-2</v>
      </c>
      <c r="N225" s="62">
        <f t="shared" si="106"/>
        <v>1.0826458333333334E-2</v>
      </c>
      <c r="O225" s="53" t="str">
        <f t="shared" si="107"/>
        <v/>
      </c>
      <c r="P225" s="53">
        <f t="shared" si="108"/>
        <v>225</v>
      </c>
      <c r="Q225" s="53">
        <f t="shared" si="109"/>
        <v>229</v>
      </c>
      <c r="R225" s="53" t="str">
        <f t="shared" si="110"/>
        <v/>
      </c>
      <c r="S225" s="53">
        <f t="shared" si="111"/>
        <v>207</v>
      </c>
      <c r="T225" s="53" t="str">
        <f t="shared" si="112"/>
        <v/>
      </c>
      <c r="U225" s="53" t="str">
        <f t="shared" si="113"/>
        <v/>
      </c>
      <c r="V225" s="53" t="str">
        <f t="shared" si="114"/>
        <v/>
      </c>
      <c r="W225" s="53" t="str">
        <f t="shared" si="115"/>
        <v>DNS/DNF ()</v>
      </c>
      <c r="X225" s="53" t="str">
        <f t="shared" si="116"/>
        <v>00:05:26.2 (225)</v>
      </c>
      <c r="Y225" s="53" t="str">
        <f t="shared" si="117"/>
        <v>00:03:22.4 (229)</v>
      </c>
      <c r="Z225" s="53" t="str">
        <f t="shared" si="118"/>
        <v>DNS/DNF ()</v>
      </c>
      <c r="AA225" s="53" t="str">
        <f t="shared" si="119"/>
        <v>00:06:46.8 (207)</v>
      </c>
      <c r="AB225" s="53" t="str">
        <f t="shared" si="120"/>
        <v>DNS/DNF ()</v>
      </c>
      <c r="AC225" s="53" t="str">
        <f t="shared" si="121"/>
        <v>DNS/DNF ()</v>
      </c>
      <c r="AD225" s="53" t="str">
        <f t="shared" si="122"/>
        <v>DNS/DNF ()</v>
      </c>
      <c r="AE225" s="53">
        <v>0</v>
      </c>
      <c r="AF225" s="53">
        <v>0</v>
      </c>
      <c r="AG225" s="53">
        <v>35653314</v>
      </c>
      <c r="AH225" s="53">
        <v>35979526</v>
      </c>
      <c r="AI225" s="53">
        <v>40240906</v>
      </c>
      <c r="AJ225" s="53">
        <v>40443304</v>
      </c>
      <c r="AK225" s="53">
        <v>0</v>
      </c>
      <c r="AL225" s="53">
        <v>0</v>
      </c>
      <c r="AM225" s="53">
        <v>44176846</v>
      </c>
      <c r="AN225" s="53">
        <v>44583642</v>
      </c>
      <c r="AO225" s="53">
        <v>0</v>
      </c>
      <c r="AP225" s="53">
        <v>0</v>
      </c>
      <c r="AQ225" s="53">
        <v>0</v>
      </c>
      <c r="AR225" s="53">
        <v>0</v>
      </c>
      <c r="AS225" s="53">
        <v>0</v>
      </c>
      <c r="AT225" s="53">
        <v>0</v>
      </c>
      <c r="AU225" s="62" t="str">
        <f t="shared" si="123"/>
        <v>DNS/DNF</v>
      </c>
      <c r="AV225" s="62">
        <f t="shared" si="124"/>
        <v>3.775601851851852E-3</v>
      </c>
      <c r="AW225" s="62">
        <f t="shared" si="125"/>
        <v>2.3425694444444444E-3</v>
      </c>
      <c r="AX225" s="62" t="str">
        <f t="shared" si="126"/>
        <v>DNS/DNF</v>
      </c>
      <c r="AY225" s="62">
        <f t="shared" si="127"/>
        <v>4.7082870370370369E-3</v>
      </c>
      <c r="AZ225" s="62" t="str">
        <f t="shared" si="128"/>
        <v>DNS/DNF</v>
      </c>
      <c r="BA225" s="62" t="str">
        <f t="shared" si="129"/>
        <v>DNS/DNF</v>
      </c>
      <c r="BB225" s="62" t="str">
        <f t="shared" si="130"/>
        <v>DNS/DNF</v>
      </c>
      <c r="BC225" s="75">
        <f t="shared" si="131"/>
        <v>220</v>
      </c>
      <c r="BD225" s="53" t="str">
        <f t="shared" si="132"/>
        <v/>
      </c>
      <c r="BE225" s="53">
        <f t="shared" si="133"/>
        <v>322437</v>
      </c>
      <c r="BF225" s="53">
        <f t="shared" si="134"/>
        <v>194326</v>
      </c>
      <c r="BG225" s="53" t="str">
        <f t="shared" si="135"/>
        <v/>
      </c>
      <c r="BH225" s="53">
        <f t="shared" si="136"/>
        <v>429326</v>
      </c>
      <c r="BI225" s="53" t="str">
        <f t="shared" si="137"/>
        <v/>
      </c>
      <c r="BJ225" s="53" t="str">
        <f t="shared" si="138"/>
        <v/>
      </c>
      <c r="BK225" s="53" t="str">
        <f t="shared" si="139"/>
        <v/>
      </c>
    </row>
    <row r="226" spans="1:63">
      <c r="A226" s="53">
        <v>181</v>
      </c>
      <c r="B226" s="89" t="str">
        <f>IFERROR(VLOOKUP($A226,EntryList!$A$3:$N$645,2,FALSE),"")</f>
        <v>Robert-John Behan</v>
      </c>
      <c r="C226" s="74"/>
      <c r="D226" s="53">
        <f t="shared" si="105"/>
        <v>3</v>
      </c>
      <c r="E226" s="62"/>
      <c r="F226" s="62">
        <v>3.6813657407407407E-3</v>
      </c>
      <c r="G226" s="62">
        <v>2.3323495370370369E-3</v>
      </c>
      <c r="H226" s="62"/>
      <c r="I226" s="62">
        <v>4.8419791666666672E-3</v>
      </c>
      <c r="J226" s="62"/>
      <c r="K226" s="62"/>
      <c r="L226" s="62"/>
      <c r="M226" s="62">
        <v>1.0855694444444444E-2</v>
      </c>
      <c r="N226" s="62">
        <f t="shared" si="106"/>
        <v>1.0855694444444444E-2</v>
      </c>
      <c r="O226" s="53" t="str">
        <f t="shared" si="107"/>
        <v/>
      </c>
      <c r="P226" s="53">
        <f t="shared" si="108"/>
        <v>218</v>
      </c>
      <c r="Q226" s="53">
        <f t="shared" si="109"/>
        <v>226</v>
      </c>
      <c r="R226" s="53" t="str">
        <f t="shared" si="110"/>
        <v/>
      </c>
      <c r="S226" s="53">
        <f t="shared" si="111"/>
        <v>215</v>
      </c>
      <c r="T226" s="53" t="str">
        <f t="shared" si="112"/>
        <v/>
      </c>
      <c r="U226" s="53" t="str">
        <f t="shared" si="113"/>
        <v/>
      </c>
      <c r="V226" s="53" t="str">
        <f t="shared" si="114"/>
        <v/>
      </c>
      <c r="W226" s="53" t="str">
        <f t="shared" si="115"/>
        <v>DNS/DNF ()</v>
      </c>
      <c r="X226" s="53" t="str">
        <f t="shared" si="116"/>
        <v>00:05:18.1 (218)</v>
      </c>
      <c r="Y226" s="53" t="str">
        <f t="shared" si="117"/>
        <v>00:03:21.5 (226)</v>
      </c>
      <c r="Z226" s="53" t="str">
        <f t="shared" si="118"/>
        <v>DNS/DNF ()</v>
      </c>
      <c r="AA226" s="53" t="str">
        <f t="shared" si="119"/>
        <v>00:06:58.3 (215)</v>
      </c>
      <c r="AB226" s="53" t="str">
        <f t="shared" si="120"/>
        <v>DNS/DNF ()</v>
      </c>
      <c r="AC226" s="53" t="str">
        <f t="shared" si="121"/>
        <v>DNS/DNF ()</v>
      </c>
      <c r="AD226" s="53" t="str">
        <f t="shared" si="122"/>
        <v>DNS/DNF ()</v>
      </c>
      <c r="AE226" s="53">
        <v>0</v>
      </c>
      <c r="AF226" s="53">
        <v>0</v>
      </c>
      <c r="AG226" s="53">
        <v>34318491</v>
      </c>
      <c r="AH226" s="53">
        <v>34636561</v>
      </c>
      <c r="AI226" s="53">
        <v>37401724</v>
      </c>
      <c r="AJ226" s="53">
        <v>37603239</v>
      </c>
      <c r="AK226" s="53">
        <v>0</v>
      </c>
      <c r="AL226" s="53">
        <v>0</v>
      </c>
      <c r="AM226" s="53">
        <v>40334920</v>
      </c>
      <c r="AN226" s="53">
        <v>40753267</v>
      </c>
      <c r="AO226" s="53">
        <v>0</v>
      </c>
      <c r="AP226" s="53">
        <v>0</v>
      </c>
      <c r="AQ226" s="53">
        <v>0</v>
      </c>
      <c r="AR226" s="53">
        <v>0</v>
      </c>
      <c r="AS226" s="53">
        <v>0</v>
      </c>
      <c r="AT226" s="53">
        <v>0</v>
      </c>
      <c r="AU226" s="62" t="str">
        <f t="shared" si="123"/>
        <v>DNS/DNF</v>
      </c>
      <c r="AV226" s="62">
        <f t="shared" si="124"/>
        <v>3.6813657407407407E-3</v>
      </c>
      <c r="AW226" s="62">
        <f t="shared" si="125"/>
        <v>2.3323495370370369E-3</v>
      </c>
      <c r="AX226" s="62" t="str">
        <f t="shared" si="126"/>
        <v>DNS/DNF</v>
      </c>
      <c r="AY226" s="62">
        <f t="shared" si="127"/>
        <v>4.8419791666666663E-3</v>
      </c>
      <c r="AZ226" s="62" t="str">
        <f t="shared" si="128"/>
        <v>DNS/DNF</v>
      </c>
      <c r="BA226" s="62" t="str">
        <f t="shared" si="129"/>
        <v>DNS/DNF</v>
      </c>
      <c r="BB226" s="62" t="str">
        <f t="shared" si="130"/>
        <v>DNS/DNF</v>
      </c>
      <c r="BC226" s="75">
        <f t="shared" si="131"/>
        <v>220</v>
      </c>
      <c r="BD226" s="53" t="str">
        <f t="shared" si="132"/>
        <v/>
      </c>
      <c r="BE226" s="53">
        <f t="shared" si="133"/>
        <v>322437</v>
      </c>
      <c r="BF226" s="53">
        <f t="shared" si="134"/>
        <v>194326</v>
      </c>
      <c r="BG226" s="53" t="str">
        <f t="shared" si="135"/>
        <v/>
      </c>
      <c r="BH226" s="53">
        <f t="shared" si="136"/>
        <v>429326</v>
      </c>
      <c r="BI226" s="53" t="str">
        <f t="shared" si="137"/>
        <v/>
      </c>
      <c r="BJ226" s="53" t="str">
        <f t="shared" si="138"/>
        <v/>
      </c>
      <c r="BK226" s="53" t="str">
        <f t="shared" si="139"/>
        <v/>
      </c>
    </row>
    <row r="227" spans="1:63">
      <c r="A227" s="53">
        <v>282</v>
      </c>
      <c r="B227" s="89" t="str">
        <f>IFERROR(VLOOKUP($A227,EntryList!$A$3:$N$645,2,FALSE),"")</f>
        <v>John Kabalin</v>
      </c>
      <c r="C227" s="74"/>
      <c r="D227" s="53">
        <f t="shared" si="105"/>
        <v>3</v>
      </c>
      <c r="E227" s="62"/>
      <c r="F227" s="62">
        <v>3.9374421296296293E-3</v>
      </c>
      <c r="G227" s="62">
        <v>2.2340624999999999E-3</v>
      </c>
      <c r="H227" s="62"/>
      <c r="I227" s="62">
        <v>4.723854166666667E-3</v>
      </c>
      <c r="J227" s="62"/>
      <c r="K227" s="62"/>
      <c r="L227" s="62"/>
      <c r="M227" s="62">
        <v>1.0895358796296295E-2</v>
      </c>
      <c r="N227" s="62">
        <f t="shared" si="106"/>
        <v>1.0895358796296297E-2</v>
      </c>
      <c r="O227" s="53" t="str">
        <f t="shared" si="107"/>
        <v/>
      </c>
      <c r="P227" s="53">
        <f t="shared" si="108"/>
        <v>237</v>
      </c>
      <c r="Q227" s="53">
        <f t="shared" si="109"/>
        <v>219</v>
      </c>
      <c r="R227" s="53" t="str">
        <f t="shared" si="110"/>
        <v/>
      </c>
      <c r="S227" s="53">
        <f t="shared" si="111"/>
        <v>210</v>
      </c>
      <c r="T227" s="53" t="str">
        <f t="shared" si="112"/>
        <v/>
      </c>
      <c r="U227" s="53" t="str">
        <f t="shared" si="113"/>
        <v/>
      </c>
      <c r="V227" s="53" t="str">
        <f t="shared" si="114"/>
        <v/>
      </c>
      <c r="W227" s="53" t="str">
        <f t="shared" si="115"/>
        <v>DNS/DNF ()</v>
      </c>
      <c r="X227" s="53" t="str">
        <f t="shared" si="116"/>
        <v>00:05:40.2 (237)</v>
      </c>
      <c r="Y227" s="53" t="str">
        <f t="shared" si="117"/>
        <v>00:03:13.0 (219)</v>
      </c>
      <c r="Z227" s="53" t="str">
        <f t="shared" si="118"/>
        <v>DNS/DNF ()</v>
      </c>
      <c r="AA227" s="53" t="str">
        <f t="shared" si="119"/>
        <v>00:06:48.1 (210)</v>
      </c>
      <c r="AB227" s="53" t="str">
        <f t="shared" si="120"/>
        <v>DNS/DNF ()</v>
      </c>
      <c r="AC227" s="53" t="str">
        <f t="shared" si="121"/>
        <v>DNS/DNF ()</v>
      </c>
      <c r="AD227" s="53" t="str">
        <f t="shared" si="122"/>
        <v>DNS/DNF ()</v>
      </c>
      <c r="AE227" s="53">
        <v>0</v>
      </c>
      <c r="AF227" s="53">
        <v>0</v>
      </c>
      <c r="AG227" s="53">
        <v>34248798</v>
      </c>
      <c r="AH227" s="53">
        <v>34588993</v>
      </c>
      <c r="AI227" s="53">
        <v>37674802</v>
      </c>
      <c r="AJ227" s="53">
        <v>37867825</v>
      </c>
      <c r="AK227" s="53">
        <v>0</v>
      </c>
      <c r="AL227" s="53">
        <v>0</v>
      </c>
      <c r="AM227" s="53">
        <v>41276328</v>
      </c>
      <c r="AN227" s="53">
        <v>41684469</v>
      </c>
      <c r="AO227" s="53">
        <v>0</v>
      </c>
      <c r="AP227" s="53">
        <v>0</v>
      </c>
      <c r="AQ227" s="53">
        <v>0</v>
      </c>
      <c r="AR227" s="53">
        <v>0</v>
      </c>
      <c r="AS227" s="53">
        <v>0</v>
      </c>
      <c r="AT227" s="53">
        <v>0</v>
      </c>
      <c r="AU227" s="62" t="str">
        <f t="shared" si="123"/>
        <v>DNS/DNF</v>
      </c>
      <c r="AV227" s="62">
        <f t="shared" si="124"/>
        <v>3.9374421296296293E-3</v>
      </c>
      <c r="AW227" s="62">
        <f t="shared" si="125"/>
        <v>2.2340624999999999E-3</v>
      </c>
      <c r="AX227" s="62" t="str">
        <f t="shared" si="126"/>
        <v>DNS/DNF</v>
      </c>
      <c r="AY227" s="62">
        <f t="shared" si="127"/>
        <v>4.723854166666667E-3</v>
      </c>
      <c r="AZ227" s="62" t="str">
        <f t="shared" si="128"/>
        <v>DNS/DNF</v>
      </c>
      <c r="BA227" s="62" t="str">
        <f t="shared" si="129"/>
        <v>DNS/DNF</v>
      </c>
      <c r="BB227" s="62" t="str">
        <f t="shared" si="130"/>
        <v>DNS/DNF</v>
      </c>
      <c r="BC227" s="75">
        <f t="shared" si="131"/>
        <v>222</v>
      </c>
      <c r="BD227" s="53" t="str">
        <f t="shared" si="132"/>
        <v/>
      </c>
      <c r="BE227" s="53">
        <f t="shared" si="133"/>
        <v>323105</v>
      </c>
      <c r="BF227" s="53">
        <f t="shared" si="134"/>
        <v>195909.00000000003</v>
      </c>
      <c r="BG227" s="53" t="str">
        <f t="shared" si="135"/>
        <v/>
      </c>
      <c r="BH227" s="53">
        <f t="shared" si="136"/>
        <v>429793</v>
      </c>
      <c r="BI227" s="53" t="str">
        <f t="shared" si="137"/>
        <v/>
      </c>
      <c r="BJ227" s="53" t="str">
        <f t="shared" si="138"/>
        <v/>
      </c>
      <c r="BK227" s="53" t="str">
        <f t="shared" si="139"/>
        <v/>
      </c>
    </row>
    <row r="228" spans="1:63">
      <c r="A228" s="53">
        <v>116</v>
      </c>
      <c r="B228" s="89" t="str">
        <f>IFERROR(VLOOKUP($A228,EntryList!$A$3:$N$645,2,FALSE),"")</f>
        <v>Dean Du Plooy</v>
      </c>
      <c r="C228" s="74"/>
      <c r="D228" s="53">
        <f t="shared" si="105"/>
        <v>3</v>
      </c>
      <c r="E228" s="62"/>
      <c r="F228" s="62">
        <v>3.7522106481481486E-3</v>
      </c>
      <c r="G228" s="62">
        <v>2.3365277777777781E-3</v>
      </c>
      <c r="H228" s="62"/>
      <c r="I228" s="62">
        <v>4.8778587962962968E-3</v>
      </c>
      <c r="J228" s="62"/>
      <c r="K228" s="62"/>
      <c r="L228" s="62"/>
      <c r="M228" s="62">
        <v>1.0966597222222221E-2</v>
      </c>
      <c r="N228" s="62">
        <f t="shared" si="106"/>
        <v>1.0966597222222221E-2</v>
      </c>
      <c r="O228" s="53" t="str">
        <f t="shared" si="107"/>
        <v/>
      </c>
      <c r="P228" s="53">
        <f t="shared" si="108"/>
        <v>223</v>
      </c>
      <c r="Q228" s="53">
        <f t="shared" si="109"/>
        <v>228</v>
      </c>
      <c r="R228" s="53" t="str">
        <f t="shared" si="110"/>
        <v/>
      </c>
      <c r="S228" s="53">
        <f t="shared" si="111"/>
        <v>217</v>
      </c>
      <c r="T228" s="53" t="str">
        <f t="shared" si="112"/>
        <v/>
      </c>
      <c r="U228" s="53" t="str">
        <f t="shared" si="113"/>
        <v/>
      </c>
      <c r="V228" s="53" t="str">
        <f t="shared" si="114"/>
        <v/>
      </c>
      <c r="W228" s="53" t="str">
        <f t="shared" si="115"/>
        <v>DNS/DNF ()</v>
      </c>
      <c r="X228" s="53" t="str">
        <f t="shared" si="116"/>
        <v>00:05:24.2 (223)</v>
      </c>
      <c r="Y228" s="53" t="str">
        <f t="shared" si="117"/>
        <v>00:03:21.9 (228)</v>
      </c>
      <c r="Z228" s="53" t="str">
        <f t="shared" si="118"/>
        <v>DNS/DNF ()</v>
      </c>
      <c r="AA228" s="53" t="str">
        <f t="shared" si="119"/>
        <v>00:07:01.4 (217)</v>
      </c>
      <c r="AB228" s="53" t="str">
        <f t="shared" si="120"/>
        <v>DNS/DNF ()</v>
      </c>
      <c r="AC228" s="53" t="str">
        <f t="shared" si="121"/>
        <v>DNS/DNF ()</v>
      </c>
      <c r="AD228" s="53" t="str">
        <f t="shared" si="122"/>
        <v>DNS/DNF ()</v>
      </c>
      <c r="AE228" s="53">
        <v>0</v>
      </c>
      <c r="AF228" s="53">
        <v>0</v>
      </c>
      <c r="AG228" s="53">
        <v>37327651</v>
      </c>
      <c r="AH228" s="53">
        <v>37651842</v>
      </c>
      <c r="AI228" s="53">
        <v>41816362</v>
      </c>
      <c r="AJ228" s="53">
        <v>42018238</v>
      </c>
      <c r="AK228" s="53">
        <v>0</v>
      </c>
      <c r="AL228" s="53">
        <v>0</v>
      </c>
      <c r="AM228" s="53">
        <v>48596138</v>
      </c>
      <c r="AN228" s="53">
        <v>49017585</v>
      </c>
      <c r="AO228" s="53">
        <v>0</v>
      </c>
      <c r="AP228" s="53">
        <v>0</v>
      </c>
      <c r="AQ228" s="53">
        <v>0</v>
      </c>
      <c r="AR228" s="53">
        <v>0</v>
      </c>
      <c r="AS228" s="53">
        <v>0</v>
      </c>
      <c r="AT228" s="53">
        <v>0</v>
      </c>
      <c r="AU228" s="62" t="str">
        <f t="shared" si="123"/>
        <v>DNS/DNF</v>
      </c>
      <c r="AV228" s="62">
        <f t="shared" si="124"/>
        <v>3.7522106481481482E-3</v>
      </c>
      <c r="AW228" s="62">
        <f t="shared" si="125"/>
        <v>2.3365277777777776E-3</v>
      </c>
      <c r="AX228" s="62" t="str">
        <f t="shared" si="126"/>
        <v>DNS/DNF</v>
      </c>
      <c r="AY228" s="62">
        <f t="shared" si="127"/>
        <v>4.8778587962962959E-3</v>
      </c>
      <c r="AZ228" s="62" t="str">
        <f t="shared" si="128"/>
        <v>DNS/DNF</v>
      </c>
      <c r="BA228" s="62" t="str">
        <f t="shared" si="129"/>
        <v>DNS/DNF</v>
      </c>
      <c r="BB228" s="62" t="str">
        <f t="shared" si="130"/>
        <v>DNS/DNF</v>
      </c>
      <c r="BC228" s="75">
        <f t="shared" si="131"/>
        <v>223</v>
      </c>
      <c r="BD228" s="53" t="str">
        <f t="shared" si="132"/>
        <v/>
      </c>
      <c r="BE228" s="53">
        <f t="shared" si="133"/>
        <v>324191</v>
      </c>
      <c r="BF228" s="53">
        <f t="shared" si="134"/>
        <v>196062</v>
      </c>
      <c r="BG228" s="53" t="str">
        <f t="shared" si="135"/>
        <v/>
      </c>
      <c r="BH228" s="53">
        <f t="shared" si="136"/>
        <v>430202</v>
      </c>
      <c r="BI228" s="53" t="str">
        <f t="shared" si="137"/>
        <v/>
      </c>
      <c r="BJ228" s="53" t="str">
        <f t="shared" si="138"/>
        <v/>
      </c>
      <c r="BK228" s="53" t="str">
        <f t="shared" si="139"/>
        <v/>
      </c>
    </row>
    <row r="229" spans="1:63">
      <c r="A229" s="53">
        <v>50</v>
      </c>
      <c r="B229" s="89" t="str">
        <f>IFERROR(VLOOKUP($A229,EntryList!$A$3:$N$645,2,FALSE),"")</f>
        <v>Alan Chait</v>
      </c>
      <c r="C229" s="74"/>
      <c r="D229" s="53">
        <f t="shared" si="105"/>
        <v>3</v>
      </c>
      <c r="E229" s="62"/>
      <c r="F229" s="62">
        <v>4.1357175925925927E-3</v>
      </c>
      <c r="G229" s="62">
        <v>2.4351157407407407E-3</v>
      </c>
      <c r="H229" s="62"/>
      <c r="I229" s="62"/>
      <c r="J229" s="62"/>
      <c r="K229" s="62"/>
      <c r="L229" s="62"/>
      <c r="M229" s="62">
        <v>6.5708333333333339E-3</v>
      </c>
      <c r="N229" s="62">
        <f t="shared" si="106"/>
        <v>1.0988159722222222E-2</v>
      </c>
      <c r="O229" s="53" t="str">
        <f t="shared" si="107"/>
        <v/>
      </c>
      <c r="P229" s="53">
        <f t="shared" si="108"/>
        <v>240</v>
      </c>
      <c r="Q229" s="53">
        <f t="shared" si="109"/>
        <v>235</v>
      </c>
      <c r="R229" s="53" t="str">
        <f t="shared" si="110"/>
        <v/>
      </c>
      <c r="S229" s="53">
        <f t="shared" si="111"/>
        <v>176</v>
      </c>
      <c r="T229" s="53" t="str">
        <f t="shared" si="112"/>
        <v/>
      </c>
      <c r="U229" s="53" t="str">
        <f t="shared" si="113"/>
        <v/>
      </c>
      <c r="V229" s="53" t="str">
        <f t="shared" si="114"/>
        <v/>
      </c>
      <c r="W229" s="53" t="str">
        <f t="shared" si="115"/>
        <v>DNS/DNF ()</v>
      </c>
      <c r="X229" s="53" t="str">
        <f t="shared" si="116"/>
        <v>00:05:57.3 (240)</v>
      </c>
      <c r="Y229" s="53" t="str">
        <f t="shared" si="117"/>
        <v>00:03:30.4 (235)</v>
      </c>
      <c r="Z229" s="53" t="str">
        <f t="shared" si="118"/>
        <v>DNS/DNF ()</v>
      </c>
      <c r="AA229" s="53" t="str">
        <f t="shared" si="119"/>
        <v>00:06:21.7 (176)</v>
      </c>
      <c r="AB229" s="53" t="str">
        <f t="shared" si="120"/>
        <v>DNS/DNF ()</v>
      </c>
      <c r="AC229" s="53" t="str">
        <f t="shared" si="121"/>
        <v>DNS/DNF ()</v>
      </c>
      <c r="AD229" s="53" t="str">
        <f t="shared" si="122"/>
        <v>DNS/DNF ()</v>
      </c>
      <c r="AE229" s="53">
        <v>0</v>
      </c>
      <c r="AF229" s="53">
        <v>0</v>
      </c>
      <c r="AG229" s="53">
        <v>30589459</v>
      </c>
      <c r="AH229" s="53">
        <v>30946785</v>
      </c>
      <c r="AI229" s="53">
        <v>33008183</v>
      </c>
      <c r="AJ229" s="53">
        <v>33218577</v>
      </c>
      <c r="AK229" s="53">
        <v>0</v>
      </c>
      <c r="AL229" s="53">
        <v>0</v>
      </c>
      <c r="AM229" s="53">
        <v>36454066</v>
      </c>
      <c r="AN229" s="53">
        <v>36835723</v>
      </c>
      <c r="AO229" s="53">
        <v>0</v>
      </c>
      <c r="AP229" s="53">
        <v>0</v>
      </c>
      <c r="AQ229" s="53">
        <v>0</v>
      </c>
      <c r="AR229" s="53">
        <v>0</v>
      </c>
      <c r="AS229" s="53">
        <v>0</v>
      </c>
      <c r="AT229" s="53">
        <v>0</v>
      </c>
      <c r="AU229" s="62" t="str">
        <f t="shared" si="123"/>
        <v>DNS/DNF</v>
      </c>
      <c r="AV229" s="62">
        <f t="shared" si="124"/>
        <v>4.1357175925925927E-3</v>
      </c>
      <c r="AW229" s="62">
        <f t="shared" si="125"/>
        <v>2.4351157407407407E-3</v>
      </c>
      <c r="AX229" s="62" t="str">
        <f t="shared" si="126"/>
        <v>DNS/DNF</v>
      </c>
      <c r="AY229" s="62">
        <f t="shared" si="127"/>
        <v>4.417326388888889E-3</v>
      </c>
      <c r="AZ229" s="62" t="str">
        <f t="shared" si="128"/>
        <v>DNS/DNF</v>
      </c>
      <c r="BA229" s="62" t="str">
        <f t="shared" si="129"/>
        <v>DNS/DNF</v>
      </c>
      <c r="BB229" s="62" t="str">
        <f t="shared" si="130"/>
        <v>DNS/DNF</v>
      </c>
      <c r="BC229" s="75">
        <f t="shared" si="131"/>
        <v>217</v>
      </c>
      <c r="BD229" s="53" t="str">
        <f t="shared" si="132"/>
        <v/>
      </c>
      <c r="BE229" s="53">
        <f t="shared" si="133"/>
        <v>316539</v>
      </c>
      <c r="BF229" s="53">
        <f t="shared" si="134"/>
        <v>191712</v>
      </c>
      <c r="BG229" s="53" t="str">
        <f t="shared" si="135"/>
        <v/>
      </c>
      <c r="BH229" s="53">
        <f t="shared" si="136"/>
        <v>421446.99999999994</v>
      </c>
      <c r="BI229" s="53" t="str">
        <f t="shared" si="137"/>
        <v/>
      </c>
      <c r="BJ229" s="53" t="str">
        <f t="shared" si="138"/>
        <v/>
      </c>
      <c r="BK229" s="53" t="str">
        <f t="shared" si="139"/>
        <v/>
      </c>
    </row>
    <row r="230" spans="1:63">
      <c r="A230" s="53">
        <v>195</v>
      </c>
      <c r="B230" s="89" t="str">
        <f>IFERROR(VLOOKUP($A230,EntryList!$A$3:$N$645,2,FALSE),"")</f>
        <v>Karl Van Niekerk</v>
      </c>
      <c r="C230" s="74"/>
      <c r="D230" s="53">
        <f t="shared" si="105"/>
        <v>3</v>
      </c>
      <c r="E230" s="62"/>
      <c r="F230" s="62">
        <v>3.6378703703703707E-3</v>
      </c>
      <c r="G230" s="62">
        <v>2.0918750000000004E-3</v>
      </c>
      <c r="H230" s="62"/>
      <c r="I230" s="62">
        <v>5.2807754629629637E-3</v>
      </c>
      <c r="J230" s="62"/>
      <c r="K230" s="62"/>
      <c r="L230" s="62"/>
      <c r="M230" s="62">
        <v>1.1010520833333334E-2</v>
      </c>
      <c r="N230" s="62">
        <f t="shared" si="106"/>
        <v>1.1010520833333332E-2</v>
      </c>
      <c r="O230" s="53" t="str">
        <f t="shared" si="107"/>
        <v/>
      </c>
      <c r="P230" s="53">
        <f t="shared" si="108"/>
        <v>215</v>
      </c>
      <c r="Q230" s="53">
        <f t="shared" si="109"/>
        <v>208</v>
      </c>
      <c r="R230" s="53" t="str">
        <f t="shared" si="110"/>
        <v/>
      </c>
      <c r="S230" s="53">
        <f t="shared" si="111"/>
        <v>231</v>
      </c>
      <c r="T230" s="53" t="str">
        <f t="shared" si="112"/>
        <v/>
      </c>
      <c r="U230" s="53" t="str">
        <f t="shared" si="113"/>
        <v/>
      </c>
      <c r="V230" s="53" t="str">
        <f t="shared" si="114"/>
        <v/>
      </c>
      <c r="W230" s="53" t="str">
        <f t="shared" si="115"/>
        <v>DNS/DNF ()</v>
      </c>
      <c r="X230" s="53" t="str">
        <f t="shared" si="116"/>
        <v>00:05:14.3 (215)</v>
      </c>
      <c r="Y230" s="53" t="str">
        <f t="shared" si="117"/>
        <v>00:03:00.7 (208)</v>
      </c>
      <c r="Z230" s="53" t="str">
        <f t="shared" si="118"/>
        <v>DNS/DNF ()</v>
      </c>
      <c r="AA230" s="53" t="str">
        <f t="shared" si="119"/>
        <v>00:07:36.3 (231)</v>
      </c>
      <c r="AB230" s="53" t="str">
        <f t="shared" si="120"/>
        <v>DNS/DNF ()</v>
      </c>
      <c r="AC230" s="53" t="str">
        <f t="shared" si="121"/>
        <v>DNS/DNF ()</v>
      </c>
      <c r="AD230" s="53" t="str">
        <f t="shared" si="122"/>
        <v>DNS/DNF ()</v>
      </c>
      <c r="AE230" s="53">
        <v>0</v>
      </c>
      <c r="AF230" s="53">
        <v>0</v>
      </c>
      <c r="AG230" s="53">
        <v>36744020</v>
      </c>
      <c r="AH230" s="53">
        <v>37058332</v>
      </c>
      <c r="AI230" s="53">
        <v>41419192</v>
      </c>
      <c r="AJ230" s="53">
        <v>41599930</v>
      </c>
      <c r="AK230" s="53">
        <v>0</v>
      </c>
      <c r="AL230" s="53">
        <v>0</v>
      </c>
      <c r="AM230" s="53">
        <v>47864724</v>
      </c>
      <c r="AN230" s="53">
        <v>48320983</v>
      </c>
      <c r="AO230" s="53">
        <v>0</v>
      </c>
      <c r="AP230" s="53">
        <v>0</v>
      </c>
      <c r="AQ230" s="53">
        <v>0</v>
      </c>
      <c r="AR230" s="53">
        <v>0</v>
      </c>
      <c r="AS230" s="53">
        <v>0</v>
      </c>
      <c r="AT230" s="53">
        <v>0</v>
      </c>
      <c r="AU230" s="62" t="str">
        <f t="shared" si="123"/>
        <v>DNS/DNF</v>
      </c>
      <c r="AV230" s="62">
        <f t="shared" si="124"/>
        <v>3.6378703703703703E-3</v>
      </c>
      <c r="AW230" s="62">
        <f t="shared" si="125"/>
        <v>2.091875E-3</v>
      </c>
      <c r="AX230" s="62" t="str">
        <f t="shared" si="126"/>
        <v>DNS/DNF</v>
      </c>
      <c r="AY230" s="62">
        <f t="shared" si="127"/>
        <v>5.2807754629629628E-3</v>
      </c>
      <c r="AZ230" s="62" t="str">
        <f t="shared" si="128"/>
        <v>DNS/DNF</v>
      </c>
      <c r="BA230" s="62" t="str">
        <f t="shared" si="129"/>
        <v>DNS/DNF</v>
      </c>
      <c r="BB230" s="62" t="str">
        <f t="shared" si="130"/>
        <v>DNS/DNF</v>
      </c>
      <c r="BC230" s="75">
        <f t="shared" si="131"/>
        <v>218</v>
      </c>
      <c r="BD230" s="53" t="str">
        <f t="shared" si="132"/>
        <v/>
      </c>
      <c r="BE230" s="53">
        <f t="shared" si="133"/>
        <v>318070</v>
      </c>
      <c r="BF230" s="53">
        <f t="shared" si="134"/>
        <v>192680</v>
      </c>
      <c r="BG230" s="53" t="str">
        <f t="shared" si="135"/>
        <v/>
      </c>
      <c r="BH230" s="53">
        <f t="shared" si="136"/>
        <v>424071</v>
      </c>
      <c r="BI230" s="53" t="str">
        <f t="shared" si="137"/>
        <v/>
      </c>
      <c r="BJ230" s="53" t="str">
        <f t="shared" si="138"/>
        <v/>
      </c>
      <c r="BK230" s="53" t="str">
        <f t="shared" si="139"/>
        <v/>
      </c>
    </row>
    <row r="231" spans="1:63">
      <c r="A231" s="53">
        <v>64</v>
      </c>
      <c r="B231" s="89" t="str">
        <f>IFERROR(VLOOKUP($A231,EntryList!$A$3:$N$645,2,FALSE),"")</f>
        <v>Samantha Sharp</v>
      </c>
      <c r="C231" s="74"/>
      <c r="D231" s="53">
        <f t="shared" si="105"/>
        <v>3</v>
      </c>
      <c r="E231" s="62"/>
      <c r="F231" s="62">
        <v>3.8792013888888891E-3</v>
      </c>
      <c r="G231" s="62">
        <v>2.2300925925925925E-3</v>
      </c>
      <c r="H231" s="62"/>
      <c r="I231" s="62">
        <v>4.9690509259259262E-3</v>
      </c>
      <c r="J231" s="62"/>
      <c r="K231" s="62"/>
      <c r="L231" s="62"/>
      <c r="M231" s="62">
        <v>1.1078344907407408E-2</v>
      </c>
      <c r="N231" s="62">
        <f t="shared" si="106"/>
        <v>1.1078344907407407E-2</v>
      </c>
      <c r="O231" s="53" t="str">
        <f t="shared" si="107"/>
        <v/>
      </c>
      <c r="P231" s="53">
        <f t="shared" si="108"/>
        <v>235</v>
      </c>
      <c r="Q231" s="53">
        <f t="shared" si="109"/>
        <v>218</v>
      </c>
      <c r="R231" s="53" t="str">
        <f t="shared" si="110"/>
        <v/>
      </c>
      <c r="S231" s="53">
        <f t="shared" si="111"/>
        <v>220</v>
      </c>
      <c r="T231" s="53" t="str">
        <f t="shared" si="112"/>
        <v/>
      </c>
      <c r="U231" s="53" t="str">
        <f t="shared" si="113"/>
        <v/>
      </c>
      <c r="V231" s="53" t="str">
        <f t="shared" si="114"/>
        <v/>
      </c>
      <c r="W231" s="53" t="str">
        <f t="shared" si="115"/>
        <v>DNS/DNF ()</v>
      </c>
      <c r="X231" s="53" t="str">
        <f t="shared" si="116"/>
        <v>00:05:35.2 (235)</v>
      </c>
      <c r="Y231" s="53" t="str">
        <f t="shared" si="117"/>
        <v>00:03:12.7 (218)</v>
      </c>
      <c r="Z231" s="53" t="str">
        <f t="shared" si="118"/>
        <v>DNS/DNF ()</v>
      </c>
      <c r="AA231" s="53" t="str">
        <f t="shared" si="119"/>
        <v>00:07:09.3 (220)</v>
      </c>
      <c r="AB231" s="53" t="str">
        <f t="shared" si="120"/>
        <v>DNS/DNF ()</v>
      </c>
      <c r="AC231" s="53" t="str">
        <f t="shared" si="121"/>
        <v>DNS/DNF ()</v>
      </c>
      <c r="AD231" s="53" t="str">
        <f t="shared" si="122"/>
        <v>DNS/DNF ()</v>
      </c>
      <c r="AE231" s="53">
        <v>0</v>
      </c>
      <c r="AF231" s="53">
        <v>0</v>
      </c>
      <c r="AG231" s="53">
        <v>36698986</v>
      </c>
      <c r="AH231" s="53">
        <v>37034149</v>
      </c>
      <c r="AI231" s="53">
        <v>41403290</v>
      </c>
      <c r="AJ231" s="53">
        <v>41595970</v>
      </c>
      <c r="AK231" s="53">
        <v>0</v>
      </c>
      <c r="AL231" s="53">
        <v>0</v>
      </c>
      <c r="AM231" s="53">
        <v>47823616</v>
      </c>
      <c r="AN231" s="53">
        <v>48252942</v>
      </c>
      <c r="AO231" s="53">
        <v>0</v>
      </c>
      <c r="AP231" s="53">
        <v>0</v>
      </c>
      <c r="AQ231" s="53">
        <v>0</v>
      </c>
      <c r="AR231" s="53">
        <v>0</v>
      </c>
      <c r="AS231" s="53">
        <v>0</v>
      </c>
      <c r="AT231" s="53">
        <v>0</v>
      </c>
      <c r="AU231" s="62" t="str">
        <f t="shared" si="123"/>
        <v>DNS/DNF</v>
      </c>
      <c r="AV231" s="62">
        <f t="shared" si="124"/>
        <v>3.8792013888888891E-3</v>
      </c>
      <c r="AW231" s="62">
        <f t="shared" si="125"/>
        <v>2.2300925925925925E-3</v>
      </c>
      <c r="AX231" s="62" t="str">
        <f t="shared" si="126"/>
        <v>DNS/DNF</v>
      </c>
      <c r="AY231" s="62">
        <f t="shared" si="127"/>
        <v>4.9690509259259262E-3</v>
      </c>
      <c r="AZ231" s="62" t="str">
        <f t="shared" si="128"/>
        <v>DNS/DNF</v>
      </c>
      <c r="BA231" s="62" t="str">
        <f t="shared" si="129"/>
        <v>DNS/DNF</v>
      </c>
      <c r="BB231" s="62" t="str">
        <f t="shared" si="130"/>
        <v>DNS/DNF</v>
      </c>
      <c r="BC231" s="75">
        <f t="shared" si="131"/>
        <v>224</v>
      </c>
      <c r="BD231" s="53" t="str">
        <f t="shared" si="132"/>
        <v/>
      </c>
      <c r="BE231" s="53">
        <f t="shared" si="133"/>
        <v>325095</v>
      </c>
      <c r="BF231" s="53">
        <f t="shared" si="134"/>
        <v>196921.99999999997</v>
      </c>
      <c r="BG231" s="53" t="str">
        <f t="shared" si="135"/>
        <v/>
      </c>
      <c r="BH231" s="53">
        <f t="shared" si="136"/>
        <v>435026</v>
      </c>
      <c r="BI231" s="53" t="str">
        <f t="shared" si="137"/>
        <v/>
      </c>
      <c r="BJ231" s="53" t="str">
        <f t="shared" si="138"/>
        <v/>
      </c>
      <c r="BK231" s="53" t="str">
        <f t="shared" si="139"/>
        <v/>
      </c>
    </row>
    <row r="232" spans="1:63">
      <c r="A232" s="53">
        <v>78</v>
      </c>
      <c r="B232" s="89" t="str">
        <f>IFERROR(VLOOKUP($A232,EntryList!$A$3:$N$645,2,FALSE),"")</f>
        <v>Dacre Ewan</v>
      </c>
      <c r="C232" s="74"/>
      <c r="D232" s="53">
        <f t="shared" si="105"/>
        <v>3</v>
      </c>
      <c r="E232" s="62"/>
      <c r="F232" s="62">
        <v>3.8074421296296294E-3</v>
      </c>
      <c r="G232" s="62">
        <v>2.4007870370370368E-3</v>
      </c>
      <c r="H232" s="62"/>
      <c r="I232" s="62">
        <v>4.9391319444444448E-3</v>
      </c>
      <c r="J232" s="62"/>
      <c r="K232" s="62"/>
      <c r="L232" s="62"/>
      <c r="M232" s="62">
        <v>1.114736111111111E-2</v>
      </c>
      <c r="N232" s="62">
        <f t="shared" si="106"/>
        <v>1.1147361111111111E-2</v>
      </c>
      <c r="O232" s="53" t="str">
        <f t="shared" si="107"/>
        <v/>
      </c>
      <c r="P232" s="53">
        <f t="shared" si="108"/>
        <v>227</v>
      </c>
      <c r="Q232" s="53">
        <f t="shared" si="109"/>
        <v>231</v>
      </c>
      <c r="R232" s="53" t="str">
        <f t="shared" si="110"/>
        <v/>
      </c>
      <c r="S232" s="53">
        <f t="shared" si="111"/>
        <v>219</v>
      </c>
      <c r="T232" s="53" t="str">
        <f t="shared" si="112"/>
        <v/>
      </c>
      <c r="U232" s="53" t="str">
        <f t="shared" si="113"/>
        <v/>
      </c>
      <c r="V232" s="53" t="str">
        <f t="shared" si="114"/>
        <v/>
      </c>
      <c r="W232" s="53" t="str">
        <f t="shared" si="115"/>
        <v>DNS/DNF ()</v>
      </c>
      <c r="X232" s="53" t="str">
        <f t="shared" si="116"/>
        <v>00:05:29.0 (227)</v>
      </c>
      <c r="Y232" s="53" t="str">
        <f t="shared" si="117"/>
        <v>00:03:27.4 (231)</v>
      </c>
      <c r="Z232" s="53" t="str">
        <f t="shared" si="118"/>
        <v>DNS/DNF ()</v>
      </c>
      <c r="AA232" s="53" t="str">
        <f t="shared" si="119"/>
        <v>00:07:06.7 (219)</v>
      </c>
      <c r="AB232" s="53" t="str">
        <f t="shared" si="120"/>
        <v>DNS/DNF ()</v>
      </c>
      <c r="AC232" s="53" t="str">
        <f t="shared" si="121"/>
        <v>DNS/DNF ()</v>
      </c>
      <c r="AD232" s="53" t="str">
        <f t="shared" si="122"/>
        <v>DNS/DNF ()</v>
      </c>
      <c r="AE232" s="53">
        <v>0</v>
      </c>
      <c r="AF232" s="53">
        <v>0</v>
      </c>
      <c r="AG232" s="53">
        <v>36749401</v>
      </c>
      <c r="AH232" s="53">
        <v>37078364</v>
      </c>
      <c r="AI232" s="53">
        <v>41425228</v>
      </c>
      <c r="AJ232" s="53">
        <v>41632656</v>
      </c>
      <c r="AK232" s="53">
        <v>0</v>
      </c>
      <c r="AL232" s="53">
        <v>0</v>
      </c>
      <c r="AM232" s="53">
        <v>47836744</v>
      </c>
      <c r="AN232" s="53">
        <v>48263485</v>
      </c>
      <c r="AO232" s="53">
        <v>0</v>
      </c>
      <c r="AP232" s="53">
        <v>0</v>
      </c>
      <c r="AQ232" s="53">
        <v>0</v>
      </c>
      <c r="AR232" s="53">
        <v>0</v>
      </c>
      <c r="AS232" s="53">
        <v>0</v>
      </c>
      <c r="AT232" s="53">
        <v>0</v>
      </c>
      <c r="AU232" s="62" t="str">
        <f t="shared" si="123"/>
        <v>DNS/DNF</v>
      </c>
      <c r="AV232" s="62">
        <f t="shared" si="124"/>
        <v>3.8074421296296298E-3</v>
      </c>
      <c r="AW232" s="62">
        <f t="shared" si="125"/>
        <v>2.4007870370370372E-3</v>
      </c>
      <c r="AX232" s="62" t="str">
        <f t="shared" si="126"/>
        <v>DNS/DNF</v>
      </c>
      <c r="AY232" s="62">
        <f t="shared" si="127"/>
        <v>4.9391319444444448E-3</v>
      </c>
      <c r="AZ232" s="62" t="str">
        <f t="shared" si="128"/>
        <v>DNS/DNF</v>
      </c>
      <c r="BA232" s="62" t="str">
        <f t="shared" si="129"/>
        <v>DNS/DNF</v>
      </c>
      <c r="BB232" s="62" t="str">
        <f t="shared" si="130"/>
        <v>DNS/DNF</v>
      </c>
      <c r="BC232" s="75">
        <f t="shared" si="131"/>
        <v>226</v>
      </c>
      <c r="BD232" s="53" t="str">
        <f t="shared" si="132"/>
        <v/>
      </c>
      <c r="BE232" s="53">
        <f t="shared" si="133"/>
        <v>327005</v>
      </c>
      <c r="BF232" s="53">
        <f t="shared" si="134"/>
        <v>201514.99999999997</v>
      </c>
      <c r="BG232" s="53" t="str">
        <f t="shared" si="135"/>
        <v/>
      </c>
      <c r="BH232" s="53">
        <f t="shared" si="136"/>
        <v>443907</v>
      </c>
      <c r="BI232" s="53" t="str">
        <f t="shared" si="137"/>
        <v/>
      </c>
      <c r="BJ232" s="53" t="str">
        <f t="shared" si="138"/>
        <v/>
      </c>
      <c r="BK232" s="53" t="str">
        <f t="shared" si="139"/>
        <v/>
      </c>
    </row>
    <row r="233" spans="1:63">
      <c r="A233" s="53">
        <v>203</v>
      </c>
      <c r="B233" s="89" t="str">
        <f>IFERROR(VLOOKUP($A233,EntryList!$A$3:$N$645,2,FALSE),"")</f>
        <v>Gean Boegman</v>
      </c>
      <c r="C233" s="74"/>
      <c r="D233" s="53">
        <f t="shared" si="105"/>
        <v>3</v>
      </c>
      <c r="E233" s="62"/>
      <c r="F233" s="62">
        <v>4.0925347222222222E-3</v>
      </c>
      <c r="G233" s="62">
        <v>2.489178240740741E-3</v>
      </c>
      <c r="H233" s="62"/>
      <c r="I233" s="62">
        <v>4.9744560185185187E-3</v>
      </c>
      <c r="J233" s="62"/>
      <c r="K233" s="62"/>
      <c r="L233" s="62"/>
      <c r="M233" s="62">
        <v>1.1556168981481483E-2</v>
      </c>
      <c r="N233" s="62">
        <f t="shared" si="106"/>
        <v>1.1556168981481482E-2</v>
      </c>
      <c r="O233" s="53" t="str">
        <f t="shared" si="107"/>
        <v/>
      </c>
      <c r="P233" s="53">
        <f t="shared" si="108"/>
        <v>239</v>
      </c>
      <c r="Q233" s="53">
        <f t="shared" si="109"/>
        <v>237</v>
      </c>
      <c r="R233" s="53" t="str">
        <f t="shared" si="110"/>
        <v/>
      </c>
      <c r="S233" s="53">
        <f t="shared" si="111"/>
        <v>222</v>
      </c>
      <c r="T233" s="53" t="str">
        <f t="shared" si="112"/>
        <v/>
      </c>
      <c r="U233" s="53" t="str">
        <f t="shared" si="113"/>
        <v/>
      </c>
      <c r="V233" s="53" t="str">
        <f t="shared" si="114"/>
        <v/>
      </c>
      <c r="W233" s="53" t="str">
        <f t="shared" si="115"/>
        <v>DNS/DNF ()</v>
      </c>
      <c r="X233" s="53" t="str">
        <f t="shared" si="116"/>
        <v>00:05:53.6 (239)</v>
      </c>
      <c r="Y233" s="53" t="str">
        <f t="shared" si="117"/>
        <v>00:03:35.1 (237)</v>
      </c>
      <c r="Z233" s="53" t="str">
        <f t="shared" si="118"/>
        <v>DNS/DNF ()</v>
      </c>
      <c r="AA233" s="53" t="str">
        <f t="shared" si="119"/>
        <v>00:07:09.8 (222)</v>
      </c>
      <c r="AB233" s="53" t="str">
        <f t="shared" si="120"/>
        <v>DNS/DNF ()</v>
      </c>
      <c r="AC233" s="53" t="str">
        <f t="shared" si="121"/>
        <v>DNS/DNF ()</v>
      </c>
      <c r="AD233" s="53" t="str">
        <f t="shared" si="122"/>
        <v>DNS/DNF ()</v>
      </c>
      <c r="AE233" s="53">
        <v>0</v>
      </c>
      <c r="AF233" s="53">
        <v>0</v>
      </c>
      <c r="AG233" s="53">
        <v>33528319</v>
      </c>
      <c r="AH233" s="53">
        <v>33881914</v>
      </c>
      <c r="AI233" s="53">
        <v>35897707</v>
      </c>
      <c r="AJ233" s="53">
        <v>36112772</v>
      </c>
      <c r="AK233" s="53">
        <v>0</v>
      </c>
      <c r="AL233" s="53">
        <v>0</v>
      </c>
      <c r="AM233" s="53">
        <v>38528938</v>
      </c>
      <c r="AN233" s="53">
        <v>38958731</v>
      </c>
      <c r="AO233" s="53">
        <v>0</v>
      </c>
      <c r="AP233" s="53">
        <v>0</v>
      </c>
      <c r="AQ233" s="53">
        <v>0</v>
      </c>
      <c r="AR233" s="53">
        <v>0</v>
      </c>
      <c r="AS233" s="53">
        <v>0</v>
      </c>
      <c r="AT233" s="53">
        <v>0</v>
      </c>
      <c r="AU233" s="62" t="str">
        <f t="shared" si="123"/>
        <v>DNS/DNF</v>
      </c>
      <c r="AV233" s="62">
        <f t="shared" si="124"/>
        <v>4.0925347222222222E-3</v>
      </c>
      <c r="AW233" s="62">
        <f t="shared" si="125"/>
        <v>2.4891782407407406E-3</v>
      </c>
      <c r="AX233" s="62" t="str">
        <f t="shared" si="126"/>
        <v>DNS/DNF</v>
      </c>
      <c r="AY233" s="62">
        <f t="shared" si="127"/>
        <v>4.9744560185185187E-3</v>
      </c>
      <c r="AZ233" s="62" t="str">
        <f t="shared" si="128"/>
        <v>DNS/DNF</v>
      </c>
      <c r="BA233" s="62" t="str">
        <f t="shared" si="129"/>
        <v>DNS/DNF</v>
      </c>
      <c r="BB233" s="62" t="str">
        <f t="shared" si="130"/>
        <v>DNS/DNF</v>
      </c>
      <c r="BC233" s="75">
        <f t="shared" si="131"/>
        <v>233</v>
      </c>
      <c r="BD233" s="53" t="str">
        <f t="shared" si="132"/>
        <v/>
      </c>
      <c r="BE233" s="53">
        <f t="shared" si="133"/>
        <v>332665</v>
      </c>
      <c r="BF233" s="53">
        <f t="shared" si="134"/>
        <v>208377</v>
      </c>
      <c r="BG233" s="53" t="str">
        <f t="shared" si="135"/>
        <v/>
      </c>
      <c r="BH233" s="53">
        <f t="shared" si="136"/>
        <v>462166</v>
      </c>
      <c r="BI233" s="53" t="str">
        <f t="shared" si="137"/>
        <v/>
      </c>
      <c r="BJ233" s="53" t="str">
        <f t="shared" si="138"/>
        <v/>
      </c>
      <c r="BK233" s="53" t="str">
        <f t="shared" si="139"/>
        <v/>
      </c>
    </row>
    <row r="234" spans="1:63">
      <c r="A234" s="53">
        <v>196</v>
      </c>
      <c r="B234" s="89" t="str">
        <f>IFERROR(VLOOKUP($A234,EntryList!$A$3:$N$645,2,FALSE),"")</f>
        <v>Daryn Clark</v>
      </c>
      <c r="C234" s="74"/>
      <c r="D234" s="53">
        <f t="shared" si="105"/>
        <v>3</v>
      </c>
      <c r="E234" s="62">
        <v>5.5633796296296291E-3</v>
      </c>
      <c r="F234" s="62">
        <v>3.8373842592592591E-3</v>
      </c>
      <c r="G234" s="62">
        <v>2.2188888888888887E-3</v>
      </c>
      <c r="H234" s="62"/>
      <c r="I234" s="62"/>
      <c r="J234" s="62"/>
      <c r="K234" s="62"/>
      <c r="L234" s="62"/>
      <c r="M234" s="62">
        <v>1.1619652777777776E-2</v>
      </c>
      <c r="N234" s="62">
        <f t="shared" si="106"/>
        <v>1.1619652777777777E-2</v>
      </c>
      <c r="O234" s="53">
        <f t="shared" si="107"/>
        <v>138</v>
      </c>
      <c r="P234" s="53">
        <f t="shared" si="108"/>
        <v>231</v>
      </c>
      <c r="Q234" s="53">
        <f t="shared" si="109"/>
        <v>217</v>
      </c>
      <c r="R234" s="53" t="str">
        <f t="shared" si="110"/>
        <v/>
      </c>
      <c r="S234" s="53" t="str">
        <f t="shared" si="111"/>
        <v/>
      </c>
      <c r="T234" s="53" t="str">
        <f t="shared" si="112"/>
        <v/>
      </c>
      <c r="U234" s="53" t="str">
        <f t="shared" si="113"/>
        <v/>
      </c>
      <c r="V234" s="53" t="str">
        <f t="shared" si="114"/>
        <v/>
      </c>
      <c r="W234" s="53" t="str">
        <f t="shared" si="115"/>
        <v>00:08:00.7 (138)</v>
      </c>
      <c r="X234" s="53" t="str">
        <f t="shared" si="116"/>
        <v>00:05:31.5 (231)</v>
      </c>
      <c r="Y234" s="53" t="str">
        <f t="shared" si="117"/>
        <v>00:03:11.7 (217)</v>
      </c>
      <c r="Z234" s="53" t="str">
        <f t="shared" si="118"/>
        <v>DNS/DNF ()</v>
      </c>
      <c r="AA234" s="53" t="str">
        <f t="shared" si="119"/>
        <v>DNS/DNF ()</v>
      </c>
      <c r="AB234" s="53" t="str">
        <f t="shared" si="120"/>
        <v>DNS/DNF ()</v>
      </c>
      <c r="AC234" s="53" t="str">
        <f t="shared" si="121"/>
        <v>DNS/DNF ()</v>
      </c>
      <c r="AD234" s="53" t="str">
        <f t="shared" si="122"/>
        <v>DNS/DNF ()</v>
      </c>
      <c r="AE234" s="53">
        <v>37586633</v>
      </c>
      <c r="AF234" s="53">
        <v>38067309</v>
      </c>
      <c r="AG234" s="53">
        <v>33454892</v>
      </c>
      <c r="AH234" s="53">
        <v>33786442</v>
      </c>
      <c r="AI234" s="53">
        <v>41289948</v>
      </c>
      <c r="AJ234" s="53">
        <v>41481660</v>
      </c>
      <c r="AK234" s="53">
        <v>0</v>
      </c>
      <c r="AL234" s="53">
        <v>0</v>
      </c>
      <c r="AM234" s="53">
        <v>0</v>
      </c>
      <c r="AN234" s="53">
        <v>42900602</v>
      </c>
      <c r="AO234" s="53">
        <v>0</v>
      </c>
      <c r="AP234" s="53">
        <v>0</v>
      </c>
      <c r="AQ234" s="53">
        <v>0</v>
      </c>
      <c r="AR234" s="53">
        <v>0</v>
      </c>
      <c r="AS234" s="53">
        <v>0</v>
      </c>
      <c r="AT234" s="53">
        <v>0</v>
      </c>
      <c r="AU234" s="62">
        <f t="shared" si="123"/>
        <v>5.5633796296296299E-3</v>
      </c>
      <c r="AV234" s="62">
        <f t="shared" si="124"/>
        <v>3.8373842592592591E-3</v>
      </c>
      <c r="AW234" s="62">
        <f t="shared" si="125"/>
        <v>2.2188888888888887E-3</v>
      </c>
      <c r="AX234" s="62" t="str">
        <f t="shared" si="126"/>
        <v>DNS/DNF</v>
      </c>
      <c r="AY234" s="62" t="str">
        <f t="shared" si="127"/>
        <v>DNS/DNF</v>
      </c>
      <c r="AZ234" s="62" t="str">
        <f t="shared" si="128"/>
        <v>DNS/DNF</v>
      </c>
      <c r="BA234" s="62" t="str">
        <f t="shared" si="129"/>
        <v>DNS/DNF</v>
      </c>
      <c r="BB234" s="62" t="str">
        <f t="shared" si="130"/>
        <v>DNS/DNF</v>
      </c>
      <c r="BC234" s="75">
        <f t="shared" si="131"/>
        <v>195</v>
      </c>
      <c r="BD234" s="53" t="str">
        <f t="shared" si="132"/>
        <v/>
      </c>
      <c r="BE234" s="53">
        <f t="shared" si="133"/>
        <v>295128</v>
      </c>
      <c r="BF234" s="53">
        <f t="shared" si="134"/>
        <v>174194</v>
      </c>
      <c r="BG234" s="53" t="str">
        <f t="shared" si="135"/>
        <v/>
      </c>
      <c r="BH234" s="53">
        <f t="shared" si="136"/>
        <v>394907.00000000006</v>
      </c>
      <c r="BI234" s="53" t="str">
        <f t="shared" si="137"/>
        <v/>
      </c>
      <c r="BJ234" s="53" t="str">
        <f t="shared" si="138"/>
        <v/>
      </c>
      <c r="BK234" s="53" t="str">
        <f t="shared" si="139"/>
        <v/>
      </c>
    </row>
    <row r="235" spans="1:63">
      <c r="A235" s="53">
        <v>47</v>
      </c>
      <c r="B235" s="89" t="str">
        <f>IFERROR(VLOOKUP($A235,EntryList!$A$3:$N$645,2,FALSE),"")</f>
        <v>Ozair Hanware</v>
      </c>
      <c r="C235" s="74"/>
      <c r="D235" s="53">
        <f t="shared" si="105"/>
        <v>3</v>
      </c>
      <c r="E235" s="62"/>
      <c r="F235" s="62">
        <v>3.7847800925925931E-3</v>
      </c>
      <c r="G235" s="62">
        <v>2.8396990740740739E-3</v>
      </c>
      <c r="H235" s="62"/>
      <c r="I235" s="62">
        <v>5.0844791666666668E-3</v>
      </c>
      <c r="J235" s="62"/>
      <c r="K235" s="62"/>
      <c r="L235" s="62"/>
      <c r="M235" s="62">
        <v>1.1708958333333333E-2</v>
      </c>
      <c r="N235" s="62">
        <f t="shared" si="106"/>
        <v>1.1708958333333333E-2</v>
      </c>
      <c r="O235" s="53" t="str">
        <f t="shared" si="107"/>
        <v/>
      </c>
      <c r="P235" s="53">
        <f t="shared" si="108"/>
        <v>226</v>
      </c>
      <c r="Q235" s="53">
        <f t="shared" si="109"/>
        <v>242</v>
      </c>
      <c r="R235" s="53" t="str">
        <f t="shared" si="110"/>
        <v/>
      </c>
      <c r="S235" s="53">
        <f t="shared" si="111"/>
        <v>225</v>
      </c>
      <c r="T235" s="53" t="str">
        <f t="shared" si="112"/>
        <v/>
      </c>
      <c r="U235" s="53" t="str">
        <f t="shared" si="113"/>
        <v/>
      </c>
      <c r="V235" s="53" t="str">
        <f t="shared" si="114"/>
        <v/>
      </c>
      <c r="W235" s="53" t="str">
        <f t="shared" si="115"/>
        <v>DNS/DNF ()</v>
      </c>
      <c r="X235" s="53" t="str">
        <f t="shared" si="116"/>
        <v>00:05:27.0 (226)</v>
      </c>
      <c r="Y235" s="53" t="str">
        <f t="shared" si="117"/>
        <v>00:04:05.3 (242)</v>
      </c>
      <c r="Z235" s="53" t="str">
        <f t="shared" si="118"/>
        <v>DNS/DNF ()</v>
      </c>
      <c r="AA235" s="53" t="str">
        <f t="shared" si="119"/>
        <v>00:07:19.3 (225)</v>
      </c>
      <c r="AB235" s="53" t="str">
        <f t="shared" si="120"/>
        <v>DNS/DNF ()</v>
      </c>
      <c r="AC235" s="53" t="str">
        <f t="shared" si="121"/>
        <v>DNS/DNF ()</v>
      </c>
      <c r="AD235" s="53" t="str">
        <f t="shared" si="122"/>
        <v>DNS/DNF ()</v>
      </c>
      <c r="AE235" s="53">
        <v>0</v>
      </c>
      <c r="AF235" s="53">
        <v>0</v>
      </c>
      <c r="AG235" s="53">
        <v>35871428</v>
      </c>
      <c r="AH235" s="53">
        <v>36198433</v>
      </c>
      <c r="AI235" s="53">
        <v>41110808</v>
      </c>
      <c r="AJ235" s="53">
        <v>41356158</v>
      </c>
      <c r="AK235" s="53">
        <v>0</v>
      </c>
      <c r="AL235" s="53">
        <v>0</v>
      </c>
      <c r="AM235" s="53">
        <v>46202858</v>
      </c>
      <c r="AN235" s="53">
        <v>46642157</v>
      </c>
      <c r="AO235" s="53">
        <v>0</v>
      </c>
      <c r="AP235" s="53">
        <v>0</v>
      </c>
      <c r="AQ235" s="53">
        <v>0</v>
      </c>
      <c r="AR235" s="53">
        <v>0</v>
      </c>
      <c r="AS235" s="53">
        <v>0</v>
      </c>
      <c r="AT235" s="53">
        <v>0</v>
      </c>
      <c r="AU235" s="62" t="str">
        <f t="shared" si="123"/>
        <v>DNS/DNF</v>
      </c>
      <c r="AV235" s="62">
        <f t="shared" si="124"/>
        <v>3.7847800925925926E-3</v>
      </c>
      <c r="AW235" s="62">
        <f t="shared" si="125"/>
        <v>2.8396990740740739E-3</v>
      </c>
      <c r="AX235" s="62" t="str">
        <f t="shared" si="126"/>
        <v>DNS/DNF</v>
      </c>
      <c r="AY235" s="62">
        <f t="shared" si="127"/>
        <v>5.0844791666666668E-3</v>
      </c>
      <c r="AZ235" s="62" t="str">
        <f t="shared" si="128"/>
        <v>DNS/DNF</v>
      </c>
      <c r="BA235" s="62" t="str">
        <f t="shared" si="129"/>
        <v>DNS/DNF</v>
      </c>
      <c r="BB235" s="62" t="str">
        <f t="shared" si="130"/>
        <v>DNS/DNF</v>
      </c>
      <c r="BC235" s="75">
        <f t="shared" si="131"/>
        <v>231</v>
      </c>
      <c r="BD235" s="53" t="str">
        <f t="shared" si="132"/>
        <v/>
      </c>
      <c r="BE235" s="53">
        <f t="shared" si="133"/>
        <v>331550</v>
      </c>
      <c r="BF235" s="53">
        <f t="shared" si="134"/>
        <v>207428.00000000003</v>
      </c>
      <c r="BG235" s="53" t="str">
        <f t="shared" si="135"/>
        <v/>
      </c>
      <c r="BH235" s="53">
        <f t="shared" si="136"/>
        <v>456259</v>
      </c>
      <c r="BI235" s="53" t="str">
        <f t="shared" si="137"/>
        <v/>
      </c>
      <c r="BJ235" s="53" t="str">
        <f t="shared" si="138"/>
        <v/>
      </c>
      <c r="BK235" s="53" t="str">
        <f t="shared" si="139"/>
        <v/>
      </c>
    </row>
    <row r="236" spans="1:63">
      <c r="A236" s="53">
        <v>117</v>
      </c>
      <c r="B236" s="89" t="str">
        <f>IFERROR(VLOOKUP($A236,EntryList!$A$3:$N$645,2,FALSE),"")</f>
        <v>Mario Abrahams</v>
      </c>
      <c r="C236" s="74"/>
      <c r="D236" s="53">
        <f t="shared" si="105"/>
        <v>3</v>
      </c>
      <c r="E236" s="62"/>
      <c r="F236" s="62">
        <v>3.9976620370370365E-3</v>
      </c>
      <c r="G236" s="62">
        <v>2.520925925925926E-3</v>
      </c>
      <c r="H236" s="62"/>
      <c r="I236" s="62">
        <v>5.3475578703703697E-3</v>
      </c>
      <c r="J236" s="62"/>
      <c r="K236" s="62"/>
      <c r="L236" s="62"/>
      <c r="M236" s="62">
        <v>1.1866145833333334E-2</v>
      </c>
      <c r="N236" s="62">
        <f t="shared" si="106"/>
        <v>1.1866145833333334E-2</v>
      </c>
      <c r="O236" s="53" t="str">
        <f t="shared" si="107"/>
        <v/>
      </c>
      <c r="P236" s="53">
        <f t="shared" si="108"/>
        <v>238</v>
      </c>
      <c r="Q236" s="53">
        <f t="shared" si="109"/>
        <v>239</v>
      </c>
      <c r="R236" s="53" t="str">
        <f t="shared" si="110"/>
        <v/>
      </c>
      <c r="S236" s="53">
        <f t="shared" si="111"/>
        <v>232</v>
      </c>
      <c r="T236" s="53" t="str">
        <f t="shared" si="112"/>
        <v/>
      </c>
      <c r="U236" s="53" t="str">
        <f t="shared" si="113"/>
        <v/>
      </c>
      <c r="V236" s="53" t="str">
        <f t="shared" si="114"/>
        <v/>
      </c>
      <c r="W236" s="53" t="str">
        <f t="shared" si="115"/>
        <v>DNS/DNF ()</v>
      </c>
      <c r="X236" s="53" t="str">
        <f t="shared" si="116"/>
        <v>00:05:45.4 (238)</v>
      </c>
      <c r="Y236" s="53" t="str">
        <f t="shared" si="117"/>
        <v>00:03:37.8 (239)</v>
      </c>
      <c r="Z236" s="53" t="str">
        <f t="shared" si="118"/>
        <v>DNS/DNF ()</v>
      </c>
      <c r="AA236" s="53" t="str">
        <f t="shared" si="119"/>
        <v>00:07:42.0 (232)</v>
      </c>
      <c r="AB236" s="53" t="str">
        <f t="shared" si="120"/>
        <v>DNS/DNF ()</v>
      </c>
      <c r="AC236" s="53" t="str">
        <f t="shared" si="121"/>
        <v>DNS/DNF ()</v>
      </c>
      <c r="AD236" s="53" t="str">
        <f t="shared" si="122"/>
        <v>DNS/DNF ()</v>
      </c>
      <c r="AE236" s="53">
        <v>0</v>
      </c>
      <c r="AF236" s="53">
        <v>0</v>
      </c>
      <c r="AG236" s="53">
        <v>37337780</v>
      </c>
      <c r="AH236" s="53">
        <v>37683178</v>
      </c>
      <c r="AI236" s="53">
        <v>41820750</v>
      </c>
      <c r="AJ236" s="53">
        <v>42038558</v>
      </c>
      <c r="AK236" s="53">
        <v>0</v>
      </c>
      <c r="AL236" s="53">
        <v>0</v>
      </c>
      <c r="AM236" s="53">
        <v>48600066</v>
      </c>
      <c r="AN236" s="53">
        <v>49062095</v>
      </c>
      <c r="AO236" s="53">
        <v>0</v>
      </c>
      <c r="AP236" s="53">
        <v>0</v>
      </c>
      <c r="AQ236" s="53">
        <v>0</v>
      </c>
      <c r="AR236" s="53">
        <v>0</v>
      </c>
      <c r="AS236" s="53">
        <v>0</v>
      </c>
      <c r="AT236" s="53">
        <v>0</v>
      </c>
      <c r="AU236" s="62" t="str">
        <f t="shared" si="123"/>
        <v>DNS/DNF</v>
      </c>
      <c r="AV236" s="62">
        <f t="shared" si="124"/>
        <v>3.9976620370370374E-3</v>
      </c>
      <c r="AW236" s="62">
        <f t="shared" si="125"/>
        <v>2.520925925925926E-3</v>
      </c>
      <c r="AX236" s="62" t="str">
        <f t="shared" si="126"/>
        <v>DNS/DNF</v>
      </c>
      <c r="AY236" s="62">
        <f t="shared" si="127"/>
        <v>5.3475578703703706E-3</v>
      </c>
      <c r="AZ236" s="62" t="str">
        <f t="shared" si="128"/>
        <v>DNS/DNF</v>
      </c>
      <c r="BA236" s="62" t="str">
        <f t="shared" si="129"/>
        <v>DNS/DNF</v>
      </c>
      <c r="BB236" s="62" t="str">
        <f t="shared" si="130"/>
        <v>DNS/DNF</v>
      </c>
      <c r="BC236" s="75">
        <f t="shared" si="131"/>
        <v>236</v>
      </c>
      <c r="BD236" s="53" t="str">
        <f t="shared" si="132"/>
        <v/>
      </c>
      <c r="BE236" s="53">
        <f t="shared" si="133"/>
        <v>337816</v>
      </c>
      <c r="BF236" s="53">
        <f t="shared" si="134"/>
        <v>211608</v>
      </c>
      <c r="BG236" s="53" t="str">
        <f t="shared" si="135"/>
        <v/>
      </c>
      <c r="BH236" s="53">
        <f t="shared" si="136"/>
        <v>471064</v>
      </c>
      <c r="BI236" s="53" t="str">
        <f t="shared" si="137"/>
        <v/>
      </c>
      <c r="BJ236" s="53" t="str">
        <f t="shared" si="138"/>
        <v/>
      </c>
      <c r="BK236" s="53" t="str">
        <f t="shared" si="139"/>
        <v/>
      </c>
    </row>
    <row r="237" spans="1:63">
      <c r="A237" s="53">
        <v>257</v>
      </c>
      <c r="B237" s="89" t="str">
        <f>IFERROR(VLOOKUP($A237,EntryList!$A$3:$N$645,2,FALSE),"")</f>
        <v>Michael Yeates</v>
      </c>
      <c r="C237" s="74"/>
      <c r="D237" s="53">
        <f t="shared" si="105"/>
        <v>3</v>
      </c>
      <c r="E237" s="62"/>
      <c r="F237" s="62">
        <v>4.3073726851851849E-3</v>
      </c>
      <c r="G237" s="62">
        <v>2.411770833333333E-3</v>
      </c>
      <c r="H237" s="62"/>
      <c r="I237" s="62">
        <v>5.2016898148148152E-3</v>
      </c>
      <c r="J237" s="62"/>
      <c r="K237" s="62"/>
      <c r="L237" s="62"/>
      <c r="M237" s="62">
        <v>1.1920833333333334E-2</v>
      </c>
      <c r="N237" s="62">
        <f t="shared" si="106"/>
        <v>1.1920833333333334E-2</v>
      </c>
      <c r="O237" s="53" t="str">
        <f t="shared" si="107"/>
        <v/>
      </c>
      <c r="P237" s="53">
        <f t="shared" si="108"/>
        <v>244</v>
      </c>
      <c r="Q237" s="53">
        <f t="shared" si="109"/>
        <v>233</v>
      </c>
      <c r="R237" s="53" t="str">
        <f t="shared" si="110"/>
        <v/>
      </c>
      <c r="S237" s="53">
        <f t="shared" si="111"/>
        <v>230</v>
      </c>
      <c r="T237" s="53" t="str">
        <f t="shared" si="112"/>
        <v/>
      </c>
      <c r="U237" s="53" t="str">
        <f t="shared" si="113"/>
        <v/>
      </c>
      <c r="V237" s="53" t="str">
        <f t="shared" si="114"/>
        <v/>
      </c>
      <c r="W237" s="53" t="str">
        <f t="shared" si="115"/>
        <v>DNS/DNF ()</v>
      </c>
      <c r="X237" s="53" t="str">
        <f t="shared" si="116"/>
        <v>00:06:12.2 (244)</v>
      </c>
      <c r="Y237" s="53" t="str">
        <f t="shared" si="117"/>
        <v>00:03:28.4 (233)</v>
      </c>
      <c r="Z237" s="53" t="str">
        <f t="shared" si="118"/>
        <v>DNS/DNF ()</v>
      </c>
      <c r="AA237" s="53" t="str">
        <f t="shared" si="119"/>
        <v>00:07:29.4 (230)</v>
      </c>
      <c r="AB237" s="53" t="str">
        <f t="shared" si="120"/>
        <v>DNS/DNF ()</v>
      </c>
      <c r="AC237" s="53" t="str">
        <f t="shared" si="121"/>
        <v>DNS/DNF ()</v>
      </c>
      <c r="AD237" s="53" t="str">
        <f t="shared" si="122"/>
        <v>DNS/DNF ()</v>
      </c>
      <c r="AE237" s="53">
        <v>0</v>
      </c>
      <c r="AF237" s="53">
        <v>0</v>
      </c>
      <c r="AG237" s="53">
        <v>34530005</v>
      </c>
      <c r="AH237" s="53">
        <v>34902162</v>
      </c>
      <c r="AI237" s="53">
        <v>38321725</v>
      </c>
      <c r="AJ237" s="53">
        <v>38530102</v>
      </c>
      <c r="AK237" s="53">
        <v>0</v>
      </c>
      <c r="AL237" s="53">
        <v>0</v>
      </c>
      <c r="AM237" s="53">
        <v>42037678</v>
      </c>
      <c r="AN237" s="53">
        <v>42487104</v>
      </c>
      <c r="AO237" s="53">
        <v>0</v>
      </c>
      <c r="AP237" s="53">
        <v>0</v>
      </c>
      <c r="AQ237" s="53">
        <v>0</v>
      </c>
      <c r="AR237" s="53">
        <v>0</v>
      </c>
      <c r="AS237" s="53">
        <v>0</v>
      </c>
      <c r="AT237" s="53">
        <v>0</v>
      </c>
      <c r="AU237" s="62" t="str">
        <f t="shared" si="123"/>
        <v>DNS/DNF</v>
      </c>
      <c r="AV237" s="62">
        <f t="shared" si="124"/>
        <v>4.3073726851851849E-3</v>
      </c>
      <c r="AW237" s="62">
        <f t="shared" si="125"/>
        <v>2.4117708333333335E-3</v>
      </c>
      <c r="AX237" s="62" t="str">
        <f t="shared" si="126"/>
        <v>DNS/DNF</v>
      </c>
      <c r="AY237" s="62">
        <f t="shared" si="127"/>
        <v>5.2016898148148152E-3</v>
      </c>
      <c r="AZ237" s="62" t="str">
        <f t="shared" si="128"/>
        <v>DNS/DNF</v>
      </c>
      <c r="BA237" s="62" t="str">
        <f t="shared" si="129"/>
        <v>DNS/DNF</v>
      </c>
      <c r="BB237" s="62" t="str">
        <f t="shared" si="130"/>
        <v>DNS/DNF</v>
      </c>
      <c r="BC237" s="75">
        <f t="shared" si="131"/>
        <v>236</v>
      </c>
      <c r="BD237" s="53" t="str">
        <f t="shared" si="132"/>
        <v/>
      </c>
      <c r="BE237" s="53">
        <f t="shared" si="133"/>
        <v>337816</v>
      </c>
      <c r="BF237" s="53">
        <f t="shared" si="134"/>
        <v>211608</v>
      </c>
      <c r="BG237" s="53" t="str">
        <f t="shared" si="135"/>
        <v/>
      </c>
      <c r="BH237" s="53">
        <f t="shared" si="136"/>
        <v>471064</v>
      </c>
      <c r="BI237" s="53" t="str">
        <f t="shared" si="137"/>
        <v/>
      </c>
      <c r="BJ237" s="53" t="str">
        <f t="shared" si="138"/>
        <v/>
      </c>
      <c r="BK237" s="53" t="str">
        <f t="shared" si="139"/>
        <v/>
      </c>
    </row>
    <row r="238" spans="1:63">
      <c r="A238" s="53">
        <v>43</v>
      </c>
      <c r="B238" s="89" t="str">
        <f>IFERROR(VLOOKUP($A238,EntryList!$A$3:$N$645,2,FALSE),"")</f>
        <v>Thaabit Toefy</v>
      </c>
      <c r="C238" s="74"/>
      <c r="D238" s="53">
        <f t="shared" si="105"/>
        <v>3</v>
      </c>
      <c r="E238" s="62"/>
      <c r="F238" s="62">
        <v>4.4946527777777771E-3</v>
      </c>
      <c r="G238" s="62">
        <v>2.2791898148148151E-3</v>
      </c>
      <c r="H238" s="62"/>
      <c r="I238" s="62">
        <v>5.156018518518519E-3</v>
      </c>
      <c r="J238" s="62"/>
      <c r="K238" s="62"/>
      <c r="L238" s="62"/>
      <c r="M238" s="62">
        <v>1.1929861111111112E-2</v>
      </c>
      <c r="N238" s="62">
        <f t="shared" si="106"/>
        <v>1.192986111111111E-2</v>
      </c>
      <c r="O238" s="53" t="str">
        <f t="shared" si="107"/>
        <v/>
      </c>
      <c r="P238" s="53">
        <f t="shared" si="108"/>
        <v>249</v>
      </c>
      <c r="Q238" s="53">
        <f t="shared" si="109"/>
        <v>224</v>
      </c>
      <c r="R238" s="53" t="str">
        <f t="shared" si="110"/>
        <v/>
      </c>
      <c r="S238" s="53">
        <f t="shared" si="111"/>
        <v>228</v>
      </c>
      <c r="T238" s="53" t="str">
        <f t="shared" si="112"/>
        <v/>
      </c>
      <c r="U238" s="53" t="str">
        <f t="shared" si="113"/>
        <v/>
      </c>
      <c r="V238" s="53" t="str">
        <f t="shared" si="114"/>
        <v/>
      </c>
      <c r="W238" s="53" t="str">
        <f t="shared" si="115"/>
        <v>DNS/DNF ()</v>
      </c>
      <c r="X238" s="53" t="str">
        <f t="shared" si="116"/>
        <v>00:06:28.3 (249)</v>
      </c>
      <c r="Y238" s="53" t="str">
        <f t="shared" si="117"/>
        <v>00:03:16.9 (224)</v>
      </c>
      <c r="Z238" s="53" t="str">
        <f t="shared" si="118"/>
        <v>DNS/DNF ()</v>
      </c>
      <c r="AA238" s="53" t="str">
        <f t="shared" si="119"/>
        <v>00:07:25.5 (228)</v>
      </c>
      <c r="AB238" s="53" t="str">
        <f t="shared" si="120"/>
        <v>DNS/DNF ()</v>
      </c>
      <c r="AC238" s="53" t="str">
        <f t="shared" si="121"/>
        <v>DNS/DNF ()</v>
      </c>
      <c r="AD238" s="53" t="str">
        <f t="shared" si="122"/>
        <v>DNS/DNF ()</v>
      </c>
      <c r="AE238" s="53">
        <v>0</v>
      </c>
      <c r="AF238" s="53">
        <v>0</v>
      </c>
      <c r="AG238" s="53">
        <v>35666058</v>
      </c>
      <c r="AH238" s="53">
        <v>36054396</v>
      </c>
      <c r="AI238" s="53">
        <v>40265656</v>
      </c>
      <c r="AJ238" s="53">
        <v>40462578</v>
      </c>
      <c r="AK238" s="53">
        <v>0</v>
      </c>
      <c r="AL238" s="53">
        <v>0</v>
      </c>
      <c r="AM238" s="53">
        <v>44209542</v>
      </c>
      <c r="AN238" s="53">
        <v>44655022</v>
      </c>
      <c r="AO238" s="53">
        <v>0</v>
      </c>
      <c r="AP238" s="53">
        <v>0</v>
      </c>
      <c r="AQ238" s="53">
        <v>0</v>
      </c>
      <c r="AR238" s="53">
        <v>0</v>
      </c>
      <c r="AS238" s="53">
        <v>0</v>
      </c>
      <c r="AT238" s="53">
        <v>0</v>
      </c>
      <c r="AU238" s="62" t="str">
        <f t="shared" si="123"/>
        <v>DNS/DNF</v>
      </c>
      <c r="AV238" s="62">
        <f t="shared" si="124"/>
        <v>4.494652777777778E-3</v>
      </c>
      <c r="AW238" s="62">
        <f t="shared" si="125"/>
        <v>2.2791898148148146E-3</v>
      </c>
      <c r="AX238" s="62" t="str">
        <f t="shared" si="126"/>
        <v>DNS/DNF</v>
      </c>
      <c r="AY238" s="62">
        <f t="shared" si="127"/>
        <v>5.1560185185185181E-3</v>
      </c>
      <c r="AZ238" s="62" t="str">
        <f t="shared" si="128"/>
        <v>DNS/DNF</v>
      </c>
      <c r="BA238" s="62" t="str">
        <f t="shared" si="129"/>
        <v>DNS/DNF</v>
      </c>
      <c r="BB238" s="62" t="str">
        <f t="shared" si="130"/>
        <v>DNS/DNF</v>
      </c>
      <c r="BC238" s="75">
        <f t="shared" si="131"/>
        <v>234</v>
      </c>
      <c r="BD238" s="53" t="str">
        <f t="shared" si="132"/>
        <v/>
      </c>
      <c r="BE238" s="53">
        <f t="shared" si="133"/>
        <v>333801</v>
      </c>
      <c r="BF238" s="53">
        <f t="shared" si="134"/>
        <v>209468</v>
      </c>
      <c r="BG238" s="53" t="str">
        <f t="shared" si="135"/>
        <v/>
      </c>
      <c r="BH238" s="53">
        <f t="shared" si="136"/>
        <v>462780</v>
      </c>
      <c r="BI238" s="53" t="str">
        <f t="shared" si="137"/>
        <v/>
      </c>
      <c r="BJ238" s="53" t="str">
        <f t="shared" si="138"/>
        <v/>
      </c>
      <c r="BK238" s="53" t="str">
        <f t="shared" si="139"/>
        <v/>
      </c>
    </row>
    <row r="239" spans="1:63">
      <c r="A239" s="53">
        <v>111</v>
      </c>
      <c r="B239" s="89" t="str">
        <f>IFERROR(VLOOKUP($A239,EntryList!$A$3:$N$645,2,FALSE),"")</f>
        <v>Brian America</v>
      </c>
      <c r="C239" s="74"/>
      <c r="D239" s="53">
        <f t="shared" si="105"/>
        <v>3</v>
      </c>
      <c r="E239" s="62"/>
      <c r="F239" s="62">
        <v>4.7542939814814817E-3</v>
      </c>
      <c r="G239" s="62">
        <v>2.4909722222222221E-3</v>
      </c>
      <c r="H239" s="62"/>
      <c r="I239" s="62">
        <v>5.1437152777777774E-3</v>
      </c>
      <c r="J239" s="62"/>
      <c r="K239" s="62"/>
      <c r="L239" s="62"/>
      <c r="M239" s="62">
        <v>1.2388981481481482E-2</v>
      </c>
      <c r="N239" s="62">
        <f t="shared" si="106"/>
        <v>1.238898148148148E-2</v>
      </c>
      <c r="O239" s="53" t="str">
        <f t="shared" si="107"/>
        <v/>
      </c>
      <c r="P239" s="53">
        <f t="shared" si="108"/>
        <v>250</v>
      </c>
      <c r="Q239" s="53">
        <f t="shared" si="109"/>
        <v>238</v>
      </c>
      <c r="R239" s="53" t="str">
        <f t="shared" si="110"/>
        <v/>
      </c>
      <c r="S239" s="53">
        <f t="shared" si="111"/>
        <v>227</v>
      </c>
      <c r="T239" s="53" t="str">
        <f t="shared" si="112"/>
        <v/>
      </c>
      <c r="U239" s="53" t="str">
        <f t="shared" si="113"/>
        <v/>
      </c>
      <c r="V239" s="53" t="str">
        <f t="shared" si="114"/>
        <v/>
      </c>
      <c r="W239" s="53" t="str">
        <f t="shared" si="115"/>
        <v>DNS/DNF ()</v>
      </c>
      <c r="X239" s="53" t="str">
        <f t="shared" si="116"/>
        <v>00:06:50.8 (250)</v>
      </c>
      <c r="Y239" s="53" t="str">
        <f t="shared" si="117"/>
        <v>00:03:35.2 (238)</v>
      </c>
      <c r="Z239" s="53" t="str">
        <f t="shared" si="118"/>
        <v>DNS/DNF ()</v>
      </c>
      <c r="AA239" s="53" t="str">
        <f t="shared" si="119"/>
        <v>00:07:24.4 (227)</v>
      </c>
      <c r="AB239" s="53" t="str">
        <f t="shared" si="120"/>
        <v>DNS/DNF ()</v>
      </c>
      <c r="AC239" s="53" t="str">
        <f t="shared" si="121"/>
        <v>DNS/DNF ()</v>
      </c>
      <c r="AD239" s="53" t="str">
        <f t="shared" si="122"/>
        <v>DNS/DNF ()</v>
      </c>
      <c r="AE239" s="53">
        <v>0</v>
      </c>
      <c r="AF239" s="53">
        <v>0</v>
      </c>
      <c r="AG239" s="53">
        <v>37343197</v>
      </c>
      <c r="AH239" s="53">
        <v>37753968</v>
      </c>
      <c r="AI239" s="53">
        <v>41832030</v>
      </c>
      <c r="AJ239" s="53">
        <v>42047250</v>
      </c>
      <c r="AK239" s="53">
        <v>0</v>
      </c>
      <c r="AL239" s="53">
        <v>0</v>
      </c>
      <c r="AM239" s="53">
        <v>48416952</v>
      </c>
      <c r="AN239" s="53">
        <v>48861369</v>
      </c>
      <c r="AO239" s="53">
        <v>0</v>
      </c>
      <c r="AP239" s="53">
        <v>0</v>
      </c>
      <c r="AQ239" s="53">
        <v>0</v>
      </c>
      <c r="AR239" s="53">
        <v>0</v>
      </c>
      <c r="AS239" s="53">
        <v>0</v>
      </c>
      <c r="AT239" s="53">
        <v>0</v>
      </c>
      <c r="AU239" s="62" t="str">
        <f t="shared" si="123"/>
        <v>DNS/DNF</v>
      </c>
      <c r="AV239" s="62">
        <f t="shared" si="124"/>
        <v>4.7542939814814817E-3</v>
      </c>
      <c r="AW239" s="62">
        <f t="shared" si="125"/>
        <v>2.4909722222222221E-3</v>
      </c>
      <c r="AX239" s="62" t="str">
        <f t="shared" si="126"/>
        <v>DNS/DNF</v>
      </c>
      <c r="AY239" s="62">
        <f t="shared" si="127"/>
        <v>5.1437152777777774E-3</v>
      </c>
      <c r="AZ239" s="62" t="str">
        <f t="shared" si="128"/>
        <v>DNS/DNF</v>
      </c>
      <c r="BA239" s="62" t="str">
        <f t="shared" si="129"/>
        <v>DNS/DNF</v>
      </c>
      <c r="BB239" s="62" t="str">
        <f t="shared" si="130"/>
        <v>DNS/DNF</v>
      </c>
      <c r="BC239" s="75">
        <f t="shared" si="131"/>
        <v>238</v>
      </c>
      <c r="BD239" s="53" t="str">
        <f t="shared" si="132"/>
        <v/>
      </c>
      <c r="BE239" s="53">
        <f t="shared" si="133"/>
        <v>345398.00000000006</v>
      </c>
      <c r="BF239" s="53">
        <f t="shared" si="134"/>
        <v>215220</v>
      </c>
      <c r="BG239" s="53" t="str">
        <f t="shared" si="135"/>
        <v/>
      </c>
      <c r="BH239" s="53">
        <f t="shared" si="136"/>
        <v>474030</v>
      </c>
      <c r="BI239" s="53" t="str">
        <f t="shared" si="137"/>
        <v/>
      </c>
      <c r="BJ239" s="53" t="str">
        <f t="shared" si="138"/>
        <v/>
      </c>
      <c r="BK239" s="53" t="str">
        <f t="shared" si="139"/>
        <v/>
      </c>
    </row>
    <row r="240" spans="1:63">
      <c r="A240" s="53">
        <v>151</v>
      </c>
      <c r="B240" s="89" t="str">
        <f>IFERROR(VLOOKUP($A240,EntryList!$A$3:$N$645,2,FALSE),"")</f>
        <v>Geoff Dye</v>
      </c>
      <c r="C240" s="74"/>
      <c r="D240" s="53">
        <f t="shared" si="105"/>
        <v>3</v>
      </c>
      <c r="E240" s="62"/>
      <c r="F240" s="62">
        <v>4.2889120370370373E-3</v>
      </c>
      <c r="G240" s="62">
        <v>3.1403703703703702E-3</v>
      </c>
      <c r="H240" s="62"/>
      <c r="I240" s="62">
        <v>5.174722222222222E-3</v>
      </c>
      <c r="J240" s="62"/>
      <c r="K240" s="62"/>
      <c r="L240" s="62"/>
      <c r="M240" s="62">
        <v>1.260400462962963E-2</v>
      </c>
      <c r="N240" s="62">
        <f t="shared" si="106"/>
        <v>1.2604004629629628E-2</v>
      </c>
      <c r="O240" s="53" t="str">
        <f t="shared" si="107"/>
        <v/>
      </c>
      <c r="P240" s="53">
        <f t="shared" si="108"/>
        <v>243</v>
      </c>
      <c r="Q240" s="53">
        <f t="shared" si="109"/>
        <v>244</v>
      </c>
      <c r="R240" s="53" t="str">
        <f t="shared" si="110"/>
        <v/>
      </c>
      <c r="S240" s="53">
        <f t="shared" si="111"/>
        <v>229</v>
      </c>
      <c r="T240" s="53" t="str">
        <f t="shared" si="112"/>
        <v/>
      </c>
      <c r="U240" s="53" t="str">
        <f t="shared" si="113"/>
        <v/>
      </c>
      <c r="V240" s="53" t="str">
        <f t="shared" si="114"/>
        <v/>
      </c>
      <c r="W240" s="53" t="str">
        <f t="shared" si="115"/>
        <v>DNS/DNF ()</v>
      </c>
      <c r="X240" s="53" t="str">
        <f t="shared" si="116"/>
        <v>00:06:10.6 (243)</v>
      </c>
      <c r="Y240" s="53" t="str">
        <f t="shared" si="117"/>
        <v>00:04:31.3 (244)</v>
      </c>
      <c r="Z240" s="53" t="str">
        <f t="shared" si="118"/>
        <v>DNS/DNF ()</v>
      </c>
      <c r="AA240" s="53" t="str">
        <f t="shared" si="119"/>
        <v>00:07:27.1 (229)</v>
      </c>
      <c r="AB240" s="53" t="str">
        <f t="shared" si="120"/>
        <v>DNS/DNF ()</v>
      </c>
      <c r="AC240" s="53" t="str">
        <f t="shared" si="121"/>
        <v>DNS/DNF ()</v>
      </c>
      <c r="AD240" s="53" t="str">
        <f t="shared" si="122"/>
        <v>DNS/DNF ()</v>
      </c>
      <c r="AE240" s="53">
        <v>0</v>
      </c>
      <c r="AF240" s="53">
        <v>0</v>
      </c>
      <c r="AG240" s="53">
        <v>38274830</v>
      </c>
      <c r="AH240" s="53">
        <v>38645392</v>
      </c>
      <c r="AI240" s="53">
        <v>34029902</v>
      </c>
      <c r="AJ240" s="53">
        <v>34301230</v>
      </c>
      <c r="AK240" s="53">
        <v>0</v>
      </c>
      <c r="AL240" s="53">
        <v>0</v>
      </c>
      <c r="AM240" s="53">
        <v>43110042</v>
      </c>
      <c r="AN240" s="53">
        <v>43557138</v>
      </c>
      <c r="AO240" s="53">
        <v>0</v>
      </c>
      <c r="AP240" s="53">
        <v>0</v>
      </c>
      <c r="AQ240" s="53">
        <v>0</v>
      </c>
      <c r="AR240" s="53">
        <v>0</v>
      </c>
      <c r="AS240" s="53">
        <v>0</v>
      </c>
      <c r="AT240" s="53">
        <v>0</v>
      </c>
      <c r="AU240" s="62" t="str">
        <f t="shared" si="123"/>
        <v>DNS/DNF</v>
      </c>
      <c r="AV240" s="62">
        <f t="shared" si="124"/>
        <v>4.2889120370370373E-3</v>
      </c>
      <c r="AW240" s="62">
        <f t="shared" si="125"/>
        <v>3.1403703703703702E-3</v>
      </c>
      <c r="AX240" s="62" t="str">
        <f t="shared" si="126"/>
        <v>DNS/DNF</v>
      </c>
      <c r="AY240" s="62">
        <f t="shared" si="127"/>
        <v>5.174722222222222E-3</v>
      </c>
      <c r="AZ240" s="62" t="str">
        <f t="shared" si="128"/>
        <v>DNS/DNF</v>
      </c>
      <c r="BA240" s="62" t="str">
        <f t="shared" si="129"/>
        <v>DNS/DNF</v>
      </c>
      <c r="BB240" s="62" t="str">
        <f t="shared" si="130"/>
        <v>DNS/DNF</v>
      </c>
      <c r="BC240" s="75">
        <f t="shared" si="131"/>
        <v>239</v>
      </c>
      <c r="BD240" s="53" t="str">
        <f t="shared" si="132"/>
        <v/>
      </c>
      <c r="BE240" s="53">
        <f t="shared" si="133"/>
        <v>353595</v>
      </c>
      <c r="BF240" s="53">
        <f t="shared" si="134"/>
        <v>217808</v>
      </c>
      <c r="BG240" s="53" t="str">
        <f t="shared" si="135"/>
        <v/>
      </c>
      <c r="BH240" s="53">
        <f t="shared" si="136"/>
        <v>475450.99999999994</v>
      </c>
      <c r="BI240" s="53" t="str">
        <f t="shared" si="137"/>
        <v/>
      </c>
      <c r="BJ240" s="53" t="str">
        <f t="shared" si="138"/>
        <v/>
      </c>
      <c r="BK240" s="53" t="str">
        <f t="shared" si="139"/>
        <v/>
      </c>
    </row>
    <row r="241" spans="1:63">
      <c r="A241" s="53">
        <v>11</v>
      </c>
      <c r="B241" s="89" t="str">
        <f>IFERROR(VLOOKUP($A241,EntryList!$A$3:$N$645,2,FALSE),"")</f>
        <v>Spencer Van Zyl</v>
      </c>
      <c r="C241" s="74"/>
      <c r="D241" s="53">
        <f t="shared" si="105"/>
        <v>3</v>
      </c>
      <c r="E241" s="62"/>
      <c r="F241" s="62">
        <v>5.1973148148148152E-3</v>
      </c>
      <c r="G241" s="62">
        <v>2.4491666666666668E-3</v>
      </c>
      <c r="H241" s="62"/>
      <c r="I241" s="62">
        <v>4.9791898148148148E-3</v>
      </c>
      <c r="J241" s="62"/>
      <c r="K241" s="62"/>
      <c r="L241" s="62"/>
      <c r="M241" s="62">
        <v>1.2625671296296296E-2</v>
      </c>
      <c r="N241" s="62">
        <f t="shared" si="106"/>
        <v>1.2625671296296296E-2</v>
      </c>
      <c r="O241" s="53" t="str">
        <f t="shared" si="107"/>
        <v/>
      </c>
      <c r="P241" s="53">
        <f t="shared" si="108"/>
        <v>253</v>
      </c>
      <c r="Q241" s="53">
        <f t="shared" si="109"/>
        <v>236</v>
      </c>
      <c r="R241" s="53" t="str">
        <f t="shared" si="110"/>
        <v/>
      </c>
      <c r="S241" s="53">
        <f t="shared" si="111"/>
        <v>223</v>
      </c>
      <c r="T241" s="53" t="str">
        <f t="shared" si="112"/>
        <v/>
      </c>
      <c r="U241" s="53" t="str">
        <f t="shared" si="113"/>
        <v/>
      </c>
      <c r="V241" s="53" t="str">
        <f t="shared" si="114"/>
        <v/>
      </c>
      <c r="W241" s="53" t="str">
        <f t="shared" si="115"/>
        <v>DNS/DNF ()</v>
      </c>
      <c r="X241" s="53" t="str">
        <f t="shared" si="116"/>
        <v>00:07:29.0 (253)</v>
      </c>
      <c r="Y241" s="53" t="str">
        <f t="shared" si="117"/>
        <v>00:03:31.6 (236)</v>
      </c>
      <c r="Z241" s="53" t="str">
        <f t="shared" si="118"/>
        <v>DNS/DNF ()</v>
      </c>
      <c r="AA241" s="53" t="str">
        <f t="shared" si="119"/>
        <v>00:07:10.2 (223)</v>
      </c>
      <c r="AB241" s="53" t="str">
        <f t="shared" si="120"/>
        <v>DNS/DNF ()</v>
      </c>
      <c r="AC241" s="53" t="str">
        <f t="shared" si="121"/>
        <v>DNS/DNF ()</v>
      </c>
      <c r="AD241" s="53" t="str">
        <f t="shared" si="122"/>
        <v>DNS/DNF ()</v>
      </c>
      <c r="AE241" s="53">
        <v>0</v>
      </c>
      <c r="AF241" s="53">
        <v>0</v>
      </c>
      <c r="AG241" s="53">
        <v>36390089</v>
      </c>
      <c r="AH241" s="53">
        <v>36839137</v>
      </c>
      <c r="AI241" s="53">
        <v>41233230</v>
      </c>
      <c r="AJ241" s="53">
        <v>41444838</v>
      </c>
      <c r="AK241" s="53">
        <v>0</v>
      </c>
      <c r="AL241" s="53">
        <v>0</v>
      </c>
      <c r="AM241" s="53">
        <v>45196626</v>
      </c>
      <c r="AN241" s="53">
        <v>45626828</v>
      </c>
      <c r="AO241" s="53">
        <v>0</v>
      </c>
      <c r="AP241" s="53">
        <v>0</v>
      </c>
      <c r="AQ241" s="53">
        <v>0</v>
      </c>
      <c r="AR241" s="53">
        <v>0</v>
      </c>
      <c r="AS241" s="53">
        <v>0</v>
      </c>
      <c r="AT241" s="53">
        <v>0</v>
      </c>
      <c r="AU241" s="62" t="str">
        <f t="shared" si="123"/>
        <v>DNS/DNF</v>
      </c>
      <c r="AV241" s="62">
        <f t="shared" si="124"/>
        <v>5.1973148148148152E-3</v>
      </c>
      <c r="AW241" s="62">
        <f t="shared" si="125"/>
        <v>2.4491666666666668E-3</v>
      </c>
      <c r="AX241" s="62" t="str">
        <f t="shared" si="126"/>
        <v>DNS/DNF</v>
      </c>
      <c r="AY241" s="62">
        <f t="shared" si="127"/>
        <v>4.9791898148148148E-3</v>
      </c>
      <c r="AZ241" s="62" t="str">
        <f t="shared" si="128"/>
        <v>DNS/DNF</v>
      </c>
      <c r="BA241" s="62" t="str">
        <f t="shared" si="129"/>
        <v>DNS/DNF</v>
      </c>
      <c r="BB241" s="62" t="str">
        <f t="shared" si="130"/>
        <v>DNS/DNF</v>
      </c>
      <c r="BC241" s="75">
        <f t="shared" si="131"/>
        <v>237</v>
      </c>
      <c r="BD241" s="53" t="str">
        <f t="shared" si="132"/>
        <v/>
      </c>
      <c r="BE241" s="53">
        <f t="shared" si="133"/>
        <v>340194.99999999994</v>
      </c>
      <c r="BF241" s="53">
        <f t="shared" si="134"/>
        <v>215065</v>
      </c>
      <c r="BG241" s="53" t="str">
        <f t="shared" si="135"/>
        <v/>
      </c>
      <c r="BH241" s="53">
        <f t="shared" si="136"/>
        <v>473809</v>
      </c>
      <c r="BI241" s="53" t="str">
        <f t="shared" si="137"/>
        <v/>
      </c>
      <c r="BJ241" s="53" t="str">
        <f t="shared" si="138"/>
        <v/>
      </c>
      <c r="BK241" s="53" t="str">
        <f t="shared" si="139"/>
        <v/>
      </c>
    </row>
    <row r="242" spans="1:63">
      <c r="A242" s="53">
        <v>19</v>
      </c>
      <c r="B242" s="89" t="str">
        <f>IFERROR(VLOOKUP($A242,EntryList!$A$3:$N$645,2,FALSE),"")</f>
        <v>Isabella Stermin</v>
      </c>
      <c r="C242" s="74"/>
      <c r="D242" s="53">
        <f t="shared" si="105"/>
        <v>3</v>
      </c>
      <c r="E242" s="62"/>
      <c r="F242" s="62">
        <v>4.3562268518518516E-3</v>
      </c>
      <c r="G242" s="62">
        <v>2.8904398148148144E-3</v>
      </c>
      <c r="H242" s="62"/>
      <c r="I242" s="62">
        <v>5.5029050925925922E-3</v>
      </c>
      <c r="J242" s="62"/>
      <c r="K242" s="62"/>
      <c r="L242" s="62"/>
      <c r="M242" s="62">
        <v>1.2749571759259259E-2</v>
      </c>
      <c r="N242" s="62">
        <f t="shared" si="106"/>
        <v>1.2749571759259259E-2</v>
      </c>
      <c r="O242" s="53" t="str">
        <f t="shared" si="107"/>
        <v/>
      </c>
      <c r="P242" s="53">
        <f t="shared" si="108"/>
        <v>246</v>
      </c>
      <c r="Q242" s="53">
        <f t="shared" si="109"/>
        <v>243</v>
      </c>
      <c r="R242" s="53" t="str">
        <f t="shared" si="110"/>
        <v/>
      </c>
      <c r="S242" s="53">
        <f t="shared" si="111"/>
        <v>239</v>
      </c>
      <c r="T242" s="53" t="str">
        <f t="shared" si="112"/>
        <v/>
      </c>
      <c r="U242" s="53" t="str">
        <f t="shared" si="113"/>
        <v/>
      </c>
      <c r="V242" s="53" t="str">
        <f t="shared" si="114"/>
        <v/>
      </c>
      <c r="W242" s="53" t="str">
        <f t="shared" si="115"/>
        <v>DNS/DNF ()</v>
      </c>
      <c r="X242" s="53" t="str">
        <f t="shared" si="116"/>
        <v>00:06:16.4 (246)</v>
      </c>
      <c r="Y242" s="53" t="str">
        <f t="shared" si="117"/>
        <v>00:04:09.7 (243)</v>
      </c>
      <c r="Z242" s="53" t="str">
        <f t="shared" si="118"/>
        <v>DNS/DNF ()</v>
      </c>
      <c r="AA242" s="53" t="str">
        <f t="shared" si="119"/>
        <v>00:07:55.5 (239)</v>
      </c>
      <c r="AB242" s="53" t="str">
        <f t="shared" si="120"/>
        <v>DNS/DNF ()</v>
      </c>
      <c r="AC242" s="53" t="str">
        <f t="shared" si="121"/>
        <v>DNS/DNF ()</v>
      </c>
      <c r="AD242" s="53" t="str">
        <f t="shared" si="122"/>
        <v>DNS/DNF ()</v>
      </c>
      <c r="AE242" s="53">
        <v>0</v>
      </c>
      <c r="AF242" s="53">
        <v>0</v>
      </c>
      <c r="AG242" s="53">
        <v>36382038</v>
      </c>
      <c r="AH242" s="53">
        <v>36758416</v>
      </c>
      <c r="AI242" s="53">
        <v>41138004</v>
      </c>
      <c r="AJ242" s="53">
        <v>41387738</v>
      </c>
      <c r="AK242" s="53">
        <v>0</v>
      </c>
      <c r="AL242" s="53">
        <v>0</v>
      </c>
      <c r="AM242" s="53">
        <v>45137484</v>
      </c>
      <c r="AN242" s="53">
        <v>45612935</v>
      </c>
      <c r="AO242" s="53">
        <v>0</v>
      </c>
      <c r="AP242" s="53">
        <v>0</v>
      </c>
      <c r="AQ242" s="53">
        <v>0</v>
      </c>
      <c r="AR242" s="53">
        <v>0</v>
      </c>
      <c r="AS242" s="53">
        <v>0</v>
      </c>
      <c r="AT242" s="53">
        <v>0</v>
      </c>
      <c r="AU242" s="62" t="str">
        <f t="shared" si="123"/>
        <v>DNS/DNF</v>
      </c>
      <c r="AV242" s="62">
        <f t="shared" si="124"/>
        <v>4.3562268518518516E-3</v>
      </c>
      <c r="AW242" s="62">
        <f t="shared" si="125"/>
        <v>2.8904398148148149E-3</v>
      </c>
      <c r="AX242" s="62" t="str">
        <f t="shared" si="126"/>
        <v>DNS/DNF</v>
      </c>
      <c r="AY242" s="62">
        <f t="shared" si="127"/>
        <v>5.5029050925925922E-3</v>
      </c>
      <c r="AZ242" s="62" t="str">
        <f t="shared" si="128"/>
        <v>DNS/DNF</v>
      </c>
      <c r="BA242" s="62" t="str">
        <f t="shared" si="129"/>
        <v>DNS/DNF</v>
      </c>
      <c r="BB242" s="62" t="str">
        <f t="shared" si="130"/>
        <v>DNS/DNF</v>
      </c>
      <c r="BC242" s="75">
        <f t="shared" si="131"/>
        <v>243</v>
      </c>
      <c r="BD242" s="53" t="str">
        <f t="shared" si="132"/>
        <v/>
      </c>
      <c r="BE242" s="53">
        <f t="shared" si="133"/>
        <v>370562</v>
      </c>
      <c r="BF242" s="53">
        <f t="shared" si="134"/>
        <v>249734</v>
      </c>
      <c r="BG242" s="53" t="str">
        <f t="shared" si="135"/>
        <v/>
      </c>
      <c r="BH242" s="53" t="str">
        <f t="shared" si="136"/>
        <v/>
      </c>
      <c r="BI242" s="53" t="str">
        <f t="shared" si="137"/>
        <v/>
      </c>
      <c r="BJ242" s="53" t="str">
        <f t="shared" si="138"/>
        <v/>
      </c>
      <c r="BK242" s="53" t="str">
        <f t="shared" si="139"/>
        <v/>
      </c>
    </row>
    <row r="243" spans="1:63">
      <c r="A243" s="53">
        <v>158</v>
      </c>
      <c r="B243" s="89" t="str">
        <f>IFERROR(VLOOKUP($A243,EntryList!$A$3:$N$645,2,FALSE),"")</f>
        <v>Morne Share</v>
      </c>
      <c r="C243" s="74"/>
      <c r="D243" s="53">
        <f t="shared" si="105"/>
        <v>3</v>
      </c>
      <c r="E243" s="62"/>
      <c r="F243" s="62">
        <v>4.4298148148148144E-3</v>
      </c>
      <c r="G243" s="62">
        <v>3.3097222222222221E-3</v>
      </c>
      <c r="H243" s="62"/>
      <c r="I243" s="62">
        <v>5.3562499999999999E-3</v>
      </c>
      <c r="J243" s="62"/>
      <c r="K243" s="62"/>
      <c r="L243" s="62"/>
      <c r="M243" s="62">
        <v>1.3095787037037036E-2</v>
      </c>
      <c r="N243" s="62">
        <f t="shared" si="106"/>
        <v>1.3095787037037038E-2</v>
      </c>
      <c r="O243" s="53" t="str">
        <f t="shared" si="107"/>
        <v/>
      </c>
      <c r="P243" s="53">
        <f t="shared" si="108"/>
        <v>247</v>
      </c>
      <c r="Q243" s="53">
        <f t="shared" si="109"/>
        <v>247</v>
      </c>
      <c r="R243" s="53" t="str">
        <f t="shared" si="110"/>
        <v/>
      </c>
      <c r="S243" s="53">
        <f t="shared" si="111"/>
        <v>234</v>
      </c>
      <c r="T243" s="53" t="str">
        <f t="shared" si="112"/>
        <v/>
      </c>
      <c r="U243" s="53" t="str">
        <f t="shared" si="113"/>
        <v/>
      </c>
      <c r="V243" s="53" t="str">
        <f t="shared" si="114"/>
        <v/>
      </c>
      <c r="W243" s="53" t="str">
        <f t="shared" si="115"/>
        <v>DNS/DNF ()</v>
      </c>
      <c r="X243" s="53" t="str">
        <f t="shared" si="116"/>
        <v>00:06:22.7 (247)</v>
      </c>
      <c r="Y243" s="53" t="str">
        <f t="shared" si="117"/>
        <v>00:04:46.0 (247)</v>
      </c>
      <c r="Z243" s="53" t="str">
        <f t="shared" si="118"/>
        <v>DNS/DNF ()</v>
      </c>
      <c r="AA243" s="53" t="str">
        <f t="shared" si="119"/>
        <v>00:07:42.8 (234)</v>
      </c>
      <c r="AB243" s="53" t="str">
        <f t="shared" si="120"/>
        <v>DNS/DNF ()</v>
      </c>
      <c r="AC243" s="53" t="str">
        <f t="shared" si="121"/>
        <v>DNS/DNF ()</v>
      </c>
      <c r="AD243" s="53" t="str">
        <f t="shared" si="122"/>
        <v>DNS/DNF ()</v>
      </c>
      <c r="AE243" s="53">
        <v>0</v>
      </c>
      <c r="AF243" s="53">
        <v>0</v>
      </c>
      <c r="AG243" s="53">
        <v>37413074</v>
      </c>
      <c r="AH243" s="53">
        <v>37795810</v>
      </c>
      <c r="AI243" s="53">
        <v>41515124</v>
      </c>
      <c r="AJ243" s="53">
        <v>41801084</v>
      </c>
      <c r="AK243" s="53">
        <v>0</v>
      </c>
      <c r="AL243" s="53">
        <v>0</v>
      </c>
      <c r="AM243" s="53">
        <v>47870726</v>
      </c>
      <c r="AN243" s="53">
        <v>48333506</v>
      </c>
      <c r="AO243" s="53">
        <v>0</v>
      </c>
      <c r="AP243" s="53">
        <v>0</v>
      </c>
      <c r="AQ243" s="53">
        <v>0</v>
      </c>
      <c r="AR243" s="53">
        <v>0</v>
      </c>
      <c r="AS243" s="53">
        <v>0</v>
      </c>
      <c r="AT243" s="53">
        <v>0</v>
      </c>
      <c r="AU243" s="62" t="str">
        <f t="shared" si="123"/>
        <v>DNS/DNF</v>
      </c>
      <c r="AV243" s="62">
        <f t="shared" si="124"/>
        <v>4.4298148148148152E-3</v>
      </c>
      <c r="AW243" s="62">
        <f t="shared" si="125"/>
        <v>3.3097222222222221E-3</v>
      </c>
      <c r="AX243" s="62" t="str">
        <f t="shared" si="126"/>
        <v>DNS/DNF</v>
      </c>
      <c r="AY243" s="62">
        <f t="shared" si="127"/>
        <v>5.3562499999999999E-3</v>
      </c>
      <c r="AZ243" s="62" t="str">
        <f t="shared" si="128"/>
        <v>DNS/DNF</v>
      </c>
      <c r="BA243" s="62" t="str">
        <f t="shared" si="129"/>
        <v>DNS/DNF</v>
      </c>
      <c r="BB243" s="62" t="str">
        <f t="shared" si="130"/>
        <v>DNS/DNF</v>
      </c>
      <c r="BC243" s="75">
        <f t="shared" si="131"/>
        <v>243</v>
      </c>
      <c r="BD243" s="53" t="str">
        <f t="shared" si="132"/>
        <v/>
      </c>
      <c r="BE243" s="53">
        <f t="shared" si="133"/>
        <v>370562</v>
      </c>
      <c r="BF243" s="53">
        <f t="shared" si="134"/>
        <v>249734</v>
      </c>
      <c r="BG243" s="53" t="str">
        <f t="shared" si="135"/>
        <v/>
      </c>
      <c r="BH243" s="53" t="str">
        <f t="shared" si="136"/>
        <v/>
      </c>
      <c r="BI243" s="53" t="str">
        <f t="shared" si="137"/>
        <v/>
      </c>
      <c r="BJ243" s="53" t="str">
        <f t="shared" si="138"/>
        <v/>
      </c>
      <c r="BK243" s="53" t="str">
        <f t="shared" si="139"/>
        <v/>
      </c>
    </row>
    <row r="244" spans="1:63">
      <c r="A244" s="53">
        <v>48</v>
      </c>
      <c r="B244" s="89" t="str">
        <f>IFERROR(VLOOKUP($A244,EntryList!$A$3:$N$645,2,FALSE),"")</f>
        <v>Rushdie Lagardien</v>
      </c>
      <c r="C244" s="74"/>
      <c r="D244" s="53">
        <f t="shared" si="105"/>
        <v>3</v>
      </c>
      <c r="E244" s="62"/>
      <c r="F244" s="62">
        <v>4.7767245370370368E-3</v>
      </c>
      <c r="G244" s="62">
        <v>2.6357638888888889E-3</v>
      </c>
      <c r="H244" s="62"/>
      <c r="I244" s="62">
        <v>6.5429166666666656E-3</v>
      </c>
      <c r="J244" s="62"/>
      <c r="K244" s="62"/>
      <c r="L244" s="62"/>
      <c r="M244" s="62">
        <v>1.3955405092592592E-2</v>
      </c>
      <c r="N244" s="62">
        <f t="shared" si="106"/>
        <v>1.3955405092592592E-2</v>
      </c>
      <c r="O244" s="53" t="str">
        <f t="shared" si="107"/>
        <v/>
      </c>
      <c r="P244" s="53">
        <f t="shared" si="108"/>
        <v>251</v>
      </c>
      <c r="Q244" s="53">
        <f t="shared" si="109"/>
        <v>240</v>
      </c>
      <c r="R244" s="53" t="str">
        <f t="shared" si="110"/>
        <v/>
      </c>
      <c r="S244" s="53">
        <f t="shared" si="111"/>
        <v>241</v>
      </c>
      <c r="T244" s="53" t="str">
        <f t="shared" si="112"/>
        <v/>
      </c>
      <c r="U244" s="53" t="str">
        <f t="shared" si="113"/>
        <v/>
      </c>
      <c r="V244" s="53" t="str">
        <f t="shared" si="114"/>
        <v/>
      </c>
      <c r="W244" s="53" t="str">
        <f t="shared" si="115"/>
        <v>DNS/DNF ()</v>
      </c>
      <c r="X244" s="53" t="str">
        <f t="shared" si="116"/>
        <v>00:06:52.7 (251)</v>
      </c>
      <c r="Y244" s="53" t="str">
        <f t="shared" si="117"/>
        <v>00:03:47.7 (240)</v>
      </c>
      <c r="Z244" s="53" t="str">
        <f t="shared" si="118"/>
        <v>DNS/DNF ()</v>
      </c>
      <c r="AA244" s="53" t="str">
        <f t="shared" si="119"/>
        <v>00:09:25.3 (241)</v>
      </c>
      <c r="AB244" s="53" t="str">
        <f t="shared" si="120"/>
        <v>DNS/DNF ()</v>
      </c>
      <c r="AC244" s="53" t="str">
        <f t="shared" si="121"/>
        <v>DNS/DNF ()</v>
      </c>
      <c r="AD244" s="53" t="str">
        <f t="shared" si="122"/>
        <v>DNS/DNF ()</v>
      </c>
      <c r="AE244" s="53">
        <v>0</v>
      </c>
      <c r="AF244" s="53">
        <v>0</v>
      </c>
      <c r="AG244" s="53">
        <v>35680765</v>
      </c>
      <c r="AH244" s="53">
        <v>36093474</v>
      </c>
      <c r="AI244" s="53">
        <v>41096248</v>
      </c>
      <c r="AJ244" s="53">
        <v>41323978</v>
      </c>
      <c r="AK244" s="53">
        <v>0</v>
      </c>
      <c r="AL244" s="53">
        <v>0</v>
      </c>
      <c r="AM244" s="53">
        <v>46187432</v>
      </c>
      <c r="AN244" s="53">
        <v>46752740</v>
      </c>
      <c r="AO244" s="53">
        <v>0</v>
      </c>
      <c r="AP244" s="53">
        <v>0</v>
      </c>
      <c r="AQ244" s="53">
        <v>0</v>
      </c>
      <c r="AR244" s="53">
        <v>0</v>
      </c>
      <c r="AS244" s="53">
        <v>0</v>
      </c>
      <c r="AT244" s="53">
        <v>0</v>
      </c>
      <c r="AU244" s="62" t="str">
        <f t="shared" si="123"/>
        <v>DNS/DNF</v>
      </c>
      <c r="AV244" s="62">
        <f t="shared" si="124"/>
        <v>4.7767245370370368E-3</v>
      </c>
      <c r="AW244" s="62">
        <f t="shared" si="125"/>
        <v>2.6357638888888889E-3</v>
      </c>
      <c r="AX244" s="62" t="str">
        <f t="shared" si="126"/>
        <v>DNS/DNF</v>
      </c>
      <c r="AY244" s="62">
        <f t="shared" si="127"/>
        <v>6.5429166666666665E-3</v>
      </c>
      <c r="AZ244" s="62" t="str">
        <f t="shared" si="128"/>
        <v>DNS/DNF</v>
      </c>
      <c r="BA244" s="62" t="str">
        <f t="shared" si="129"/>
        <v>DNS/DNF</v>
      </c>
      <c r="BB244" s="62" t="str">
        <f t="shared" si="130"/>
        <v>DNS/DNF</v>
      </c>
      <c r="BC244" s="75">
        <f t="shared" si="131"/>
        <v>244</v>
      </c>
      <c r="BD244" s="53" t="str">
        <f t="shared" si="132"/>
        <v/>
      </c>
      <c r="BE244" s="53">
        <f t="shared" si="133"/>
        <v>372157</v>
      </c>
      <c r="BF244" s="53">
        <f t="shared" si="134"/>
        <v>271328</v>
      </c>
      <c r="BG244" s="53" t="str">
        <f t="shared" si="135"/>
        <v/>
      </c>
      <c r="BH244" s="53" t="str">
        <f t="shared" si="136"/>
        <v/>
      </c>
      <c r="BI244" s="53" t="str">
        <f t="shared" si="137"/>
        <v/>
      </c>
      <c r="BJ244" s="53" t="str">
        <f t="shared" si="138"/>
        <v/>
      </c>
      <c r="BK244" s="53" t="str">
        <f t="shared" si="139"/>
        <v/>
      </c>
    </row>
    <row r="245" spans="1:63">
      <c r="A245" s="53">
        <v>153</v>
      </c>
      <c r="B245" s="89" t="str">
        <f>IFERROR(VLOOKUP($A245,EntryList!$A$3:$N$645,2,FALSE),"")</f>
        <v>Harry Millar</v>
      </c>
      <c r="C245" s="74"/>
      <c r="D245" s="53">
        <f t="shared" si="105"/>
        <v>2</v>
      </c>
      <c r="E245" s="62"/>
      <c r="F245" s="62">
        <v>2.7959606481481481E-3</v>
      </c>
      <c r="G245" s="62">
        <v>1.7545601851851852E-3</v>
      </c>
      <c r="H245" s="62"/>
      <c r="I245" s="62"/>
      <c r="J245" s="62"/>
      <c r="K245" s="62"/>
      <c r="L245" s="62"/>
      <c r="M245" s="62">
        <v>4.5505208333333326E-3</v>
      </c>
      <c r="N245" s="62">
        <f t="shared" si="106"/>
        <v>4.5505208333333335E-3</v>
      </c>
      <c r="O245" s="53" t="str">
        <f t="shared" si="107"/>
        <v/>
      </c>
      <c r="P245" s="53">
        <f t="shared" si="108"/>
        <v>63</v>
      </c>
      <c r="Q245" s="53">
        <f t="shared" si="109"/>
        <v>115</v>
      </c>
      <c r="R245" s="53" t="str">
        <f t="shared" si="110"/>
        <v/>
      </c>
      <c r="S245" s="53" t="str">
        <f t="shared" si="111"/>
        <v/>
      </c>
      <c r="T245" s="53" t="str">
        <f t="shared" si="112"/>
        <v/>
      </c>
      <c r="U245" s="53" t="str">
        <f t="shared" si="113"/>
        <v/>
      </c>
      <c r="V245" s="53" t="str">
        <f t="shared" si="114"/>
        <v/>
      </c>
      <c r="W245" s="53" t="str">
        <f t="shared" si="115"/>
        <v>DNS/DNF ()</v>
      </c>
      <c r="X245" s="53" t="str">
        <f t="shared" si="116"/>
        <v>00:04:01.6 (63)</v>
      </c>
      <c r="Y245" s="53" t="str">
        <f t="shared" si="117"/>
        <v>00:02:31.6 (115)</v>
      </c>
      <c r="Z245" s="53" t="str">
        <f t="shared" si="118"/>
        <v>DNS/DNF ()</v>
      </c>
      <c r="AA245" s="53" t="str">
        <f t="shared" si="119"/>
        <v>DNS/DNF ()</v>
      </c>
      <c r="AB245" s="53" t="str">
        <f t="shared" si="120"/>
        <v>DNS/DNF ()</v>
      </c>
      <c r="AC245" s="53" t="str">
        <f t="shared" si="121"/>
        <v>DNS/DNF ()</v>
      </c>
      <c r="AD245" s="53" t="str">
        <f t="shared" si="122"/>
        <v>DNS/DNF ()</v>
      </c>
      <c r="AE245" s="53">
        <v>36312802</v>
      </c>
      <c r="AF245" s="53">
        <v>0</v>
      </c>
      <c r="AG245" s="53">
        <v>36941972</v>
      </c>
      <c r="AH245" s="53">
        <v>37183543</v>
      </c>
      <c r="AI245" s="53">
        <v>43947570</v>
      </c>
      <c r="AJ245" s="53">
        <v>44099164</v>
      </c>
      <c r="AK245" s="53">
        <v>0</v>
      </c>
      <c r="AL245" s="53">
        <v>0</v>
      </c>
      <c r="AM245" s="53">
        <v>0</v>
      </c>
      <c r="AN245" s="53">
        <v>44697079</v>
      </c>
      <c r="AO245" s="53">
        <v>0</v>
      </c>
      <c r="AP245" s="53">
        <v>0</v>
      </c>
      <c r="AQ245" s="53">
        <v>0</v>
      </c>
      <c r="AR245" s="53">
        <v>0</v>
      </c>
      <c r="AS245" s="53">
        <v>0</v>
      </c>
      <c r="AT245" s="53">
        <v>0</v>
      </c>
      <c r="AU245" s="62" t="str">
        <f t="shared" si="123"/>
        <v>DNS/DNF</v>
      </c>
      <c r="AV245" s="62">
        <f t="shared" si="124"/>
        <v>2.7959606481481481E-3</v>
      </c>
      <c r="AW245" s="62">
        <f t="shared" si="125"/>
        <v>1.7545601851851852E-3</v>
      </c>
      <c r="AX245" s="62" t="str">
        <f t="shared" si="126"/>
        <v>DNS/DNF</v>
      </c>
      <c r="AY245" s="62" t="str">
        <f t="shared" si="127"/>
        <v>DNS/DNF</v>
      </c>
      <c r="AZ245" s="62" t="str">
        <f t="shared" si="128"/>
        <v>DNS/DNF</v>
      </c>
      <c r="BA245" s="62" t="str">
        <f t="shared" si="129"/>
        <v>DNS/DNF</v>
      </c>
      <c r="BB245" s="62" t="str">
        <f t="shared" si="130"/>
        <v>DNS/DNF</v>
      </c>
      <c r="BC245" s="75">
        <f t="shared" si="131"/>
        <v>89</v>
      </c>
      <c r="BD245" s="53">
        <f t="shared" si="132"/>
        <v>271618</v>
      </c>
      <c r="BE245" s="53">
        <f t="shared" si="133"/>
        <v>251645</v>
      </c>
      <c r="BF245" s="53">
        <f t="shared" si="134"/>
        <v>144350</v>
      </c>
      <c r="BG245" s="53">
        <f t="shared" si="135"/>
        <v>294226</v>
      </c>
      <c r="BH245" s="53">
        <f t="shared" si="136"/>
        <v>341377</v>
      </c>
      <c r="BI245" s="53" t="str">
        <f t="shared" si="137"/>
        <v/>
      </c>
      <c r="BJ245" s="53" t="str">
        <f t="shared" si="138"/>
        <v/>
      </c>
      <c r="BK245" s="53" t="str">
        <f t="shared" si="139"/>
        <v/>
      </c>
    </row>
    <row r="246" spans="1:63">
      <c r="A246" s="53">
        <v>237</v>
      </c>
      <c r="B246" s="89" t="str">
        <f>IFERROR(VLOOKUP($A246,EntryList!$A$3:$N$645,2,FALSE),"")</f>
        <v>Eryn Marais</v>
      </c>
      <c r="C246" s="74"/>
      <c r="D246" s="53">
        <f t="shared" si="105"/>
        <v>2</v>
      </c>
      <c r="E246" s="62"/>
      <c r="F246" s="62">
        <v>2.9734027777777779E-3</v>
      </c>
      <c r="G246" s="62">
        <v>1.7577083333333333E-3</v>
      </c>
      <c r="H246" s="62"/>
      <c r="I246" s="62"/>
      <c r="J246" s="62"/>
      <c r="K246" s="62"/>
      <c r="L246" s="62"/>
      <c r="M246" s="62">
        <v>4.7311111111111113E-3</v>
      </c>
      <c r="N246" s="62">
        <f t="shared" si="106"/>
        <v>4.7311111111111113E-3</v>
      </c>
      <c r="O246" s="53" t="str">
        <f t="shared" si="107"/>
        <v/>
      </c>
      <c r="P246" s="53">
        <f t="shared" si="108"/>
        <v>102</v>
      </c>
      <c r="Q246" s="53">
        <f t="shared" si="109"/>
        <v>119</v>
      </c>
      <c r="R246" s="53" t="str">
        <f t="shared" si="110"/>
        <v/>
      </c>
      <c r="S246" s="53" t="str">
        <f t="shared" si="111"/>
        <v/>
      </c>
      <c r="T246" s="53" t="str">
        <f t="shared" si="112"/>
        <v/>
      </c>
      <c r="U246" s="53" t="str">
        <f t="shared" si="113"/>
        <v/>
      </c>
      <c r="V246" s="53" t="str">
        <f t="shared" si="114"/>
        <v/>
      </c>
      <c r="W246" s="53" t="str">
        <f t="shared" si="115"/>
        <v>DNS/DNF ()</v>
      </c>
      <c r="X246" s="53" t="str">
        <f t="shared" si="116"/>
        <v>00:04:16.9 (102)</v>
      </c>
      <c r="Y246" s="53" t="str">
        <f t="shared" si="117"/>
        <v>00:02:31.9 (119)</v>
      </c>
      <c r="Z246" s="53" t="str">
        <f t="shared" si="118"/>
        <v>DNS/DNF ()</v>
      </c>
      <c r="AA246" s="53" t="str">
        <f t="shared" si="119"/>
        <v>DNS/DNF ()</v>
      </c>
      <c r="AB246" s="53" t="str">
        <f t="shared" si="120"/>
        <v>DNS/DNF ()</v>
      </c>
      <c r="AC246" s="53" t="str">
        <f t="shared" si="121"/>
        <v>DNS/DNF ()</v>
      </c>
      <c r="AD246" s="53" t="str">
        <f t="shared" si="122"/>
        <v>DNS/DNF ()</v>
      </c>
      <c r="AE246" s="53">
        <v>0</v>
      </c>
      <c r="AF246" s="53">
        <v>0</v>
      </c>
      <c r="AG246" s="53">
        <v>32831141</v>
      </c>
      <c r="AH246" s="53">
        <v>33088043</v>
      </c>
      <c r="AI246" s="53">
        <v>36050548</v>
      </c>
      <c r="AJ246" s="53">
        <v>36202414</v>
      </c>
      <c r="AK246" s="53">
        <v>0</v>
      </c>
      <c r="AL246" s="53">
        <v>0</v>
      </c>
      <c r="AM246" s="53">
        <v>40781186</v>
      </c>
      <c r="AN246" s="53">
        <v>0</v>
      </c>
      <c r="AO246" s="53">
        <v>0</v>
      </c>
      <c r="AP246" s="53">
        <v>0</v>
      </c>
      <c r="AQ246" s="53">
        <v>0</v>
      </c>
      <c r="AR246" s="53">
        <v>0</v>
      </c>
      <c r="AS246" s="53">
        <v>0</v>
      </c>
      <c r="AT246" s="53">
        <v>0</v>
      </c>
      <c r="AU246" s="62" t="str">
        <f t="shared" si="123"/>
        <v>DNS/DNF</v>
      </c>
      <c r="AV246" s="62">
        <f t="shared" si="124"/>
        <v>2.9734027777777779E-3</v>
      </c>
      <c r="AW246" s="62">
        <f t="shared" si="125"/>
        <v>1.7577083333333333E-3</v>
      </c>
      <c r="AX246" s="62" t="str">
        <f t="shared" si="126"/>
        <v>DNS/DNF</v>
      </c>
      <c r="AY246" s="62" t="str">
        <f t="shared" si="127"/>
        <v>DNS/DNF</v>
      </c>
      <c r="AZ246" s="62" t="str">
        <f t="shared" si="128"/>
        <v>DNS/DNF</v>
      </c>
      <c r="BA246" s="62" t="str">
        <f t="shared" si="129"/>
        <v>DNS/DNF</v>
      </c>
      <c r="BB246" s="62" t="str">
        <f t="shared" si="130"/>
        <v>DNS/DNF</v>
      </c>
      <c r="BC246" s="75">
        <f t="shared" si="131"/>
        <v>111</v>
      </c>
      <c r="BD246" s="53">
        <f t="shared" si="132"/>
        <v>308892</v>
      </c>
      <c r="BE246" s="53">
        <f t="shared" si="133"/>
        <v>260201</v>
      </c>
      <c r="BF246" s="53">
        <f t="shared" si="134"/>
        <v>150335</v>
      </c>
      <c r="BG246" s="53">
        <f t="shared" si="135"/>
        <v>317015</v>
      </c>
      <c r="BH246" s="53">
        <f t="shared" si="136"/>
        <v>351781.99999999994</v>
      </c>
      <c r="BI246" s="53" t="str">
        <f t="shared" si="137"/>
        <v/>
      </c>
      <c r="BJ246" s="53" t="str">
        <f t="shared" si="138"/>
        <v/>
      </c>
      <c r="BK246" s="53" t="str">
        <f t="shared" si="139"/>
        <v/>
      </c>
    </row>
    <row r="247" spans="1:63">
      <c r="A247" s="53">
        <v>46</v>
      </c>
      <c r="B247" s="89" t="str">
        <f>IFERROR(VLOOKUP($A247,EntryList!$A$3:$N$645,2,FALSE),"")</f>
        <v>Freddie Tomlinson</v>
      </c>
      <c r="C247" s="74"/>
      <c r="D247" s="53">
        <f t="shared" si="105"/>
        <v>2</v>
      </c>
      <c r="E247" s="62"/>
      <c r="F247" s="62">
        <v>3.1808796296296294E-3</v>
      </c>
      <c r="G247" s="62">
        <v>1.8669212962962962E-3</v>
      </c>
      <c r="H247" s="62"/>
      <c r="I247" s="62"/>
      <c r="J247" s="62"/>
      <c r="K247" s="62"/>
      <c r="L247" s="62"/>
      <c r="M247" s="62">
        <v>5.0478009259259261E-3</v>
      </c>
      <c r="N247" s="62">
        <f t="shared" si="106"/>
        <v>5.0478009259259261E-3</v>
      </c>
      <c r="O247" s="53" t="str">
        <f t="shared" si="107"/>
        <v/>
      </c>
      <c r="P247" s="53">
        <f t="shared" si="108"/>
        <v>152</v>
      </c>
      <c r="Q247" s="53">
        <f t="shared" si="109"/>
        <v>161</v>
      </c>
      <c r="R247" s="53" t="str">
        <f t="shared" si="110"/>
        <v/>
      </c>
      <c r="S247" s="53" t="str">
        <f t="shared" si="111"/>
        <v/>
      </c>
      <c r="T247" s="53" t="str">
        <f t="shared" si="112"/>
        <v/>
      </c>
      <c r="U247" s="53" t="str">
        <f t="shared" si="113"/>
        <v/>
      </c>
      <c r="V247" s="53" t="str">
        <f t="shared" si="114"/>
        <v/>
      </c>
      <c r="W247" s="53" t="str">
        <f t="shared" si="115"/>
        <v>DNS/DNF ()</v>
      </c>
      <c r="X247" s="53" t="str">
        <f t="shared" si="116"/>
        <v>00:04:34.8 (152)</v>
      </c>
      <c r="Y247" s="53" t="str">
        <f t="shared" si="117"/>
        <v>00:02:41.3 (161)</v>
      </c>
      <c r="Z247" s="53" t="str">
        <f t="shared" si="118"/>
        <v>DNS/DNF ()</v>
      </c>
      <c r="AA247" s="53" t="str">
        <f t="shared" si="119"/>
        <v>DNS/DNF ()</v>
      </c>
      <c r="AB247" s="53" t="str">
        <f t="shared" si="120"/>
        <v>DNS/DNF ()</v>
      </c>
      <c r="AC247" s="53" t="str">
        <f t="shared" si="121"/>
        <v>DNS/DNF ()</v>
      </c>
      <c r="AD247" s="53" t="str">
        <f t="shared" si="122"/>
        <v>DNS/DNF ()</v>
      </c>
      <c r="AE247" s="53">
        <v>0</v>
      </c>
      <c r="AF247" s="53">
        <v>0</v>
      </c>
      <c r="AG247" s="53">
        <v>36210111</v>
      </c>
      <c r="AH247" s="53">
        <v>36484939</v>
      </c>
      <c r="AI247" s="53">
        <v>41473108</v>
      </c>
      <c r="AJ247" s="53">
        <v>41634410</v>
      </c>
      <c r="AK247" s="53">
        <v>0</v>
      </c>
      <c r="AL247" s="53">
        <v>0</v>
      </c>
      <c r="AM247" s="53">
        <v>0</v>
      </c>
      <c r="AN247" s="53">
        <v>42380055</v>
      </c>
      <c r="AO247" s="53">
        <v>0</v>
      </c>
      <c r="AP247" s="53">
        <v>0</v>
      </c>
      <c r="AQ247" s="53">
        <v>0</v>
      </c>
      <c r="AR247" s="53">
        <v>0</v>
      </c>
      <c r="AS247" s="53">
        <v>0</v>
      </c>
      <c r="AT247" s="53">
        <v>0</v>
      </c>
      <c r="AU247" s="62" t="str">
        <f t="shared" si="123"/>
        <v>DNS/DNF</v>
      </c>
      <c r="AV247" s="62">
        <f t="shared" si="124"/>
        <v>3.1808796296296294E-3</v>
      </c>
      <c r="AW247" s="62">
        <f t="shared" si="125"/>
        <v>1.8669212962962962E-3</v>
      </c>
      <c r="AX247" s="62" t="str">
        <f t="shared" si="126"/>
        <v>DNS/DNF</v>
      </c>
      <c r="AY247" s="62" t="str">
        <f t="shared" si="127"/>
        <v>DNS/DNF</v>
      </c>
      <c r="AZ247" s="62" t="str">
        <f t="shared" si="128"/>
        <v>DNS/DNF</v>
      </c>
      <c r="BA247" s="62" t="str">
        <f t="shared" si="129"/>
        <v>DNS/DNF</v>
      </c>
      <c r="BB247" s="62" t="str">
        <f t="shared" si="130"/>
        <v>DNS/DNF</v>
      </c>
      <c r="BC247" s="75">
        <f t="shared" si="131"/>
        <v>157</v>
      </c>
      <c r="BD247" s="53" t="str">
        <f t="shared" si="132"/>
        <v/>
      </c>
      <c r="BE247" s="53">
        <f t="shared" si="133"/>
        <v>276549</v>
      </c>
      <c r="BF247" s="53">
        <f t="shared" si="134"/>
        <v>160702</v>
      </c>
      <c r="BG247" s="53" t="str">
        <f t="shared" si="135"/>
        <v/>
      </c>
      <c r="BH247" s="53">
        <f t="shared" si="136"/>
        <v>367998</v>
      </c>
      <c r="BI247" s="53" t="str">
        <f t="shared" si="137"/>
        <v/>
      </c>
      <c r="BJ247" s="53" t="str">
        <f t="shared" si="138"/>
        <v/>
      </c>
      <c r="BK247" s="53" t="str">
        <f t="shared" si="139"/>
        <v/>
      </c>
    </row>
    <row r="248" spans="1:63">
      <c r="A248" s="53">
        <v>167</v>
      </c>
      <c r="B248" s="89" t="str">
        <f>IFERROR(VLOOKUP($A248,EntryList!$A$3:$N$645,2,FALSE),"")</f>
        <v>Stephan Terblanche</v>
      </c>
      <c r="C248" s="74"/>
      <c r="D248" s="53">
        <f t="shared" si="105"/>
        <v>2</v>
      </c>
      <c r="E248" s="62"/>
      <c r="F248" s="62">
        <v>3.9099074074074071E-3</v>
      </c>
      <c r="G248" s="62">
        <v>1.9553240740740742E-3</v>
      </c>
      <c r="H248" s="62"/>
      <c r="I248" s="62"/>
      <c r="J248" s="62"/>
      <c r="K248" s="62"/>
      <c r="L248" s="62"/>
      <c r="M248" s="62">
        <v>5.8652314814814808E-3</v>
      </c>
      <c r="N248" s="62">
        <f t="shared" si="106"/>
        <v>5.8652314814814817E-3</v>
      </c>
      <c r="O248" s="53" t="str">
        <f t="shared" si="107"/>
        <v/>
      </c>
      <c r="P248" s="53">
        <f t="shared" si="108"/>
        <v>236</v>
      </c>
      <c r="Q248" s="53">
        <f t="shared" si="109"/>
        <v>183</v>
      </c>
      <c r="R248" s="53" t="str">
        <f t="shared" si="110"/>
        <v/>
      </c>
      <c r="S248" s="53" t="str">
        <f t="shared" si="111"/>
        <v/>
      </c>
      <c r="T248" s="53" t="str">
        <f t="shared" si="112"/>
        <v/>
      </c>
      <c r="U248" s="53" t="str">
        <f t="shared" si="113"/>
        <v/>
      </c>
      <c r="V248" s="53" t="str">
        <f t="shared" si="114"/>
        <v/>
      </c>
      <c r="W248" s="53" t="str">
        <f t="shared" si="115"/>
        <v>DNS/DNF ()</v>
      </c>
      <c r="X248" s="53" t="str">
        <f t="shared" si="116"/>
        <v>00:05:37.8 (236)</v>
      </c>
      <c r="Y248" s="53" t="str">
        <f t="shared" si="117"/>
        <v>00:02:48.9 (183)</v>
      </c>
      <c r="Z248" s="53" t="str">
        <f t="shared" si="118"/>
        <v>DNS/DNF ()</v>
      </c>
      <c r="AA248" s="53" t="str">
        <f t="shared" si="119"/>
        <v>DNS/DNF ()</v>
      </c>
      <c r="AB248" s="53" t="str">
        <f t="shared" si="120"/>
        <v>DNS/DNF ()</v>
      </c>
      <c r="AC248" s="53" t="str">
        <f t="shared" si="121"/>
        <v>DNS/DNF ()</v>
      </c>
      <c r="AD248" s="53" t="str">
        <f t="shared" si="122"/>
        <v>DNS/DNF ()</v>
      </c>
      <c r="AE248" s="53">
        <v>0</v>
      </c>
      <c r="AF248" s="53">
        <v>0</v>
      </c>
      <c r="AG248" s="53">
        <v>35718208</v>
      </c>
      <c r="AH248" s="53">
        <v>36056024</v>
      </c>
      <c r="AI248" s="53">
        <v>41496714</v>
      </c>
      <c r="AJ248" s="53">
        <v>41665654</v>
      </c>
      <c r="AK248" s="53">
        <v>0</v>
      </c>
      <c r="AL248" s="53">
        <v>0</v>
      </c>
      <c r="AM248" s="53">
        <v>0</v>
      </c>
      <c r="AN248" s="53">
        <v>42385700</v>
      </c>
      <c r="AO248" s="53">
        <v>0</v>
      </c>
      <c r="AP248" s="53">
        <v>0</v>
      </c>
      <c r="AQ248" s="53">
        <v>0</v>
      </c>
      <c r="AR248" s="53">
        <v>0</v>
      </c>
      <c r="AS248" s="53">
        <v>0</v>
      </c>
      <c r="AT248" s="53">
        <v>0</v>
      </c>
      <c r="AU248" s="62" t="str">
        <f t="shared" si="123"/>
        <v>DNS/DNF</v>
      </c>
      <c r="AV248" s="62">
        <f t="shared" si="124"/>
        <v>3.9099074074074071E-3</v>
      </c>
      <c r="AW248" s="62">
        <f t="shared" si="125"/>
        <v>1.9553240740740742E-3</v>
      </c>
      <c r="AX248" s="62" t="str">
        <f t="shared" si="126"/>
        <v>DNS/DNF</v>
      </c>
      <c r="AY248" s="62" t="str">
        <f t="shared" si="127"/>
        <v>DNS/DNF</v>
      </c>
      <c r="AZ248" s="62" t="str">
        <f t="shared" si="128"/>
        <v>DNS/DNF</v>
      </c>
      <c r="BA248" s="62" t="str">
        <f t="shared" si="129"/>
        <v>DNS/DNF</v>
      </c>
      <c r="BB248" s="62" t="str">
        <f t="shared" si="130"/>
        <v>DNS/DNF</v>
      </c>
      <c r="BC248" s="75">
        <f t="shared" si="131"/>
        <v>210</v>
      </c>
      <c r="BD248" s="53" t="str">
        <f t="shared" si="132"/>
        <v/>
      </c>
      <c r="BE248" s="53">
        <f t="shared" si="133"/>
        <v>308136</v>
      </c>
      <c r="BF248" s="53">
        <f t="shared" si="134"/>
        <v>182570</v>
      </c>
      <c r="BG248" s="53" t="str">
        <f t="shared" si="135"/>
        <v/>
      </c>
      <c r="BH248" s="53">
        <f t="shared" si="136"/>
        <v>408141</v>
      </c>
      <c r="BI248" s="53" t="str">
        <f t="shared" si="137"/>
        <v/>
      </c>
      <c r="BJ248" s="53" t="str">
        <f t="shared" si="138"/>
        <v/>
      </c>
      <c r="BK248" s="53" t="str">
        <f t="shared" si="139"/>
        <v/>
      </c>
    </row>
    <row r="249" spans="1:63">
      <c r="A249" s="53">
        <v>18</v>
      </c>
      <c r="B249" s="89" t="str">
        <f>IFERROR(VLOOKUP($A249,EntryList!$A$3:$N$645,2,FALSE),"")</f>
        <v>Jayden Lang</v>
      </c>
      <c r="C249" s="74"/>
      <c r="D249" s="53">
        <f t="shared" si="105"/>
        <v>2</v>
      </c>
      <c r="E249" s="62">
        <v>2.987569444444445E-3</v>
      </c>
      <c r="F249" s="62">
        <v>3.1414930555555554E-3</v>
      </c>
      <c r="G249" s="62"/>
      <c r="H249" s="62"/>
      <c r="I249" s="62"/>
      <c r="J249" s="62"/>
      <c r="K249" s="62"/>
      <c r="L249" s="62"/>
      <c r="M249" s="62">
        <v>6.1290625000000008E-3</v>
      </c>
      <c r="N249" s="62">
        <f t="shared" si="106"/>
        <v>6.1290625E-3</v>
      </c>
      <c r="O249" s="53">
        <f t="shared" si="107"/>
        <v>80</v>
      </c>
      <c r="P249" s="53">
        <f t="shared" si="108"/>
        <v>139</v>
      </c>
      <c r="Q249" s="53" t="str">
        <f t="shared" si="109"/>
        <v/>
      </c>
      <c r="R249" s="53" t="str">
        <f t="shared" si="110"/>
        <v/>
      </c>
      <c r="S249" s="53" t="str">
        <f t="shared" si="111"/>
        <v/>
      </c>
      <c r="T249" s="53" t="str">
        <f t="shared" si="112"/>
        <v/>
      </c>
      <c r="U249" s="53" t="str">
        <f t="shared" si="113"/>
        <v/>
      </c>
      <c r="V249" s="53" t="str">
        <f t="shared" si="114"/>
        <v/>
      </c>
      <c r="W249" s="53" t="str">
        <f t="shared" si="115"/>
        <v>00:04:18.1 (80)</v>
      </c>
      <c r="X249" s="53" t="str">
        <f t="shared" si="116"/>
        <v>00:04:31.4 (139)</v>
      </c>
      <c r="Y249" s="53" t="str">
        <f t="shared" si="117"/>
        <v>DNS/DNF ()</v>
      </c>
      <c r="Z249" s="53" t="str">
        <f t="shared" si="118"/>
        <v>DNS/DNF ()</v>
      </c>
      <c r="AA249" s="53" t="str">
        <f t="shared" si="119"/>
        <v>DNS/DNF ()</v>
      </c>
      <c r="AB249" s="53" t="str">
        <f t="shared" si="120"/>
        <v>DNS/DNF ()</v>
      </c>
      <c r="AC249" s="53" t="str">
        <f t="shared" si="121"/>
        <v>DNS/DNF ()</v>
      </c>
      <c r="AD249" s="53" t="str">
        <f t="shared" si="122"/>
        <v>DNS/DNF ()</v>
      </c>
      <c r="AE249" s="53">
        <v>36330646</v>
      </c>
      <c r="AF249" s="53">
        <v>36588772</v>
      </c>
      <c r="AG249" s="53">
        <v>31855827</v>
      </c>
      <c r="AH249" s="53">
        <v>32127252</v>
      </c>
      <c r="AI249" s="53">
        <v>0</v>
      </c>
      <c r="AJ249" s="53">
        <v>0</v>
      </c>
      <c r="AK249" s="53">
        <v>0</v>
      </c>
      <c r="AL249" s="53">
        <v>0</v>
      </c>
      <c r="AM249" s="53">
        <v>0</v>
      </c>
      <c r="AN249" s="53">
        <v>0</v>
      </c>
      <c r="AO249" s="53">
        <v>0</v>
      </c>
      <c r="AP249" s="53">
        <v>0</v>
      </c>
      <c r="AQ249" s="53">
        <v>0</v>
      </c>
      <c r="AR249" s="53">
        <v>0</v>
      </c>
      <c r="AS249" s="53">
        <v>0</v>
      </c>
      <c r="AT249" s="53">
        <v>0</v>
      </c>
      <c r="AU249" s="62">
        <f t="shared" si="123"/>
        <v>2.9875694444444446E-3</v>
      </c>
      <c r="AV249" s="62">
        <f t="shared" si="124"/>
        <v>3.1414930555555554E-3</v>
      </c>
      <c r="AW249" s="62" t="str">
        <f t="shared" si="125"/>
        <v>DNS/DNF</v>
      </c>
      <c r="AX249" s="62" t="str">
        <f t="shared" si="126"/>
        <v>DNS/DNF</v>
      </c>
      <c r="AY249" s="62" t="str">
        <f t="shared" si="127"/>
        <v>DNS/DNF</v>
      </c>
      <c r="AZ249" s="62" t="str">
        <f t="shared" si="128"/>
        <v>DNS/DNF</v>
      </c>
      <c r="BA249" s="62" t="str">
        <f t="shared" si="129"/>
        <v>DNS/DNF</v>
      </c>
      <c r="BB249" s="62" t="str">
        <f t="shared" si="130"/>
        <v>DNS/DNF</v>
      </c>
      <c r="BC249" s="75">
        <f t="shared" si="131"/>
        <v>110</v>
      </c>
      <c r="BD249" s="53">
        <f t="shared" si="132"/>
        <v>306062</v>
      </c>
      <c r="BE249" s="53">
        <f t="shared" si="133"/>
        <v>259331</v>
      </c>
      <c r="BF249" s="53">
        <f t="shared" si="134"/>
        <v>149748</v>
      </c>
      <c r="BG249" s="53">
        <f t="shared" si="135"/>
        <v>314194</v>
      </c>
      <c r="BH249" s="53">
        <f t="shared" si="136"/>
        <v>351681</v>
      </c>
      <c r="BI249" s="53" t="str">
        <f t="shared" si="137"/>
        <v/>
      </c>
      <c r="BJ249" s="53" t="str">
        <f t="shared" si="138"/>
        <v/>
      </c>
      <c r="BK249" s="53" t="str">
        <f t="shared" si="139"/>
        <v/>
      </c>
    </row>
    <row r="250" spans="1:63">
      <c r="A250" s="53">
        <v>150</v>
      </c>
      <c r="B250" s="89" t="str">
        <f>IFERROR(VLOOKUP($A250,EntryList!$A$3:$N$645,2,FALSE),"")</f>
        <v>Jacques Van Zyl</v>
      </c>
      <c r="C250" s="74"/>
      <c r="D250" s="53">
        <f t="shared" si="105"/>
        <v>2</v>
      </c>
      <c r="E250" s="62">
        <v>3.4344791666666668E-3</v>
      </c>
      <c r="F250" s="62">
        <v>2.9809375000000005E-3</v>
      </c>
      <c r="G250" s="62"/>
      <c r="H250" s="62"/>
      <c r="I250" s="62"/>
      <c r="J250" s="62"/>
      <c r="K250" s="62"/>
      <c r="L250" s="62"/>
      <c r="M250" s="62">
        <v>6.4154166666666674E-3</v>
      </c>
      <c r="N250" s="62">
        <f t="shared" si="106"/>
        <v>6.4154166666666665E-3</v>
      </c>
      <c r="O250" s="53">
        <f t="shared" si="107"/>
        <v>107</v>
      </c>
      <c r="P250" s="53">
        <f t="shared" si="108"/>
        <v>103</v>
      </c>
      <c r="Q250" s="53" t="str">
        <f t="shared" si="109"/>
        <v/>
      </c>
      <c r="R250" s="53" t="str">
        <f t="shared" si="110"/>
        <v/>
      </c>
      <c r="S250" s="53" t="str">
        <f t="shared" si="111"/>
        <v/>
      </c>
      <c r="T250" s="53" t="str">
        <f t="shared" si="112"/>
        <v/>
      </c>
      <c r="U250" s="53" t="str">
        <f t="shared" si="113"/>
        <v/>
      </c>
      <c r="V250" s="53" t="str">
        <f t="shared" si="114"/>
        <v/>
      </c>
      <c r="W250" s="53" t="str">
        <f t="shared" si="115"/>
        <v>00:04:56.7 (107)</v>
      </c>
      <c r="X250" s="53" t="str">
        <f t="shared" si="116"/>
        <v>00:04:17.6 (103)</v>
      </c>
      <c r="Y250" s="53" t="str">
        <f t="shared" si="117"/>
        <v>DNS/DNF ()</v>
      </c>
      <c r="Z250" s="53" t="str">
        <f t="shared" si="118"/>
        <v>DNS/DNF ()</v>
      </c>
      <c r="AA250" s="53" t="str">
        <f t="shared" si="119"/>
        <v>DNS/DNF ()</v>
      </c>
      <c r="AB250" s="53" t="str">
        <f t="shared" si="120"/>
        <v>DNS/DNF ()</v>
      </c>
      <c r="AC250" s="53" t="str">
        <f t="shared" si="121"/>
        <v>DNS/DNF ()</v>
      </c>
      <c r="AD250" s="53" t="str">
        <f t="shared" si="122"/>
        <v>DNS/DNF ()</v>
      </c>
      <c r="AE250" s="53">
        <v>27953285</v>
      </c>
      <c r="AF250" s="53">
        <v>28250024</v>
      </c>
      <c r="AG250" s="53">
        <v>33653358</v>
      </c>
      <c r="AH250" s="53">
        <v>33910911</v>
      </c>
      <c r="AI250" s="53">
        <v>0</v>
      </c>
      <c r="AJ250" s="53">
        <v>0</v>
      </c>
      <c r="AK250" s="53">
        <v>49693309</v>
      </c>
      <c r="AL250" s="53">
        <v>48783416</v>
      </c>
      <c r="AM250" s="53">
        <v>0</v>
      </c>
      <c r="AN250" s="53">
        <v>0</v>
      </c>
      <c r="AO250" s="53">
        <v>0</v>
      </c>
      <c r="AP250" s="53">
        <v>0</v>
      </c>
      <c r="AQ250" s="53">
        <v>0</v>
      </c>
      <c r="AR250" s="53">
        <v>0</v>
      </c>
      <c r="AS250" s="53">
        <v>0</v>
      </c>
      <c r="AT250" s="53">
        <v>0</v>
      </c>
      <c r="AU250" s="62">
        <f t="shared" si="123"/>
        <v>3.4344791666666668E-3</v>
      </c>
      <c r="AV250" s="62">
        <f t="shared" si="124"/>
        <v>2.9809375000000001E-3</v>
      </c>
      <c r="AW250" s="62" t="str">
        <f t="shared" si="125"/>
        <v>DNS/DNF</v>
      </c>
      <c r="AX250" s="62" t="str">
        <f t="shared" si="126"/>
        <v>DNS/DNF</v>
      </c>
      <c r="AY250" s="62" t="str">
        <f t="shared" si="127"/>
        <v>DNS/DNF</v>
      </c>
      <c r="AZ250" s="62" t="str">
        <f t="shared" si="128"/>
        <v>DNS/DNF</v>
      </c>
      <c r="BA250" s="62" t="str">
        <f t="shared" si="129"/>
        <v>DNS/DNF</v>
      </c>
      <c r="BB250" s="62" t="str">
        <f t="shared" si="130"/>
        <v>DNS/DNF</v>
      </c>
      <c r="BC250" s="75">
        <f t="shared" si="131"/>
        <v>105</v>
      </c>
      <c r="BD250" s="53">
        <f t="shared" si="132"/>
        <v>289640</v>
      </c>
      <c r="BE250" s="53">
        <f t="shared" si="133"/>
        <v>257913</v>
      </c>
      <c r="BF250" s="53">
        <f t="shared" si="134"/>
        <v>148042</v>
      </c>
      <c r="BG250" s="53">
        <f t="shared" si="135"/>
        <v>308859</v>
      </c>
      <c r="BH250" s="53">
        <f t="shared" si="136"/>
        <v>348759</v>
      </c>
      <c r="BI250" s="53" t="str">
        <f t="shared" si="137"/>
        <v/>
      </c>
      <c r="BJ250" s="53" t="str">
        <f t="shared" si="138"/>
        <v/>
      </c>
      <c r="BK250" s="53" t="str">
        <f t="shared" si="139"/>
        <v/>
      </c>
    </row>
    <row r="251" spans="1:63">
      <c r="A251" s="53">
        <v>227</v>
      </c>
      <c r="B251" s="89" t="str">
        <f>IFERROR(VLOOKUP($A251,EntryList!$A$3:$N$645,2,FALSE),"")</f>
        <v>Rigardt Griessel</v>
      </c>
      <c r="C251" s="74"/>
      <c r="D251" s="53">
        <f t="shared" si="105"/>
        <v>2</v>
      </c>
      <c r="E251" s="62"/>
      <c r="F251" s="62">
        <v>3.1458449074074075E-3</v>
      </c>
      <c r="G251" s="62"/>
      <c r="H251" s="62"/>
      <c r="I251" s="62">
        <v>4.255844907407407E-3</v>
      </c>
      <c r="J251" s="62"/>
      <c r="K251" s="62"/>
      <c r="L251" s="62"/>
      <c r="M251" s="62">
        <v>7.4016898148148149E-3</v>
      </c>
      <c r="N251" s="62">
        <f t="shared" si="106"/>
        <v>7.4016898148148158E-3</v>
      </c>
      <c r="O251" s="53" t="str">
        <f t="shared" si="107"/>
        <v/>
      </c>
      <c r="P251" s="53">
        <f t="shared" si="108"/>
        <v>140</v>
      </c>
      <c r="Q251" s="53" t="str">
        <f t="shared" si="109"/>
        <v/>
      </c>
      <c r="R251" s="53" t="str">
        <f t="shared" si="110"/>
        <v/>
      </c>
      <c r="S251" s="53">
        <f t="shared" si="111"/>
        <v>156</v>
      </c>
      <c r="T251" s="53" t="str">
        <f t="shared" si="112"/>
        <v/>
      </c>
      <c r="U251" s="53" t="str">
        <f t="shared" si="113"/>
        <v/>
      </c>
      <c r="V251" s="53" t="str">
        <f t="shared" si="114"/>
        <v/>
      </c>
      <c r="W251" s="53" t="str">
        <f t="shared" si="115"/>
        <v>DNS/DNF ()</v>
      </c>
      <c r="X251" s="53" t="str">
        <f t="shared" si="116"/>
        <v>00:04:31.8 (140)</v>
      </c>
      <c r="Y251" s="53" t="str">
        <f t="shared" si="117"/>
        <v>DNS/DNF ()</v>
      </c>
      <c r="Z251" s="53" t="str">
        <f t="shared" si="118"/>
        <v>DNS/DNF ()</v>
      </c>
      <c r="AA251" s="53" t="str">
        <f t="shared" si="119"/>
        <v>00:06:07.7 (156)</v>
      </c>
      <c r="AB251" s="53" t="str">
        <f t="shared" si="120"/>
        <v>DNS/DNF ()</v>
      </c>
      <c r="AC251" s="53" t="str">
        <f t="shared" si="121"/>
        <v>DNS/DNF ()</v>
      </c>
      <c r="AD251" s="53" t="str">
        <f t="shared" si="122"/>
        <v>DNS/DNF ()</v>
      </c>
      <c r="AE251" s="53">
        <v>0</v>
      </c>
      <c r="AF251" s="53">
        <v>0</v>
      </c>
      <c r="AG251" s="53">
        <v>28337299</v>
      </c>
      <c r="AH251" s="53">
        <v>28609100</v>
      </c>
      <c r="AI251" s="53">
        <v>0</v>
      </c>
      <c r="AJ251" s="53">
        <v>0</v>
      </c>
      <c r="AK251" s="53">
        <v>0</v>
      </c>
      <c r="AL251" s="53">
        <v>0</v>
      </c>
      <c r="AM251" s="53">
        <v>45759820</v>
      </c>
      <c r="AN251" s="53">
        <v>46127525</v>
      </c>
      <c r="AO251" s="53">
        <v>0</v>
      </c>
      <c r="AP251" s="53">
        <v>0</v>
      </c>
      <c r="AQ251" s="53">
        <v>0</v>
      </c>
      <c r="AR251" s="53">
        <v>0</v>
      </c>
      <c r="AS251" s="53">
        <v>0</v>
      </c>
      <c r="AT251" s="53">
        <v>0</v>
      </c>
      <c r="AU251" s="62" t="str">
        <f t="shared" si="123"/>
        <v>DNS/DNF</v>
      </c>
      <c r="AV251" s="62">
        <f t="shared" si="124"/>
        <v>3.1458449074074075E-3</v>
      </c>
      <c r="AW251" s="62" t="str">
        <f t="shared" si="125"/>
        <v>DNS/DNF</v>
      </c>
      <c r="AX251" s="62" t="str">
        <f t="shared" si="126"/>
        <v>DNS/DNF</v>
      </c>
      <c r="AY251" s="62">
        <f t="shared" si="127"/>
        <v>4.2558449074074078E-3</v>
      </c>
      <c r="AZ251" s="62" t="str">
        <f t="shared" si="128"/>
        <v>DNS/DNF</v>
      </c>
      <c r="BA251" s="62" t="str">
        <f t="shared" si="129"/>
        <v>DNS/DNF</v>
      </c>
      <c r="BB251" s="62" t="str">
        <f t="shared" si="130"/>
        <v>DNS/DNF</v>
      </c>
      <c r="BC251" s="75">
        <f t="shared" si="131"/>
        <v>148</v>
      </c>
      <c r="BD251" s="53" t="str">
        <f t="shared" si="132"/>
        <v/>
      </c>
      <c r="BE251" s="53">
        <f t="shared" si="133"/>
        <v>273529</v>
      </c>
      <c r="BF251" s="53">
        <f t="shared" si="134"/>
        <v>159611</v>
      </c>
      <c r="BG251" s="53" t="str">
        <f t="shared" si="135"/>
        <v/>
      </c>
      <c r="BH251" s="53">
        <f t="shared" si="136"/>
        <v>364341.00000000006</v>
      </c>
      <c r="BI251" s="53" t="str">
        <f t="shared" si="137"/>
        <v/>
      </c>
      <c r="BJ251" s="53" t="str">
        <f t="shared" si="138"/>
        <v/>
      </c>
      <c r="BK251" s="53" t="str">
        <f t="shared" si="139"/>
        <v/>
      </c>
    </row>
    <row r="252" spans="1:63">
      <c r="A252" s="53">
        <v>241</v>
      </c>
      <c r="B252" s="89" t="str">
        <f>IFERROR(VLOOKUP($A252,EntryList!$A$3:$N$645,2,FALSE),"")</f>
        <v>Samuel De Villiers</v>
      </c>
      <c r="C252" s="74"/>
      <c r="D252" s="53">
        <f t="shared" si="105"/>
        <v>2</v>
      </c>
      <c r="E252" s="62"/>
      <c r="F252" s="62">
        <v>3.5447337962962958E-3</v>
      </c>
      <c r="G252" s="62"/>
      <c r="H252" s="62"/>
      <c r="I252" s="62">
        <v>4.7911226851851856E-3</v>
      </c>
      <c r="J252" s="62"/>
      <c r="K252" s="62"/>
      <c r="L252" s="62"/>
      <c r="M252" s="62">
        <v>8.3358564814814805E-3</v>
      </c>
      <c r="N252" s="62">
        <f t="shared" si="106"/>
        <v>8.3358564814814823E-3</v>
      </c>
      <c r="O252" s="53" t="str">
        <f t="shared" si="107"/>
        <v/>
      </c>
      <c r="P252" s="53">
        <f t="shared" si="108"/>
        <v>207</v>
      </c>
      <c r="Q252" s="53" t="str">
        <f t="shared" si="109"/>
        <v/>
      </c>
      <c r="R252" s="53" t="str">
        <f t="shared" si="110"/>
        <v/>
      </c>
      <c r="S252" s="53">
        <f t="shared" si="111"/>
        <v>213</v>
      </c>
      <c r="T252" s="53" t="str">
        <f t="shared" si="112"/>
        <v/>
      </c>
      <c r="U252" s="53" t="str">
        <f t="shared" si="113"/>
        <v/>
      </c>
      <c r="V252" s="53" t="str">
        <f t="shared" si="114"/>
        <v/>
      </c>
      <c r="W252" s="53" t="str">
        <f t="shared" si="115"/>
        <v>DNS/DNF ()</v>
      </c>
      <c r="X252" s="53" t="str">
        <f t="shared" si="116"/>
        <v>00:05:06.3 (207)</v>
      </c>
      <c r="Y252" s="53" t="str">
        <f t="shared" si="117"/>
        <v>DNS/DNF ()</v>
      </c>
      <c r="Z252" s="53" t="str">
        <f t="shared" si="118"/>
        <v>DNS/DNF ()</v>
      </c>
      <c r="AA252" s="53" t="str">
        <f t="shared" si="119"/>
        <v>00:06:54.0 (213)</v>
      </c>
      <c r="AB252" s="53" t="str">
        <f t="shared" si="120"/>
        <v>DNS/DNF ()</v>
      </c>
      <c r="AC252" s="53" t="str">
        <f t="shared" si="121"/>
        <v>DNS/DNF ()</v>
      </c>
      <c r="AD252" s="53" t="str">
        <f t="shared" si="122"/>
        <v>DNS/DNF ()</v>
      </c>
      <c r="AE252" s="53">
        <v>0</v>
      </c>
      <c r="AF252" s="53">
        <v>0</v>
      </c>
      <c r="AG252" s="53">
        <v>36237788</v>
      </c>
      <c r="AH252" s="53">
        <v>36544053</v>
      </c>
      <c r="AI252" s="53">
        <v>0</v>
      </c>
      <c r="AJ252" s="53">
        <v>0</v>
      </c>
      <c r="AK252" s="53">
        <v>0</v>
      </c>
      <c r="AL252" s="53">
        <v>0</v>
      </c>
      <c r="AM252" s="53">
        <v>41110144</v>
      </c>
      <c r="AN252" s="53">
        <v>41524097</v>
      </c>
      <c r="AO252" s="53">
        <v>0</v>
      </c>
      <c r="AP252" s="53">
        <v>0</v>
      </c>
      <c r="AQ252" s="53">
        <v>0</v>
      </c>
      <c r="AR252" s="53">
        <v>0</v>
      </c>
      <c r="AS252" s="53">
        <v>0</v>
      </c>
      <c r="AT252" s="53">
        <v>0</v>
      </c>
      <c r="AU252" s="62" t="str">
        <f t="shared" si="123"/>
        <v>DNS/DNF</v>
      </c>
      <c r="AV252" s="62">
        <f t="shared" si="124"/>
        <v>3.5447337962962963E-3</v>
      </c>
      <c r="AW252" s="62" t="str">
        <f t="shared" si="125"/>
        <v>DNS/DNF</v>
      </c>
      <c r="AX252" s="62" t="str">
        <f t="shared" si="126"/>
        <v>DNS/DNF</v>
      </c>
      <c r="AY252" s="62">
        <f t="shared" si="127"/>
        <v>4.7911226851851856E-3</v>
      </c>
      <c r="AZ252" s="62" t="str">
        <f t="shared" si="128"/>
        <v>DNS/DNF</v>
      </c>
      <c r="BA252" s="62" t="str">
        <f t="shared" si="129"/>
        <v>DNS/DNF</v>
      </c>
      <c r="BB252" s="62" t="str">
        <f t="shared" si="130"/>
        <v>DNS/DNF</v>
      </c>
      <c r="BC252" s="75">
        <f t="shared" si="131"/>
        <v>210</v>
      </c>
      <c r="BD252" s="53" t="str">
        <f t="shared" si="132"/>
        <v/>
      </c>
      <c r="BE252" s="53">
        <f t="shared" si="133"/>
        <v>308136</v>
      </c>
      <c r="BF252" s="53">
        <f t="shared" si="134"/>
        <v>182570</v>
      </c>
      <c r="BG252" s="53" t="str">
        <f t="shared" si="135"/>
        <v/>
      </c>
      <c r="BH252" s="53">
        <f t="shared" si="136"/>
        <v>408141</v>
      </c>
      <c r="BI252" s="53" t="str">
        <f t="shared" si="137"/>
        <v/>
      </c>
      <c r="BJ252" s="53" t="str">
        <f t="shared" si="138"/>
        <v/>
      </c>
      <c r="BK252" s="53" t="str">
        <f t="shared" si="139"/>
        <v/>
      </c>
    </row>
    <row r="253" spans="1:63">
      <c r="A253" s="53">
        <v>232</v>
      </c>
      <c r="B253" s="89" t="str">
        <f>IFERROR(VLOOKUP($A253,EntryList!$A$3:$N$645,2,FALSE),"")</f>
        <v>Pierre Evard</v>
      </c>
      <c r="C253" s="74"/>
      <c r="D253" s="53">
        <f t="shared" si="105"/>
        <v>2</v>
      </c>
      <c r="E253" s="62"/>
      <c r="F253" s="62">
        <v>3.4549074074074078E-3</v>
      </c>
      <c r="G253" s="62"/>
      <c r="H253" s="62"/>
      <c r="I253" s="62">
        <v>5.3491435185185178E-3</v>
      </c>
      <c r="J253" s="62"/>
      <c r="K253" s="62"/>
      <c r="L253" s="62"/>
      <c r="M253" s="62">
        <v>8.8040509259259252E-3</v>
      </c>
      <c r="N253" s="62">
        <f t="shared" si="106"/>
        <v>8.804050925925927E-3</v>
      </c>
      <c r="O253" s="53" t="str">
        <f t="shared" si="107"/>
        <v/>
      </c>
      <c r="P253" s="53">
        <f t="shared" si="108"/>
        <v>201</v>
      </c>
      <c r="Q253" s="53" t="str">
        <f t="shared" si="109"/>
        <v/>
      </c>
      <c r="R253" s="53" t="str">
        <f t="shared" si="110"/>
        <v/>
      </c>
      <c r="S253" s="53">
        <f t="shared" si="111"/>
        <v>233</v>
      </c>
      <c r="T253" s="53" t="str">
        <f t="shared" si="112"/>
        <v/>
      </c>
      <c r="U253" s="53" t="str">
        <f t="shared" si="113"/>
        <v/>
      </c>
      <c r="V253" s="53" t="str">
        <f t="shared" si="114"/>
        <v/>
      </c>
      <c r="W253" s="53" t="str">
        <f t="shared" si="115"/>
        <v>DNS/DNF ()</v>
      </c>
      <c r="X253" s="53" t="str">
        <f t="shared" si="116"/>
        <v>00:04:58.5 (201)</v>
      </c>
      <c r="Y253" s="53" t="str">
        <f t="shared" si="117"/>
        <v>DNS/DNF ()</v>
      </c>
      <c r="Z253" s="53" t="str">
        <f t="shared" si="118"/>
        <v>DNS/DNF ()</v>
      </c>
      <c r="AA253" s="53" t="str">
        <f t="shared" si="119"/>
        <v>00:07:42.2 (233)</v>
      </c>
      <c r="AB253" s="53" t="str">
        <f t="shared" si="120"/>
        <v>DNS/DNF ()</v>
      </c>
      <c r="AC253" s="53" t="str">
        <f t="shared" si="121"/>
        <v>DNS/DNF ()</v>
      </c>
      <c r="AD253" s="53" t="str">
        <f t="shared" si="122"/>
        <v>DNS/DNF ()</v>
      </c>
      <c r="AE253" s="53">
        <v>0</v>
      </c>
      <c r="AF253" s="53">
        <v>0</v>
      </c>
      <c r="AG253" s="53">
        <v>38542835</v>
      </c>
      <c r="AH253" s="53">
        <v>38841339</v>
      </c>
      <c r="AI253" s="53">
        <v>0</v>
      </c>
      <c r="AJ253" s="53">
        <v>0</v>
      </c>
      <c r="AK253" s="53">
        <v>0</v>
      </c>
      <c r="AL253" s="53">
        <v>0</v>
      </c>
      <c r="AM253" s="53">
        <v>49120978</v>
      </c>
      <c r="AN253" s="53">
        <v>49583144</v>
      </c>
      <c r="AO253" s="53">
        <v>0</v>
      </c>
      <c r="AP253" s="53">
        <v>0</v>
      </c>
      <c r="AQ253" s="53">
        <v>0</v>
      </c>
      <c r="AR253" s="53">
        <v>0</v>
      </c>
      <c r="AS253" s="53">
        <v>0</v>
      </c>
      <c r="AT253" s="53">
        <v>0</v>
      </c>
      <c r="AU253" s="62" t="str">
        <f t="shared" si="123"/>
        <v>DNS/DNF</v>
      </c>
      <c r="AV253" s="62">
        <f t="shared" si="124"/>
        <v>3.4549074074074074E-3</v>
      </c>
      <c r="AW253" s="62" t="str">
        <f t="shared" si="125"/>
        <v>DNS/DNF</v>
      </c>
      <c r="AX253" s="62" t="str">
        <f t="shared" si="126"/>
        <v>DNS/DNF</v>
      </c>
      <c r="AY253" s="62">
        <f t="shared" si="127"/>
        <v>5.3491435185185187E-3</v>
      </c>
      <c r="AZ253" s="62" t="str">
        <f t="shared" si="128"/>
        <v>DNS/DNF</v>
      </c>
      <c r="BA253" s="62" t="str">
        <f t="shared" si="129"/>
        <v>DNS/DNF</v>
      </c>
      <c r="BB253" s="62" t="str">
        <f t="shared" si="130"/>
        <v>DNS/DNF</v>
      </c>
      <c r="BC253" s="75">
        <f t="shared" si="131"/>
        <v>217</v>
      </c>
      <c r="BD253" s="53" t="str">
        <f t="shared" si="132"/>
        <v/>
      </c>
      <c r="BE253" s="53">
        <f t="shared" si="133"/>
        <v>316539</v>
      </c>
      <c r="BF253" s="53">
        <f t="shared" si="134"/>
        <v>191712</v>
      </c>
      <c r="BG253" s="53" t="str">
        <f t="shared" si="135"/>
        <v/>
      </c>
      <c r="BH253" s="53">
        <f t="shared" si="136"/>
        <v>421446.99999999994</v>
      </c>
      <c r="BI253" s="53" t="str">
        <f t="shared" si="137"/>
        <v/>
      </c>
      <c r="BJ253" s="53" t="str">
        <f t="shared" si="138"/>
        <v/>
      </c>
      <c r="BK253" s="53" t="str">
        <f t="shared" si="139"/>
        <v/>
      </c>
    </row>
    <row r="254" spans="1:63">
      <c r="A254" s="53">
        <v>197</v>
      </c>
      <c r="B254" s="89" t="str">
        <f>IFERROR(VLOOKUP($A254,EntryList!$A$3:$N$645,2,FALSE),"")</f>
        <v>Ruan Van Den Berg</v>
      </c>
      <c r="C254" s="74"/>
      <c r="D254" s="53">
        <f t="shared" si="105"/>
        <v>2</v>
      </c>
      <c r="E254" s="62"/>
      <c r="F254" s="62">
        <v>4.2523148148148147E-3</v>
      </c>
      <c r="G254" s="62"/>
      <c r="H254" s="62"/>
      <c r="I254" s="62">
        <v>5.0350231481481487E-3</v>
      </c>
      <c r="J254" s="62"/>
      <c r="K254" s="62"/>
      <c r="L254" s="62"/>
      <c r="M254" s="62">
        <v>9.2873379629629625E-3</v>
      </c>
      <c r="N254" s="62">
        <f t="shared" si="106"/>
        <v>9.2873379629629625E-3</v>
      </c>
      <c r="O254" s="53" t="str">
        <f t="shared" si="107"/>
        <v/>
      </c>
      <c r="P254" s="53">
        <f t="shared" si="108"/>
        <v>242</v>
      </c>
      <c r="Q254" s="53" t="str">
        <f t="shared" si="109"/>
        <v/>
      </c>
      <c r="R254" s="53" t="str">
        <f t="shared" si="110"/>
        <v/>
      </c>
      <c r="S254" s="53">
        <f t="shared" si="111"/>
        <v>224</v>
      </c>
      <c r="T254" s="53" t="str">
        <f t="shared" si="112"/>
        <v/>
      </c>
      <c r="U254" s="53" t="str">
        <f t="shared" si="113"/>
        <v/>
      </c>
      <c r="V254" s="53" t="str">
        <f t="shared" si="114"/>
        <v/>
      </c>
      <c r="W254" s="53" t="str">
        <f t="shared" si="115"/>
        <v>DNS/DNF ()</v>
      </c>
      <c r="X254" s="53" t="str">
        <f t="shared" si="116"/>
        <v>00:06:07.4 (242)</v>
      </c>
      <c r="Y254" s="53" t="str">
        <f t="shared" si="117"/>
        <v>DNS/DNF ()</v>
      </c>
      <c r="Z254" s="53" t="str">
        <f t="shared" si="118"/>
        <v>DNS/DNF ()</v>
      </c>
      <c r="AA254" s="53" t="str">
        <f t="shared" si="119"/>
        <v>00:07:15.0 (224)</v>
      </c>
      <c r="AB254" s="53" t="str">
        <f t="shared" si="120"/>
        <v>DNS/DNF ()</v>
      </c>
      <c r="AC254" s="53" t="str">
        <f t="shared" si="121"/>
        <v>DNS/DNF ()</v>
      </c>
      <c r="AD254" s="53" t="str">
        <f t="shared" si="122"/>
        <v>DNS/DNF ()</v>
      </c>
      <c r="AE254" s="53">
        <v>0</v>
      </c>
      <c r="AF254" s="53">
        <v>0</v>
      </c>
      <c r="AG254" s="53">
        <v>35700643</v>
      </c>
      <c r="AH254" s="53">
        <v>36068043</v>
      </c>
      <c r="AI254" s="53">
        <v>0</v>
      </c>
      <c r="AJ254" s="53">
        <v>0</v>
      </c>
      <c r="AK254" s="53">
        <v>0</v>
      </c>
      <c r="AL254" s="53">
        <v>0</v>
      </c>
      <c r="AM254" s="53">
        <v>41119596</v>
      </c>
      <c r="AN254" s="53">
        <v>41554622</v>
      </c>
      <c r="AO254" s="53">
        <v>0</v>
      </c>
      <c r="AP254" s="53">
        <v>0</v>
      </c>
      <c r="AQ254" s="53">
        <v>0</v>
      </c>
      <c r="AR254" s="53">
        <v>0</v>
      </c>
      <c r="AS254" s="53">
        <v>0</v>
      </c>
      <c r="AT254" s="53">
        <v>0</v>
      </c>
      <c r="AU254" s="62" t="str">
        <f t="shared" si="123"/>
        <v>DNS/DNF</v>
      </c>
      <c r="AV254" s="62">
        <f t="shared" si="124"/>
        <v>4.2523148148148147E-3</v>
      </c>
      <c r="AW254" s="62" t="str">
        <f t="shared" si="125"/>
        <v>DNS/DNF</v>
      </c>
      <c r="AX254" s="62" t="str">
        <f t="shared" si="126"/>
        <v>DNS/DNF</v>
      </c>
      <c r="AY254" s="62">
        <f t="shared" si="127"/>
        <v>5.0350231481481478E-3</v>
      </c>
      <c r="AZ254" s="62" t="str">
        <f t="shared" si="128"/>
        <v>DNS/DNF</v>
      </c>
      <c r="BA254" s="62" t="str">
        <f t="shared" si="129"/>
        <v>DNS/DNF</v>
      </c>
      <c r="BB254" s="62" t="str">
        <f t="shared" si="130"/>
        <v>DNS/DNF</v>
      </c>
      <c r="BC254" s="75">
        <f t="shared" si="131"/>
        <v>233</v>
      </c>
      <c r="BD254" s="53" t="str">
        <f t="shared" si="132"/>
        <v/>
      </c>
      <c r="BE254" s="53">
        <f t="shared" si="133"/>
        <v>332665</v>
      </c>
      <c r="BF254" s="53">
        <f t="shared" si="134"/>
        <v>208377</v>
      </c>
      <c r="BG254" s="53" t="str">
        <f t="shared" si="135"/>
        <v/>
      </c>
      <c r="BH254" s="53">
        <f t="shared" si="136"/>
        <v>462166</v>
      </c>
      <c r="BI254" s="53" t="str">
        <f t="shared" si="137"/>
        <v/>
      </c>
      <c r="BJ254" s="53" t="str">
        <f t="shared" si="138"/>
        <v/>
      </c>
      <c r="BK254" s="53" t="str">
        <f t="shared" si="139"/>
        <v/>
      </c>
    </row>
    <row r="255" spans="1:63">
      <c r="A255" s="53">
        <v>279</v>
      </c>
      <c r="B255" s="89" t="str">
        <f>IFERROR(VLOOKUP($A255,EntryList!$A$3:$N$645,2,FALSE),"")</f>
        <v>Michelle Witteven</v>
      </c>
      <c r="C255" s="74"/>
      <c r="D255" s="53">
        <f t="shared" si="105"/>
        <v>2</v>
      </c>
      <c r="E255" s="62"/>
      <c r="F255" s="62">
        <v>4.3463541666666668E-3</v>
      </c>
      <c r="G255" s="62"/>
      <c r="H255" s="62"/>
      <c r="I255" s="62">
        <v>5.3648263888888886E-3</v>
      </c>
      <c r="J255" s="62"/>
      <c r="K255" s="62"/>
      <c r="L255" s="62"/>
      <c r="M255" s="62">
        <v>9.7111805555555545E-3</v>
      </c>
      <c r="N255" s="62">
        <f t="shared" si="106"/>
        <v>9.7111805555555562E-3</v>
      </c>
      <c r="O255" s="53" t="str">
        <f t="shared" si="107"/>
        <v/>
      </c>
      <c r="P255" s="53">
        <f t="shared" si="108"/>
        <v>245</v>
      </c>
      <c r="Q255" s="53" t="str">
        <f t="shared" si="109"/>
        <v/>
      </c>
      <c r="R255" s="53" t="str">
        <f t="shared" si="110"/>
        <v/>
      </c>
      <c r="S255" s="53">
        <f t="shared" si="111"/>
        <v>235</v>
      </c>
      <c r="T255" s="53" t="str">
        <f t="shared" si="112"/>
        <v/>
      </c>
      <c r="U255" s="53" t="str">
        <f t="shared" si="113"/>
        <v/>
      </c>
      <c r="V255" s="53" t="str">
        <f t="shared" si="114"/>
        <v/>
      </c>
      <c r="W255" s="53" t="str">
        <f t="shared" si="115"/>
        <v>DNS/DNF ()</v>
      </c>
      <c r="X255" s="53" t="str">
        <f t="shared" si="116"/>
        <v>00:06:15.5 (245)</v>
      </c>
      <c r="Y255" s="53" t="str">
        <f t="shared" si="117"/>
        <v>DNS/DNF ()</v>
      </c>
      <c r="Z255" s="53" t="str">
        <f t="shared" si="118"/>
        <v>DNS/DNF ()</v>
      </c>
      <c r="AA255" s="53" t="str">
        <f t="shared" si="119"/>
        <v>00:07:43.5 (235)</v>
      </c>
      <c r="AB255" s="53" t="str">
        <f t="shared" si="120"/>
        <v>DNS/DNF ()</v>
      </c>
      <c r="AC255" s="53" t="str">
        <f t="shared" si="121"/>
        <v>DNS/DNF ()</v>
      </c>
      <c r="AD255" s="53" t="str">
        <f t="shared" si="122"/>
        <v>DNS/DNF ()</v>
      </c>
      <c r="AE255" s="53">
        <v>0</v>
      </c>
      <c r="AF255" s="53">
        <v>0</v>
      </c>
      <c r="AG255" s="53">
        <v>42185668</v>
      </c>
      <c r="AH255" s="53">
        <v>42561193</v>
      </c>
      <c r="AI255" s="53">
        <v>0</v>
      </c>
      <c r="AJ255" s="53">
        <v>0</v>
      </c>
      <c r="AK255" s="53">
        <v>0</v>
      </c>
      <c r="AL255" s="53">
        <v>0</v>
      </c>
      <c r="AM255" s="53">
        <v>45213206</v>
      </c>
      <c r="AN255" s="53">
        <v>45676727</v>
      </c>
      <c r="AO255" s="53">
        <v>0</v>
      </c>
      <c r="AP255" s="53">
        <v>0</v>
      </c>
      <c r="AQ255" s="53">
        <v>0</v>
      </c>
      <c r="AR255" s="53">
        <v>0</v>
      </c>
      <c r="AS255" s="53">
        <v>0</v>
      </c>
      <c r="AT255" s="53">
        <v>0</v>
      </c>
      <c r="AU255" s="62" t="str">
        <f t="shared" si="123"/>
        <v>DNS/DNF</v>
      </c>
      <c r="AV255" s="62">
        <f t="shared" si="124"/>
        <v>4.3463541666666668E-3</v>
      </c>
      <c r="AW255" s="62" t="str">
        <f t="shared" si="125"/>
        <v>DNS/DNF</v>
      </c>
      <c r="AX255" s="62" t="str">
        <f t="shared" si="126"/>
        <v>DNS/DNF</v>
      </c>
      <c r="AY255" s="62">
        <f t="shared" si="127"/>
        <v>5.3648263888888886E-3</v>
      </c>
      <c r="AZ255" s="62" t="str">
        <f t="shared" si="128"/>
        <v>DNS/DNF</v>
      </c>
      <c r="BA255" s="62" t="str">
        <f t="shared" si="129"/>
        <v>DNS/DNF</v>
      </c>
      <c r="BB255" s="62" t="str">
        <f t="shared" si="130"/>
        <v>DNS/DNF</v>
      </c>
      <c r="BC255" s="75">
        <f t="shared" si="131"/>
        <v>240</v>
      </c>
      <c r="BD255" s="53" t="str">
        <f t="shared" si="132"/>
        <v/>
      </c>
      <c r="BE255" s="53">
        <f t="shared" si="133"/>
        <v>357326</v>
      </c>
      <c r="BF255" s="53">
        <f t="shared" si="134"/>
        <v>227730</v>
      </c>
      <c r="BG255" s="53" t="str">
        <f t="shared" si="135"/>
        <v/>
      </c>
      <c r="BH255" s="53">
        <f t="shared" si="136"/>
        <v>544518</v>
      </c>
      <c r="BI255" s="53" t="str">
        <f t="shared" si="137"/>
        <v/>
      </c>
      <c r="BJ255" s="53" t="str">
        <f t="shared" si="138"/>
        <v/>
      </c>
      <c r="BK255" s="53" t="str">
        <f t="shared" si="139"/>
        <v/>
      </c>
    </row>
    <row r="256" spans="1:63">
      <c r="A256" s="53">
        <v>39</v>
      </c>
      <c r="B256" s="89" t="str">
        <f>IFERROR(VLOOKUP($A256,EntryList!$A$3:$N$645,2,FALSE),"")</f>
        <v>Rupert Taljaard</v>
      </c>
      <c r="C256" s="74"/>
      <c r="D256" s="53">
        <f t="shared" si="105"/>
        <v>2</v>
      </c>
      <c r="E256" s="62">
        <v>2.6751620370370371E-3</v>
      </c>
      <c r="F256" s="62">
        <v>8.69576388888889E-3</v>
      </c>
      <c r="G256" s="62"/>
      <c r="H256" s="62"/>
      <c r="I256" s="62"/>
      <c r="J256" s="62"/>
      <c r="K256" s="62"/>
      <c r="L256" s="62"/>
      <c r="M256" s="62">
        <v>1.1370925925925925E-2</v>
      </c>
      <c r="N256" s="62">
        <f t="shared" si="106"/>
        <v>1.1370925925925925E-2</v>
      </c>
      <c r="O256" s="53">
        <f t="shared" si="107"/>
        <v>48</v>
      </c>
      <c r="P256" s="53">
        <f t="shared" si="108"/>
        <v>255</v>
      </c>
      <c r="Q256" s="53" t="str">
        <f t="shared" si="109"/>
        <v/>
      </c>
      <c r="R256" s="53" t="str">
        <f t="shared" si="110"/>
        <v/>
      </c>
      <c r="S256" s="53" t="str">
        <f t="shared" si="111"/>
        <v/>
      </c>
      <c r="T256" s="53" t="str">
        <f t="shared" si="112"/>
        <v/>
      </c>
      <c r="U256" s="53" t="str">
        <f t="shared" si="113"/>
        <v/>
      </c>
      <c r="V256" s="53" t="str">
        <f t="shared" si="114"/>
        <v/>
      </c>
      <c r="W256" s="53" t="str">
        <f t="shared" si="115"/>
        <v>00:03:51.1 (48)</v>
      </c>
      <c r="X256" s="53" t="str">
        <f t="shared" si="116"/>
        <v>00:12:31.3 (255)</v>
      </c>
      <c r="Y256" s="53" t="str">
        <f t="shared" si="117"/>
        <v>DNS/DNF ()</v>
      </c>
      <c r="Z256" s="53" t="str">
        <f t="shared" si="118"/>
        <v>DNS/DNF ()</v>
      </c>
      <c r="AA256" s="53" t="str">
        <f t="shared" si="119"/>
        <v>DNS/DNF ()</v>
      </c>
      <c r="AB256" s="53" t="str">
        <f t="shared" si="120"/>
        <v>DNS/DNF ()</v>
      </c>
      <c r="AC256" s="53" t="str">
        <f t="shared" si="121"/>
        <v>DNS/DNF ()</v>
      </c>
      <c r="AD256" s="53" t="str">
        <f t="shared" si="122"/>
        <v>DNS/DNF ()</v>
      </c>
      <c r="AE256" s="53">
        <v>31301872</v>
      </c>
      <c r="AF256" s="53">
        <v>31533006</v>
      </c>
      <c r="AG256" s="53">
        <v>35389513</v>
      </c>
      <c r="AH256" s="53">
        <v>36140827</v>
      </c>
      <c r="AI256" s="53">
        <v>0</v>
      </c>
      <c r="AJ256" s="53">
        <v>0</v>
      </c>
      <c r="AK256" s="53">
        <v>0</v>
      </c>
      <c r="AL256" s="53">
        <v>0</v>
      </c>
      <c r="AM256" s="53">
        <v>0</v>
      </c>
      <c r="AN256" s="53">
        <v>0</v>
      </c>
      <c r="AO256" s="53">
        <v>0</v>
      </c>
      <c r="AP256" s="53">
        <v>0</v>
      </c>
      <c r="AQ256" s="53">
        <v>0</v>
      </c>
      <c r="AR256" s="53">
        <v>0</v>
      </c>
      <c r="AS256" s="53">
        <v>0</v>
      </c>
      <c r="AT256" s="53">
        <v>0</v>
      </c>
      <c r="AU256" s="62">
        <f t="shared" si="123"/>
        <v>2.6751620370370371E-3</v>
      </c>
      <c r="AV256" s="62">
        <f t="shared" si="124"/>
        <v>8.6957638888888883E-3</v>
      </c>
      <c r="AW256" s="62" t="str">
        <f t="shared" si="125"/>
        <v>DNS/DNF</v>
      </c>
      <c r="AX256" s="62" t="str">
        <f t="shared" si="126"/>
        <v>DNS/DNF</v>
      </c>
      <c r="AY256" s="62" t="str">
        <f t="shared" si="127"/>
        <v>DNS/DNF</v>
      </c>
      <c r="AZ256" s="62" t="str">
        <f t="shared" si="128"/>
        <v>DNS/DNF</v>
      </c>
      <c r="BA256" s="62" t="str">
        <f t="shared" si="129"/>
        <v>DNS/DNF</v>
      </c>
      <c r="BB256" s="62" t="str">
        <f t="shared" si="130"/>
        <v>DNS/DNF</v>
      </c>
      <c r="BC256" s="75">
        <f t="shared" si="131"/>
        <v>152</v>
      </c>
      <c r="BD256" s="53" t="str">
        <f t="shared" si="132"/>
        <v/>
      </c>
      <c r="BE256" s="53">
        <f t="shared" si="133"/>
        <v>274828</v>
      </c>
      <c r="BF256" s="53">
        <f t="shared" si="134"/>
        <v>160178</v>
      </c>
      <c r="BG256" s="53" t="str">
        <f t="shared" si="135"/>
        <v/>
      </c>
      <c r="BH256" s="53">
        <f t="shared" si="136"/>
        <v>365092</v>
      </c>
      <c r="BI256" s="53" t="str">
        <f t="shared" si="137"/>
        <v/>
      </c>
      <c r="BJ256" s="53" t="str">
        <f t="shared" si="138"/>
        <v/>
      </c>
      <c r="BK256" s="53" t="str">
        <f t="shared" si="139"/>
        <v/>
      </c>
    </row>
    <row r="257" spans="1:63">
      <c r="A257" s="53">
        <v>213</v>
      </c>
      <c r="B257" s="89" t="str">
        <f>IFERROR(VLOOKUP($A257,EntryList!$A$3:$N$645,2,FALSE),"")</f>
        <v>Ettienne Van Biljon</v>
      </c>
      <c r="C257" s="74"/>
      <c r="D257" s="53">
        <f t="shared" si="105"/>
        <v>2</v>
      </c>
      <c r="E257" s="62"/>
      <c r="F257" s="62">
        <v>3.0627083333333335E-3</v>
      </c>
      <c r="G257" s="62">
        <v>9.2053819444444449E-3</v>
      </c>
      <c r="H257" s="62"/>
      <c r="I257" s="62"/>
      <c r="J257" s="62"/>
      <c r="K257" s="62"/>
      <c r="L257" s="62"/>
      <c r="M257" s="62">
        <v>1.2268090277777777E-2</v>
      </c>
      <c r="N257" s="62">
        <f t="shared" si="106"/>
        <v>1.2268090277777779E-2</v>
      </c>
      <c r="O257" s="53" t="str">
        <f t="shared" si="107"/>
        <v/>
      </c>
      <c r="P257" s="53">
        <f t="shared" si="108"/>
        <v>120</v>
      </c>
      <c r="Q257" s="53">
        <f t="shared" si="109"/>
        <v>248</v>
      </c>
      <c r="R257" s="53" t="str">
        <f t="shared" si="110"/>
        <v/>
      </c>
      <c r="S257" s="53" t="str">
        <f t="shared" si="111"/>
        <v/>
      </c>
      <c r="T257" s="53" t="str">
        <f t="shared" si="112"/>
        <v/>
      </c>
      <c r="U257" s="53" t="str">
        <f t="shared" si="113"/>
        <v/>
      </c>
      <c r="V257" s="53" t="str">
        <f t="shared" si="114"/>
        <v/>
      </c>
      <c r="W257" s="53" t="str">
        <f t="shared" si="115"/>
        <v>DNS/DNF ()</v>
      </c>
      <c r="X257" s="53" t="str">
        <f t="shared" si="116"/>
        <v>00:04:24.6 (120)</v>
      </c>
      <c r="Y257" s="53" t="str">
        <f t="shared" si="117"/>
        <v>00:13:15.3 (248)</v>
      </c>
      <c r="Z257" s="53" t="str">
        <f t="shared" si="118"/>
        <v>DNS/DNF ()</v>
      </c>
      <c r="AA257" s="53" t="str">
        <f t="shared" si="119"/>
        <v>DNS/DNF ()</v>
      </c>
      <c r="AB257" s="53" t="str">
        <f t="shared" si="120"/>
        <v>DNS/DNF ()</v>
      </c>
      <c r="AC257" s="53" t="str">
        <f t="shared" si="121"/>
        <v>DNS/DNF ()</v>
      </c>
      <c r="AD257" s="53" t="str">
        <f t="shared" si="122"/>
        <v>DNS/DNF ()</v>
      </c>
      <c r="AE257" s="53">
        <v>0</v>
      </c>
      <c r="AF257" s="53">
        <v>0</v>
      </c>
      <c r="AG257" s="53">
        <v>34821447</v>
      </c>
      <c r="AH257" s="53">
        <v>35086065</v>
      </c>
      <c r="AI257" s="53">
        <v>38024943</v>
      </c>
      <c r="AJ257" s="53">
        <v>38820288</v>
      </c>
      <c r="AK257" s="53">
        <v>0</v>
      </c>
      <c r="AL257" s="53">
        <v>0</v>
      </c>
      <c r="AM257" s="53">
        <v>0</v>
      </c>
      <c r="AN257" s="53">
        <v>0</v>
      </c>
      <c r="AO257" s="53">
        <v>0</v>
      </c>
      <c r="AP257" s="53">
        <v>0</v>
      </c>
      <c r="AQ257" s="53">
        <v>0</v>
      </c>
      <c r="AR257" s="53">
        <v>0</v>
      </c>
      <c r="AS257" s="53">
        <v>0</v>
      </c>
      <c r="AT257" s="53">
        <v>0</v>
      </c>
      <c r="AU257" s="62" t="str">
        <f t="shared" si="123"/>
        <v>DNS/DNF</v>
      </c>
      <c r="AV257" s="62">
        <f t="shared" si="124"/>
        <v>3.0627083333333335E-3</v>
      </c>
      <c r="AW257" s="62">
        <f t="shared" si="125"/>
        <v>9.2053819444444449E-3</v>
      </c>
      <c r="AX257" s="62" t="str">
        <f t="shared" si="126"/>
        <v>DNS/DNF</v>
      </c>
      <c r="AY257" s="62" t="str">
        <f t="shared" si="127"/>
        <v>DNS/DNF</v>
      </c>
      <c r="AZ257" s="62" t="str">
        <f t="shared" si="128"/>
        <v>DNS/DNF</v>
      </c>
      <c r="BA257" s="62" t="str">
        <f t="shared" si="129"/>
        <v>DNS/DNF</v>
      </c>
      <c r="BB257" s="62" t="str">
        <f t="shared" si="130"/>
        <v>DNS/DNF</v>
      </c>
      <c r="BC257" s="75">
        <f t="shared" si="131"/>
        <v>184</v>
      </c>
      <c r="BD257" s="53" t="str">
        <f t="shared" si="132"/>
        <v/>
      </c>
      <c r="BE257" s="53">
        <f t="shared" si="133"/>
        <v>285573</v>
      </c>
      <c r="BF257" s="53">
        <f t="shared" si="134"/>
        <v>168945</v>
      </c>
      <c r="BG257" s="53" t="str">
        <f t="shared" si="135"/>
        <v/>
      </c>
      <c r="BH257" s="53">
        <f t="shared" si="136"/>
        <v>388246</v>
      </c>
      <c r="BI257" s="53" t="str">
        <f t="shared" si="137"/>
        <v/>
      </c>
      <c r="BJ257" s="53" t="str">
        <f t="shared" si="138"/>
        <v/>
      </c>
      <c r="BK257" s="53" t="str">
        <f t="shared" si="139"/>
        <v/>
      </c>
    </row>
    <row r="258" spans="1:63">
      <c r="A258" s="53">
        <v>183</v>
      </c>
      <c r="B258" s="89" t="str">
        <f>IFERROR(VLOOKUP($A258,EntryList!$A$3:$N$645,2,FALSE),"")</f>
        <v>Michael Sutton</v>
      </c>
      <c r="C258" s="74"/>
      <c r="D258" s="53">
        <f t="shared" si="105"/>
        <v>1</v>
      </c>
      <c r="E258" s="62"/>
      <c r="F258" s="62"/>
      <c r="G258" s="62">
        <v>1.7731018518518519E-3</v>
      </c>
      <c r="H258" s="62"/>
      <c r="I258" s="62"/>
      <c r="J258" s="62"/>
      <c r="K258" s="62"/>
      <c r="L258" s="62"/>
      <c r="M258" s="62">
        <v>1.7731018518518519E-3</v>
      </c>
      <c r="N258" s="62">
        <f t="shared" si="106"/>
        <v>1.7731018518518519E-3</v>
      </c>
      <c r="O258" s="53" t="str">
        <f t="shared" si="107"/>
        <v/>
      </c>
      <c r="P258" s="53" t="str">
        <f t="shared" si="108"/>
        <v/>
      </c>
      <c r="Q258" s="53">
        <f t="shared" si="109"/>
        <v>124</v>
      </c>
      <c r="R258" s="53" t="str">
        <f t="shared" si="110"/>
        <v/>
      </c>
      <c r="S258" s="53" t="str">
        <f t="shared" si="111"/>
        <v/>
      </c>
      <c r="T258" s="53" t="str">
        <f t="shared" si="112"/>
        <v/>
      </c>
      <c r="U258" s="53" t="str">
        <f t="shared" si="113"/>
        <v/>
      </c>
      <c r="V258" s="53" t="str">
        <f t="shared" si="114"/>
        <v/>
      </c>
      <c r="W258" s="53" t="str">
        <f t="shared" si="115"/>
        <v>DNS/DNF ()</v>
      </c>
      <c r="X258" s="53" t="str">
        <f t="shared" si="116"/>
        <v>DNS/DNF ()</v>
      </c>
      <c r="Y258" s="53" t="str">
        <f t="shared" si="117"/>
        <v>00:02:33.2 (124)</v>
      </c>
      <c r="Z258" s="53" t="str">
        <f t="shared" si="118"/>
        <v>DNS/DNF ()</v>
      </c>
      <c r="AA258" s="53" t="str">
        <f t="shared" si="119"/>
        <v>DNS/DNF ()</v>
      </c>
      <c r="AB258" s="53" t="str">
        <f t="shared" si="120"/>
        <v>DNS/DNF ()</v>
      </c>
      <c r="AC258" s="53" t="str">
        <f t="shared" si="121"/>
        <v>DNS/DNF ()</v>
      </c>
      <c r="AD258" s="53" t="str">
        <f t="shared" si="122"/>
        <v>DNS/DNF ()</v>
      </c>
      <c r="AE258" s="53">
        <v>0</v>
      </c>
      <c r="AF258" s="53">
        <v>0</v>
      </c>
      <c r="AG258" s="53">
        <v>37033938</v>
      </c>
      <c r="AH258" s="53">
        <v>0</v>
      </c>
      <c r="AI258" s="53">
        <v>32851909</v>
      </c>
      <c r="AJ258" s="53">
        <v>33005105</v>
      </c>
      <c r="AK258" s="53">
        <v>0</v>
      </c>
      <c r="AL258" s="53">
        <v>0</v>
      </c>
      <c r="AM258" s="53">
        <v>0</v>
      </c>
      <c r="AN258" s="53">
        <v>0</v>
      </c>
      <c r="AO258" s="53">
        <v>0</v>
      </c>
      <c r="AP258" s="53">
        <v>0</v>
      </c>
      <c r="AQ258" s="53">
        <v>0</v>
      </c>
      <c r="AR258" s="53">
        <v>0</v>
      </c>
      <c r="AS258" s="53">
        <v>0</v>
      </c>
      <c r="AT258" s="53">
        <v>0</v>
      </c>
      <c r="AU258" s="62" t="str">
        <f t="shared" si="123"/>
        <v>DNS/DNF</v>
      </c>
      <c r="AV258" s="62" t="str">
        <f t="shared" si="124"/>
        <v>DNS/DNF</v>
      </c>
      <c r="AW258" s="62">
        <f t="shared" si="125"/>
        <v>1.7731018518518519E-3</v>
      </c>
      <c r="AX258" s="62" t="str">
        <f t="shared" si="126"/>
        <v>DNS/DNF</v>
      </c>
      <c r="AY258" s="62" t="str">
        <f t="shared" si="127"/>
        <v>DNS/DNF</v>
      </c>
      <c r="AZ258" s="62" t="str">
        <f t="shared" si="128"/>
        <v>DNS/DNF</v>
      </c>
      <c r="BA258" s="62" t="str">
        <f t="shared" si="129"/>
        <v>DNS/DNF</v>
      </c>
      <c r="BB258" s="62" t="str">
        <f t="shared" si="130"/>
        <v>DNS/DNF</v>
      </c>
      <c r="BC258" s="75">
        <f t="shared" si="131"/>
        <v>124</v>
      </c>
      <c r="BD258" s="53">
        <f t="shared" si="132"/>
        <v>344708</v>
      </c>
      <c r="BE258" s="53">
        <f t="shared" si="133"/>
        <v>266153</v>
      </c>
      <c r="BF258" s="53">
        <f t="shared" si="134"/>
        <v>153196</v>
      </c>
      <c r="BG258" s="53">
        <f t="shared" si="135"/>
        <v>336323</v>
      </c>
      <c r="BH258" s="53">
        <f t="shared" si="136"/>
        <v>353892</v>
      </c>
      <c r="BI258" s="53" t="str">
        <f t="shared" si="137"/>
        <v/>
      </c>
      <c r="BJ258" s="53" t="str">
        <f t="shared" si="138"/>
        <v/>
      </c>
      <c r="BK258" s="53" t="str">
        <f t="shared" si="139"/>
        <v/>
      </c>
    </row>
    <row r="259" spans="1:63">
      <c r="A259" s="53">
        <v>51</v>
      </c>
      <c r="B259" s="89" t="str">
        <f>IFERROR(VLOOKUP($A259,EntryList!$A$3:$N$645,2,FALSE),"")</f>
        <v>Edwin De Swardt</v>
      </c>
      <c r="C259" s="74"/>
      <c r="D259" s="53">
        <f t="shared" si="105"/>
        <v>1</v>
      </c>
      <c r="E259" s="62">
        <v>3.2522569444444448E-3</v>
      </c>
      <c r="F259" s="62"/>
      <c r="G259" s="62"/>
      <c r="H259" s="62"/>
      <c r="I259" s="62"/>
      <c r="J259" s="62"/>
      <c r="K259" s="62"/>
      <c r="L259" s="62"/>
      <c r="M259" s="62">
        <v>3.2522569444444448E-3</v>
      </c>
      <c r="N259" s="62">
        <f t="shared" si="106"/>
        <v>3.2522569444444443E-3</v>
      </c>
      <c r="O259" s="53">
        <f t="shared" si="107"/>
        <v>98</v>
      </c>
      <c r="P259" s="53" t="str">
        <f t="shared" si="108"/>
        <v/>
      </c>
      <c r="Q259" s="53" t="str">
        <f t="shared" si="109"/>
        <v/>
      </c>
      <c r="R259" s="53" t="str">
        <f t="shared" si="110"/>
        <v/>
      </c>
      <c r="S259" s="53" t="str">
        <f t="shared" si="111"/>
        <v/>
      </c>
      <c r="T259" s="53" t="str">
        <f t="shared" si="112"/>
        <v/>
      </c>
      <c r="U259" s="53" t="str">
        <f t="shared" si="113"/>
        <v/>
      </c>
      <c r="V259" s="53" t="str">
        <f t="shared" si="114"/>
        <v/>
      </c>
      <c r="W259" s="53" t="str">
        <f t="shared" si="115"/>
        <v>00:04:41.0 (98)</v>
      </c>
      <c r="X259" s="53" t="str">
        <f t="shared" si="116"/>
        <v>DNS/DNF ()</v>
      </c>
      <c r="Y259" s="53" t="str">
        <f t="shared" si="117"/>
        <v>DNS/DNF ()</v>
      </c>
      <c r="Z259" s="53" t="str">
        <f t="shared" si="118"/>
        <v>DNS/DNF ()</v>
      </c>
      <c r="AA259" s="53" t="str">
        <f t="shared" si="119"/>
        <v>DNS/DNF ()</v>
      </c>
      <c r="AB259" s="53" t="str">
        <f t="shared" si="120"/>
        <v>DNS/DNF ()</v>
      </c>
      <c r="AC259" s="53" t="str">
        <f t="shared" si="121"/>
        <v>DNS/DNF ()</v>
      </c>
      <c r="AD259" s="53" t="str">
        <f t="shared" si="122"/>
        <v>DNS/DNF ()</v>
      </c>
      <c r="AE259" s="53">
        <v>33064479</v>
      </c>
      <c r="AF259" s="53">
        <v>33345474</v>
      </c>
      <c r="AG259" s="53">
        <v>0</v>
      </c>
      <c r="AH259" s="53">
        <v>0</v>
      </c>
      <c r="AI259" s="53">
        <v>36511439</v>
      </c>
      <c r="AJ259" s="53">
        <v>0</v>
      </c>
      <c r="AK259" s="53">
        <v>0</v>
      </c>
      <c r="AL259" s="53">
        <v>0</v>
      </c>
      <c r="AM259" s="53">
        <v>0</v>
      </c>
      <c r="AN259" s="53">
        <v>0</v>
      </c>
      <c r="AO259" s="53">
        <v>0</v>
      </c>
      <c r="AP259" s="53">
        <v>0</v>
      </c>
      <c r="AQ259" s="53">
        <v>0</v>
      </c>
      <c r="AR259" s="53">
        <v>0</v>
      </c>
      <c r="AS259" s="53">
        <v>0</v>
      </c>
      <c r="AT259" s="53">
        <v>0</v>
      </c>
      <c r="AU259" s="62">
        <f t="shared" si="123"/>
        <v>3.2522569444444443E-3</v>
      </c>
      <c r="AV259" s="62" t="str">
        <f t="shared" si="124"/>
        <v>DNS/DNF</v>
      </c>
      <c r="AW259" s="62" t="str">
        <f t="shared" si="125"/>
        <v>DNS/DNF</v>
      </c>
      <c r="AX259" s="62" t="str">
        <f t="shared" si="126"/>
        <v>DNS/DNF</v>
      </c>
      <c r="AY259" s="62" t="str">
        <f t="shared" si="127"/>
        <v>DNS/DNF</v>
      </c>
      <c r="AZ259" s="62" t="str">
        <f t="shared" si="128"/>
        <v>DNS/DNF</v>
      </c>
      <c r="BA259" s="62" t="str">
        <f t="shared" si="129"/>
        <v>DNS/DNF</v>
      </c>
      <c r="BB259" s="62" t="str">
        <f t="shared" si="130"/>
        <v>DNS/DNF</v>
      </c>
      <c r="BC259" s="75">
        <f t="shared" si="131"/>
        <v>98</v>
      </c>
      <c r="BD259" s="53">
        <f t="shared" ref="BD259:BD322" si="140">IFERROR((INDEX(($AU$3:$AU$500)*86400000,MATCH(BC259,$O$3:$O$500,0))),"")</f>
        <v>280995</v>
      </c>
      <c r="BE259" s="53">
        <f t="shared" si="133"/>
        <v>256226</v>
      </c>
      <c r="BF259" s="53">
        <f t="shared" si="134"/>
        <v>146705</v>
      </c>
      <c r="BG259" s="53">
        <f t="shared" si="135"/>
        <v>301759</v>
      </c>
      <c r="BH259" s="53">
        <f t="shared" si="136"/>
        <v>344338</v>
      </c>
      <c r="BI259" s="53" t="str">
        <f t="shared" si="137"/>
        <v/>
      </c>
      <c r="BJ259" s="53" t="str">
        <f t="shared" si="138"/>
        <v/>
      </c>
      <c r="BK259" s="53" t="str">
        <f t="shared" si="139"/>
        <v/>
      </c>
    </row>
    <row r="260" spans="1:63" ht="13.5" customHeight="1">
      <c r="A260" s="53">
        <v>49</v>
      </c>
      <c r="B260" s="89" t="str">
        <f>IFERROR(VLOOKUP($A260,EntryList!$A$3:$N$645,2,FALSE),"")</f>
        <v>Francois Dreyer</v>
      </c>
      <c r="C260" s="74"/>
      <c r="D260" s="53">
        <f t="shared" si="105"/>
        <v>1</v>
      </c>
      <c r="E260" s="62"/>
      <c r="F260" s="62">
        <v>4.4321180555555555E-3</v>
      </c>
      <c r="G260" s="62"/>
      <c r="H260" s="62"/>
      <c r="I260" s="62"/>
      <c r="J260" s="62"/>
      <c r="K260" s="62"/>
      <c r="L260" s="62"/>
      <c r="M260" s="62">
        <v>4.4321180555555555E-3</v>
      </c>
      <c r="N260" s="62">
        <f t="shared" si="106"/>
        <v>4.4321180555555555E-3</v>
      </c>
      <c r="O260" s="53" t="str">
        <f t="shared" si="107"/>
        <v/>
      </c>
      <c r="P260" s="53">
        <f t="shared" si="108"/>
        <v>248</v>
      </c>
      <c r="Q260" s="53" t="str">
        <f t="shared" si="109"/>
        <v/>
      </c>
      <c r="R260" s="53" t="str">
        <f t="shared" si="110"/>
        <v/>
      </c>
      <c r="S260" s="53" t="str">
        <f t="shared" si="111"/>
        <v/>
      </c>
      <c r="T260" s="53" t="str">
        <f t="shared" si="112"/>
        <v/>
      </c>
      <c r="U260" s="53" t="str">
        <f t="shared" si="113"/>
        <v/>
      </c>
      <c r="V260" s="53" t="str">
        <f t="shared" si="114"/>
        <v/>
      </c>
      <c r="W260" s="53" t="str">
        <f t="shared" si="115"/>
        <v>DNS/DNF ()</v>
      </c>
      <c r="X260" s="53" t="str">
        <f t="shared" si="116"/>
        <v>00:06:22.9 (248)</v>
      </c>
      <c r="Y260" s="53" t="str">
        <f t="shared" si="117"/>
        <v>DNS/DNF ()</v>
      </c>
      <c r="Z260" s="53" t="str">
        <f t="shared" si="118"/>
        <v>DNS/DNF ()</v>
      </c>
      <c r="AA260" s="53" t="str">
        <f t="shared" si="119"/>
        <v>DNS/DNF ()</v>
      </c>
      <c r="AB260" s="53" t="str">
        <f t="shared" si="120"/>
        <v>DNS/DNF ()</v>
      </c>
      <c r="AC260" s="53" t="str">
        <f t="shared" si="121"/>
        <v>DNS/DNF ()</v>
      </c>
      <c r="AD260" s="53" t="str">
        <f t="shared" si="122"/>
        <v>DNS/DNF ()</v>
      </c>
      <c r="AE260" s="53">
        <v>0</v>
      </c>
      <c r="AF260" s="53">
        <v>0</v>
      </c>
      <c r="AG260" s="53">
        <v>34472850</v>
      </c>
      <c r="AH260" s="53">
        <v>34855785</v>
      </c>
      <c r="AI260" s="53">
        <v>0</v>
      </c>
      <c r="AJ260" s="53">
        <v>0</v>
      </c>
      <c r="AK260" s="53">
        <v>0</v>
      </c>
      <c r="AL260" s="53">
        <v>0</v>
      </c>
      <c r="AM260" s="53">
        <v>0</v>
      </c>
      <c r="AN260" s="53">
        <v>0</v>
      </c>
      <c r="AO260" s="53">
        <v>0</v>
      </c>
      <c r="AP260" s="53">
        <v>0</v>
      </c>
      <c r="AQ260" s="53">
        <v>0</v>
      </c>
      <c r="AR260" s="53">
        <v>0</v>
      </c>
      <c r="AS260" s="53">
        <v>0</v>
      </c>
      <c r="AT260" s="53">
        <v>0</v>
      </c>
      <c r="AU260" s="62" t="str">
        <f t="shared" si="123"/>
        <v>DNS/DNF</v>
      </c>
      <c r="AV260" s="62">
        <f t="shared" si="124"/>
        <v>4.4321180555555555E-3</v>
      </c>
      <c r="AW260" s="62" t="str">
        <f t="shared" si="125"/>
        <v>DNS/DNF</v>
      </c>
      <c r="AX260" s="62" t="str">
        <f t="shared" si="126"/>
        <v>DNS/DNF</v>
      </c>
      <c r="AY260" s="62" t="str">
        <f t="shared" si="127"/>
        <v>DNS/DNF</v>
      </c>
      <c r="AZ260" s="62" t="str">
        <f t="shared" si="128"/>
        <v>DNS/DNF</v>
      </c>
      <c r="BA260" s="62" t="str">
        <f t="shared" si="129"/>
        <v>DNS/DNF</v>
      </c>
      <c r="BB260" s="62" t="str">
        <f t="shared" si="130"/>
        <v>DNS/DNF</v>
      </c>
      <c r="BC260" s="75">
        <f t="shared" si="131"/>
        <v>248</v>
      </c>
      <c r="BD260" s="53" t="str">
        <f t="shared" si="140"/>
        <v/>
      </c>
      <c r="BE260" s="53">
        <f t="shared" si="133"/>
        <v>382935</v>
      </c>
      <c r="BF260" s="53">
        <f t="shared" si="134"/>
        <v>795345</v>
      </c>
      <c r="BG260" s="53" t="str">
        <f t="shared" si="135"/>
        <v/>
      </c>
      <c r="BH260" s="53" t="str">
        <f t="shared" si="136"/>
        <v/>
      </c>
      <c r="BI260" s="53" t="str">
        <f t="shared" si="137"/>
        <v/>
      </c>
      <c r="BJ260" s="53" t="str">
        <f t="shared" si="138"/>
        <v/>
      </c>
      <c r="BK260" s="53" t="str">
        <f t="shared" si="139"/>
        <v/>
      </c>
    </row>
    <row r="261" spans="1:63">
      <c r="A261" s="53">
        <v>108</v>
      </c>
      <c r="B261" s="89" t="str">
        <f>IFERROR(VLOOKUP($A261,EntryList!$A$3:$N$645,2,FALSE),"")</f>
        <v>Schalk Willem Vorster</v>
      </c>
      <c r="C261" s="74"/>
      <c r="D261" s="53">
        <f t="shared" si="105"/>
        <v>1</v>
      </c>
      <c r="E261" s="62"/>
      <c r="F261" s="62">
        <v>6.3372106481481482E-3</v>
      </c>
      <c r="G261" s="62"/>
      <c r="H261" s="62"/>
      <c r="I261" s="62"/>
      <c r="J261" s="62"/>
      <c r="K261" s="62"/>
      <c r="L261" s="62"/>
      <c r="M261" s="62">
        <v>6.3372106481481482E-3</v>
      </c>
      <c r="N261" s="62">
        <f t="shared" si="106"/>
        <v>6.3372106481481482E-3</v>
      </c>
      <c r="O261" s="53" t="str">
        <f t="shared" si="107"/>
        <v/>
      </c>
      <c r="P261" s="53">
        <f t="shared" si="108"/>
        <v>254</v>
      </c>
      <c r="Q261" s="53" t="str">
        <f t="shared" si="109"/>
        <v/>
      </c>
      <c r="R261" s="53" t="str">
        <f t="shared" si="110"/>
        <v/>
      </c>
      <c r="S261" s="53" t="str">
        <f t="shared" si="111"/>
        <v/>
      </c>
      <c r="T261" s="53" t="str">
        <f t="shared" si="112"/>
        <v/>
      </c>
      <c r="U261" s="53" t="str">
        <f t="shared" si="113"/>
        <v/>
      </c>
      <c r="V261" s="53" t="str">
        <f t="shared" si="114"/>
        <v/>
      </c>
      <c r="W261" s="53" t="str">
        <f t="shared" si="115"/>
        <v>DNS/DNF ()</v>
      </c>
      <c r="X261" s="53" t="str">
        <f t="shared" si="116"/>
        <v>00:09:07.5 (254)</v>
      </c>
      <c r="Y261" s="53" t="str">
        <f t="shared" si="117"/>
        <v>DNS/DNF ()</v>
      </c>
      <c r="Z261" s="53" t="str">
        <f t="shared" si="118"/>
        <v>DNS/DNF ()</v>
      </c>
      <c r="AA261" s="53" t="str">
        <f t="shared" si="119"/>
        <v>DNS/DNF ()</v>
      </c>
      <c r="AB261" s="53" t="str">
        <f t="shared" si="120"/>
        <v>DNS/DNF ()</v>
      </c>
      <c r="AC261" s="53" t="str">
        <f t="shared" si="121"/>
        <v>DNS/DNF ()</v>
      </c>
      <c r="AD261" s="53" t="str">
        <f t="shared" si="122"/>
        <v>DNS/DNF ()</v>
      </c>
      <c r="AE261" s="53">
        <v>0</v>
      </c>
      <c r="AF261" s="53">
        <v>0</v>
      </c>
      <c r="AG261" s="53">
        <v>35691319</v>
      </c>
      <c r="AH261" s="53">
        <v>36238854</v>
      </c>
      <c r="AI261" s="53">
        <v>0</v>
      </c>
      <c r="AJ261" s="53">
        <v>0</v>
      </c>
      <c r="AK261" s="53">
        <v>0</v>
      </c>
      <c r="AL261" s="53">
        <v>0</v>
      </c>
      <c r="AM261" s="53">
        <v>0</v>
      </c>
      <c r="AN261" s="53">
        <v>0</v>
      </c>
      <c r="AO261" s="53">
        <v>0</v>
      </c>
      <c r="AP261" s="53">
        <v>0</v>
      </c>
      <c r="AQ261" s="53">
        <v>0</v>
      </c>
      <c r="AR261" s="53">
        <v>0</v>
      </c>
      <c r="AS261" s="53">
        <v>0</v>
      </c>
      <c r="AT261" s="53">
        <v>0</v>
      </c>
      <c r="AU261" s="62" t="str">
        <f t="shared" si="123"/>
        <v>DNS/DNF</v>
      </c>
      <c r="AV261" s="62">
        <f t="shared" si="124"/>
        <v>6.3372106481481482E-3</v>
      </c>
      <c r="AW261" s="62" t="str">
        <f t="shared" si="125"/>
        <v>DNS/DNF</v>
      </c>
      <c r="AX261" s="62" t="str">
        <f t="shared" si="126"/>
        <v>DNS/DNF</v>
      </c>
      <c r="AY261" s="62" t="str">
        <f t="shared" si="127"/>
        <v>DNS/DNF</v>
      </c>
      <c r="AZ261" s="62" t="str">
        <f t="shared" si="128"/>
        <v>DNS/DNF</v>
      </c>
      <c r="BA261" s="62" t="str">
        <f t="shared" si="129"/>
        <v>DNS/DNF</v>
      </c>
      <c r="BB261" s="62" t="str">
        <f t="shared" si="130"/>
        <v>DNS/DNF</v>
      </c>
      <c r="BC261" s="75">
        <f t="shared" si="131"/>
        <v>254</v>
      </c>
      <c r="BD261" s="53" t="str">
        <f t="shared" si="140"/>
        <v/>
      </c>
      <c r="BE261" s="53">
        <f t="shared" si="133"/>
        <v>547535</v>
      </c>
      <c r="BF261" s="53" t="str">
        <f t="shared" si="134"/>
        <v/>
      </c>
      <c r="BG261" s="53" t="str">
        <f t="shared" si="135"/>
        <v/>
      </c>
      <c r="BH261" s="53" t="str">
        <f t="shared" si="136"/>
        <v/>
      </c>
      <c r="BI261" s="53" t="str">
        <f t="shared" si="137"/>
        <v/>
      </c>
      <c r="BJ261" s="53" t="str">
        <f t="shared" si="138"/>
        <v/>
      </c>
      <c r="BK261" s="53" t="str">
        <f t="shared" si="139"/>
        <v/>
      </c>
    </row>
    <row r="262" spans="1:63">
      <c r="A262" s="53">
        <v>107</v>
      </c>
      <c r="B262" s="89" t="str">
        <f>IFERROR(VLOOKUP($A262,EntryList!$A$3:$N$645,2,FALSE),"")</f>
        <v>Shaun Fuller</v>
      </c>
      <c r="C262" s="74"/>
      <c r="D262" s="53">
        <f t="shared" si="105"/>
        <v>1</v>
      </c>
      <c r="E262" s="62">
        <v>1.3324039351851851E-2</v>
      </c>
      <c r="F262" s="62"/>
      <c r="G262" s="62"/>
      <c r="H262" s="62"/>
      <c r="I262" s="62"/>
      <c r="J262" s="62"/>
      <c r="K262" s="62"/>
      <c r="L262" s="62"/>
      <c r="M262" s="62">
        <v>1.3324039351851851E-2</v>
      </c>
      <c r="N262" s="62">
        <f t="shared" si="106"/>
        <v>1.3324039351851853E-2</v>
      </c>
      <c r="O262" s="53">
        <f t="shared" si="107"/>
        <v>142</v>
      </c>
      <c r="P262" s="53" t="str">
        <f t="shared" si="108"/>
        <v/>
      </c>
      <c r="Q262" s="53" t="str">
        <f t="shared" si="109"/>
        <v/>
      </c>
      <c r="R262" s="53" t="str">
        <f t="shared" si="110"/>
        <v/>
      </c>
      <c r="S262" s="53" t="str">
        <f t="shared" si="111"/>
        <v/>
      </c>
      <c r="T262" s="53" t="str">
        <f t="shared" si="112"/>
        <v/>
      </c>
      <c r="U262" s="53" t="str">
        <f t="shared" si="113"/>
        <v/>
      </c>
      <c r="V262" s="53" t="str">
        <f t="shared" si="114"/>
        <v/>
      </c>
      <c r="W262" s="53" t="str">
        <f t="shared" si="115"/>
        <v>00:19:11.2 (142)</v>
      </c>
      <c r="X262" s="53" t="str">
        <f t="shared" si="116"/>
        <v>DNS/DNF ()</v>
      </c>
      <c r="Y262" s="53" t="str">
        <f t="shared" si="117"/>
        <v>DNS/DNF ()</v>
      </c>
      <c r="Z262" s="53" t="str">
        <f t="shared" si="118"/>
        <v>DNS/DNF ()</v>
      </c>
      <c r="AA262" s="53" t="str">
        <f t="shared" si="119"/>
        <v>DNS/DNF ()</v>
      </c>
      <c r="AB262" s="53" t="str">
        <f t="shared" si="120"/>
        <v>DNS/DNF ()</v>
      </c>
      <c r="AC262" s="53" t="str">
        <f t="shared" si="121"/>
        <v>DNS/DNF ()</v>
      </c>
      <c r="AD262" s="53" t="str">
        <f t="shared" si="122"/>
        <v>DNS/DNF ()</v>
      </c>
      <c r="AE262" s="53">
        <v>34643470</v>
      </c>
      <c r="AF262" s="53">
        <v>35794667</v>
      </c>
      <c r="AG262" s="53">
        <v>40413818</v>
      </c>
      <c r="AH262" s="53">
        <v>0</v>
      </c>
      <c r="AI262" s="53">
        <v>0</v>
      </c>
      <c r="AJ262" s="53">
        <v>0</v>
      </c>
      <c r="AK262" s="53">
        <v>0</v>
      </c>
      <c r="AL262" s="53">
        <v>0</v>
      </c>
      <c r="AM262" s="53">
        <v>0</v>
      </c>
      <c r="AN262" s="53">
        <v>0</v>
      </c>
      <c r="AO262" s="53">
        <v>0</v>
      </c>
      <c r="AP262" s="53">
        <v>0</v>
      </c>
      <c r="AQ262" s="53">
        <v>0</v>
      </c>
      <c r="AR262" s="53">
        <v>0</v>
      </c>
      <c r="AS262" s="53">
        <v>0</v>
      </c>
      <c r="AT262" s="53">
        <v>0</v>
      </c>
      <c r="AU262" s="62">
        <f t="shared" si="123"/>
        <v>1.3324039351851853E-2</v>
      </c>
      <c r="AV262" s="62" t="str">
        <f t="shared" si="124"/>
        <v>DNS/DNF</v>
      </c>
      <c r="AW262" s="62" t="str">
        <f t="shared" si="125"/>
        <v>DNS/DNF</v>
      </c>
      <c r="AX262" s="62" t="str">
        <f t="shared" si="126"/>
        <v>DNS/DNF</v>
      </c>
      <c r="AY262" s="62" t="str">
        <f t="shared" si="127"/>
        <v>DNS/DNF</v>
      </c>
      <c r="AZ262" s="62" t="str">
        <f t="shared" si="128"/>
        <v>DNS/DNF</v>
      </c>
      <c r="BA262" s="62" t="str">
        <f t="shared" si="129"/>
        <v>DNS/DNF</v>
      </c>
      <c r="BB262" s="62" t="str">
        <f t="shared" si="130"/>
        <v>DNS/DNF</v>
      </c>
      <c r="BC262" s="75">
        <f t="shared" si="131"/>
        <v>142</v>
      </c>
      <c r="BD262" s="53">
        <f t="shared" si="140"/>
        <v>1151197</v>
      </c>
      <c r="BE262" s="53">
        <f t="shared" si="133"/>
        <v>272513</v>
      </c>
      <c r="BF262" s="53">
        <f t="shared" si="134"/>
        <v>158478</v>
      </c>
      <c r="BG262" s="53" t="str">
        <f t="shared" si="135"/>
        <v/>
      </c>
      <c r="BH262" s="53">
        <f t="shared" si="136"/>
        <v>359934</v>
      </c>
      <c r="BI262" s="53" t="str">
        <f t="shared" si="137"/>
        <v/>
      </c>
      <c r="BJ262" s="53" t="str">
        <f t="shared" si="138"/>
        <v/>
      </c>
      <c r="BK262" s="53" t="str">
        <f t="shared" si="139"/>
        <v/>
      </c>
    </row>
    <row r="263" spans="1:6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</row>
    <row r="264" spans="1:6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</row>
    <row r="265" spans="1:6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</row>
    <row r="266" spans="1:6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</row>
    <row r="267" spans="1:6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</row>
    <row r="268" spans="1:6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</row>
    <row r="269" spans="1:6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</row>
    <row r="270" spans="1:6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</row>
    <row r="271" spans="1:6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</row>
    <row r="272" spans="1:6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</row>
    <row r="273" spans="1:5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</row>
    <row r="274" spans="1:5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</row>
    <row r="275" spans="1:5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</row>
    <row r="276" spans="1:5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</row>
    <row r="277" spans="1:5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</row>
    <row r="278" spans="1:5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</row>
    <row r="279" spans="1:5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</row>
    <row r="280" spans="1:5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</row>
    <row r="281" spans="1:5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</row>
    <row r="282" spans="1:5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</row>
    <row r="283" spans="1:5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</row>
    <row r="284" spans="1:5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</row>
    <row r="285" spans="1:5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</row>
    <row r="286" spans="1:5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</row>
    <row r="287" spans="1:5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</row>
    <row r="288" spans="1:5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</row>
    <row r="289" spans="1:5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</row>
    <row r="290" spans="1:5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</row>
    <row r="291" spans="1:5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</row>
    <row r="292" spans="1:5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</row>
    <row r="293" spans="1:5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</row>
    <row r="295" spans="1:5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</row>
    <row r="296" spans="1:5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</row>
    <row r="297" spans="1:5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</row>
    <row r="298" spans="1:5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</row>
    <row r="299" spans="1:5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</row>
    <row r="300" spans="1:5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</row>
    <row r="301" spans="1:5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</row>
    <row r="302" spans="1:5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</row>
    <row r="303" spans="1:5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</row>
    <row r="304" spans="1:5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</row>
    <row r="305" spans="1:5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</row>
    <row r="306" spans="1:5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</row>
    <row r="307" spans="1:5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</row>
    <row r="308" spans="1:5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</row>
    <row r="309" spans="1:5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</row>
    <row r="310" spans="1:5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</row>
    <row r="311" spans="1:5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</row>
    <row r="312" spans="1:5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</row>
    <row r="313" spans="1:5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</row>
    <row r="314" spans="1:5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</row>
    <row r="315" spans="1:5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</row>
    <row r="316" spans="1:5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</row>
    <row r="317" spans="1:5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</row>
    <row r="318" spans="1:5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</row>
    <row r="319" spans="1:5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</row>
    <row r="320" spans="1:5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</row>
    <row r="321" spans="1:5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</row>
    <row r="322" spans="1:5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</row>
    <row r="323" spans="1:5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</row>
    <row r="324" spans="1:5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</row>
    <row r="325" spans="1:5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</row>
    <row r="326" spans="1:5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</row>
    <row r="327" spans="1:5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</row>
    <row r="328" spans="1:5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</row>
    <row r="329" spans="1:5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</row>
    <row r="330" spans="1:5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</row>
    <row r="331" spans="1:5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</row>
    <row r="332" spans="1:5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</row>
    <row r="333" spans="1:5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</row>
    <row r="334" spans="1:5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</row>
    <row r="335" spans="1:5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</row>
    <row r="336" spans="1:5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</row>
    <row r="337" spans="1:5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</row>
    <row r="338" spans="1:5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</row>
    <row r="339" spans="1:5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</row>
    <row r="340" spans="1:5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</row>
    <row r="341" spans="1:5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</row>
    <row r="342" spans="1:5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</row>
    <row r="343" spans="1:5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</row>
    <row r="344" spans="1:5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</row>
    <row r="345" spans="1:5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</row>
    <row r="346" spans="1:5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</row>
    <row r="347" spans="1:5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</row>
    <row r="348" spans="1:5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</row>
    <row r="349" spans="1:5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</row>
    <row r="350" spans="1:5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</row>
    <row r="351" spans="1:5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</row>
    <row r="352" spans="1:5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</row>
    <row r="353" spans="1:5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</row>
    <row r="357" spans="1:5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</row>
    <row r="359" spans="1:5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</row>
    <row r="360" spans="1:5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</row>
  </sheetData>
  <autoFilter ref="A2:BB262">
    <sortState ref="A3:BB262">
      <sortCondition ref="A2:A267"/>
    </sortState>
  </autoFilter>
  <sortState ref="A3:BL500">
    <sortCondition descending="1" ref="D3:D500"/>
    <sortCondition ref="N3:N500"/>
  </sortState>
  <conditionalFormatting sqref="O361:V1048576">
    <cfRule type="colorScale" priority="13987">
      <colorScale>
        <cfvo type="min"/>
        <cfvo type="percentile" val="50"/>
        <cfvo type="max"/>
        <color theme="9"/>
        <color rgb="FFFFEB84"/>
        <color rgb="FFFF0000"/>
      </colorScale>
    </cfRule>
  </conditionalFormatting>
  <conditionalFormatting sqref="W3:AD3">
    <cfRule type="containsText" dxfId="973" priority="808" stopIfTrue="1" operator="containsText" text="(3)">
      <formula>NOT(ISERROR(SEARCH("(3)",W3)))</formula>
    </cfRule>
    <cfRule type="containsText" dxfId="972" priority="809" stopIfTrue="1" operator="containsText" text="(2)">
      <formula>NOT(ISERROR(SEARCH("(2)",W3)))</formula>
    </cfRule>
    <cfRule type="containsText" dxfId="971" priority="810" stopIfTrue="1" operator="containsText" text="(1)">
      <formula>NOT(ISERROR(SEARCH("(1)",W3)))</formula>
    </cfRule>
  </conditionalFormatting>
  <conditionalFormatting sqref="W4:AD4">
    <cfRule type="containsText" dxfId="970" priority="805" stopIfTrue="1" operator="containsText" text="(3)">
      <formula>NOT(ISERROR(SEARCH("(3)",W4)))</formula>
    </cfRule>
    <cfRule type="containsText" dxfId="969" priority="806" stopIfTrue="1" operator="containsText" text="(2)">
      <formula>NOT(ISERROR(SEARCH("(2)",W4)))</formula>
    </cfRule>
    <cfRule type="containsText" dxfId="968" priority="807" stopIfTrue="1" operator="containsText" text="(1)">
      <formula>NOT(ISERROR(SEARCH("(1)",W4)))</formula>
    </cfRule>
  </conditionalFormatting>
  <conditionalFormatting sqref="W5:AD5">
    <cfRule type="containsText" dxfId="967" priority="802" stopIfTrue="1" operator="containsText" text="(3)">
      <formula>NOT(ISERROR(SEARCH("(3)",W5)))</formula>
    </cfRule>
    <cfRule type="containsText" dxfId="966" priority="803" stopIfTrue="1" operator="containsText" text="(2)">
      <formula>NOT(ISERROR(SEARCH("(2)",W5)))</formula>
    </cfRule>
    <cfRule type="containsText" dxfId="965" priority="804" stopIfTrue="1" operator="containsText" text="(1)">
      <formula>NOT(ISERROR(SEARCH("(1)",W5)))</formula>
    </cfRule>
  </conditionalFormatting>
  <conditionalFormatting sqref="W6:AD6">
    <cfRule type="containsText" dxfId="964" priority="796" stopIfTrue="1" operator="containsText" text="(3)">
      <formula>NOT(ISERROR(SEARCH("(3)",W6)))</formula>
    </cfRule>
    <cfRule type="containsText" dxfId="963" priority="797" stopIfTrue="1" operator="containsText" text="(2)">
      <formula>NOT(ISERROR(SEARCH("(2)",W6)))</formula>
    </cfRule>
    <cfRule type="containsText" dxfId="962" priority="798" stopIfTrue="1" operator="containsText" text="(1)">
      <formula>NOT(ISERROR(SEARCH("(1)",W6)))</formula>
    </cfRule>
  </conditionalFormatting>
  <conditionalFormatting sqref="W7:AD7">
    <cfRule type="containsText" dxfId="961" priority="793" stopIfTrue="1" operator="containsText" text="(3)">
      <formula>NOT(ISERROR(SEARCH("(3)",W7)))</formula>
    </cfRule>
    <cfRule type="containsText" dxfId="960" priority="794" stopIfTrue="1" operator="containsText" text="(2)">
      <formula>NOT(ISERROR(SEARCH("(2)",W7)))</formula>
    </cfRule>
    <cfRule type="containsText" dxfId="959" priority="795" stopIfTrue="1" operator="containsText" text="(1)">
      <formula>NOT(ISERROR(SEARCH("(1)",W7)))</formula>
    </cfRule>
  </conditionalFormatting>
  <conditionalFormatting sqref="W8:AD8">
    <cfRule type="containsText" dxfId="958" priority="790" stopIfTrue="1" operator="containsText" text="(3)">
      <formula>NOT(ISERROR(SEARCH("(3)",W8)))</formula>
    </cfRule>
    <cfRule type="containsText" dxfId="957" priority="791" stopIfTrue="1" operator="containsText" text="(2)">
      <formula>NOT(ISERROR(SEARCH("(2)",W8)))</formula>
    </cfRule>
    <cfRule type="containsText" dxfId="956" priority="792" stopIfTrue="1" operator="containsText" text="(1)">
      <formula>NOT(ISERROR(SEARCH("(1)",W8)))</formula>
    </cfRule>
  </conditionalFormatting>
  <conditionalFormatting sqref="W9:AD9">
    <cfRule type="containsText" dxfId="955" priority="787" stopIfTrue="1" operator="containsText" text="(3)">
      <formula>NOT(ISERROR(SEARCH("(3)",W9)))</formula>
    </cfRule>
    <cfRule type="containsText" dxfId="954" priority="788" stopIfTrue="1" operator="containsText" text="(2)">
      <formula>NOT(ISERROR(SEARCH("(2)",W9)))</formula>
    </cfRule>
    <cfRule type="containsText" dxfId="953" priority="789" stopIfTrue="1" operator="containsText" text="(1)">
      <formula>NOT(ISERROR(SEARCH("(1)",W9)))</formula>
    </cfRule>
  </conditionalFormatting>
  <conditionalFormatting sqref="W10:AD10">
    <cfRule type="containsText" dxfId="952" priority="784" stopIfTrue="1" operator="containsText" text="(3)">
      <formula>NOT(ISERROR(SEARCH("(3)",W10)))</formula>
    </cfRule>
    <cfRule type="containsText" dxfId="951" priority="785" stopIfTrue="1" operator="containsText" text="(2)">
      <formula>NOT(ISERROR(SEARCH("(2)",W10)))</formula>
    </cfRule>
    <cfRule type="containsText" dxfId="950" priority="786" stopIfTrue="1" operator="containsText" text="(1)">
      <formula>NOT(ISERROR(SEARCH("(1)",W10)))</formula>
    </cfRule>
  </conditionalFormatting>
  <conditionalFormatting sqref="W11:AD11">
    <cfRule type="containsText" dxfId="949" priority="781" stopIfTrue="1" operator="containsText" text="(3)">
      <formula>NOT(ISERROR(SEARCH("(3)",W11)))</formula>
    </cfRule>
    <cfRule type="containsText" dxfId="948" priority="782" stopIfTrue="1" operator="containsText" text="(2)">
      <formula>NOT(ISERROR(SEARCH("(2)",W11)))</formula>
    </cfRule>
    <cfRule type="containsText" dxfId="947" priority="783" stopIfTrue="1" operator="containsText" text="(1)">
      <formula>NOT(ISERROR(SEARCH("(1)",W11)))</formula>
    </cfRule>
  </conditionalFormatting>
  <conditionalFormatting sqref="W12:AD12">
    <cfRule type="containsText" dxfId="946" priority="778" stopIfTrue="1" operator="containsText" text="(3)">
      <formula>NOT(ISERROR(SEARCH("(3)",W12)))</formula>
    </cfRule>
    <cfRule type="containsText" dxfId="945" priority="779" stopIfTrue="1" operator="containsText" text="(2)">
      <formula>NOT(ISERROR(SEARCH("(2)",W12)))</formula>
    </cfRule>
    <cfRule type="containsText" dxfId="944" priority="780" stopIfTrue="1" operator="containsText" text="(1)">
      <formula>NOT(ISERROR(SEARCH("(1)",W12)))</formula>
    </cfRule>
  </conditionalFormatting>
  <conditionalFormatting sqref="W13:AD13">
    <cfRule type="containsText" dxfId="943" priority="775" stopIfTrue="1" operator="containsText" text="(3)">
      <formula>NOT(ISERROR(SEARCH("(3)",W13)))</formula>
    </cfRule>
    <cfRule type="containsText" dxfId="942" priority="776" stopIfTrue="1" operator="containsText" text="(2)">
      <formula>NOT(ISERROR(SEARCH("(2)",W13)))</formula>
    </cfRule>
    <cfRule type="containsText" dxfId="941" priority="777" stopIfTrue="1" operator="containsText" text="(1)">
      <formula>NOT(ISERROR(SEARCH("(1)",W13)))</formula>
    </cfRule>
  </conditionalFormatting>
  <conditionalFormatting sqref="W14:AD14">
    <cfRule type="containsText" dxfId="940" priority="772" stopIfTrue="1" operator="containsText" text="(3)">
      <formula>NOT(ISERROR(SEARCH("(3)",W14)))</formula>
    </cfRule>
    <cfRule type="containsText" dxfId="939" priority="773" stopIfTrue="1" operator="containsText" text="(2)">
      <formula>NOT(ISERROR(SEARCH("(2)",W14)))</formula>
    </cfRule>
    <cfRule type="containsText" dxfId="938" priority="774" stopIfTrue="1" operator="containsText" text="(1)">
      <formula>NOT(ISERROR(SEARCH("(1)",W14)))</formula>
    </cfRule>
  </conditionalFormatting>
  <conditionalFormatting sqref="W15:AD15">
    <cfRule type="containsText" dxfId="937" priority="769" stopIfTrue="1" operator="containsText" text="(3)">
      <formula>NOT(ISERROR(SEARCH("(3)",W15)))</formula>
    </cfRule>
    <cfRule type="containsText" dxfId="936" priority="770" stopIfTrue="1" operator="containsText" text="(2)">
      <formula>NOT(ISERROR(SEARCH("(2)",W15)))</formula>
    </cfRule>
    <cfRule type="containsText" dxfId="935" priority="771" stopIfTrue="1" operator="containsText" text="(1)">
      <formula>NOT(ISERROR(SEARCH("(1)",W15)))</formula>
    </cfRule>
  </conditionalFormatting>
  <conditionalFormatting sqref="W16:AD16">
    <cfRule type="containsText" dxfId="934" priority="766" stopIfTrue="1" operator="containsText" text="(3)">
      <formula>NOT(ISERROR(SEARCH("(3)",W16)))</formula>
    </cfRule>
    <cfRule type="containsText" dxfId="933" priority="767" stopIfTrue="1" operator="containsText" text="(2)">
      <formula>NOT(ISERROR(SEARCH("(2)",W16)))</formula>
    </cfRule>
    <cfRule type="containsText" dxfId="932" priority="768" stopIfTrue="1" operator="containsText" text="(1)">
      <formula>NOT(ISERROR(SEARCH("(1)",W16)))</formula>
    </cfRule>
  </conditionalFormatting>
  <conditionalFormatting sqref="W17:AD17">
    <cfRule type="containsText" dxfId="931" priority="763" stopIfTrue="1" operator="containsText" text="(3)">
      <formula>NOT(ISERROR(SEARCH("(3)",W17)))</formula>
    </cfRule>
    <cfRule type="containsText" dxfId="930" priority="764" stopIfTrue="1" operator="containsText" text="(2)">
      <formula>NOT(ISERROR(SEARCH("(2)",W17)))</formula>
    </cfRule>
    <cfRule type="containsText" dxfId="929" priority="765" stopIfTrue="1" operator="containsText" text="(1)">
      <formula>NOT(ISERROR(SEARCH("(1)",W17)))</formula>
    </cfRule>
  </conditionalFormatting>
  <conditionalFormatting sqref="W18:AD18">
    <cfRule type="containsText" dxfId="928" priority="760" stopIfTrue="1" operator="containsText" text="(3)">
      <formula>NOT(ISERROR(SEARCH("(3)",W18)))</formula>
    </cfRule>
    <cfRule type="containsText" dxfId="927" priority="761" stopIfTrue="1" operator="containsText" text="(2)">
      <formula>NOT(ISERROR(SEARCH("(2)",W18)))</formula>
    </cfRule>
    <cfRule type="containsText" dxfId="926" priority="762" stopIfTrue="1" operator="containsText" text="(1)">
      <formula>NOT(ISERROR(SEARCH("(1)",W18)))</formula>
    </cfRule>
  </conditionalFormatting>
  <conditionalFormatting sqref="W19:AD19">
    <cfRule type="containsText" dxfId="925" priority="757" stopIfTrue="1" operator="containsText" text="(3)">
      <formula>NOT(ISERROR(SEARCH("(3)",W19)))</formula>
    </cfRule>
    <cfRule type="containsText" dxfId="924" priority="758" stopIfTrue="1" operator="containsText" text="(2)">
      <formula>NOT(ISERROR(SEARCH("(2)",W19)))</formula>
    </cfRule>
    <cfRule type="containsText" dxfId="923" priority="759" stopIfTrue="1" operator="containsText" text="(1)">
      <formula>NOT(ISERROR(SEARCH("(1)",W19)))</formula>
    </cfRule>
  </conditionalFormatting>
  <conditionalFormatting sqref="W20:AD20">
    <cfRule type="containsText" dxfId="922" priority="754" stopIfTrue="1" operator="containsText" text="(3)">
      <formula>NOT(ISERROR(SEARCH("(3)",W20)))</formula>
    </cfRule>
    <cfRule type="containsText" dxfId="921" priority="755" stopIfTrue="1" operator="containsText" text="(2)">
      <formula>NOT(ISERROR(SEARCH("(2)",W20)))</formula>
    </cfRule>
    <cfRule type="containsText" dxfId="920" priority="756" stopIfTrue="1" operator="containsText" text="(1)">
      <formula>NOT(ISERROR(SEARCH("(1)",W20)))</formula>
    </cfRule>
  </conditionalFormatting>
  <conditionalFormatting sqref="W21:AD21">
    <cfRule type="containsText" dxfId="919" priority="751" stopIfTrue="1" operator="containsText" text="(3)">
      <formula>NOT(ISERROR(SEARCH("(3)",W21)))</formula>
    </cfRule>
    <cfRule type="containsText" dxfId="918" priority="752" stopIfTrue="1" operator="containsText" text="(2)">
      <formula>NOT(ISERROR(SEARCH("(2)",W21)))</formula>
    </cfRule>
    <cfRule type="containsText" dxfId="917" priority="753" stopIfTrue="1" operator="containsText" text="(1)">
      <formula>NOT(ISERROR(SEARCH("(1)",W21)))</formula>
    </cfRule>
  </conditionalFormatting>
  <conditionalFormatting sqref="W22:AD22">
    <cfRule type="containsText" dxfId="916" priority="748" stopIfTrue="1" operator="containsText" text="(3)">
      <formula>NOT(ISERROR(SEARCH("(3)",W22)))</formula>
    </cfRule>
    <cfRule type="containsText" dxfId="915" priority="749" stopIfTrue="1" operator="containsText" text="(2)">
      <formula>NOT(ISERROR(SEARCH("(2)",W22)))</formula>
    </cfRule>
    <cfRule type="containsText" dxfId="914" priority="750" stopIfTrue="1" operator="containsText" text="(1)">
      <formula>NOT(ISERROR(SEARCH("(1)",W22)))</formula>
    </cfRule>
  </conditionalFormatting>
  <conditionalFormatting sqref="W23:AD23">
    <cfRule type="containsText" dxfId="913" priority="745" stopIfTrue="1" operator="containsText" text="(3)">
      <formula>NOT(ISERROR(SEARCH("(3)",W23)))</formula>
    </cfRule>
    <cfRule type="containsText" dxfId="912" priority="746" stopIfTrue="1" operator="containsText" text="(2)">
      <formula>NOT(ISERROR(SEARCH("(2)",W23)))</formula>
    </cfRule>
    <cfRule type="containsText" dxfId="911" priority="747" stopIfTrue="1" operator="containsText" text="(1)">
      <formula>NOT(ISERROR(SEARCH("(1)",W23)))</formula>
    </cfRule>
  </conditionalFormatting>
  <conditionalFormatting sqref="W24:AD24">
    <cfRule type="containsText" dxfId="910" priority="742" stopIfTrue="1" operator="containsText" text="(3)">
      <formula>NOT(ISERROR(SEARCH("(3)",W24)))</formula>
    </cfRule>
    <cfRule type="containsText" dxfId="909" priority="743" stopIfTrue="1" operator="containsText" text="(2)">
      <formula>NOT(ISERROR(SEARCH("(2)",W24)))</formula>
    </cfRule>
    <cfRule type="containsText" dxfId="908" priority="744" stopIfTrue="1" operator="containsText" text="(1)">
      <formula>NOT(ISERROR(SEARCH("(1)",W24)))</formula>
    </cfRule>
  </conditionalFormatting>
  <conditionalFormatting sqref="W25:AD25">
    <cfRule type="containsText" dxfId="907" priority="739" stopIfTrue="1" operator="containsText" text="(3)">
      <formula>NOT(ISERROR(SEARCH("(3)",W25)))</formula>
    </cfRule>
    <cfRule type="containsText" dxfId="906" priority="740" stopIfTrue="1" operator="containsText" text="(2)">
      <formula>NOT(ISERROR(SEARCH("(2)",W25)))</formula>
    </cfRule>
    <cfRule type="containsText" dxfId="905" priority="741" stopIfTrue="1" operator="containsText" text="(1)">
      <formula>NOT(ISERROR(SEARCH("(1)",W25)))</formula>
    </cfRule>
  </conditionalFormatting>
  <conditionalFormatting sqref="W26:AD26">
    <cfRule type="containsText" dxfId="904" priority="736" stopIfTrue="1" operator="containsText" text="(3)">
      <formula>NOT(ISERROR(SEARCH("(3)",W26)))</formula>
    </cfRule>
    <cfRule type="containsText" dxfId="903" priority="737" stopIfTrue="1" operator="containsText" text="(2)">
      <formula>NOT(ISERROR(SEARCH("(2)",W26)))</formula>
    </cfRule>
    <cfRule type="containsText" dxfId="902" priority="738" stopIfTrue="1" operator="containsText" text="(1)">
      <formula>NOT(ISERROR(SEARCH("(1)",W26)))</formula>
    </cfRule>
  </conditionalFormatting>
  <conditionalFormatting sqref="W27:AD27">
    <cfRule type="containsText" dxfId="901" priority="733" stopIfTrue="1" operator="containsText" text="(3)">
      <formula>NOT(ISERROR(SEARCH("(3)",W27)))</formula>
    </cfRule>
    <cfRule type="containsText" dxfId="900" priority="734" stopIfTrue="1" operator="containsText" text="(2)">
      <formula>NOT(ISERROR(SEARCH("(2)",W27)))</formula>
    </cfRule>
    <cfRule type="containsText" dxfId="899" priority="735" stopIfTrue="1" operator="containsText" text="(1)">
      <formula>NOT(ISERROR(SEARCH("(1)",W27)))</formula>
    </cfRule>
  </conditionalFormatting>
  <conditionalFormatting sqref="W28:AD28">
    <cfRule type="containsText" dxfId="898" priority="730" stopIfTrue="1" operator="containsText" text="(3)">
      <formula>NOT(ISERROR(SEARCH("(3)",W28)))</formula>
    </cfRule>
    <cfRule type="containsText" dxfId="897" priority="731" stopIfTrue="1" operator="containsText" text="(2)">
      <formula>NOT(ISERROR(SEARCH("(2)",W28)))</formula>
    </cfRule>
    <cfRule type="containsText" dxfId="896" priority="732" stopIfTrue="1" operator="containsText" text="(1)">
      <formula>NOT(ISERROR(SEARCH("(1)",W28)))</formula>
    </cfRule>
  </conditionalFormatting>
  <conditionalFormatting sqref="W29:AD29">
    <cfRule type="containsText" dxfId="895" priority="727" stopIfTrue="1" operator="containsText" text="(3)">
      <formula>NOT(ISERROR(SEARCH("(3)",W29)))</formula>
    </cfRule>
    <cfRule type="containsText" dxfId="894" priority="728" stopIfTrue="1" operator="containsText" text="(2)">
      <formula>NOT(ISERROR(SEARCH("(2)",W29)))</formula>
    </cfRule>
    <cfRule type="containsText" dxfId="893" priority="729" stopIfTrue="1" operator="containsText" text="(1)">
      <formula>NOT(ISERROR(SEARCH("(1)",W29)))</formula>
    </cfRule>
  </conditionalFormatting>
  <conditionalFormatting sqref="W30:AD30">
    <cfRule type="containsText" dxfId="892" priority="724" stopIfTrue="1" operator="containsText" text="(3)">
      <formula>NOT(ISERROR(SEARCH("(3)",W30)))</formula>
    </cfRule>
    <cfRule type="containsText" dxfId="891" priority="725" stopIfTrue="1" operator="containsText" text="(2)">
      <formula>NOT(ISERROR(SEARCH("(2)",W30)))</formula>
    </cfRule>
    <cfRule type="containsText" dxfId="890" priority="726" stopIfTrue="1" operator="containsText" text="(1)">
      <formula>NOT(ISERROR(SEARCH("(1)",W30)))</formula>
    </cfRule>
  </conditionalFormatting>
  <conditionalFormatting sqref="W31:AD31">
    <cfRule type="containsText" dxfId="889" priority="721" stopIfTrue="1" operator="containsText" text="(3)">
      <formula>NOT(ISERROR(SEARCH("(3)",W31)))</formula>
    </cfRule>
    <cfRule type="containsText" dxfId="888" priority="722" stopIfTrue="1" operator="containsText" text="(2)">
      <formula>NOT(ISERROR(SEARCH("(2)",W31)))</formula>
    </cfRule>
    <cfRule type="containsText" dxfId="887" priority="723" stopIfTrue="1" operator="containsText" text="(1)">
      <formula>NOT(ISERROR(SEARCH("(1)",W31)))</formula>
    </cfRule>
  </conditionalFormatting>
  <conditionalFormatting sqref="W32:AD32">
    <cfRule type="containsText" dxfId="886" priority="718" stopIfTrue="1" operator="containsText" text="(3)">
      <formula>NOT(ISERROR(SEARCH("(3)",W32)))</formula>
    </cfRule>
    <cfRule type="containsText" dxfId="885" priority="719" stopIfTrue="1" operator="containsText" text="(2)">
      <formula>NOT(ISERROR(SEARCH("(2)",W32)))</formula>
    </cfRule>
    <cfRule type="containsText" dxfId="884" priority="720" stopIfTrue="1" operator="containsText" text="(1)">
      <formula>NOT(ISERROR(SEARCH("(1)",W32)))</formula>
    </cfRule>
  </conditionalFormatting>
  <conditionalFormatting sqref="W33:AD33">
    <cfRule type="containsText" dxfId="883" priority="715" stopIfTrue="1" operator="containsText" text="(3)">
      <formula>NOT(ISERROR(SEARCH("(3)",W33)))</formula>
    </cfRule>
    <cfRule type="containsText" dxfId="882" priority="716" stopIfTrue="1" operator="containsText" text="(2)">
      <formula>NOT(ISERROR(SEARCH("(2)",W33)))</formula>
    </cfRule>
    <cfRule type="containsText" dxfId="881" priority="717" stopIfTrue="1" operator="containsText" text="(1)">
      <formula>NOT(ISERROR(SEARCH("(1)",W33)))</formula>
    </cfRule>
  </conditionalFormatting>
  <conditionalFormatting sqref="W34:AD34">
    <cfRule type="containsText" dxfId="880" priority="712" stopIfTrue="1" operator="containsText" text="(3)">
      <formula>NOT(ISERROR(SEARCH("(3)",W34)))</formula>
    </cfRule>
    <cfRule type="containsText" dxfId="879" priority="713" stopIfTrue="1" operator="containsText" text="(2)">
      <formula>NOT(ISERROR(SEARCH("(2)",W34)))</formula>
    </cfRule>
    <cfRule type="containsText" dxfId="878" priority="714" stopIfTrue="1" operator="containsText" text="(1)">
      <formula>NOT(ISERROR(SEARCH("(1)",W34)))</formula>
    </cfRule>
  </conditionalFormatting>
  <conditionalFormatting sqref="W35:AD35">
    <cfRule type="containsText" dxfId="877" priority="709" stopIfTrue="1" operator="containsText" text="(3)">
      <formula>NOT(ISERROR(SEARCH("(3)",W35)))</formula>
    </cfRule>
    <cfRule type="containsText" dxfId="876" priority="710" stopIfTrue="1" operator="containsText" text="(2)">
      <formula>NOT(ISERROR(SEARCH("(2)",W35)))</formula>
    </cfRule>
    <cfRule type="containsText" dxfId="875" priority="711" stopIfTrue="1" operator="containsText" text="(1)">
      <formula>NOT(ISERROR(SEARCH("(1)",W35)))</formula>
    </cfRule>
  </conditionalFormatting>
  <conditionalFormatting sqref="W36:AD36">
    <cfRule type="containsText" dxfId="874" priority="706" stopIfTrue="1" operator="containsText" text="(3)">
      <formula>NOT(ISERROR(SEARCH("(3)",W36)))</formula>
    </cfRule>
    <cfRule type="containsText" dxfId="873" priority="707" stopIfTrue="1" operator="containsText" text="(2)">
      <formula>NOT(ISERROR(SEARCH("(2)",W36)))</formula>
    </cfRule>
    <cfRule type="containsText" dxfId="872" priority="708" stopIfTrue="1" operator="containsText" text="(1)">
      <formula>NOT(ISERROR(SEARCH("(1)",W36)))</formula>
    </cfRule>
  </conditionalFormatting>
  <conditionalFormatting sqref="W37:AD37">
    <cfRule type="containsText" dxfId="871" priority="703" stopIfTrue="1" operator="containsText" text="(3)">
      <formula>NOT(ISERROR(SEARCH("(3)",W37)))</formula>
    </cfRule>
    <cfRule type="containsText" dxfId="870" priority="704" stopIfTrue="1" operator="containsText" text="(2)">
      <formula>NOT(ISERROR(SEARCH("(2)",W37)))</formula>
    </cfRule>
    <cfRule type="containsText" dxfId="869" priority="705" stopIfTrue="1" operator="containsText" text="(1)">
      <formula>NOT(ISERROR(SEARCH("(1)",W37)))</formula>
    </cfRule>
  </conditionalFormatting>
  <conditionalFormatting sqref="W38:AD38">
    <cfRule type="containsText" dxfId="868" priority="700" stopIfTrue="1" operator="containsText" text="(3)">
      <formula>NOT(ISERROR(SEARCH("(3)",W38)))</formula>
    </cfRule>
    <cfRule type="containsText" dxfId="867" priority="701" stopIfTrue="1" operator="containsText" text="(2)">
      <formula>NOT(ISERROR(SEARCH("(2)",W38)))</formula>
    </cfRule>
    <cfRule type="containsText" dxfId="866" priority="702" stopIfTrue="1" operator="containsText" text="(1)">
      <formula>NOT(ISERROR(SEARCH("(1)",W38)))</formula>
    </cfRule>
  </conditionalFormatting>
  <conditionalFormatting sqref="W39:AD39">
    <cfRule type="containsText" dxfId="865" priority="697" stopIfTrue="1" operator="containsText" text="(3)">
      <formula>NOT(ISERROR(SEARCH("(3)",W39)))</formula>
    </cfRule>
    <cfRule type="containsText" dxfId="864" priority="698" stopIfTrue="1" operator="containsText" text="(2)">
      <formula>NOT(ISERROR(SEARCH("(2)",W39)))</formula>
    </cfRule>
    <cfRule type="containsText" dxfId="863" priority="699" stopIfTrue="1" operator="containsText" text="(1)">
      <formula>NOT(ISERROR(SEARCH("(1)",W39)))</formula>
    </cfRule>
  </conditionalFormatting>
  <conditionalFormatting sqref="W40:AD40">
    <cfRule type="containsText" dxfId="862" priority="694" stopIfTrue="1" operator="containsText" text="(3)">
      <formula>NOT(ISERROR(SEARCH("(3)",W40)))</formula>
    </cfRule>
    <cfRule type="containsText" dxfId="861" priority="695" stopIfTrue="1" operator="containsText" text="(2)">
      <formula>NOT(ISERROR(SEARCH("(2)",W40)))</formula>
    </cfRule>
    <cfRule type="containsText" dxfId="860" priority="696" stopIfTrue="1" operator="containsText" text="(1)">
      <formula>NOT(ISERROR(SEARCH("(1)",W40)))</formula>
    </cfRule>
  </conditionalFormatting>
  <conditionalFormatting sqref="W41:AD41">
    <cfRule type="containsText" dxfId="859" priority="691" stopIfTrue="1" operator="containsText" text="(3)">
      <formula>NOT(ISERROR(SEARCH("(3)",W41)))</formula>
    </cfRule>
    <cfRule type="containsText" dxfId="858" priority="692" stopIfTrue="1" operator="containsText" text="(2)">
      <formula>NOT(ISERROR(SEARCH("(2)",W41)))</formula>
    </cfRule>
    <cfRule type="containsText" dxfId="857" priority="693" stopIfTrue="1" operator="containsText" text="(1)">
      <formula>NOT(ISERROR(SEARCH("(1)",W41)))</formula>
    </cfRule>
  </conditionalFormatting>
  <conditionalFormatting sqref="W42:AD42">
    <cfRule type="containsText" dxfId="856" priority="688" stopIfTrue="1" operator="containsText" text="(3)">
      <formula>NOT(ISERROR(SEARCH("(3)",W42)))</formula>
    </cfRule>
    <cfRule type="containsText" dxfId="855" priority="689" stopIfTrue="1" operator="containsText" text="(2)">
      <formula>NOT(ISERROR(SEARCH("(2)",W42)))</formula>
    </cfRule>
    <cfRule type="containsText" dxfId="854" priority="690" stopIfTrue="1" operator="containsText" text="(1)">
      <formula>NOT(ISERROR(SEARCH("(1)",W42)))</formula>
    </cfRule>
  </conditionalFormatting>
  <conditionalFormatting sqref="W43:AD43">
    <cfRule type="containsText" dxfId="853" priority="685" stopIfTrue="1" operator="containsText" text="(3)">
      <formula>NOT(ISERROR(SEARCH("(3)",W43)))</formula>
    </cfRule>
    <cfRule type="containsText" dxfId="852" priority="686" stopIfTrue="1" operator="containsText" text="(2)">
      <formula>NOT(ISERROR(SEARCH("(2)",W43)))</formula>
    </cfRule>
    <cfRule type="containsText" dxfId="851" priority="687" stopIfTrue="1" operator="containsText" text="(1)">
      <formula>NOT(ISERROR(SEARCH("(1)",W43)))</formula>
    </cfRule>
  </conditionalFormatting>
  <conditionalFormatting sqref="W44:AD44">
    <cfRule type="containsText" dxfId="850" priority="682" stopIfTrue="1" operator="containsText" text="(3)">
      <formula>NOT(ISERROR(SEARCH("(3)",W44)))</formula>
    </cfRule>
    <cfRule type="containsText" dxfId="849" priority="683" stopIfTrue="1" operator="containsText" text="(2)">
      <formula>NOT(ISERROR(SEARCH("(2)",W44)))</formula>
    </cfRule>
    <cfRule type="containsText" dxfId="848" priority="684" stopIfTrue="1" operator="containsText" text="(1)">
      <formula>NOT(ISERROR(SEARCH("(1)",W44)))</formula>
    </cfRule>
  </conditionalFormatting>
  <conditionalFormatting sqref="W45:AD45">
    <cfRule type="containsText" dxfId="847" priority="679" stopIfTrue="1" operator="containsText" text="(3)">
      <formula>NOT(ISERROR(SEARCH("(3)",W45)))</formula>
    </cfRule>
    <cfRule type="containsText" dxfId="846" priority="680" stopIfTrue="1" operator="containsText" text="(2)">
      <formula>NOT(ISERROR(SEARCH("(2)",W45)))</formula>
    </cfRule>
    <cfRule type="containsText" dxfId="845" priority="681" stopIfTrue="1" operator="containsText" text="(1)">
      <formula>NOT(ISERROR(SEARCH("(1)",W45)))</formula>
    </cfRule>
  </conditionalFormatting>
  <conditionalFormatting sqref="W46:AD46">
    <cfRule type="containsText" dxfId="844" priority="676" stopIfTrue="1" operator="containsText" text="(3)">
      <formula>NOT(ISERROR(SEARCH("(3)",W46)))</formula>
    </cfRule>
    <cfRule type="containsText" dxfId="843" priority="677" stopIfTrue="1" operator="containsText" text="(2)">
      <formula>NOT(ISERROR(SEARCH("(2)",W46)))</formula>
    </cfRule>
    <cfRule type="containsText" dxfId="842" priority="678" stopIfTrue="1" operator="containsText" text="(1)">
      <formula>NOT(ISERROR(SEARCH("(1)",W46)))</formula>
    </cfRule>
  </conditionalFormatting>
  <conditionalFormatting sqref="W47:AD47">
    <cfRule type="containsText" dxfId="841" priority="673" stopIfTrue="1" operator="containsText" text="(3)">
      <formula>NOT(ISERROR(SEARCH("(3)",W47)))</formula>
    </cfRule>
    <cfRule type="containsText" dxfId="840" priority="674" stopIfTrue="1" operator="containsText" text="(2)">
      <formula>NOT(ISERROR(SEARCH("(2)",W47)))</formula>
    </cfRule>
    <cfRule type="containsText" dxfId="839" priority="675" stopIfTrue="1" operator="containsText" text="(1)">
      <formula>NOT(ISERROR(SEARCH("(1)",W47)))</formula>
    </cfRule>
  </conditionalFormatting>
  <conditionalFormatting sqref="W48:AD48">
    <cfRule type="containsText" dxfId="838" priority="670" stopIfTrue="1" operator="containsText" text="(3)">
      <formula>NOT(ISERROR(SEARCH("(3)",W48)))</formula>
    </cfRule>
    <cfRule type="containsText" dxfId="837" priority="671" stopIfTrue="1" operator="containsText" text="(2)">
      <formula>NOT(ISERROR(SEARCH("(2)",W48)))</formula>
    </cfRule>
    <cfRule type="containsText" dxfId="836" priority="672" stopIfTrue="1" operator="containsText" text="(1)">
      <formula>NOT(ISERROR(SEARCH("(1)",W48)))</formula>
    </cfRule>
  </conditionalFormatting>
  <conditionalFormatting sqref="W49:AD49">
    <cfRule type="containsText" dxfId="835" priority="667" stopIfTrue="1" operator="containsText" text="(3)">
      <formula>NOT(ISERROR(SEARCH("(3)",W49)))</formula>
    </cfRule>
    <cfRule type="containsText" dxfId="834" priority="668" stopIfTrue="1" operator="containsText" text="(2)">
      <formula>NOT(ISERROR(SEARCH("(2)",W49)))</formula>
    </cfRule>
    <cfRule type="containsText" dxfId="833" priority="669" stopIfTrue="1" operator="containsText" text="(1)">
      <formula>NOT(ISERROR(SEARCH("(1)",W49)))</formula>
    </cfRule>
  </conditionalFormatting>
  <conditionalFormatting sqref="W50:AD50">
    <cfRule type="containsText" dxfId="832" priority="664" stopIfTrue="1" operator="containsText" text="(3)">
      <formula>NOT(ISERROR(SEARCH("(3)",W50)))</formula>
    </cfRule>
    <cfRule type="containsText" dxfId="831" priority="665" stopIfTrue="1" operator="containsText" text="(2)">
      <formula>NOT(ISERROR(SEARCH("(2)",W50)))</formula>
    </cfRule>
    <cfRule type="containsText" dxfId="830" priority="666" stopIfTrue="1" operator="containsText" text="(1)">
      <formula>NOT(ISERROR(SEARCH("(1)",W50)))</formula>
    </cfRule>
  </conditionalFormatting>
  <conditionalFormatting sqref="W51:AD51">
    <cfRule type="containsText" dxfId="829" priority="661" stopIfTrue="1" operator="containsText" text="(3)">
      <formula>NOT(ISERROR(SEARCH("(3)",W51)))</formula>
    </cfRule>
    <cfRule type="containsText" dxfId="828" priority="662" stopIfTrue="1" operator="containsText" text="(2)">
      <formula>NOT(ISERROR(SEARCH("(2)",W51)))</formula>
    </cfRule>
    <cfRule type="containsText" dxfId="827" priority="663" stopIfTrue="1" operator="containsText" text="(1)">
      <formula>NOT(ISERROR(SEARCH("(1)",W51)))</formula>
    </cfRule>
  </conditionalFormatting>
  <conditionalFormatting sqref="W52:AD52">
    <cfRule type="containsText" dxfId="826" priority="658" stopIfTrue="1" operator="containsText" text="(3)">
      <formula>NOT(ISERROR(SEARCH("(3)",W52)))</formula>
    </cfRule>
    <cfRule type="containsText" dxfId="825" priority="659" stopIfTrue="1" operator="containsText" text="(2)">
      <formula>NOT(ISERROR(SEARCH("(2)",W52)))</formula>
    </cfRule>
    <cfRule type="containsText" dxfId="824" priority="660" stopIfTrue="1" operator="containsText" text="(1)">
      <formula>NOT(ISERROR(SEARCH("(1)",W52)))</formula>
    </cfRule>
  </conditionalFormatting>
  <conditionalFormatting sqref="W53:AD53">
    <cfRule type="containsText" dxfId="823" priority="655" stopIfTrue="1" operator="containsText" text="(3)">
      <formula>NOT(ISERROR(SEARCH("(3)",W53)))</formula>
    </cfRule>
    <cfRule type="containsText" dxfId="822" priority="656" stopIfTrue="1" operator="containsText" text="(2)">
      <formula>NOT(ISERROR(SEARCH("(2)",W53)))</formula>
    </cfRule>
    <cfRule type="containsText" dxfId="821" priority="657" stopIfTrue="1" operator="containsText" text="(1)">
      <formula>NOT(ISERROR(SEARCH("(1)",W53)))</formula>
    </cfRule>
  </conditionalFormatting>
  <conditionalFormatting sqref="W54:AD54">
    <cfRule type="containsText" dxfId="820" priority="652" stopIfTrue="1" operator="containsText" text="(3)">
      <formula>NOT(ISERROR(SEARCH("(3)",W54)))</formula>
    </cfRule>
    <cfRule type="containsText" dxfId="819" priority="653" stopIfTrue="1" operator="containsText" text="(2)">
      <formula>NOT(ISERROR(SEARCH("(2)",W54)))</formula>
    </cfRule>
    <cfRule type="containsText" dxfId="818" priority="654" stopIfTrue="1" operator="containsText" text="(1)">
      <formula>NOT(ISERROR(SEARCH("(1)",W54)))</formula>
    </cfRule>
  </conditionalFormatting>
  <conditionalFormatting sqref="W55:AD55">
    <cfRule type="containsText" dxfId="817" priority="649" stopIfTrue="1" operator="containsText" text="(3)">
      <formula>NOT(ISERROR(SEARCH("(3)",W55)))</formula>
    </cfRule>
    <cfRule type="containsText" dxfId="816" priority="650" stopIfTrue="1" operator="containsText" text="(2)">
      <formula>NOT(ISERROR(SEARCH("(2)",W55)))</formula>
    </cfRule>
    <cfRule type="containsText" dxfId="815" priority="651" stopIfTrue="1" operator="containsText" text="(1)">
      <formula>NOT(ISERROR(SEARCH("(1)",W55)))</formula>
    </cfRule>
  </conditionalFormatting>
  <conditionalFormatting sqref="W56:AD56">
    <cfRule type="containsText" dxfId="814" priority="646" stopIfTrue="1" operator="containsText" text="(3)">
      <formula>NOT(ISERROR(SEARCH("(3)",W56)))</formula>
    </cfRule>
    <cfRule type="containsText" dxfId="813" priority="647" stopIfTrue="1" operator="containsText" text="(2)">
      <formula>NOT(ISERROR(SEARCH("(2)",W56)))</formula>
    </cfRule>
    <cfRule type="containsText" dxfId="812" priority="648" stopIfTrue="1" operator="containsText" text="(1)">
      <formula>NOT(ISERROR(SEARCH("(1)",W56)))</formula>
    </cfRule>
  </conditionalFormatting>
  <conditionalFormatting sqref="W57:AD57">
    <cfRule type="containsText" dxfId="811" priority="643" stopIfTrue="1" operator="containsText" text="(3)">
      <formula>NOT(ISERROR(SEARCH("(3)",W57)))</formula>
    </cfRule>
    <cfRule type="containsText" dxfId="810" priority="644" stopIfTrue="1" operator="containsText" text="(2)">
      <formula>NOT(ISERROR(SEARCH("(2)",W57)))</formula>
    </cfRule>
    <cfRule type="containsText" dxfId="809" priority="645" stopIfTrue="1" operator="containsText" text="(1)">
      <formula>NOT(ISERROR(SEARCH("(1)",W57)))</formula>
    </cfRule>
  </conditionalFormatting>
  <conditionalFormatting sqref="W58:AD58">
    <cfRule type="containsText" dxfId="808" priority="640" stopIfTrue="1" operator="containsText" text="(3)">
      <formula>NOT(ISERROR(SEARCH("(3)",W58)))</formula>
    </cfRule>
    <cfRule type="containsText" dxfId="807" priority="641" stopIfTrue="1" operator="containsText" text="(2)">
      <formula>NOT(ISERROR(SEARCH("(2)",W58)))</formula>
    </cfRule>
    <cfRule type="containsText" dxfId="806" priority="642" stopIfTrue="1" operator="containsText" text="(1)">
      <formula>NOT(ISERROR(SEARCH("(1)",W58)))</formula>
    </cfRule>
  </conditionalFormatting>
  <conditionalFormatting sqref="W59:AD59">
    <cfRule type="containsText" dxfId="805" priority="637" stopIfTrue="1" operator="containsText" text="(3)">
      <formula>NOT(ISERROR(SEARCH("(3)",W59)))</formula>
    </cfRule>
    <cfRule type="containsText" dxfId="804" priority="638" stopIfTrue="1" operator="containsText" text="(2)">
      <formula>NOT(ISERROR(SEARCH("(2)",W59)))</formula>
    </cfRule>
    <cfRule type="containsText" dxfId="803" priority="639" stopIfTrue="1" operator="containsText" text="(1)">
      <formula>NOT(ISERROR(SEARCH("(1)",W59)))</formula>
    </cfRule>
  </conditionalFormatting>
  <conditionalFormatting sqref="W60:AD60">
    <cfRule type="containsText" dxfId="802" priority="634" stopIfTrue="1" operator="containsText" text="(3)">
      <formula>NOT(ISERROR(SEARCH("(3)",W60)))</formula>
    </cfRule>
    <cfRule type="containsText" dxfId="801" priority="635" stopIfTrue="1" operator="containsText" text="(2)">
      <formula>NOT(ISERROR(SEARCH("(2)",W60)))</formula>
    </cfRule>
    <cfRule type="containsText" dxfId="800" priority="636" stopIfTrue="1" operator="containsText" text="(1)">
      <formula>NOT(ISERROR(SEARCH("(1)",W60)))</formula>
    </cfRule>
  </conditionalFormatting>
  <conditionalFormatting sqref="W61:AD61">
    <cfRule type="containsText" dxfId="799" priority="631" stopIfTrue="1" operator="containsText" text="(3)">
      <formula>NOT(ISERROR(SEARCH("(3)",W61)))</formula>
    </cfRule>
    <cfRule type="containsText" dxfId="798" priority="632" stopIfTrue="1" operator="containsText" text="(2)">
      <formula>NOT(ISERROR(SEARCH("(2)",W61)))</formula>
    </cfRule>
    <cfRule type="containsText" dxfId="797" priority="633" stopIfTrue="1" operator="containsText" text="(1)">
      <formula>NOT(ISERROR(SEARCH("(1)",W61)))</formula>
    </cfRule>
  </conditionalFormatting>
  <conditionalFormatting sqref="W62:AD62">
    <cfRule type="containsText" dxfId="796" priority="628" stopIfTrue="1" operator="containsText" text="(3)">
      <formula>NOT(ISERROR(SEARCH("(3)",W62)))</formula>
    </cfRule>
    <cfRule type="containsText" dxfId="795" priority="629" stopIfTrue="1" operator="containsText" text="(2)">
      <formula>NOT(ISERROR(SEARCH("(2)",W62)))</formula>
    </cfRule>
    <cfRule type="containsText" dxfId="794" priority="630" stopIfTrue="1" operator="containsText" text="(1)">
      <formula>NOT(ISERROR(SEARCH("(1)",W62)))</formula>
    </cfRule>
  </conditionalFormatting>
  <conditionalFormatting sqref="W63:AD63">
    <cfRule type="containsText" dxfId="793" priority="625" stopIfTrue="1" operator="containsText" text="(3)">
      <formula>NOT(ISERROR(SEARCH("(3)",W63)))</formula>
    </cfRule>
    <cfRule type="containsText" dxfId="792" priority="626" stopIfTrue="1" operator="containsText" text="(2)">
      <formula>NOT(ISERROR(SEARCH("(2)",W63)))</formula>
    </cfRule>
    <cfRule type="containsText" dxfId="791" priority="627" stopIfTrue="1" operator="containsText" text="(1)">
      <formula>NOT(ISERROR(SEARCH("(1)",W63)))</formula>
    </cfRule>
  </conditionalFormatting>
  <conditionalFormatting sqref="W64:AD64">
    <cfRule type="containsText" dxfId="790" priority="622" stopIfTrue="1" operator="containsText" text="(3)">
      <formula>NOT(ISERROR(SEARCH("(3)",W64)))</formula>
    </cfRule>
    <cfRule type="containsText" dxfId="789" priority="623" stopIfTrue="1" operator="containsText" text="(2)">
      <formula>NOT(ISERROR(SEARCH("(2)",W64)))</formula>
    </cfRule>
    <cfRule type="containsText" dxfId="788" priority="624" stopIfTrue="1" operator="containsText" text="(1)">
      <formula>NOT(ISERROR(SEARCH("(1)",W64)))</formula>
    </cfRule>
  </conditionalFormatting>
  <conditionalFormatting sqref="W65:AD65">
    <cfRule type="containsText" dxfId="787" priority="619" stopIfTrue="1" operator="containsText" text="(3)">
      <formula>NOT(ISERROR(SEARCH("(3)",W65)))</formula>
    </cfRule>
    <cfRule type="containsText" dxfId="786" priority="620" stopIfTrue="1" operator="containsText" text="(2)">
      <formula>NOT(ISERROR(SEARCH("(2)",W65)))</formula>
    </cfRule>
    <cfRule type="containsText" dxfId="785" priority="621" stopIfTrue="1" operator="containsText" text="(1)">
      <formula>NOT(ISERROR(SEARCH("(1)",W65)))</formula>
    </cfRule>
  </conditionalFormatting>
  <conditionalFormatting sqref="W66:AD66">
    <cfRule type="containsText" dxfId="784" priority="616" stopIfTrue="1" operator="containsText" text="(3)">
      <formula>NOT(ISERROR(SEARCH("(3)",W66)))</formula>
    </cfRule>
    <cfRule type="containsText" dxfId="783" priority="617" stopIfTrue="1" operator="containsText" text="(2)">
      <formula>NOT(ISERROR(SEARCH("(2)",W66)))</formula>
    </cfRule>
    <cfRule type="containsText" dxfId="782" priority="618" stopIfTrue="1" operator="containsText" text="(1)">
      <formula>NOT(ISERROR(SEARCH("(1)",W66)))</formula>
    </cfRule>
  </conditionalFormatting>
  <conditionalFormatting sqref="W67:AD67">
    <cfRule type="containsText" dxfId="781" priority="613" stopIfTrue="1" operator="containsText" text="(3)">
      <formula>NOT(ISERROR(SEARCH("(3)",W67)))</formula>
    </cfRule>
    <cfRule type="containsText" dxfId="780" priority="614" stopIfTrue="1" operator="containsText" text="(2)">
      <formula>NOT(ISERROR(SEARCH("(2)",W67)))</formula>
    </cfRule>
    <cfRule type="containsText" dxfId="779" priority="615" stopIfTrue="1" operator="containsText" text="(1)">
      <formula>NOT(ISERROR(SEARCH("(1)",W67)))</formula>
    </cfRule>
  </conditionalFormatting>
  <conditionalFormatting sqref="W68:AD68">
    <cfRule type="containsText" dxfId="778" priority="610" stopIfTrue="1" operator="containsText" text="(3)">
      <formula>NOT(ISERROR(SEARCH("(3)",W68)))</formula>
    </cfRule>
    <cfRule type="containsText" dxfId="777" priority="611" stopIfTrue="1" operator="containsText" text="(2)">
      <formula>NOT(ISERROR(SEARCH("(2)",W68)))</formula>
    </cfRule>
    <cfRule type="containsText" dxfId="776" priority="612" stopIfTrue="1" operator="containsText" text="(1)">
      <formula>NOT(ISERROR(SEARCH("(1)",W68)))</formula>
    </cfRule>
  </conditionalFormatting>
  <conditionalFormatting sqref="W69:AD69">
    <cfRule type="containsText" dxfId="775" priority="607" stopIfTrue="1" operator="containsText" text="(3)">
      <formula>NOT(ISERROR(SEARCH("(3)",W69)))</formula>
    </cfRule>
    <cfRule type="containsText" dxfId="774" priority="608" stopIfTrue="1" operator="containsText" text="(2)">
      <formula>NOT(ISERROR(SEARCH("(2)",W69)))</formula>
    </cfRule>
    <cfRule type="containsText" dxfId="773" priority="609" stopIfTrue="1" operator="containsText" text="(1)">
      <formula>NOT(ISERROR(SEARCH("(1)",W69)))</formula>
    </cfRule>
  </conditionalFormatting>
  <conditionalFormatting sqref="W70:AD70">
    <cfRule type="containsText" dxfId="772" priority="604" stopIfTrue="1" operator="containsText" text="(3)">
      <formula>NOT(ISERROR(SEARCH("(3)",W70)))</formula>
    </cfRule>
    <cfRule type="containsText" dxfId="771" priority="605" stopIfTrue="1" operator="containsText" text="(2)">
      <formula>NOT(ISERROR(SEARCH("(2)",W70)))</formula>
    </cfRule>
    <cfRule type="containsText" dxfId="770" priority="606" stopIfTrue="1" operator="containsText" text="(1)">
      <formula>NOT(ISERROR(SEARCH("(1)",W70)))</formula>
    </cfRule>
  </conditionalFormatting>
  <conditionalFormatting sqref="W71:AD71">
    <cfRule type="containsText" dxfId="769" priority="601" stopIfTrue="1" operator="containsText" text="(3)">
      <formula>NOT(ISERROR(SEARCH("(3)",W71)))</formula>
    </cfRule>
    <cfRule type="containsText" dxfId="768" priority="602" stopIfTrue="1" operator="containsText" text="(2)">
      <formula>NOT(ISERROR(SEARCH("(2)",W71)))</formula>
    </cfRule>
    <cfRule type="containsText" dxfId="767" priority="603" stopIfTrue="1" operator="containsText" text="(1)">
      <formula>NOT(ISERROR(SEARCH("(1)",W71)))</formula>
    </cfRule>
  </conditionalFormatting>
  <conditionalFormatting sqref="W72:AD72">
    <cfRule type="containsText" dxfId="766" priority="598" stopIfTrue="1" operator="containsText" text="(3)">
      <formula>NOT(ISERROR(SEARCH("(3)",W72)))</formula>
    </cfRule>
    <cfRule type="containsText" dxfId="765" priority="599" stopIfTrue="1" operator="containsText" text="(2)">
      <formula>NOT(ISERROR(SEARCH("(2)",W72)))</formula>
    </cfRule>
    <cfRule type="containsText" dxfId="764" priority="600" stopIfTrue="1" operator="containsText" text="(1)">
      <formula>NOT(ISERROR(SEARCH("(1)",W72)))</formula>
    </cfRule>
  </conditionalFormatting>
  <conditionalFormatting sqref="W73:AD73">
    <cfRule type="containsText" dxfId="763" priority="595" stopIfTrue="1" operator="containsText" text="(3)">
      <formula>NOT(ISERROR(SEARCH("(3)",W73)))</formula>
    </cfRule>
    <cfRule type="containsText" dxfId="762" priority="596" stopIfTrue="1" operator="containsText" text="(2)">
      <formula>NOT(ISERROR(SEARCH("(2)",W73)))</formula>
    </cfRule>
    <cfRule type="containsText" dxfId="761" priority="597" stopIfTrue="1" operator="containsText" text="(1)">
      <formula>NOT(ISERROR(SEARCH("(1)",W73)))</formula>
    </cfRule>
  </conditionalFormatting>
  <conditionalFormatting sqref="W74:AD74">
    <cfRule type="containsText" dxfId="760" priority="592" stopIfTrue="1" operator="containsText" text="(3)">
      <formula>NOT(ISERROR(SEARCH("(3)",W74)))</formula>
    </cfRule>
    <cfRule type="containsText" dxfId="759" priority="593" stopIfTrue="1" operator="containsText" text="(2)">
      <formula>NOT(ISERROR(SEARCH("(2)",W74)))</formula>
    </cfRule>
    <cfRule type="containsText" dxfId="758" priority="594" stopIfTrue="1" operator="containsText" text="(1)">
      <formula>NOT(ISERROR(SEARCH("(1)",W74)))</formula>
    </cfRule>
  </conditionalFormatting>
  <conditionalFormatting sqref="W75:AD75">
    <cfRule type="containsText" dxfId="757" priority="589" stopIfTrue="1" operator="containsText" text="(3)">
      <formula>NOT(ISERROR(SEARCH("(3)",W75)))</formula>
    </cfRule>
    <cfRule type="containsText" dxfId="756" priority="590" stopIfTrue="1" operator="containsText" text="(2)">
      <formula>NOT(ISERROR(SEARCH("(2)",W75)))</formula>
    </cfRule>
    <cfRule type="containsText" dxfId="755" priority="591" stopIfTrue="1" operator="containsText" text="(1)">
      <formula>NOT(ISERROR(SEARCH("(1)",W75)))</formula>
    </cfRule>
  </conditionalFormatting>
  <conditionalFormatting sqref="W76:AD76">
    <cfRule type="containsText" dxfId="754" priority="586" stopIfTrue="1" operator="containsText" text="(3)">
      <formula>NOT(ISERROR(SEARCH("(3)",W76)))</formula>
    </cfRule>
    <cfRule type="containsText" dxfId="753" priority="587" stopIfTrue="1" operator="containsText" text="(2)">
      <formula>NOT(ISERROR(SEARCH("(2)",W76)))</formula>
    </cfRule>
    <cfRule type="containsText" dxfId="752" priority="588" stopIfTrue="1" operator="containsText" text="(1)">
      <formula>NOT(ISERROR(SEARCH("(1)",W76)))</formula>
    </cfRule>
  </conditionalFormatting>
  <conditionalFormatting sqref="W77:AD77">
    <cfRule type="containsText" dxfId="751" priority="583" stopIfTrue="1" operator="containsText" text="(3)">
      <formula>NOT(ISERROR(SEARCH("(3)",W77)))</formula>
    </cfRule>
    <cfRule type="containsText" dxfId="750" priority="584" stopIfTrue="1" operator="containsText" text="(2)">
      <formula>NOT(ISERROR(SEARCH("(2)",W77)))</formula>
    </cfRule>
    <cfRule type="containsText" dxfId="749" priority="585" stopIfTrue="1" operator="containsText" text="(1)">
      <formula>NOT(ISERROR(SEARCH("(1)",W77)))</formula>
    </cfRule>
  </conditionalFormatting>
  <conditionalFormatting sqref="W78:AD78">
    <cfRule type="containsText" dxfId="748" priority="580" stopIfTrue="1" operator="containsText" text="(3)">
      <formula>NOT(ISERROR(SEARCH("(3)",W78)))</formula>
    </cfRule>
    <cfRule type="containsText" dxfId="747" priority="581" stopIfTrue="1" operator="containsText" text="(2)">
      <formula>NOT(ISERROR(SEARCH("(2)",W78)))</formula>
    </cfRule>
    <cfRule type="containsText" dxfId="746" priority="582" stopIfTrue="1" operator="containsText" text="(1)">
      <formula>NOT(ISERROR(SEARCH("(1)",W78)))</formula>
    </cfRule>
  </conditionalFormatting>
  <conditionalFormatting sqref="W79:AD79">
    <cfRule type="containsText" dxfId="745" priority="577" stopIfTrue="1" operator="containsText" text="(3)">
      <formula>NOT(ISERROR(SEARCH("(3)",W79)))</formula>
    </cfRule>
    <cfRule type="containsText" dxfId="744" priority="578" stopIfTrue="1" operator="containsText" text="(2)">
      <formula>NOT(ISERROR(SEARCH("(2)",W79)))</formula>
    </cfRule>
    <cfRule type="containsText" dxfId="743" priority="579" stopIfTrue="1" operator="containsText" text="(1)">
      <formula>NOT(ISERROR(SEARCH("(1)",W79)))</formula>
    </cfRule>
  </conditionalFormatting>
  <conditionalFormatting sqref="W80:AD80">
    <cfRule type="containsText" dxfId="742" priority="574" stopIfTrue="1" operator="containsText" text="(3)">
      <formula>NOT(ISERROR(SEARCH("(3)",W80)))</formula>
    </cfRule>
    <cfRule type="containsText" dxfId="741" priority="575" stopIfTrue="1" operator="containsText" text="(2)">
      <formula>NOT(ISERROR(SEARCH("(2)",W80)))</formula>
    </cfRule>
    <cfRule type="containsText" dxfId="740" priority="576" stopIfTrue="1" operator="containsText" text="(1)">
      <formula>NOT(ISERROR(SEARCH("(1)",W80)))</formula>
    </cfRule>
  </conditionalFormatting>
  <conditionalFormatting sqref="W81:AD81">
    <cfRule type="containsText" dxfId="739" priority="571" stopIfTrue="1" operator="containsText" text="(3)">
      <formula>NOT(ISERROR(SEARCH("(3)",W81)))</formula>
    </cfRule>
    <cfRule type="containsText" dxfId="738" priority="572" stopIfTrue="1" operator="containsText" text="(2)">
      <formula>NOT(ISERROR(SEARCH("(2)",W81)))</formula>
    </cfRule>
    <cfRule type="containsText" dxfId="737" priority="573" stopIfTrue="1" operator="containsText" text="(1)">
      <formula>NOT(ISERROR(SEARCH("(1)",W81)))</formula>
    </cfRule>
  </conditionalFormatting>
  <conditionalFormatting sqref="W82:AD82">
    <cfRule type="containsText" dxfId="736" priority="568" stopIfTrue="1" operator="containsText" text="(3)">
      <formula>NOT(ISERROR(SEARCH("(3)",W82)))</formula>
    </cfRule>
    <cfRule type="containsText" dxfId="735" priority="569" stopIfTrue="1" operator="containsText" text="(2)">
      <formula>NOT(ISERROR(SEARCH("(2)",W82)))</formula>
    </cfRule>
    <cfRule type="containsText" dxfId="734" priority="570" stopIfTrue="1" operator="containsText" text="(1)">
      <formula>NOT(ISERROR(SEARCH("(1)",W82)))</formula>
    </cfRule>
  </conditionalFormatting>
  <conditionalFormatting sqref="W83:AD83">
    <cfRule type="containsText" dxfId="733" priority="565" stopIfTrue="1" operator="containsText" text="(3)">
      <formula>NOT(ISERROR(SEARCH("(3)",W83)))</formula>
    </cfRule>
    <cfRule type="containsText" dxfId="732" priority="566" stopIfTrue="1" operator="containsText" text="(2)">
      <formula>NOT(ISERROR(SEARCH("(2)",W83)))</formula>
    </cfRule>
    <cfRule type="containsText" dxfId="731" priority="567" stopIfTrue="1" operator="containsText" text="(1)">
      <formula>NOT(ISERROR(SEARCH("(1)",W83)))</formula>
    </cfRule>
  </conditionalFormatting>
  <conditionalFormatting sqref="W84:AD84">
    <cfRule type="containsText" dxfId="730" priority="562" stopIfTrue="1" operator="containsText" text="(3)">
      <formula>NOT(ISERROR(SEARCH("(3)",W84)))</formula>
    </cfRule>
    <cfRule type="containsText" dxfId="729" priority="563" stopIfTrue="1" operator="containsText" text="(2)">
      <formula>NOT(ISERROR(SEARCH("(2)",W84)))</formula>
    </cfRule>
    <cfRule type="containsText" dxfId="728" priority="564" stopIfTrue="1" operator="containsText" text="(1)">
      <formula>NOT(ISERROR(SEARCH("(1)",W84)))</formula>
    </cfRule>
  </conditionalFormatting>
  <conditionalFormatting sqref="W85:AD85">
    <cfRule type="containsText" dxfId="727" priority="559" stopIfTrue="1" operator="containsText" text="(3)">
      <formula>NOT(ISERROR(SEARCH("(3)",W85)))</formula>
    </cfRule>
    <cfRule type="containsText" dxfId="726" priority="560" stopIfTrue="1" operator="containsText" text="(2)">
      <formula>NOT(ISERROR(SEARCH("(2)",W85)))</formula>
    </cfRule>
    <cfRule type="containsText" dxfId="725" priority="561" stopIfTrue="1" operator="containsText" text="(1)">
      <formula>NOT(ISERROR(SEARCH("(1)",W85)))</formula>
    </cfRule>
  </conditionalFormatting>
  <conditionalFormatting sqref="W86:AD86">
    <cfRule type="containsText" dxfId="724" priority="556" stopIfTrue="1" operator="containsText" text="(3)">
      <formula>NOT(ISERROR(SEARCH("(3)",W86)))</formula>
    </cfRule>
    <cfRule type="containsText" dxfId="723" priority="557" stopIfTrue="1" operator="containsText" text="(2)">
      <formula>NOT(ISERROR(SEARCH("(2)",W86)))</formula>
    </cfRule>
    <cfRule type="containsText" dxfId="722" priority="558" stopIfTrue="1" operator="containsText" text="(1)">
      <formula>NOT(ISERROR(SEARCH("(1)",W86)))</formula>
    </cfRule>
  </conditionalFormatting>
  <conditionalFormatting sqref="W87:AD87">
    <cfRule type="containsText" dxfId="721" priority="553" stopIfTrue="1" operator="containsText" text="(3)">
      <formula>NOT(ISERROR(SEARCH("(3)",W87)))</formula>
    </cfRule>
    <cfRule type="containsText" dxfId="720" priority="554" stopIfTrue="1" operator="containsText" text="(2)">
      <formula>NOT(ISERROR(SEARCH("(2)",W87)))</formula>
    </cfRule>
    <cfRule type="containsText" dxfId="719" priority="555" stopIfTrue="1" operator="containsText" text="(1)">
      <formula>NOT(ISERROR(SEARCH("(1)",W87)))</formula>
    </cfRule>
  </conditionalFormatting>
  <conditionalFormatting sqref="W88:AD88">
    <cfRule type="containsText" dxfId="718" priority="550" stopIfTrue="1" operator="containsText" text="(3)">
      <formula>NOT(ISERROR(SEARCH("(3)",W88)))</formula>
    </cfRule>
    <cfRule type="containsText" dxfId="717" priority="551" stopIfTrue="1" operator="containsText" text="(2)">
      <formula>NOT(ISERROR(SEARCH("(2)",W88)))</formula>
    </cfRule>
    <cfRule type="containsText" dxfId="716" priority="552" stopIfTrue="1" operator="containsText" text="(1)">
      <formula>NOT(ISERROR(SEARCH("(1)",W88)))</formula>
    </cfRule>
  </conditionalFormatting>
  <conditionalFormatting sqref="W89:AD89">
    <cfRule type="containsText" dxfId="715" priority="547" stopIfTrue="1" operator="containsText" text="(3)">
      <formula>NOT(ISERROR(SEARCH("(3)",W89)))</formula>
    </cfRule>
    <cfRule type="containsText" dxfId="714" priority="548" stopIfTrue="1" operator="containsText" text="(2)">
      <formula>NOT(ISERROR(SEARCH("(2)",W89)))</formula>
    </cfRule>
    <cfRule type="containsText" dxfId="713" priority="549" stopIfTrue="1" operator="containsText" text="(1)">
      <formula>NOT(ISERROR(SEARCH("(1)",W89)))</formula>
    </cfRule>
  </conditionalFormatting>
  <conditionalFormatting sqref="W90:AD90">
    <cfRule type="containsText" dxfId="712" priority="544" stopIfTrue="1" operator="containsText" text="(3)">
      <formula>NOT(ISERROR(SEARCH("(3)",W90)))</formula>
    </cfRule>
    <cfRule type="containsText" dxfId="711" priority="545" stopIfTrue="1" operator="containsText" text="(2)">
      <formula>NOT(ISERROR(SEARCH("(2)",W90)))</formula>
    </cfRule>
    <cfRule type="containsText" dxfId="710" priority="546" stopIfTrue="1" operator="containsText" text="(1)">
      <formula>NOT(ISERROR(SEARCH("(1)",W90)))</formula>
    </cfRule>
  </conditionalFormatting>
  <conditionalFormatting sqref="W91:AD91">
    <cfRule type="containsText" dxfId="709" priority="541" stopIfTrue="1" operator="containsText" text="(3)">
      <formula>NOT(ISERROR(SEARCH("(3)",W91)))</formula>
    </cfRule>
    <cfRule type="containsText" dxfId="708" priority="542" stopIfTrue="1" operator="containsText" text="(2)">
      <formula>NOT(ISERROR(SEARCH("(2)",W91)))</formula>
    </cfRule>
    <cfRule type="containsText" dxfId="707" priority="543" stopIfTrue="1" operator="containsText" text="(1)">
      <formula>NOT(ISERROR(SEARCH("(1)",W91)))</formula>
    </cfRule>
  </conditionalFormatting>
  <conditionalFormatting sqref="W92:AD92">
    <cfRule type="containsText" dxfId="706" priority="538" stopIfTrue="1" operator="containsText" text="(3)">
      <formula>NOT(ISERROR(SEARCH("(3)",W92)))</formula>
    </cfRule>
    <cfRule type="containsText" dxfId="705" priority="539" stopIfTrue="1" operator="containsText" text="(2)">
      <formula>NOT(ISERROR(SEARCH("(2)",W92)))</formula>
    </cfRule>
    <cfRule type="containsText" dxfId="704" priority="540" stopIfTrue="1" operator="containsText" text="(1)">
      <formula>NOT(ISERROR(SEARCH("(1)",W92)))</formula>
    </cfRule>
  </conditionalFormatting>
  <conditionalFormatting sqref="W93:AD93">
    <cfRule type="containsText" dxfId="703" priority="535" stopIfTrue="1" operator="containsText" text="(3)">
      <formula>NOT(ISERROR(SEARCH("(3)",W93)))</formula>
    </cfRule>
    <cfRule type="containsText" dxfId="702" priority="536" stopIfTrue="1" operator="containsText" text="(2)">
      <formula>NOT(ISERROR(SEARCH("(2)",W93)))</formula>
    </cfRule>
    <cfRule type="containsText" dxfId="701" priority="537" stopIfTrue="1" operator="containsText" text="(1)">
      <formula>NOT(ISERROR(SEARCH("(1)",W93)))</formula>
    </cfRule>
  </conditionalFormatting>
  <conditionalFormatting sqref="W94:AD94">
    <cfRule type="containsText" dxfId="700" priority="532" stopIfTrue="1" operator="containsText" text="(3)">
      <formula>NOT(ISERROR(SEARCH("(3)",W94)))</formula>
    </cfRule>
    <cfRule type="containsText" dxfId="699" priority="533" stopIfTrue="1" operator="containsText" text="(2)">
      <formula>NOT(ISERROR(SEARCH("(2)",W94)))</formula>
    </cfRule>
    <cfRule type="containsText" dxfId="698" priority="534" stopIfTrue="1" operator="containsText" text="(1)">
      <formula>NOT(ISERROR(SEARCH("(1)",W94)))</formula>
    </cfRule>
  </conditionalFormatting>
  <conditionalFormatting sqref="W95:AD95">
    <cfRule type="containsText" dxfId="697" priority="529" stopIfTrue="1" operator="containsText" text="(3)">
      <formula>NOT(ISERROR(SEARCH("(3)",W95)))</formula>
    </cfRule>
    <cfRule type="containsText" dxfId="696" priority="530" stopIfTrue="1" operator="containsText" text="(2)">
      <formula>NOT(ISERROR(SEARCH("(2)",W95)))</formula>
    </cfRule>
    <cfRule type="containsText" dxfId="695" priority="531" stopIfTrue="1" operator="containsText" text="(1)">
      <formula>NOT(ISERROR(SEARCH("(1)",W95)))</formula>
    </cfRule>
  </conditionalFormatting>
  <conditionalFormatting sqref="W96:AD96">
    <cfRule type="containsText" dxfId="694" priority="526" stopIfTrue="1" operator="containsText" text="(3)">
      <formula>NOT(ISERROR(SEARCH("(3)",W96)))</formula>
    </cfRule>
    <cfRule type="containsText" dxfId="693" priority="527" stopIfTrue="1" operator="containsText" text="(2)">
      <formula>NOT(ISERROR(SEARCH("(2)",W96)))</formula>
    </cfRule>
    <cfRule type="containsText" dxfId="692" priority="528" stopIfTrue="1" operator="containsText" text="(1)">
      <formula>NOT(ISERROR(SEARCH("(1)",W96)))</formula>
    </cfRule>
  </conditionalFormatting>
  <conditionalFormatting sqref="W97:AD97">
    <cfRule type="containsText" dxfId="691" priority="523" stopIfTrue="1" operator="containsText" text="(3)">
      <formula>NOT(ISERROR(SEARCH("(3)",W97)))</formula>
    </cfRule>
    <cfRule type="containsText" dxfId="690" priority="524" stopIfTrue="1" operator="containsText" text="(2)">
      <formula>NOT(ISERROR(SEARCH("(2)",W97)))</formula>
    </cfRule>
    <cfRule type="containsText" dxfId="689" priority="525" stopIfTrue="1" operator="containsText" text="(1)">
      <formula>NOT(ISERROR(SEARCH("(1)",W97)))</formula>
    </cfRule>
  </conditionalFormatting>
  <conditionalFormatting sqref="W98:AD98">
    <cfRule type="containsText" dxfId="688" priority="520" stopIfTrue="1" operator="containsText" text="(3)">
      <formula>NOT(ISERROR(SEARCH("(3)",W98)))</formula>
    </cfRule>
    <cfRule type="containsText" dxfId="687" priority="521" stopIfTrue="1" operator="containsText" text="(2)">
      <formula>NOT(ISERROR(SEARCH("(2)",W98)))</formula>
    </cfRule>
    <cfRule type="containsText" dxfId="686" priority="522" stopIfTrue="1" operator="containsText" text="(1)">
      <formula>NOT(ISERROR(SEARCH("(1)",W98)))</formula>
    </cfRule>
  </conditionalFormatting>
  <conditionalFormatting sqref="W99:AD99">
    <cfRule type="containsText" dxfId="685" priority="517" stopIfTrue="1" operator="containsText" text="(3)">
      <formula>NOT(ISERROR(SEARCH("(3)",W99)))</formula>
    </cfRule>
    <cfRule type="containsText" dxfId="684" priority="518" stopIfTrue="1" operator="containsText" text="(2)">
      <formula>NOT(ISERROR(SEARCH("(2)",W99)))</formula>
    </cfRule>
    <cfRule type="containsText" dxfId="683" priority="519" stopIfTrue="1" operator="containsText" text="(1)">
      <formula>NOT(ISERROR(SEARCH("(1)",W99)))</formula>
    </cfRule>
  </conditionalFormatting>
  <conditionalFormatting sqref="W100:AD100">
    <cfRule type="containsText" dxfId="682" priority="514" stopIfTrue="1" operator="containsText" text="(3)">
      <formula>NOT(ISERROR(SEARCH("(3)",W100)))</formula>
    </cfRule>
    <cfRule type="containsText" dxfId="681" priority="515" stopIfTrue="1" operator="containsText" text="(2)">
      <formula>NOT(ISERROR(SEARCH("(2)",W100)))</formula>
    </cfRule>
    <cfRule type="containsText" dxfId="680" priority="516" stopIfTrue="1" operator="containsText" text="(1)">
      <formula>NOT(ISERROR(SEARCH("(1)",W100)))</formula>
    </cfRule>
  </conditionalFormatting>
  <conditionalFormatting sqref="W101:AD101">
    <cfRule type="containsText" dxfId="679" priority="511" stopIfTrue="1" operator="containsText" text="(3)">
      <formula>NOT(ISERROR(SEARCH("(3)",W101)))</formula>
    </cfRule>
    <cfRule type="containsText" dxfId="678" priority="512" stopIfTrue="1" operator="containsText" text="(2)">
      <formula>NOT(ISERROR(SEARCH("(2)",W101)))</formula>
    </cfRule>
    <cfRule type="containsText" dxfId="677" priority="513" stopIfTrue="1" operator="containsText" text="(1)">
      <formula>NOT(ISERROR(SEARCH("(1)",W101)))</formula>
    </cfRule>
  </conditionalFormatting>
  <conditionalFormatting sqref="W102:AD102">
    <cfRule type="containsText" dxfId="676" priority="508" stopIfTrue="1" operator="containsText" text="(3)">
      <formula>NOT(ISERROR(SEARCH("(3)",W102)))</formula>
    </cfRule>
    <cfRule type="containsText" dxfId="675" priority="509" stopIfTrue="1" operator="containsText" text="(2)">
      <formula>NOT(ISERROR(SEARCH("(2)",W102)))</formula>
    </cfRule>
    <cfRule type="containsText" dxfId="674" priority="510" stopIfTrue="1" operator="containsText" text="(1)">
      <formula>NOT(ISERROR(SEARCH("(1)",W102)))</formula>
    </cfRule>
  </conditionalFormatting>
  <conditionalFormatting sqref="W103:AD103">
    <cfRule type="containsText" dxfId="673" priority="505" stopIfTrue="1" operator="containsText" text="(3)">
      <formula>NOT(ISERROR(SEARCH("(3)",W103)))</formula>
    </cfRule>
    <cfRule type="containsText" dxfId="672" priority="506" stopIfTrue="1" operator="containsText" text="(2)">
      <formula>NOT(ISERROR(SEARCH("(2)",W103)))</formula>
    </cfRule>
    <cfRule type="containsText" dxfId="671" priority="507" stopIfTrue="1" operator="containsText" text="(1)">
      <formula>NOT(ISERROR(SEARCH("(1)",W103)))</formula>
    </cfRule>
  </conditionalFormatting>
  <conditionalFormatting sqref="W104:AD104">
    <cfRule type="containsText" dxfId="670" priority="502" stopIfTrue="1" operator="containsText" text="(3)">
      <formula>NOT(ISERROR(SEARCH("(3)",W104)))</formula>
    </cfRule>
    <cfRule type="containsText" dxfId="669" priority="503" stopIfTrue="1" operator="containsText" text="(2)">
      <formula>NOT(ISERROR(SEARCH("(2)",W104)))</formula>
    </cfRule>
    <cfRule type="containsText" dxfId="668" priority="504" stopIfTrue="1" operator="containsText" text="(1)">
      <formula>NOT(ISERROR(SEARCH("(1)",W104)))</formula>
    </cfRule>
  </conditionalFormatting>
  <conditionalFormatting sqref="W105:AD105">
    <cfRule type="containsText" dxfId="667" priority="499" stopIfTrue="1" operator="containsText" text="(3)">
      <formula>NOT(ISERROR(SEARCH("(3)",W105)))</formula>
    </cfRule>
    <cfRule type="containsText" dxfId="666" priority="500" stopIfTrue="1" operator="containsText" text="(2)">
      <formula>NOT(ISERROR(SEARCH("(2)",W105)))</formula>
    </cfRule>
    <cfRule type="containsText" dxfId="665" priority="501" stopIfTrue="1" operator="containsText" text="(1)">
      <formula>NOT(ISERROR(SEARCH("(1)",W105)))</formula>
    </cfRule>
  </conditionalFormatting>
  <conditionalFormatting sqref="W106:AD106">
    <cfRule type="containsText" dxfId="664" priority="496" stopIfTrue="1" operator="containsText" text="(3)">
      <formula>NOT(ISERROR(SEARCH("(3)",W106)))</formula>
    </cfRule>
    <cfRule type="containsText" dxfId="663" priority="497" stopIfTrue="1" operator="containsText" text="(2)">
      <formula>NOT(ISERROR(SEARCH("(2)",W106)))</formula>
    </cfRule>
    <cfRule type="containsText" dxfId="662" priority="498" stopIfTrue="1" operator="containsText" text="(1)">
      <formula>NOT(ISERROR(SEARCH("(1)",W106)))</formula>
    </cfRule>
  </conditionalFormatting>
  <conditionalFormatting sqref="W107:AD107">
    <cfRule type="containsText" dxfId="661" priority="493" stopIfTrue="1" operator="containsText" text="(3)">
      <formula>NOT(ISERROR(SEARCH("(3)",W107)))</formula>
    </cfRule>
    <cfRule type="containsText" dxfId="660" priority="494" stopIfTrue="1" operator="containsText" text="(2)">
      <formula>NOT(ISERROR(SEARCH("(2)",W107)))</formula>
    </cfRule>
    <cfRule type="containsText" dxfId="659" priority="495" stopIfTrue="1" operator="containsText" text="(1)">
      <formula>NOT(ISERROR(SEARCH("(1)",W107)))</formula>
    </cfRule>
  </conditionalFormatting>
  <conditionalFormatting sqref="W108:AD108">
    <cfRule type="containsText" dxfId="658" priority="490" stopIfTrue="1" operator="containsText" text="(3)">
      <formula>NOT(ISERROR(SEARCH("(3)",W108)))</formula>
    </cfRule>
    <cfRule type="containsText" dxfId="657" priority="491" stopIfTrue="1" operator="containsText" text="(2)">
      <formula>NOT(ISERROR(SEARCH("(2)",W108)))</formula>
    </cfRule>
    <cfRule type="containsText" dxfId="656" priority="492" stopIfTrue="1" operator="containsText" text="(1)">
      <formula>NOT(ISERROR(SEARCH("(1)",W108)))</formula>
    </cfRule>
  </conditionalFormatting>
  <conditionalFormatting sqref="W109:AD109">
    <cfRule type="containsText" dxfId="655" priority="484" stopIfTrue="1" operator="containsText" text="(3)">
      <formula>NOT(ISERROR(SEARCH("(3)",W109)))</formula>
    </cfRule>
    <cfRule type="containsText" dxfId="654" priority="485" stopIfTrue="1" operator="containsText" text="(2)">
      <formula>NOT(ISERROR(SEARCH("(2)",W109)))</formula>
    </cfRule>
    <cfRule type="containsText" dxfId="653" priority="486" stopIfTrue="1" operator="containsText" text="(1)">
      <formula>NOT(ISERROR(SEARCH("(1)",W109)))</formula>
    </cfRule>
  </conditionalFormatting>
  <conditionalFormatting sqref="W110:AD110">
    <cfRule type="containsText" dxfId="652" priority="481" stopIfTrue="1" operator="containsText" text="(3)">
      <formula>NOT(ISERROR(SEARCH("(3)",W110)))</formula>
    </cfRule>
    <cfRule type="containsText" dxfId="651" priority="482" stopIfTrue="1" operator="containsText" text="(2)">
      <formula>NOT(ISERROR(SEARCH("(2)",W110)))</formula>
    </cfRule>
    <cfRule type="containsText" dxfId="650" priority="483" stopIfTrue="1" operator="containsText" text="(1)">
      <formula>NOT(ISERROR(SEARCH("(1)",W110)))</formula>
    </cfRule>
  </conditionalFormatting>
  <conditionalFormatting sqref="W111:AD111">
    <cfRule type="containsText" dxfId="649" priority="478" stopIfTrue="1" operator="containsText" text="(3)">
      <formula>NOT(ISERROR(SEARCH("(3)",W111)))</formula>
    </cfRule>
    <cfRule type="containsText" dxfId="648" priority="479" stopIfTrue="1" operator="containsText" text="(2)">
      <formula>NOT(ISERROR(SEARCH("(2)",W111)))</formula>
    </cfRule>
    <cfRule type="containsText" dxfId="647" priority="480" stopIfTrue="1" operator="containsText" text="(1)">
      <formula>NOT(ISERROR(SEARCH("(1)",W111)))</formula>
    </cfRule>
  </conditionalFormatting>
  <conditionalFormatting sqref="W112:AD112">
    <cfRule type="containsText" dxfId="646" priority="472" stopIfTrue="1" operator="containsText" text="(3)">
      <formula>NOT(ISERROR(SEARCH("(3)",W112)))</formula>
    </cfRule>
    <cfRule type="containsText" dxfId="645" priority="473" stopIfTrue="1" operator="containsText" text="(2)">
      <formula>NOT(ISERROR(SEARCH("(2)",W112)))</formula>
    </cfRule>
    <cfRule type="containsText" dxfId="644" priority="474" stopIfTrue="1" operator="containsText" text="(1)">
      <formula>NOT(ISERROR(SEARCH("(1)",W112)))</formula>
    </cfRule>
  </conditionalFormatting>
  <conditionalFormatting sqref="W113:AD113">
    <cfRule type="containsText" dxfId="643" priority="469" stopIfTrue="1" operator="containsText" text="(3)">
      <formula>NOT(ISERROR(SEARCH("(3)",W113)))</formula>
    </cfRule>
    <cfRule type="containsText" dxfId="642" priority="470" stopIfTrue="1" operator="containsText" text="(2)">
      <formula>NOT(ISERROR(SEARCH("(2)",W113)))</formula>
    </cfRule>
    <cfRule type="containsText" dxfId="641" priority="471" stopIfTrue="1" operator="containsText" text="(1)">
      <formula>NOT(ISERROR(SEARCH("(1)",W113)))</formula>
    </cfRule>
  </conditionalFormatting>
  <conditionalFormatting sqref="W114:AD114">
    <cfRule type="containsText" dxfId="640" priority="466" stopIfTrue="1" operator="containsText" text="(3)">
      <formula>NOT(ISERROR(SEARCH("(3)",W114)))</formula>
    </cfRule>
    <cfRule type="containsText" dxfId="639" priority="467" stopIfTrue="1" operator="containsText" text="(2)">
      <formula>NOT(ISERROR(SEARCH("(2)",W114)))</formula>
    </cfRule>
    <cfRule type="containsText" dxfId="638" priority="468" stopIfTrue="1" operator="containsText" text="(1)">
      <formula>NOT(ISERROR(SEARCH("(1)",W114)))</formula>
    </cfRule>
  </conditionalFormatting>
  <conditionalFormatting sqref="W115:AD115">
    <cfRule type="containsText" dxfId="637" priority="463" stopIfTrue="1" operator="containsText" text="(3)">
      <formula>NOT(ISERROR(SEARCH("(3)",W115)))</formula>
    </cfRule>
    <cfRule type="containsText" dxfId="636" priority="464" stopIfTrue="1" operator="containsText" text="(2)">
      <formula>NOT(ISERROR(SEARCH("(2)",W115)))</formula>
    </cfRule>
    <cfRule type="containsText" dxfId="635" priority="465" stopIfTrue="1" operator="containsText" text="(1)">
      <formula>NOT(ISERROR(SEARCH("(1)",W115)))</formula>
    </cfRule>
  </conditionalFormatting>
  <conditionalFormatting sqref="W116:AD116">
    <cfRule type="containsText" dxfId="634" priority="460" stopIfTrue="1" operator="containsText" text="(3)">
      <formula>NOT(ISERROR(SEARCH("(3)",W116)))</formula>
    </cfRule>
    <cfRule type="containsText" dxfId="633" priority="461" stopIfTrue="1" operator="containsText" text="(2)">
      <formula>NOT(ISERROR(SEARCH("(2)",W116)))</formula>
    </cfRule>
    <cfRule type="containsText" dxfId="632" priority="462" stopIfTrue="1" operator="containsText" text="(1)">
      <formula>NOT(ISERROR(SEARCH("(1)",W116)))</formula>
    </cfRule>
  </conditionalFormatting>
  <conditionalFormatting sqref="W117:AD117">
    <cfRule type="containsText" dxfId="631" priority="457" stopIfTrue="1" operator="containsText" text="(3)">
      <formula>NOT(ISERROR(SEARCH("(3)",W117)))</formula>
    </cfRule>
    <cfRule type="containsText" dxfId="630" priority="458" stopIfTrue="1" operator="containsText" text="(2)">
      <formula>NOT(ISERROR(SEARCH("(2)",W117)))</formula>
    </cfRule>
    <cfRule type="containsText" dxfId="629" priority="459" stopIfTrue="1" operator="containsText" text="(1)">
      <formula>NOT(ISERROR(SEARCH("(1)",W117)))</formula>
    </cfRule>
  </conditionalFormatting>
  <conditionalFormatting sqref="W118:AD118">
    <cfRule type="containsText" dxfId="628" priority="454" stopIfTrue="1" operator="containsText" text="(3)">
      <formula>NOT(ISERROR(SEARCH("(3)",W118)))</formula>
    </cfRule>
    <cfRule type="containsText" dxfId="627" priority="455" stopIfTrue="1" operator="containsText" text="(2)">
      <formula>NOT(ISERROR(SEARCH("(2)",W118)))</formula>
    </cfRule>
    <cfRule type="containsText" dxfId="626" priority="456" stopIfTrue="1" operator="containsText" text="(1)">
      <formula>NOT(ISERROR(SEARCH("(1)",W118)))</formula>
    </cfRule>
  </conditionalFormatting>
  <conditionalFormatting sqref="W119:AD119">
    <cfRule type="containsText" dxfId="625" priority="451" stopIfTrue="1" operator="containsText" text="(3)">
      <formula>NOT(ISERROR(SEARCH("(3)",W119)))</formula>
    </cfRule>
    <cfRule type="containsText" dxfId="624" priority="452" stopIfTrue="1" operator="containsText" text="(2)">
      <formula>NOT(ISERROR(SEARCH("(2)",W119)))</formula>
    </cfRule>
    <cfRule type="containsText" dxfId="623" priority="453" stopIfTrue="1" operator="containsText" text="(1)">
      <formula>NOT(ISERROR(SEARCH("(1)",W119)))</formula>
    </cfRule>
  </conditionalFormatting>
  <conditionalFormatting sqref="W120:AD120">
    <cfRule type="containsText" dxfId="622" priority="448" stopIfTrue="1" operator="containsText" text="(3)">
      <formula>NOT(ISERROR(SEARCH("(3)",W120)))</formula>
    </cfRule>
    <cfRule type="containsText" dxfId="621" priority="449" stopIfTrue="1" operator="containsText" text="(2)">
      <formula>NOT(ISERROR(SEARCH("(2)",W120)))</formula>
    </cfRule>
    <cfRule type="containsText" dxfId="620" priority="450" stopIfTrue="1" operator="containsText" text="(1)">
      <formula>NOT(ISERROR(SEARCH("(1)",W120)))</formula>
    </cfRule>
  </conditionalFormatting>
  <conditionalFormatting sqref="W121:AD121">
    <cfRule type="containsText" dxfId="619" priority="445" stopIfTrue="1" operator="containsText" text="(3)">
      <formula>NOT(ISERROR(SEARCH("(3)",W121)))</formula>
    </cfRule>
    <cfRule type="containsText" dxfId="618" priority="446" stopIfTrue="1" operator="containsText" text="(2)">
      <formula>NOT(ISERROR(SEARCH("(2)",W121)))</formula>
    </cfRule>
    <cfRule type="containsText" dxfId="617" priority="447" stopIfTrue="1" operator="containsText" text="(1)">
      <formula>NOT(ISERROR(SEARCH("(1)",W121)))</formula>
    </cfRule>
  </conditionalFormatting>
  <conditionalFormatting sqref="W122:AD122">
    <cfRule type="containsText" dxfId="616" priority="442" stopIfTrue="1" operator="containsText" text="(3)">
      <formula>NOT(ISERROR(SEARCH("(3)",W122)))</formula>
    </cfRule>
    <cfRule type="containsText" dxfId="615" priority="443" stopIfTrue="1" operator="containsText" text="(2)">
      <formula>NOT(ISERROR(SEARCH("(2)",W122)))</formula>
    </cfRule>
    <cfRule type="containsText" dxfId="614" priority="444" stopIfTrue="1" operator="containsText" text="(1)">
      <formula>NOT(ISERROR(SEARCH("(1)",W122)))</formula>
    </cfRule>
  </conditionalFormatting>
  <conditionalFormatting sqref="W123:AD123">
    <cfRule type="containsText" dxfId="613" priority="439" stopIfTrue="1" operator="containsText" text="(3)">
      <formula>NOT(ISERROR(SEARCH("(3)",W123)))</formula>
    </cfRule>
    <cfRule type="containsText" dxfId="612" priority="440" stopIfTrue="1" operator="containsText" text="(2)">
      <formula>NOT(ISERROR(SEARCH("(2)",W123)))</formula>
    </cfRule>
    <cfRule type="containsText" dxfId="611" priority="441" stopIfTrue="1" operator="containsText" text="(1)">
      <formula>NOT(ISERROR(SEARCH("(1)",W123)))</formula>
    </cfRule>
  </conditionalFormatting>
  <conditionalFormatting sqref="W124:AD124">
    <cfRule type="containsText" dxfId="610" priority="436" stopIfTrue="1" operator="containsText" text="(3)">
      <formula>NOT(ISERROR(SEARCH("(3)",W124)))</formula>
    </cfRule>
    <cfRule type="containsText" dxfId="609" priority="437" stopIfTrue="1" operator="containsText" text="(2)">
      <formula>NOT(ISERROR(SEARCH("(2)",W124)))</formula>
    </cfRule>
    <cfRule type="containsText" dxfId="608" priority="438" stopIfTrue="1" operator="containsText" text="(1)">
      <formula>NOT(ISERROR(SEARCH("(1)",W124)))</formula>
    </cfRule>
  </conditionalFormatting>
  <conditionalFormatting sqref="W125:AD125">
    <cfRule type="containsText" dxfId="607" priority="433" stopIfTrue="1" operator="containsText" text="(3)">
      <formula>NOT(ISERROR(SEARCH("(3)",W125)))</formula>
    </cfRule>
    <cfRule type="containsText" dxfId="606" priority="434" stopIfTrue="1" operator="containsText" text="(2)">
      <formula>NOT(ISERROR(SEARCH("(2)",W125)))</formula>
    </cfRule>
    <cfRule type="containsText" dxfId="605" priority="435" stopIfTrue="1" operator="containsText" text="(1)">
      <formula>NOT(ISERROR(SEARCH("(1)",W125)))</formula>
    </cfRule>
  </conditionalFormatting>
  <conditionalFormatting sqref="W126:AD126">
    <cfRule type="containsText" dxfId="604" priority="430" stopIfTrue="1" operator="containsText" text="(3)">
      <formula>NOT(ISERROR(SEARCH("(3)",W126)))</formula>
    </cfRule>
    <cfRule type="containsText" dxfId="603" priority="431" stopIfTrue="1" operator="containsText" text="(2)">
      <formula>NOT(ISERROR(SEARCH("(2)",W126)))</formula>
    </cfRule>
    <cfRule type="containsText" dxfId="602" priority="432" stopIfTrue="1" operator="containsText" text="(1)">
      <formula>NOT(ISERROR(SEARCH("(1)",W126)))</formula>
    </cfRule>
  </conditionalFormatting>
  <conditionalFormatting sqref="W127:AD127">
    <cfRule type="containsText" dxfId="601" priority="427" stopIfTrue="1" operator="containsText" text="(3)">
      <formula>NOT(ISERROR(SEARCH("(3)",W127)))</formula>
    </cfRule>
    <cfRule type="containsText" dxfId="600" priority="428" stopIfTrue="1" operator="containsText" text="(2)">
      <formula>NOT(ISERROR(SEARCH("(2)",W127)))</formula>
    </cfRule>
    <cfRule type="containsText" dxfId="599" priority="429" stopIfTrue="1" operator="containsText" text="(1)">
      <formula>NOT(ISERROR(SEARCH("(1)",W127)))</formula>
    </cfRule>
  </conditionalFormatting>
  <conditionalFormatting sqref="W128:AD128">
    <cfRule type="containsText" dxfId="598" priority="424" stopIfTrue="1" operator="containsText" text="(3)">
      <formula>NOT(ISERROR(SEARCH("(3)",W128)))</formula>
    </cfRule>
    <cfRule type="containsText" dxfId="597" priority="425" stopIfTrue="1" operator="containsText" text="(2)">
      <formula>NOT(ISERROR(SEARCH("(2)",W128)))</formula>
    </cfRule>
    <cfRule type="containsText" dxfId="596" priority="426" stopIfTrue="1" operator="containsText" text="(1)">
      <formula>NOT(ISERROR(SEARCH("(1)",W128)))</formula>
    </cfRule>
  </conditionalFormatting>
  <conditionalFormatting sqref="W129:AD129">
    <cfRule type="containsText" dxfId="595" priority="421" stopIfTrue="1" operator="containsText" text="(3)">
      <formula>NOT(ISERROR(SEARCH("(3)",W129)))</formula>
    </cfRule>
    <cfRule type="containsText" dxfId="594" priority="422" stopIfTrue="1" operator="containsText" text="(2)">
      <formula>NOT(ISERROR(SEARCH("(2)",W129)))</formula>
    </cfRule>
    <cfRule type="containsText" dxfId="593" priority="423" stopIfTrue="1" operator="containsText" text="(1)">
      <formula>NOT(ISERROR(SEARCH("(1)",W129)))</formula>
    </cfRule>
  </conditionalFormatting>
  <conditionalFormatting sqref="W130:AD130">
    <cfRule type="containsText" dxfId="592" priority="418" stopIfTrue="1" operator="containsText" text="(3)">
      <formula>NOT(ISERROR(SEARCH("(3)",W130)))</formula>
    </cfRule>
    <cfRule type="containsText" dxfId="591" priority="419" stopIfTrue="1" operator="containsText" text="(2)">
      <formula>NOT(ISERROR(SEARCH("(2)",W130)))</formula>
    </cfRule>
    <cfRule type="containsText" dxfId="590" priority="420" stopIfTrue="1" operator="containsText" text="(1)">
      <formula>NOT(ISERROR(SEARCH("(1)",W130)))</formula>
    </cfRule>
  </conditionalFormatting>
  <conditionalFormatting sqref="W131:AD131">
    <cfRule type="containsText" dxfId="589" priority="415" stopIfTrue="1" operator="containsText" text="(3)">
      <formula>NOT(ISERROR(SEARCH("(3)",W131)))</formula>
    </cfRule>
    <cfRule type="containsText" dxfId="588" priority="416" stopIfTrue="1" operator="containsText" text="(2)">
      <formula>NOT(ISERROR(SEARCH("(2)",W131)))</formula>
    </cfRule>
    <cfRule type="containsText" dxfId="587" priority="417" stopIfTrue="1" operator="containsText" text="(1)">
      <formula>NOT(ISERROR(SEARCH("(1)",W131)))</formula>
    </cfRule>
  </conditionalFormatting>
  <conditionalFormatting sqref="W132:AD132">
    <cfRule type="containsText" dxfId="586" priority="412" stopIfTrue="1" operator="containsText" text="(3)">
      <formula>NOT(ISERROR(SEARCH("(3)",W132)))</formula>
    </cfRule>
    <cfRule type="containsText" dxfId="585" priority="413" stopIfTrue="1" operator="containsText" text="(2)">
      <formula>NOT(ISERROR(SEARCH("(2)",W132)))</formula>
    </cfRule>
    <cfRule type="containsText" dxfId="584" priority="414" stopIfTrue="1" operator="containsText" text="(1)">
      <formula>NOT(ISERROR(SEARCH("(1)",W132)))</formula>
    </cfRule>
  </conditionalFormatting>
  <conditionalFormatting sqref="W133:AD133">
    <cfRule type="containsText" dxfId="583" priority="409" stopIfTrue="1" operator="containsText" text="(3)">
      <formula>NOT(ISERROR(SEARCH("(3)",W133)))</formula>
    </cfRule>
    <cfRule type="containsText" dxfId="582" priority="410" stopIfTrue="1" operator="containsText" text="(2)">
      <formula>NOT(ISERROR(SEARCH("(2)",W133)))</formula>
    </cfRule>
    <cfRule type="containsText" dxfId="581" priority="411" stopIfTrue="1" operator="containsText" text="(1)">
      <formula>NOT(ISERROR(SEARCH("(1)",W133)))</formula>
    </cfRule>
  </conditionalFormatting>
  <conditionalFormatting sqref="W134:AD134">
    <cfRule type="containsText" dxfId="580" priority="406" stopIfTrue="1" operator="containsText" text="(3)">
      <formula>NOT(ISERROR(SEARCH("(3)",W134)))</formula>
    </cfRule>
    <cfRule type="containsText" dxfId="579" priority="407" stopIfTrue="1" operator="containsText" text="(2)">
      <formula>NOT(ISERROR(SEARCH("(2)",W134)))</formula>
    </cfRule>
    <cfRule type="containsText" dxfId="578" priority="408" stopIfTrue="1" operator="containsText" text="(1)">
      <formula>NOT(ISERROR(SEARCH("(1)",W134)))</formula>
    </cfRule>
  </conditionalFormatting>
  <conditionalFormatting sqref="W135:AD135">
    <cfRule type="containsText" dxfId="577" priority="403" stopIfTrue="1" operator="containsText" text="(3)">
      <formula>NOT(ISERROR(SEARCH("(3)",W135)))</formula>
    </cfRule>
    <cfRule type="containsText" dxfId="576" priority="404" stopIfTrue="1" operator="containsText" text="(2)">
      <formula>NOT(ISERROR(SEARCH("(2)",W135)))</formula>
    </cfRule>
    <cfRule type="containsText" dxfId="575" priority="405" stopIfTrue="1" operator="containsText" text="(1)">
      <formula>NOT(ISERROR(SEARCH("(1)",W135)))</formula>
    </cfRule>
  </conditionalFormatting>
  <conditionalFormatting sqref="W136:AD136">
    <cfRule type="containsText" dxfId="574" priority="400" stopIfTrue="1" operator="containsText" text="(3)">
      <formula>NOT(ISERROR(SEARCH("(3)",W136)))</formula>
    </cfRule>
    <cfRule type="containsText" dxfId="573" priority="401" stopIfTrue="1" operator="containsText" text="(2)">
      <formula>NOT(ISERROR(SEARCH("(2)",W136)))</formula>
    </cfRule>
    <cfRule type="containsText" dxfId="572" priority="402" stopIfTrue="1" operator="containsText" text="(1)">
      <formula>NOT(ISERROR(SEARCH("(1)",W136)))</formula>
    </cfRule>
  </conditionalFormatting>
  <conditionalFormatting sqref="W137:AD137">
    <cfRule type="containsText" dxfId="571" priority="397" stopIfTrue="1" operator="containsText" text="(3)">
      <formula>NOT(ISERROR(SEARCH("(3)",W137)))</formula>
    </cfRule>
    <cfRule type="containsText" dxfId="570" priority="398" stopIfTrue="1" operator="containsText" text="(2)">
      <formula>NOT(ISERROR(SEARCH("(2)",W137)))</formula>
    </cfRule>
    <cfRule type="containsText" dxfId="569" priority="399" stopIfTrue="1" operator="containsText" text="(1)">
      <formula>NOT(ISERROR(SEARCH("(1)",W137)))</formula>
    </cfRule>
  </conditionalFormatting>
  <conditionalFormatting sqref="W138:AD138">
    <cfRule type="containsText" dxfId="568" priority="394" stopIfTrue="1" operator="containsText" text="(3)">
      <formula>NOT(ISERROR(SEARCH("(3)",W138)))</formula>
    </cfRule>
    <cfRule type="containsText" dxfId="567" priority="395" stopIfTrue="1" operator="containsText" text="(2)">
      <formula>NOT(ISERROR(SEARCH("(2)",W138)))</formula>
    </cfRule>
    <cfRule type="containsText" dxfId="566" priority="396" stopIfTrue="1" operator="containsText" text="(1)">
      <formula>NOT(ISERROR(SEARCH("(1)",W138)))</formula>
    </cfRule>
  </conditionalFormatting>
  <conditionalFormatting sqref="W139:AD139">
    <cfRule type="containsText" dxfId="565" priority="391" stopIfTrue="1" operator="containsText" text="(3)">
      <formula>NOT(ISERROR(SEARCH("(3)",W139)))</formula>
    </cfRule>
    <cfRule type="containsText" dxfId="564" priority="392" stopIfTrue="1" operator="containsText" text="(2)">
      <formula>NOT(ISERROR(SEARCH("(2)",W139)))</formula>
    </cfRule>
    <cfRule type="containsText" dxfId="563" priority="393" stopIfTrue="1" operator="containsText" text="(1)">
      <formula>NOT(ISERROR(SEARCH("(1)",W139)))</formula>
    </cfRule>
  </conditionalFormatting>
  <conditionalFormatting sqref="W140:AD140">
    <cfRule type="containsText" dxfId="562" priority="388" stopIfTrue="1" operator="containsText" text="(3)">
      <formula>NOT(ISERROR(SEARCH("(3)",W140)))</formula>
    </cfRule>
    <cfRule type="containsText" dxfId="561" priority="389" stopIfTrue="1" operator="containsText" text="(2)">
      <formula>NOT(ISERROR(SEARCH("(2)",W140)))</formula>
    </cfRule>
    <cfRule type="containsText" dxfId="560" priority="390" stopIfTrue="1" operator="containsText" text="(1)">
      <formula>NOT(ISERROR(SEARCH("(1)",W140)))</formula>
    </cfRule>
  </conditionalFormatting>
  <conditionalFormatting sqref="W141:AD141">
    <cfRule type="containsText" dxfId="559" priority="385" stopIfTrue="1" operator="containsText" text="(3)">
      <formula>NOT(ISERROR(SEARCH("(3)",W141)))</formula>
    </cfRule>
    <cfRule type="containsText" dxfId="558" priority="386" stopIfTrue="1" operator="containsText" text="(2)">
      <formula>NOT(ISERROR(SEARCH("(2)",W141)))</formula>
    </cfRule>
    <cfRule type="containsText" dxfId="557" priority="387" stopIfTrue="1" operator="containsText" text="(1)">
      <formula>NOT(ISERROR(SEARCH("(1)",W141)))</formula>
    </cfRule>
  </conditionalFormatting>
  <conditionalFormatting sqref="W142:AD142">
    <cfRule type="containsText" dxfId="556" priority="382" stopIfTrue="1" operator="containsText" text="(3)">
      <formula>NOT(ISERROR(SEARCH("(3)",W142)))</formula>
    </cfRule>
    <cfRule type="containsText" dxfId="555" priority="383" stopIfTrue="1" operator="containsText" text="(2)">
      <formula>NOT(ISERROR(SEARCH("(2)",W142)))</formula>
    </cfRule>
    <cfRule type="containsText" dxfId="554" priority="384" stopIfTrue="1" operator="containsText" text="(1)">
      <formula>NOT(ISERROR(SEARCH("(1)",W142)))</formula>
    </cfRule>
  </conditionalFormatting>
  <conditionalFormatting sqref="W143:AD143">
    <cfRule type="containsText" dxfId="553" priority="379" stopIfTrue="1" operator="containsText" text="(3)">
      <formula>NOT(ISERROR(SEARCH("(3)",W143)))</formula>
    </cfRule>
    <cfRule type="containsText" dxfId="552" priority="380" stopIfTrue="1" operator="containsText" text="(2)">
      <formula>NOT(ISERROR(SEARCH("(2)",W143)))</formula>
    </cfRule>
    <cfRule type="containsText" dxfId="551" priority="381" stopIfTrue="1" operator="containsText" text="(1)">
      <formula>NOT(ISERROR(SEARCH("(1)",W143)))</formula>
    </cfRule>
  </conditionalFormatting>
  <conditionalFormatting sqref="W144:AD144">
    <cfRule type="containsText" dxfId="550" priority="376" stopIfTrue="1" operator="containsText" text="(3)">
      <formula>NOT(ISERROR(SEARCH("(3)",W144)))</formula>
    </cfRule>
    <cfRule type="containsText" dxfId="549" priority="377" stopIfTrue="1" operator="containsText" text="(2)">
      <formula>NOT(ISERROR(SEARCH("(2)",W144)))</formula>
    </cfRule>
    <cfRule type="containsText" dxfId="548" priority="378" stopIfTrue="1" operator="containsText" text="(1)">
      <formula>NOT(ISERROR(SEARCH("(1)",W144)))</formula>
    </cfRule>
  </conditionalFormatting>
  <conditionalFormatting sqref="W145:AD145">
    <cfRule type="containsText" dxfId="547" priority="373" stopIfTrue="1" operator="containsText" text="(3)">
      <formula>NOT(ISERROR(SEARCH("(3)",W145)))</formula>
    </cfRule>
    <cfRule type="containsText" dxfId="546" priority="374" stopIfTrue="1" operator="containsText" text="(2)">
      <formula>NOT(ISERROR(SEARCH("(2)",W145)))</formula>
    </cfRule>
    <cfRule type="containsText" dxfId="545" priority="375" stopIfTrue="1" operator="containsText" text="(1)">
      <formula>NOT(ISERROR(SEARCH("(1)",W145)))</formula>
    </cfRule>
  </conditionalFormatting>
  <conditionalFormatting sqref="W146:AD146">
    <cfRule type="containsText" dxfId="544" priority="370" stopIfTrue="1" operator="containsText" text="(3)">
      <formula>NOT(ISERROR(SEARCH("(3)",W146)))</formula>
    </cfRule>
    <cfRule type="containsText" dxfId="543" priority="371" stopIfTrue="1" operator="containsText" text="(2)">
      <formula>NOT(ISERROR(SEARCH("(2)",W146)))</formula>
    </cfRule>
    <cfRule type="containsText" dxfId="542" priority="372" stopIfTrue="1" operator="containsText" text="(1)">
      <formula>NOT(ISERROR(SEARCH("(1)",W146)))</formula>
    </cfRule>
  </conditionalFormatting>
  <conditionalFormatting sqref="W147:AD147">
    <cfRule type="containsText" dxfId="541" priority="367" stopIfTrue="1" operator="containsText" text="(3)">
      <formula>NOT(ISERROR(SEARCH("(3)",W147)))</formula>
    </cfRule>
    <cfRule type="containsText" dxfId="540" priority="368" stopIfTrue="1" operator="containsText" text="(2)">
      <formula>NOT(ISERROR(SEARCH("(2)",W147)))</formula>
    </cfRule>
    <cfRule type="containsText" dxfId="539" priority="369" stopIfTrue="1" operator="containsText" text="(1)">
      <formula>NOT(ISERROR(SEARCH("(1)",W147)))</formula>
    </cfRule>
  </conditionalFormatting>
  <conditionalFormatting sqref="W148:AD148">
    <cfRule type="containsText" dxfId="538" priority="364" stopIfTrue="1" operator="containsText" text="(3)">
      <formula>NOT(ISERROR(SEARCH("(3)",W148)))</formula>
    </cfRule>
    <cfRule type="containsText" dxfId="537" priority="365" stopIfTrue="1" operator="containsText" text="(2)">
      <formula>NOT(ISERROR(SEARCH("(2)",W148)))</formula>
    </cfRule>
    <cfRule type="containsText" dxfId="536" priority="366" stopIfTrue="1" operator="containsText" text="(1)">
      <formula>NOT(ISERROR(SEARCH("(1)",W148)))</formula>
    </cfRule>
  </conditionalFormatting>
  <conditionalFormatting sqref="W149:AD149">
    <cfRule type="containsText" dxfId="535" priority="361" stopIfTrue="1" operator="containsText" text="(3)">
      <formula>NOT(ISERROR(SEARCH("(3)",W149)))</formula>
    </cfRule>
    <cfRule type="containsText" dxfId="534" priority="362" stopIfTrue="1" operator="containsText" text="(2)">
      <formula>NOT(ISERROR(SEARCH("(2)",W149)))</formula>
    </cfRule>
    <cfRule type="containsText" dxfId="533" priority="363" stopIfTrue="1" operator="containsText" text="(1)">
      <formula>NOT(ISERROR(SEARCH("(1)",W149)))</formula>
    </cfRule>
  </conditionalFormatting>
  <conditionalFormatting sqref="W150:AD150">
    <cfRule type="containsText" dxfId="532" priority="358" stopIfTrue="1" operator="containsText" text="(3)">
      <formula>NOT(ISERROR(SEARCH("(3)",W150)))</formula>
    </cfRule>
    <cfRule type="containsText" dxfId="531" priority="359" stopIfTrue="1" operator="containsText" text="(2)">
      <formula>NOT(ISERROR(SEARCH("(2)",W150)))</formula>
    </cfRule>
    <cfRule type="containsText" dxfId="530" priority="360" stopIfTrue="1" operator="containsText" text="(1)">
      <formula>NOT(ISERROR(SEARCH("(1)",W150)))</formula>
    </cfRule>
  </conditionalFormatting>
  <conditionalFormatting sqref="W151:AD151">
    <cfRule type="containsText" dxfId="529" priority="355" stopIfTrue="1" operator="containsText" text="(3)">
      <formula>NOT(ISERROR(SEARCH("(3)",W151)))</formula>
    </cfRule>
    <cfRule type="containsText" dxfId="528" priority="356" stopIfTrue="1" operator="containsText" text="(2)">
      <formula>NOT(ISERROR(SEARCH("(2)",W151)))</formula>
    </cfRule>
    <cfRule type="containsText" dxfId="527" priority="357" stopIfTrue="1" operator="containsText" text="(1)">
      <formula>NOT(ISERROR(SEARCH("(1)",W151)))</formula>
    </cfRule>
  </conditionalFormatting>
  <conditionalFormatting sqref="W152:AD152">
    <cfRule type="containsText" dxfId="526" priority="352" stopIfTrue="1" operator="containsText" text="(3)">
      <formula>NOT(ISERROR(SEARCH("(3)",W152)))</formula>
    </cfRule>
    <cfRule type="containsText" dxfId="525" priority="353" stopIfTrue="1" operator="containsText" text="(2)">
      <formula>NOT(ISERROR(SEARCH("(2)",W152)))</formula>
    </cfRule>
    <cfRule type="containsText" dxfId="524" priority="354" stopIfTrue="1" operator="containsText" text="(1)">
      <formula>NOT(ISERROR(SEARCH("(1)",W152)))</formula>
    </cfRule>
  </conditionalFormatting>
  <conditionalFormatting sqref="W153:AD153">
    <cfRule type="containsText" dxfId="523" priority="349" stopIfTrue="1" operator="containsText" text="(3)">
      <formula>NOT(ISERROR(SEARCH("(3)",W153)))</formula>
    </cfRule>
    <cfRule type="containsText" dxfId="522" priority="350" stopIfTrue="1" operator="containsText" text="(2)">
      <formula>NOT(ISERROR(SEARCH("(2)",W153)))</formula>
    </cfRule>
    <cfRule type="containsText" dxfId="521" priority="351" stopIfTrue="1" operator="containsText" text="(1)">
      <formula>NOT(ISERROR(SEARCH("(1)",W153)))</formula>
    </cfRule>
  </conditionalFormatting>
  <conditionalFormatting sqref="W154:AD154">
    <cfRule type="containsText" dxfId="520" priority="346" stopIfTrue="1" operator="containsText" text="(3)">
      <formula>NOT(ISERROR(SEARCH("(3)",W154)))</formula>
    </cfRule>
    <cfRule type="containsText" dxfId="519" priority="347" stopIfTrue="1" operator="containsText" text="(2)">
      <formula>NOT(ISERROR(SEARCH("(2)",W154)))</formula>
    </cfRule>
    <cfRule type="containsText" dxfId="518" priority="348" stopIfTrue="1" operator="containsText" text="(1)">
      <formula>NOT(ISERROR(SEARCH("(1)",W154)))</formula>
    </cfRule>
  </conditionalFormatting>
  <conditionalFormatting sqref="W155:AD155">
    <cfRule type="containsText" dxfId="517" priority="343" stopIfTrue="1" operator="containsText" text="(3)">
      <formula>NOT(ISERROR(SEARCH("(3)",W155)))</formula>
    </cfRule>
    <cfRule type="containsText" dxfId="516" priority="344" stopIfTrue="1" operator="containsText" text="(2)">
      <formula>NOT(ISERROR(SEARCH("(2)",W155)))</formula>
    </cfRule>
    <cfRule type="containsText" dxfId="515" priority="345" stopIfTrue="1" operator="containsText" text="(1)">
      <formula>NOT(ISERROR(SEARCH("(1)",W155)))</formula>
    </cfRule>
  </conditionalFormatting>
  <conditionalFormatting sqref="W156:AD156">
    <cfRule type="containsText" dxfId="514" priority="340" stopIfTrue="1" operator="containsText" text="(3)">
      <formula>NOT(ISERROR(SEARCH("(3)",W156)))</formula>
    </cfRule>
    <cfRule type="containsText" dxfId="513" priority="341" stopIfTrue="1" operator="containsText" text="(2)">
      <formula>NOT(ISERROR(SEARCH("(2)",W156)))</formula>
    </cfRule>
    <cfRule type="containsText" dxfId="512" priority="342" stopIfTrue="1" operator="containsText" text="(1)">
      <formula>NOT(ISERROR(SEARCH("(1)",W156)))</formula>
    </cfRule>
  </conditionalFormatting>
  <conditionalFormatting sqref="W157:AD157">
    <cfRule type="containsText" dxfId="511" priority="337" stopIfTrue="1" operator="containsText" text="(3)">
      <formula>NOT(ISERROR(SEARCH("(3)",W157)))</formula>
    </cfRule>
    <cfRule type="containsText" dxfId="510" priority="338" stopIfTrue="1" operator="containsText" text="(2)">
      <formula>NOT(ISERROR(SEARCH("(2)",W157)))</formula>
    </cfRule>
    <cfRule type="containsText" dxfId="509" priority="339" stopIfTrue="1" operator="containsText" text="(1)">
      <formula>NOT(ISERROR(SEARCH("(1)",W157)))</formula>
    </cfRule>
  </conditionalFormatting>
  <conditionalFormatting sqref="W158:AD158">
    <cfRule type="containsText" dxfId="508" priority="334" stopIfTrue="1" operator="containsText" text="(3)">
      <formula>NOT(ISERROR(SEARCH("(3)",W158)))</formula>
    </cfRule>
    <cfRule type="containsText" dxfId="507" priority="335" stopIfTrue="1" operator="containsText" text="(2)">
      <formula>NOT(ISERROR(SEARCH("(2)",W158)))</formula>
    </cfRule>
    <cfRule type="containsText" dxfId="506" priority="336" stopIfTrue="1" operator="containsText" text="(1)">
      <formula>NOT(ISERROR(SEARCH("(1)",W158)))</formula>
    </cfRule>
  </conditionalFormatting>
  <conditionalFormatting sqref="W159:AD159">
    <cfRule type="containsText" dxfId="505" priority="331" stopIfTrue="1" operator="containsText" text="(3)">
      <formula>NOT(ISERROR(SEARCH("(3)",W159)))</formula>
    </cfRule>
    <cfRule type="containsText" dxfId="504" priority="332" stopIfTrue="1" operator="containsText" text="(2)">
      <formula>NOT(ISERROR(SEARCH("(2)",W159)))</formula>
    </cfRule>
    <cfRule type="containsText" dxfId="503" priority="333" stopIfTrue="1" operator="containsText" text="(1)">
      <formula>NOT(ISERROR(SEARCH("(1)",W159)))</formula>
    </cfRule>
  </conditionalFormatting>
  <conditionalFormatting sqref="W160:AD160">
    <cfRule type="containsText" dxfId="502" priority="328" stopIfTrue="1" operator="containsText" text="(3)">
      <formula>NOT(ISERROR(SEARCH("(3)",W160)))</formula>
    </cfRule>
    <cfRule type="containsText" dxfId="501" priority="329" stopIfTrue="1" operator="containsText" text="(2)">
      <formula>NOT(ISERROR(SEARCH("(2)",W160)))</formula>
    </cfRule>
    <cfRule type="containsText" dxfId="500" priority="330" stopIfTrue="1" operator="containsText" text="(1)">
      <formula>NOT(ISERROR(SEARCH("(1)",W160)))</formula>
    </cfRule>
  </conditionalFormatting>
  <conditionalFormatting sqref="W161:AD161">
    <cfRule type="containsText" dxfId="499" priority="325" stopIfTrue="1" operator="containsText" text="(3)">
      <formula>NOT(ISERROR(SEARCH("(3)",W161)))</formula>
    </cfRule>
    <cfRule type="containsText" dxfId="498" priority="326" stopIfTrue="1" operator="containsText" text="(2)">
      <formula>NOT(ISERROR(SEARCH("(2)",W161)))</formula>
    </cfRule>
    <cfRule type="containsText" dxfId="497" priority="327" stopIfTrue="1" operator="containsText" text="(1)">
      <formula>NOT(ISERROR(SEARCH("(1)",W161)))</formula>
    </cfRule>
  </conditionalFormatting>
  <conditionalFormatting sqref="W162:AD162">
    <cfRule type="containsText" dxfId="496" priority="322" stopIfTrue="1" operator="containsText" text="(3)">
      <formula>NOT(ISERROR(SEARCH("(3)",W162)))</formula>
    </cfRule>
    <cfRule type="containsText" dxfId="495" priority="323" stopIfTrue="1" operator="containsText" text="(2)">
      <formula>NOT(ISERROR(SEARCH("(2)",W162)))</formula>
    </cfRule>
    <cfRule type="containsText" dxfId="494" priority="324" stopIfTrue="1" operator="containsText" text="(1)">
      <formula>NOT(ISERROR(SEARCH("(1)",W162)))</formula>
    </cfRule>
  </conditionalFormatting>
  <conditionalFormatting sqref="W163:AD163">
    <cfRule type="containsText" dxfId="493" priority="319" stopIfTrue="1" operator="containsText" text="(3)">
      <formula>NOT(ISERROR(SEARCH("(3)",W163)))</formula>
    </cfRule>
    <cfRule type="containsText" dxfId="492" priority="320" stopIfTrue="1" operator="containsText" text="(2)">
      <formula>NOT(ISERROR(SEARCH("(2)",W163)))</formula>
    </cfRule>
    <cfRule type="containsText" dxfId="491" priority="321" stopIfTrue="1" operator="containsText" text="(1)">
      <formula>NOT(ISERROR(SEARCH("(1)",W163)))</formula>
    </cfRule>
  </conditionalFormatting>
  <conditionalFormatting sqref="W164:AD164">
    <cfRule type="containsText" dxfId="490" priority="316" stopIfTrue="1" operator="containsText" text="(3)">
      <formula>NOT(ISERROR(SEARCH("(3)",W164)))</formula>
    </cfRule>
    <cfRule type="containsText" dxfId="489" priority="317" stopIfTrue="1" operator="containsText" text="(2)">
      <formula>NOT(ISERROR(SEARCH("(2)",W164)))</formula>
    </cfRule>
    <cfRule type="containsText" dxfId="488" priority="318" stopIfTrue="1" operator="containsText" text="(1)">
      <formula>NOT(ISERROR(SEARCH("(1)",W164)))</formula>
    </cfRule>
  </conditionalFormatting>
  <conditionalFormatting sqref="W165:AD165">
    <cfRule type="containsText" dxfId="487" priority="313" stopIfTrue="1" operator="containsText" text="(3)">
      <formula>NOT(ISERROR(SEARCH("(3)",W165)))</formula>
    </cfRule>
    <cfRule type="containsText" dxfId="486" priority="314" stopIfTrue="1" operator="containsText" text="(2)">
      <formula>NOT(ISERROR(SEARCH("(2)",W165)))</formula>
    </cfRule>
    <cfRule type="containsText" dxfId="485" priority="315" stopIfTrue="1" operator="containsText" text="(1)">
      <formula>NOT(ISERROR(SEARCH("(1)",W165)))</formula>
    </cfRule>
  </conditionalFormatting>
  <conditionalFormatting sqref="W166:AD166">
    <cfRule type="containsText" dxfId="484" priority="310" stopIfTrue="1" operator="containsText" text="(3)">
      <formula>NOT(ISERROR(SEARCH("(3)",W166)))</formula>
    </cfRule>
    <cfRule type="containsText" dxfId="483" priority="311" stopIfTrue="1" operator="containsText" text="(2)">
      <formula>NOT(ISERROR(SEARCH("(2)",W166)))</formula>
    </cfRule>
    <cfRule type="containsText" dxfId="482" priority="312" stopIfTrue="1" operator="containsText" text="(1)">
      <formula>NOT(ISERROR(SEARCH("(1)",W166)))</formula>
    </cfRule>
  </conditionalFormatting>
  <conditionalFormatting sqref="W167:AD167">
    <cfRule type="containsText" dxfId="481" priority="307" stopIfTrue="1" operator="containsText" text="(3)">
      <formula>NOT(ISERROR(SEARCH("(3)",W167)))</formula>
    </cfRule>
    <cfRule type="containsText" dxfId="480" priority="308" stopIfTrue="1" operator="containsText" text="(2)">
      <formula>NOT(ISERROR(SEARCH("(2)",W167)))</formula>
    </cfRule>
    <cfRule type="containsText" dxfId="479" priority="309" stopIfTrue="1" operator="containsText" text="(1)">
      <formula>NOT(ISERROR(SEARCH("(1)",W167)))</formula>
    </cfRule>
  </conditionalFormatting>
  <conditionalFormatting sqref="W168:AD168">
    <cfRule type="containsText" dxfId="478" priority="304" stopIfTrue="1" operator="containsText" text="(3)">
      <formula>NOT(ISERROR(SEARCH("(3)",W168)))</formula>
    </cfRule>
    <cfRule type="containsText" dxfId="477" priority="305" stopIfTrue="1" operator="containsText" text="(2)">
      <formula>NOT(ISERROR(SEARCH("(2)",W168)))</formula>
    </cfRule>
    <cfRule type="containsText" dxfId="476" priority="306" stopIfTrue="1" operator="containsText" text="(1)">
      <formula>NOT(ISERROR(SEARCH("(1)",W168)))</formula>
    </cfRule>
  </conditionalFormatting>
  <conditionalFormatting sqref="W169:AD169">
    <cfRule type="containsText" dxfId="475" priority="301" stopIfTrue="1" operator="containsText" text="(3)">
      <formula>NOT(ISERROR(SEARCH("(3)",W169)))</formula>
    </cfRule>
    <cfRule type="containsText" dxfId="474" priority="302" stopIfTrue="1" operator="containsText" text="(2)">
      <formula>NOT(ISERROR(SEARCH("(2)",W169)))</formula>
    </cfRule>
    <cfRule type="containsText" dxfId="473" priority="303" stopIfTrue="1" operator="containsText" text="(1)">
      <formula>NOT(ISERROR(SEARCH("(1)",W169)))</formula>
    </cfRule>
  </conditionalFormatting>
  <conditionalFormatting sqref="W170:AD170">
    <cfRule type="containsText" dxfId="472" priority="295" stopIfTrue="1" operator="containsText" text="(3)">
      <formula>NOT(ISERROR(SEARCH("(3)",W170)))</formula>
    </cfRule>
    <cfRule type="containsText" dxfId="471" priority="296" stopIfTrue="1" operator="containsText" text="(2)">
      <formula>NOT(ISERROR(SEARCH("(2)",W170)))</formula>
    </cfRule>
    <cfRule type="containsText" dxfId="470" priority="297" stopIfTrue="1" operator="containsText" text="(1)">
      <formula>NOT(ISERROR(SEARCH("(1)",W170)))</formula>
    </cfRule>
  </conditionalFormatting>
  <conditionalFormatting sqref="W171:AD171">
    <cfRule type="containsText" dxfId="469" priority="292" stopIfTrue="1" operator="containsText" text="(3)">
      <formula>NOT(ISERROR(SEARCH("(3)",W171)))</formula>
    </cfRule>
    <cfRule type="containsText" dxfId="468" priority="293" stopIfTrue="1" operator="containsText" text="(2)">
      <formula>NOT(ISERROR(SEARCH("(2)",W171)))</formula>
    </cfRule>
    <cfRule type="containsText" dxfId="467" priority="294" stopIfTrue="1" operator="containsText" text="(1)">
      <formula>NOT(ISERROR(SEARCH("(1)",W171)))</formula>
    </cfRule>
  </conditionalFormatting>
  <conditionalFormatting sqref="W172:AD172">
    <cfRule type="containsText" dxfId="466" priority="289" stopIfTrue="1" operator="containsText" text="(3)">
      <formula>NOT(ISERROR(SEARCH("(3)",W172)))</formula>
    </cfRule>
    <cfRule type="containsText" dxfId="465" priority="290" stopIfTrue="1" operator="containsText" text="(2)">
      <formula>NOT(ISERROR(SEARCH("(2)",W172)))</formula>
    </cfRule>
    <cfRule type="containsText" dxfId="464" priority="291" stopIfTrue="1" operator="containsText" text="(1)">
      <formula>NOT(ISERROR(SEARCH("(1)",W172)))</formula>
    </cfRule>
  </conditionalFormatting>
  <conditionalFormatting sqref="W173:AD173">
    <cfRule type="containsText" dxfId="463" priority="283" stopIfTrue="1" operator="containsText" text="(3)">
      <formula>NOT(ISERROR(SEARCH("(3)",W173)))</formula>
    </cfRule>
    <cfRule type="containsText" dxfId="462" priority="284" stopIfTrue="1" operator="containsText" text="(2)">
      <formula>NOT(ISERROR(SEARCH("(2)",W173)))</formula>
    </cfRule>
    <cfRule type="containsText" dxfId="461" priority="285" stopIfTrue="1" operator="containsText" text="(1)">
      <formula>NOT(ISERROR(SEARCH("(1)",W173)))</formula>
    </cfRule>
  </conditionalFormatting>
  <conditionalFormatting sqref="W174:AD174">
    <cfRule type="containsText" dxfId="460" priority="280" stopIfTrue="1" operator="containsText" text="(3)">
      <formula>NOT(ISERROR(SEARCH("(3)",W174)))</formula>
    </cfRule>
    <cfRule type="containsText" dxfId="459" priority="281" stopIfTrue="1" operator="containsText" text="(2)">
      <formula>NOT(ISERROR(SEARCH("(2)",W174)))</formula>
    </cfRule>
    <cfRule type="containsText" dxfId="458" priority="282" stopIfTrue="1" operator="containsText" text="(1)">
      <formula>NOT(ISERROR(SEARCH("(1)",W174)))</formula>
    </cfRule>
  </conditionalFormatting>
  <conditionalFormatting sqref="W175:AD175">
    <cfRule type="containsText" dxfId="457" priority="277" stopIfTrue="1" operator="containsText" text="(3)">
      <formula>NOT(ISERROR(SEARCH("(3)",W175)))</formula>
    </cfRule>
    <cfRule type="containsText" dxfId="456" priority="278" stopIfTrue="1" operator="containsText" text="(2)">
      <formula>NOT(ISERROR(SEARCH("(2)",W175)))</formula>
    </cfRule>
    <cfRule type="containsText" dxfId="455" priority="279" stopIfTrue="1" operator="containsText" text="(1)">
      <formula>NOT(ISERROR(SEARCH("(1)",W175)))</formula>
    </cfRule>
  </conditionalFormatting>
  <conditionalFormatting sqref="W176:AD176">
    <cfRule type="containsText" dxfId="454" priority="274" stopIfTrue="1" operator="containsText" text="(3)">
      <formula>NOT(ISERROR(SEARCH("(3)",W176)))</formula>
    </cfRule>
    <cfRule type="containsText" dxfId="453" priority="275" stopIfTrue="1" operator="containsText" text="(2)">
      <formula>NOT(ISERROR(SEARCH("(2)",W176)))</formula>
    </cfRule>
    <cfRule type="containsText" dxfId="452" priority="276" stopIfTrue="1" operator="containsText" text="(1)">
      <formula>NOT(ISERROR(SEARCH("(1)",W176)))</formula>
    </cfRule>
  </conditionalFormatting>
  <conditionalFormatting sqref="W177:AD177">
    <cfRule type="containsText" dxfId="451" priority="271" stopIfTrue="1" operator="containsText" text="(3)">
      <formula>NOT(ISERROR(SEARCH("(3)",W177)))</formula>
    </cfRule>
    <cfRule type="containsText" dxfId="450" priority="272" stopIfTrue="1" operator="containsText" text="(2)">
      <formula>NOT(ISERROR(SEARCH("(2)",W177)))</formula>
    </cfRule>
    <cfRule type="containsText" dxfId="449" priority="273" stopIfTrue="1" operator="containsText" text="(1)">
      <formula>NOT(ISERROR(SEARCH("(1)",W177)))</formula>
    </cfRule>
  </conditionalFormatting>
  <conditionalFormatting sqref="W178:AD178">
    <cfRule type="containsText" dxfId="448" priority="268" stopIfTrue="1" operator="containsText" text="(3)">
      <formula>NOT(ISERROR(SEARCH("(3)",W178)))</formula>
    </cfRule>
    <cfRule type="containsText" dxfId="447" priority="269" stopIfTrue="1" operator="containsText" text="(2)">
      <formula>NOT(ISERROR(SEARCH("(2)",W178)))</formula>
    </cfRule>
    <cfRule type="containsText" dxfId="446" priority="270" stopIfTrue="1" operator="containsText" text="(1)">
      <formula>NOT(ISERROR(SEARCH("(1)",W178)))</formula>
    </cfRule>
  </conditionalFormatting>
  <conditionalFormatting sqref="W179:AD179">
    <cfRule type="containsText" dxfId="445" priority="265" stopIfTrue="1" operator="containsText" text="(3)">
      <formula>NOT(ISERROR(SEARCH("(3)",W179)))</formula>
    </cfRule>
    <cfRule type="containsText" dxfId="444" priority="266" stopIfTrue="1" operator="containsText" text="(2)">
      <formula>NOT(ISERROR(SEARCH("(2)",W179)))</formula>
    </cfRule>
    <cfRule type="containsText" dxfId="443" priority="267" stopIfTrue="1" operator="containsText" text="(1)">
      <formula>NOT(ISERROR(SEARCH("(1)",W179)))</formula>
    </cfRule>
  </conditionalFormatting>
  <conditionalFormatting sqref="W180:AD180">
    <cfRule type="containsText" dxfId="442" priority="262" stopIfTrue="1" operator="containsText" text="(3)">
      <formula>NOT(ISERROR(SEARCH("(3)",W180)))</formula>
    </cfRule>
    <cfRule type="containsText" dxfId="441" priority="263" stopIfTrue="1" operator="containsText" text="(2)">
      <formula>NOT(ISERROR(SEARCH("(2)",W180)))</formula>
    </cfRule>
    <cfRule type="containsText" dxfId="440" priority="264" stopIfTrue="1" operator="containsText" text="(1)">
      <formula>NOT(ISERROR(SEARCH("(1)",W180)))</formula>
    </cfRule>
  </conditionalFormatting>
  <conditionalFormatting sqref="W181:AD181">
    <cfRule type="containsText" dxfId="439" priority="259" stopIfTrue="1" operator="containsText" text="(3)">
      <formula>NOT(ISERROR(SEARCH("(3)",W181)))</formula>
    </cfRule>
    <cfRule type="containsText" dxfId="438" priority="260" stopIfTrue="1" operator="containsText" text="(2)">
      <formula>NOT(ISERROR(SEARCH("(2)",W181)))</formula>
    </cfRule>
    <cfRule type="containsText" dxfId="437" priority="261" stopIfTrue="1" operator="containsText" text="(1)">
      <formula>NOT(ISERROR(SEARCH("(1)",W181)))</formula>
    </cfRule>
  </conditionalFormatting>
  <conditionalFormatting sqref="W182:AD182">
    <cfRule type="containsText" dxfId="436" priority="256" stopIfTrue="1" operator="containsText" text="(3)">
      <formula>NOT(ISERROR(SEARCH("(3)",W182)))</formula>
    </cfRule>
    <cfRule type="containsText" dxfId="435" priority="257" stopIfTrue="1" operator="containsText" text="(2)">
      <formula>NOT(ISERROR(SEARCH("(2)",W182)))</formula>
    </cfRule>
    <cfRule type="containsText" dxfId="434" priority="258" stopIfTrue="1" operator="containsText" text="(1)">
      <formula>NOT(ISERROR(SEARCH("(1)",W182)))</formula>
    </cfRule>
  </conditionalFormatting>
  <conditionalFormatting sqref="W183:AD183">
    <cfRule type="containsText" dxfId="433" priority="253" stopIfTrue="1" operator="containsText" text="(3)">
      <formula>NOT(ISERROR(SEARCH("(3)",W183)))</formula>
    </cfRule>
    <cfRule type="containsText" dxfId="432" priority="254" stopIfTrue="1" operator="containsText" text="(2)">
      <formula>NOT(ISERROR(SEARCH("(2)",W183)))</formula>
    </cfRule>
    <cfRule type="containsText" dxfId="431" priority="255" stopIfTrue="1" operator="containsText" text="(1)">
      <formula>NOT(ISERROR(SEARCH("(1)",W183)))</formula>
    </cfRule>
  </conditionalFormatting>
  <conditionalFormatting sqref="W184:AD184">
    <cfRule type="containsText" dxfId="430" priority="250" stopIfTrue="1" operator="containsText" text="(3)">
      <formula>NOT(ISERROR(SEARCH("(3)",W184)))</formula>
    </cfRule>
    <cfRule type="containsText" dxfId="429" priority="251" stopIfTrue="1" operator="containsText" text="(2)">
      <formula>NOT(ISERROR(SEARCH("(2)",W184)))</formula>
    </cfRule>
    <cfRule type="containsText" dxfId="428" priority="252" stopIfTrue="1" operator="containsText" text="(1)">
      <formula>NOT(ISERROR(SEARCH("(1)",W184)))</formula>
    </cfRule>
  </conditionalFormatting>
  <conditionalFormatting sqref="W185:AD185">
    <cfRule type="containsText" dxfId="427" priority="247" stopIfTrue="1" operator="containsText" text="(3)">
      <formula>NOT(ISERROR(SEARCH("(3)",W185)))</formula>
    </cfRule>
    <cfRule type="containsText" dxfId="426" priority="248" stopIfTrue="1" operator="containsText" text="(2)">
      <formula>NOT(ISERROR(SEARCH("(2)",W185)))</formula>
    </cfRule>
    <cfRule type="containsText" dxfId="425" priority="249" stopIfTrue="1" operator="containsText" text="(1)">
      <formula>NOT(ISERROR(SEARCH("(1)",W185)))</formula>
    </cfRule>
  </conditionalFormatting>
  <conditionalFormatting sqref="W186:AD186">
    <cfRule type="containsText" dxfId="424" priority="244" stopIfTrue="1" operator="containsText" text="(3)">
      <formula>NOT(ISERROR(SEARCH("(3)",W186)))</formula>
    </cfRule>
    <cfRule type="containsText" dxfId="423" priority="245" stopIfTrue="1" operator="containsText" text="(2)">
      <formula>NOT(ISERROR(SEARCH("(2)",W186)))</formula>
    </cfRule>
    <cfRule type="containsText" dxfId="422" priority="246" stopIfTrue="1" operator="containsText" text="(1)">
      <formula>NOT(ISERROR(SEARCH("(1)",W186)))</formula>
    </cfRule>
  </conditionalFormatting>
  <conditionalFormatting sqref="W187:AD187">
    <cfRule type="containsText" dxfId="421" priority="241" stopIfTrue="1" operator="containsText" text="(3)">
      <formula>NOT(ISERROR(SEARCH("(3)",W187)))</formula>
    </cfRule>
    <cfRule type="containsText" dxfId="420" priority="242" stopIfTrue="1" operator="containsText" text="(2)">
      <formula>NOT(ISERROR(SEARCH("(2)",W187)))</formula>
    </cfRule>
    <cfRule type="containsText" dxfId="419" priority="243" stopIfTrue="1" operator="containsText" text="(1)">
      <formula>NOT(ISERROR(SEARCH("(1)",W187)))</formula>
    </cfRule>
  </conditionalFormatting>
  <conditionalFormatting sqref="W188:AD188">
    <cfRule type="containsText" dxfId="418" priority="238" stopIfTrue="1" operator="containsText" text="(3)">
      <formula>NOT(ISERROR(SEARCH("(3)",W188)))</formula>
    </cfRule>
    <cfRule type="containsText" dxfId="417" priority="239" stopIfTrue="1" operator="containsText" text="(2)">
      <formula>NOT(ISERROR(SEARCH("(2)",W188)))</formula>
    </cfRule>
    <cfRule type="containsText" dxfId="416" priority="240" stopIfTrue="1" operator="containsText" text="(1)">
      <formula>NOT(ISERROR(SEARCH("(1)",W188)))</formula>
    </cfRule>
  </conditionalFormatting>
  <conditionalFormatting sqref="W189:AD189">
    <cfRule type="containsText" dxfId="415" priority="235" stopIfTrue="1" operator="containsText" text="(3)">
      <formula>NOT(ISERROR(SEARCH("(3)",W189)))</formula>
    </cfRule>
    <cfRule type="containsText" dxfId="414" priority="236" stopIfTrue="1" operator="containsText" text="(2)">
      <formula>NOT(ISERROR(SEARCH("(2)",W189)))</formula>
    </cfRule>
    <cfRule type="containsText" dxfId="413" priority="237" stopIfTrue="1" operator="containsText" text="(1)">
      <formula>NOT(ISERROR(SEARCH("(1)",W189)))</formula>
    </cfRule>
  </conditionalFormatting>
  <conditionalFormatting sqref="W190:AD190">
    <cfRule type="containsText" dxfId="412" priority="232" stopIfTrue="1" operator="containsText" text="(3)">
      <formula>NOT(ISERROR(SEARCH("(3)",W190)))</formula>
    </cfRule>
    <cfRule type="containsText" dxfId="411" priority="233" stopIfTrue="1" operator="containsText" text="(2)">
      <formula>NOT(ISERROR(SEARCH("(2)",W190)))</formula>
    </cfRule>
    <cfRule type="containsText" dxfId="410" priority="234" stopIfTrue="1" operator="containsText" text="(1)">
      <formula>NOT(ISERROR(SEARCH("(1)",W190)))</formula>
    </cfRule>
  </conditionalFormatting>
  <conditionalFormatting sqref="W191:AD191">
    <cfRule type="containsText" dxfId="409" priority="229" stopIfTrue="1" operator="containsText" text="(3)">
      <formula>NOT(ISERROR(SEARCH("(3)",W191)))</formula>
    </cfRule>
    <cfRule type="containsText" dxfId="408" priority="230" stopIfTrue="1" operator="containsText" text="(2)">
      <formula>NOT(ISERROR(SEARCH("(2)",W191)))</formula>
    </cfRule>
    <cfRule type="containsText" dxfId="407" priority="231" stopIfTrue="1" operator="containsText" text="(1)">
      <formula>NOT(ISERROR(SEARCH("(1)",W191)))</formula>
    </cfRule>
  </conditionalFormatting>
  <conditionalFormatting sqref="W192:AD192">
    <cfRule type="containsText" dxfId="406" priority="226" stopIfTrue="1" operator="containsText" text="(3)">
      <formula>NOT(ISERROR(SEARCH("(3)",W192)))</formula>
    </cfRule>
    <cfRule type="containsText" dxfId="405" priority="227" stopIfTrue="1" operator="containsText" text="(2)">
      <formula>NOT(ISERROR(SEARCH("(2)",W192)))</formula>
    </cfRule>
    <cfRule type="containsText" dxfId="404" priority="228" stopIfTrue="1" operator="containsText" text="(1)">
      <formula>NOT(ISERROR(SEARCH("(1)",W192)))</formula>
    </cfRule>
  </conditionalFormatting>
  <conditionalFormatting sqref="W193:AD193">
    <cfRule type="containsText" dxfId="403" priority="223" stopIfTrue="1" operator="containsText" text="(3)">
      <formula>NOT(ISERROR(SEARCH("(3)",W193)))</formula>
    </cfRule>
    <cfRule type="containsText" dxfId="402" priority="224" stopIfTrue="1" operator="containsText" text="(2)">
      <formula>NOT(ISERROR(SEARCH("(2)",W193)))</formula>
    </cfRule>
    <cfRule type="containsText" dxfId="401" priority="225" stopIfTrue="1" operator="containsText" text="(1)">
      <formula>NOT(ISERROR(SEARCH("(1)",W193)))</formula>
    </cfRule>
  </conditionalFormatting>
  <conditionalFormatting sqref="W194:AD194">
    <cfRule type="containsText" dxfId="400" priority="220" stopIfTrue="1" operator="containsText" text="(3)">
      <formula>NOT(ISERROR(SEARCH("(3)",W194)))</formula>
    </cfRule>
    <cfRule type="containsText" dxfId="399" priority="221" stopIfTrue="1" operator="containsText" text="(2)">
      <formula>NOT(ISERROR(SEARCH("(2)",W194)))</formula>
    </cfRule>
    <cfRule type="containsText" dxfId="398" priority="222" stopIfTrue="1" operator="containsText" text="(1)">
      <formula>NOT(ISERROR(SEARCH("(1)",W194)))</formula>
    </cfRule>
  </conditionalFormatting>
  <conditionalFormatting sqref="W195:AD195">
    <cfRule type="containsText" dxfId="397" priority="217" stopIfTrue="1" operator="containsText" text="(3)">
      <formula>NOT(ISERROR(SEARCH("(3)",W195)))</formula>
    </cfRule>
    <cfRule type="containsText" dxfId="396" priority="218" stopIfTrue="1" operator="containsText" text="(2)">
      <formula>NOT(ISERROR(SEARCH("(2)",W195)))</formula>
    </cfRule>
    <cfRule type="containsText" dxfId="395" priority="219" stopIfTrue="1" operator="containsText" text="(1)">
      <formula>NOT(ISERROR(SEARCH("(1)",W195)))</formula>
    </cfRule>
  </conditionalFormatting>
  <conditionalFormatting sqref="W196:AD196">
    <cfRule type="containsText" dxfId="394" priority="214" stopIfTrue="1" operator="containsText" text="(3)">
      <formula>NOT(ISERROR(SEARCH("(3)",W196)))</formula>
    </cfRule>
    <cfRule type="containsText" dxfId="393" priority="215" stopIfTrue="1" operator="containsText" text="(2)">
      <formula>NOT(ISERROR(SEARCH("(2)",W196)))</formula>
    </cfRule>
    <cfRule type="containsText" dxfId="392" priority="216" stopIfTrue="1" operator="containsText" text="(1)">
      <formula>NOT(ISERROR(SEARCH("(1)",W196)))</formula>
    </cfRule>
  </conditionalFormatting>
  <conditionalFormatting sqref="W197:AD197">
    <cfRule type="containsText" dxfId="391" priority="211" stopIfTrue="1" operator="containsText" text="(3)">
      <formula>NOT(ISERROR(SEARCH("(3)",W197)))</formula>
    </cfRule>
    <cfRule type="containsText" dxfId="390" priority="212" stopIfTrue="1" operator="containsText" text="(2)">
      <formula>NOT(ISERROR(SEARCH("(2)",W197)))</formula>
    </cfRule>
    <cfRule type="containsText" dxfId="389" priority="213" stopIfTrue="1" operator="containsText" text="(1)">
      <formula>NOT(ISERROR(SEARCH("(1)",W197)))</formula>
    </cfRule>
  </conditionalFormatting>
  <conditionalFormatting sqref="W198:AD198">
    <cfRule type="containsText" dxfId="388" priority="208" stopIfTrue="1" operator="containsText" text="(3)">
      <formula>NOT(ISERROR(SEARCH("(3)",W198)))</formula>
    </cfRule>
    <cfRule type="containsText" dxfId="387" priority="209" stopIfTrue="1" operator="containsText" text="(2)">
      <formula>NOT(ISERROR(SEARCH("(2)",W198)))</formula>
    </cfRule>
    <cfRule type="containsText" dxfId="386" priority="210" stopIfTrue="1" operator="containsText" text="(1)">
      <formula>NOT(ISERROR(SEARCH("(1)",W198)))</formula>
    </cfRule>
  </conditionalFormatting>
  <conditionalFormatting sqref="W199:AD199">
    <cfRule type="containsText" dxfId="385" priority="205" stopIfTrue="1" operator="containsText" text="(3)">
      <formula>NOT(ISERROR(SEARCH("(3)",W199)))</formula>
    </cfRule>
    <cfRule type="containsText" dxfId="384" priority="206" stopIfTrue="1" operator="containsText" text="(2)">
      <formula>NOT(ISERROR(SEARCH("(2)",W199)))</formula>
    </cfRule>
    <cfRule type="containsText" dxfId="383" priority="207" stopIfTrue="1" operator="containsText" text="(1)">
      <formula>NOT(ISERROR(SEARCH("(1)",W199)))</formula>
    </cfRule>
  </conditionalFormatting>
  <conditionalFormatting sqref="W200:AD200">
    <cfRule type="containsText" dxfId="382" priority="202" stopIfTrue="1" operator="containsText" text="(3)">
      <formula>NOT(ISERROR(SEARCH("(3)",W200)))</formula>
    </cfRule>
    <cfRule type="containsText" dxfId="381" priority="203" stopIfTrue="1" operator="containsText" text="(2)">
      <formula>NOT(ISERROR(SEARCH("(2)",W200)))</formula>
    </cfRule>
    <cfRule type="containsText" dxfId="380" priority="204" stopIfTrue="1" operator="containsText" text="(1)">
      <formula>NOT(ISERROR(SEARCH("(1)",W200)))</formula>
    </cfRule>
  </conditionalFormatting>
  <conditionalFormatting sqref="W201:AD201">
    <cfRule type="containsText" dxfId="379" priority="199" stopIfTrue="1" operator="containsText" text="(3)">
      <formula>NOT(ISERROR(SEARCH("(3)",W201)))</formula>
    </cfRule>
    <cfRule type="containsText" dxfId="378" priority="200" stopIfTrue="1" operator="containsText" text="(2)">
      <formula>NOT(ISERROR(SEARCH("(2)",W201)))</formula>
    </cfRule>
    <cfRule type="containsText" dxfId="377" priority="201" stopIfTrue="1" operator="containsText" text="(1)">
      <formula>NOT(ISERROR(SEARCH("(1)",W201)))</formula>
    </cfRule>
  </conditionalFormatting>
  <conditionalFormatting sqref="W202:AD202">
    <cfRule type="containsText" dxfId="376" priority="196" stopIfTrue="1" operator="containsText" text="(3)">
      <formula>NOT(ISERROR(SEARCH("(3)",W202)))</formula>
    </cfRule>
    <cfRule type="containsText" dxfId="375" priority="197" stopIfTrue="1" operator="containsText" text="(2)">
      <formula>NOT(ISERROR(SEARCH("(2)",W202)))</formula>
    </cfRule>
    <cfRule type="containsText" dxfId="374" priority="198" stopIfTrue="1" operator="containsText" text="(1)">
      <formula>NOT(ISERROR(SEARCH("(1)",W202)))</formula>
    </cfRule>
  </conditionalFormatting>
  <conditionalFormatting sqref="W203:AD203">
    <cfRule type="containsText" dxfId="373" priority="193" stopIfTrue="1" operator="containsText" text="(3)">
      <formula>NOT(ISERROR(SEARCH("(3)",W203)))</formula>
    </cfRule>
    <cfRule type="containsText" dxfId="372" priority="194" stopIfTrue="1" operator="containsText" text="(2)">
      <formula>NOT(ISERROR(SEARCH("(2)",W203)))</formula>
    </cfRule>
    <cfRule type="containsText" dxfId="371" priority="195" stopIfTrue="1" operator="containsText" text="(1)">
      <formula>NOT(ISERROR(SEARCH("(1)",W203)))</formula>
    </cfRule>
  </conditionalFormatting>
  <conditionalFormatting sqref="W204:AD204">
    <cfRule type="containsText" dxfId="370" priority="190" stopIfTrue="1" operator="containsText" text="(3)">
      <formula>NOT(ISERROR(SEARCH("(3)",W204)))</formula>
    </cfRule>
    <cfRule type="containsText" dxfId="369" priority="191" stopIfTrue="1" operator="containsText" text="(2)">
      <formula>NOT(ISERROR(SEARCH("(2)",W204)))</formula>
    </cfRule>
    <cfRule type="containsText" dxfId="368" priority="192" stopIfTrue="1" operator="containsText" text="(1)">
      <formula>NOT(ISERROR(SEARCH("(1)",W204)))</formula>
    </cfRule>
  </conditionalFormatting>
  <conditionalFormatting sqref="W205:AD205">
    <cfRule type="containsText" dxfId="367" priority="187" stopIfTrue="1" operator="containsText" text="(3)">
      <formula>NOT(ISERROR(SEARCH("(3)",W205)))</formula>
    </cfRule>
    <cfRule type="containsText" dxfId="366" priority="188" stopIfTrue="1" operator="containsText" text="(2)">
      <formula>NOT(ISERROR(SEARCH("(2)",W205)))</formula>
    </cfRule>
    <cfRule type="containsText" dxfId="365" priority="189" stopIfTrue="1" operator="containsText" text="(1)">
      <formula>NOT(ISERROR(SEARCH("(1)",W205)))</formula>
    </cfRule>
  </conditionalFormatting>
  <conditionalFormatting sqref="W206:AD206">
    <cfRule type="containsText" dxfId="364" priority="184" stopIfTrue="1" operator="containsText" text="(3)">
      <formula>NOT(ISERROR(SEARCH("(3)",W206)))</formula>
    </cfRule>
    <cfRule type="containsText" dxfId="363" priority="185" stopIfTrue="1" operator="containsText" text="(2)">
      <formula>NOT(ISERROR(SEARCH("(2)",W206)))</formula>
    </cfRule>
    <cfRule type="containsText" dxfId="362" priority="186" stopIfTrue="1" operator="containsText" text="(1)">
      <formula>NOT(ISERROR(SEARCH("(1)",W206)))</formula>
    </cfRule>
  </conditionalFormatting>
  <conditionalFormatting sqref="W207:AD207">
    <cfRule type="containsText" dxfId="361" priority="181" stopIfTrue="1" operator="containsText" text="(3)">
      <formula>NOT(ISERROR(SEARCH("(3)",W207)))</formula>
    </cfRule>
    <cfRule type="containsText" dxfId="360" priority="182" stopIfTrue="1" operator="containsText" text="(2)">
      <formula>NOT(ISERROR(SEARCH("(2)",W207)))</formula>
    </cfRule>
    <cfRule type="containsText" dxfId="359" priority="183" stopIfTrue="1" operator="containsText" text="(1)">
      <formula>NOT(ISERROR(SEARCH("(1)",W207)))</formula>
    </cfRule>
  </conditionalFormatting>
  <conditionalFormatting sqref="W208:AD208">
    <cfRule type="containsText" dxfId="358" priority="178" stopIfTrue="1" operator="containsText" text="(3)">
      <formula>NOT(ISERROR(SEARCH("(3)",W208)))</formula>
    </cfRule>
    <cfRule type="containsText" dxfId="357" priority="179" stopIfTrue="1" operator="containsText" text="(2)">
      <formula>NOT(ISERROR(SEARCH("(2)",W208)))</formula>
    </cfRule>
    <cfRule type="containsText" dxfId="356" priority="180" stopIfTrue="1" operator="containsText" text="(1)">
      <formula>NOT(ISERROR(SEARCH("(1)",W208)))</formula>
    </cfRule>
  </conditionalFormatting>
  <conditionalFormatting sqref="W209:AD209">
    <cfRule type="containsText" dxfId="355" priority="175" stopIfTrue="1" operator="containsText" text="(3)">
      <formula>NOT(ISERROR(SEARCH("(3)",W209)))</formula>
    </cfRule>
    <cfRule type="containsText" dxfId="354" priority="176" stopIfTrue="1" operator="containsText" text="(2)">
      <formula>NOT(ISERROR(SEARCH("(2)",W209)))</formula>
    </cfRule>
    <cfRule type="containsText" dxfId="353" priority="177" stopIfTrue="1" operator="containsText" text="(1)">
      <formula>NOT(ISERROR(SEARCH("(1)",W209)))</formula>
    </cfRule>
  </conditionalFormatting>
  <conditionalFormatting sqref="W210:AD210">
    <cfRule type="containsText" dxfId="352" priority="172" stopIfTrue="1" operator="containsText" text="(3)">
      <formula>NOT(ISERROR(SEARCH("(3)",W210)))</formula>
    </cfRule>
    <cfRule type="containsText" dxfId="351" priority="173" stopIfTrue="1" operator="containsText" text="(2)">
      <formula>NOT(ISERROR(SEARCH("(2)",W210)))</formula>
    </cfRule>
    <cfRule type="containsText" dxfId="350" priority="174" stopIfTrue="1" operator="containsText" text="(1)">
      <formula>NOT(ISERROR(SEARCH("(1)",W210)))</formula>
    </cfRule>
  </conditionalFormatting>
  <conditionalFormatting sqref="W211:AD211">
    <cfRule type="containsText" dxfId="349" priority="169" stopIfTrue="1" operator="containsText" text="(3)">
      <formula>NOT(ISERROR(SEARCH("(3)",W211)))</formula>
    </cfRule>
    <cfRule type="containsText" dxfId="348" priority="170" stopIfTrue="1" operator="containsText" text="(2)">
      <formula>NOT(ISERROR(SEARCH("(2)",W211)))</formula>
    </cfRule>
    <cfRule type="containsText" dxfId="347" priority="171" stopIfTrue="1" operator="containsText" text="(1)">
      <formula>NOT(ISERROR(SEARCH("(1)",W211)))</formula>
    </cfRule>
  </conditionalFormatting>
  <conditionalFormatting sqref="W212:AD212">
    <cfRule type="containsText" dxfId="346" priority="166" stopIfTrue="1" operator="containsText" text="(3)">
      <formula>NOT(ISERROR(SEARCH("(3)",W212)))</formula>
    </cfRule>
    <cfRule type="containsText" dxfId="345" priority="167" stopIfTrue="1" operator="containsText" text="(2)">
      <formula>NOT(ISERROR(SEARCH("(2)",W212)))</formula>
    </cfRule>
    <cfRule type="containsText" dxfId="344" priority="168" stopIfTrue="1" operator="containsText" text="(1)">
      <formula>NOT(ISERROR(SEARCH("(1)",W212)))</formula>
    </cfRule>
  </conditionalFormatting>
  <conditionalFormatting sqref="W213:AD213">
    <cfRule type="containsText" dxfId="343" priority="160" stopIfTrue="1" operator="containsText" text="(3)">
      <formula>NOT(ISERROR(SEARCH("(3)",W213)))</formula>
    </cfRule>
    <cfRule type="containsText" dxfId="342" priority="161" stopIfTrue="1" operator="containsText" text="(2)">
      <formula>NOT(ISERROR(SEARCH("(2)",W213)))</formula>
    </cfRule>
    <cfRule type="containsText" dxfId="341" priority="162" stopIfTrue="1" operator="containsText" text="(1)">
      <formula>NOT(ISERROR(SEARCH("(1)",W213)))</formula>
    </cfRule>
  </conditionalFormatting>
  <conditionalFormatting sqref="W214:AD214">
    <cfRule type="containsText" dxfId="340" priority="157" stopIfTrue="1" operator="containsText" text="(3)">
      <formula>NOT(ISERROR(SEARCH("(3)",W214)))</formula>
    </cfRule>
    <cfRule type="containsText" dxfId="339" priority="158" stopIfTrue="1" operator="containsText" text="(2)">
      <formula>NOT(ISERROR(SEARCH("(2)",W214)))</formula>
    </cfRule>
    <cfRule type="containsText" dxfId="338" priority="159" stopIfTrue="1" operator="containsText" text="(1)">
      <formula>NOT(ISERROR(SEARCH("(1)",W214)))</formula>
    </cfRule>
  </conditionalFormatting>
  <conditionalFormatting sqref="W215:AD215">
    <cfRule type="containsText" dxfId="337" priority="154" stopIfTrue="1" operator="containsText" text="(3)">
      <formula>NOT(ISERROR(SEARCH("(3)",W215)))</formula>
    </cfRule>
    <cfRule type="containsText" dxfId="336" priority="155" stopIfTrue="1" operator="containsText" text="(2)">
      <formula>NOT(ISERROR(SEARCH("(2)",W215)))</formula>
    </cfRule>
    <cfRule type="containsText" dxfId="335" priority="156" stopIfTrue="1" operator="containsText" text="(1)">
      <formula>NOT(ISERROR(SEARCH("(1)",W215)))</formula>
    </cfRule>
  </conditionalFormatting>
  <conditionalFormatting sqref="W216:AD216">
    <cfRule type="containsText" dxfId="334" priority="148" stopIfTrue="1" operator="containsText" text="(3)">
      <formula>NOT(ISERROR(SEARCH("(3)",W216)))</formula>
    </cfRule>
    <cfRule type="containsText" dxfId="333" priority="149" stopIfTrue="1" operator="containsText" text="(2)">
      <formula>NOT(ISERROR(SEARCH("(2)",W216)))</formula>
    </cfRule>
    <cfRule type="containsText" dxfId="332" priority="150" stopIfTrue="1" operator="containsText" text="(1)">
      <formula>NOT(ISERROR(SEARCH("(1)",W216)))</formula>
    </cfRule>
  </conditionalFormatting>
  <conditionalFormatting sqref="W217:AD217">
    <cfRule type="containsText" dxfId="331" priority="145" stopIfTrue="1" operator="containsText" text="(3)">
      <formula>NOT(ISERROR(SEARCH("(3)",W217)))</formula>
    </cfRule>
    <cfRule type="containsText" dxfId="330" priority="146" stopIfTrue="1" operator="containsText" text="(2)">
      <formula>NOT(ISERROR(SEARCH("(2)",W217)))</formula>
    </cfRule>
    <cfRule type="containsText" dxfId="329" priority="147" stopIfTrue="1" operator="containsText" text="(1)">
      <formula>NOT(ISERROR(SEARCH("(1)",W217)))</formula>
    </cfRule>
  </conditionalFormatting>
  <conditionalFormatting sqref="W218:AD218">
    <cfRule type="containsText" dxfId="328" priority="142" stopIfTrue="1" operator="containsText" text="(3)">
      <formula>NOT(ISERROR(SEARCH("(3)",W218)))</formula>
    </cfRule>
    <cfRule type="containsText" dxfId="327" priority="143" stopIfTrue="1" operator="containsText" text="(2)">
      <formula>NOT(ISERROR(SEARCH("(2)",W218)))</formula>
    </cfRule>
    <cfRule type="containsText" dxfId="326" priority="144" stopIfTrue="1" operator="containsText" text="(1)">
      <formula>NOT(ISERROR(SEARCH("(1)",W218)))</formula>
    </cfRule>
  </conditionalFormatting>
  <conditionalFormatting sqref="W219:AD219">
    <cfRule type="containsText" dxfId="325" priority="139" stopIfTrue="1" operator="containsText" text="(3)">
      <formula>NOT(ISERROR(SEARCH("(3)",W219)))</formula>
    </cfRule>
    <cfRule type="containsText" dxfId="324" priority="140" stopIfTrue="1" operator="containsText" text="(2)">
      <formula>NOT(ISERROR(SEARCH("(2)",W219)))</formula>
    </cfRule>
    <cfRule type="containsText" dxfId="323" priority="141" stopIfTrue="1" operator="containsText" text="(1)">
      <formula>NOT(ISERROR(SEARCH("(1)",W219)))</formula>
    </cfRule>
  </conditionalFormatting>
  <conditionalFormatting sqref="W220:AD220">
    <cfRule type="containsText" dxfId="322" priority="133" stopIfTrue="1" operator="containsText" text="(3)">
      <formula>NOT(ISERROR(SEARCH("(3)",W220)))</formula>
    </cfRule>
    <cfRule type="containsText" dxfId="321" priority="134" stopIfTrue="1" operator="containsText" text="(2)">
      <formula>NOT(ISERROR(SEARCH("(2)",W220)))</formula>
    </cfRule>
    <cfRule type="containsText" dxfId="320" priority="135" stopIfTrue="1" operator="containsText" text="(1)">
      <formula>NOT(ISERROR(SEARCH("(1)",W220)))</formula>
    </cfRule>
  </conditionalFormatting>
  <conditionalFormatting sqref="W221:AD221">
    <cfRule type="containsText" dxfId="319" priority="130" stopIfTrue="1" operator="containsText" text="(3)">
      <formula>NOT(ISERROR(SEARCH("(3)",W221)))</formula>
    </cfRule>
    <cfRule type="containsText" dxfId="318" priority="131" stopIfTrue="1" operator="containsText" text="(2)">
      <formula>NOT(ISERROR(SEARCH("(2)",W221)))</formula>
    </cfRule>
    <cfRule type="containsText" dxfId="317" priority="132" stopIfTrue="1" operator="containsText" text="(1)">
      <formula>NOT(ISERROR(SEARCH("(1)",W221)))</formula>
    </cfRule>
  </conditionalFormatting>
  <conditionalFormatting sqref="W222:AD222">
    <cfRule type="containsText" dxfId="316" priority="127" stopIfTrue="1" operator="containsText" text="(3)">
      <formula>NOT(ISERROR(SEARCH("(3)",W222)))</formula>
    </cfRule>
    <cfRule type="containsText" dxfId="315" priority="128" stopIfTrue="1" operator="containsText" text="(2)">
      <formula>NOT(ISERROR(SEARCH("(2)",W222)))</formula>
    </cfRule>
    <cfRule type="containsText" dxfId="314" priority="129" stopIfTrue="1" operator="containsText" text="(1)">
      <formula>NOT(ISERROR(SEARCH("(1)",W222)))</formula>
    </cfRule>
  </conditionalFormatting>
  <conditionalFormatting sqref="W223:AD223">
    <cfRule type="containsText" dxfId="313" priority="124" stopIfTrue="1" operator="containsText" text="(3)">
      <formula>NOT(ISERROR(SEARCH("(3)",W223)))</formula>
    </cfRule>
    <cfRule type="containsText" dxfId="312" priority="125" stopIfTrue="1" operator="containsText" text="(2)">
      <formula>NOT(ISERROR(SEARCH("(2)",W223)))</formula>
    </cfRule>
    <cfRule type="containsText" dxfId="311" priority="126" stopIfTrue="1" operator="containsText" text="(1)">
      <formula>NOT(ISERROR(SEARCH("(1)",W223)))</formula>
    </cfRule>
  </conditionalFormatting>
  <conditionalFormatting sqref="W224:AD224">
    <cfRule type="containsText" dxfId="310" priority="121" stopIfTrue="1" operator="containsText" text="(3)">
      <formula>NOT(ISERROR(SEARCH("(3)",W224)))</formula>
    </cfRule>
    <cfRule type="containsText" dxfId="309" priority="122" stopIfTrue="1" operator="containsText" text="(2)">
      <formula>NOT(ISERROR(SEARCH("(2)",W224)))</formula>
    </cfRule>
    <cfRule type="containsText" dxfId="308" priority="123" stopIfTrue="1" operator="containsText" text="(1)">
      <formula>NOT(ISERROR(SEARCH("(1)",W224)))</formula>
    </cfRule>
  </conditionalFormatting>
  <conditionalFormatting sqref="W225:AD225">
    <cfRule type="containsText" dxfId="307" priority="118" stopIfTrue="1" operator="containsText" text="(3)">
      <formula>NOT(ISERROR(SEARCH("(3)",W225)))</formula>
    </cfRule>
    <cfRule type="containsText" dxfId="306" priority="119" stopIfTrue="1" operator="containsText" text="(2)">
      <formula>NOT(ISERROR(SEARCH("(2)",W225)))</formula>
    </cfRule>
    <cfRule type="containsText" dxfId="305" priority="120" stopIfTrue="1" operator="containsText" text="(1)">
      <formula>NOT(ISERROR(SEARCH("(1)",W225)))</formula>
    </cfRule>
  </conditionalFormatting>
  <conditionalFormatting sqref="W226:AD226">
    <cfRule type="containsText" dxfId="304" priority="115" stopIfTrue="1" operator="containsText" text="(3)">
      <formula>NOT(ISERROR(SEARCH("(3)",W226)))</formula>
    </cfRule>
    <cfRule type="containsText" dxfId="303" priority="116" stopIfTrue="1" operator="containsText" text="(2)">
      <formula>NOT(ISERROR(SEARCH("(2)",W226)))</formula>
    </cfRule>
    <cfRule type="containsText" dxfId="302" priority="117" stopIfTrue="1" operator="containsText" text="(1)">
      <formula>NOT(ISERROR(SEARCH("(1)",W226)))</formula>
    </cfRule>
  </conditionalFormatting>
  <conditionalFormatting sqref="W227:AD227">
    <cfRule type="containsText" dxfId="301" priority="112" stopIfTrue="1" operator="containsText" text="(3)">
      <formula>NOT(ISERROR(SEARCH("(3)",W227)))</formula>
    </cfRule>
    <cfRule type="containsText" dxfId="300" priority="113" stopIfTrue="1" operator="containsText" text="(2)">
      <formula>NOT(ISERROR(SEARCH("(2)",W227)))</formula>
    </cfRule>
    <cfRule type="containsText" dxfId="299" priority="114" stopIfTrue="1" operator="containsText" text="(1)">
      <formula>NOT(ISERROR(SEARCH("(1)",W227)))</formula>
    </cfRule>
  </conditionalFormatting>
  <conditionalFormatting sqref="W228:AD228">
    <cfRule type="containsText" dxfId="298" priority="109" stopIfTrue="1" operator="containsText" text="(3)">
      <formula>NOT(ISERROR(SEARCH("(3)",W228)))</formula>
    </cfRule>
    <cfRule type="containsText" dxfId="297" priority="110" stopIfTrue="1" operator="containsText" text="(2)">
      <formula>NOT(ISERROR(SEARCH("(2)",W228)))</formula>
    </cfRule>
    <cfRule type="containsText" dxfId="296" priority="111" stopIfTrue="1" operator="containsText" text="(1)">
      <formula>NOT(ISERROR(SEARCH("(1)",W228)))</formula>
    </cfRule>
  </conditionalFormatting>
  <conditionalFormatting sqref="W229:AD229">
    <cfRule type="containsText" dxfId="295" priority="106" stopIfTrue="1" operator="containsText" text="(3)">
      <formula>NOT(ISERROR(SEARCH("(3)",W229)))</formula>
    </cfRule>
    <cfRule type="containsText" dxfId="294" priority="107" stopIfTrue="1" operator="containsText" text="(2)">
      <formula>NOT(ISERROR(SEARCH("(2)",W229)))</formula>
    </cfRule>
    <cfRule type="containsText" dxfId="293" priority="108" stopIfTrue="1" operator="containsText" text="(1)">
      <formula>NOT(ISERROR(SEARCH("(1)",W229)))</formula>
    </cfRule>
  </conditionalFormatting>
  <conditionalFormatting sqref="W230:AD230">
    <cfRule type="containsText" dxfId="292" priority="103" stopIfTrue="1" operator="containsText" text="(3)">
      <formula>NOT(ISERROR(SEARCH("(3)",W230)))</formula>
    </cfRule>
    <cfRule type="containsText" dxfId="291" priority="104" stopIfTrue="1" operator="containsText" text="(2)">
      <formula>NOT(ISERROR(SEARCH("(2)",W230)))</formula>
    </cfRule>
    <cfRule type="containsText" dxfId="290" priority="105" stopIfTrue="1" operator="containsText" text="(1)">
      <formula>NOT(ISERROR(SEARCH("(1)",W230)))</formula>
    </cfRule>
  </conditionalFormatting>
  <conditionalFormatting sqref="W231:AD231">
    <cfRule type="containsText" dxfId="289" priority="100" stopIfTrue="1" operator="containsText" text="(3)">
      <formula>NOT(ISERROR(SEARCH("(3)",W231)))</formula>
    </cfRule>
    <cfRule type="containsText" dxfId="288" priority="101" stopIfTrue="1" operator="containsText" text="(2)">
      <formula>NOT(ISERROR(SEARCH("(2)",W231)))</formula>
    </cfRule>
    <cfRule type="containsText" dxfId="287" priority="102" stopIfTrue="1" operator="containsText" text="(1)">
      <formula>NOT(ISERROR(SEARCH("(1)",W231)))</formula>
    </cfRule>
  </conditionalFormatting>
  <conditionalFormatting sqref="W232:AD232">
    <cfRule type="containsText" dxfId="286" priority="97" stopIfTrue="1" operator="containsText" text="(3)">
      <formula>NOT(ISERROR(SEARCH("(3)",W232)))</formula>
    </cfRule>
    <cfRule type="containsText" dxfId="285" priority="98" stopIfTrue="1" operator="containsText" text="(2)">
      <formula>NOT(ISERROR(SEARCH("(2)",W232)))</formula>
    </cfRule>
    <cfRule type="containsText" dxfId="284" priority="99" stopIfTrue="1" operator="containsText" text="(1)">
      <formula>NOT(ISERROR(SEARCH("(1)",W232)))</formula>
    </cfRule>
  </conditionalFormatting>
  <conditionalFormatting sqref="W233:AD233">
    <cfRule type="containsText" dxfId="283" priority="94" stopIfTrue="1" operator="containsText" text="(3)">
      <formula>NOT(ISERROR(SEARCH("(3)",W233)))</formula>
    </cfRule>
    <cfRule type="containsText" dxfId="282" priority="95" stopIfTrue="1" operator="containsText" text="(2)">
      <formula>NOT(ISERROR(SEARCH("(2)",W233)))</formula>
    </cfRule>
    <cfRule type="containsText" dxfId="281" priority="96" stopIfTrue="1" operator="containsText" text="(1)">
      <formula>NOT(ISERROR(SEARCH("(1)",W233)))</formula>
    </cfRule>
  </conditionalFormatting>
  <conditionalFormatting sqref="W234:AD234">
    <cfRule type="containsText" dxfId="280" priority="91" stopIfTrue="1" operator="containsText" text="(3)">
      <formula>NOT(ISERROR(SEARCH("(3)",W234)))</formula>
    </cfRule>
    <cfRule type="containsText" dxfId="279" priority="92" stopIfTrue="1" operator="containsText" text="(2)">
      <formula>NOT(ISERROR(SEARCH("(2)",W234)))</formula>
    </cfRule>
    <cfRule type="containsText" dxfId="278" priority="93" stopIfTrue="1" operator="containsText" text="(1)">
      <formula>NOT(ISERROR(SEARCH("(1)",W234)))</formula>
    </cfRule>
  </conditionalFormatting>
  <conditionalFormatting sqref="W235:AD235">
    <cfRule type="containsText" dxfId="277" priority="88" stopIfTrue="1" operator="containsText" text="(3)">
      <formula>NOT(ISERROR(SEARCH("(3)",W235)))</formula>
    </cfRule>
    <cfRule type="containsText" dxfId="276" priority="89" stopIfTrue="1" operator="containsText" text="(2)">
      <formula>NOT(ISERROR(SEARCH("(2)",W235)))</formula>
    </cfRule>
    <cfRule type="containsText" dxfId="275" priority="90" stopIfTrue="1" operator="containsText" text="(1)">
      <formula>NOT(ISERROR(SEARCH("(1)",W235)))</formula>
    </cfRule>
  </conditionalFormatting>
  <conditionalFormatting sqref="W236:AD236">
    <cfRule type="containsText" dxfId="274" priority="79" stopIfTrue="1" operator="containsText" text="(3)">
      <formula>NOT(ISERROR(SEARCH("(3)",W236)))</formula>
    </cfRule>
    <cfRule type="containsText" dxfId="273" priority="80" stopIfTrue="1" operator="containsText" text="(2)">
      <formula>NOT(ISERROR(SEARCH("(2)",W236)))</formula>
    </cfRule>
    <cfRule type="containsText" dxfId="272" priority="81" stopIfTrue="1" operator="containsText" text="(1)">
      <formula>NOT(ISERROR(SEARCH("(1)",W236)))</formula>
    </cfRule>
  </conditionalFormatting>
  <conditionalFormatting sqref="W237:AD237">
    <cfRule type="containsText" dxfId="271" priority="76" stopIfTrue="1" operator="containsText" text="(3)">
      <formula>NOT(ISERROR(SEARCH("(3)",W237)))</formula>
    </cfRule>
    <cfRule type="containsText" dxfId="270" priority="77" stopIfTrue="1" operator="containsText" text="(2)">
      <formula>NOT(ISERROR(SEARCH("(2)",W237)))</formula>
    </cfRule>
    <cfRule type="containsText" dxfId="269" priority="78" stopIfTrue="1" operator="containsText" text="(1)">
      <formula>NOT(ISERROR(SEARCH("(1)",W237)))</formula>
    </cfRule>
  </conditionalFormatting>
  <conditionalFormatting sqref="W238:AD238">
    <cfRule type="containsText" dxfId="268" priority="73" stopIfTrue="1" operator="containsText" text="(3)">
      <formula>NOT(ISERROR(SEARCH("(3)",W238)))</formula>
    </cfRule>
    <cfRule type="containsText" dxfId="267" priority="74" stopIfTrue="1" operator="containsText" text="(2)">
      <formula>NOT(ISERROR(SEARCH("(2)",W238)))</formula>
    </cfRule>
    <cfRule type="containsText" dxfId="266" priority="75" stopIfTrue="1" operator="containsText" text="(1)">
      <formula>NOT(ISERROR(SEARCH("(1)",W238)))</formula>
    </cfRule>
  </conditionalFormatting>
  <conditionalFormatting sqref="W239:AD239">
    <cfRule type="containsText" dxfId="265" priority="70" stopIfTrue="1" operator="containsText" text="(3)">
      <formula>NOT(ISERROR(SEARCH("(3)",W239)))</formula>
    </cfRule>
    <cfRule type="containsText" dxfId="264" priority="71" stopIfTrue="1" operator="containsText" text="(2)">
      <formula>NOT(ISERROR(SEARCH("(2)",W239)))</formula>
    </cfRule>
    <cfRule type="containsText" dxfId="263" priority="72" stopIfTrue="1" operator="containsText" text="(1)">
      <formula>NOT(ISERROR(SEARCH("(1)",W239)))</formula>
    </cfRule>
  </conditionalFormatting>
  <conditionalFormatting sqref="W240:AD240">
    <cfRule type="containsText" dxfId="262" priority="67" stopIfTrue="1" operator="containsText" text="(3)">
      <formula>NOT(ISERROR(SEARCH("(3)",W240)))</formula>
    </cfRule>
    <cfRule type="containsText" dxfId="261" priority="68" stopIfTrue="1" operator="containsText" text="(2)">
      <formula>NOT(ISERROR(SEARCH("(2)",W240)))</formula>
    </cfRule>
    <cfRule type="containsText" dxfId="260" priority="69" stopIfTrue="1" operator="containsText" text="(1)">
      <formula>NOT(ISERROR(SEARCH("(1)",W240)))</formula>
    </cfRule>
  </conditionalFormatting>
  <conditionalFormatting sqref="W241:AD241">
    <cfRule type="containsText" dxfId="259" priority="64" stopIfTrue="1" operator="containsText" text="(3)">
      <formula>NOT(ISERROR(SEARCH("(3)",W241)))</formula>
    </cfRule>
    <cfRule type="containsText" dxfId="258" priority="65" stopIfTrue="1" operator="containsText" text="(2)">
      <formula>NOT(ISERROR(SEARCH("(2)",W241)))</formula>
    </cfRule>
    <cfRule type="containsText" dxfId="257" priority="66" stopIfTrue="1" operator="containsText" text="(1)">
      <formula>NOT(ISERROR(SEARCH("(1)",W241)))</formula>
    </cfRule>
  </conditionalFormatting>
  <conditionalFormatting sqref="W242:AD242">
    <cfRule type="containsText" dxfId="256" priority="61" stopIfTrue="1" operator="containsText" text="(3)">
      <formula>NOT(ISERROR(SEARCH("(3)",W242)))</formula>
    </cfRule>
    <cfRule type="containsText" dxfId="255" priority="62" stopIfTrue="1" operator="containsText" text="(2)">
      <formula>NOT(ISERROR(SEARCH("(2)",W242)))</formula>
    </cfRule>
    <cfRule type="containsText" dxfId="254" priority="63" stopIfTrue="1" operator="containsText" text="(1)">
      <formula>NOT(ISERROR(SEARCH("(1)",W242)))</formula>
    </cfRule>
  </conditionalFormatting>
  <conditionalFormatting sqref="W243:AD243">
    <cfRule type="containsText" dxfId="253" priority="58" stopIfTrue="1" operator="containsText" text="(3)">
      <formula>NOT(ISERROR(SEARCH("(3)",W243)))</formula>
    </cfRule>
    <cfRule type="containsText" dxfId="252" priority="59" stopIfTrue="1" operator="containsText" text="(2)">
      <formula>NOT(ISERROR(SEARCH("(2)",W243)))</formula>
    </cfRule>
    <cfRule type="containsText" dxfId="251" priority="60" stopIfTrue="1" operator="containsText" text="(1)">
      <formula>NOT(ISERROR(SEARCH("(1)",W243)))</formula>
    </cfRule>
  </conditionalFormatting>
  <conditionalFormatting sqref="W244:AD244">
    <cfRule type="containsText" dxfId="250" priority="55" stopIfTrue="1" operator="containsText" text="(3)">
      <formula>NOT(ISERROR(SEARCH("(3)",W244)))</formula>
    </cfRule>
    <cfRule type="containsText" dxfId="249" priority="56" stopIfTrue="1" operator="containsText" text="(2)">
      <formula>NOT(ISERROR(SEARCH("(2)",W244)))</formula>
    </cfRule>
    <cfRule type="containsText" dxfId="248" priority="57" stopIfTrue="1" operator="containsText" text="(1)">
      <formula>NOT(ISERROR(SEARCH("(1)",W244)))</formula>
    </cfRule>
  </conditionalFormatting>
  <conditionalFormatting sqref="W245:AD245">
    <cfRule type="containsText" dxfId="247" priority="52" stopIfTrue="1" operator="containsText" text="(3)">
      <formula>NOT(ISERROR(SEARCH("(3)",W245)))</formula>
    </cfRule>
    <cfRule type="containsText" dxfId="246" priority="53" stopIfTrue="1" operator="containsText" text="(2)">
      <formula>NOT(ISERROR(SEARCH("(2)",W245)))</formula>
    </cfRule>
    <cfRule type="containsText" dxfId="245" priority="54" stopIfTrue="1" operator="containsText" text="(1)">
      <formula>NOT(ISERROR(SEARCH("(1)",W245)))</formula>
    </cfRule>
  </conditionalFormatting>
  <conditionalFormatting sqref="W246:AD246">
    <cfRule type="containsText" dxfId="244" priority="49" stopIfTrue="1" operator="containsText" text="(3)">
      <formula>NOT(ISERROR(SEARCH("(3)",W246)))</formula>
    </cfRule>
    <cfRule type="containsText" dxfId="243" priority="50" stopIfTrue="1" operator="containsText" text="(2)">
      <formula>NOT(ISERROR(SEARCH("(2)",W246)))</formula>
    </cfRule>
    <cfRule type="containsText" dxfId="242" priority="51" stopIfTrue="1" operator="containsText" text="(1)">
      <formula>NOT(ISERROR(SEARCH("(1)",W246)))</formula>
    </cfRule>
  </conditionalFormatting>
  <conditionalFormatting sqref="W247:AD247">
    <cfRule type="containsText" dxfId="241" priority="46" stopIfTrue="1" operator="containsText" text="(3)">
      <formula>NOT(ISERROR(SEARCH("(3)",W247)))</formula>
    </cfRule>
    <cfRule type="containsText" dxfId="240" priority="47" stopIfTrue="1" operator="containsText" text="(2)">
      <formula>NOT(ISERROR(SEARCH("(2)",W247)))</formula>
    </cfRule>
    <cfRule type="containsText" dxfId="239" priority="48" stopIfTrue="1" operator="containsText" text="(1)">
      <formula>NOT(ISERROR(SEARCH("(1)",W247)))</formula>
    </cfRule>
  </conditionalFormatting>
  <conditionalFormatting sqref="W248:AD248">
    <cfRule type="containsText" dxfId="238" priority="43" stopIfTrue="1" operator="containsText" text="(3)">
      <formula>NOT(ISERROR(SEARCH("(3)",W248)))</formula>
    </cfRule>
    <cfRule type="containsText" dxfId="237" priority="44" stopIfTrue="1" operator="containsText" text="(2)">
      <formula>NOT(ISERROR(SEARCH("(2)",W248)))</formula>
    </cfRule>
    <cfRule type="containsText" dxfId="236" priority="45" stopIfTrue="1" operator="containsText" text="(1)">
      <formula>NOT(ISERROR(SEARCH("(1)",W248)))</formula>
    </cfRule>
  </conditionalFormatting>
  <conditionalFormatting sqref="W249:AD249">
    <cfRule type="containsText" dxfId="235" priority="40" stopIfTrue="1" operator="containsText" text="(3)">
      <formula>NOT(ISERROR(SEARCH("(3)",W249)))</formula>
    </cfRule>
    <cfRule type="containsText" dxfId="234" priority="41" stopIfTrue="1" operator="containsText" text="(2)">
      <formula>NOT(ISERROR(SEARCH("(2)",W249)))</formula>
    </cfRule>
    <cfRule type="containsText" dxfId="233" priority="42" stopIfTrue="1" operator="containsText" text="(1)">
      <formula>NOT(ISERROR(SEARCH("(1)",W249)))</formula>
    </cfRule>
  </conditionalFormatting>
  <conditionalFormatting sqref="W250:AD250">
    <cfRule type="containsText" dxfId="232" priority="37" stopIfTrue="1" operator="containsText" text="(3)">
      <formula>NOT(ISERROR(SEARCH("(3)",W250)))</formula>
    </cfRule>
    <cfRule type="containsText" dxfId="231" priority="38" stopIfTrue="1" operator="containsText" text="(2)">
      <formula>NOT(ISERROR(SEARCH("(2)",W250)))</formula>
    </cfRule>
    <cfRule type="containsText" dxfId="230" priority="39" stopIfTrue="1" operator="containsText" text="(1)">
      <formula>NOT(ISERROR(SEARCH("(1)",W250)))</formula>
    </cfRule>
  </conditionalFormatting>
  <conditionalFormatting sqref="W251:AD251">
    <cfRule type="containsText" dxfId="229" priority="34" stopIfTrue="1" operator="containsText" text="(3)">
      <formula>NOT(ISERROR(SEARCH("(3)",W251)))</formula>
    </cfRule>
    <cfRule type="containsText" dxfId="228" priority="35" stopIfTrue="1" operator="containsText" text="(2)">
      <formula>NOT(ISERROR(SEARCH("(2)",W251)))</formula>
    </cfRule>
    <cfRule type="containsText" dxfId="227" priority="36" stopIfTrue="1" operator="containsText" text="(1)">
      <formula>NOT(ISERROR(SEARCH("(1)",W251)))</formula>
    </cfRule>
  </conditionalFormatting>
  <conditionalFormatting sqref="W252:AD252">
    <cfRule type="containsText" dxfId="226" priority="31" stopIfTrue="1" operator="containsText" text="(3)">
      <formula>NOT(ISERROR(SEARCH("(3)",W252)))</formula>
    </cfRule>
    <cfRule type="containsText" dxfId="225" priority="32" stopIfTrue="1" operator="containsText" text="(2)">
      <formula>NOT(ISERROR(SEARCH("(2)",W252)))</formula>
    </cfRule>
    <cfRule type="containsText" dxfId="224" priority="33" stopIfTrue="1" operator="containsText" text="(1)">
      <formula>NOT(ISERROR(SEARCH("(1)",W252)))</formula>
    </cfRule>
  </conditionalFormatting>
  <conditionalFormatting sqref="W253:AD253">
    <cfRule type="containsText" dxfId="223" priority="28" stopIfTrue="1" operator="containsText" text="(3)">
      <formula>NOT(ISERROR(SEARCH("(3)",W253)))</formula>
    </cfRule>
    <cfRule type="containsText" dxfId="222" priority="29" stopIfTrue="1" operator="containsText" text="(2)">
      <formula>NOT(ISERROR(SEARCH("(2)",W253)))</formula>
    </cfRule>
    <cfRule type="containsText" dxfId="221" priority="30" stopIfTrue="1" operator="containsText" text="(1)">
      <formula>NOT(ISERROR(SEARCH("(1)",W253)))</formula>
    </cfRule>
  </conditionalFormatting>
  <conditionalFormatting sqref="W254:AD254">
    <cfRule type="containsText" dxfId="220" priority="25" stopIfTrue="1" operator="containsText" text="(3)">
      <formula>NOT(ISERROR(SEARCH("(3)",W254)))</formula>
    </cfRule>
    <cfRule type="containsText" dxfId="219" priority="26" stopIfTrue="1" operator="containsText" text="(2)">
      <formula>NOT(ISERROR(SEARCH("(2)",W254)))</formula>
    </cfRule>
    <cfRule type="containsText" dxfId="218" priority="27" stopIfTrue="1" operator="containsText" text="(1)">
      <formula>NOT(ISERROR(SEARCH("(1)",W254)))</formula>
    </cfRule>
  </conditionalFormatting>
  <conditionalFormatting sqref="W255:AD255">
    <cfRule type="containsText" dxfId="217" priority="22" stopIfTrue="1" operator="containsText" text="(3)">
      <formula>NOT(ISERROR(SEARCH("(3)",W255)))</formula>
    </cfRule>
    <cfRule type="containsText" dxfId="216" priority="23" stopIfTrue="1" operator="containsText" text="(2)">
      <formula>NOT(ISERROR(SEARCH("(2)",W255)))</formula>
    </cfRule>
    <cfRule type="containsText" dxfId="215" priority="24" stopIfTrue="1" operator="containsText" text="(1)">
      <formula>NOT(ISERROR(SEARCH("(1)",W255)))</formula>
    </cfRule>
  </conditionalFormatting>
  <conditionalFormatting sqref="W256:AD256">
    <cfRule type="containsText" dxfId="214" priority="19" stopIfTrue="1" operator="containsText" text="(3)">
      <formula>NOT(ISERROR(SEARCH("(3)",W256)))</formula>
    </cfRule>
    <cfRule type="containsText" dxfId="213" priority="20" stopIfTrue="1" operator="containsText" text="(2)">
      <formula>NOT(ISERROR(SEARCH("(2)",W256)))</formula>
    </cfRule>
    <cfRule type="containsText" dxfId="212" priority="21" stopIfTrue="1" operator="containsText" text="(1)">
      <formula>NOT(ISERROR(SEARCH("(1)",W256)))</formula>
    </cfRule>
  </conditionalFormatting>
  <conditionalFormatting sqref="W257:AD257">
    <cfRule type="containsText" dxfId="211" priority="16" stopIfTrue="1" operator="containsText" text="(3)">
      <formula>NOT(ISERROR(SEARCH("(3)",W257)))</formula>
    </cfRule>
    <cfRule type="containsText" dxfId="210" priority="17" stopIfTrue="1" operator="containsText" text="(2)">
      <formula>NOT(ISERROR(SEARCH("(2)",W257)))</formula>
    </cfRule>
    <cfRule type="containsText" dxfId="209" priority="18" stopIfTrue="1" operator="containsText" text="(1)">
      <formula>NOT(ISERROR(SEARCH("(1)",W257)))</formula>
    </cfRule>
  </conditionalFormatting>
  <conditionalFormatting sqref="W258:AD258">
    <cfRule type="containsText" dxfId="208" priority="13" stopIfTrue="1" operator="containsText" text="(3)">
      <formula>NOT(ISERROR(SEARCH("(3)",W258)))</formula>
    </cfRule>
    <cfRule type="containsText" dxfId="207" priority="14" stopIfTrue="1" operator="containsText" text="(2)">
      <formula>NOT(ISERROR(SEARCH("(2)",W258)))</formula>
    </cfRule>
    <cfRule type="containsText" dxfId="206" priority="15" stopIfTrue="1" operator="containsText" text="(1)">
      <formula>NOT(ISERROR(SEARCH("(1)",W258)))</formula>
    </cfRule>
  </conditionalFormatting>
  <conditionalFormatting sqref="W259:AD259">
    <cfRule type="containsText" dxfId="205" priority="10" stopIfTrue="1" operator="containsText" text="(3)">
      <formula>NOT(ISERROR(SEARCH("(3)",W259)))</formula>
    </cfRule>
    <cfRule type="containsText" dxfId="204" priority="11" stopIfTrue="1" operator="containsText" text="(2)">
      <formula>NOT(ISERROR(SEARCH("(2)",W259)))</formula>
    </cfRule>
    <cfRule type="containsText" dxfId="203" priority="12" stopIfTrue="1" operator="containsText" text="(1)">
      <formula>NOT(ISERROR(SEARCH("(1)",W259)))</formula>
    </cfRule>
  </conditionalFormatting>
  <conditionalFormatting sqref="W260:AD260">
    <cfRule type="containsText" dxfId="202" priority="7" stopIfTrue="1" operator="containsText" text="(3)">
      <formula>NOT(ISERROR(SEARCH("(3)",W260)))</formula>
    </cfRule>
    <cfRule type="containsText" dxfId="201" priority="8" stopIfTrue="1" operator="containsText" text="(2)">
      <formula>NOT(ISERROR(SEARCH("(2)",W260)))</formula>
    </cfRule>
    <cfRule type="containsText" dxfId="200" priority="9" stopIfTrue="1" operator="containsText" text="(1)">
      <formula>NOT(ISERROR(SEARCH("(1)",W260)))</formula>
    </cfRule>
  </conditionalFormatting>
  <conditionalFormatting sqref="W261:AD261">
    <cfRule type="containsText" dxfId="199" priority="4" stopIfTrue="1" operator="containsText" text="(3)">
      <formula>NOT(ISERROR(SEARCH("(3)",W261)))</formula>
    </cfRule>
    <cfRule type="containsText" dxfId="198" priority="5" stopIfTrue="1" operator="containsText" text="(2)">
      <formula>NOT(ISERROR(SEARCH("(2)",W261)))</formula>
    </cfRule>
    <cfRule type="containsText" dxfId="197" priority="6" stopIfTrue="1" operator="containsText" text="(1)">
      <formula>NOT(ISERROR(SEARCH("(1)",W261)))</formula>
    </cfRule>
  </conditionalFormatting>
  <conditionalFormatting sqref="W262:AD262">
    <cfRule type="containsText" dxfId="196" priority="1" stopIfTrue="1" operator="containsText" text="(3)">
      <formula>NOT(ISERROR(SEARCH("(3)",W262)))</formula>
    </cfRule>
    <cfRule type="containsText" dxfId="195" priority="2" stopIfTrue="1" operator="containsText" text="(2)">
      <formula>NOT(ISERROR(SEARCH("(2)",W262)))</formula>
    </cfRule>
    <cfRule type="containsText" dxfId="194" priority="3" stopIfTrue="1" operator="containsText" text="(1)">
      <formula>NOT(ISERROR(SEARCH("(1)",W262)))</formula>
    </cfRule>
  </conditionalFormatting>
  <pageMargins left="0.25" right="0.25" top="0.75" bottom="0.75" header="0.3" footer="0.3"/>
  <pageSetup fitToWidth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63" r:id="rId4" name="Button 27">
              <controlPr defaultSize="0" print="0" autoFill="0" autoPict="0" macro="[0]!DeleteSortedDownload">
                <anchor moveWithCells="1">
                  <from>
                    <xdr:col>13</xdr:col>
                    <xdr:colOff>523875</xdr:colOff>
                    <xdr:row>0</xdr:row>
                    <xdr:rowOff>19050</xdr:rowOff>
                  </from>
                  <to>
                    <xdr:col>14</xdr:col>
                    <xdr:colOff>238125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5" name="Button 28">
              <controlPr defaultSize="0" print="0" autoFill="0" autoPict="0" macro="[0]!RemoveDuplicateID">
                <anchor moveWithCells="1">
                  <from>
                    <xdr:col>6</xdr:col>
                    <xdr:colOff>19050</xdr:colOff>
                    <xdr:row>0</xdr:row>
                    <xdr:rowOff>19050</xdr:rowOff>
                  </from>
                  <to>
                    <xdr:col>8</xdr:col>
                    <xdr:colOff>781050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6" name="Button 29">
              <controlPr defaultSize="0" print="0" autoFill="0" autoPict="0" macro="[0]!SortSortedDownload">
                <anchor mov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5</xdr:col>
                    <xdr:colOff>123825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" name="Button 32">
              <controlPr defaultSize="0" print="0" autoFill="0" autoPict="0" macro="[0]!PenaltyForm">
                <anchor moveWithCells="1"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5</xdr:col>
                    <xdr:colOff>123825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8" name="Button 33">
              <controlPr defaultSize="0" print="0" autoFill="0" autoPict="0" macro="[0]!HighlightOutliers">
                <anchor mov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5</xdr:col>
                    <xdr:colOff>304800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9" name="Button 39">
              <controlPr defaultSize="0" print="0" autoFill="0" autoPict="0" macro="[0]!CalculateCategories">
                <anchor moveWithCells="1">
                  <from>
                    <xdr:col>14</xdr:col>
                    <xdr:colOff>266700</xdr:colOff>
                    <xdr:row>0</xdr:row>
                    <xdr:rowOff>19050</xdr:rowOff>
                  </from>
                  <to>
                    <xdr:col>16</xdr:col>
                    <xdr:colOff>133350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10" name="Button 41">
              <controlPr defaultSize="0" print="0" autoFill="0" autoPict="0" macro="[0]!CategoryFilter">
                <anchor moveWithCells="1">
                  <from>
                    <xdr:col>16</xdr:col>
                    <xdr:colOff>180975</xdr:colOff>
                    <xdr:row>0</xdr:row>
                    <xdr:rowOff>19050</xdr:rowOff>
                  </from>
                  <to>
                    <xdr:col>18</xdr:col>
                    <xdr:colOff>95250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11" name="Button 42">
              <controlPr defaultSize="0" print="0" autoFill="0" autoPict="0" macro="[0]!CalculateTeams">
                <anchor moveWithCells="1">
                  <from>
                    <xdr:col>18</xdr:col>
                    <xdr:colOff>438150</xdr:colOff>
                    <xdr:row>0</xdr:row>
                    <xdr:rowOff>19050</xdr:rowOff>
                  </from>
                  <to>
                    <xdr:col>20</xdr:col>
                    <xdr:colOff>361950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500"/>
  <sheetViews>
    <sheetView topLeftCell="A175" workbookViewId="0">
      <selection activeCell="B260" sqref="B260"/>
    </sheetView>
  </sheetViews>
  <sheetFormatPr defaultRowHeight="12.75"/>
  <cols>
    <col min="1" max="1" width="11.7109375" bestFit="1" customWidth="1"/>
    <col min="2" max="2" width="12.85546875" bestFit="1" customWidth="1"/>
    <col min="3" max="4" width="25.5703125" bestFit="1" customWidth="1"/>
    <col min="5" max="5" width="20.140625" bestFit="1" customWidth="1"/>
    <col min="6" max="6" width="20.42578125" customWidth="1"/>
    <col min="7" max="7" width="17" bestFit="1" customWidth="1"/>
    <col min="8" max="8" width="16.140625" bestFit="1" customWidth="1"/>
  </cols>
  <sheetData>
    <row r="1" spans="1:8" ht="13.5" thickBot="1">
      <c r="A1" s="20" t="s">
        <v>572</v>
      </c>
      <c r="B1" s="20" t="s">
        <v>574</v>
      </c>
      <c r="C1" s="20" t="s">
        <v>573</v>
      </c>
      <c r="D1" s="20" t="s">
        <v>575</v>
      </c>
      <c r="E1" s="20" t="s">
        <v>577</v>
      </c>
      <c r="F1" s="20" t="s">
        <v>577</v>
      </c>
      <c r="G1" s="20" t="s">
        <v>576</v>
      </c>
      <c r="H1" s="20" t="s">
        <v>576</v>
      </c>
    </row>
    <row r="2" spans="1:8" ht="13.5" thickBot="1">
      <c r="A2">
        <v>250</v>
      </c>
      <c r="B2" s="362">
        <v>250</v>
      </c>
      <c r="D2" s="362"/>
      <c r="E2" t="str">
        <f>IF(ISERROR(VLOOKUP(A2,$B$2:$B$500,1,FALSE)),A2,"")</f>
        <v/>
      </c>
      <c r="F2">
        <f>IF(ISERROR(VLOOKUP(C2,$D$2:$D$500,1,FALSE)),C2,"")</f>
        <v>0</v>
      </c>
      <c r="G2" t="str">
        <f>IF(ISERROR(VLOOKUP(B2,$A$2:$A$500,1,FALSE)),B2,"")</f>
        <v/>
      </c>
      <c r="H2">
        <f t="shared" ref="H2:H65" si="0">IF(ISERROR(VLOOKUP(D2,$C$2:$C$500,1,FALSE)),D2,"")</f>
        <v>0</v>
      </c>
    </row>
    <row r="3" spans="1:8" ht="13.5" thickBot="1">
      <c r="A3">
        <v>192</v>
      </c>
      <c r="B3" s="362">
        <v>192</v>
      </c>
      <c r="D3" s="362"/>
      <c r="E3" t="str">
        <f t="shared" ref="E3:E6" si="1">IF(ISERROR(VLOOKUP(A3,$B$2:$B$500,1,FALSE)),A3,"")</f>
        <v/>
      </c>
      <c r="F3">
        <f t="shared" ref="F3:F66" si="2">IF(ISERROR(VLOOKUP(C3,$D$2:$D$500,1,FALSE)),C3,"")</f>
        <v>0</v>
      </c>
      <c r="G3" t="str">
        <f t="shared" ref="G3:G66" si="3">IF(ISERROR(VLOOKUP(B3,$A$2:$A$500,1,FALSE)),B3,"")</f>
        <v/>
      </c>
      <c r="H3">
        <f t="shared" si="0"/>
        <v>0</v>
      </c>
    </row>
    <row r="4" spans="1:8" ht="13.5" thickBot="1">
      <c r="A4">
        <v>36</v>
      </c>
      <c r="B4" s="362">
        <v>36</v>
      </c>
      <c r="D4" s="362"/>
      <c r="E4" t="str">
        <f t="shared" si="1"/>
        <v/>
      </c>
      <c r="F4">
        <f t="shared" si="2"/>
        <v>0</v>
      </c>
      <c r="G4" t="str">
        <f t="shared" si="3"/>
        <v/>
      </c>
      <c r="H4">
        <f t="shared" si="0"/>
        <v>0</v>
      </c>
    </row>
    <row r="5" spans="1:8" ht="13.5" thickBot="1">
      <c r="A5">
        <v>294</v>
      </c>
      <c r="B5" s="362">
        <v>294</v>
      </c>
      <c r="D5" s="362"/>
      <c r="E5" t="str">
        <f t="shared" si="1"/>
        <v/>
      </c>
      <c r="F5">
        <f t="shared" si="2"/>
        <v>0</v>
      </c>
      <c r="G5" t="str">
        <f t="shared" si="3"/>
        <v/>
      </c>
      <c r="H5">
        <f t="shared" si="0"/>
        <v>0</v>
      </c>
    </row>
    <row r="6" spans="1:8" ht="13.5" thickBot="1">
      <c r="A6">
        <v>225</v>
      </c>
      <c r="B6" s="362">
        <v>225</v>
      </c>
      <c r="D6" s="362"/>
      <c r="E6" t="str">
        <f t="shared" si="1"/>
        <v/>
      </c>
      <c r="F6">
        <f t="shared" si="2"/>
        <v>0</v>
      </c>
      <c r="G6" t="str">
        <f t="shared" si="3"/>
        <v/>
      </c>
      <c r="H6">
        <f t="shared" si="0"/>
        <v>0</v>
      </c>
    </row>
    <row r="7" spans="1:8" ht="13.5" thickBot="1">
      <c r="A7">
        <v>200</v>
      </c>
      <c r="B7" s="362">
        <v>200</v>
      </c>
      <c r="D7" s="362"/>
      <c r="E7" t="str">
        <f t="shared" ref="E7:E66" si="4">IF(ISERROR(VLOOKUP(A7,$B$2:$B$500,1,FALSE)),A7,"")</f>
        <v/>
      </c>
      <c r="F7">
        <f t="shared" si="2"/>
        <v>0</v>
      </c>
      <c r="G7" t="str">
        <f t="shared" si="3"/>
        <v/>
      </c>
      <c r="H7">
        <f t="shared" si="0"/>
        <v>0</v>
      </c>
    </row>
    <row r="8" spans="1:8" ht="13.5" thickBot="1">
      <c r="A8">
        <v>168</v>
      </c>
      <c r="B8" s="362">
        <v>168</v>
      </c>
      <c r="D8" s="362"/>
      <c r="E8" t="str">
        <f t="shared" si="4"/>
        <v/>
      </c>
      <c r="F8">
        <f t="shared" si="2"/>
        <v>0</v>
      </c>
      <c r="G8" t="str">
        <f t="shared" si="3"/>
        <v/>
      </c>
      <c r="H8">
        <f t="shared" si="0"/>
        <v>0</v>
      </c>
    </row>
    <row r="9" spans="1:8" ht="13.5" thickBot="1">
      <c r="A9">
        <v>246</v>
      </c>
      <c r="B9" s="362">
        <v>246</v>
      </c>
      <c r="D9" s="362"/>
      <c r="E9" t="str">
        <f t="shared" si="4"/>
        <v/>
      </c>
      <c r="F9">
        <f t="shared" si="2"/>
        <v>0</v>
      </c>
      <c r="G9" t="str">
        <f t="shared" si="3"/>
        <v/>
      </c>
      <c r="H9">
        <f t="shared" si="0"/>
        <v>0</v>
      </c>
    </row>
    <row r="10" spans="1:8" ht="13.5" thickBot="1">
      <c r="A10">
        <v>193</v>
      </c>
      <c r="B10" s="362">
        <v>193</v>
      </c>
      <c r="D10" s="362"/>
      <c r="E10" t="str">
        <f t="shared" si="4"/>
        <v/>
      </c>
      <c r="F10">
        <f t="shared" si="2"/>
        <v>0</v>
      </c>
      <c r="G10" t="str">
        <f t="shared" si="3"/>
        <v/>
      </c>
      <c r="H10">
        <f t="shared" si="0"/>
        <v>0</v>
      </c>
    </row>
    <row r="11" spans="1:8" ht="13.5" thickBot="1">
      <c r="A11">
        <v>8</v>
      </c>
      <c r="B11" s="362">
        <v>8</v>
      </c>
      <c r="D11" s="362"/>
      <c r="E11" t="str">
        <f t="shared" si="4"/>
        <v/>
      </c>
      <c r="F11">
        <f t="shared" si="2"/>
        <v>0</v>
      </c>
      <c r="G11" t="str">
        <f t="shared" si="3"/>
        <v/>
      </c>
      <c r="H11">
        <f t="shared" si="0"/>
        <v>0</v>
      </c>
    </row>
    <row r="12" spans="1:8" ht="13.5" thickBot="1">
      <c r="A12">
        <v>35</v>
      </c>
      <c r="B12" s="362">
        <v>35</v>
      </c>
      <c r="D12" s="362"/>
      <c r="E12" t="str">
        <f t="shared" si="4"/>
        <v/>
      </c>
      <c r="F12">
        <f t="shared" si="2"/>
        <v>0</v>
      </c>
      <c r="G12" t="str">
        <f t="shared" si="3"/>
        <v/>
      </c>
      <c r="H12">
        <f t="shared" si="0"/>
        <v>0</v>
      </c>
    </row>
    <row r="13" spans="1:8" ht="13.5" thickBot="1">
      <c r="A13">
        <v>248</v>
      </c>
      <c r="B13" s="362">
        <v>248</v>
      </c>
      <c r="D13" s="362"/>
      <c r="E13" t="str">
        <f t="shared" si="4"/>
        <v/>
      </c>
      <c r="F13">
        <f t="shared" si="2"/>
        <v>0</v>
      </c>
      <c r="G13" t="str">
        <f t="shared" si="3"/>
        <v/>
      </c>
      <c r="H13">
        <f t="shared" si="0"/>
        <v>0</v>
      </c>
    </row>
    <row r="14" spans="1:8" ht="13.5" thickBot="1">
      <c r="A14">
        <v>131</v>
      </c>
      <c r="B14" s="362">
        <v>131</v>
      </c>
      <c r="D14" s="362"/>
      <c r="E14" t="str">
        <f t="shared" si="4"/>
        <v/>
      </c>
      <c r="F14">
        <f t="shared" si="2"/>
        <v>0</v>
      </c>
      <c r="G14" t="str">
        <f t="shared" si="3"/>
        <v/>
      </c>
      <c r="H14">
        <f t="shared" si="0"/>
        <v>0</v>
      </c>
    </row>
    <row r="15" spans="1:8" ht="13.5" thickBot="1">
      <c r="A15">
        <v>216</v>
      </c>
      <c r="B15" s="362">
        <v>216</v>
      </c>
      <c r="D15" s="362"/>
      <c r="E15" t="str">
        <f t="shared" si="4"/>
        <v/>
      </c>
      <c r="F15">
        <f t="shared" si="2"/>
        <v>0</v>
      </c>
      <c r="G15" t="str">
        <f t="shared" si="3"/>
        <v/>
      </c>
      <c r="H15">
        <f t="shared" si="0"/>
        <v>0</v>
      </c>
    </row>
    <row r="16" spans="1:8" ht="13.5" thickBot="1">
      <c r="A16">
        <v>249</v>
      </c>
      <c r="B16" s="362">
        <v>249</v>
      </c>
      <c r="D16" s="362"/>
      <c r="E16" t="str">
        <f t="shared" si="4"/>
        <v/>
      </c>
      <c r="F16">
        <f t="shared" si="2"/>
        <v>0</v>
      </c>
      <c r="G16" t="str">
        <f t="shared" si="3"/>
        <v/>
      </c>
      <c r="H16">
        <f t="shared" si="0"/>
        <v>0</v>
      </c>
    </row>
    <row r="17" spans="1:8" ht="13.5" thickBot="1">
      <c r="A17">
        <v>135</v>
      </c>
      <c r="B17" s="362">
        <v>135</v>
      </c>
      <c r="D17" s="362"/>
      <c r="E17" t="str">
        <f t="shared" si="4"/>
        <v/>
      </c>
      <c r="F17">
        <f t="shared" si="2"/>
        <v>0</v>
      </c>
      <c r="G17" t="str">
        <f t="shared" si="3"/>
        <v/>
      </c>
      <c r="H17">
        <f t="shared" si="0"/>
        <v>0</v>
      </c>
    </row>
    <row r="18" spans="1:8" ht="13.5" thickBot="1">
      <c r="A18">
        <v>101</v>
      </c>
      <c r="B18" s="362">
        <v>101</v>
      </c>
      <c r="D18" s="362"/>
      <c r="E18" t="str">
        <f t="shared" si="4"/>
        <v/>
      </c>
      <c r="F18">
        <f t="shared" si="2"/>
        <v>0</v>
      </c>
      <c r="G18" t="str">
        <f t="shared" si="3"/>
        <v/>
      </c>
      <c r="H18">
        <f t="shared" si="0"/>
        <v>0</v>
      </c>
    </row>
    <row r="19" spans="1:8" ht="13.5" thickBot="1">
      <c r="A19">
        <v>170</v>
      </c>
      <c r="B19" s="362">
        <v>170</v>
      </c>
      <c r="D19" s="362"/>
      <c r="E19" t="str">
        <f t="shared" si="4"/>
        <v/>
      </c>
      <c r="F19">
        <f t="shared" si="2"/>
        <v>0</v>
      </c>
      <c r="G19" t="str">
        <f t="shared" si="3"/>
        <v/>
      </c>
      <c r="H19">
        <f t="shared" si="0"/>
        <v>0</v>
      </c>
    </row>
    <row r="20" spans="1:8" ht="13.5" thickBot="1">
      <c r="A20">
        <v>253</v>
      </c>
      <c r="B20" s="362">
        <v>253</v>
      </c>
      <c r="D20" s="362"/>
      <c r="E20" t="str">
        <f t="shared" si="4"/>
        <v/>
      </c>
      <c r="F20">
        <f t="shared" si="2"/>
        <v>0</v>
      </c>
      <c r="G20" t="str">
        <f t="shared" si="3"/>
        <v/>
      </c>
      <c r="H20">
        <f t="shared" si="0"/>
        <v>0</v>
      </c>
    </row>
    <row r="21" spans="1:8" ht="13.5" thickBot="1">
      <c r="A21">
        <v>122</v>
      </c>
      <c r="B21" s="362">
        <v>122</v>
      </c>
      <c r="D21" s="362"/>
      <c r="E21" t="str">
        <f t="shared" si="4"/>
        <v/>
      </c>
      <c r="F21">
        <f t="shared" si="2"/>
        <v>0</v>
      </c>
      <c r="G21" t="str">
        <f t="shared" si="3"/>
        <v/>
      </c>
      <c r="H21">
        <f t="shared" si="0"/>
        <v>0</v>
      </c>
    </row>
    <row r="22" spans="1:8" ht="13.5" thickBot="1">
      <c r="A22">
        <v>219</v>
      </c>
      <c r="B22" s="362">
        <v>219</v>
      </c>
      <c r="D22" s="362"/>
      <c r="E22" t="str">
        <f t="shared" si="4"/>
        <v/>
      </c>
      <c r="F22">
        <f t="shared" si="2"/>
        <v>0</v>
      </c>
      <c r="G22" t="str">
        <f t="shared" si="3"/>
        <v/>
      </c>
      <c r="H22">
        <f t="shared" si="0"/>
        <v>0</v>
      </c>
    </row>
    <row r="23" spans="1:8" ht="13.5" thickBot="1">
      <c r="A23">
        <v>274</v>
      </c>
      <c r="B23" s="362">
        <v>274</v>
      </c>
      <c r="D23" s="362"/>
      <c r="E23" t="str">
        <f t="shared" si="4"/>
        <v/>
      </c>
      <c r="F23">
        <f t="shared" si="2"/>
        <v>0</v>
      </c>
      <c r="G23" t="str">
        <f t="shared" si="3"/>
        <v/>
      </c>
      <c r="H23">
        <f t="shared" si="0"/>
        <v>0</v>
      </c>
    </row>
    <row r="24" spans="1:8" ht="13.5" thickBot="1">
      <c r="A24">
        <v>258</v>
      </c>
      <c r="B24" s="362">
        <v>258</v>
      </c>
      <c r="D24" s="362"/>
      <c r="E24" t="str">
        <f t="shared" si="4"/>
        <v/>
      </c>
      <c r="F24">
        <f t="shared" si="2"/>
        <v>0</v>
      </c>
      <c r="G24" t="str">
        <f t="shared" si="3"/>
        <v/>
      </c>
      <c r="H24">
        <f t="shared" si="0"/>
        <v>0</v>
      </c>
    </row>
    <row r="25" spans="1:8" ht="13.5" thickBot="1">
      <c r="A25">
        <v>252</v>
      </c>
      <c r="B25" s="362">
        <v>252</v>
      </c>
      <c r="D25" s="362"/>
      <c r="E25" t="str">
        <f t="shared" si="4"/>
        <v/>
      </c>
      <c r="F25">
        <f t="shared" si="2"/>
        <v>0</v>
      </c>
      <c r="G25" t="str">
        <f t="shared" si="3"/>
        <v/>
      </c>
      <c r="H25">
        <f t="shared" si="0"/>
        <v>0</v>
      </c>
    </row>
    <row r="26" spans="1:8" ht="13.5" thickBot="1">
      <c r="A26">
        <v>57</v>
      </c>
      <c r="B26" s="362">
        <v>57</v>
      </c>
      <c r="D26" s="362"/>
      <c r="E26" t="str">
        <f t="shared" si="4"/>
        <v/>
      </c>
      <c r="F26">
        <f t="shared" si="2"/>
        <v>0</v>
      </c>
      <c r="G26" t="str">
        <f t="shared" si="3"/>
        <v/>
      </c>
      <c r="H26">
        <f t="shared" si="0"/>
        <v>0</v>
      </c>
    </row>
    <row r="27" spans="1:8" ht="13.5" thickBot="1">
      <c r="A27">
        <v>212</v>
      </c>
      <c r="B27" s="362">
        <v>212</v>
      </c>
      <c r="D27" s="362"/>
      <c r="E27" t="str">
        <f t="shared" si="4"/>
        <v/>
      </c>
      <c r="F27">
        <f t="shared" si="2"/>
        <v>0</v>
      </c>
      <c r="G27" t="str">
        <f t="shared" si="3"/>
        <v/>
      </c>
      <c r="H27">
        <f t="shared" si="0"/>
        <v>0</v>
      </c>
    </row>
    <row r="28" spans="1:8" ht="13.5" thickBot="1">
      <c r="A28">
        <v>105</v>
      </c>
      <c r="B28" s="362">
        <v>105</v>
      </c>
      <c r="D28" s="362"/>
      <c r="E28" t="str">
        <f t="shared" si="4"/>
        <v/>
      </c>
      <c r="F28">
        <f t="shared" si="2"/>
        <v>0</v>
      </c>
      <c r="G28" t="str">
        <f t="shared" si="3"/>
        <v/>
      </c>
      <c r="H28">
        <f t="shared" si="0"/>
        <v>0</v>
      </c>
    </row>
    <row r="29" spans="1:8" ht="13.5" thickBot="1">
      <c r="A29">
        <v>20</v>
      </c>
      <c r="B29" s="362">
        <v>20</v>
      </c>
      <c r="D29" s="362"/>
      <c r="E29" t="str">
        <f t="shared" si="4"/>
        <v/>
      </c>
      <c r="F29">
        <f t="shared" si="2"/>
        <v>0</v>
      </c>
      <c r="G29" t="str">
        <f t="shared" si="3"/>
        <v/>
      </c>
      <c r="H29">
        <f t="shared" si="0"/>
        <v>0</v>
      </c>
    </row>
    <row r="30" spans="1:8" ht="13.5" thickBot="1">
      <c r="A30">
        <v>56</v>
      </c>
      <c r="B30" s="362">
        <v>56</v>
      </c>
      <c r="D30" s="362"/>
      <c r="E30" t="str">
        <f t="shared" si="4"/>
        <v/>
      </c>
      <c r="F30">
        <f t="shared" si="2"/>
        <v>0</v>
      </c>
      <c r="G30" t="str">
        <f t="shared" si="3"/>
        <v/>
      </c>
      <c r="H30">
        <f t="shared" si="0"/>
        <v>0</v>
      </c>
    </row>
    <row r="31" spans="1:8" ht="13.5" thickBot="1">
      <c r="A31">
        <v>152</v>
      </c>
      <c r="B31" s="362">
        <v>152</v>
      </c>
      <c r="D31" s="362"/>
      <c r="E31" t="str">
        <f t="shared" si="4"/>
        <v/>
      </c>
      <c r="F31">
        <f t="shared" si="2"/>
        <v>0</v>
      </c>
      <c r="G31" t="str">
        <f t="shared" si="3"/>
        <v/>
      </c>
      <c r="H31">
        <f t="shared" si="0"/>
        <v>0</v>
      </c>
    </row>
    <row r="32" spans="1:8" ht="13.5" thickBot="1">
      <c r="A32">
        <v>187</v>
      </c>
      <c r="B32" s="362">
        <v>187</v>
      </c>
      <c r="D32" s="362"/>
      <c r="E32" t="str">
        <f t="shared" si="4"/>
        <v/>
      </c>
      <c r="F32">
        <f t="shared" si="2"/>
        <v>0</v>
      </c>
      <c r="G32" t="str">
        <f t="shared" si="3"/>
        <v/>
      </c>
      <c r="H32">
        <f t="shared" si="0"/>
        <v>0</v>
      </c>
    </row>
    <row r="33" spans="1:8" ht="13.5" thickBot="1">
      <c r="A33">
        <v>55</v>
      </c>
      <c r="B33" s="362">
        <v>55</v>
      </c>
      <c r="D33" s="362"/>
      <c r="E33" t="str">
        <f t="shared" si="4"/>
        <v/>
      </c>
      <c r="F33">
        <f t="shared" si="2"/>
        <v>0</v>
      </c>
      <c r="G33" t="str">
        <f t="shared" si="3"/>
        <v/>
      </c>
      <c r="H33">
        <f t="shared" si="0"/>
        <v>0</v>
      </c>
    </row>
    <row r="34" spans="1:8" ht="13.5" thickBot="1">
      <c r="A34">
        <v>160</v>
      </c>
      <c r="B34" s="362">
        <v>160</v>
      </c>
      <c r="D34" s="362"/>
      <c r="E34" t="str">
        <f t="shared" si="4"/>
        <v/>
      </c>
      <c r="F34">
        <f t="shared" si="2"/>
        <v>0</v>
      </c>
      <c r="G34" t="str">
        <f t="shared" si="3"/>
        <v/>
      </c>
      <c r="H34">
        <f t="shared" si="0"/>
        <v>0</v>
      </c>
    </row>
    <row r="35" spans="1:8" ht="13.5" thickBot="1">
      <c r="A35">
        <v>285</v>
      </c>
      <c r="B35" s="362">
        <v>285</v>
      </c>
      <c r="D35" s="362"/>
      <c r="E35" t="str">
        <f t="shared" si="4"/>
        <v/>
      </c>
      <c r="F35">
        <f t="shared" si="2"/>
        <v>0</v>
      </c>
      <c r="G35" t="str">
        <f t="shared" si="3"/>
        <v/>
      </c>
      <c r="H35">
        <f t="shared" si="0"/>
        <v>0</v>
      </c>
    </row>
    <row r="36" spans="1:8" ht="13.5" thickBot="1">
      <c r="A36">
        <v>208</v>
      </c>
      <c r="B36" s="362">
        <v>208</v>
      </c>
      <c r="D36" s="362"/>
      <c r="E36" t="str">
        <f t="shared" si="4"/>
        <v/>
      </c>
      <c r="F36">
        <f t="shared" si="2"/>
        <v>0</v>
      </c>
      <c r="G36" t="str">
        <f t="shared" si="3"/>
        <v/>
      </c>
      <c r="H36">
        <f t="shared" si="0"/>
        <v>0</v>
      </c>
    </row>
    <row r="37" spans="1:8" ht="13.5" thickBot="1">
      <c r="A37">
        <v>16</v>
      </c>
      <c r="B37" s="362">
        <v>16</v>
      </c>
      <c r="D37" s="362"/>
      <c r="E37" t="str">
        <f t="shared" si="4"/>
        <v/>
      </c>
      <c r="F37">
        <f t="shared" si="2"/>
        <v>0</v>
      </c>
      <c r="G37" t="str">
        <f t="shared" si="3"/>
        <v/>
      </c>
      <c r="H37">
        <f t="shared" si="0"/>
        <v>0</v>
      </c>
    </row>
    <row r="38" spans="1:8" ht="13.5" thickBot="1">
      <c r="A38">
        <v>126</v>
      </c>
      <c r="B38" s="362">
        <v>126</v>
      </c>
      <c r="D38" s="362"/>
      <c r="E38" t="str">
        <f t="shared" si="4"/>
        <v/>
      </c>
      <c r="F38">
        <f t="shared" si="2"/>
        <v>0</v>
      </c>
      <c r="G38" t="str">
        <f t="shared" si="3"/>
        <v/>
      </c>
      <c r="H38">
        <f t="shared" si="0"/>
        <v>0</v>
      </c>
    </row>
    <row r="39" spans="1:8" ht="13.5" thickBot="1">
      <c r="A39">
        <v>84</v>
      </c>
      <c r="B39" s="362">
        <v>84</v>
      </c>
      <c r="D39" s="362"/>
      <c r="E39" t="str">
        <f t="shared" si="4"/>
        <v/>
      </c>
      <c r="F39">
        <f t="shared" si="2"/>
        <v>0</v>
      </c>
      <c r="G39" t="str">
        <f t="shared" si="3"/>
        <v/>
      </c>
      <c r="H39">
        <f t="shared" si="0"/>
        <v>0</v>
      </c>
    </row>
    <row r="40" spans="1:8" ht="13.5" thickBot="1">
      <c r="A40">
        <v>17</v>
      </c>
      <c r="B40" s="362">
        <v>17</v>
      </c>
      <c r="D40" s="362"/>
      <c r="E40" t="str">
        <f t="shared" si="4"/>
        <v/>
      </c>
      <c r="F40">
        <f t="shared" si="2"/>
        <v>0</v>
      </c>
      <c r="G40" t="str">
        <f t="shared" si="3"/>
        <v/>
      </c>
      <c r="H40">
        <f t="shared" si="0"/>
        <v>0</v>
      </c>
    </row>
    <row r="41" spans="1:8" ht="13.5" thickBot="1">
      <c r="A41">
        <v>30</v>
      </c>
      <c r="B41" s="362">
        <v>30</v>
      </c>
      <c r="D41" s="362"/>
      <c r="E41" t="str">
        <f t="shared" si="4"/>
        <v/>
      </c>
      <c r="F41">
        <f t="shared" si="2"/>
        <v>0</v>
      </c>
      <c r="G41" t="str">
        <f t="shared" si="3"/>
        <v/>
      </c>
      <c r="H41">
        <f t="shared" si="0"/>
        <v>0</v>
      </c>
    </row>
    <row r="42" spans="1:8" ht="13.5" thickBot="1">
      <c r="A42">
        <v>165</v>
      </c>
      <c r="B42" s="362">
        <v>165</v>
      </c>
      <c r="D42" s="362"/>
      <c r="E42" t="str">
        <f t="shared" si="4"/>
        <v/>
      </c>
      <c r="F42">
        <f t="shared" si="2"/>
        <v>0</v>
      </c>
      <c r="G42" t="str">
        <f t="shared" si="3"/>
        <v/>
      </c>
      <c r="H42">
        <f t="shared" si="0"/>
        <v>0</v>
      </c>
    </row>
    <row r="43" spans="1:8" ht="13.5" thickBot="1">
      <c r="A43">
        <v>202</v>
      </c>
      <c r="B43" s="362">
        <v>202</v>
      </c>
      <c r="D43" s="362"/>
      <c r="E43" t="str">
        <f t="shared" si="4"/>
        <v/>
      </c>
      <c r="F43">
        <f t="shared" si="2"/>
        <v>0</v>
      </c>
      <c r="G43" t="str">
        <f t="shared" si="3"/>
        <v/>
      </c>
      <c r="H43">
        <f t="shared" si="0"/>
        <v>0</v>
      </c>
    </row>
    <row r="44" spans="1:8" ht="13.5" thickBot="1">
      <c r="A44">
        <v>66</v>
      </c>
      <c r="B44" s="362">
        <v>66</v>
      </c>
      <c r="D44" s="362"/>
      <c r="E44" t="str">
        <f t="shared" si="4"/>
        <v/>
      </c>
      <c r="F44">
        <f t="shared" si="2"/>
        <v>0</v>
      </c>
      <c r="G44" t="str">
        <f t="shared" si="3"/>
        <v/>
      </c>
      <c r="H44">
        <f t="shared" si="0"/>
        <v>0</v>
      </c>
    </row>
    <row r="45" spans="1:8" ht="13.5" thickBot="1">
      <c r="A45">
        <v>190</v>
      </c>
      <c r="B45" s="362">
        <v>190</v>
      </c>
      <c r="D45" s="362"/>
      <c r="E45" t="str">
        <f t="shared" si="4"/>
        <v/>
      </c>
      <c r="F45">
        <f t="shared" si="2"/>
        <v>0</v>
      </c>
      <c r="G45" t="str">
        <f t="shared" si="3"/>
        <v/>
      </c>
      <c r="H45">
        <f t="shared" si="0"/>
        <v>0</v>
      </c>
    </row>
    <row r="46" spans="1:8" ht="13.5" thickBot="1">
      <c r="A46">
        <v>3</v>
      </c>
      <c r="B46" s="362">
        <v>3</v>
      </c>
      <c r="D46" s="362"/>
      <c r="E46" t="str">
        <f t="shared" si="4"/>
        <v/>
      </c>
      <c r="F46">
        <f t="shared" si="2"/>
        <v>0</v>
      </c>
      <c r="G46" t="str">
        <f t="shared" si="3"/>
        <v/>
      </c>
      <c r="H46">
        <f t="shared" si="0"/>
        <v>0</v>
      </c>
    </row>
    <row r="47" spans="1:8" ht="13.5" thickBot="1">
      <c r="A47">
        <v>206</v>
      </c>
      <c r="B47" s="362">
        <v>206</v>
      </c>
      <c r="D47" s="362"/>
      <c r="E47" t="str">
        <f t="shared" si="4"/>
        <v/>
      </c>
      <c r="F47">
        <f t="shared" si="2"/>
        <v>0</v>
      </c>
      <c r="G47" t="str">
        <f t="shared" si="3"/>
        <v/>
      </c>
      <c r="H47">
        <f t="shared" si="0"/>
        <v>0</v>
      </c>
    </row>
    <row r="48" spans="1:8" ht="13.5" thickBot="1">
      <c r="A48">
        <v>163</v>
      </c>
      <c r="B48" s="362">
        <v>163</v>
      </c>
      <c r="D48" s="362"/>
      <c r="E48" t="str">
        <f t="shared" si="4"/>
        <v/>
      </c>
      <c r="F48">
        <f t="shared" si="2"/>
        <v>0</v>
      </c>
      <c r="G48" t="str">
        <f t="shared" si="3"/>
        <v/>
      </c>
      <c r="H48">
        <f t="shared" si="0"/>
        <v>0</v>
      </c>
    </row>
    <row r="49" spans="1:8" ht="13.5" thickBot="1">
      <c r="A49">
        <v>142</v>
      </c>
      <c r="B49" s="362">
        <v>142</v>
      </c>
      <c r="D49" s="362"/>
      <c r="E49" t="str">
        <f t="shared" si="4"/>
        <v/>
      </c>
      <c r="F49">
        <f t="shared" si="2"/>
        <v>0</v>
      </c>
      <c r="G49" t="str">
        <f t="shared" si="3"/>
        <v/>
      </c>
      <c r="H49">
        <f t="shared" si="0"/>
        <v>0</v>
      </c>
    </row>
    <row r="50" spans="1:8" ht="13.5" thickBot="1">
      <c r="A50">
        <v>199</v>
      </c>
      <c r="B50" s="362">
        <v>199</v>
      </c>
      <c r="D50" s="362"/>
      <c r="E50" t="str">
        <f t="shared" si="4"/>
        <v/>
      </c>
      <c r="F50">
        <f t="shared" si="2"/>
        <v>0</v>
      </c>
      <c r="G50" t="str">
        <f t="shared" si="3"/>
        <v/>
      </c>
      <c r="H50">
        <f t="shared" si="0"/>
        <v>0</v>
      </c>
    </row>
    <row r="51" spans="1:8" ht="13.5" thickBot="1">
      <c r="A51">
        <v>166</v>
      </c>
      <c r="B51" s="362">
        <v>166</v>
      </c>
      <c r="D51" s="362"/>
      <c r="E51" t="str">
        <f t="shared" si="4"/>
        <v/>
      </c>
      <c r="F51">
        <f t="shared" si="2"/>
        <v>0</v>
      </c>
      <c r="G51" t="str">
        <f t="shared" si="3"/>
        <v/>
      </c>
      <c r="H51">
        <f t="shared" si="0"/>
        <v>0</v>
      </c>
    </row>
    <row r="52" spans="1:8" ht="13.5" thickBot="1">
      <c r="A52">
        <v>177</v>
      </c>
      <c r="B52" s="362">
        <v>177</v>
      </c>
      <c r="D52" s="362"/>
      <c r="E52" t="str">
        <f t="shared" si="4"/>
        <v/>
      </c>
      <c r="F52">
        <f t="shared" si="2"/>
        <v>0</v>
      </c>
      <c r="G52" t="str">
        <f t="shared" si="3"/>
        <v/>
      </c>
      <c r="H52">
        <f t="shared" si="0"/>
        <v>0</v>
      </c>
    </row>
    <row r="53" spans="1:8" ht="13.5" thickBot="1">
      <c r="A53">
        <v>125</v>
      </c>
      <c r="B53" s="362">
        <v>125</v>
      </c>
      <c r="D53" s="362"/>
      <c r="E53" t="str">
        <f t="shared" si="4"/>
        <v/>
      </c>
      <c r="F53">
        <f t="shared" si="2"/>
        <v>0</v>
      </c>
      <c r="G53" t="str">
        <f t="shared" si="3"/>
        <v/>
      </c>
      <c r="H53">
        <f t="shared" si="0"/>
        <v>0</v>
      </c>
    </row>
    <row r="54" spans="1:8" ht="13.5" thickBot="1">
      <c r="A54">
        <v>80</v>
      </c>
      <c r="B54" s="362">
        <v>80</v>
      </c>
      <c r="D54" s="362"/>
      <c r="E54" t="str">
        <f t="shared" si="4"/>
        <v/>
      </c>
      <c r="F54">
        <f t="shared" si="2"/>
        <v>0</v>
      </c>
      <c r="G54" t="str">
        <f t="shared" si="3"/>
        <v/>
      </c>
      <c r="H54">
        <f t="shared" si="0"/>
        <v>0</v>
      </c>
    </row>
    <row r="55" spans="1:8" ht="13.5" thickBot="1">
      <c r="A55">
        <v>15</v>
      </c>
      <c r="B55" s="362">
        <v>15</v>
      </c>
      <c r="D55" s="362"/>
      <c r="E55" t="str">
        <f t="shared" si="4"/>
        <v/>
      </c>
      <c r="F55">
        <f t="shared" si="2"/>
        <v>0</v>
      </c>
      <c r="G55" t="str">
        <f t="shared" si="3"/>
        <v/>
      </c>
      <c r="H55">
        <f t="shared" si="0"/>
        <v>0</v>
      </c>
    </row>
    <row r="56" spans="1:8" ht="13.5" thickBot="1">
      <c r="A56">
        <v>130</v>
      </c>
      <c r="B56" s="362">
        <v>130</v>
      </c>
      <c r="D56" s="362"/>
      <c r="E56" t="str">
        <f t="shared" si="4"/>
        <v/>
      </c>
      <c r="F56">
        <f t="shared" si="2"/>
        <v>0</v>
      </c>
      <c r="G56" t="str">
        <f t="shared" si="3"/>
        <v/>
      </c>
      <c r="H56">
        <f t="shared" si="0"/>
        <v>0</v>
      </c>
    </row>
    <row r="57" spans="1:8" ht="13.5" thickBot="1">
      <c r="A57">
        <v>287</v>
      </c>
      <c r="B57" s="362">
        <v>287</v>
      </c>
      <c r="D57" s="362"/>
      <c r="E57" t="str">
        <f t="shared" si="4"/>
        <v/>
      </c>
      <c r="F57">
        <f t="shared" si="2"/>
        <v>0</v>
      </c>
      <c r="G57" t="str">
        <f t="shared" si="3"/>
        <v/>
      </c>
      <c r="H57">
        <f t="shared" si="0"/>
        <v>0</v>
      </c>
    </row>
    <row r="58" spans="1:8" ht="13.5" thickBot="1">
      <c r="A58">
        <v>236</v>
      </c>
      <c r="B58" s="362">
        <v>236</v>
      </c>
      <c r="D58" s="362"/>
      <c r="E58" t="str">
        <f t="shared" si="4"/>
        <v/>
      </c>
      <c r="F58">
        <f t="shared" si="2"/>
        <v>0</v>
      </c>
      <c r="G58" t="str">
        <f t="shared" si="3"/>
        <v/>
      </c>
      <c r="H58">
        <f t="shared" si="0"/>
        <v>0</v>
      </c>
    </row>
    <row r="59" spans="1:8" ht="13.5" thickBot="1">
      <c r="A59">
        <v>24</v>
      </c>
      <c r="B59" s="362">
        <v>24</v>
      </c>
      <c r="D59" s="362"/>
      <c r="E59" t="str">
        <f t="shared" si="4"/>
        <v/>
      </c>
      <c r="F59">
        <f t="shared" si="2"/>
        <v>0</v>
      </c>
      <c r="G59" t="str">
        <f t="shared" si="3"/>
        <v/>
      </c>
      <c r="H59">
        <f t="shared" si="0"/>
        <v>0</v>
      </c>
    </row>
    <row r="60" spans="1:8" ht="13.5" thickBot="1">
      <c r="A60">
        <v>94</v>
      </c>
      <c r="B60" s="362">
        <v>94</v>
      </c>
      <c r="D60" s="362"/>
      <c r="E60" t="str">
        <f t="shared" si="4"/>
        <v/>
      </c>
      <c r="F60">
        <f t="shared" si="2"/>
        <v>0</v>
      </c>
      <c r="G60" t="str">
        <f t="shared" si="3"/>
        <v/>
      </c>
      <c r="H60">
        <f t="shared" si="0"/>
        <v>0</v>
      </c>
    </row>
    <row r="61" spans="1:8" ht="13.5" thickBot="1">
      <c r="A61">
        <v>141</v>
      </c>
      <c r="B61" s="362">
        <v>141</v>
      </c>
      <c r="D61" s="362"/>
      <c r="E61" t="str">
        <f t="shared" si="4"/>
        <v/>
      </c>
      <c r="F61">
        <f t="shared" si="2"/>
        <v>0</v>
      </c>
      <c r="G61" t="str">
        <f t="shared" si="3"/>
        <v/>
      </c>
      <c r="H61">
        <f t="shared" si="0"/>
        <v>0</v>
      </c>
    </row>
    <row r="62" spans="1:8" ht="13.5" thickBot="1">
      <c r="A62">
        <v>33</v>
      </c>
      <c r="B62" s="362">
        <v>33</v>
      </c>
      <c r="D62" s="362"/>
      <c r="E62" t="str">
        <f t="shared" si="4"/>
        <v/>
      </c>
      <c r="F62">
        <f t="shared" si="2"/>
        <v>0</v>
      </c>
      <c r="G62" t="str">
        <f t="shared" si="3"/>
        <v/>
      </c>
      <c r="H62">
        <f t="shared" si="0"/>
        <v>0</v>
      </c>
    </row>
    <row r="63" spans="1:8" ht="13.5" thickBot="1">
      <c r="A63">
        <v>298</v>
      </c>
      <c r="B63" s="362">
        <v>298</v>
      </c>
      <c r="D63" s="362"/>
      <c r="E63" t="str">
        <f t="shared" si="4"/>
        <v/>
      </c>
      <c r="F63">
        <f t="shared" si="2"/>
        <v>0</v>
      </c>
      <c r="G63" t="str">
        <f t="shared" si="3"/>
        <v/>
      </c>
      <c r="H63">
        <f t="shared" si="0"/>
        <v>0</v>
      </c>
    </row>
    <row r="64" spans="1:8" ht="13.5" thickBot="1">
      <c r="A64">
        <v>128</v>
      </c>
      <c r="B64" s="362">
        <v>128</v>
      </c>
      <c r="D64" s="362"/>
      <c r="E64" t="str">
        <f t="shared" si="4"/>
        <v/>
      </c>
      <c r="F64">
        <f t="shared" si="2"/>
        <v>0</v>
      </c>
      <c r="G64" t="str">
        <f t="shared" si="3"/>
        <v/>
      </c>
      <c r="H64">
        <f t="shared" si="0"/>
        <v>0</v>
      </c>
    </row>
    <row r="65" spans="1:8" ht="13.5" thickBot="1">
      <c r="A65">
        <v>260</v>
      </c>
      <c r="B65" s="362">
        <v>260</v>
      </c>
      <c r="D65" s="362"/>
      <c r="E65" t="str">
        <f t="shared" si="4"/>
        <v/>
      </c>
      <c r="F65">
        <f t="shared" si="2"/>
        <v>0</v>
      </c>
      <c r="G65" t="str">
        <f t="shared" si="3"/>
        <v/>
      </c>
      <c r="H65">
        <f t="shared" si="0"/>
        <v>0</v>
      </c>
    </row>
    <row r="66" spans="1:8" ht="13.5" thickBot="1">
      <c r="A66">
        <v>179</v>
      </c>
      <c r="B66" s="362">
        <v>179</v>
      </c>
      <c r="D66" s="362"/>
      <c r="E66" t="str">
        <f t="shared" si="4"/>
        <v/>
      </c>
      <c r="F66">
        <f t="shared" si="2"/>
        <v>0</v>
      </c>
      <c r="G66" t="str">
        <f t="shared" si="3"/>
        <v/>
      </c>
      <c r="H66">
        <f t="shared" ref="H66:H129" si="5">IF(ISERROR(VLOOKUP(D66,$C$2:$C$500,1,FALSE)),D66,"")</f>
        <v>0</v>
      </c>
    </row>
    <row r="67" spans="1:8" ht="13.5" thickBot="1">
      <c r="A67">
        <v>25</v>
      </c>
      <c r="B67" s="362">
        <v>25</v>
      </c>
      <c r="D67" s="362"/>
      <c r="E67" t="str">
        <f t="shared" ref="E67:E130" si="6">IF(ISERROR(VLOOKUP(A67,$B$2:$B$500,1,FALSE)),A67,"")</f>
        <v/>
      </c>
      <c r="F67">
        <f t="shared" ref="F67:F130" si="7">IF(ISERROR(VLOOKUP(C67,$D$2:$D$500,1,FALSE)),C67,"")</f>
        <v>0</v>
      </c>
      <c r="G67" t="str">
        <f t="shared" ref="G67:G130" si="8">IF(ISERROR(VLOOKUP(B67,$A$2:$A$500,1,FALSE)),B67,"")</f>
        <v/>
      </c>
      <c r="H67">
        <f t="shared" si="5"/>
        <v>0</v>
      </c>
    </row>
    <row r="68" spans="1:8" ht="13.5" thickBot="1">
      <c r="A68">
        <v>201</v>
      </c>
      <c r="B68" s="362">
        <v>201</v>
      </c>
      <c r="D68" s="362"/>
      <c r="E68" t="str">
        <f t="shared" si="6"/>
        <v/>
      </c>
      <c r="F68">
        <f t="shared" si="7"/>
        <v>0</v>
      </c>
      <c r="G68" t="str">
        <f t="shared" si="8"/>
        <v/>
      </c>
      <c r="H68">
        <f t="shared" si="5"/>
        <v>0</v>
      </c>
    </row>
    <row r="69" spans="1:8" ht="13.5" thickBot="1">
      <c r="A69">
        <v>13</v>
      </c>
      <c r="B69" s="362">
        <v>13</v>
      </c>
      <c r="D69" s="362"/>
      <c r="E69" t="str">
        <f t="shared" si="6"/>
        <v/>
      </c>
      <c r="F69">
        <f t="shared" si="7"/>
        <v>0</v>
      </c>
      <c r="G69" t="str">
        <f t="shared" si="8"/>
        <v/>
      </c>
      <c r="H69">
        <f t="shared" si="5"/>
        <v>0</v>
      </c>
    </row>
    <row r="70" spans="1:8" ht="13.5" thickBot="1">
      <c r="A70">
        <v>210</v>
      </c>
      <c r="B70" s="362">
        <v>210</v>
      </c>
      <c r="D70" s="362"/>
      <c r="E70" t="str">
        <f t="shared" si="6"/>
        <v/>
      </c>
      <c r="F70">
        <f t="shared" si="7"/>
        <v>0</v>
      </c>
      <c r="G70" t="str">
        <f t="shared" si="8"/>
        <v/>
      </c>
      <c r="H70">
        <f t="shared" si="5"/>
        <v>0</v>
      </c>
    </row>
    <row r="71" spans="1:8" ht="13.5" thickBot="1">
      <c r="A71">
        <v>233</v>
      </c>
      <c r="B71" s="362">
        <v>233</v>
      </c>
      <c r="D71" s="362"/>
      <c r="E71" t="str">
        <f t="shared" si="6"/>
        <v/>
      </c>
      <c r="F71">
        <f t="shared" si="7"/>
        <v>0</v>
      </c>
      <c r="G71" t="str">
        <f t="shared" si="8"/>
        <v/>
      </c>
      <c r="H71">
        <f t="shared" si="5"/>
        <v>0</v>
      </c>
    </row>
    <row r="72" spans="1:8" ht="13.5" thickBot="1">
      <c r="A72">
        <v>284</v>
      </c>
      <c r="B72" s="362">
        <v>284</v>
      </c>
      <c r="D72" s="362"/>
      <c r="E72" t="str">
        <f t="shared" si="6"/>
        <v/>
      </c>
      <c r="F72">
        <f t="shared" si="7"/>
        <v>0</v>
      </c>
      <c r="G72" t="str">
        <f t="shared" si="8"/>
        <v/>
      </c>
      <c r="H72">
        <f t="shared" si="5"/>
        <v>0</v>
      </c>
    </row>
    <row r="73" spans="1:8" ht="13.5" thickBot="1">
      <c r="A73">
        <v>198</v>
      </c>
      <c r="B73" s="362">
        <v>198</v>
      </c>
      <c r="D73" s="362"/>
      <c r="E73" t="str">
        <f t="shared" si="6"/>
        <v/>
      </c>
      <c r="F73">
        <f t="shared" si="7"/>
        <v>0</v>
      </c>
      <c r="G73" t="str">
        <f t="shared" si="8"/>
        <v/>
      </c>
      <c r="H73">
        <f t="shared" si="5"/>
        <v>0</v>
      </c>
    </row>
    <row r="74" spans="1:8" ht="13.5" thickBot="1">
      <c r="A74">
        <v>41</v>
      </c>
      <c r="B74" s="362">
        <v>41</v>
      </c>
      <c r="D74" s="362"/>
      <c r="E74" t="str">
        <f t="shared" si="6"/>
        <v/>
      </c>
      <c r="F74">
        <f t="shared" si="7"/>
        <v>0</v>
      </c>
      <c r="G74" t="str">
        <f t="shared" si="8"/>
        <v/>
      </c>
      <c r="H74">
        <f t="shared" si="5"/>
        <v>0</v>
      </c>
    </row>
    <row r="75" spans="1:8" ht="13.5" thickBot="1">
      <c r="A75">
        <v>102</v>
      </c>
      <c r="B75" s="362">
        <v>102</v>
      </c>
      <c r="D75" s="362"/>
      <c r="E75" t="str">
        <f t="shared" si="6"/>
        <v/>
      </c>
      <c r="F75">
        <f t="shared" si="7"/>
        <v>0</v>
      </c>
      <c r="G75" t="str">
        <f t="shared" si="8"/>
        <v/>
      </c>
      <c r="H75">
        <f t="shared" si="5"/>
        <v>0</v>
      </c>
    </row>
    <row r="76" spans="1:8" ht="13.5" thickBot="1">
      <c r="A76">
        <v>68</v>
      </c>
      <c r="B76" s="362">
        <v>68</v>
      </c>
      <c r="D76" s="362"/>
      <c r="E76" t="str">
        <f t="shared" si="6"/>
        <v/>
      </c>
      <c r="F76">
        <f t="shared" si="7"/>
        <v>0</v>
      </c>
      <c r="G76" t="str">
        <f t="shared" si="8"/>
        <v/>
      </c>
      <c r="H76">
        <f t="shared" si="5"/>
        <v>0</v>
      </c>
    </row>
    <row r="77" spans="1:8" ht="13.5" thickBot="1">
      <c r="A77">
        <v>73</v>
      </c>
      <c r="B77" s="362">
        <v>73</v>
      </c>
      <c r="D77" s="362"/>
      <c r="E77" t="str">
        <f t="shared" si="6"/>
        <v/>
      </c>
      <c r="F77">
        <f t="shared" si="7"/>
        <v>0</v>
      </c>
      <c r="G77" t="str">
        <f t="shared" si="8"/>
        <v/>
      </c>
      <c r="H77">
        <f t="shared" si="5"/>
        <v>0</v>
      </c>
    </row>
    <row r="78" spans="1:8" ht="13.5" thickBot="1">
      <c r="A78">
        <v>124</v>
      </c>
      <c r="B78" s="362">
        <v>124</v>
      </c>
      <c r="D78" s="362"/>
      <c r="E78" t="str">
        <f t="shared" si="6"/>
        <v/>
      </c>
      <c r="F78">
        <f t="shared" si="7"/>
        <v>0</v>
      </c>
      <c r="G78" t="str">
        <f t="shared" si="8"/>
        <v/>
      </c>
      <c r="H78">
        <f t="shared" si="5"/>
        <v>0</v>
      </c>
    </row>
    <row r="79" spans="1:8" ht="13.5" thickBot="1">
      <c r="A79">
        <v>173</v>
      </c>
      <c r="B79" s="362">
        <v>173</v>
      </c>
      <c r="D79" s="362"/>
      <c r="E79" t="str">
        <f t="shared" si="6"/>
        <v/>
      </c>
      <c r="F79">
        <f t="shared" si="7"/>
        <v>0</v>
      </c>
      <c r="G79" t="str">
        <f t="shared" si="8"/>
        <v/>
      </c>
      <c r="H79">
        <f t="shared" si="5"/>
        <v>0</v>
      </c>
    </row>
    <row r="80" spans="1:8" ht="13.5" thickBot="1">
      <c r="A80">
        <v>259</v>
      </c>
      <c r="B80" s="362">
        <v>259</v>
      </c>
      <c r="D80" s="362"/>
      <c r="E80" t="str">
        <f t="shared" si="6"/>
        <v/>
      </c>
      <c r="F80">
        <f t="shared" si="7"/>
        <v>0</v>
      </c>
      <c r="G80" t="str">
        <f t="shared" si="8"/>
        <v/>
      </c>
      <c r="H80">
        <f t="shared" si="5"/>
        <v>0</v>
      </c>
    </row>
    <row r="81" spans="1:8" ht="13.5" thickBot="1">
      <c r="A81">
        <v>59</v>
      </c>
      <c r="B81" s="362">
        <v>59</v>
      </c>
      <c r="D81" s="362"/>
      <c r="E81" t="str">
        <f t="shared" si="6"/>
        <v/>
      </c>
      <c r="F81">
        <f t="shared" si="7"/>
        <v>0</v>
      </c>
      <c r="G81" t="str">
        <f t="shared" si="8"/>
        <v/>
      </c>
      <c r="H81">
        <f t="shared" si="5"/>
        <v>0</v>
      </c>
    </row>
    <row r="82" spans="1:8" ht="13.5" thickBot="1">
      <c r="A82">
        <v>178</v>
      </c>
      <c r="B82" s="362">
        <v>178</v>
      </c>
      <c r="D82" s="362"/>
      <c r="E82" t="str">
        <f t="shared" si="6"/>
        <v/>
      </c>
      <c r="F82">
        <f t="shared" si="7"/>
        <v>0</v>
      </c>
      <c r="G82" t="str">
        <f t="shared" si="8"/>
        <v/>
      </c>
      <c r="H82">
        <f t="shared" si="5"/>
        <v>0</v>
      </c>
    </row>
    <row r="83" spans="1:8" ht="13.5" thickBot="1">
      <c r="A83">
        <v>184</v>
      </c>
      <c r="B83" s="362">
        <v>184</v>
      </c>
      <c r="D83" s="362"/>
      <c r="E83" t="str">
        <f t="shared" si="6"/>
        <v/>
      </c>
      <c r="F83">
        <f t="shared" si="7"/>
        <v>0</v>
      </c>
      <c r="G83" t="str">
        <f t="shared" si="8"/>
        <v/>
      </c>
      <c r="H83">
        <f t="shared" si="5"/>
        <v>0</v>
      </c>
    </row>
    <row r="84" spans="1:8" ht="13.5" thickBot="1">
      <c r="A84">
        <v>162</v>
      </c>
      <c r="B84" s="362">
        <v>162</v>
      </c>
      <c r="D84" s="362"/>
      <c r="E84" t="str">
        <f t="shared" si="6"/>
        <v/>
      </c>
      <c r="F84">
        <f t="shared" si="7"/>
        <v>0</v>
      </c>
      <c r="G84" t="str">
        <f t="shared" si="8"/>
        <v/>
      </c>
      <c r="H84">
        <f t="shared" si="5"/>
        <v>0</v>
      </c>
    </row>
    <row r="85" spans="1:8" ht="13.5" thickBot="1">
      <c r="A85">
        <v>261</v>
      </c>
      <c r="B85" s="362">
        <v>261</v>
      </c>
      <c r="D85" s="362"/>
      <c r="E85" t="str">
        <f t="shared" si="6"/>
        <v/>
      </c>
      <c r="F85">
        <f t="shared" si="7"/>
        <v>0</v>
      </c>
      <c r="G85" t="str">
        <f t="shared" si="8"/>
        <v/>
      </c>
      <c r="H85">
        <f t="shared" si="5"/>
        <v>0</v>
      </c>
    </row>
    <row r="86" spans="1:8" ht="13.5" thickBot="1">
      <c r="A86">
        <v>214</v>
      </c>
      <c r="B86" s="362">
        <v>214</v>
      </c>
      <c r="D86" s="362"/>
      <c r="E86" t="str">
        <f t="shared" si="6"/>
        <v/>
      </c>
      <c r="F86">
        <f t="shared" si="7"/>
        <v>0</v>
      </c>
      <c r="G86" t="str">
        <f t="shared" si="8"/>
        <v/>
      </c>
      <c r="H86">
        <f t="shared" si="5"/>
        <v>0</v>
      </c>
    </row>
    <row r="87" spans="1:8" ht="13.5" thickBot="1">
      <c r="A87">
        <v>123</v>
      </c>
      <c r="B87" s="362">
        <v>123</v>
      </c>
      <c r="D87" s="362"/>
      <c r="E87" t="str">
        <f t="shared" si="6"/>
        <v/>
      </c>
      <c r="F87">
        <f t="shared" si="7"/>
        <v>0</v>
      </c>
      <c r="G87" t="str">
        <f t="shared" si="8"/>
        <v/>
      </c>
      <c r="H87">
        <f t="shared" si="5"/>
        <v>0</v>
      </c>
    </row>
    <row r="88" spans="1:8" ht="13.5" thickBot="1">
      <c r="A88">
        <v>235</v>
      </c>
      <c r="B88" s="362">
        <v>235</v>
      </c>
      <c r="D88" s="362"/>
      <c r="E88" t="str">
        <f t="shared" si="6"/>
        <v/>
      </c>
      <c r="F88">
        <f t="shared" si="7"/>
        <v>0</v>
      </c>
      <c r="G88" t="str">
        <f t="shared" si="8"/>
        <v/>
      </c>
      <c r="H88">
        <f t="shared" si="5"/>
        <v>0</v>
      </c>
    </row>
    <row r="89" spans="1:8" ht="13.5" thickBot="1">
      <c r="A89">
        <v>231</v>
      </c>
      <c r="B89" s="362">
        <v>231</v>
      </c>
      <c r="D89" s="362"/>
      <c r="E89" t="str">
        <f t="shared" si="6"/>
        <v/>
      </c>
      <c r="F89">
        <f t="shared" si="7"/>
        <v>0</v>
      </c>
      <c r="G89" t="str">
        <f t="shared" si="8"/>
        <v/>
      </c>
      <c r="H89">
        <f t="shared" si="5"/>
        <v>0</v>
      </c>
    </row>
    <row r="90" spans="1:8" ht="13.5" thickBot="1">
      <c r="A90">
        <v>62</v>
      </c>
      <c r="B90" s="362">
        <v>62</v>
      </c>
      <c r="D90" s="362"/>
      <c r="E90" t="str">
        <f t="shared" si="6"/>
        <v/>
      </c>
      <c r="F90">
        <f t="shared" si="7"/>
        <v>0</v>
      </c>
      <c r="G90" t="str">
        <f t="shared" si="8"/>
        <v/>
      </c>
      <c r="H90">
        <f t="shared" si="5"/>
        <v>0</v>
      </c>
    </row>
    <row r="91" spans="1:8" ht="13.5" thickBot="1">
      <c r="A91">
        <v>86</v>
      </c>
      <c r="B91" s="362">
        <v>86</v>
      </c>
      <c r="D91" s="362"/>
      <c r="E91" t="str">
        <f t="shared" si="6"/>
        <v/>
      </c>
      <c r="F91">
        <f t="shared" si="7"/>
        <v>0</v>
      </c>
      <c r="G91" t="str">
        <f t="shared" si="8"/>
        <v/>
      </c>
      <c r="H91">
        <f t="shared" si="5"/>
        <v>0</v>
      </c>
    </row>
    <row r="92" spans="1:8" ht="13.5" thickBot="1">
      <c r="A92">
        <v>40</v>
      </c>
      <c r="B92" s="362">
        <v>40</v>
      </c>
      <c r="D92" s="362"/>
      <c r="E92" t="str">
        <f t="shared" si="6"/>
        <v/>
      </c>
      <c r="F92">
        <f t="shared" si="7"/>
        <v>0</v>
      </c>
      <c r="G92" t="str">
        <f t="shared" si="8"/>
        <v/>
      </c>
      <c r="H92">
        <f t="shared" si="5"/>
        <v>0</v>
      </c>
    </row>
    <row r="93" spans="1:8" ht="13.5" thickBot="1">
      <c r="A93">
        <v>129</v>
      </c>
      <c r="B93" s="362">
        <v>129</v>
      </c>
      <c r="D93" s="362"/>
      <c r="E93" t="str">
        <f t="shared" si="6"/>
        <v/>
      </c>
      <c r="F93">
        <f t="shared" si="7"/>
        <v>0</v>
      </c>
      <c r="G93" t="str">
        <f t="shared" si="8"/>
        <v/>
      </c>
      <c r="H93">
        <f t="shared" si="5"/>
        <v>0</v>
      </c>
    </row>
    <row r="94" spans="1:8" ht="13.5" thickBot="1">
      <c r="A94">
        <v>54</v>
      </c>
      <c r="B94" s="362">
        <v>54</v>
      </c>
      <c r="D94" s="362"/>
      <c r="E94" t="str">
        <f t="shared" si="6"/>
        <v/>
      </c>
      <c r="F94">
        <f t="shared" si="7"/>
        <v>0</v>
      </c>
      <c r="G94" t="str">
        <f t="shared" si="8"/>
        <v/>
      </c>
      <c r="H94">
        <f t="shared" si="5"/>
        <v>0</v>
      </c>
    </row>
    <row r="95" spans="1:8" ht="13.5" thickBot="1">
      <c r="A95">
        <v>140</v>
      </c>
      <c r="B95" s="362">
        <v>140</v>
      </c>
      <c r="D95" s="362"/>
      <c r="E95" t="str">
        <f t="shared" si="6"/>
        <v/>
      </c>
      <c r="F95">
        <f t="shared" si="7"/>
        <v>0</v>
      </c>
      <c r="G95" t="str">
        <f t="shared" si="8"/>
        <v/>
      </c>
      <c r="H95">
        <f t="shared" si="5"/>
        <v>0</v>
      </c>
    </row>
    <row r="96" spans="1:8" ht="13.5" thickBot="1">
      <c r="A96">
        <v>283</v>
      </c>
      <c r="B96" s="362">
        <v>283</v>
      </c>
      <c r="D96" s="362"/>
      <c r="E96" t="str">
        <f t="shared" si="6"/>
        <v/>
      </c>
      <c r="F96">
        <f t="shared" si="7"/>
        <v>0</v>
      </c>
      <c r="G96" t="str">
        <f t="shared" si="8"/>
        <v/>
      </c>
      <c r="H96">
        <f t="shared" si="5"/>
        <v>0</v>
      </c>
    </row>
    <row r="97" spans="1:8" ht="13.5" thickBot="1">
      <c r="A97">
        <v>88</v>
      </c>
      <c r="B97" s="362">
        <v>88</v>
      </c>
      <c r="D97" s="362"/>
      <c r="E97" t="str">
        <f t="shared" si="6"/>
        <v/>
      </c>
      <c r="F97">
        <f t="shared" si="7"/>
        <v>0</v>
      </c>
      <c r="G97" t="str">
        <f t="shared" si="8"/>
        <v/>
      </c>
      <c r="H97">
        <f t="shared" si="5"/>
        <v>0</v>
      </c>
    </row>
    <row r="98" spans="1:8" ht="13.5" thickBot="1">
      <c r="A98">
        <v>69</v>
      </c>
      <c r="B98" s="362">
        <v>69</v>
      </c>
      <c r="D98" s="362"/>
      <c r="E98" t="str">
        <f t="shared" si="6"/>
        <v/>
      </c>
      <c r="F98">
        <f t="shared" si="7"/>
        <v>0</v>
      </c>
      <c r="G98" t="str">
        <f t="shared" si="8"/>
        <v/>
      </c>
      <c r="H98">
        <f t="shared" si="5"/>
        <v>0</v>
      </c>
    </row>
    <row r="99" spans="1:8" ht="13.5" thickBot="1">
      <c r="A99">
        <v>172</v>
      </c>
      <c r="B99" s="362">
        <v>172</v>
      </c>
      <c r="D99" s="362"/>
      <c r="E99" t="str">
        <f t="shared" si="6"/>
        <v/>
      </c>
      <c r="F99">
        <f t="shared" si="7"/>
        <v>0</v>
      </c>
      <c r="G99" t="str">
        <f t="shared" si="8"/>
        <v/>
      </c>
      <c r="H99">
        <f t="shared" si="5"/>
        <v>0</v>
      </c>
    </row>
    <row r="100" spans="1:8" ht="13.5" thickBot="1">
      <c r="A100">
        <v>42</v>
      </c>
      <c r="B100" s="362">
        <v>42</v>
      </c>
      <c r="D100" s="362"/>
      <c r="E100" t="str">
        <f t="shared" si="6"/>
        <v/>
      </c>
      <c r="F100">
        <f t="shared" si="7"/>
        <v>0</v>
      </c>
      <c r="G100" t="str">
        <f t="shared" si="8"/>
        <v/>
      </c>
      <c r="H100">
        <f t="shared" si="5"/>
        <v>0</v>
      </c>
    </row>
    <row r="101" spans="1:8" ht="13.5" thickBot="1">
      <c r="A101">
        <v>9</v>
      </c>
      <c r="B101" s="362">
        <v>9</v>
      </c>
      <c r="D101" s="362"/>
      <c r="E101" t="str">
        <f t="shared" si="6"/>
        <v/>
      </c>
      <c r="F101">
        <f t="shared" si="7"/>
        <v>0</v>
      </c>
      <c r="G101" t="str">
        <f t="shared" si="8"/>
        <v/>
      </c>
      <c r="H101">
        <f t="shared" si="5"/>
        <v>0</v>
      </c>
    </row>
    <row r="102" spans="1:8" ht="13.5" thickBot="1">
      <c r="A102">
        <v>44</v>
      </c>
      <c r="B102" s="362">
        <v>44</v>
      </c>
      <c r="D102" s="362"/>
      <c r="E102" t="str">
        <f t="shared" si="6"/>
        <v/>
      </c>
      <c r="F102">
        <f t="shared" si="7"/>
        <v>0</v>
      </c>
      <c r="G102" t="str">
        <f t="shared" si="8"/>
        <v/>
      </c>
      <c r="H102">
        <f t="shared" si="5"/>
        <v>0</v>
      </c>
    </row>
    <row r="103" spans="1:8" ht="13.5" thickBot="1">
      <c r="A103">
        <v>22</v>
      </c>
      <c r="B103" s="362">
        <v>22</v>
      </c>
      <c r="D103" s="362"/>
      <c r="E103" t="str">
        <f t="shared" si="6"/>
        <v/>
      </c>
      <c r="F103">
        <f t="shared" si="7"/>
        <v>0</v>
      </c>
      <c r="G103" t="str">
        <f t="shared" si="8"/>
        <v/>
      </c>
      <c r="H103">
        <f t="shared" si="5"/>
        <v>0</v>
      </c>
    </row>
    <row r="104" spans="1:8" ht="13.5" thickBot="1">
      <c r="A104">
        <v>4</v>
      </c>
      <c r="B104" s="362">
        <v>4</v>
      </c>
      <c r="D104" s="362"/>
      <c r="E104" t="str">
        <f t="shared" si="6"/>
        <v/>
      </c>
      <c r="F104">
        <f t="shared" si="7"/>
        <v>0</v>
      </c>
      <c r="G104" t="str">
        <f t="shared" si="8"/>
        <v/>
      </c>
      <c r="H104">
        <f t="shared" si="5"/>
        <v>0</v>
      </c>
    </row>
    <row r="105" spans="1:8" ht="13.5" thickBot="1">
      <c r="A105">
        <v>119</v>
      </c>
      <c r="B105" s="362">
        <v>119</v>
      </c>
      <c r="E105" t="str">
        <f t="shared" si="6"/>
        <v/>
      </c>
      <c r="F105">
        <f t="shared" si="7"/>
        <v>0</v>
      </c>
      <c r="G105" t="str">
        <f t="shared" si="8"/>
        <v/>
      </c>
      <c r="H105">
        <f t="shared" si="5"/>
        <v>0</v>
      </c>
    </row>
    <row r="106" spans="1:8" ht="13.5" thickBot="1">
      <c r="A106">
        <v>180</v>
      </c>
      <c r="B106" s="362">
        <v>180</v>
      </c>
      <c r="E106" t="str">
        <f t="shared" si="6"/>
        <v/>
      </c>
      <c r="F106">
        <f t="shared" si="7"/>
        <v>0</v>
      </c>
      <c r="G106" t="str">
        <f t="shared" si="8"/>
        <v/>
      </c>
      <c r="H106">
        <f t="shared" si="5"/>
        <v>0</v>
      </c>
    </row>
    <row r="107" spans="1:8" ht="13.5" thickBot="1">
      <c r="A107">
        <v>92</v>
      </c>
      <c r="B107" s="362">
        <v>92</v>
      </c>
      <c r="E107" t="str">
        <f t="shared" si="6"/>
        <v/>
      </c>
      <c r="F107">
        <f t="shared" si="7"/>
        <v>0</v>
      </c>
      <c r="G107" t="str">
        <f t="shared" si="8"/>
        <v/>
      </c>
      <c r="H107">
        <f t="shared" si="5"/>
        <v>0</v>
      </c>
    </row>
    <row r="108" spans="1:8" ht="13.5" thickBot="1">
      <c r="A108">
        <v>277</v>
      </c>
      <c r="B108" s="362">
        <v>277</v>
      </c>
      <c r="E108" t="str">
        <f t="shared" si="6"/>
        <v/>
      </c>
      <c r="F108">
        <f t="shared" si="7"/>
        <v>0</v>
      </c>
      <c r="G108" t="str">
        <f t="shared" si="8"/>
        <v/>
      </c>
      <c r="H108">
        <f t="shared" si="5"/>
        <v>0</v>
      </c>
    </row>
    <row r="109" spans="1:8" ht="13.5" thickBot="1">
      <c r="A109">
        <v>146</v>
      </c>
      <c r="B109" s="362">
        <v>146</v>
      </c>
      <c r="E109" t="str">
        <f t="shared" si="6"/>
        <v/>
      </c>
      <c r="F109">
        <f t="shared" si="7"/>
        <v>0</v>
      </c>
      <c r="G109" t="str">
        <f t="shared" si="8"/>
        <v/>
      </c>
      <c r="H109">
        <f t="shared" si="5"/>
        <v>0</v>
      </c>
    </row>
    <row r="110" spans="1:8" ht="13.5" thickBot="1">
      <c r="A110">
        <v>103</v>
      </c>
      <c r="B110" s="362">
        <v>103</v>
      </c>
      <c r="E110" t="str">
        <f t="shared" si="6"/>
        <v/>
      </c>
      <c r="F110">
        <f t="shared" si="7"/>
        <v>0</v>
      </c>
      <c r="G110" t="str">
        <f t="shared" si="8"/>
        <v/>
      </c>
      <c r="H110">
        <f t="shared" si="5"/>
        <v>0</v>
      </c>
    </row>
    <row r="111" spans="1:8" ht="13.5" thickBot="1">
      <c r="A111">
        <v>245</v>
      </c>
      <c r="B111" s="362">
        <v>245</v>
      </c>
      <c r="E111" t="str">
        <f t="shared" si="6"/>
        <v/>
      </c>
      <c r="F111">
        <f t="shared" si="7"/>
        <v>0</v>
      </c>
      <c r="G111" t="str">
        <f t="shared" si="8"/>
        <v/>
      </c>
      <c r="H111">
        <f t="shared" si="5"/>
        <v>0</v>
      </c>
    </row>
    <row r="112" spans="1:8" ht="13.5" thickBot="1">
      <c r="A112">
        <v>118</v>
      </c>
      <c r="B112" s="362">
        <v>118</v>
      </c>
      <c r="E112" t="str">
        <f t="shared" si="6"/>
        <v/>
      </c>
      <c r="F112">
        <f t="shared" si="7"/>
        <v>0</v>
      </c>
      <c r="G112" t="str">
        <f t="shared" si="8"/>
        <v/>
      </c>
      <c r="H112">
        <f t="shared" si="5"/>
        <v>0</v>
      </c>
    </row>
    <row r="113" spans="1:8" ht="13.5" thickBot="1">
      <c r="A113">
        <v>204</v>
      </c>
      <c r="B113" s="362">
        <v>204</v>
      </c>
      <c r="E113" t="str">
        <f t="shared" si="6"/>
        <v/>
      </c>
      <c r="F113">
        <f t="shared" si="7"/>
        <v>0</v>
      </c>
      <c r="G113" t="str">
        <f t="shared" si="8"/>
        <v/>
      </c>
      <c r="H113">
        <f t="shared" si="5"/>
        <v>0</v>
      </c>
    </row>
    <row r="114" spans="1:8" ht="13.5" thickBot="1">
      <c r="A114">
        <v>296</v>
      </c>
      <c r="B114" s="362">
        <v>296</v>
      </c>
      <c r="E114" t="str">
        <f t="shared" si="6"/>
        <v/>
      </c>
      <c r="F114">
        <f t="shared" si="7"/>
        <v>0</v>
      </c>
      <c r="G114" t="str">
        <f t="shared" si="8"/>
        <v/>
      </c>
      <c r="H114">
        <f t="shared" si="5"/>
        <v>0</v>
      </c>
    </row>
    <row r="115" spans="1:8" ht="13.5" thickBot="1">
      <c r="A115">
        <v>104</v>
      </c>
      <c r="B115" s="362">
        <v>104</v>
      </c>
      <c r="E115" t="str">
        <f t="shared" si="6"/>
        <v/>
      </c>
      <c r="F115">
        <f t="shared" si="7"/>
        <v>0</v>
      </c>
      <c r="G115" t="str">
        <f t="shared" si="8"/>
        <v/>
      </c>
      <c r="H115">
        <f t="shared" si="5"/>
        <v>0</v>
      </c>
    </row>
    <row r="116" spans="1:8" ht="13.5" thickBot="1">
      <c r="A116">
        <v>91</v>
      </c>
      <c r="B116" s="362">
        <v>91</v>
      </c>
      <c r="E116" t="str">
        <f t="shared" si="6"/>
        <v/>
      </c>
      <c r="F116">
        <f t="shared" si="7"/>
        <v>0</v>
      </c>
      <c r="G116" t="str">
        <f t="shared" si="8"/>
        <v/>
      </c>
      <c r="H116">
        <f t="shared" si="5"/>
        <v>0</v>
      </c>
    </row>
    <row r="117" spans="1:8" ht="13.5" thickBot="1">
      <c r="A117">
        <v>273</v>
      </c>
      <c r="B117" s="362">
        <v>273</v>
      </c>
      <c r="E117" t="str">
        <f t="shared" si="6"/>
        <v/>
      </c>
      <c r="F117">
        <f t="shared" si="7"/>
        <v>0</v>
      </c>
      <c r="G117" t="str">
        <f t="shared" si="8"/>
        <v/>
      </c>
      <c r="H117">
        <f t="shared" si="5"/>
        <v>0</v>
      </c>
    </row>
    <row r="118" spans="1:8" ht="13.5" thickBot="1">
      <c r="A118">
        <v>174</v>
      </c>
      <c r="B118" s="362">
        <v>174</v>
      </c>
      <c r="E118" t="str">
        <f t="shared" si="6"/>
        <v/>
      </c>
      <c r="F118">
        <f t="shared" si="7"/>
        <v>0</v>
      </c>
      <c r="G118" t="str">
        <f t="shared" si="8"/>
        <v/>
      </c>
      <c r="H118">
        <f t="shared" si="5"/>
        <v>0</v>
      </c>
    </row>
    <row r="119" spans="1:8" ht="13.5" thickBot="1">
      <c r="A119">
        <v>45</v>
      </c>
      <c r="B119" s="362">
        <v>45</v>
      </c>
      <c r="E119" t="str">
        <f t="shared" si="6"/>
        <v/>
      </c>
      <c r="F119">
        <f t="shared" si="7"/>
        <v>0</v>
      </c>
      <c r="G119" t="str">
        <f t="shared" si="8"/>
        <v/>
      </c>
      <c r="H119">
        <f t="shared" si="5"/>
        <v>0</v>
      </c>
    </row>
    <row r="120" spans="1:8" ht="13.5" thickBot="1">
      <c r="A120">
        <v>295</v>
      </c>
      <c r="B120" s="362">
        <v>295</v>
      </c>
      <c r="E120" t="str">
        <f t="shared" si="6"/>
        <v/>
      </c>
      <c r="F120">
        <f t="shared" si="7"/>
        <v>0</v>
      </c>
      <c r="G120" t="str">
        <f t="shared" si="8"/>
        <v/>
      </c>
      <c r="H120">
        <f t="shared" si="5"/>
        <v>0</v>
      </c>
    </row>
    <row r="121" spans="1:8" ht="13.5" thickBot="1">
      <c r="A121">
        <v>90</v>
      </c>
      <c r="B121" s="362">
        <v>90</v>
      </c>
      <c r="E121" t="str">
        <f t="shared" si="6"/>
        <v/>
      </c>
      <c r="F121">
        <f t="shared" si="7"/>
        <v>0</v>
      </c>
      <c r="G121" t="str">
        <f t="shared" si="8"/>
        <v/>
      </c>
      <c r="H121">
        <f t="shared" si="5"/>
        <v>0</v>
      </c>
    </row>
    <row r="122" spans="1:8" ht="13.5" thickBot="1">
      <c r="A122">
        <v>10</v>
      </c>
      <c r="B122" s="362">
        <v>10</v>
      </c>
      <c r="E122" t="str">
        <f t="shared" si="6"/>
        <v/>
      </c>
      <c r="F122">
        <f t="shared" si="7"/>
        <v>0</v>
      </c>
      <c r="G122" t="str">
        <f t="shared" si="8"/>
        <v/>
      </c>
      <c r="H122">
        <f t="shared" si="5"/>
        <v>0</v>
      </c>
    </row>
    <row r="123" spans="1:8" ht="13.5" thickBot="1">
      <c r="A123">
        <v>247</v>
      </c>
      <c r="B123" s="362">
        <v>247</v>
      </c>
      <c r="E123" t="str">
        <f t="shared" si="6"/>
        <v/>
      </c>
      <c r="F123">
        <f t="shared" si="7"/>
        <v>0</v>
      </c>
      <c r="G123" t="str">
        <f t="shared" si="8"/>
        <v/>
      </c>
      <c r="H123">
        <f t="shared" si="5"/>
        <v>0</v>
      </c>
    </row>
    <row r="124" spans="1:8" ht="13.5" thickBot="1">
      <c r="A124">
        <v>145</v>
      </c>
      <c r="B124" s="362">
        <v>145</v>
      </c>
      <c r="E124" t="str">
        <f t="shared" si="6"/>
        <v/>
      </c>
      <c r="F124">
        <f t="shared" si="7"/>
        <v>0</v>
      </c>
      <c r="G124" t="str">
        <f t="shared" si="8"/>
        <v/>
      </c>
      <c r="H124">
        <f t="shared" si="5"/>
        <v>0</v>
      </c>
    </row>
    <row r="125" spans="1:8" ht="13.5" thickBot="1">
      <c r="A125">
        <v>127</v>
      </c>
      <c r="B125" s="362">
        <v>127</v>
      </c>
      <c r="E125" t="str">
        <f t="shared" si="6"/>
        <v/>
      </c>
      <c r="F125">
        <f t="shared" si="7"/>
        <v>0</v>
      </c>
      <c r="G125" t="str">
        <f t="shared" si="8"/>
        <v/>
      </c>
      <c r="H125">
        <f t="shared" si="5"/>
        <v>0</v>
      </c>
    </row>
    <row r="126" spans="1:8" ht="13.5" thickBot="1">
      <c r="A126">
        <v>243</v>
      </c>
      <c r="B126" s="362">
        <v>243</v>
      </c>
      <c r="E126" t="str">
        <f t="shared" si="6"/>
        <v/>
      </c>
      <c r="F126">
        <f t="shared" si="7"/>
        <v>0</v>
      </c>
      <c r="G126" t="str">
        <f t="shared" si="8"/>
        <v/>
      </c>
      <c r="H126">
        <f t="shared" si="5"/>
        <v>0</v>
      </c>
    </row>
    <row r="127" spans="1:8" ht="13.5" thickBot="1">
      <c r="A127">
        <v>89</v>
      </c>
      <c r="B127" s="362">
        <v>89</v>
      </c>
      <c r="E127" t="str">
        <f t="shared" si="6"/>
        <v/>
      </c>
      <c r="F127">
        <f t="shared" si="7"/>
        <v>0</v>
      </c>
      <c r="G127" t="str">
        <f t="shared" si="8"/>
        <v/>
      </c>
      <c r="H127">
        <f t="shared" si="5"/>
        <v>0</v>
      </c>
    </row>
    <row r="128" spans="1:8" ht="13.5" thickBot="1">
      <c r="A128">
        <v>100</v>
      </c>
      <c r="B128" s="362">
        <v>100</v>
      </c>
      <c r="E128" t="str">
        <f t="shared" si="6"/>
        <v/>
      </c>
      <c r="F128">
        <f t="shared" si="7"/>
        <v>0</v>
      </c>
      <c r="G128" t="str">
        <f t="shared" si="8"/>
        <v/>
      </c>
      <c r="H128">
        <f t="shared" si="5"/>
        <v>0</v>
      </c>
    </row>
    <row r="129" spans="1:8" ht="13.5" thickBot="1">
      <c r="A129">
        <v>234</v>
      </c>
      <c r="B129" s="362">
        <v>234</v>
      </c>
      <c r="E129" t="str">
        <f t="shared" si="6"/>
        <v/>
      </c>
      <c r="F129">
        <f t="shared" si="7"/>
        <v>0</v>
      </c>
      <c r="G129" t="str">
        <f t="shared" si="8"/>
        <v/>
      </c>
      <c r="H129">
        <f t="shared" si="5"/>
        <v>0</v>
      </c>
    </row>
    <row r="130" spans="1:8" ht="13.5" thickBot="1">
      <c r="A130">
        <v>262</v>
      </c>
      <c r="B130" s="362">
        <v>262</v>
      </c>
      <c r="E130" t="str">
        <f t="shared" si="6"/>
        <v/>
      </c>
      <c r="F130">
        <f t="shared" si="7"/>
        <v>0</v>
      </c>
      <c r="G130" t="str">
        <f t="shared" si="8"/>
        <v/>
      </c>
      <c r="H130">
        <f t="shared" ref="H130:H193" si="9">IF(ISERROR(VLOOKUP(D130,$C$2:$C$500,1,FALSE)),D130,"")</f>
        <v>0</v>
      </c>
    </row>
    <row r="131" spans="1:8" ht="13.5" thickBot="1">
      <c r="A131">
        <v>77</v>
      </c>
      <c r="B131" s="362">
        <v>77</v>
      </c>
      <c r="E131" t="str">
        <f t="shared" ref="E131:E194" si="10">IF(ISERROR(VLOOKUP(A131,$B$2:$B$500,1,FALSE)),A131,"")</f>
        <v/>
      </c>
      <c r="F131">
        <f t="shared" ref="F131:F194" si="11">IF(ISERROR(VLOOKUP(C131,$D$2:$D$500,1,FALSE)),C131,"")</f>
        <v>0</v>
      </c>
      <c r="G131" t="str">
        <f t="shared" ref="G131:G194" si="12">IF(ISERROR(VLOOKUP(B131,$A$2:$A$500,1,FALSE)),B131,"")</f>
        <v/>
      </c>
      <c r="H131">
        <f t="shared" si="9"/>
        <v>0</v>
      </c>
    </row>
    <row r="132" spans="1:8" ht="13.5" thickBot="1">
      <c r="A132">
        <v>157</v>
      </c>
      <c r="B132" s="362">
        <v>157</v>
      </c>
      <c r="E132" t="str">
        <f t="shared" si="10"/>
        <v/>
      </c>
      <c r="F132">
        <f t="shared" si="11"/>
        <v>0</v>
      </c>
      <c r="G132" t="str">
        <f t="shared" si="12"/>
        <v/>
      </c>
      <c r="H132">
        <f t="shared" si="9"/>
        <v>0</v>
      </c>
    </row>
    <row r="133" spans="1:8" ht="13.5" thickBot="1">
      <c r="A133">
        <v>266</v>
      </c>
      <c r="B133" s="362">
        <v>266</v>
      </c>
      <c r="E133" t="str">
        <f t="shared" si="10"/>
        <v/>
      </c>
      <c r="F133">
        <f t="shared" si="11"/>
        <v>0</v>
      </c>
      <c r="G133" t="str">
        <f t="shared" si="12"/>
        <v/>
      </c>
      <c r="H133">
        <f t="shared" si="9"/>
        <v>0</v>
      </c>
    </row>
    <row r="134" spans="1:8" ht="13.5" thickBot="1">
      <c r="A134">
        <v>230</v>
      </c>
      <c r="B134" s="362">
        <v>263</v>
      </c>
      <c r="E134" t="str">
        <f t="shared" si="10"/>
        <v/>
      </c>
      <c r="F134">
        <f t="shared" si="11"/>
        <v>0</v>
      </c>
      <c r="G134" t="str">
        <f t="shared" si="12"/>
        <v/>
      </c>
      <c r="H134">
        <f t="shared" si="9"/>
        <v>0</v>
      </c>
    </row>
    <row r="135" spans="1:8" ht="13.5" thickBot="1">
      <c r="A135">
        <v>132</v>
      </c>
      <c r="B135" s="362">
        <v>230</v>
      </c>
      <c r="E135" t="str">
        <f t="shared" si="10"/>
        <v/>
      </c>
      <c r="F135">
        <f t="shared" si="11"/>
        <v>0</v>
      </c>
      <c r="G135" t="str">
        <f t="shared" si="12"/>
        <v/>
      </c>
      <c r="H135">
        <f t="shared" si="9"/>
        <v>0</v>
      </c>
    </row>
    <row r="136" spans="1:8" ht="13.5" thickBot="1">
      <c r="A136">
        <v>229</v>
      </c>
      <c r="B136" s="362">
        <v>132</v>
      </c>
      <c r="E136" t="str">
        <f t="shared" si="10"/>
        <v/>
      </c>
      <c r="F136">
        <f t="shared" si="11"/>
        <v>0</v>
      </c>
      <c r="G136" t="str">
        <f t="shared" si="12"/>
        <v/>
      </c>
      <c r="H136">
        <f t="shared" si="9"/>
        <v>0</v>
      </c>
    </row>
    <row r="137" spans="1:8" ht="13.5" thickBot="1">
      <c r="A137">
        <v>244</v>
      </c>
      <c r="B137" s="362">
        <v>229</v>
      </c>
      <c r="E137" t="str">
        <f t="shared" si="10"/>
        <v/>
      </c>
      <c r="F137">
        <f t="shared" si="11"/>
        <v>0</v>
      </c>
      <c r="G137" t="str">
        <f t="shared" si="12"/>
        <v/>
      </c>
      <c r="H137">
        <f t="shared" si="9"/>
        <v>0</v>
      </c>
    </row>
    <row r="138" spans="1:8" ht="13.5" thickBot="1">
      <c r="A138">
        <v>74</v>
      </c>
      <c r="B138" s="362">
        <v>244</v>
      </c>
      <c r="E138" t="str">
        <f t="shared" si="10"/>
        <v/>
      </c>
      <c r="F138">
        <f t="shared" si="11"/>
        <v>0</v>
      </c>
      <c r="G138" t="str">
        <f t="shared" si="12"/>
        <v/>
      </c>
      <c r="H138">
        <f t="shared" si="9"/>
        <v>0</v>
      </c>
    </row>
    <row r="139" spans="1:8" ht="13.5" thickBot="1">
      <c r="A139">
        <v>220</v>
      </c>
      <c r="B139" s="362">
        <v>74</v>
      </c>
      <c r="E139" t="str">
        <f t="shared" si="10"/>
        <v/>
      </c>
      <c r="F139">
        <f t="shared" si="11"/>
        <v>0</v>
      </c>
      <c r="G139" t="str">
        <f t="shared" si="12"/>
        <v/>
      </c>
      <c r="H139">
        <f t="shared" si="9"/>
        <v>0</v>
      </c>
    </row>
    <row r="140" spans="1:8" ht="13.5" thickBot="1">
      <c r="A140">
        <v>238</v>
      </c>
      <c r="B140" s="362">
        <v>220</v>
      </c>
      <c r="E140" t="str">
        <f t="shared" si="10"/>
        <v/>
      </c>
      <c r="F140">
        <f t="shared" si="11"/>
        <v>0</v>
      </c>
      <c r="G140" t="str">
        <f t="shared" si="12"/>
        <v/>
      </c>
      <c r="H140">
        <f t="shared" si="9"/>
        <v>0</v>
      </c>
    </row>
    <row r="141" spans="1:8" ht="13.5" thickBot="1">
      <c r="A141">
        <v>134</v>
      </c>
      <c r="B141" s="362">
        <v>238</v>
      </c>
      <c r="E141" t="str">
        <f t="shared" si="10"/>
        <v/>
      </c>
      <c r="F141">
        <f t="shared" si="11"/>
        <v>0</v>
      </c>
      <c r="G141" t="str">
        <f t="shared" si="12"/>
        <v/>
      </c>
      <c r="H141">
        <f t="shared" si="9"/>
        <v>0</v>
      </c>
    </row>
    <row r="142" spans="1:8" ht="13.5" thickBot="1">
      <c r="A142">
        <v>96</v>
      </c>
      <c r="B142" s="362">
        <v>134</v>
      </c>
      <c r="E142" t="str">
        <f t="shared" si="10"/>
        <v/>
      </c>
      <c r="F142">
        <f t="shared" si="11"/>
        <v>0</v>
      </c>
      <c r="G142" t="str">
        <f t="shared" si="12"/>
        <v/>
      </c>
      <c r="H142">
        <f t="shared" si="9"/>
        <v>0</v>
      </c>
    </row>
    <row r="143" spans="1:8" ht="13.5" thickBot="1">
      <c r="A143">
        <v>58</v>
      </c>
      <c r="B143" s="362">
        <v>96</v>
      </c>
      <c r="E143" t="str">
        <f t="shared" si="10"/>
        <v/>
      </c>
      <c r="F143">
        <f t="shared" si="11"/>
        <v>0</v>
      </c>
      <c r="G143" t="str">
        <f t="shared" si="12"/>
        <v/>
      </c>
      <c r="H143">
        <f t="shared" si="9"/>
        <v>0</v>
      </c>
    </row>
    <row r="144" spans="1:8" ht="13.5" thickBot="1">
      <c r="A144">
        <v>191</v>
      </c>
      <c r="B144" s="362">
        <v>58</v>
      </c>
      <c r="E144" t="str">
        <f t="shared" si="10"/>
        <v/>
      </c>
      <c r="F144">
        <f t="shared" si="11"/>
        <v>0</v>
      </c>
      <c r="G144" t="str">
        <f t="shared" si="12"/>
        <v/>
      </c>
      <c r="H144">
        <f t="shared" si="9"/>
        <v>0</v>
      </c>
    </row>
    <row r="145" spans="1:8" ht="13.5" thickBot="1">
      <c r="A145">
        <v>293</v>
      </c>
      <c r="B145" s="362">
        <v>191</v>
      </c>
      <c r="E145" t="str">
        <f t="shared" si="10"/>
        <v/>
      </c>
      <c r="F145">
        <f t="shared" si="11"/>
        <v>0</v>
      </c>
      <c r="G145" t="str">
        <f t="shared" si="12"/>
        <v/>
      </c>
      <c r="H145">
        <f t="shared" si="9"/>
        <v>0</v>
      </c>
    </row>
    <row r="146" spans="1:8" ht="13.5" thickBot="1">
      <c r="A146">
        <v>215</v>
      </c>
      <c r="B146" s="362">
        <v>293</v>
      </c>
      <c r="E146" t="str">
        <f t="shared" si="10"/>
        <v/>
      </c>
      <c r="F146">
        <f t="shared" si="11"/>
        <v>0</v>
      </c>
      <c r="G146" t="str">
        <f t="shared" si="12"/>
        <v/>
      </c>
      <c r="H146">
        <f t="shared" si="9"/>
        <v>0</v>
      </c>
    </row>
    <row r="147" spans="1:8" ht="13.5" thickBot="1">
      <c r="A147">
        <v>205</v>
      </c>
      <c r="B147" s="362">
        <v>215</v>
      </c>
      <c r="E147" t="str">
        <f t="shared" si="10"/>
        <v/>
      </c>
      <c r="F147">
        <f t="shared" si="11"/>
        <v>0</v>
      </c>
      <c r="G147" t="str">
        <f t="shared" si="12"/>
        <v/>
      </c>
      <c r="H147">
        <f t="shared" si="9"/>
        <v>0</v>
      </c>
    </row>
    <row r="148" spans="1:8" ht="13.5" thickBot="1">
      <c r="A148">
        <v>139</v>
      </c>
      <c r="B148" s="362">
        <v>205</v>
      </c>
      <c r="E148" t="str">
        <f t="shared" si="10"/>
        <v/>
      </c>
      <c r="F148">
        <f t="shared" si="11"/>
        <v>0</v>
      </c>
      <c r="G148" t="str">
        <f t="shared" si="12"/>
        <v/>
      </c>
      <c r="H148">
        <f t="shared" si="9"/>
        <v>0</v>
      </c>
    </row>
    <row r="149" spans="1:8" ht="13.5" thickBot="1">
      <c r="A149">
        <v>265</v>
      </c>
      <c r="B149" s="362">
        <v>139</v>
      </c>
      <c r="E149" t="str">
        <f t="shared" si="10"/>
        <v/>
      </c>
      <c r="F149">
        <f t="shared" si="11"/>
        <v>0</v>
      </c>
      <c r="G149" t="str">
        <f t="shared" si="12"/>
        <v/>
      </c>
      <c r="H149">
        <f t="shared" si="9"/>
        <v>0</v>
      </c>
    </row>
    <row r="150" spans="1:8" ht="13.5" thickBot="1">
      <c r="A150">
        <v>53</v>
      </c>
      <c r="B150" s="362">
        <v>265</v>
      </c>
      <c r="E150" t="str">
        <f t="shared" si="10"/>
        <v/>
      </c>
      <c r="F150">
        <f t="shared" si="11"/>
        <v>0</v>
      </c>
      <c r="G150" t="str">
        <f t="shared" si="12"/>
        <v/>
      </c>
      <c r="H150">
        <f t="shared" si="9"/>
        <v>0</v>
      </c>
    </row>
    <row r="151" spans="1:8" ht="13.5" thickBot="1">
      <c r="A151">
        <v>154</v>
      </c>
      <c r="B151" s="362">
        <v>53</v>
      </c>
      <c r="E151" t="str">
        <f t="shared" si="10"/>
        <v/>
      </c>
      <c r="F151">
        <f t="shared" si="11"/>
        <v>0</v>
      </c>
      <c r="G151" t="str">
        <f t="shared" si="12"/>
        <v/>
      </c>
      <c r="H151">
        <f t="shared" si="9"/>
        <v>0</v>
      </c>
    </row>
    <row r="152" spans="1:8" ht="13.5" thickBot="1">
      <c r="A152">
        <v>209</v>
      </c>
      <c r="B152" s="362">
        <v>154</v>
      </c>
      <c r="E152" t="str">
        <f t="shared" si="10"/>
        <v/>
      </c>
      <c r="F152">
        <f t="shared" si="11"/>
        <v>0</v>
      </c>
      <c r="G152" t="str">
        <f t="shared" si="12"/>
        <v/>
      </c>
      <c r="H152">
        <f t="shared" si="9"/>
        <v>0</v>
      </c>
    </row>
    <row r="153" spans="1:8" ht="13.5" thickBot="1">
      <c r="A153">
        <v>211</v>
      </c>
      <c r="B153" s="362">
        <v>209</v>
      </c>
      <c r="E153" t="str">
        <f t="shared" si="10"/>
        <v/>
      </c>
      <c r="F153">
        <f t="shared" si="11"/>
        <v>0</v>
      </c>
      <c r="G153" t="str">
        <f t="shared" si="12"/>
        <v/>
      </c>
      <c r="H153">
        <f t="shared" si="9"/>
        <v>0</v>
      </c>
    </row>
    <row r="154" spans="1:8" ht="13.5" thickBot="1">
      <c r="A154">
        <v>182</v>
      </c>
      <c r="B154" s="362">
        <v>211</v>
      </c>
      <c r="E154" t="str">
        <f t="shared" si="10"/>
        <v/>
      </c>
      <c r="F154">
        <f t="shared" si="11"/>
        <v>0</v>
      </c>
      <c r="G154" t="str">
        <f t="shared" si="12"/>
        <v/>
      </c>
      <c r="H154">
        <f t="shared" si="9"/>
        <v>0</v>
      </c>
    </row>
    <row r="155" spans="1:8" ht="13.5" thickBot="1">
      <c r="A155">
        <v>99</v>
      </c>
      <c r="B155" s="362">
        <v>182</v>
      </c>
      <c r="E155" t="str">
        <f t="shared" si="10"/>
        <v/>
      </c>
      <c r="F155">
        <f t="shared" si="11"/>
        <v>0</v>
      </c>
      <c r="G155" t="str">
        <f t="shared" si="12"/>
        <v/>
      </c>
      <c r="H155">
        <f t="shared" si="9"/>
        <v>0</v>
      </c>
    </row>
    <row r="156" spans="1:8" ht="13.5" thickBot="1">
      <c r="A156">
        <v>267</v>
      </c>
      <c r="B156" s="362">
        <v>99</v>
      </c>
      <c r="E156" t="str">
        <f t="shared" si="10"/>
        <v/>
      </c>
      <c r="F156">
        <f t="shared" si="11"/>
        <v>0</v>
      </c>
      <c r="G156" t="str">
        <f t="shared" si="12"/>
        <v/>
      </c>
      <c r="H156">
        <f t="shared" si="9"/>
        <v>0</v>
      </c>
    </row>
    <row r="157" spans="1:8" ht="13.5" thickBot="1">
      <c r="A157">
        <v>278</v>
      </c>
      <c r="B157" s="362">
        <v>267</v>
      </c>
      <c r="E157" t="str">
        <f t="shared" si="10"/>
        <v/>
      </c>
      <c r="F157">
        <f t="shared" si="11"/>
        <v>0</v>
      </c>
      <c r="G157" t="str">
        <f t="shared" si="12"/>
        <v/>
      </c>
      <c r="H157">
        <f t="shared" si="9"/>
        <v>0</v>
      </c>
    </row>
    <row r="158" spans="1:8" ht="13.5" thickBot="1">
      <c r="A158">
        <v>109</v>
      </c>
      <c r="B158" s="362">
        <v>278</v>
      </c>
      <c r="E158" t="str">
        <f t="shared" si="10"/>
        <v/>
      </c>
      <c r="F158">
        <f t="shared" si="11"/>
        <v>0</v>
      </c>
      <c r="G158" t="str">
        <f t="shared" si="12"/>
        <v/>
      </c>
      <c r="H158">
        <f t="shared" si="9"/>
        <v>0</v>
      </c>
    </row>
    <row r="159" spans="1:8" ht="13.5" thickBot="1">
      <c r="A159">
        <v>133</v>
      </c>
      <c r="B159" s="362">
        <v>109</v>
      </c>
      <c r="E159" t="str">
        <f t="shared" si="10"/>
        <v/>
      </c>
      <c r="F159">
        <f t="shared" si="11"/>
        <v>0</v>
      </c>
      <c r="G159" t="str">
        <f t="shared" si="12"/>
        <v/>
      </c>
      <c r="H159">
        <f t="shared" si="9"/>
        <v>0</v>
      </c>
    </row>
    <row r="160" spans="1:8" ht="13.5" thickBot="1">
      <c r="A160">
        <v>189</v>
      </c>
      <c r="B160" s="362">
        <v>133</v>
      </c>
      <c r="E160" t="str">
        <f t="shared" si="10"/>
        <v/>
      </c>
      <c r="F160">
        <f t="shared" si="11"/>
        <v>0</v>
      </c>
      <c r="G160" t="str">
        <f t="shared" si="12"/>
        <v/>
      </c>
      <c r="H160">
        <f t="shared" si="9"/>
        <v>0</v>
      </c>
    </row>
    <row r="161" spans="1:8" ht="13.5" thickBot="1">
      <c r="A161">
        <v>159</v>
      </c>
      <c r="B161" s="362">
        <v>189</v>
      </c>
      <c r="E161" t="str">
        <f t="shared" si="10"/>
        <v/>
      </c>
      <c r="F161">
        <f t="shared" si="11"/>
        <v>0</v>
      </c>
      <c r="G161" t="str">
        <f t="shared" si="12"/>
        <v/>
      </c>
      <c r="H161">
        <f t="shared" si="9"/>
        <v>0</v>
      </c>
    </row>
    <row r="162" spans="1:8" ht="13.5" thickBot="1">
      <c r="A162">
        <v>148</v>
      </c>
      <c r="B162" s="362">
        <v>159</v>
      </c>
      <c r="E162" t="str">
        <f t="shared" si="10"/>
        <v/>
      </c>
      <c r="F162">
        <f t="shared" si="11"/>
        <v>0</v>
      </c>
      <c r="G162" t="str">
        <f t="shared" si="12"/>
        <v/>
      </c>
      <c r="H162">
        <f t="shared" si="9"/>
        <v>0</v>
      </c>
    </row>
    <row r="163" spans="1:8" ht="13.5" thickBot="1">
      <c r="A163">
        <v>63</v>
      </c>
      <c r="B163" s="362">
        <v>148</v>
      </c>
      <c r="E163" t="str">
        <f t="shared" si="10"/>
        <v/>
      </c>
      <c r="F163">
        <f t="shared" si="11"/>
        <v>0</v>
      </c>
      <c r="G163" t="str">
        <f t="shared" si="12"/>
        <v/>
      </c>
      <c r="H163">
        <f t="shared" si="9"/>
        <v>0</v>
      </c>
    </row>
    <row r="164" spans="1:8" ht="13.5" thickBot="1">
      <c r="A164">
        <v>82</v>
      </c>
      <c r="B164" s="362">
        <v>63</v>
      </c>
      <c r="E164" t="str">
        <f t="shared" si="10"/>
        <v/>
      </c>
      <c r="F164">
        <f t="shared" si="11"/>
        <v>0</v>
      </c>
      <c r="G164" t="str">
        <f t="shared" si="12"/>
        <v/>
      </c>
      <c r="H164">
        <f t="shared" si="9"/>
        <v>0</v>
      </c>
    </row>
    <row r="165" spans="1:8" ht="13.5" thickBot="1">
      <c r="A165">
        <v>110</v>
      </c>
      <c r="B165" s="362">
        <v>82</v>
      </c>
      <c r="E165" t="str">
        <f t="shared" si="10"/>
        <v/>
      </c>
      <c r="F165">
        <f t="shared" si="11"/>
        <v>0</v>
      </c>
      <c r="G165" t="str">
        <f t="shared" si="12"/>
        <v/>
      </c>
      <c r="H165">
        <f t="shared" si="9"/>
        <v>0</v>
      </c>
    </row>
    <row r="166" spans="1:8" ht="13.5" thickBot="1">
      <c r="A166">
        <v>79</v>
      </c>
      <c r="B166" s="362">
        <v>110</v>
      </c>
      <c r="E166" t="str">
        <f t="shared" si="10"/>
        <v/>
      </c>
      <c r="F166">
        <f t="shared" si="11"/>
        <v>0</v>
      </c>
      <c r="G166" t="str">
        <f t="shared" si="12"/>
        <v/>
      </c>
      <c r="H166">
        <f t="shared" si="9"/>
        <v>0</v>
      </c>
    </row>
    <row r="167" spans="1:8" ht="13.5" thickBot="1">
      <c r="A167">
        <v>156</v>
      </c>
      <c r="B167" s="362">
        <v>79</v>
      </c>
      <c r="E167" t="str">
        <f t="shared" si="10"/>
        <v/>
      </c>
      <c r="F167">
        <f t="shared" si="11"/>
        <v>0</v>
      </c>
      <c r="G167" t="str">
        <f t="shared" si="12"/>
        <v/>
      </c>
      <c r="H167">
        <f t="shared" si="9"/>
        <v>0</v>
      </c>
    </row>
    <row r="168" spans="1:8" ht="13.5" thickBot="1">
      <c r="A168">
        <v>271</v>
      </c>
      <c r="B168" s="362">
        <v>156</v>
      </c>
      <c r="E168" t="str">
        <f t="shared" si="10"/>
        <v/>
      </c>
      <c r="F168">
        <f t="shared" si="11"/>
        <v>0</v>
      </c>
      <c r="G168" t="str">
        <f t="shared" si="12"/>
        <v/>
      </c>
      <c r="H168">
        <f t="shared" si="9"/>
        <v>0</v>
      </c>
    </row>
    <row r="169" spans="1:8" ht="13.5" thickBot="1">
      <c r="A169">
        <v>98</v>
      </c>
      <c r="B169" s="362">
        <v>271</v>
      </c>
      <c r="E169" t="str">
        <f t="shared" si="10"/>
        <v/>
      </c>
      <c r="F169">
        <f t="shared" si="11"/>
        <v>0</v>
      </c>
      <c r="G169" t="str">
        <f t="shared" si="12"/>
        <v/>
      </c>
      <c r="H169">
        <f t="shared" si="9"/>
        <v>0</v>
      </c>
    </row>
    <row r="170" spans="1:8" ht="13.5" thickBot="1">
      <c r="A170">
        <v>255</v>
      </c>
      <c r="B170" s="362">
        <v>98</v>
      </c>
      <c r="E170" t="str">
        <f t="shared" si="10"/>
        <v/>
      </c>
      <c r="F170">
        <f t="shared" si="11"/>
        <v>0</v>
      </c>
      <c r="G170" t="str">
        <f t="shared" si="12"/>
        <v/>
      </c>
      <c r="H170">
        <f t="shared" si="9"/>
        <v>0</v>
      </c>
    </row>
    <row r="171" spans="1:8" ht="13.5" thickBot="1">
      <c r="A171">
        <v>171</v>
      </c>
      <c r="B171" s="362">
        <v>255</v>
      </c>
      <c r="E171" t="str">
        <f t="shared" si="10"/>
        <v/>
      </c>
      <c r="F171">
        <f t="shared" si="11"/>
        <v>0</v>
      </c>
      <c r="G171" t="str">
        <f t="shared" si="12"/>
        <v/>
      </c>
      <c r="H171">
        <f t="shared" si="9"/>
        <v>0</v>
      </c>
    </row>
    <row r="172" spans="1:8" ht="13.5" thickBot="1">
      <c r="A172">
        <v>70</v>
      </c>
      <c r="B172" s="362">
        <v>171</v>
      </c>
      <c r="E172" t="str">
        <f t="shared" si="10"/>
        <v/>
      </c>
      <c r="F172">
        <f t="shared" si="11"/>
        <v>0</v>
      </c>
      <c r="G172" t="str">
        <f t="shared" si="12"/>
        <v/>
      </c>
      <c r="H172">
        <f t="shared" si="9"/>
        <v>0</v>
      </c>
    </row>
    <row r="173" spans="1:8" ht="13.5" thickBot="1">
      <c r="A173">
        <v>7</v>
      </c>
      <c r="B173" s="362">
        <v>70</v>
      </c>
      <c r="E173" t="str">
        <f t="shared" si="10"/>
        <v/>
      </c>
      <c r="F173">
        <f t="shared" si="11"/>
        <v>0</v>
      </c>
      <c r="G173" t="str">
        <f t="shared" si="12"/>
        <v/>
      </c>
      <c r="H173">
        <f t="shared" si="9"/>
        <v>0</v>
      </c>
    </row>
    <row r="174" spans="1:8" ht="13.5" thickBot="1">
      <c r="A174">
        <v>75</v>
      </c>
      <c r="B174" s="362">
        <v>7</v>
      </c>
      <c r="E174" t="str">
        <f t="shared" si="10"/>
        <v/>
      </c>
      <c r="F174">
        <f t="shared" si="11"/>
        <v>0</v>
      </c>
      <c r="G174" t="str">
        <f t="shared" si="12"/>
        <v/>
      </c>
      <c r="H174">
        <f t="shared" si="9"/>
        <v>0</v>
      </c>
    </row>
    <row r="175" spans="1:8" ht="13.5" thickBot="1">
      <c r="A175">
        <v>228</v>
      </c>
      <c r="B175" s="362">
        <v>75</v>
      </c>
      <c r="E175" t="str">
        <f t="shared" si="10"/>
        <v/>
      </c>
      <c r="F175">
        <f t="shared" si="11"/>
        <v>0</v>
      </c>
      <c r="G175" t="str">
        <f t="shared" si="12"/>
        <v/>
      </c>
      <c r="H175">
        <f t="shared" si="9"/>
        <v>0</v>
      </c>
    </row>
    <row r="176" spans="1:8" ht="13.5" thickBot="1">
      <c r="A176">
        <v>60</v>
      </c>
      <c r="B176" s="362">
        <v>228</v>
      </c>
      <c r="E176" t="str">
        <f t="shared" si="10"/>
        <v/>
      </c>
      <c r="F176">
        <f t="shared" si="11"/>
        <v>0</v>
      </c>
      <c r="G176" t="str">
        <f t="shared" si="12"/>
        <v/>
      </c>
      <c r="H176">
        <f t="shared" si="9"/>
        <v>0</v>
      </c>
    </row>
    <row r="177" spans="1:8" ht="13.5" thickBot="1">
      <c r="A177">
        <v>275</v>
      </c>
      <c r="B177" s="362">
        <v>60</v>
      </c>
      <c r="E177" t="str">
        <f t="shared" si="10"/>
        <v/>
      </c>
      <c r="F177">
        <f t="shared" si="11"/>
        <v>0</v>
      </c>
      <c r="G177" t="str">
        <f t="shared" si="12"/>
        <v/>
      </c>
      <c r="H177">
        <f t="shared" si="9"/>
        <v>0</v>
      </c>
    </row>
    <row r="178" spans="1:8" ht="13.5" thickBot="1">
      <c r="A178">
        <v>240</v>
      </c>
      <c r="B178" s="362">
        <v>275</v>
      </c>
      <c r="E178" t="str">
        <f t="shared" si="10"/>
        <v/>
      </c>
      <c r="F178">
        <f t="shared" si="11"/>
        <v>0</v>
      </c>
      <c r="G178" t="str">
        <f t="shared" si="12"/>
        <v/>
      </c>
      <c r="H178">
        <f t="shared" si="9"/>
        <v>0</v>
      </c>
    </row>
    <row r="179" spans="1:8" ht="13.5" thickBot="1">
      <c r="A179">
        <v>97</v>
      </c>
      <c r="B179" s="362">
        <v>240</v>
      </c>
      <c r="E179" t="str">
        <f t="shared" si="10"/>
        <v/>
      </c>
      <c r="F179">
        <f t="shared" si="11"/>
        <v>0</v>
      </c>
      <c r="G179" t="str">
        <f t="shared" si="12"/>
        <v/>
      </c>
      <c r="H179">
        <f t="shared" si="9"/>
        <v>0</v>
      </c>
    </row>
    <row r="180" spans="1:8" ht="13.5" thickBot="1">
      <c r="A180">
        <v>223</v>
      </c>
      <c r="B180" s="362">
        <v>97</v>
      </c>
      <c r="E180" t="str">
        <f t="shared" si="10"/>
        <v/>
      </c>
      <c r="F180">
        <f t="shared" si="11"/>
        <v>0</v>
      </c>
      <c r="G180" t="str">
        <f t="shared" si="12"/>
        <v/>
      </c>
      <c r="H180">
        <f t="shared" si="9"/>
        <v>0</v>
      </c>
    </row>
    <row r="181" spans="1:8" ht="13.5" thickBot="1">
      <c r="A181">
        <v>34</v>
      </c>
      <c r="B181" s="362">
        <v>223</v>
      </c>
      <c r="E181" t="str">
        <f t="shared" si="10"/>
        <v/>
      </c>
      <c r="F181">
        <f t="shared" si="11"/>
        <v>0</v>
      </c>
      <c r="G181" t="str">
        <f t="shared" si="12"/>
        <v/>
      </c>
      <c r="H181">
        <f t="shared" si="9"/>
        <v>0</v>
      </c>
    </row>
    <row r="182" spans="1:8" ht="13.5" thickBot="1">
      <c r="A182">
        <v>164</v>
      </c>
      <c r="B182" s="362">
        <v>34</v>
      </c>
      <c r="E182" t="str">
        <f t="shared" si="10"/>
        <v/>
      </c>
      <c r="F182">
        <f t="shared" si="11"/>
        <v>0</v>
      </c>
      <c r="G182" t="str">
        <f t="shared" si="12"/>
        <v/>
      </c>
      <c r="H182">
        <f t="shared" si="9"/>
        <v>0</v>
      </c>
    </row>
    <row r="183" spans="1:8" ht="13.5" thickBot="1">
      <c r="A183">
        <v>67</v>
      </c>
      <c r="B183" s="362">
        <v>164</v>
      </c>
      <c r="E183" t="str">
        <f t="shared" si="10"/>
        <v/>
      </c>
      <c r="F183">
        <f t="shared" si="11"/>
        <v>0</v>
      </c>
      <c r="G183" t="str">
        <f t="shared" si="12"/>
        <v/>
      </c>
      <c r="H183">
        <f t="shared" si="9"/>
        <v>0</v>
      </c>
    </row>
    <row r="184" spans="1:8" ht="13.5" thickBot="1">
      <c r="A184">
        <v>251</v>
      </c>
      <c r="B184" s="362">
        <v>67</v>
      </c>
      <c r="E184" t="str">
        <f t="shared" si="10"/>
        <v/>
      </c>
      <c r="F184">
        <f t="shared" si="11"/>
        <v>0</v>
      </c>
      <c r="G184" t="str">
        <f t="shared" si="12"/>
        <v/>
      </c>
      <c r="H184">
        <f t="shared" si="9"/>
        <v>0</v>
      </c>
    </row>
    <row r="185" spans="1:8" ht="13.5" thickBot="1">
      <c r="A185">
        <v>5</v>
      </c>
      <c r="B185" s="362">
        <v>251</v>
      </c>
      <c r="E185" t="str">
        <f t="shared" si="10"/>
        <v/>
      </c>
      <c r="F185">
        <f t="shared" si="11"/>
        <v>0</v>
      </c>
      <c r="G185" t="str">
        <f t="shared" si="12"/>
        <v/>
      </c>
      <c r="H185">
        <f t="shared" si="9"/>
        <v>0</v>
      </c>
    </row>
    <row r="186" spans="1:8" ht="13.5" thickBot="1">
      <c r="A186">
        <v>194</v>
      </c>
      <c r="B186" s="362">
        <v>5</v>
      </c>
      <c r="E186" t="str">
        <f t="shared" si="10"/>
        <v/>
      </c>
      <c r="F186">
        <f t="shared" si="11"/>
        <v>0</v>
      </c>
      <c r="G186" t="str">
        <f t="shared" si="12"/>
        <v/>
      </c>
      <c r="H186">
        <f t="shared" si="9"/>
        <v>0</v>
      </c>
    </row>
    <row r="187" spans="1:8" ht="13.5" thickBot="1">
      <c r="A187">
        <v>207</v>
      </c>
      <c r="B187" s="362">
        <v>194</v>
      </c>
      <c r="E187" t="str">
        <f t="shared" si="10"/>
        <v/>
      </c>
      <c r="F187">
        <f t="shared" si="11"/>
        <v>0</v>
      </c>
      <c r="G187" t="str">
        <f t="shared" si="12"/>
        <v/>
      </c>
      <c r="H187">
        <f t="shared" si="9"/>
        <v>0</v>
      </c>
    </row>
    <row r="188" spans="1:8" ht="13.5" thickBot="1">
      <c r="A188">
        <v>268</v>
      </c>
      <c r="B188" s="362">
        <v>207</v>
      </c>
      <c r="E188" t="str">
        <f t="shared" si="10"/>
        <v/>
      </c>
      <c r="F188">
        <f t="shared" si="11"/>
        <v>0</v>
      </c>
      <c r="G188" t="str">
        <f t="shared" si="12"/>
        <v/>
      </c>
      <c r="H188">
        <f t="shared" si="9"/>
        <v>0</v>
      </c>
    </row>
    <row r="189" spans="1:8" ht="13.5" thickBot="1">
      <c r="A189">
        <v>254</v>
      </c>
      <c r="B189" s="362">
        <v>268</v>
      </c>
      <c r="E189" t="str">
        <f t="shared" si="10"/>
        <v/>
      </c>
      <c r="F189">
        <f t="shared" si="11"/>
        <v>0</v>
      </c>
      <c r="G189" t="str">
        <f t="shared" si="12"/>
        <v/>
      </c>
      <c r="H189">
        <f t="shared" si="9"/>
        <v>0</v>
      </c>
    </row>
    <row r="190" spans="1:8" ht="13.5" thickBot="1">
      <c r="A190">
        <v>38</v>
      </c>
      <c r="B190" s="362">
        <v>254</v>
      </c>
      <c r="E190" t="str">
        <f t="shared" si="10"/>
        <v/>
      </c>
      <c r="F190">
        <f t="shared" si="11"/>
        <v>0</v>
      </c>
      <c r="G190" t="str">
        <f t="shared" si="12"/>
        <v/>
      </c>
      <c r="H190">
        <f t="shared" si="9"/>
        <v>0</v>
      </c>
    </row>
    <row r="191" spans="1:8" ht="13.5" thickBot="1">
      <c r="A191">
        <v>71</v>
      </c>
      <c r="B191" s="362">
        <v>38</v>
      </c>
      <c r="E191" t="str">
        <f t="shared" si="10"/>
        <v/>
      </c>
      <c r="F191">
        <f t="shared" si="11"/>
        <v>0</v>
      </c>
      <c r="G191" t="str">
        <f t="shared" si="12"/>
        <v/>
      </c>
      <c r="H191">
        <f t="shared" si="9"/>
        <v>0</v>
      </c>
    </row>
    <row r="192" spans="1:8" ht="13.5" thickBot="1">
      <c r="A192">
        <v>106</v>
      </c>
      <c r="B192" s="362">
        <v>71</v>
      </c>
      <c r="E192" t="str">
        <f t="shared" si="10"/>
        <v/>
      </c>
      <c r="F192">
        <f t="shared" si="11"/>
        <v>0</v>
      </c>
      <c r="G192" t="str">
        <f t="shared" si="12"/>
        <v/>
      </c>
      <c r="H192">
        <f t="shared" si="9"/>
        <v>0</v>
      </c>
    </row>
    <row r="193" spans="1:8" ht="13.5" thickBot="1">
      <c r="A193">
        <v>161</v>
      </c>
      <c r="B193" s="362">
        <v>106</v>
      </c>
      <c r="E193" t="str">
        <f t="shared" si="10"/>
        <v/>
      </c>
      <c r="F193">
        <f t="shared" si="11"/>
        <v>0</v>
      </c>
      <c r="G193" t="str">
        <f t="shared" si="12"/>
        <v/>
      </c>
      <c r="H193">
        <f t="shared" si="9"/>
        <v>0</v>
      </c>
    </row>
    <row r="194" spans="1:8" ht="13.5" thickBot="1">
      <c r="A194">
        <v>83</v>
      </c>
      <c r="B194" s="362">
        <v>161</v>
      </c>
      <c r="E194" t="str">
        <f t="shared" si="10"/>
        <v/>
      </c>
      <c r="F194">
        <f t="shared" si="11"/>
        <v>0</v>
      </c>
      <c r="G194" t="str">
        <f t="shared" si="12"/>
        <v/>
      </c>
      <c r="H194">
        <f t="shared" ref="H194:H257" si="13">IF(ISERROR(VLOOKUP(D194,$C$2:$C$500,1,FALSE)),D194,"")</f>
        <v>0</v>
      </c>
    </row>
    <row r="195" spans="1:8" ht="13.5" thickBot="1">
      <c r="A195">
        <v>6</v>
      </c>
      <c r="B195" s="362">
        <v>83</v>
      </c>
      <c r="E195" t="str">
        <f t="shared" ref="E195:E258" si="14">IF(ISERROR(VLOOKUP(A195,$B$2:$B$500,1,FALSE)),A195,"")</f>
        <v/>
      </c>
      <c r="F195">
        <f t="shared" ref="F195:F258" si="15">IF(ISERROR(VLOOKUP(C195,$D$2:$D$500,1,FALSE)),C195,"")</f>
        <v>0</v>
      </c>
      <c r="G195" t="str">
        <f t="shared" ref="G195:G258" si="16">IF(ISERROR(VLOOKUP(B195,$A$2:$A$500,1,FALSE)),B195,"")</f>
        <v/>
      </c>
      <c r="H195">
        <f t="shared" si="13"/>
        <v>0</v>
      </c>
    </row>
    <row r="196" spans="1:8" ht="13.5" thickBot="1">
      <c r="A196">
        <v>263</v>
      </c>
      <c r="B196" s="362">
        <v>6</v>
      </c>
      <c r="E196" t="str">
        <f t="shared" si="14"/>
        <v/>
      </c>
      <c r="F196">
        <f t="shared" si="15"/>
        <v>0</v>
      </c>
      <c r="G196" t="str">
        <f t="shared" si="16"/>
        <v/>
      </c>
      <c r="H196">
        <f t="shared" si="13"/>
        <v>0</v>
      </c>
    </row>
    <row r="197" spans="1:8" ht="13.5" thickBot="1">
      <c r="A197">
        <v>269</v>
      </c>
      <c r="B197" s="362">
        <v>269</v>
      </c>
      <c r="E197" t="str">
        <f t="shared" si="14"/>
        <v/>
      </c>
      <c r="F197">
        <f t="shared" si="15"/>
        <v>0</v>
      </c>
      <c r="G197" t="str">
        <f t="shared" si="16"/>
        <v/>
      </c>
      <c r="H197">
        <f t="shared" si="13"/>
        <v>0</v>
      </c>
    </row>
    <row r="198" spans="1:8" ht="13.5" thickBot="1">
      <c r="A198">
        <v>137</v>
      </c>
      <c r="B198" s="362">
        <v>137</v>
      </c>
      <c r="E198" t="str">
        <f t="shared" si="14"/>
        <v/>
      </c>
      <c r="F198">
        <f t="shared" si="15"/>
        <v>0</v>
      </c>
      <c r="G198" t="str">
        <f t="shared" si="16"/>
        <v/>
      </c>
      <c r="H198">
        <f t="shared" si="13"/>
        <v>0</v>
      </c>
    </row>
    <row r="199" spans="1:8" ht="13.5" thickBot="1">
      <c r="A199">
        <v>138</v>
      </c>
      <c r="B199" s="362">
        <v>138</v>
      </c>
      <c r="E199" t="str">
        <f t="shared" si="14"/>
        <v/>
      </c>
      <c r="F199">
        <f t="shared" si="15"/>
        <v>0</v>
      </c>
      <c r="G199" t="str">
        <f t="shared" si="16"/>
        <v/>
      </c>
      <c r="H199">
        <f t="shared" si="13"/>
        <v>0</v>
      </c>
    </row>
    <row r="200" spans="1:8" ht="13.5" thickBot="1">
      <c r="A200">
        <v>85</v>
      </c>
      <c r="B200" s="362">
        <v>85</v>
      </c>
      <c r="E200" t="str">
        <f t="shared" si="14"/>
        <v/>
      </c>
      <c r="F200">
        <f t="shared" si="15"/>
        <v>0</v>
      </c>
      <c r="G200" t="str">
        <f t="shared" si="16"/>
        <v/>
      </c>
      <c r="H200">
        <f t="shared" si="13"/>
        <v>0</v>
      </c>
    </row>
    <row r="201" spans="1:8" ht="13.5" thickBot="1">
      <c r="A201">
        <v>270</v>
      </c>
      <c r="B201" s="362">
        <v>270</v>
      </c>
      <c r="E201" t="str">
        <f t="shared" si="14"/>
        <v/>
      </c>
      <c r="F201">
        <f t="shared" si="15"/>
        <v>0</v>
      </c>
      <c r="G201" t="str">
        <f t="shared" si="16"/>
        <v/>
      </c>
      <c r="H201">
        <f t="shared" si="13"/>
        <v>0</v>
      </c>
    </row>
    <row r="202" spans="1:8" ht="13.5" thickBot="1">
      <c r="A202">
        <v>175</v>
      </c>
      <c r="B202" s="362">
        <v>175</v>
      </c>
      <c r="E202" t="str">
        <f t="shared" si="14"/>
        <v/>
      </c>
      <c r="F202">
        <f t="shared" si="15"/>
        <v>0</v>
      </c>
      <c r="G202" t="str">
        <f t="shared" si="16"/>
        <v/>
      </c>
      <c r="H202">
        <f t="shared" si="13"/>
        <v>0</v>
      </c>
    </row>
    <row r="203" spans="1:8" ht="13.5" thickBot="1">
      <c r="A203">
        <v>76</v>
      </c>
      <c r="B203" s="362">
        <v>76</v>
      </c>
      <c r="E203" t="str">
        <f t="shared" si="14"/>
        <v/>
      </c>
      <c r="F203">
        <f t="shared" si="15"/>
        <v>0</v>
      </c>
      <c r="G203" t="str">
        <f t="shared" si="16"/>
        <v/>
      </c>
      <c r="H203">
        <f t="shared" si="13"/>
        <v>0</v>
      </c>
    </row>
    <row r="204" spans="1:8" ht="13.5" thickBot="1">
      <c r="A204">
        <v>147</v>
      </c>
      <c r="B204" s="362">
        <v>147</v>
      </c>
      <c r="E204" t="str">
        <f t="shared" si="14"/>
        <v/>
      </c>
      <c r="F204">
        <f t="shared" si="15"/>
        <v>0</v>
      </c>
      <c r="G204" t="str">
        <f t="shared" si="16"/>
        <v/>
      </c>
      <c r="H204">
        <f t="shared" si="13"/>
        <v>0</v>
      </c>
    </row>
    <row r="205" spans="1:8" ht="13.5" thickBot="1">
      <c r="A205">
        <v>87</v>
      </c>
      <c r="B205" s="362">
        <v>87</v>
      </c>
      <c r="E205" t="str">
        <f t="shared" si="14"/>
        <v/>
      </c>
      <c r="F205">
        <f t="shared" si="15"/>
        <v>0</v>
      </c>
      <c r="G205" t="str">
        <f t="shared" si="16"/>
        <v/>
      </c>
      <c r="H205">
        <f t="shared" si="13"/>
        <v>0</v>
      </c>
    </row>
    <row r="206" spans="1:8" ht="13.5" thickBot="1">
      <c r="A206">
        <v>264</v>
      </c>
      <c r="B206" s="362">
        <v>264</v>
      </c>
      <c r="E206" t="str">
        <f t="shared" si="14"/>
        <v/>
      </c>
      <c r="F206">
        <f t="shared" si="15"/>
        <v>0</v>
      </c>
      <c r="G206" t="str">
        <f t="shared" si="16"/>
        <v/>
      </c>
      <c r="H206">
        <f t="shared" si="13"/>
        <v>0</v>
      </c>
    </row>
    <row r="207" spans="1:8" ht="13.5" thickBot="1">
      <c r="A207">
        <v>29</v>
      </c>
      <c r="B207" s="362">
        <v>29</v>
      </c>
      <c r="E207" t="str">
        <f t="shared" si="14"/>
        <v/>
      </c>
      <c r="F207">
        <f t="shared" si="15"/>
        <v>0</v>
      </c>
      <c r="G207" t="str">
        <f t="shared" si="16"/>
        <v/>
      </c>
      <c r="H207">
        <f t="shared" si="13"/>
        <v>0</v>
      </c>
    </row>
    <row r="208" spans="1:8" ht="13.5" thickBot="1">
      <c r="A208">
        <v>1</v>
      </c>
      <c r="B208" s="362">
        <v>1</v>
      </c>
      <c r="E208" t="str">
        <f t="shared" si="14"/>
        <v/>
      </c>
      <c r="F208">
        <f t="shared" si="15"/>
        <v>0</v>
      </c>
      <c r="G208" t="str">
        <f t="shared" si="16"/>
        <v/>
      </c>
      <c r="H208">
        <f t="shared" si="13"/>
        <v>0</v>
      </c>
    </row>
    <row r="209" spans="1:8" ht="13.5" thickBot="1">
      <c r="A209">
        <v>176</v>
      </c>
      <c r="B209" s="362">
        <v>176</v>
      </c>
      <c r="E209" t="str">
        <f t="shared" si="14"/>
        <v/>
      </c>
      <c r="F209">
        <f t="shared" si="15"/>
        <v>0</v>
      </c>
      <c r="G209" t="str">
        <f t="shared" si="16"/>
        <v/>
      </c>
      <c r="H209">
        <f t="shared" si="13"/>
        <v>0</v>
      </c>
    </row>
    <row r="210" spans="1:8" ht="13.5" thickBot="1">
      <c r="A210">
        <v>221</v>
      </c>
      <c r="B210" s="362">
        <v>221</v>
      </c>
      <c r="E210" t="str">
        <f t="shared" si="14"/>
        <v/>
      </c>
      <c r="F210">
        <f t="shared" si="15"/>
        <v>0</v>
      </c>
      <c r="G210" t="str">
        <f t="shared" si="16"/>
        <v/>
      </c>
      <c r="H210">
        <f t="shared" si="13"/>
        <v>0</v>
      </c>
    </row>
    <row r="211" spans="1:8" ht="13.5" thickBot="1">
      <c r="A211">
        <v>222</v>
      </c>
      <c r="B211" s="362">
        <v>222</v>
      </c>
      <c r="E211" t="str">
        <f t="shared" si="14"/>
        <v/>
      </c>
      <c r="F211">
        <f t="shared" si="15"/>
        <v>0</v>
      </c>
      <c r="G211" t="str">
        <f t="shared" si="16"/>
        <v/>
      </c>
      <c r="H211">
        <f t="shared" si="13"/>
        <v>0</v>
      </c>
    </row>
    <row r="212" spans="1:8" ht="13.5" thickBot="1">
      <c r="A212">
        <v>120</v>
      </c>
      <c r="B212" s="362">
        <v>120</v>
      </c>
      <c r="E212" t="str">
        <f t="shared" si="14"/>
        <v/>
      </c>
      <c r="F212">
        <f t="shared" si="15"/>
        <v>0</v>
      </c>
      <c r="G212" t="str">
        <f t="shared" si="16"/>
        <v/>
      </c>
      <c r="H212">
        <f t="shared" si="13"/>
        <v>0</v>
      </c>
    </row>
    <row r="213" spans="1:8" ht="13.5" thickBot="1">
      <c r="A213">
        <v>93</v>
      </c>
      <c r="B213" s="362">
        <v>93</v>
      </c>
      <c r="E213" t="str">
        <f t="shared" si="14"/>
        <v/>
      </c>
      <c r="F213">
        <f t="shared" si="15"/>
        <v>0</v>
      </c>
      <c r="G213" t="str">
        <f t="shared" si="16"/>
        <v/>
      </c>
      <c r="H213">
        <f t="shared" si="13"/>
        <v>0</v>
      </c>
    </row>
    <row r="214" spans="1:8" ht="13.5" thickBot="1">
      <c r="A214">
        <v>224</v>
      </c>
      <c r="B214" s="362">
        <v>224</v>
      </c>
      <c r="E214" t="str">
        <f t="shared" si="14"/>
        <v/>
      </c>
      <c r="F214">
        <f t="shared" si="15"/>
        <v>0</v>
      </c>
      <c r="G214" t="str">
        <f t="shared" si="16"/>
        <v/>
      </c>
      <c r="H214">
        <f t="shared" si="13"/>
        <v>0</v>
      </c>
    </row>
    <row r="215" spans="1:8" ht="13.5" thickBot="1">
      <c r="A215">
        <v>37</v>
      </c>
      <c r="B215" s="362">
        <v>37</v>
      </c>
      <c r="E215" t="str">
        <f t="shared" si="14"/>
        <v/>
      </c>
      <c r="F215">
        <f t="shared" si="15"/>
        <v>0</v>
      </c>
      <c r="G215" t="str">
        <f t="shared" si="16"/>
        <v/>
      </c>
      <c r="H215">
        <f t="shared" si="13"/>
        <v>0</v>
      </c>
    </row>
    <row r="216" spans="1:8" ht="13.5" thickBot="1">
      <c r="A216">
        <v>112</v>
      </c>
      <c r="B216" s="362">
        <v>112</v>
      </c>
      <c r="E216" t="str">
        <f t="shared" si="14"/>
        <v/>
      </c>
      <c r="F216">
        <f t="shared" si="15"/>
        <v>0</v>
      </c>
      <c r="G216" t="str">
        <f t="shared" si="16"/>
        <v/>
      </c>
      <c r="H216">
        <f t="shared" si="13"/>
        <v>0</v>
      </c>
    </row>
    <row r="217" spans="1:8" ht="13.5" thickBot="1">
      <c r="A217">
        <v>65</v>
      </c>
      <c r="B217" s="362">
        <v>65</v>
      </c>
      <c r="E217" t="str">
        <f t="shared" si="14"/>
        <v/>
      </c>
      <c r="F217">
        <f t="shared" si="15"/>
        <v>0</v>
      </c>
      <c r="G217" t="str">
        <f t="shared" si="16"/>
        <v/>
      </c>
      <c r="H217">
        <f t="shared" si="13"/>
        <v>0</v>
      </c>
    </row>
    <row r="218" spans="1:8" ht="13.5" thickBot="1">
      <c r="A218">
        <v>12</v>
      </c>
      <c r="B218" s="362">
        <v>12</v>
      </c>
      <c r="E218" t="str">
        <f t="shared" si="14"/>
        <v/>
      </c>
      <c r="F218">
        <f t="shared" si="15"/>
        <v>0</v>
      </c>
      <c r="G218" t="str">
        <f t="shared" si="16"/>
        <v/>
      </c>
      <c r="H218">
        <f t="shared" si="13"/>
        <v>0</v>
      </c>
    </row>
    <row r="219" spans="1:8" ht="13.5" thickBot="1">
      <c r="A219">
        <v>217</v>
      </c>
      <c r="B219" s="362">
        <v>217</v>
      </c>
      <c r="E219" t="str">
        <f t="shared" si="14"/>
        <v/>
      </c>
      <c r="F219">
        <f t="shared" si="15"/>
        <v>0</v>
      </c>
      <c r="G219" t="str">
        <f t="shared" si="16"/>
        <v/>
      </c>
      <c r="H219">
        <f t="shared" si="13"/>
        <v>0</v>
      </c>
    </row>
    <row r="220" spans="1:8" ht="13.5" thickBot="1">
      <c r="A220">
        <v>272</v>
      </c>
      <c r="B220" s="362">
        <v>272</v>
      </c>
      <c r="E220" t="str">
        <f t="shared" si="14"/>
        <v/>
      </c>
      <c r="F220">
        <f t="shared" si="15"/>
        <v>0</v>
      </c>
      <c r="G220" t="str">
        <f t="shared" si="16"/>
        <v/>
      </c>
      <c r="H220">
        <f t="shared" si="13"/>
        <v>0</v>
      </c>
    </row>
    <row r="221" spans="1:8" ht="13.5" thickBot="1">
      <c r="A221">
        <v>21</v>
      </c>
      <c r="B221" s="362">
        <v>21</v>
      </c>
      <c r="E221" t="str">
        <f t="shared" si="14"/>
        <v/>
      </c>
      <c r="F221">
        <f t="shared" si="15"/>
        <v>0</v>
      </c>
      <c r="G221" t="str">
        <f t="shared" si="16"/>
        <v/>
      </c>
      <c r="H221">
        <f t="shared" si="13"/>
        <v>0</v>
      </c>
    </row>
    <row r="222" spans="1:8" ht="13.5" thickBot="1">
      <c r="A222">
        <v>121</v>
      </c>
      <c r="B222" s="362">
        <v>121</v>
      </c>
      <c r="E222" t="str">
        <f t="shared" si="14"/>
        <v/>
      </c>
      <c r="F222">
        <f t="shared" si="15"/>
        <v>0</v>
      </c>
      <c r="G222" t="str">
        <f t="shared" si="16"/>
        <v/>
      </c>
      <c r="H222">
        <f t="shared" si="13"/>
        <v>0</v>
      </c>
    </row>
    <row r="223" spans="1:8" ht="13.5" thickBot="1">
      <c r="A223">
        <v>28</v>
      </c>
      <c r="B223" s="362">
        <v>28</v>
      </c>
      <c r="E223" t="str">
        <f t="shared" si="14"/>
        <v/>
      </c>
      <c r="F223">
        <f t="shared" si="15"/>
        <v>0</v>
      </c>
      <c r="G223" t="str">
        <f t="shared" si="16"/>
        <v/>
      </c>
      <c r="H223">
        <f t="shared" si="13"/>
        <v>0</v>
      </c>
    </row>
    <row r="224" spans="1:8" ht="13.5" thickBot="1">
      <c r="A224">
        <v>181</v>
      </c>
      <c r="B224" s="362">
        <v>181</v>
      </c>
      <c r="E224" t="str">
        <f t="shared" si="14"/>
        <v/>
      </c>
      <c r="F224">
        <f t="shared" si="15"/>
        <v>0</v>
      </c>
      <c r="G224" t="str">
        <f t="shared" si="16"/>
        <v/>
      </c>
      <c r="H224">
        <f t="shared" si="13"/>
        <v>0</v>
      </c>
    </row>
    <row r="225" spans="1:8" ht="13.5" thickBot="1">
      <c r="A225">
        <v>282</v>
      </c>
      <c r="B225" s="362">
        <v>282</v>
      </c>
      <c r="E225" t="str">
        <f t="shared" si="14"/>
        <v/>
      </c>
      <c r="F225">
        <f t="shared" si="15"/>
        <v>0</v>
      </c>
      <c r="G225" t="str">
        <f t="shared" si="16"/>
        <v/>
      </c>
      <c r="H225">
        <f t="shared" si="13"/>
        <v>0</v>
      </c>
    </row>
    <row r="226" spans="1:8" ht="13.5" thickBot="1">
      <c r="A226">
        <v>116</v>
      </c>
      <c r="B226" s="362">
        <v>116</v>
      </c>
      <c r="E226" t="str">
        <f t="shared" si="14"/>
        <v/>
      </c>
      <c r="F226">
        <f t="shared" si="15"/>
        <v>0</v>
      </c>
      <c r="G226" t="str">
        <f t="shared" si="16"/>
        <v/>
      </c>
      <c r="H226">
        <f t="shared" si="13"/>
        <v>0</v>
      </c>
    </row>
    <row r="227" spans="1:8" ht="13.5" thickBot="1">
      <c r="A227">
        <v>50</v>
      </c>
      <c r="B227" s="362">
        <v>50</v>
      </c>
      <c r="E227" t="str">
        <f t="shared" si="14"/>
        <v/>
      </c>
      <c r="F227">
        <f t="shared" si="15"/>
        <v>0</v>
      </c>
      <c r="G227" t="str">
        <f t="shared" si="16"/>
        <v/>
      </c>
      <c r="H227">
        <f t="shared" si="13"/>
        <v>0</v>
      </c>
    </row>
    <row r="228" spans="1:8" ht="13.5" thickBot="1">
      <c r="A228">
        <v>195</v>
      </c>
      <c r="B228" s="362">
        <v>195</v>
      </c>
      <c r="E228" t="str">
        <f t="shared" si="14"/>
        <v/>
      </c>
      <c r="F228">
        <f t="shared" si="15"/>
        <v>0</v>
      </c>
      <c r="G228" t="str">
        <f t="shared" si="16"/>
        <v/>
      </c>
      <c r="H228">
        <f t="shared" si="13"/>
        <v>0</v>
      </c>
    </row>
    <row r="229" spans="1:8" ht="13.5" thickBot="1">
      <c r="A229">
        <v>64</v>
      </c>
      <c r="B229" s="362">
        <v>64</v>
      </c>
      <c r="E229" t="str">
        <f t="shared" si="14"/>
        <v/>
      </c>
      <c r="F229">
        <f t="shared" si="15"/>
        <v>0</v>
      </c>
      <c r="G229" t="str">
        <f t="shared" si="16"/>
        <v/>
      </c>
      <c r="H229">
        <f t="shared" si="13"/>
        <v>0</v>
      </c>
    </row>
    <row r="230" spans="1:8" ht="13.5" thickBot="1">
      <c r="A230">
        <v>78</v>
      </c>
      <c r="B230" s="362">
        <v>78</v>
      </c>
      <c r="E230" t="str">
        <f t="shared" si="14"/>
        <v/>
      </c>
      <c r="F230">
        <f t="shared" si="15"/>
        <v>0</v>
      </c>
      <c r="G230" t="str">
        <f t="shared" si="16"/>
        <v/>
      </c>
      <c r="H230">
        <f t="shared" si="13"/>
        <v>0</v>
      </c>
    </row>
    <row r="231" spans="1:8" ht="13.5" thickBot="1">
      <c r="A231">
        <v>203</v>
      </c>
      <c r="B231" s="362">
        <v>203</v>
      </c>
      <c r="E231" t="str">
        <f t="shared" si="14"/>
        <v/>
      </c>
      <c r="F231">
        <f t="shared" si="15"/>
        <v>0</v>
      </c>
      <c r="G231" t="str">
        <f t="shared" si="16"/>
        <v/>
      </c>
      <c r="H231">
        <f t="shared" si="13"/>
        <v>0</v>
      </c>
    </row>
    <row r="232" spans="1:8" ht="13.5" thickBot="1">
      <c r="A232">
        <v>196</v>
      </c>
      <c r="B232" s="362">
        <v>196</v>
      </c>
      <c r="E232" t="str">
        <f t="shared" si="14"/>
        <v/>
      </c>
      <c r="F232">
        <f t="shared" si="15"/>
        <v>0</v>
      </c>
      <c r="G232" t="str">
        <f t="shared" si="16"/>
        <v/>
      </c>
      <c r="H232">
        <f t="shared" si="13"/>
        <v>0</v>
      </c>
    </row>
    <row r="233" spans="1:8" ht="13.5" thickBot="1">
      <c r="A233">
        <v>47</v>
      </c>
      <c r="B233" s="362">
        <v>47</v>
      </c>
      <c r="E233" t="str">
        <f t="shared" si="14"/>
        <v/>
      </c>
      <c r="F233">
        <f t="shared" si="15"/>
        <v>0</v>
      </c>
      <c r="G233" t="str">
        <f t="shared" si="16"/>
        <v/>
      </c>
      <c r="H233">
        <f t="shared" si="13"/>
        <v>0</v>
      </c>
    </row>
    <row r="234" spans="1:8" ht="13.5" thickBot="1">
      <c r="A234">
        <v>117</v>
      </c>
      <c r="B234" s="362">
        <v>117</v>
      </c>
      <c r="E234" t="str">
        <f t="shared" si="14"/>
        <v/>
      </c>
      <c r="F234">
        <f t="shared" si="15"/>
        <v>0</v>
      </c>
      <c r="G234" t="str">
        <f t="shared" si="16"/>
        <v/>
      </c>
      <c r="H234">
        <f t="shared" si="13"/>
        <v>0</v>
      </c>
    </row>
    <row r="235" spans="1:8" ht="13.5" thickBot="1">
      <c r="A235">
        <v>257</v>
      </c>
      <c r="B235" s="362">
        <v>257</v>
      </c>
      <c r="E235" t="str">
        <f t="shared" si="14"/>
        <v/>
      </c>
      <c r="F235">
        <f t="shared" si="15"/>
        <v>0</v>
      </c>
      <c r="G235" t="str">
        <f t="shared" si="16"/>
        <v/>
      </c>
      <c r="H235">
        <f t="shared" si="13"/>
        <v>0</v>
      </c>
    </row>
    <row r="236" spans="1:8" ht="13.5" thickBot="1">
      <c r="A236">
        <v>43</v>
      </c>
      <c r="B236" s="362">
        <v>43</v>
      </c>
      <c r="E236" t="str">
        <f t="shared" si="14"/>
        <v/>
      </c>
      <c r="F236">
        <f t="shared" si="15"/>
        <v>0</v>
      </c>
      <c r="G236" t="str">
        <f t="shared" si="16"/>
        <v/>
      </c>
      <c r="H236">
        <f t="shared" si="13"/>
        <v>0</v>
      </c>
    </row>
    <row r="237" spans="1:8" ht="13.5" thickBot="1">
      <c r="A237">
        <v>111</v>
      </c>
      <c r="B237" s="362">
        <v>111</v>
      </c>
      <c r="E237" t="str">
        <f t="shared" si="14"/>
        <v/>
      </c>
      <c r="F237">
        <f t="shared" si="15"/>
        <v>0</v>
      </c>
      <c r="G237" t="str">
        <f t="shared" si="16"/>
        <v/>
      </c>
      <c r="H237">
        <f t="shared" si="13"/>
        <v>0</v>
      </c>
    </row>
    <row r="238" spans="1:8" ht="13.5" thickBot="1">
      <c r="A238">
        <v>151</v>
      </c>
      <c r="B238" s="362">
        <v>151</v>
      </c>
      <c r="E238" t="str">
        <f t="shared" si="14"/>
        <v/>
      </c>
      <c r="F238">
        <f t="shared" si="15"/>
        <v>0</v>
      </c>
      <c r="G238" t="str">
        <f t="shared" si="16"/>
        <v/>
      </c>
      <c r="H238">
        <f t="shared" si="13"/>
        <v>0</v>
      </c>
    </row>
    <row r="239" spans="1:8" ht="13.5" thickBot="1">
      <c r="A239">
        <v>11</v>
      </c>
      <c r="B239" s="362">
        <v>11</v>
      </c>
      <c r="E239" t="str">
        <f t="shared" si="14"/>
        <v/>
      </c>
      <c r="F239">
        <f t="shared" si="15"/>
        <v>0</v>
      </c>
      <c r="G239" t="str">
        <f t="shared" si="16"/>
        <v/>
      </c>
      <c r="H239">
        <f t="shared" si="13"/>
        <v>0</v>
      </c>
    </row>
    <row r="240" spans="1:8" ht="13.5" thickBot="1">
      <c r="A240">
        <v>19</v>
      </c>
      <c r="B240" s="362">
        <v>19</v>
      </c>
      <c r="E240" t="str">
        <f t="shared" si="14"/>
        <v/>
      </c>
      <c r="F240">
        <f t="shared" si="15"/>
        <v>0</v>
      </c>
      <c r="G240" t="str">
        <f t="shared" si="16"/>
        <v/>
      </c>
      <c r="H240">
        <f t="shared" si="13"/>
        <v>0</v>
      </c>
    </row>
    <row r="241" spans="1:8" ht="13.5" thickBot="1">
      <c r="A241">
        <v>158</v>
      </c>
      <c r="B241" s="362">
        <v>158</v>
      </c>
      <c r="E241" t="str">
        <f t="shared" si="14"/>
        <v/>
      </c>
      <c r="F241">
        <f t="shared" si="15"/>
        <v>0</v>
      </c>
      <c r="G241" t="str">
        <f t="shared" si="16"/>
        <v/>
      </c>
      <c r="H241">
        <f t="shared" si="13"/>
        <v>0</v>
      </c>
    </row>
    <row r="242" spans="1:8" ht="13.5" thickBot="1">
      <c r="A242">
        <v>48</v>
      </c>
      <c r="B242" s="362">
        <v>48</v>
      </c>
      <c r="E242" t="str">
        <f t="shared" si="14"/>
        <v/>
      </c>
      <c r="F242">
        <f t="shared" si="15"/>
        <v>0</v>
      </c>
      <c r="G242" t="str">
        <f t="shared" si="16"/>
        <v/>
      </c>
      <c r="H242">
        <f t="shared" si="13"/>
        <v>0</v>
      </c>
    </row>
    <row r="243" spans="1:8" ht="13.5" thickBot="1">
      <c r="A243">
        <v>153</v>
      </c>
      <c r="B243" s="362">
        <v>153</v>
      </c>
      <c r="E243" t="str">
        <f t="shared" si="14"/>
        <v/>
      </c>
      <c r="F243">
        <f t="shared" si="15"/>
        <v>0</v>
      </c>
      <c r="G243" t="str">
        <f t="shared" si="16"/>
        <v/>
      </c>
      <c r="H243">
        <f t="shared" si="13"/>
        <v>0</v>
      </c>
    </row>
    <row r="244" spans="1:8" ht="13.5" thickBot="1">
      <c r="A244">
        <v>237</v>
      </c>
      <c r="B244" s="362">
        <v>237</v>
      </c>
      <c r="E244" t="str">
        <f t="shared" si="14"/>
        <v/>
      </c>
      <c r="F244">
        <f t="shared" si="15"/>
        <v>0</v>
      </c>
      <c r="G244" t="str">
        <f t="shared" si="16"/>
        <v/>
      </c>
      <c r="H244">
        <f t="shared" si="13"/>
        <v>0</v>
      </c>
    </row>
    <row r="245" spans="1:8" ht="13.5" thickBot="1">
      <c r="A245">
        <v>46</v>
      </c>
      <c r="B245" s="362">
        <v>46</v>
      </c>
      <c r="E245" t="str">
        <f t="shared" si="14"/>
        <v/>
      </c>
      <c r="F245">
        <f t="shared" si="15"/>
        <v>0</v>
      </c>
      <c r="G245" t="str">
        <f t="shared" si="16"/>
        <v/>
      </c>
      <c r="H245">
        <f t="shared" si="13"/>
        <v>0</v>
      </c>
    </row>
    <row r="246" spans="1:8" ht="13.5" thickBot="1">
      <c r="A246">
        <v>167</v>
      </c>
      <c r="B246" s="362">
        <v>167</v>
      </c>
      <c r="E246" t="str">
        <f t="shared" si="14"/>
        <v/>
      </c>
      <c r="F246">
        <f t="shared" si="15"/>
        <v>0</v>
      </c>
      <c r="G246" t="str">
        <f t="shared" si="16"/>
        <v/>
      </c>
      <c r="H246">
        <f t="shared" si="13"/>
        <v>0</v>
      </c>
    </row>
    <row r="247" spans="1:8" ht="13.5" thickBot="1">
      <c r="A247">
        <v>18</v>
      </c>
      <c r="B247" s="362">
        <v>18</v>
      </c>
      <c r="E247" t="str">
        <f t="shared" si="14"/>
        <v/>
      </c>
      <c r="F247">
        <f t="shared" si="15"/>
        <v>0</v>
      </c>
      <c r="G247" t="str">
        <f t="shared" si="16"/>
        <v/>
      </c>
      <c r="H247">
        <f t="shared" si="13"/>
        <v>0</v>
      </c>
    </row>
    <row r="248" spans="1:8" ht="13.5" thickBot="1">
      <c r="A248">
        <v>150</v>
      </c>
      <c r="B248" s="362">
        <v>150</v>
      </c>
      <c r="E248" t="str">
        <f t="shared" si="14"/>
        <v/>
      </c>
      <c r="F248">
        <f t="shared" si="15"/>
        <v>0</v>
      </c>
      <c r="G248" t="str">
        <f t="shared" si="16"/>
        <v/>
      </c>
      <c r="H248">
        <f t="shared" si="13"/>
        <v>0</v>
      </c>
    </row>
    <row r="249" spans="1:8" ht="13.5" thickBot="1">
      <c r="A249">
        <v>227</v>
      </c>
      <c r="B249" s="362">
        <v>227</v>
      </c>
      <c r="E249" t="str">
        <f t="shared" si="14"/>
        <v/>
      </c>
      <c r="F249">
        <f t="shared" si="15"/>
        <v>0</v>
      </c>
      <c r="G249" t="str">
        <f t="shared" si="16"/>
        <v/>
      </c>
      <c r="H249">
        <f t="shared" si="13"/>
        <v>0</v>
      </c>
    </row>
    <row r="250" spans="1:8" ht="13.5" thickBot="1">
      <c r="A250">
        <v>241</v>
      </c>
      <c r="B250" s="362">
        <v>241</v>
      </c>
      <c r="E250" t="str">
        <f t="shared" si="14"/>
        <v/>
      </c>
      <c r="F250">
        <f t="shared" si="15"/>
        <v>0</v>
      </c>
      <c r="G250" t="str">
        <f t="shared" si="16"/>
        <v/>
      </c>
      <c r="H250">
        <f t="shared" si="13"/>
        <v>0</v>
      </c>
    </row>
    <row r="251" spans="1:8" ht="13.5" thickBot="1">
      <c r="A251">
        <v>232</v>
      </c>
      <c r="B251" s="362">
        <v>232</v>
      </c>
      <c r="E251" t="str">
        <f t="shared" si="14"/>
        <v/>
      </c>
      <c r="F251">
        <f t="shared" si="15"/>
        <v>0</v>
      </c>
      <c r="G251" t="str">
        <f t="shared" si="16"/>
        <v/>
      </c>
      <c r="H251">
        <f t="shared" si="13"/>
        <v>0</v>
      </c>
    </row>
    <row r="252" spans="1:8" ht="13.5" thickBot="1">
      <c r="A252">
        <v>197</v>
      </c>
      <c r="B252" s="362">
        <v>197</v>
      </c>
      <c r="E252" t="str">
        <f t="shared" si="14"/>
        <v/>
      </c>
      <c r="F252">
        <f t="shared" si="15"/>
        <v>0</v>
      </c>
      <c r="G252" t="str">
        <f t="shared" si="16"/>
        <v/>
      </c>
      <c r="H252">
        <f t="shared" si="13"/>
        <v>0</v>
      </c>
    </row>
    <row r="253" spans="1:8" ht="13.5" thickBot="1">
      <c r="A253">
        <v>279</v>
      </c>
      <c r="B253" s="362">
        <v>279</v>
      </c>
      <c r="E253" t="str">
        <f t="shared" si="14"/>
        <v/>
      </c>
      <c r="F253">
        <f t="shared" si="15"/>
        <v>0</v>
      </c>
      <c r="G253" t="str">
        <f t="shared" si="16"/>
        <v/>
      </c>
      <c r="H253">
        <f t="shared" si="13"/>
        <v>0</v>
      </c>
    </row>
    <row r="254" spans="1:8" ht="13.5" thickBot="1">
      <c r="A254">
        <v>39</v>
      </c>
      <c r="B254" s="362">
        <v>39</v>
      </c>
      <c r="E254" t="str">
        <f t="shared" si="14"/>
        <v/>
      </c>
      <c r="F254">
        <f t="shared" si="15"/>
        <v>0</v>
      </c>
      <c r="G254" t="str">
        <f t="shared" si="16"/>
        <v/>
      </c>
      <c r="H254">
        <f t="shared" si="13"/>
        <v>0</v>
      </c>
    </row>
    <row r="255" spans="1:8" ht="13.5" thickBot="1">
      <c r="A255">
        <v>213</v>
      </c>
      <c r="B255" s="362">
        <v>213</v>
      </c>
      <c r="E255" t="str">
        <f t="shared" si="14"/>
        <v/>
      </c>
      <c r="F255">
        <f t="shared" si="15"/>
        <v>0</v>
      </c>
      <c r="G255" t="str">
        <f t="shared" si="16"/>
        <v/>
      </c>
      <c r="H255">
        <f t="shared" si="13"/>
        <v>0</v>
      </c>
    </row>
    <row r="256" spans="1:8" ht="13.5" thickBot="1">
      <c r="A256">
        <v>183</v>
      </c>
      <c r="B256" s="362">
        <v>183</v>
      </c>
      <c r="E256" t="str">
        <f t="shared" si="14"/>
        <v/>
      </c>
      <c r="F256">
        <f t="shared" si="15"/>
        <v>0</v>
      </c>
      <c r="G256" t="str">
        <f t="shared" si="16"/>
        <v/>
      </c>
      <c r="H256">
        <f t="shared" si="13"/>
        <v>0</v>
      </c>
    </row>
    <row r="257" spans="1:8" ht="13.5" thickBot="1">
      <c r="A257">
        <v>51</v>
      </c>
      <c r="B257" s="362">
        <v>51</v>
      </c>
      <c r="E257" t="str">
        <f t="shared" si="14"/>
        <v/>
      </c>
      <c r="F257">
        <f t="shared" si="15"/>
        <v>0</v>
      </c>
      <c r="G257" t="str">
        <f t="shared" si="16"/>
        <v/>
      </c>
      <c r="H257">
        <f t="shared" si="13"/>
        <v>0</v>
      </c>
    </row>
    <row r="258" spans="1:8" ht="13.5" thickBot="1">
      <c r="A258">
        <v>49</v>
      </c>
      <c r="B258" s="362">
        <v>49</v>
      </c>
      <c r="E258" t="str">
        <f t="shared" si="14"/>
        <v/>
      </c>
      <c r="F258">
        <f t="shared" si="15"/>
        <v>0</v>
      </c>
      <c r="G258" t="str">
        <f t="shared" si="16"/>
        <v/>
      </c>
      <c r="H258">
        <f t="shared" ref="H258:H321" si="17">IF(ISERROR(VLOOKUP(D258,$C$2:$C$500,1,FALSE)),D258,"")</f>
        <v>0</v>
      </c>
    </row>
    <row r="259" spans="1:8" ht="13.5" thickBot="1">
      <c r="A259">
        <v>108</v>
      </c>
      <c r="B259" s="362">
        <v>108</v>
      </c>
      <c r="E259" t="str">
        <f t="shared" ref="E259:E322" si="18">IF(ISERROR(VLOOKUP(A259,$B$2:$B$500,1,FALSE)),A259,"")</f>
        <v/>
      </c>
      <c r="F259">
        <f t="shared" ref="F259:F322" si="19">IF(ISERROR(VLOOKUP(C259,$D$2:$D$500,1,FALSE)),C259,"")</f>
        <v>0</v>
      </c>
      <c r="G259" t="str">
        <f t="shared" ref="G259:G322" si="20">IF(ISERROR(VLOOKUP(B259,$A$2:$A$500,1,FALSE)),B259,"")</f>
        <v/>
      </c>
      <c r="H259">
        <f t="shared" si="17"/>
        <v>0</v>
      </c>
    </row>
    <row r="260" spans="1:8" ht="13.5" thickBot="1">
      <c r="A260">
        <v>107</v>
      </c>
      <c r="B260" s="362">
        <v>107</v>
      </c>
      <c r="E260" t="str">
        <f t="shared" si="18"/>
        <v/>
      </c>
      <c r="F260">
        <f t="shared" si="19"/>
        <v>0</v>
      </c>
      <c r="G260" t="str">
        <f t="shared" si="20"/>
        <v/>
      </c>
      <c r="H260">
        <f t="shared" si="17"/>
        <v>0</v>
      </c>
    </row>
    <row r="261" spans="1:8">
      <c r="A261">
        <f>OverallResults!A262</f>
        <v>107</v>
      </c>
      <c r="E261" t="str">
        <f t="shared" si="18"/>
        <v/>
      </c>
      <c r="F261">
        <f t="shared" si="19"/>
        <v>0</v>
      </c>
      <c r="G261">
        <f t="shared" si="20"/>
        <v>0</v>
      </c>
      <c r="H261">
        <f t="shared" si="17"/>
        <v>0</v>
      </c>
    </row>
    <row r="262" spans="1:8">
      <c r="A262" t="str">
        <f>OverallResults!A263</f>
        <v/>
      </c>
      <c r="E262" t="str">
        <f t="shared" si="18"/>
        <v/>
      </c>
      <c r="F262">
        <f t="shared" si="19"/>
        <v>0</v>
      </c>
      <c r="G262">
        <f t="shared" si="20"/>
        <v>0</v>
      </c>
      <c r="H262">
        <f t="shared" si="17"/>
        <v>0</v>
      </c>
    </row>
    <row r="263" spans="1:8">
      <c r="A263" t="str">
        <f>OverallResults!A264</f>
        <v/>
      </c>
      <c r="E263" t="str">
        <f t="shared" si="18"/>
        <v/>
      </c>
      <c r="F263">
        <f t="shared" si="19"/>
        <v>0</v>
      </c>
      <c r="G263">
        <f t="shared" si="20"/>
        <v>0</v>
      </c>
      <c r="H263">
        <f t="shared" si="17"/>
        <v>0</v>
      </c>
    </row>
    <row r="264" spans="1:8">
      <c r="A264" t="str">
        <f>OverallResults!A265</f>
        <v/>
      </c>
      <c r="E264" t="str">
        <f t="shared" si="18"/>
        <v/>
      </c>
      <c r="F264">
        <f t="shared" si="19"/>
        <v>0</v>
      </c>
      <c r="G264">
        <f t="shared" si="20"/>
        <v>0</v>
      </c>
      <c r="H264">
        <f t="shared" si="17"/>
        <v>0</v>
      </c>
    </row>
    <row r="265" spans="1:8">
      <c r="A265" t="str">
        <f>OverallResults!A266</f>
        <v/>
      </c>
      <c r="E265" t="str">
        <f t="shared" si="18"/>
        <v/>
      </c>
      <c r="F265">
        <f t="shared" si="19"/>
        <v>0</v>
      </c>
      <c r="G265">
        <f t="shared" si="20"/>
        <v>0</v>
      </c>
      <c r="H265">
        <f t="shared" si="17"/>
        <v>0</v>
      </c>
    </row>
    <row r="266" spans="1:8">
      <c r="A266" t="str">
        <f>OverallResults!A267</f>
        <v/>
      </c>
      <c r="E266" t="str">
        <f t="shared" si="18"/>
        <v/>
      </c>
      <c r="F266">
        <f t="shared" si="19"/>
        <v>0</v>
      </c>
      <c r="G266">
        <f t="shared" si="20"/>
        <v>0</v>
      </c>
      <c r="H266">
        <f t="shared" si="17"/>
        <v>0</v>
      </c>
    </row>
    <row r="267" spans="1:8">
      <c r="A267" t="str">
        <f>OverallResults!A268</f>
        <v/>
      </c>
      <c r="E267" t="str">
        <f t="shared" si="18"/>
        <v/>
      </c>
      <c r="F267">
        <f t="shared" si="19"/>
        <v>0</v>
      </c>
      <c r="G267">
        <f t="shared" si="20"/>
        <v>0</v>
      </c>
      <c r="H267">
        <f t="shared" si="17"/>
        <v>0</v>
      </c>
    </row>
    <row r="268" spans="1:8">
      <c r="A268" t="str">
        <f>OverallResults!A269</f>
        <v/>
      </c>
      <c r="E268" t="str">
        <f t="shared" si="18"/>
        <v/>
      </c>
      <c r="F268">
        <f t="shared" si="19"/>
        <v>0</v>
      </c>
      <c r="G268">
        <f t="shared" si="20"/>
        <v>0</v>
      </c>
      <c r="H268">
        <f t="shared" si="17"/>
        <v>0</v>
      </c>
    </row>
    <row r="269" spans="1:8">
      <c r="A269" t="str">
        <f>OverallResults!A270</f>
        <v/>
      </c>
      <c r="E269" t="str">
        <f t="shared" si="18"/>
        <v/>
      </c>
      <c r="F269">
        <f t="shared" si="19"/>
        <v>0</v>
      </c>
      <c r="G269">
        <f t="shared" si="20"/>
        <v>0</v>
      </c>
      <c r="H269">
        <f t="shared" si="17"/>
        <v>0</v>
      </c>
    </row>
    <row r="270" spans="1:8">
      <c r="A270" t="str">
        <f>OverallResults!A271</f>
        <v/>
      </c>
      <c r="E270" t="str">
        <f t="shared" si="18"/>
        <v/>
      </c>
      <c r="F270">
        <f t="shared" si="19"/>
        <v>0</v>
      </c>
      <c r="G270">
        <f t="shared" si="20"/>
        <v>0</v>
      </c>
      <c r="H270">
        <f t="shared" si="17"/>
        <v>0</v>
      </c>
    </row>
    <row r="271" spans="1:8">
      <c r="A271" t="str">
        <f>OverallResults!A272</f>
        <v/>
      </c>
      <c r="E271" t="str">
        <f t="shared" si="18"/>
        <v/>
      </c>
      <c r="F271">
        <f t="shared" si="19"/>
        <v>0</v>
      </c>
      <c r="G271">
        <f t="shared" si="20"/>
        <v>0</v>
      </c>
      <c r="H271">
        <f t="shared" si="17"/>
        <v>0</v>
      </c>
    </row>
    <row r="272" spans="1:8">
      <c r="A272" t="str">
        <f>OverallResults!A273</f>
        <v/>
      </c>
      <c r="E272" t="str">
        <f t="shared" si="18"/>
        <v/>
      </c>
      <c r="F272">
        <f t="shared" si="19"/>
        <v>0</v>
      </c>
      <c r="G272">
        <f t="shared" si="20"/>
        <v>0</v>
      </c>
      <c r="H272">
        <f t="shared" si="17"/>
        <v>0</v>
      </c>
    </row>
    <row r="273" spans="1:8">
      <c r="A273" t="str">
        <f>OverallResults!A274</f>
        <v/>
      </c>
      <c r="E273" t="str">
        <f t="shared" si="18"/>
        <v/>
      </c>
      <c r="F273">
        <f t="shared" si="19"/>
        <v>0</v>
      </c>
      <c r="G273">
        <f t="shared" si="20"/>
        <v>0</v>
      </c>
      <c r="H273">
        <f t="shared" si="17"/>
        <v>0</v>
      </c>
    </row>
    <row r="274" spans="1:8">
      <c r="A274" t="str">
        <f>OverallResults!A275</f>
        <v/>
      </c>
      <c r="E274" t="str">
        <f t="shared" si="18"/>
        <v/>
      </c>
      <c r="F274">
        <f t="shared" si="19"/>
        <v>0</v>
      </c>
      <c r="G274">
        <f t="shared" si="20"/>
        <v>0</v>
      </c>
      <c r="H274">
        <f t="shared" si="17"/>
        <v>0</v>
      </c>
    </row>
    <row r="275" spans="1:8">
      <c r="A275" t="str">
        <f>OverallResults!A276</f>
        <v/>
      </c>
      <c r="E275" t="str">
        <f t="shared" si="18"/>
        <v/>
      </c>
      <c r="F275">
        <f t="shared" si="19"/>
        <v>0</v>
      </c>
      <c r="G275">
        <f t="shared" si="20"/>
        <v>0</v>
      </c>
      <c r="H275">
        <f t="shared" si="17"/>
        <v>0</v>
      </c>
    </row>
    <row r="276" spans="1:8">
      <c r="A276" t="str">
        <f>OverallResults!A277</f>
        <v/>
      </c>
      <c r="E276" t="str">
        <f t="shared" si="18"/>
        <v/>
      </c>
      <c r="F276">
        <f t="shared" si="19"/>
        <v>0</v>
      </c>
      <c r="G276">
        <f t="shared" si="20"/>
        <v>0</v>
      </c>
      <c r="H276">
        <f t="shared" si="17"/>
        <v>0</v>
      </c>
    </row>
    <row r="277" spans="1:8">
      <c r="A277" t="str">
        <f>OverallResults!A278</f>
        <v/>
      </c>
      <c r="E277" t="str">
        <f t="shared" si="18"/>
        <v/>
      </c>
      <c r="F277">
        <f t="shared" si="19"/>
        <v>0</v>
      </c>
      <c r="G277">
        <f t="shared" si="20"/>
        <v>0</v>
      </c>
      <c r="H277">
        <f t="shared" si="17"/>
        <v>0</v>
      </c>
    </row>
    <row r="278" spans="1:8">
      <c r="A278" t="str">
        <f>OverallResults!A279</f>
        <v/>
      </c>
      <c r="E278" t="str">
        <f t="shared" si="18"/>
        <v/>
      </c>
      <c r="F278">
        <f t="shared" si="19"/>
        <v>0</v>
      </c>
      <c r="G278">
        <f t="shared" si="20"/>
        <v>0</v>
      </c>
      <c r="H278">
        <f t="shared" si="17"/>
        <v>0</v>
      </c>
    </row>
    <row r="279" spans="1:8">
      <c r="A279" t="str">
        <f>OverallResults!A280</f>
        <v/>
      </c>
      <c r="E279" t="str">
        <f t="shared" si="18"/>
        <v/>
      </c>
      <c r="F279">
        <f t="shared" si="19"/>
        <v>0</v>
      </c>
      <c r="G279">
        <f t="shared" si="20"/>
        <v>0</v>
      </c>
      <c r="H279">
        <f t="shared" si="17"/>
        <v>0</v>
      </c>
    </row>
    <row r="280" spans="1:8">
      <c r="A280" t="str">
        <f>OverallResults!A281</f>
        <v/>
      </c>
      <c r="E280" t="str">
        <f t="shared" si="18"/>
        <v/>
      </c>
      <c r="F280">
        <f t="shared" si="19"/>
        <v>0</v>
      </c>
      <c r="G280">
        <f t="shared" si="20"/>
        <v>0</v>
      </c>
      <c r="H280">
        <f t="shared" si="17"/>
        <v>0</v>
      </c>
    </row>
    <row r="281" spans="1:8">
      <c r="A281" t="str">
        <f>OverallResults!A282</f>
        <v/>
      </c>
      <c r="E281" t="str">
        <f t="shared" si="18"/>
        <v/>
      </c>
      <c r="F281">
        <f t="shared" si="19"/>
        <v>0</v>
      </c>
      <c r="G281">
        <f t="shared" si="20"/>
        <v>0</v>
      </c>
      <c r="H281">
        <f t="shared" si="17"/>
        <v>0</v>
      </c>
    </row>
    <row r="282" spans="1:8">
      <c r="A282" t="str">
        <f>OverallResults!A283</f>
        <v/>
      </c>
      <c r="E282" t="str">
        <f t="shared" si="18"/>
        <v/>
      </c>
      <c r="F282">
        <f t="shared" si="19"/>
        <v>0</v>
      </c>
      <c r="G282">
        <f t="shared" si="20"/>
        <v>0</v>
      </c>
      <c r="H282">
        <f t="shared" si="17"/>
        <v>0</v>
      </c>
    </row>
    <row r="283" spans="1:8">
      <c r="A283" t="str">
        <f>OverallResults!A284</f>
        <v/>
      </c>
      <c r="E283" t="str">
        <f t="shared" si="18"/>
        <v/>
      </c>
      <c r="F283">
        <f t="shared" si="19"/>
        <v>0</v>
      </c>
      <c r="G283">
        <f t="shared" si="20"/>
        <v>0</v>
      </c>
      <c r="H283">
        <f t="shared" si="17"/>
        <v>0</v>
      </c>
    </row>
    <row r="284" spans="1:8">
      <c r="A284" t="str">
        <f>OverallResults!A285</f>
        <v/>
      </c>
      <c r="E284" t="str">
        <f t="shared" si="18"/>
        <v/>
      </c>
      <c r="F284">
        <f t="shared" si="19"/>
        <v>0</v>
      </c>
      <c r="G284">
        <f t="shared" si="20"/>
        <v>0</v>
      </c>
      <c r="H284">
        <f t="shared" si="17"/>
        <v>0</v>
      </c>
    </row>
    <row r="285" spans="1:8">
      <c r="A285" t="str">
        <f>OverallResults!A286</f>
        <v/>
      </c>
      <c r="E285" t="str">
        <f t="shared" si="18"/>
        <v/>
      </c>
      <c r="F285">
        <f t="shared" si="19"/>
        <v>0</v>
      </c>
      <c r="G285">
        <f t="shared" si="20"/>
        <v>0</v>
      </c>
      <c r="H285">
        <f t="shared" si="17"/>
        <v>0</v>
      </c>
    </row>
    <row r="286" spans="1:8">
      <c r="A286" t="str">
        <f>OverallResults!A287</f>
        <v/>
      </c>
      <c r="E286" t="str">
        <f t="shared" si="18"/>
        <v/>
      </c>
      <c r="F286">
        <f t="shared" si="19"/>
        <v>0</v>
      </c>
      <c r="G286">
        <f t="shared" si="20"/>
        <v>0</v>
      </c>
      <c r="H286">
        <f t="shared" si="17"/>
        <v>0</v>
      </c>
    </row>
    <row r="287" spans="1:8">
      <c r="A287" t="str">
        <f>OverallResults!A288</f>
        <v/>
      </c>
      <c r="E287" t="str">
        <f t="shared" si="18"/>
        <v/>
      </c>
      <c r="F287">
        <f t="shared" si="19"/>
        <v>0</v>
      </c>
      <c r="G287">
        <f t="shared" si="20"/>
        <v>0</v>
      </c>
      <c r="H287">
        <f t="shared" si="17"/>
        <v>0</v>
      </c>
    </row>
    <row r="288" spans="1:8">
      <c r="A288" t="str">
        <f>OverallResults!A289</f>
        <v/>
      </c>
      <c r="E288" t="str">
        <f t="shared" si="18"/>
        <v/>
      </c>
      <c r="F288">
        <f t="shared" si="19"/>
        <v>0</v>
      </c>
      <c r="G288">
        <f t="shared" si="20"/>
        <v>0</v>
      </c>
      <c r="H288">
        <f t="shared" si="17"/>
        <v>0</v>
      </c>
    </row>
    <row r="289" spans="1:8">
      <c r="A289" t="str">
        <f>OverallResults!A290</f>
        <v/>
      </c>
      <c r="E289" t="str">
        <f t="shared" si="18"/>
        <v/>
      </c>
      <c r="F289">
        <f t="shared" si="19"/>
        <v>0</v>
      </c>
      <c r="G289">
        <f t="shared" si="20"/>
        <v>0</v>
      </c>
      <c r="H289">
        <f t="shared" si="17"/>
        <v>0</v>
      </c>
    </row>
    <row r="290" spans="1:8">
      <c r="A290" t="str">
        <f>OverallResults!A291</f>
        <v/>
      </c>
      <c r="E290" t="str">
        <f t="shared" si="18"/>
        <v/>
      </c>
      <c r="F290">
        <f t="shared" si="19"/>
        <v>0</v>
      </c>
      <c r="G290">
        <f t="shared" si="20"/>
        <v>0</v>
      </c>
      <c r="H290">
        <f t="shared" si="17"/>
        <v>0</v>
      </c>
    </row>
    <row r="291" spans="1:8">
      <c r="A291" t="str">
        <f>OverallResults!A292</f>
        <v/>
      </c>
      <c r="E291" t="str">
        <f t="shared" si="18"/>
        <v/>
      </c>
      <c r="F291">
        <f t="shared" si="19"/>
        <v>0</v>
      </c>
      <c r="G291">
        <f t="shared" si="20"/>
        <v>0</v>
      </c>
      <c r="H291">
        <f t="shared" si="17"/>
        <v>0</v>
      </c>
    </row>
    <row r="292" spans="1:8">
      <c r="A292" t="str">
        <f>OverallResults!A293</f>
        <v/>
      </c>
      <c r="E292" t="str">
        <f t="shared" si="18"/>
        <v/>
      </c>
      <c r="F292">
        <f t="shared" si="19"/>
        <v>0</v>
      </c>
      <c r="G292">
        <f t="shared" si="20"/>
        <v>0</v>
      </c>
      <c r="H292">
        <f t="shared" si="17"/>
        <v>0</v>
      </c>
    </row>
    <row r="293" spans="1:8">
      <c r="A293" t="str">
        <f>OverallResults!A294</f>
        <v/>
      </c>
      <c r="E293" t="str">
        <f t="shared" si="18"/>
        <v/>
      </c>
      <c r="F293">
        <f t="shared" si="19"/>
        <v>0</v>
      </c>
      <c r="G293">
        <f t="shared" si="20"/>
        <v>0</v>
      </c>
      <c r="H293">
        <f t="shared" si="17"/>
        <v>0</v>
      </c>
    </row>
    <row r="294" spans="1:8">
      <c r="A294" t="str">
        <f>OverallResults!A295</f>
        <v/>
      </c>
      <c r="E294" t="str">
        <f t="shared" si="18"/>
        <v/>
      </c>
      <c r="F294">
        <f t="shared" si="19"/>
        <v>0</v>
      </c>
      <c r="G294">
        <f t="shared" si="20"/>
        <v>0</v>
      </c>
      <c r="H294">
        <f t="shared" si="17"/>
        <v>0</v>
      </c>
    </row>
    <row r="295" spans="1:8">
      <c r="A295" t="str">
        <f>OverallResults!A296</f>
        <v/>
      </c>
      <c r="E295" t="str">
        <f t="shared" si="18"/>
        <v/>
      </c>
      <c r="F295">
        <f t="shared" si="19"/>
        <v>0</v>
      </c>
      <c r="G295">
        <f t="shared" si="20"/>
        <v>0</v>
      </c>
      <c r="H295">
        <f t="shared" si="17"/>
        <v>0</v>
      </c>
    </row>
    <row r="296" spans="1:8">
      <c r="A296" t="str">
        <f>OverallResults!A297</f>
        <v/>
      </c>
      <c r="E296" t="str">
        <f t="shared" si="18"/>
        <v/>
      </c>
      <c r="F296">
        <f t="shared" si="19"/>
        <v>0</v>
      </c>
      <c r="G296">
        <f t="shared" si="20"/>
        <v>0</v>
      </c>
      <c r="H296">
        <f t="shared" si="17"/>
        <v>0</v>
      </c>
    </row>
    <row r="297" spans="1:8">
      <c r="A297" t="str">
        <f>OverallResults!A298</f>
        <v/>
      </c>
      <c r="E297" t="str">
        <f t="shared" si="18"/>
        <v/>
      </c>
      <c r="F297">
        <f t="shared" si="19"/>
        <v>0</v>
      </c>
      <c r="G297">
        <f t="shared" si="20"/>
        <v>0</v>
      </c>
      <c r="H297">
        <f t="shared" si="17"/>
        <v>0</v>
      </c>
    </row>
    <row r="298" spans="1:8">
      <c r="A298" t="str">
        <f>OverallResults!A299</f>
        <v/>
      </c>
      <c r="E298" t="str">
        <f t="shared" si="18"/>
        <v/>
      </c>
      <c r="F298">
        <f t="shared" si="19"/>
        <v>0</v>
      </c>
      <c r="G298">
        <f t="shared" si="20"/>
        <v>0</v>
      </c>
      <c r="H298">
        <f t="shared" si="17"/>
        <v>0</v>
      </c>
    </row>
    <row r="299" spans="1:8">
      <c r="A299" t="str">
        <f>OverallResults!A300</f>
        <v/>
      </c>
      <c r="E299" t="str">
        <f t="shared" si="18"/>
        <v/>
      </c>
      <c r="F299">
        <f t="shared" si="19"/>
        <v>0</v>
      </c>
      <c r="G299">
        <f t="shared" si="20"/>
        <v>0</v>
      </c>
      <c r="H299">
        <f t="shared" si="17"/>
        <v>0</v>
      </c>
    </row>
    <row r="300" spans="1:8">
      <c r="A300" t="str">
        <f>OverallResults!A301</f>
        <v/>
      </c>
      <c r="E300" t="str">
        <f t="shared" si="18"/>
        <v/>
      </c>
      <c r="F300">
        <f t="shared" si="19"/>
        <v>0</v>
      </c>
      <c r="G300">
        <f t="shared" si="20"/>
        <v>0</v>
      </c>
      <c r="H300">
        <f t="shared" si="17"/>
        <v>0</v>
      </c>
    </row>
    <row r="301" spans="1:8">
      <c r="A301" t="str">
        <f>OverallResults!A302</f>
        <v/>
      </c>
      <c r="E301" t="str">
        <f t="shared" si="18"/>
        <v/>
      </c>
      <c r="F301">
        <f t="shared" si="19"/>
        <v>0</v>
      </c>
      <c r="G301">
        <f t="shared" si="20"/>
        <v>0</v>
      </c>
      <c r="H301">
        <f t="shared" si="17"/>
        <v>0</v>
      </c>
    </row>
    <row r="302" spans="1:8">
      <c r="A302" t="str">
        <f>OverallResults!A303</f>
        <v/>
      </c>
      <c r="E302" t="str">
        <f t="shared" si="18"/>
        <v/>
      </c>
      <c r="F302">
        <f t="shared" si="19"/>
        <v>0</v>
      </c>
      <c r="G302">
        <f t="shared" si="20"/>
        <v>0</v>
      </c>
      <c r="H302">
        <f t="shared" si="17"/>
        <v>0</v>
      </c>
    </row>
    <row r="303" spans="1:8">
      <c r="A303" t="str">
        <f>OverallResults!A304</f>
        <v/>
      </c>
      <c r="E303" t="str">
        <f t="shared" si="18"/>
        <v/>
      </c>
      <c r="F303">
        <f t="shared" si="19"/>
        <v>0</v>
      </c>
      <c r="G303">
        <f t="shared" si="20"/>
        <v>0</v>
      </c>
      <c r="H303">
        <f t="shared" si="17"/>
        <v>0</v>
      </c>
    </row>
    <row r="304" spans="1:8">
      <c r="A304" t="str">
        <f>OverallResults!A305</f>
        <v/>
      </c>
      <c r="E304" t="str">
        <f t="shared" si="18"/>
        <v/>
      </c>
      <c r="F304">
        <f t="shared" si="19"/>
        <v>0</v>
      </c>
      <c r="G304">
        <f t="shared" si="20"/>
        <v>0</v>
      </c>
      <c r="H304">
        <f t="shared" si="17"/>
        <v>0</v>
      </c>
    </row>
    <row r="305" spans="1:8">
      <c r="A305" t="str">
        <f>OverallResults!A306</f>
        <v/>
      </c>
      <c r="E305" t="str">
        <f t="shared" si="18"/>
        <v/>
      </c>
      <c r="F305">
        <f t="shared" si="19"/>
        <v>0</v>
      </c>
      <c r="G305">
        <f t="shared" si="20"/>
        <v>0</v>
      </c>
      <c r="H305">
        <f t="shared" si="17"/>
        <v>0</v>
      </c>
    </row>
    <row r="306" spans="1:8">
      <c r="A306" t="str">
        <f>OverallResults!A307</f>
        <v/>
      </c>
      <c r="E306" t="str">
        <f t="shared" si="18"/>
        <v/>
      </c>
      <c r="F306">
        <f t="shared" si="19"/>
        <v>0</v>
      </c>
      <c r="G306">
        <f t="shared" si="20"/>
        <v>0</v>
      </c>
      <c r="H306">
        <f t="shared" si="17"/>
        <v>0</v>
      </c>
    </row>
    <row r="307" spans="1:8">
      <c r="A307" t="str">
        <f>OverallResults!A308</f>
        <v/>
      </c>
      <c r="E307" t="str">
        <f t="shared" si="18"/>
        <v/>
      </c>
      <c r="F307">
        <f t="shared" si="19"/>
        <v>0</v>
      </c>
      <c r="G307">
        <f t="shared" si="20"/>
        <v>0</v>
      </c>
      <c r="H307">
        <f t="shared" si="17"/>
        <v>0</v>
      </c>
    </row>
    <row r="308" spans="1:8">
      <c r="A308" t="str">
        <f>OverallResults!A309</f>
        <v/>
      </c>
      <c r="E308" t="str">
        <f t="shared" si="18"/>
        <v/>
      </c>
      <c r="F308">
        <f t="shared" si="19"/>
        <v>0</v>
      </c>
      <c r="G308">
        <f t="shared" si="20"/>
        <v>0</v>
      </c>
      <c r="H308">
        <f t="shared" si="17"/>
        <v>0</v>
      </c>
    </row>
    <row r="309" spans="1:8">
      <c r="A309" t="str">
        <f>OverallResults!A310</f>
        <v/>
      </c>
      <c r="E309" t="str">
        <f t="shared" si="18"/>
        <v/>
      </c>
      <c r="F309">
        <f t="shared" si="19"/>
        <v>0</v>
      </c>
      <c r="G309">
        <f t="shared" si="20"/>
        <v>0</v>
      </c>
      <c r="H309">
        <f t="shared" si="17"/>
        <v>0</v>
      </c>
    </row>
    <row r="310" spans="1:8">
      <c r="A310" t="str">
        <f>OverallResults!A311</f>
        <v/>
      </c>
      <c r="E310" t="str">
        <f t="shared" si="18"/>
        <v/>
      </c>
      <c r="F310">
        <f t="shared" si="19"/>
        <v>0</v>
      </c>
      <c r="G310">
        <f t="shared" si="20"/>
        <v>0</v>
      </c>
      <c r="H310">
        <f t="shared" si="17"/>
        <v>0</v>
      </c>
    </row>
    <row r="311" spans="1:8">
      <c r="A311" t="str">
        <f>OverallResults!A312</f>
        <v/>
      </c>
      <c r="E311" t="str">
        <f t="shared" si="18"/>
        <v/>
      </c>
      <c r="F311">
        <f t="shared" si="19"/>
        <v>0</v>
      </c>
      <c r="G311">
        <f t="shared" si="20"/>
        <v>0</v>
      </c>
      <c r="H311">
        <f t="shared" si="17"/>
        <v>0</v>
      </c>
    </row>
    <row r="312" spans="1:8">
      <c r="A312" t="str">
        <f>OverallResults!A313</f>
        <v/>
      </c>
      <c r="E312" t="str">
        <f t="shared" si="18"/>
        <v/>
      </c>
      <c r="F312">
        <f t="shared" si="19"/>
        <v>0</v>
      </c>
      <c r="G312">
        <f t="shared" si="20"/>
        <v>0</v>
      </c>
      <c r="H312">
        <f t="shared" si="17"/>
        <v>0</v>
      </c>
    </row>
    <row r="313" spans="1:8">
      <c r="A313" t="str">
        <f>OverallResults!A314</f>
        <v/>
      </c>
      <c r="E313" t="str">
        <f t="shared" si="18"/>
        <v/>
      </c>
      <c r="F313">
        <f t="shared" si="19"/>
        <v>0</v>
      </c>
      <c r="G313">
        <f t="shared" si="20"/>
        <v>0</v>
      </c>
      <c r="H313">
        <f t="shared" si="17"/>
        <v>0</v>
      </c>
    </row>
    <row r="314" spans="1:8">
      <c r="A314" t="str">
        <f>OverallResults!A315</f>
        <v/>
      </c>
      <c r="E314" t="str">
        <f t="shared" si="18"/>
        <v/>
      </c>
      <c r="F314">
        <f t="shared" si="19"/>
        <v>0</v>
      </c>
      <c r="G314">
        <f t="shared" si="20"/>
        <v>0</v>
      </c>
      <c r="H314">
        <f t="shared" si="17"/>
        <v>0</v>
      </c>
    </row>
    <row r="315" spans="1:8">
      <c r="A315" t="str">
        <f>OverallResults!A316</f>
        <v/>
      </c>
      <c r="E315" t="str">
        <f t="shared" si="18"/>
        <v/>
      </c>
      <c r="F315">
        <f t="shared" si="19"/>
        <v>0</v>
      </c>
      <c r="G315">
        <f t="shared" si="20"/>
        <v>0</v>
      </c>
      <c r="H315">
        <f t="shared" si="17"/>
        <v>0</v>
      </c>
    </row>
    <row r="316" spans="1:8">
      <c r="A316" t="str">
        <f>OverallResults!A317</f>
        <v/>
      </c>
      <c r="E316" t="str">
        <f t="shared" si="18"/>
        <v/>
      </c>
      <c r="F316">
        <f t="shared" si="19"/>
        <v>0</v>
      </c>
      <c r="G316">
        <f t="shared" si="20"/>
        <v>0</v>
      </c>
      <c r="H316">
        <f t="shared" si="17"/>
        <v>0</v>
      </c>
    </row>
    <row r="317" spans="1:8">
      <c r="A317" t="str">
        <f>OverallResults!A318</f>
        <v/>
      </c>
      <c r="E317" t="str">
        <f t="shared" si="18"/>
        <v/>
      </c>
      <c r="F317">
        <f t="shared" si="19"/>
        <v>0</v>
      </c>
      <c r="G317">
        <f t="shared" si="20"/>
        <v>0</v>
      </c>
      <c r="H317">
        <f t="shared" si="17"/>
        <v>0</v>
      </c>
    </row>
    <row r="318" spans="1:8">
      <c r="A318" t="str">
        <f>OverallResults!A319</f>
        <v/>
      </c>
      <c r="E318" t="str">
        <f t="shared" si="18"/>
        <v/>
      </c>
      <c r="F318">
        <f t="shared" si="19"/>
        <v>0</v>
      </c>
      <c r="G318">
        <f t="shared" si="20"/>
        <v>0</v>
      </c>
      <c r="H318">
        <f t="shared" si="17"/>
        <v>0</v>
      </c>
    </row>
    <row r="319" spans="1:8">
      <c r="A319" t="str">
        <f>OverallResults!A320</f>
        <v/>
      </c>
      <c r="E319" t="str">
        <f t="shared" si="18"/>
        <v/>
      </c>
      <c r="F319">
        <f t="shared" si="19"/>
        <v>0</v>
      </c>
      <c r="G319">
        <f t="shared" si="20"/>
        <v>0</v>
      </c>
      <c r="H319">
        <f t="shared" si="17"/>
        <v>0</v>
      </c>
    </row>
    <row r="320" spans="1:8">
      <c r="A320" t="str">
        <f>OverallResults!A321</f>
        <v/>
      </c>
      <c r="E320" t="str">
        <f t="shared" si="18"/>
        <v/>
      </c>
      <c r="F320">
        <f t="shared" si="19"/>
        <v>0</v>
      </c>
      <c r="G320">
        <f t="shared" si="20"/>
        <v>0</v>
      </c>
      <c r="H320">
        <f t="shared" si="17"/>
        <v>0</v>
      </c>
    </row>
    <row r="321" spans="1:8">
      <c r="A321" t="str">
        <f>OverallResults!A322</f>
        <v/>
      </c>
      <c r="E321" t="str">
        <f t="shared" si="18"/>
        <v/>
      </c>
      <c r="F321">
        <f t="shared" si="19"/>
        <v>0</v>
      </c>
      <c r="G321">
        <f t="shared" si="20"/>
        <v>0</v>
      </c>
      <c r="H321">
        <f t="shared" si="17"/>
        <v>0</v>
      </c>
    </row>
    <row r="322" spans="1:8">
      <c r="A322" t="str">
        <f>OverallResults!A323</f>
        <v/>
      </c>
      <c r="E322" t="str">
        <f t="shared" si="18"/>
        <v/>
      </c>
      <c r="F322">
        <f t="shared" si="19"/>
        <v>0</v>
      </c>
      <c r="G322">
        <f t="shared" si="20"/>
        <v>0</v>
      </c>
      <c r="H322">
        <f t="shared" ref="H322:H385" si="21">IF(ISERROR(VLOOKUP(D322,$C$2:$C$500,1,FALSE)),D322,"")</f>
        <v>0</v>
      </c>
    </row>
    <row r="323" spans="1:8">
      <c r="A323" t="str">
        <f>OverallResults!A324</f>
        <v/>
      </c>
      <c r="E323" t="str">
        <f t="shared" ref="E323:E386" si="22">IF(ISERROR(VLOOKUP(A323,$B$2:$B$500,1,FALSE)),A323,"")</f>
        <v/>
      </c>
      <c r="F323">
        <f t="shared" ref="F323:F386" si="23">IF(ISERROR(VLOOKUP(C323,$D$2:$D$500,1,FALSE)),C323,"")</f>
        <v>0</v>
      </c>
      <c r="G323">
        <f t="shared" ref="G323:G386" si="24">IF(ISERROR(VLOOKUP(B323,$A$2:$A$500,1,FALSE)),B323,"")</f>
        <v>0</v>
      </c>
      <c r="H323">
        <f t="shared" si="21"/>
        <v>0</v>
      </c>
    </row>
    <row r="324" spans="1:8">
      <c r="A324" t="str">
        <f>OverallResults!A325</f>
        <v/>
      </c>
      <c r="E324" t="str">
        <f t="shared" si="22"/>
        <v/>
      </c>
      <c r="F324">
        <f t="shared" si="23"/>
        <v>0</v>
      </c>
      <c r="G324">
        <f t="shared" si="24"/>
        <v>0</v>
      </c>
      <c r="H324">
        <f t="shared" si="21"/>
        <v>0</v>
      </c>
    </row>
    <row r="325" spans="1:8">
      <c r="A325" t="str">
        <f>OverallResults!A326</f>
        <v/>
      </c>
      <c r="E325" t="str">
        <f t="shared" si="22"/>
        <v/>
      </c>
      <c r="F325">
        <f t="shared" si="23"/>
        <v>0</v>
      </c>
      <c r="G325">
        <f t="shared" si="24"/>
        <v>0</v>
      </c>
      <c r="H325">
        <f t="shared" si="21"/>
        <v>0</v>
      </c>
    </row>
    <row r="326" spans="1:8">
      <c r="A326" t="str">
        <f>OverallResults!A327</f>
        <v/>
      </c>
      <c r="E326" t="str">
        <f t="shared" si="22"/>
        <v/>
      </c>
      <c r="F326">
        <f t="shared" si="23"/>
        <v>0</v>
      </c>
      <c r="G326">
        <f t="shared" si="24"/>
        <v>0</v>
      </c>
      <c r="H326">
        <f t="shared" si="21"/>
        <v>0</v>
      </c>
    </row>
    <row r="327" spans="1:8">
      <c r="A327" t="str">
        <f>OverallResults!A328</f>
        <v/>
      </c>
      <c r="E327" t="str">
        <f t="shared" si="22"/>
        <v/>
      </c>
      <c r="F327">
        <f t="shared" si="23"/>
        <v>0</v>
      </c>
      <c r="G327">
        <f t="shared" si="24"/>
        <v>0</v>
      </c>
      <c r="H327">
        <f t="shared" si="21"/>
        <v>0</v>
      </c>
    </row>
    <row r="328" spans="1:8">
      <c r="A328" t="str">
        <f>OverallResults!A329</f>
        <v/>
      </c>
      <c r="E328" t="str">
        <f t="shared" si="22"/>
        <v/>
      </c>
      <c r="F328">
        <f t="shared" si="23"/>
        <v>0</v>
      </c>
      <c r="G328">
        <f t="shared" si="24"/>
        <v>0</v>
      </c>
      <c r="H328">
        <f t="shared" si="21"/>
        <v>0</v>
      </c>
    </row>
    <row r="329" spans="1:8">
      <c r="A329" t="str">
        <f>OverallResults!A330</f>
        <v/>
      </c>
      <c r="E329" t="str">
        <f t="shared" si="22"/>
        <v/>
      </c>
      <c r="F329">
        <f t="shared" si="23"/>
        <v>0</v>
      </c>
      <c r="G329">
        <f t="shared" si="24"/>
        <v>0</v>
      </c>
      <c r="H329">
        <f t="shared" si="21"/>
        <v>0</v>
      </c>
    </row>
    <row r="330" spans="1:8">
      <c r="A330" t="str">
        <f>OverallResults!A331</f>
        <v/>
      </c>
      <c r="E330" t="str">
        <f t="shared" si="22"/>
        <v/>
      </c>
      <c r="F330">
        <f t="shared" si="23"/>
        <v>0</v>
      </c>
      <c r="G330">
        <f t="shared" si="24"/>
        <v>0</v>
      </c>
      <c r="H330">
        <f t="shared" si="21"/>
        <v>0</v>
      </c>
    </row>
    <row r="331" spans="1:8">
      <c r="A331" t="str">
        <f>OverallResults!A332</f>
        <v/>
      </c>
      <c r="E331" t="str">
        <f t="shared" si="22"/>
        <v/>
      </c>
      <c r="F331">
        <f t="shared" si="23"/>
        <v>0</v>
      </c>
      <c r="G331">
        <f t="shared" si="24"/>
        <v>0</v>
      </c>
      <c r="H331">
        <f t="shared" si="21"/>
        <v>0</v>
      </c>
    </row>
    <row r="332" spans="1:8">
      <c r="A332" t="str">
        <f>OverallResults!A333</f>
        <v/>
      </c>
      <c r="E332" t="str">
        <f t="shared" si="22"/>
        <v/>
      </c>
      <c r="F332">
        <f t="shared" si="23"/>
        <v>0</v>
      </c>
      <c r="G332">
        <f t="shared" si="24"/>
        <v>0</v>
      </c>
      <c r="H332">
        <f t="shared" si="21"/>
        <v>0</v>
      </c>
    </row>
    <row r="333" spans="1:8">
      <c r="A333" t="str">
        <f>OverallResults!A334</f>
        <v/>
      </c>
      <c r="E333" t="str">
        <f t="shared" si="22"/>
        <v/>
      </c>
      <c r="F333">
        <f t="shared" si="23"/>
        <v>0</v>
      </c>
      <c r="G333">
        <f t="shared" si="24"/>
        <v>0</v>
      </c>
      <c r="H333">
        <f t="shared" si="21"/>
        <v>0</v>
      </c>
    </row>
    <row r="334" spans="1:8">
      <c r="A334" t="str">
        <f>OverallResults!A335</f>
        <v/>
      </c>
      <c r="E334" t="str">
        <f t="shared" si="22"/>
        <v/>
      </c>
      <c r="F334">
        <f t="shared" si="23"/>
        <v>0</v>
      </c>
      <c r="G334">
        <f t="shared" si="24"/>
        <v>0</v>
      </c>
      <c r="H334">
        <f t="shared" si="21"/>
        <v>0</v>
      </c>
    </row>
    <row r="335" spans="1:8">
      <c r="A335" t="str">
        <f>OverallResults!A336</f>
        <v/>
      </c>
      <c r="E335" t="str">
        <f t="shared" si="22"/>
        <v/>
      </c>
      <c r="F335">
        <f t="shared" si="23"/>
        <v>0</v>
      </c>
      <c r="G335">
        <f t="shared" si="24"/>
        <v>0</v>
      </c>
      <c r="H335">
        <f t="shared" si="21"/>
        <v>0</v>
      </c>
    </row>
    <row r="336" spans="1:8">
      <c r="A336" t="str">
        <f>OverallResults!A337</f>
        <v/>
      </c>
      <c r="E336" t="str">
        <f t="shared" si="22"/>
        <v/>
      </c>
      <c r="F336">
        <f t="shared" si="23"/>
        <v>0</v>
      </c>
      <c r="G336">
        <f t="shared" si="24"/>
        <v>0</v>
      </c>
      <c r="H336">
        <f t="shared" si="21"/>
        <v>0</v>
      </c>
    </row>
    <row r="337" spans="1:8">
      <c r="A337" t="str">
        <f>OverallResults!A338</f>
        <v/>
      </c>
      <c r="E337" t="str">
        <f t="shared" si="22"/>
        <v/>
      </c>
      <c r="F337">
        <f t="shared" si="23"/>
        <v>0</v>
      </c>
      <c r="G337">
        <f t="shared" si="24"/>
        <v>0</v>
      </c>
      <c r="H337">
        <f t="shared" si="21"/>
        <v>0</v>
      </c>
    </row>
    <row r="338" spans="1:8">
      <c r="A338" t="str">
        <f>OverallResults!A339</f>
        <v/>
      </c>
      <c r="E338" t="str">
        <f t="shared" si="22"/>
        <v/>
      </c>
      <c r="F338">
        <f t="shared" si="23"/>
        <v>0</v>
      </c>
      <c r="G338">
        <f t="shared" si="24"/>
        <v>0</v>
      </c>
      <c r="H338">
        <f t="shared" si="21"/>
        <v>0</v>
      </c>
    </row>
    <row r="339" spans="1:8">
      <c r="A339" t="str">
        <f>OverallResults!A340</f>
        <v/>
      </c>
      <c r="E339" t="str">
        <f t="shared" si="22"/>
        <v/>
      </c>
      <c r="F339">
        <f t="shared" si="23"/>
        <v>0</v>
      </c>
      <c r="G339">
        <f t="shared" si="24"/>
        <v>0</v>
      </c>
      <c r="H339">
        <f t="shared" si="21"/>
        <v>0</v>
      </c>
    </row>
    <row r="340" spans="1:8">
      <c r="A340" t="str">
        <f>OverallResults!A341</f>
        <v/>
      </c>
      <c r="E340" t="str">
        <f t="shared" si="22"/>
        <v/>
      </c>
      <c r="F340">
        <f t="shared" si="23"/>
        <v>0</v>
      </c>
      <c r="G340">
        <f t="shared" si="24"/>
        <v>0</v>
      </c>
      <c r="H340">
        <f t="shared" si="21"/>
        <v>0</v>
      </c>
    </row>
    <row r="341" spans="1:8">
      <c r="A341" t="str">
        <f>OverallResults!A342</f>
        <v/>
      </c>
      <c r="E341" t="str">
        <f t="shared" si="22"/>
        <v/>
      </c>
      <c r="F341">
        <f t="shared" si="23"/>
        <v>0</v>
      </c>
      <c r="G341">
        <f t="shared" si="24"/>
        <v>0</v>
      </c>
      <c r="H341">
        <f t="shared" si="21"/>
        <v>0</v>
      </c>
    </row>
    <row r="342" spans="1:8">
      <c r="A342" t="str">
        <f>OverallResults!A343</f>
        <v/>
      </c>
      <c r="E342" t="str">
        <f t="shared" si="22"/>
        <v/>
      </c>
      <c r="F342">
        <f t="shared" si="23"/>
        <v>0</v>
      </c>
      <c r="G342">
        <f t="shared" si="24"/>
        <v>0</v>
      </c>
      <c r="H342">
        <f t="shared" si="21"/>
        <v>0</v>
      </c>
    </row>
    <row r="343" spans="1:8">
      <c r="A343" t="str">
        <f>OverallResults!A344</f>
        <v/>
      </c>
      <c r="E343" t="str">
        <f t="shared" si="22"/>
        <v/>
      </c>
      <c r="F343">
        <f t="shared" si="23"/>
        <v>0</v>
      </c>
      <c r="G343">
        <f t="shared" si="24"/>
        <v>0</v>
      </c>
      <c r="H343">
        <f t="shared" si="21"/>
        <v>0</v>
      </c>
    </row>
    <row r="344" spans="1:8">
      <c r="A344" t="str">
        <f>OverallResults!A345</f>
        <v/>
      </c>
      <c r="E344" t="str">
        <f t="shared" si="22"/>
        <v/>
      </c>
      <c r="F344">
        <f t="shared" si="23"/>
        <v>0</v>
      </c>
      <c r="G344">
        <f t="shared" si="24"/>
        <v>0</v>
      </c>
      <c r="H344">
        <f t="shared" si="21"/>
        <v>0</v>
      </c>
    </row>
    <row r="345" spans="1:8">
      <c r="A345" t="str">
        <f>OverallResults!A346</f>
        <v/>
      </c>
      <c r="E345" t="str">
        <f t="shared" si="22"/>
        <v/>
      </c>
      <c r="F345">
        <f t="shared" si="23"/>
        <v>0</v>
      </c>
      <c r="G345">
        <f t="shared" si="24"/>
        <v>0</v>
      </c>
      <c r="H345">
        <f t="shared" si="21"/>
        <v>0</v>
      </c>
    </row>
    <row r="346" spans="1:8">
      <c r="A346" t="str">
        <f>OverallResults!A347</f>
        <v/>
      </c>
      <c r="E346" t="str">
        <f t="shared" si="22"/>
        <v/>
      </c>
      <c r="F346">
        <f t="shared" si="23"/>
        <v>0</v>
      </c>
      <c r="G346">
        <f t="shared" si="24"/>
        <v>0</v>
      </c>
      <c r="H346">
        <f t="shared" si="21"/>
        <v>0</v>
      </c>
    </row>
    <row r="347" spans="1:8">
      <c r="A347" t="str">
        <f>OverallResults!A348</f>
        <v/>
      </c>
      <c r="E347" t="str">
        <f t="shared" si="22"/>
        <v/>
      </c>
      <c r="F347">
        <f t="shared" si="23"/>
        <v>0</v>
      </c>
      <c r="G347">
        <f t="shared" si="24"/>
        <v>0</v>
      </c>
      <c r="H347">
        <f t="shared" si="21"/>
        <v>0</v>
      </c>
    </row>
    <row r="348" spans="1:8">
      <c r="A348" t="str">
        <f>OverallResults!A349</f>
        <v/>
      </c>
      <c r="E348" t="str">
        <f t="shared" si="22"/>
        <v/>
      </c>
      <c r="F348">
        <f t="shared" si="23"/>
        <v>0</v>
      </c>
      <c r="G348">
        <f t="shared" si="24"/>
        <v>0</v>
      </c>
      <c r="H348">
        <f t="shared" si="21"/>
        <v>0</v>
      </c>
    </row>
    <row r="349" spans="1:8">
      <c r="A349" t="str">
        <f>OverallResults!A350</f>
        <v/>
      </c>
      <c r="E349" t="str">
        <f t="shared" si="22"/>
        <v/>
      </c>
      <c r="F349">
        <f t="shared" si="23"/>
        <v>0</v>
      </c>
      <c r="G349">
        <f t="shared" si="24"/>
        <v>0</v>
      </c>
      <c r="H349">
        <f t="shared" si="21"/>
        <v>0</v>
      </c>
    </row>
    <row r="350" spans="1:8">
      <c r="A350" t="str">
        <f>OverallResults!A351</f>
        <v/>
      </c>
      <c r="E350" t="str">
        <f t="shared" si="22"/>
        <v/>
      </c>
      <c r="F350">
        <f t="shared" si="23"/>
        <v>0</v>
      </c>
      <c r="G350">
        <f t="shared" si="24"/>
        <v>0</v>
      </c>
      <c r="H350">
        <f t="shared" si="21"/>
        <v>0</v>
      </c>
    </row>
    <row r="351" spans="1:8">
      <c r="A351" t="str">
        <f>OverallResults!A352</f>
        <v/>
      </c>
      <c r="E351" t="str">
        <f t="shared" si="22"/>
        <v/>
      </c>
      <c r="F351">
        <f t="shared" si="23"/>
        <v>0</v>
      </c>
      <c r="G351">
        <f t="shared" si="24"/>
        <v>0</v>
      </c>
      <c r="H351">
        <f t="shared" si="21"/>
        <v>0</v>
      </c>
    </row>
    <row r="352" spans="1:8">
      <c r="A352" t="str">
        <f>OverallResults!A353</f>
        <v/>
      </c>
      <c r="E352" t="str">
        <f t="shared" si="22"/>
        <v/>
      </c>
      <c r="F352">
        <f t="shared" si="23"/>
        <v>0</v>
      </c>
      <c r="G352">
        <f t="shared" si="24"/>
        <v>0</v>
      </c>
      <c r="H352">
        <f t="shared" si="21"/>
        <v>0</v>
      </c>
    </row>
    <row r="353" spans="1:8">
      <c r="A353" t="str">
        <f>OverallResults!A354</f>
        <v/>
      </c>
      <c r="E353" t="str">
        <f t="shared" si="22"/>
        <v/>
      </c>
      <c r="F353">
        <f t="shared" si="23"/>
        <v>0</v>
      </c>
      <c r="G353">
        <f t="shared" si="24"/>
        <v>0</v>
      </c>
      <c r="H353">
        <f t="shared" si="21"/>
        <v>0</v>
      </c>
    </row>
    <row r="354" spans="1:8">
      <c r="A354" t="str">
        <f>OverallResults!A355</f>
        <v/>
      </c>
      <c r="E354" t="str">
        <f t="shared" si="22"/>
        <v/>
      </c>
      <c r="F354">
        <f t="shared" si="23"/>
        <v>0</v>
      </c>
      <c r="G354">
        <f t="shared" si="24"/>
        <v>0</v>
      </c>
      <c r="H354">
        <f t="shared" si="21"/>
        <v>0</v>
      </c>
    </row>
    <row r="355" spans="1:8">
      <c r="A355" t="str">
        <f>OverallResults!A356</f>
        <v/>
      </c>
      <c r="E355" t="str">
        <f t="shared" si="22"/>
        <v/>
      </c>
      <c r="F355">
        <f t="shared" si="23"/>
        <v>0</v>
      </c>
      <c r="G355">
        <f t="shared" si="24"/>
        <v>0</v>
      </c>
      <c r="H355">
        <f t="shared" si="21"/>
        <v>0</v>
      </c>
    </row>
    <row r="356" spans="1:8">
      <c r="A356" t="str">
        <f>OverallResults!A357</f>
        <v/>
      </c>
      <c r="E356" t="str">
        <f t="shared" si="22"/>
        <v/>
      </c>
      <c r="F356">
        <f t="shared" si="23"/>
        <v>0</v>
      </c>
      <c r="G356">
        <f t="shared" si="24"/>
        <v>0</v>
      </c>
      <c r="H356">
        <f t="shared" si="21"/>
        <v>0</v>
      </c>
    </row>
    <row r="357" spans="1:8">
      <c r="A357" t="str">
        <f>OverallResults!A358</f>
        <v/>
      </c>
      <c r="E357" t="str">
        <f t="shared" si="22"/>
        <v/>
      </c>
      <c r="F357">
        <f t="shared" si="23"/>
        <v>0</v>
      </c>
      <c r="G357">
        <f t="shared" si="24"/>
        <v>0</v>
      </c>
      <c r="H357">
        <f t="shared" si="21"/>
        <v>0</v>
      </c>
    </row>
    <row r="358" spans="1:8">
      <c r="A358" t="str">
        <f>OverallResults!A359</f>
        <v/>
      </c>
      <c r="E358" t="str">
        <f t="shared" si="22"/>
        <v/>
      </c>
      <c r="F358">
        <f t="shared" si="23"/>
        <v>0</v>
      </c>
      <c r="G358">
        <f t="shared" si="24"/>
        <v>0</v>
      </c>
      <c r="H358">
        <f t="shared" si="21"/>
        <v>0</v>
      </c>
    </row>
    <row r="359" spans="1:8">
      <c r="A359" t="str">
        <f>OverallResults!A360</f>
        <v/>
      </c>
      <c r="E359" t="str">
        <f t="shared" si="22"/>
        <v/>
      </c>
      <c r="F359">
        <f t="shared" si="23"/>
        <v>0</v>
      </c>
      <c r="G359">
        <f t="shared" si="24"/>
        <v>0</v>
      </c>
      <c r="H359">
        <f t="shared" si="21"/>
        <v>0</v>
      </c>
    </row>
    <row r="360" spans="1:8">
      <c r="A360" t="str">
        <f>OverallResults!A361</f>
        <v/>
      </c>
      <c r="E360" t="str">
        <f t="shared" si="22"/>
        <v/>
      </c>
      <c r="F360">
        <f t="shared" si="23"/>
        <v>0</v>
      </c>
      <c r="G360">
        <f t="shared" si="24"/>
        <v>0</v>
      </c>
      <c r="H360">
        <f t="shared" si="21"/>
        <v>0</v>
      </c>
    </row>
    <row r="361" spans="1:8">
      <c r="A361" t="str">
        <f>OverallResults!A362</f>
        <v/>
      </c>
      <c r="E361" t="str">
        <f t="shared" si="22"/>
        <v/>
      </c>
      <c r="F361">
        <f t="shared" si="23"/>
        <v>0</v>
      </c>
      <c r="G361">
        <f t="shared" si="24"/>
        <v>0</v>
      </c>
      <c r="H361">
        <f t="shared" si="21"/>
        <v>0</v>
      </c>
    </row>
    <row r="362" spans="1:8">
      <c r="A362" t="str">
        <f>OverallResults!A363</f>
        <v/>
      </c>
      <c r="E362" t="str">
        <f t="shared" si="22"/>
        <v/>
      </c>
      <c r="F362">
        <f t="shared" si="23"/>
        <v>0</v>
      </c>
      <c r="G362">
        <f t="shared" si="24"/>
        <v>0</v>
      </c>
      <c r="H362">
        <f t="shared" si="21"/>
        <v>0</v>
      </c>
    </row>
    <row r="363" spans="1:8">
      <c r="A363" t="str">
        <f>OverallResults!A364</f>
        <v/>
      </c>
      <c r="E363" t="str">
        <f t="shared" si="22"/>
        <v/>
      </c>
      <c r="F363">
        <f t="shared" si="23"/>
        <v>0</v>
      </c>
      <c r="G363">
        <f t="shared" si="24"/>
        <v>0</v>
      </c>
      <c r="H363">
        <f t="shared" si="21"/>
        <v>0</v>
      </c>
    </row>
    <row r="364" spans="1:8">
      <c r="A364" t="str">
        <f>OverallResults!A365</f>
        <v/>
      </c>
      <c r="E364" t="str">
        <f t="shared" si="22"/>
        <v/>
      </c>
      <c r="F364">
        <f t="shared" si="23"/>
        <v>0</v>
      </c>
      <c r="G364">
        <f t="shared" si="24"/>
        <v>0</v>
      </c>
      <c r="H364">
        <f t="shared" si="21"/>
        <v>0</v>
      </c>
    </row>
    <row r="365" spans="1:8">
      <c r="A365" t="str">
        <f>OverallResults!A366</f>
        <v/>
      </c>
      <c r="E365" t="str">
        <f t="shared" si="22"/>
        <v/>
      </c>
      <c r="F365">
        <f t="shared" si="23"/>
        <v>0</v>
      </c>
      <c r="G365">
        <f t="shared" si="24"/>
        <v>0</v>
      </c>
      <c r="H365">
        <f t="shared" si="21"/>
        <v>0</v>
      </c>
    </row>
    <row r="366" spans="1:8">
      <c r="A366" t="str">
        <f>OverallResults!A367</f>
        <v/>
      </c>
      <c r="E366" t="str">
        <f t="shared" si="22"/>
        <v/>
      </c>
      <c r="F366">
        <f t="shared" si="23"/>
        <v>0</v>
      </c>
      <c r="G366">
        <f t="shared" si="24"/>
        <v>0</v>
      </c>
      <c r="H366">
        <f t="shared" si="21"/>
        <v>0</v>
      </c>
    </row>
    <row r="367" spans="1:8">
      <c r="A367" t="str">
        <f>OverallResults!A368</f>
        <v/>
      </c>
      <c r="E367" t="str">
        <f t="shared" si="22"/>
        <v/>
      </c>
      <c r="F367">
        <f t="shared" si="23"/>
        <v>0</v>
      </c>
      <c r="G367">
        <f t="shared" si="24"/>
        <v>0</v>
      </c>
      <c r="H367">
        <f t="shared" si="21"/>
        <v>0</v>
      </c>
    </row>
    <row r="368" spans="1:8">
      <c r="A368" t="str">
        <f>OverallResults!A369</f>
        <v/>
      </c>
      <c r="E368" t="str">
        <f t="shared" si="22"/>
        <v/>
      </c>
      <c r="F368">
        <f t="shared" si="23"/>
        <v>0</v>
      </c>
      <c r="G368">
        <f t="shared" si="24"/>
        <v>0</v>
      </c>
      <c r="H368">
        <f t="shared" si="21"/>
        <v>0</v>
      </c>
    </row>
    <row r="369" spans="1:8">
      <c r="A369" t="str">
        <f>OverallResults!A370</f>
        <v/>
      </c>
      <c r="E369" t="str">
        <f t="shared" si="22"/>
        <v/>
      </c>
      <c r="F369">
        <f t="shared" si="23"/>
        <v>0</v>
      </c>
      <c r="G369">
        <f t="shared" si="24"/>
        <v>0</v>
      </c>
      <c r="H369">
        <f t="shared" si="21"/>
        <v>0</v>
      </c>
    </row>
    <row r="370" spans="1:8">
      <c r="A370" t="str">
        <f>OverallResults!A371</f>
        <v/>
      </c>
      <c r="E370" t="str">
        <f t="shared" si="22"/>
        <v/>
      </c>
      <c r="F370">
        <f t="shared" si="23"/>
        <v>0</v>
      </c>
      <c r="G370">
        <f t="shared" si="24"/>
        <v>0</v>
      </c>
      <c r="H370">
        <f t="shared" si="21"/>
        <v>0</v>
      </c>
    </row>
    <row r="371" spans="1:8">
      <c r="A371" t="str">
        <f>OverallResults!A372</f>
        <v/>
      </c>
      <c r="E371" t="str">
        <f t="shared" si="22"/>
        <v/>
      </c>
      <c r="F371">
        <f t="shared" si="23"/>
        <v>0</v>
      </c>
      <c r="G371">
        <f t="shared" si="24"/>
        <v>0</v>
      </c>
      <c r="H371">
        <f t="shared" si="21"/>
        <v>0</v>
      </c>
    </row>
    <row r="372" spans="1:8">
      <c r="A372" t="str">
        <f>OverallResults!A373</f>
        <v/>
      </c>
      <c r="E372" t="str">
        <f t="shared" si="22"/>
        <v/>
      </c>
      <c r="F372">
        <f t="shared" si="23"/>
        <v>0</v>
      </c>
      <c r="G372">
        <f t="shared" si="24"/>
        <v>0</v>
      </c>
      <c r="H372">
        <f t="shared" si="21"/>
        <v>0</v>
      </c>
    </row>
    <row r="373" spans="1:8">
      <c r="A373" t="str">
        <f>OverallResults!A374</f>
        <v/>
      </c>
      <c r="E373" t="str">
        <f t="shared" si="22"/>
        <v/>
      </c>
      <c r="F373">
        <f t="shared" si="23"/>
        <v>0</v>
      </c>
      <c r="G373">
        <f t="shared" si="24"/>
        <v>0</v>
      </c>
      <c r="H373">
        <f t="shared" si="21"/>
        <v>0</v>
      </c>
    </row>
    <row r="374" spans="1:8">
      <c r="A374" t="str">
        <f>OverallResults!A375</f>
        <v/>
      </c>
      <c r="E374" t="str">
        <f t="shared" si="22"/>
        <v/>
      </c>
      <c r="F374">
        <f t="shared" si="23"/>
        <v>0</v>
      </c>
      <c r="G374">
        <f t="shared" si="24"/>
        <v>0</v>
      </c>
      <c r="H374">
        <f t="shared" si="21"/>
        <v>0</v>
      </c>
    </row>
    <row r="375" spans="1:8">
      <c r="A375" t="str">
        <f>OverallResults!A376</f>
        <v/>
      </c>
      <c r="E375" t="str">
        <f t="shared" si="22"/>
        <v/>
      </c>
      <c r="F375">
        <f t="shared" si="23"/>
        <v>0</v>
      </c>
      <c r="G375">
        <f t="shared" si="24"/>
        <v>0</v>
      </c>
      <c r="H375">
        <f t="shared" si="21"/>
        <v>0</v>
      </c>
    </row>
    <row r="376" spans="1:8">
      <c r="A376" t="str">
        <f>OverallResults!A377</f>
        <v/>
      </c>
      <c r="E376" t="str">
        <f t="shared" si="22"/>
        <v/>
      </c>
      <c r="F376">
        <f t="shared" si="23"/>
        <v>0</v>
      </c>
      <c r="G376">
        <f t="shared" si="24"/>
        <v>0</v>
      </c>
      <c r="H376">
        <f t="shared" si="21"/>
        <v>0</v>
      </c>
    </row>
    <row r="377" spans="1:8">
      <c r="A377" t="str">
        <f>OverallResults!A378</f>
        <v/>
      </c>
      <c r="E377" t="str">
        <f t="shared" si="22"/>
        <v/>
      </c>
      <c r="F377">
        <f t="shared" si="23"/>
        <v>0</v>
      </c>
      <c r="G377">
        <f t="shared" si="24"/>
        <v>0</v>
      </c>
      <c r="H377">
        <f t="shared" si="21"/>
        <v>0</v>
      </c>
    </row>
    <row r="378" spans="1:8">
      <c r="A378" t="str">
        <f>OverallResults!A379</f>
        <v/>
      </c>
      <c r="E378" t="str">
        <f t="shared" si="22"/>
        <v/>
      </c>
      <c r="F378">
        <f t="shared" si="23"/>
        <v>0</v>
      </c>
      <c r="G378">
        <f t="shared" si="24"/>
        <v>0</v>
      </c>
      <c r="H378">
        <f t="shared" si="21"/>
        <v>0</v>
      </c>
    </row>
    <row r="379" spans="1:8">
      <c r="A379" t="str">
        <f>OverallResults!A380</f>
        <v/>
      </c>
      <c r="E379" t="str">
        <f t="shared" si="22"/>
        <v/>
      </c>
      <c r="F379">
        <f t="shared" si="23"/>
        <v>0</v>
      </c>
      <c r="G379">
        <f t="shared" si="24"/>
        <v>0</v>
      </c>
      <c r="H379">
        <f t="shared" si="21"/>
        <v>0</v>
      </c>
    </row>
    <row r="380" spans="1:8">
      <c r="A380" t="str">
        <f>OverallResults!A381</f>
        <v/>
      </c>
      <c r="E380" t="str">
        <f t="shared" si="22"/>
        <v/>
      </c>
      <c r="F380">
        <f t="shared" si="23"/>
        <v>0</v>
      </c>
      <c r="G380">
        <f t="shared" si="24"/>
        <v>0</v>
      </c>
      <c r="H380">
        <f t="shared" si="21"/>
        <v>0</v>
      </c>
    </row>
    <row r="381" spans="1:8">
      <c r="A381" t="str">
        <f>OverallResults!A382</f>
        <v/>
      </c>
      <c r="E381" t="str">
        <f t="shared" si="22"/>
        <v/>
      </c>
      <c r="F381">
        <f t="shared" si="23"/>
        <v>0</v>
      </c>
      <c r="G381">
        <f t="shared" si="24"/>
        <v>0</v>
      </c>
      <c r="H381">
        <f t="shared" si="21"/>
        <v>0</v>
      </c>
    </row>
    <row r="382" spans="1:8">
      <c r="A382" t="str">
        <f>OverallResults!A383</f>
        <v/>
      </c>
      <c r="E382" t="str">
        <f t="shared" si="22"/>
        <v/>
      </c>
      <c r="F382">
        <f t="shared" si="23"/>
        <v>0</v>
      </c>
      <c r="G382">
        <f t="shared" si="24"/>
        <v>0</v>
      </c>
      <c r="H382">
        <f t="shared" si="21"/>
        <v>0</v>
      </c>
    </row>
    <row r="383" spans="1:8">
      <c r="A383" t="str">
        <f>OverallResults!A384</f>
        <v/>
      </c>
      <c r="E383" t="str">
        <f t="shared" si="22"/>
        <v/>
      </c>
      <c r="F383">
        <f t="shared" si="23"/>
        <v>0</v>
      </c>
      <c r="G383">
        <f t="shared" si="24"/>
        <v>0</v>
      </c>
      <c r="H383">
        <f t="shared" si="21"/>
        <v>0</v>
      </c>
    </row>
    <row r="384" spans="1:8">
      <c r="A384" t="str">
        <f>OverallResults!A385</f>
        <v/>
      </c>
      <c r="E384" t="str">
        <f t="shared" si="22"/>
        <v/>
      </c>
      <c r="F384">
        <f t="shared" si="23"/>
        <v>0</v>
      </c>
      <c r="G384">
        <f t="shared" si="24"/>
        <v>0</v>
      </c>
      <c r="H384">
        <f t="shared" si="21"/>
        <v>0</v>
      </c>
    </row>
    <row r="385" spans="1:8">
      <c r="A385" t="str">
        <f>OverallResults!A386</f>
        <v/>
      </c>
      <c r="E385" t="str">
        <f t="shared" si="22"/>
        <v/>
      </c>
      <c r="F385">
        <f t="shared" si="23"/>
        <v>0</v>
      </c>
      <c r="G385">
        <f t="shared" si="24"/>
        <v>0</v>
      </c>
      <c r="H385">
        <f t="shared" si="21"/>
        <v>0</v>
      </c>
    </row>
    <row r="386" spans="1:8">
      <c r="A386" t="str">
        <f>OverallResults!A387</f>
        <v/>
      </c>
      <c r="E386" t="str">
        <f t="shared" si="22"/>
        <v/>
      </c>
      <c r="F386">
        <f t="shared" si="23"/>
        <v>0</v>
      </c>
      <c r="G386">
        <f t="shared" si="24"/>
        <v>0</v>
      </c>
      <c r="H386">
        <f t="shared" ref="H386:H449" si="25">IF(ISERROR(VLOOKUP(D386,$C$2:$C$500,1,FALSE)),D386,"")</f>
        <v>0</v>
      </c>
    </row>
    <row r="387" spans="1:8">
      <c r="A387" t="str">
        <f>OverallResults!A388</f>
        <v/>
      </c>
      <c r="E387" t="str">
        <f t="shared" ref="E387:E450" si="26">IF(ISERROR(VLOOKUP(A387,$B$2:$B$500,1,FALSE)),A387,"")</f>
        <v/>
      </c>
      <c r="F387">
        <f t="shared" ref="F387:F450" si="27">IF(ISERROR(VLOOKUP(C387,$D$2:$D$500,1,FALSE)),C387,"")</f>
        <v>0</v>
      </c>
      <c r="G387">
        <f t="shared" ref="G387:G450" si="28">IF(ISERROR(VLOOKUP(B387,$A$2:$A$500,1,FALSE)),B387,"")</f>
        <v>0</v>
      </c>
      <c r="H387">
        <f t="shared" si="25"/>
        <v>0</v>
      </c>
    </row>
    <row r="388" spans="1:8">
      <c r="A388" t="str">
        <f>OverallResults!A389</f>
        <v/>
      </c>
      <c r="E388" t="str">
        <f t="shared" si="26"/>
        <v/>
      </c>
      <c r="F388">
        <f t="shared" si="27"/>
        <v>0</v>
      </c>
      <c r="G388">
        <f t="shared" si="28"/>
        <v>0</v>
      </c>
      <c r="H388">
        <f t="shared" si="25"/>
        <v>0</v>
      </c>
    </row>
    <row r="389" spans="1:8">
      <c r="A389" t="str">
        <f>OverallResults!A390</f>
        <v/>
      </c>
      <c r="E389" t="str">
        <f t="shared" si="26"/>
        <v/>
      </c>
      <c r="F389">
        <f t="shared" si="27"/>
        <v>0</v>
      </c>
      <c r="G389">
        <f t="shared" si="28"/>
        <v>0</v>
      </c>
      <c r="H389">
        <f t="shared" si="25"/>
        <v>0</v>
      </c>
    </row>
    <row r="390" spans="1:8">
      <c r="A390" t="str">
        <f>OverallResults!A391</f>
        <v/>
      </c>
      <c r="E390" t="str">
        <f t="shared" si="26"/>
        <v/>
      </c>
      <c r="F390">
        <f t="shared" si="27"/>
        <v>0</v>
      </c>
      <c r="G390">
        <f t="shared" si="28"/>
        <v>0</v>
      </c>
      <c r="H390">
        <f t="shared" si="25"/>
        <v>0</v>
      </c>
    </row>
    <row r="391" spans="1:8">
      <c r="A391" t="str">
        <f>OverallResults!A392</f>
        <v/>
      </c>
      <c r="E391" t="str">
        <f t="shared" si="26"/>
        <v/>
      </c>
      <c r="F391">
        <f t="shared" si="27"/>
        <v>0</v>
      </c>
      <c r="G391">
        <f t="shared" si="28"/>
        <v>0</v>
      </c>
      <c r="H391">
        <f t="shared" si="25"/>
        <v>0</v>
      </c>
    </row>
    <row r="392" spans="1:8">
      <c r="A392" t="str">
        <f>OverallResults!A393</f>
        <v/>
      </c>
      <c r="E392" t="str">
        <f t="shared" si="26"/>
        <v/>
      </c>
      <c r="F392">
        <f t="shared" si="27"/>
        <v>0</v>
      </c>
      <c r="G392">
        <f t="shared" si="28"/>
        <v>0</v>
      </c>
      <c r="H392">
        <f t="shared" si="25"/>
        <v>0</v>
      </c>
    </row>
    <row r="393" spans="1:8">
      <c r="A393" t="str">
        <f>OverallResults!A394</f>
        <v/>
      </c>
      <c r="E393" t="str">
        <f t="shared" si="26"/>
        <v/>
      </c>
      <c r="F393">
        <f t="shared" si="27"/>
        <v>0</v>
      </c>
      <c r="G393">
        <f t="shared" si="28"/>
        <v>0</v>
      </c>
      <c r="H393">
        <f t="shared" si="25"/>
        <v>0</v>
      </c>
    </row>
    <row r="394" spans="1:8">
      <c r="A394" t="str">
        <f>OverallResults!A395</f>
        <v/>
      </c>
      <c r="E394" t="str">
        <f t="shared" si="26"/>
        <v/>
      </c>
      <c r="F394">
        <f t="shared" si="27"/>
        <v>0</v>
      </c>
      <c r="G394">
        <f t="shared" si="28"/>
        <v>0</v>
      </c>
      <c r="H394">
        <f t="shared" si="25"/>
        <v>0</v>
      </c>
    </row>
    <row r="395" spans="1:8">
      <c r="A395" t="str">
        <f>OverallResults!A396</f>
        <v/>
      </c>
      <c r="E395" t="str">
        <f t="shared" si="26"/>
        <v/>
      </c>
      <c r="F395">
        <f t="shared" si="27"/>
        <v>0</v>
      </c>
      <c r="G395">
        <f t="shared" si="28"/>
        <v>0</v>
      </c>
      <c r="H395">
        <f t="shared" si="25"/>
        <v>0</v>
      </c>
    </row>
    <row r="396" spans="1:8">
      <c r="A396" t="str">
        <f>OverallResults!A397</f>
        <v/>
      </c>
      <c r="E396" t="str">
        <f t="shared" si="26"/>
        <v/>
      </c>
      <c r="F396">
        <f t="shared" si="27"/>
        <v>0</v>
      </c>
      <c r="G396">
        <f t="shared" si="28"/>
        <v>0</v>
      </c>
      <c r="H396">
        <f t="shared" si="25"/>
        <v>0</v>
      </c>
    </row>
    <row r="397" spans="1:8">
      <c r="A397" t="str">
        <f>OverallResults!A398</f>
        <v/>
      </c>
      <c r="E397" t="str">
        <f t="shared" si="26"/>
        <v/>
      </c>
      <c r="F397">
        <f t="shared" si="27"/>
        <v>0</v>
      </c>
      <c r="G397">
        <f t="shared" si="28"/>
        <v>0</v>
      </c>
      <c r="H397">
        <f t="shared" si="25"/>
        <v>0</v>
      </c>
    </row>
    <row r="398" spans="1:8">
      <c r="A398" t="str">
        <f>OverallResults!A399</f>
        <v/>
      </c>
      <c r="E398" t="str">
        <f t="shared" si="26"/>
        <v/>
      </c>
      <c r="F398">
        <f t="shared" si="27"/>
        <v>0</v>
      </c>
      <c r="G398">
        <f t="shared" si="28"/>
        <v>0</v>
      </c>
      <c r="H398">
        <f t="shared" si="25"/>
        <v>0</v>
      </c>
    </row>
    <row r="399" spans="1:8">
      <c r="A399" t="str">
        <f>OverallResults!A400</f>
        <v/>
      </c>
      <c r="E399" t="str">
        <f t="shared" si="26"/>
        <v/>
      </c>
      <c r="F399">
        <f t="shared" si="27"/>
        <v>0</v>
      </c>
      <c r="G399">
        <f t="shared" si="28"/>
        <v>0</v>
      </c>
      <c r="H399">
        <f t="shared" si="25"/>
        <v>0</v>
      </c>
    </row>
    <row r="400" spans="1:8">
      <c r="A400" t="str">
        <f>OverallResults!A401</f>
        <v/>
      </c>
      <c r="E400" t="str">
        <f t="shared" si="26"/>
        <v/>
      </c>
      <c r="F400">
        <f t="shared" si="27"/>
        <v>0</v>
      </c>
      <c r="G400">
        <f t="shared" si="28"/>
        <v>0</v>
      </c>
      <c r="H400">
        <f t="shared" si="25"/>
        <v>0</v>
      </c>
    </row>
    <row r="401" spans="1:8">
      <c r="A401" t="str">
        <f>OverallResults!A402</f>
        <v/>
      </c>
      <c r="E401" t="str">
        <f t="shared" si="26"/>
        <v/>
      </c>
      <c r="F401">
        <f t="shared" si="27"/>
        <v>0</v>
      </c>
      <c r="G401">
        <f t="shared" si="28"/>
        <v>0</v>
      </c>
      <c r="H401">
        <f t="shared" si="25"/>
        <v>0</v>
      </c>
    </row>
    <row r="402" spans="1:8">
      <c r="A402" t="str">
        <f>OverallResults!A403</f>
        <v/>
      </c>
      <c r="E402" t="str">
        <f t="shared" si="26"/>
        <v/>
      </c>
      <c r="F402">
        <f t="shared" si="27"/>
        <v>0</v>
      </c>
      <c r="G402">
        <f t="shared" si="28"/>
        <v>0</v>
      </c>
      <c r="H402">
        <f t="shared" si="25"/>
        <v>0</v>
      </c>
    </row>
    <row r="403" spans="1:8">
      <c r="A403" t="str">
        <f>OverallResults!A404</f>
        <v/>
      </c>
      <c r="E403" t="str">
        <f t="shared" si="26"/>
        <v/>
      </c>
      <c r="F403">
        <f t="shared" si="27"/>
        <v>0</v>
      </c>
      <c r="G403">
        <f t="shared" si="28"/>
        <v>0</v>
      </c>
      <c r="H403">
        <f t="shared" si="25"/>
        <v>0</v>
      </c>
    </row>
    <row r="404" spans="1:8">
      <c r="A404" t="str">
        <f>OverallResults!A405</f>
        <v/>
      </c>
      <c r="E404" t="str">
        <f t="shared" si="26"/>
        <v/>
      </c>
      <c r="F404">
        <f t="shared" si="27"/>
        <v>0</v>
      </c>
      <c r="G404">
        <f t="shared" si="28"/>
        <v>0</v>
      </c>
      <c r="H404">
        <f t="shared" si="25"/>
        <v>0</v>
      </c>
    </row>
    <row r="405" spans="1:8">
      <c r="A405" t="str">
        <f>OverallResults!A406</f>
        <v/>
      </c>
      <c r="E405" t="str">
        <f t="shared" si="26"/>
        <v/>
      </c>
      <c r="F405">
        <f t="shared" si="27"/>
        <v>0</v>
      </c>
      <c r="G405">
        <f t="shared" si="28"/>
        <v>0</v>
      </c>
      <c r="H405">
        <f t="shared" si="25"/>
        <v>0</v>
      </c>
    </row>
    <row r="406" spans="1:8">
      <c r="A406" t="str">
        <f>OverallResults!A407</f>
        <v/>
      </c>
      <c r="E406" t="str">
        <f t="shared" si="26"/>
        <v/>
      </c>
      <c r="F406">
        <f t="shared" si="27"/>
        <v>0</v>
      </c>
      <c r="G406">
        <f t="shared" si="28"/>
        <v>0</v>
      </c>
      <c r="H406">
        <f t="shared" si="25"/>
        <v>0</v>
      </c>
    </row>
    <row r="407" spans="1:8">
      <c r="A407" t="str">
        <f>OverallResults!A408</f>
        <v/>
      </c>
      <c r="E407" t="str">
        <f t="shared" si="26"/>
        <v/>
      </c>
      <c r="F407">
        <f t="shared" si="27"/>
        <v>0</v>
      </c>
      <c r="G407">
        <f t="shared" si="28"/>
        <v>0</v>
      </c>
      <c r="H407">
        <f t="shared" si="25"/>
        <v>0</v>
      </c>
    </row>
    <row r="408" spans="1:8">
      <c r="A408" t="str">
        <f>OverallResults!A409</f>
        <v/>
      </c>
      <c r="E408" t="str">
        <f t="shared" si="26"/>
        <v/>
      </c>
      <c r="F408">
        <f t="shared" si="27"/>
        <v>0</v>
      </c>
      <c r="G408">
        <f t="shared" si="28"/>
        <v>0</v>
      </c>
      <c r="H408">
        <f t="shared" si="25"/>
        <v>0</v>
      </c>
    </row>
    <row r="409" spans="1:8">
      <c r="A409" t="str">
        <f>OverallResults!A410</f>
        <v/>
      </c>
      <c r="E409" t="str">
        <f t="shared" si="26"/>
        <v/>
      </c>
      <c r="F409">
        <f t="shared" si="27"/>
        <v>0</v>
      </c>
      <c r="G409">
        <f t="shared" si="28"/>
        <v>0</v>
      </c>
      <c r="H409">
        <f t="shared" si="25"/>
        <v>0</v>
      </c>
    </row>
    <row r="410" spans="1:8">
      <c r="A410" t="str">
        <f>OverallResults!A411</f>
        <v/>
      </c>
      <c r="E410" t="str">
        <f t="shared" si="26"/>
        <v/>
      </c>
      <c r="F410">
        <f t="shared" si="27"/>
        <v>0</v>
      </c>
      <c r="G410">
        <f t="shared" si="28"/>
        <v>0</v>
      </c>
      <c r="H410">
        <f t="shared" si="25"/>
        <v>0</v>
      </c>
    </row>
    <row r="411" spans="1:8">
      <c r="A411" t="str">
        <f>OverallResults!A412</f>
        <v/>
      </c>
      <c r="E411" t="str">
        <f t="shared" si="26"/>
        <v/>
      </c>
      <c r="F411">
        <f t="shared" si="27"/>
        <v>0</v>
      </c>
      <c r="G411">
        <f t="shared" si="28"/>
        <v>0</v>
      </c>
      <c r="H411">
        <f t="shared" si="25"/>
        <v>0</v>
      </c>
    </row>
    <row r="412" spans="1:8">
      <c r="A412" t="str">
        <f>OverallResults!A413</f>
        <v/>
      </c>
      <c r="E412" t="str">
        <f t="shared" si="26"/>
        <v/>
      </c>
      <c r="F412">
        <f t="shared" si="27"/>
        <v>0</v>
      </c>
      <c r="G412">
        <f t="shared" si="28"/>
        <v>0</v>
      </c>
      <c r="H412">
        <f t="shared" si="25"/>
        <v>0</v>
      </c>
    </row>
    <row r="413" spans="1:8">
      <c r="A413" t="str">
        <f>OverallResults!A414</f>
        <v/>
      </c>
      <c r="E413" t="str">
        <f t="shared" si="26"/>
        <v/>
      </c>
      <c r="F413">
        <f t="shared" si="27"/>
        <v>0</v>
      </c>
      <c r="G413">
        <f t="shared" si="28"/>
        <v>0</v>
      </c>
      <c r="H413">
        <f t="shared" si="25"/>
        <v>0</v>
      </c>
    </row>
    <row r="414" spans="1:8">
      <c r="A414" t="str">
        <f>OverallResults!A415</f>
        <v/>
      </c>
      <c r="E414" t="str">
        <f t="shared" si="26"/>
        <v/>
      </c>
      <c r="F414">
        <f t="shared" si="27"/>
        <v>0</v>
      </c>
      <c r="G414">
        <f t="shared" si="28"/>
        <v>0</v>
      </c>
      <c r="H414">
        <f t="shared" si="25"/>
        <v>0</v>
      </c>
    </row>
    <row r="415" spans="1:8">
      <c r="A415" t="str">
        <f>OverallResults!A416</f>
        <v/>
      </c>
      <c r="E415" t="str">
        <f t="shared" si="26"/>
        <v/>
      </c>
      <c r="F415">
        <f t="shared" si="27"/>
        <v>0</v>
      </c>
      <c r="G415">
        <f t="shared" si="28"/>
        <v>0</v>
      </c>
      <c r="H415">
        <f t="shared" si="25"/>
        <v>0</v>
      </c>
    </row>
    <row r="416" spans="1:8">
      <c r="A416" t="str">
        <f>OverallResults!A417</f>
        <v/>
      </c>
      <c r="E416" t="str">
        <f t="shared" si="26"/>
        <v/>
      </c>
      <c r="F416">
        <f t="shared" si="27"/>
        <v>0</v>
      </c>
      <c r="G416">
        <f t="shared" si="28"/>
        <v>0</v>
      </c>
      <c r="H416">
        <f t="shared" si="25"/>
        <v>0</v>
      </c>
    </row>
    <row r="417" spans="1:8">
      <c r="A417" t="str">
        <f>OverallResults!A418</f>
        <v/>
      </c>
      <c r="E417" t="str">
        <f t="shared" si="26"/>
        <v/>
      </c>
      <c r="F417">
        <f t="shared" si="27"/>
        <v>0</v>
      </c>
      <c r="G417">
        <f t="shared" si="28"/>
        <v>0</v>
      </c>
      <c r="H417">
        <f t="shared" si="25"/>
        <v>0</v>
      </c>
    </row>
    <row r="418" spans="1:8">
      <c r="A418" t="str">
        <f>OverallResults!A419</f>
        <v/>
      </c>
      <c r="E418" t="str">
        <f t="shared" si="26"/>
        <v/>
      </c>
      <c r="F418">
        <f t="shared" si="27"/>
        <v>0</v>
      </c>
      <c r="G418">
        <f t="shared" si="28"/>
        <v>0</v>
      </c>
      <c r="H418">
        <f t="shared" si="25"/>
        <v>0</v>
      </c>
    </row>
    <row r="419" spans="1:8">
      <c r="A419" t="str">
        <f>OverallResults!A420</f>
        <v/>
      </c>
      <c r="E419" t="str">
        <f t="shared" si="26"/>
        <v/>
      </c>
      <c r="F419">
        <f t="shared" si="27"/>
        <v>0</v>
      </c>
      <c r="G419">
        <f t="shared" si="28"/>
        <v>0</v>
      </c>
      <c r="H419">
        <f t="shared" si="25"/>
        <v>0</v>
      </c>
    </row>
    <row r="420" spans="1:8">
      <c r="A420" t="str">
        <f>OverallResults!A421</f>
        <v/>
      </c>
      <c r="E420" t="str">
        <f t="shared" si="26"/>
        <v/>
      </c>
      <c r="F420">
        <f t="shared" si="27"/>
        <v>0</v>
      </c>
      <c r="G420">
        <f t="shared" si="28"/>
        <v>0</v>
      </c>
      <c r="H420">
        <f t="shared" si="25"/>
        <v>0</v>
      </c>
    </row>
    <row r="421" spans="1:8">
      <c r="A421" t="str">
        <f>OverallResults!A422</f>
        <v/>
      </c>
      <c r="E421" t="str">
        <f t="shared" si="26"/>
        <v/>
      </c>
      <c r="F421">
        <f t="shared" si="27"/>
        <v>0</v>
      </c>
      <c r="G421">
        <f t="shared" si="28"/>
        <v>0</v>
      </c>
      <c r="H421">
        <f t="shared" si="25"/>
        <v>0</v>
      </c>
    </row>
    <row r="422" spans="1:8">
      <c r="A422" t="str">
        <f>OverallResults!A423</f>
        <v/>
      </c>
      <c r="E422" t="str">
        <f t="shared" si="26"/>
        <v/>
      </c>
      <c r="F422">
        <f t="shared" si="27"/>
        <v>0</v>
      </c>
      <c r="G422">
        <f t="shared" si="28"/>
        <v>0</v>
      </c>
      <c r="H422">
        <f t="shared" si="25"/>
        <v>0</v>
      </c>
    </row>
    <row r="423" spans="1:8">
      <c r="A423" t="str">
        <f>OverallResults!A424</f>
        <v/>
      </c>
      <c r="E423" t="str">
        <f t="shared" si="26"/>
        <v/>
      </c>
      <c r="F423">
        <f t="shared" si="27"/>
        <v>0</v>
      </c>
      <c r="G423">
        <f t="shared" si="28"/>
        <v>0</v>
      </c>
      <c r="H423">
        <f t="shared" si="25"/>
        <v>0</v>
      </c>
    </row>
    <row r="424" spans="1:8">
      <c r="A424" t="str">
        <f>OverallResults!A425</f>
        <v/>
      </c>
      <c r="E424" t="str">
        <f t="shared" si="26"/>
        <v/>
      </c>
      <c r="F424">
        <f t="shared" si="27"/>
        <v>0</v>
      </c>
      <c r="G424">
        <f t="shared" si="28"/>
        <v>0</v>
      </c>
      <c r="H424">
        <f t="shared" si="25"/>
        <v>0</v>
      </c>
    </row>
    <row r="425" spans="1:8">
      <c r="A425" t="str">
        <f>OverallResults!A426</f>
        <v/>
      </c>
      <c r="E425" t="str">
        <f t="shared" si="26"/>
        <v/>
      </c>
      <c r="F425">
        <f t="shared" si="27"/>
        <v>0</v>
      </c>
      <c r="G425">
        <f t="shared" si="28"/>
        <v>0</v>
      </c>
      <c r="H425">
        <f t="shared" si="25"/>
        <v>0</v>
      </c>
    </row>
    <row r="426" spans="1:8">
      <c r="A426" t="str">
        <f>OverallResults!A427</f>
        <v/>
      </c>
      <c r="E426" t="str">
        <f t="shared" si="26"/>
        <v/>
      </c>
      <c r="F426">
        <f t="shared" si="27"/>
        <v>0</v>
      </c>
      <c r="G426">
        <f t="shared" si="28"/>
        <v>0</v>
      </c>
      <c r="H426">
        <f t="shared" si="25"/>
        <v>0</v>
      </c>
    </row>
    <row r="427" spans="1:8">
      <c r="A427" t="str">
        <f>OverallResults!A428</f>
        <v/>
      </c>
      <c r="E427" t="str">
        <f t="shared" si="26"/>
        <v/>
      </c>
      <c r="F427">
        <f t="shared" si="27"/>
        <v>0</v>
      </c>
      <c r="G427">
        <f t="shared" si="28"/>
        <v>0</v>
      </c>
      <c r="H427">
        <f t="shared" si="25"/>
        <v>0</v>
      </c>
    </row>
    <row r="428" spans="1:8">
      <c r="A428" t="str">
        <f>OverallResults!A429</f>
        <v/>
      </c>
      <c r="E428" t="str">
        <f t="shared" si="26"/>
        <v/>
      </c>
      <c r="F428">
        <f t="shared" si="27"/>
        <v>0</v>
      </c>
      <c r="G428">
        <f t="shared" si="28"/>
        <v>0</v>
      </c>
      <c r="H428">
        <f t="shared" si="25"/>
        <v>0</v>
      </c>
    </row>
    <row r="429" spans="1:8">
      <c r="A429" t="str">
        <f>OverallResults!A430</f>
        <v/>
      </c>
      <c r="E429" t="str">
        <f t="shared" si="26"/>
        <v/>
      </c>
      <c r="F429">
        <f t="shared" si="27"/>
        <v>0</v>
      </c>
      <c r="G429">
        <f t="shared" si="28"/>
        <v>0</v>
      </c>
      <c r="H429">
        <f t="shared" si="25"/>
        <v>0</v>
      </c>
    </row>
    <row r="430" spans="1:8">
      <c r="A430" t="str">
        <f>OverallResults!A431</f>
        <v/>
      </c>
      <c r="E430" t="str">
        <f t="shared" si="26"/>
        <v/>
      </c>
      <c r="F430">
        <f t="shared" si="27"/>
        <v>0</v>
      </c>
      <c r="G430">
        <f t="shared" si="28"/>
        <v>0</v>
      </c>
      <c r="H430">
        <f t="shared" si="25"/>
        <v>0</v>
      </c>
    </row>
    <row r="431" spans="1:8">
      <c r="A431" t="str">
        <f>OverallResults!A432</f>
        <v/>
      </c>
      <c r="E431" t="str">
        <f t="shared" si="26"/>
        <v/>
      </c>
      <c r="F431">
        <f t="shared" si="27"/>
        <v>0</v>
      </c>
      <c r="G431">
        <f t="shared" si="28"/>
        <v>0</v>
      </c>
      <c r="H431">
        <f t="shared" si="25"/>
        <v>0</v>
      </c>
    </row>
    <row r="432" spans="1:8">
      <c r="A432" t="str">
        <f>OverallResults!A433</f>
        <v/>
      </c>
      <c r="E432" t="str">
        <f t="shared" si="26"/>
        <v/>
      </c>
      <c r="F432">
        <f t="shared" si="27"/>
        <v>0</v>
      </c>
      <c r="G432">
        <f t="shared" si="28"/>
        <v>0</v>
      </c>
      <c r="H432">
        <f t="shared" si="25"/>
        <v>0</v>
      </c>
    </row>
    <row r="433" spans="1:8">
      <c r="A433" t="str">
        <f>OverallResults!A434</f>
        <v/>
      </c>
      <c r="E433" t="str">
        <f t="shared" si="26"/>
        <v/>
      </c>
      <c r="F433">
        <f t="shared" si="27"/>
        <v>0</v>
      </c>
      <c r="G433">
        <f t="shared" si="28"/>
        <v>0</v>
      </c>
      <c r="H433">
        <f t="shared" si="25"/>
        <v>0</v>
      </c>
    </row>
    <row r="434" spans="1:8">
      <c r="A434" t="str">
        <f>OverallResults!A435</f>
        <v/>
      </c>
      <c r="E434" t="str">
        <f t="shared" si="26"/>
        <v/>
      </c>
      <c r="F434">
        <f t="shared" si="27"/>
        <v>0</v>
      </c>
      <c r="G434">
        <f t="shared" si="28"/>
        <v>0</v>
      </c>
      <c r="H434">
        <f t="shared" si="25"/>
        <v>0</v>
      </c>
    </row>
    <row r="435" spans="1:8">
      <c r="A435" t="str">
        <f>OverallResults!A436</f>
        <v/>
      </c>
      <c r="E435" t="str">
        <f t="shared" si="26"/>
        <v/>
      </c>
      <c r="F435">
        <f t="shared" si="27"/>
        <v>0</v>
      </c>
      <c r="G435">
        <f t="shared" si="28"/>
        <v>0</v>
      </c>
      <c r="H435">
        <f t="shared" si="25"/>
        <v>0</v>
      </c>
    </row>
    <row r="436" spans="1:8">
      <c r="A436" t="str">
        <f>OverallResults!A437</f>
        <v/>
      </c>
      <c r="E436" t="str">
        <f t="shared" si="26"/>
        <v/>
      </c>
      <c r="F436">
        <f t="shared" si="27"/>
        <v>0</v>
      </c>
      <c r="G436">
        <f t="shared" si="28"/>
        <v>0</v>
      </c>
      <c r="H436">
        <f t="shared" si="25"/>
        <v>0</v>
      </c>
    </row>
    <row r="437" spans="1:8">
      <c r="A437" t="str">
        <f>OverallResults!A438</f>
        <v/>
      </c>
      <c r="E437" t="str">
        <f t="shared" si="26"/>
        <v/>
      </c>
      <c r="F437">
        <f t="shared" si="27"/>
        <v>0</v>
      </c>
      <c r="G437">
        <f t="shared" si="28"/>
        <v>0</v>
      </c>
      <c r="H437">
        <f t="shared" si="25"/>
        <v>0</v>
      </c>
    </row>
    <row r="438" spans="1:8">
      <c r="A438" t="str">
        <f>OverallResults!A439</f>
        <v/>
      </c>
      <c r="E438" t="str">
        <f t="shared" si="26"/>
        <v/>
      </c>
      <c r="F438">
        <f t="shared" si="27"/>
        <v>0</v>
      </c>
      <c r="G438">
        <f t="shared" si="28"/>
        <v>0</v>
      </c>
      <c r="H438">
        <f t="shared" si="25"/>
        <v>0</v>
      </c>
    </row>
    <row r="439" spans="1:8">
      <c r="A439" t="str">
        <f>OverallResults!A440</f>
        <v/>
      </c>
      <c r="E439" t="str">
        <f t="shared" si="26"/>
        <v/>
      </c>
      <c r="F439">
        <f t="shared" si="27"/>
        <v>0</v>
      </c>
      <c r="G439">
        <f t="shared" si="28"/>
        <v>0</v>
      </c>
      <c r="H439">
        <f t="shared" si="25"/>
        <v>0</v>
      </c>
    </row>
    <row r="440" spans="1:8">
      <c r="A440" t="str">
        <f>OverallResults!A441</f>
        <v/>
      </c>
      <c r="E440" t="str">
        <f t="shared" si="26"/>
        <v/>
      </c>
      <c r="F440">
        <f t="shared" si="27"/>
        <v>0</v>
      </c>
      <c r="G440">
        <f t="shared" si="28"/>
        <v>0</v>
      </c>
      <c r="H440">
        <f t="shared" si="25"/>
        <v>0</v>
      </c>
    </row>
    <row r="441" spans="1:8">
      <c r="A441" t="str">
        <f>OverallResults!A442</f>
        <v/>
      </c>
      <c r="E441" t="str">
        <f t="shared" si="26"/>
        <v/>
      </c>
      <c r="F441">
        <f t="shared" si="27"/>
        <v>0</v>
      </c>
      <c r="G441">
        <f t="shared" si="28"/>
        <v>0</v>
      </c>
      <c r="H441">
        <f t="shared" si="25"/>
        <v>0</v>
      </c>
    </row>
    <row r="442" spans="1:8">
      <c r="A442" t="str">
        <f>OverallResults!A443</f>
        <v/>
      </c>
      <c r="E442" t="str">
        <f t="shared" si="26"/>
        <v/>
      </c>
      <c r="F442">
        <f t="shared" si="27"/>
        <v>0</v>
      </c>
      <c r="G442">
        <f t="shared" si="28"/>
        <v>0</v>
      </c>
      <c r="H442">
        <f t="shared" si="25"/>
        <v>0</v>
      </c>
    </row>
    <row r="443" spans="1:8">
      <c r="A443" t="str">
        <f>OverallResults!A444</f>
        <v/>
      </c>
      <c r="E443" t="str">
        <f t="shared" si="26"/>
        <v/>
      </c>
      <c r="F443">
        <f t="shared" si="27"/>
        <v>0</v>
      </c>
      <c r="G443">
        <f t="shared" si="28"/>
        <v>0</v>
      </c>
      <c r="H443">
        <f t="shared" si="25"/>
        <v>0</v>
      </c>
    </row>
    <row r="444" spans="1:8">
      <c r="A444" t="str">
        <f>OverallResults!A445</f>
        <v/>
      </c>
      <c r="E444" t="str">
        <f t="shared" si="26"/>
        <v/>
      </c>
      <c r="F444">
        <f t="shared" si="27"/>
        <v>0</v>
      </c>
      <c r="G444">
        <f t="shared" si="28"/>
        <v>0</v>
      </c>
      <c r="H444">
        <f t="shared" si="25"/>
        <v>0</v>
      </c>
    </row>
    <row r="445" spans="1:8">
      <c r="A445" t="str">
        <f>OverallResults!A446</f>
        <v/>
      </c>
      <c r="E445" t="str">
        <f t="shared" si="26"/>
        <v/>
      </c>
      <c r="F445">
        <f t="shared" si="27"/>
        <v>0</v>
      </c>
      <c r="G445">
        <f t="shared" si="28"/>
        <v>0</v>
      </c>
      <c r="H445">
        <f t="shared" si="25"/>
        <v>0</v>
      </c>
    </row>
    <row r="446" spans="1:8">
      <c r="A446" t="str">
        <f>OverallResults!A447</f>
        <v/>
      </c>
      <c r="E446" t="str">
        <f t="shared" si="26"/>
        <v/>
      </c>
      <c r="F446">
        <f t="shared" si="27"/>
        <v>0</v>
      </c>
      <c r="G446">
        <f t="shared" si="28"/>
        <v>0</v>
      </c>
      <c r="H446">
        <f t="shared" si="25"/>
        <v>0</v>
      </c>
    </row>
    <row r="447" spans="1:8">
      <c r="A447" t="str">
        <f>OverallResults!A448</f>
        <v/>
      </c>
      <c r="E447" t="str">
        <f t="shared" si="26"/>
        <v/>
      </c>
      <c r="F447">
        <f t="shared" si="27"/>
        <v>0</v>
      </c>
      <c r="G447">
        <f t="shared" si="28"/>
        <v>0</v>
      </c>
      <c r="H447">
        <f t="shared" si="25"/>
        <v>0</v>
      </c>
    </row>
    <row r="448" spans="1:8">
      <c r="A448" t="str">
        <f>OverallResults!A449</f>
        <v/>
      </c>
      <c r="E448" t="str">
        <f t="shared" si="26"/>
        <v/>
      </c>
      <c r="F448">
        <f t="shared" si="27"/>
        <v>0</v>
      </c>
      <c r="G448">
        <f t="shared" si="28"/>
        <v>0</v>
      </c>
      <c r="H448">
        <f t="shared" si="25"/>
        <v>0</v>
      </c>
    </row>
    <row r="449" spans="1:8">
      <c r="A449" t="str">
        <f>OverallResults!A450</f>
        <v/>
      </c>
      <c r="E449" t="str">
        <f t="shared" si="26"/>
        <v/>
      </c>
      <c r="F449">
        <f t="shared" si="27"/>
        <v>0</v>
      </c>
      <c r="G449">
        <f t="shared" si="28"/>
        <v>0</v>
      </c>
      <c r="H449">
        <f t="shared" si="25"/>
        <v>0</v>
      </c>
    </row>
    <row r="450" spans="1:8">
      <c r="A450" t="str">
        <f>OverallResults!A451</f>
        <v/>
      </c>
      <c r="E450" t="str">
        <f t="shared" si="26"/>
        <v/>
      </c>
      <c r="F450">
        <f t="shared" si="27"/>
        <v>0</v>
      </c>
      <c r="G450">
        <f t="shared" si="28"/>
        <v>0</v>
      </c>
      <c r="H450">
        <f t="shared" ref="H450:H500" si="29">IF(ISERROR(VLOOKUP(D450,$C$2:$C$500,1,FALSE)),D450,"")</f>
        <v>0</v>
      </c>
    </row>
    <row r="451" spans="1:8">
      <c r="A451" t="str">
        <f>OverallResults!A452</f>
        <v/>
      </c>
      <c r="E451" t="str">
        <f t="shared" ref="E451:E500" si="30">IF(ISERROR(VLOOKUP(A451,$B$2:$B$500,1,FALSE)),A451,"")</f>
        <v/>
      </c>
      <c r="F451">
        <f t="shared" ref="F451:F500" si="31">IF(ISERROR(VLOOKUP(C451,$D$2:$D$500,1,FALSE)),C451,"")</f>
        <v>0</v>
      </c>
      <c r="G451">
        <f t="shared" ref="G451:G500" si="32">IF(ISERROR(VLOOKUP(B451,$A$2:$A$500,1,FALSE)),B451,"")</f>
        <v>0</v>
      </c>
      <c r="H451">
        <f t="shared" si="29"/>
        <v>0</v>
      </c>
    </row>
    <row r="452" spans="1:8">
      <c r="A452" t="str">
        <f>OverallResults!A453</f>
        <v/>
      </c>
      <c r="E452" t="str">
        <f t="shared" si="30"/>
        <v/>
      </c>
      <c r="F452">
        <f t="shared" si="31"/>
        <v>0</v>
      </c>
      <c r="G452">
        <f t="shared" si="32"/>
        <v>0</v>
      </c>
      <c r="H452">
        <f t="shared" si="29"/>
        <v>0</v>
      </c>
    </row>
    <row r="453" spans="1:8">
      <c r="A453" t="str">
        <f>OverallResults!A454</f>
        <v/>
      </c>
      <c r="E453" t="str">
        <f t="shared" si="30"/>
        <v/>
      </c>
      <c r="F453">
        <f t="shared" si="31"/>
        <v>0</v>
      </c>
      <c r="G453">
        <f t="shared" si="32"/>
        <v>0</v>
      </c>
      <c r="H453">
        <f t="shared" si="29"/>
        <v>0</v>
      </c>
    </row>
    <row r="454" spans="1:8">
      <c r="A454" t="str">
        <f>OverallResults!A455</f>
        <v/>
      </c>
      <c r="E454" t="str">
        <f t="shared" si="30"/>
        <v/>
      </c>
      <c r="F454">
        <f t="shared" si="31"/>
        <v>0</v>
      </c>
      <c r="G454">
        <f t="shared" si="32"/>
        <v>0</v>
      </c>
      <c r="H454">
        <f t="shared" si="29"/>
        <v>0</v>
      </c>
    </row>
    <row r="455" spans="1:8">
      <c r="A455" t="str">
        <f>OverallResults!A456</f>
        <v/>
      </c>
      <c r="E455" t="str">
        <f t="shared" si="30"/>
        <v/>
      </c>
      <c r="F455">
        <f t="shared" si="31"/>
        <v>0</v>
      </c>
      <c r="G455">
        <f t="shared" si="32"/>
        <v>0</v>
      </c>
      <c r="H455">
        <f t="shared" si="29"/>
        <v>0</v>
      </c>
    </row>
    <row r="456" spans="1:8">
      <c r="A456" t="str">
        <f>OverallResults!A457</f>
        <v/>
      </c>
      <c r="E456" t="str">
        <f t="shared" si="30"/>
        <v/>
      </c>
      <c r="F456">
        <f t="shared" si="31"/>
        <v>0</v>
      </c>
      <c r="G456">
        <f t="shared" si="32"/>
        <v>0</v>
      </c>
      <c r="H456">
        <f t="shared" si="29"/>
        <v>0</v>
      </c>
    </row>
    <row r="457" spans="1:8">
      <c r="A457" t="str">
        <f>OverallResults!A458</f>
        <v/>
      </c>
      <c r="E457" t="str">
        <f t="shared" si="30"/>
        <v/>
      </c>
      <c r="F457">
        <f t="shared" si="31"/>
        <v>0</v>
      </c>
      <c r="G457">
        <f t="shared" si="32"/>
        <v>0</v>
      </c>
      <c r="H457">
        <f t="shared" si="29"/>
        <v>0</v>
      </c>
    </row>
    <row r="458" spans="1:8">
      <c r="A458" t="str">
        <f>OverallResults!A459</f>
        <v/>
      </c>
      <c r="E458" t="str">
        <f t="shared" si="30"/>
        <v/>
      </c>
      <c r="F458">
        <f t="shared" si="31"/>
        <v>0</v>
      </c>
      <c r="G458">
        <f t="shared" si="32"/>
        <v>0</v>
      </c>
      <c r="H458">
        <f t="shared" si="29"/>
        <v>0</v>
      </c>
    </row>
    <row r="459" spans="1:8">
      <c r="A459" t="str">
        <f>OverallResults!A460</f>
        <v/>
      </c>
      <c r="E459" t="str">
        <f t="shared" si="30"/>
        <v/>
      </c>
      <c r="F459">
        <f t="shared" si="31"/>
        <v>0</v>
      </c>
      <c r="G459">
        <f t="shared" si="32"/>
        <v>0</v>
      </c>
      <c r="H459">
        <f t="shared" si="29"/>
        <v>0</v>
      </c>
    </row>
    <row r="460" spans="1:8">
      <c r="A460" t="str">
        <f>OverallResults!A461</f>
        <v/>
      </c>
      <c r="E460" t="str">
        <f t="shared" si="30"/>
        <v/>
      </c>
      <c r="F460">
        <f t="shared" si="31"/>
        <v>0</v>
      </c>
      <c r="G460">
        <f t="shared" si="32"/>
        <v>0</v>
      </c>
      <c r="H460">
        <f t="shared" si="29"/>
        <v>0</v>
      </c>
    </row>
    <row r="461" spans="1:8">
      <c r="A461" t="str">
        <f>OverallResults!A462</f>
        <v/>
      </c>
      <c r="E461" t="str">
        <f t="shared" si="30"/>
        <v/>
      </c>
      <c r="F461">
        <f t="shared" si="31"/>
        <v>0</v>
      </c>
      <c r="G461">
        <f t="shared" si="32"/>
        <v>0</v>
      </c>
      <c r="H461">
        <f t="shared" si="29"/>
        <v>0</v>
      </c>
    </row>
    <row r="462" spans="1:8">
      <c r="A462" t="str">
        <f>OverallResults!A463</f>
        <v/>
      </c>
      <c r="E462" t="str">
        <f t="shared" si="30"/>
        <v/>
      </c>
      <c r="F462">
        <f t="shared" si="31"/>
        <v>0</v>
      </c>
      <c r="G462">
        <f t="shared" si="32"/>
        <v>0</v>
      </c>
      <c r="H462">
        <f t="shared" si="29"/>
        <v>0</v>
      </c>
    </row>
    <row r="463" spans="1:8">
      <c r="A463" t="str">
        <f>OverallResults!A464</f>
        <v/>
      </c>
      <c r="E463" t="str">
        <f t="shared" si="30"/>
        <v/>
      </c>
      <c r="F463">
        <f t="shared" si="31"/>
        <v>0</v>
      </c>
      <c r="G463">
        <f t="shared" si="32"/>
        <v>0</v>
      </c>
      <c r="H463">
        <f t="shared" si="29"/>
        <v>0</v>
      </c>
    </row>
    <row r="464" spans="1:8">
      <c r="A464" t="str">
        <f>OverallResults!A465</f>
        <v/>
      </c>
      <c r="E464" t="str">
        <f t="shared" si="30"/>
        <v/>
      </c>
      <c r="F464">
        <f t="shared" si="31"/>
        <v>0</v>
      </c>
      <c r="G464">
        <f t="shared" si="32"/>
        <v>0</v>
      </c>
      <c r="H464">
        <f t="shared" si="29"/>
        <v>0</v>
      </c>
    </row>
    <row r="465" spans="1:8">
      <c r="A465" t="str">
        <f>OverallResults!A466</f>
        <v/>
      </c>
      <c r="E465" t="str">
        <f t="shared" si="30"/>
        <v/>
      </c>
      <c r="F465">
        <f t="shared" si="31"/>
        <v>0</v>
      </c>
      <c r="G465">
        <f t="shared" si="32"/>
        <v>0</v>
      </c>
      <c r="H465">
        <f t="shared" si="29"/>
        <v>0</v>
      </c>
    </row>
    <row r="466" spans="1:8">
      <c r="A466" t="str">
        <f>OverallResults!A467</f>
        <v/>
      </c>
      <c r="E466" t="str">
        <f t="shared" si="30"/>
        <v/>
      </c>
      <c r="F466">
        <f t="shared" si="31"/>
        <v>0</v>
      </c>
      <c r="G466">
        <f t="shared" si="32"/>
        <v>0</v>
      </c>
      <c r="H466">
        <f t="shared" si="29"/>
        <v>0</v>
      </c>
    </row>
    <row r="467" spans="1:8">
      <c r="A467" t="str">
        <f>OverallResults!A468</f>
        <v/>
      </c>
      <c r="E467" t="str">
        <f t="shared" si="30"/>
        <v/>
      </c>
      <c r="F467">
        <f t="shared" si="31"/>
        <v>0</v>
      </c>
      <c r="G467">
        <f t="shared" si="32"/>
        <v>0</v>
      </c>
      <c r="H467">
        <f t="shared" si="29"/>
        <v>0</v>
      </c>
    </row>
    <row r="468" spans="1:8">
      <c r="A468" t="str">
        <f>OverallResults!A469</f>
        <v/>
      </c>
      <c r="E468" t="str">
        <f t="shared" si="30"/>
        <v/>
      </c>
      <c r="F468">
        <f t="shared" si="31"/>
        <v>0</v>
      </c>
      <c r="G468">
        <f t="shared" si="32"/>
        <v>0</v>
      </c>
      <c r="H468">
        <f t="shared" si="29"/>
        <v>0</v>
      </c>
    </row>
    <row r="469" spans="1:8">
      <c r="A469" t="str">
        <f>OverallResults!A470</f>
        <v/>
      </c>
      <c r="E469" t="str">
        <f t="shared" si="30"/>
        <v/>
      </c>
      <c r="F469">
        <f t="shared" si="31"/>
        <v>0</v>
      </c>
      <c r="G469">
        <f t="shared" si="32"/>
        <v>0</v>
      </c>
      <c r="H469">
        <f t="shared" si="29"/>
        <v>0</v>
      </c>
    </row>
    <row r="470" spans="1:8">
      <c r="A470" t="str">
        <f>OverallResults!A471</f>
        <v/>
      </c>
      <c r="E470" t="str">
        <f t="shared" si="30"/>
        <v/>
      </c>
      <c r="F470">
        <f t="shared" si="31"/>
        <v>0</v>
      </c>
      <c r="G470">
        <f t="shared" si="32"/>
        <v>0</v>
      </c>
      <c r="H470">
        <f t="shared" si="29"/>
        <v>0</v>
      </c>
    </row>
    <row r="471" spans="1:8">
      <c r="A471" t="str">
        <f>OverallResults!A472</f>
        <v/>
      </c>
      <c r="E471" t="str">
        <f t="shared" si="30"/>
        <v/>
      </c>
      <c r="F471">
        <f t="shared" si="31"/>
        <v>0</v>
      </c>
      <c r="G471">
        <f t="shared" si="32"/>
        <v>0</v>
      </c>
      <c r="H471">
        <f t="shared" si="29"/>
        <v>0</v>
      </c>
    </row>
    <row r="472" spans="1:8">
      <c r="A472" t="str">
        <f>OverallResults!A473</f>
        <v/>
      </c>
      <c r="E472" t="str">
        <f t="shared" si="30"/>
        <v/>
      </c>
      <c r="F472">
        <f t="shared" si="31"/>
        <v>0</v>
      </c>
      <c r="G472">
        <f t="shared" si="32"/>
        <v>0</v>
      </c>
      <c r="H472">
        <f t="shared" si="29"/>
        <v>0</v>
      </c>
    </row>
    <row r="473" spans="1:8">
      <c r="A473" t="str">
        <f>OverallResults!A474</f>
        <v/>
      </c>
      <c r="E473" t="str">
        <f t="shared" si="30"/>
        <v/>
      </c>
      <c r="F473">
        <f t="shared" si="31"/>
        <v>0</v>
      </c>
      <c r="G473">
        <f t="shared" si="32"/>
        <v>0</v>
      </c>
      <c r="H473">
        <f t="shared" si="29"/>
        <v>0</v>
      </c>
    </row>
    <row r="474" spans="1:8">
      <c r="A474" t="str">
        <f>OverallResults!A475</f>
        <v/>
      </c>
      <c r="E474" t="str">
        <f t="shared" si="30"/>
        <v/>
      </c>
      <c r="F474">
        <f t="shared" si="31"/>
        <v>0</v>
      </c>
      <c r="G474">
        <f t="shared" si="32"/>
        <v>0</v>
      </c>
      <c r="H474">
        <f t="shared" si="29"/>
        <v>0</v>
      </c>
    </row>
    <row r="475" spans="1:8">
      <c r="A475" t="str">
        <f>OverallResults!A476</f>
        <v/>
      </c>
      <c r="E475" t="str">
        <f t="shared" si="30"/>
        <v/>
      </c>
      <c r="F475">
        <f t="shared" si="31"/>
        <v>0</v>
      </c>
      <c r="G475">
        <f t="shared" si="32"/>
        <v>0</v>
      </c>
      <c r="H475">
        <f t="shared" si="29"/>
        <v>0</v>
      </c>
    </row>
    <row r="476" spans="1:8">
      <c r="A476" t="str">
        <f>OverallResults!A477</f>
        <v/>
      </c>
      <c r="E476" t="str">
        <f t="shared" si="30"/>
        <v/>
      </c>
      <c r="F476">
        <f t="shared" si="31"/>
        <v>0</v>
      </c>
      <c r="G476">
        <f t="shared" si="32"/>
        <v>0</v>
      </c>
      <c r="H476">
        <f t="shared" si="29"/>
        <v>0</v>
      </c>
    </row>
    <row r="477" spans="1:8">
      <c r="A477" t="str">
        <f>OverallResults!A478</f>
        <v/>
      </c>
      <c r="E477" t="str">
        <f t="shared" si="30"/>
        <v/>
      </c>
      <c r="F477">
        <f t="shared" si="31"/>
        <v>0</v>
      </c>
      <c r="G477">
        <f t="shared" si="32"/>
        <v>0</v>
      </c>
      <c r="H477">
        <f t="shared" si="29"/>
        <v>0</v>
      </c>
    </row>
    <row r="478" spans="1:8">
      <c r="A478" t="str">
        <f>OverallResults!A479</f>
        <v/>
      </c>
      <c r="E478" t="str">
        <f t="shared" si="30"/>
        <v/>
      </c>
      <c r="F478">
        <f t="shared" si="31"/>
        <v>0</v>
      </c>
      <c r="G478">
        <f t="shared" si="32"/>
        <v>0</v>
      </c>
      <c r="H478">
        <f t="shared" si="29"/>
        <v>0</v>
      </c>
    </row>
    <row r="479" spans="1:8">
      <c r="A479" t="str">
        <f>OverallResults!A480</f>
        <v/>
      </c>
      <c r="E479" t="str">
        <f t="shared" si="30"/>
        <v/>
      </c>
      <c r="F479">
        <f t="shared" si="31"/>
        <v>0</v>
      </c>
      <c r="G479">
        <f t="shared" si="32"/>
        <v>0</v>
      </c>
      <c r="H479">
        <f t="shared" si="29"/>
        <v>0</v>
      </c>
    </row>
    <row r="480" spans="1:8">
      <c r="A480" t="str">
        <f>OverallResults!A481</f>
        <v/>
      </c>
      <c r="E480" t="str">
        <f t="shared" si="30"/>
        <v/>
      </c>
      <c r="F480">
        <f t="shared" si="31"/>
        <v>0</v>
      </c>
      <c r="G480">
        <f t="shared" si="32"/>
        <v>0</v>
      </c>
      <c r="H480">
        <f t="shared" si="29"/>
        <v>0</v>
      </c>
    </row>
    <row r="481" spans="1:8">
      <c r="A481" t="str">
        <f>OverallResults!A482</f>
        <v/>
      </c>
      <c r="E481" t="str">
        <f t="shared" si="30"/>
        <v/>
      </c>
      <c r="F481">
        <f t="shared" si="31"/>
        <v>0</v>
      </c>
      <c r="G481">
        <f t="shared" si="32"/>
        <v>0</v>
      </c>
      <c r="H481">
        <f t="shared" si="29"/>
        <v>0</v>
      </c>
    </row>
    <row r="482" spans="1:8">
      <c r="A482" t="str">
        <f>OverallResults!A483</f>
        <v/>
      </c>
      <c r="E482" t="str">
        <f t="shared" si="30"/>
        <v/>
      </c>
      <c r="F482">
        <f t="shared" si="31"/>
        <v>0</v>
      </c>
      <c r="G482">
        <f t="shared" si="32"/>
        <v>0</v>
      </c>
      <c r="H482">
        <f t="shared" si="29"/>
        <v>0</v>
      </c>
    </row>
    <row r="483" spans="1:8">
      <c r="A483" t="str">
        <f>OverallResults!A484</f>
        <v/>
      </c>
      <c r="E483" t="str">
        <f t="shared" si="30"/>
        <v/>
      </c>
      <c r="F483">
        <f t="shared" si="31"/>
        <v>0</v>
      </c>
      <c r="G483">
        <f t="shared" si="32"/>
        <v>0</v>
      </c>
      <c r="H483">
        <f t="shared" si="29"/>
        <v>0</v>
      </c>
    </row>
    <row r="484" spans="1:8">
      <c r="A484" t="str">
        <f>OverallResults!A485</f>
        <v/>
      </c>
      <c r="E484" t="str">
        <f t="shared" si="30"/>
        <v/>
      </c>
      <c r="F484">
        <f t="shared" si="31"/>
        <v>0</v>
      </c>
      <c r="G484">
        <f t="shared" si="32"/>
        <v>0</v>
      </c>
      <c r="H484">
        <f t="shared" si="29"/>
        <v>0</v>
      </c>
    </row>
    <row r="485" spans="1:8">
      <c r="A485" t="str">
        <f>OverallResults!A486</f>
        <v/>
      </c>
      <c r="E485" t="str">
        <f t="shared" si="30"/>
        <v/>
      </c>
      <c r="F485">
        <f t="shared" si="31"/>
        <v>0</v>
      </c>
      <c r="G485">
        <f t="shared" si="32"/>
        <v>0</v>
      </c>
      <c r="H485">
        <f t="shared" si="29"/>
        <v>0</v>
      </c>
    </row>
    <row r="486" spans="1:8">
      <c r="A486" t="str">
        <f>OverallResults!A487</f>
        <v/>
      </c>
      <c r="E486" t="str">
        <f t="shared" si="30"/>
        <v/>
      </c>
      <c r="F486">
        <f t="shared" si="31"/>
        <v>0</v>
      </c>
      <c r="G486">
        <f t="shared" si="32"/>
        <v>0</v>
      </c>
      <c r="H486">
        <f t="shared" si="29"/>
        <v>0</v>
      </c>
    </row>
    <row r="487" spans="1:8">
      <c r="A487" t="str">
        <f>OverallResults!A488</f>
        <v/>
      </c>
      <c r="E487" t="str">
        <f t="shared" si="30"/>
        <v/>
      </c>
      <c r="F487">
        <f t="shared" si="31"/>
        <v>0</v>
      </c>
      <c r="G487">
        <f t="shared" si="32"/>
        <v>0</v>
      </c>
      <c r="H487">
        <f t="shared" si="29"/>
        <v>0</v>
      </c>
    </row>
    <row r="488" spans="1:8">
      <c r="A488" t="str">
        <f>OverallResults!A489</f>
        <v/>
      </c>
      <c r="E488" t="str">
        <f t="shared" si="30"/>
        <v/>
      </c>
      <c r="F488">
        <f t="shared" si="31"/>
        <v>0</v>
      </c>
      <c r="G488">
        <f t="shared" si="32"/>
        <v>0</v>
      </c>
      <c r="H488">
        <f t="shared" si="29"/>
        <v>0</v>
      </c>
    </row>
    <row r="489" spans="1:8">
      <c r="A489" t="str">
        <f>OverallResults!A490</f>
        <v/>
      </c>
      <c r="E489" t="str">
        <f t="shared" si="30"/>
        <v/>
      </c>
      <c r="F489">
        <f t="shared" si="31"/>
        <v>0</v>
      </c>
      <c r="G489">
        <f t="shared" si="32"/>
        <v>0</v>
      </c>
      <c r="H489">
        <f t="shared" si="29"/>
        <v>0</v>
      </c>
    </row>
    <row r="490" spans="1:8">
      <c r="A490" t="str">
        <f>OverallResults!A491</f>
        <v/>
      </c>
      <c r="E490" t="str">
        <f t="shared" si="30"/>
        <v/>
      </c>
      <c r="F490">
        <f t="shared" si="31"/>
        <v>0</v>
      </c>
      <c r="G490">
        <f t="shared" si="32"/>
        <v>0</v>
      </c>
      <c r="H490">
        <f t="shared" si="29"/>
        <v>0</v>
      </c>
    </row>
    <row r="491" spans="1:8">
      <c r="A491" t="str">
        <f>OverallResults!A492</f>
        <v/>
      </c>
      <c r="E491" t="str">
        <f t="shared" si="30"/>
        <v/>
      </c>
      <c r="F491">
        <f t="shared" si="31"/>
        <v>0</v>
      </c>
      <c r="G491">
        <f t="shared" si="32"/>
        <v>0</v>
      </c>
      <c r="H491">
        <f t="shared" si="29"/>
        <v>0</v>
      </c>
    </row>
    <row r="492" spans="1:8">
      <c r="A492" t="str">
        <f>OverallResults!A493</f>
        <v/>
      </c>
      <c r="E492" t="str">
        <f t="shared" si="30"/>
        <v/>
      </c>
      <c r="F492">
        <f t="shared" si="31"/>
        <v>0</v>
      </c>
      <c r="G492">
        <f t="shared" si="32"/>
        <v>0</v>
      </c>
      <c r="H492">
        <f t="shared" si="29"/>
        <v>0</v>
      </c>
    </row>
    <row r="493" spans="1:8">
      <c r="A493" t="str">
        <f>OverallResults!A494</f>
        <v/>
      </c>
      <c r="E493" t="str">
        <f t="shared" si="30"/>
        <v/>
      </c>
      <c r="F493">
        <f t="shared" si="31"/>
        <v>0</v>
      </c>
      <c r="G493">
        <f t="shared" si="32"/>
        <v>0</v>
      </c>
      <c r="H493">
        <f t="shared" si="29"/>
        <v>0</v>
      </c>
    </row>
    <row r="494" spans="1:8">
      <c r="A494" t="str">
        <f>OverallResults!A495</f>
        <v/>
      </c>
      <c r="E494" t="str">
        <f t="shared" si="30"/>
        <v/>
      </c>
      <c r="F494">
        <f t="shared" si="31"/>
        <v>0</v>
      </c>
      <c r="G494">
        <f t="shared" si="32"/>
        <v>0</v>
      </c>
      <c r="H494">
        <f t="shared" si="29"/>
        <v>0</v>
      </c>
    </row>
    <row r="495" spans="1:8">
      <c r="A495" t="str">
        <f>OverallResults!A496</f>
        <v/>
      </c>
      <c r="E495" t="str">
        <f t="shared" si="30"/>
        <v/>
      </c>
      <c r="F495">
        <f t="shared" si="31"/>
        <v>0</v>
      </c>
      <c r="G495">
        <f t="shared" si="32"/>
        <v>0</v>
      </c>
      <c r="H495">
        <f t="shared" si="29"/>
        <v>0</v>
      </c>
    </row>
    <row r="496" spans="1:8">
      <c r="A496" t="str">
        <f>OverallResults!A497</f>
        <v/>
      </c>
      <c r="E496" t="str">
        <f t="shared" si="30"/>
        <v/>
      </c>
      <c r="F496">
        <f t="shared" si="31"/>
        <v>0</v>
      </c>
      <c r="G496">
        <f t="shared" si="32"/>
        <v>0</v>
      </c>
      <c r="H496">
        <f t="shared" si="29"/>
        <v>0</v>
      </c>
    </row>
    <row r="497" spans="1:8">
      <c r="A497" t="str">
        <f>OverallResults!A498</f>
        <v/>
      </c>
      <c r="E497" t="str">
        <f t="shared" si="30"/>
        <v/>
      </c>
      <c r="F497">
        <f t="shared" si="31"/>
        <v>0</v>
      </c>
      <c r="G497">
        <f t="shared" si="32"/>
        <v>0</v>
      </c>
      <c r="H497">
        <f t="shared" si="29"/>
        <v>0</v>
      </c>
    </row>
    <row r="498" spans="1:8">
      <c r="A498" t="str">
        <f>OverallResults!A499</f>
        <v/>
      </c>
      <c r="E498" t="str">
        <f t="shared" si="30"/>
        <v/>
      </c>
      <c r="F498">
        <f t="shared" si="31"/>
        <v>0</v>
      </c>
      <c r="G498">
        <f t="shared" si="32"/>
        <v>0</v>
      </c>
      <c r="H498">
        <f t="shared" si="29"/>
        <v>0</v>
      </c>
    </row>
    <row r="499" spans="1:8">
      <c r="A499" t="str">
        <f>OverallResults!A500</f>
        <v/>
      </c>
      <c r="E499" t="str">
        <f t="shared" si="30"/>
        <v/>
      </c>
      <c r="F499">
        <f t="shared" si="31"/>
        <v>0</v>
      </c>
      <c r="G499">
        <f t="shared" si="32"/>
        <v>0</v>
      </c>
      <c r="H499">
        <f t="shared" si="29"/>
        <v>0</v>
      </c>
    </row>
    <row r="500" spans="1:8">
      <c r="A500" t="str">
        <f>OverallResults!A501</f>
        <v/>
      </c>
      <c r="E500" t="str">
        <f t="shared" si="30"/>
        <v/>
      </c>
      <c r="F500">
        <f t="shared" si="31"/>
        <v>0</v>
      </c>
      <c r="G500">
        <f t="shared" si="32"/>
        <v>0</v>
      </c>
      <c r="H500">
        <f t="shared" si="29"/>
        <v>0</v>
      </c>
    </row>
  </sheetData>
  <conditionalFormatting sqref="A261:B500 A2:A260">
    <cfRule type="uniqueValues" dxfId="193" priority="3"/>
  </conditionalFormatting>
  <conditionalFormatting sqref="C105:D500 C2:C104">
    <cfRule type="uniqueValues" dxfId="192" priority="1"/>
    <cfRule type="uniqueValues" dxfId="191" priority="2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 fitToPage="1"/>
  </sheetPr>
  <dimension ref="A1:X505"/>
  <sheetViews>
    <sheetView topLeftCell="A4" workbookViewId="0">
      <selection activeCell="A3" sqref="A3"/>
    </sheetView>
  </sheetViews>
  <sheetFormatPr defaultColWidth="9.140625" defaultRowHeight="12.75"/>
  <cols>
    <col min="1" max="1" width="24.28515625" style="64" customWidth="1"/>
    <col min="2" max="2" width="14.5703125" style="42" bestFit="1" customWidth="1"/>
    <col min="3" max="3" width="11.28515625" style="64" bestFit="1" customWidth="1"/>
    <col min="4" max="4" width="30" style="64" customWidth="1"/>
    <col min="5" max="5" width="7.7109375" style="65" bestFit="1" customWidth="1"/>
    <col min="6" max="6" width="22.5703125" style="42" customWidth="1"/>
    <col min="7" max="7" width="10" style="64" customWidth="1"/>
    <col min="8" max="8" width="20.5703125" style="64" bestFit="1" customWidth="1"/>
    <col min="9" max="9" width="4.140625" style="64" customWidth="1"/>
    <col min="10" max="10" width="18.85546875" style="63" customWidth="1"/>
    <col min="11" max="13" width="13.5703125" style="64" customWidth="1"/>
    <col min="14" max="14" width="13.7109375" style="64" customWidth="1"/>
    <col min="15" max="15" width="14.5703125" style="64" bestFit="1" customWidth="1"/>
    <col min="16" max="16" width="13.5703125" style="64" bestFit="1" customWidth="1"/>
    <col min="17" max="17" width="12" style="64" customWidth="1"/>
    <col min="18" max="18" width="14.85546875" style="63" customWidth="1"/>
    <col min="19" max="19" width="8" style="154" customWidth="1"/>
    <col min="20" max="20" width="11.7109375" style="154" bestFit="1" customWidth="1"/>
    <col min="21" max="21" width="15.28515625" style="9" customWidth="1"/>
    <col min="22" max="22" width="26.85546875" style="64" customWidth="1"/>
    <col min="23" max="23" width="9.140625" style="64"/>
    <col min="24" max="24" width="14.28515625" style="64" bestFit="1" customWidth="1"/>
    <col min="25" max="16384" width="9.140625" style="64"/>
  </cols>
  <sheetData>
    <row r="1" spans="1:22" s="51" customFormat="1" ht="24" customHeight="1">
      <c r="A1" s="40" t="str">
        <f>Helpers!A2</f>
        <v>Jonkershoek Enduro</v>
      </c>
      <c r="B1" s="31" t="str">
        <f>Helpers!B2</f>
        <v>25-09-22</v>
      </c>
      <c r="C1" s="227"/>
      <c r="D1" s="34" t="s">
        <v>103</v>
      </c>
      <c r="E1" s="35"/>
      <c r="F1" s="39" t="str">
        <f>INDEX($D$3:$D$187,MATCH("M",G$3:G$187,0))</f>
        <v>Johann Potgieter</v>
      </c>
      <c r="G1" s="40"/>
      <c r="H1" s="40" t="str">
        <f>INDEX($D$3:$D$187,MATCH("M",G$3:G$187,0))</f>
        <v>Johann Potgieter</v>
      </c>
      <c r="I1" s="31" t="s">
        <v>104</v>
      </c>
      <c r="J1" s="39" t="str">
        <f>INDEX($D$3:$D$187,MATCH("F",G$3:G$187,0))</f>
        <v>Frankie Du Toit</v>
      </c>
      <c r="K1" s="91"/>
      <c r="L1" s="91"/>
      <c r="M1" s="91"/>
      <c r="R1" s="61"/>
      <c r="S1" s="168"/>
      <c r="T1" s="168"/>
    </row>
    <row r="2" spans="1:22" s="173" customFormat="1" ht="99">
      <c r="A2" s="174" t="s">
        <v>72</v>
      </c>
      <c r="B2" s="174" t="s">
        <v>108</v>
      </c>
      <c r="C2" s="174" t="s">
        <v>118</v>
      </c>
      <c r="D2" s="174" t="s">
        <v>135</v>
      </c>
      <c r="E2" s="174" t="s">
        <v>630</v>
      </c>
      <c r="F2" s="174" t="s">
        <v>302</v>
      </c>
      <c r="G2" s="174" t="s">
        <v>23</v>
      </c>
      <c r="H2" s="174" t="s">
        <v>109</v>
      </c>
      <c r="I2" s="174" t="s">
        <v>110</v>
      </c>
      <c r="J2" s="174" t="s">
        <v>24</v>
      </c>
      <c r="K2" s="174" t="s">
        <v>25</v>
      </c>
      <c r="L2" s="174" t="s">
        <v>26</v>
      </c>
      <c r="M2" s="174" t="s">
        <v>27</v>
      </c>
      <c r="N2" s="174" t="s">
        <v>28</v>
      </c>
      <c r="O2" s="174" t="s">
        <v>605</v>
      </c>
      <c r="P2" s="174" t="s">
        <v>606</v>
      </c>
      <c r="Q2" s="174" t="s">
        <v>128</v>
      </c>
      <c r="R2" s="174" t="s">
        <v>32</v>
      </c>
      <c r="S2" s="174" t="s">
        <v>494</v>
      </c>
      <c r="T2" s="174" t="s">
        <v>117</v>
      </c>
      <c r="U2" s="174" t="s">
        <v>248</v>
      </c>
      <c r="V2" s="174" t="s">
        <v>492</v>
      </c>
    </row>
    <row r="3" spans="1:22" s="9" customFormat="1">
      <c r="A3" s="53">
        <f>IF(SortedDownload!A3 &lt; 1,"",SortedDownload!A3)</f>
        <v>250</v>
      </c>
      <c r="B3" s="55">
        <f>IF(V3&lt;&gt;"","DNF",COUNTIF($V$3:V3,V3))</f>
        <v>1</v>
      </c>
      <c r="C3" s="54">
        <f>IF(OR(B3="DNF",H3=""),"DNF",COUNTIF($H$3:H3,H3))</f>
        <v>1</v>
      </c>
      <c r="D3" s="90" t="str">
        <f>IFERROR(VLOOKUP($A3,EntryList!$A$3:$N$596,2,FALSE),"")</f>
        <v>Johann Potgieter</v>
      </c>
      <c r="E3" s="54">
        <f>IFERROR(VLOOKUP($A3,EntryList!$A$3:$V$596,19,FALSE),"")</f>
        <v>0</v>
      </c>
      <c r="F3" s="176">
        <f>IFERROR(VLOOKUP($A3,EntryList!$A$3:$V$596,18,FALSE),"")</f>
        <v>0</v>
      </c>
      <c r="G3" s="90" t="str">
        <f>IFERROR(VLOOKUP($A3,EntryList!$A$3:$N$596,6,FALSE),"")</f>
        <v>M</v>
      </c>
      <c r="H3" s="90" t="str">
        <f>IFERROR(VLOOKUP($A3,EntryList!$A$3:$N$596,7,FALSE),"")</f>
        <v>Master Men</v>
      </c>
      <c r="I3" s="54">
        <f>IFERROR(VLOOKUP($A3,SortedDownload!$A$3:$Z499,4,FALSE),"")</f>
        <v>5</v>
      </c>
      <c r="J3" s="59" t="str">
        <f>IFERROR(VLOOKUP($A3,SortedDownload!$A$3:$BB$499,23,FALSE),"")</f>
        <v>00:02:59.7 (1)</v>
      </c>
      <c r="K3" s="59" t="str">
        <f>IFERROR(VLOOKUP($A3,SortedDownload!$A$3:$BB$499,24,FALSE),"")</f>
        <v>00:03:30.2 (5)</v>
      </c>
      <c r="L3" s="59" t="str">
        <f>IFERROR(VLOOKUP($A3,SortedDownload!$A$3:$BB$499,25,FALSE),"")</f>
        <v>00:01:57.4 (6)</v>
      </c>
      <c r="M3" s="59" t="str">
        <f>IFERROR(VLOOKUP($A3,SortedDownload!$A$3:$BB$499,26,FALSE),"")</f>
        <v>00:03:42.8 (2)</v>
      </c>
      <c r="N3" s="59" t="str">
        <f>IFERROR(VLOOKUP($A3,SortedDownload!$A$3:$BB$499,27,FALSE),"")</f>
        <v>00:04:40.0 (1)</v>
      </c>
      <c r="O3" s="59" t="str">
        <f>IFERROR(VLOOKUP($A3,SortedDownload!$A$3:$BB$499,28,FALSE),"")</f>
        <v>DNS/DNF ()</v>
      </c>
      <c r="P3" s="59" t="str">
        <f>IFERROR(VLOOKUP($A3,SortedDownload!$A$3:$BB$499,29,FALSE),"")</f>
        <v>DNS/DNF ()</v>
      </c>
      <c r="Q3" s="59" t="str">
        <f>IFERROR(VLOOKUP($A3,SortedDownload!$A$3:$BB$499,30,FALSE),"")</f>
        <v>DNS/DNF ()</v>
      </c>
      <c r="R3" s="62" t="str">
        <f>IFERROR(TEXT(VLOOKUP($A3,SortedDownload!$A$3:$Z$499,14,FALSE),"[hh]:mm:ss.000"),"")</f>
        <v>00:16:50.021</v>
      </c>
      <c r="S3" s="83" t="str">
        <f>IFERROR(TEXT(($R3-#REF!),"mm:ss"),"N/A")</f>
        <v>N/A</v>
      </c>
      <c r="T3" s="83" t="e">
        <f>IF($I3-#REF!&lt;0,"N/A",IFERROR(TEXT(($R3-#REF!),"mm:ss"),"N/A"))</f>
        <v>#REF!</v>
      </c>
      <c r="U3" s="9" t="str">
        <f>IF($A3="","",IF(COUNTIF($A$3:$A$500,$A3)&gt;1,"Duplicate",""))</f>
        <v/>
      </c>
      <c r="V3" s="20" t="str">
        <f>IFERROR(IF(VLOOKUP(H3,AgeCategories!$D$3:$J$32,7,FALSE)=I3,"","DNF"),"")</f>
        <v/>
      </c>
    </row>
    <row r="4" spans="1:22" s="9" customFormat="1">
      <c r="A4" s="53">
        <f>IF(SortedDownload!A4 &lt; 1,"",SortedDownload!A4)</f>
        <v>192</v>
      </c>
      <c r="B4" s="55">
        <f>IF(V4&lt;&gt;"","DNF",COUNTIF($V$3:V4,V4))</f>
        <v>2</v>
      </c>
      <c r="C4" s="54">
        <f>IF(OR(B4="DNF",H4=""),"DNF",COUNTIF($H$3:H4,H4))</f>
        <v>1</v>
      </c>
      <c r="D4" s="90" t="str">
        <f>IFERROR(VLOOKUP($A4,EntryList!$A$3:$N$596,2,FALSE),"")</f>
        <v>Duran Van Eeden</v>
      </c>
      <c r="E4" s="54">
        <f>IFERROR(VLOOKUP($A4,EntryList!$A$3:$V$596,19,FALSE),"")</f>
        <v>0</v>
      </c>
      <c r="F4" s="176">
        <f>IFERROR(VLOOKUP($A4,EntryList!$A$3:$V$596,18,FALSE),"")</f>
        <v>0</v>
      </c>
      <c r="G4" s="90" t="str">
        <f>IFERROR(VLOOKUP($A4,EntryList!$A$3:$N$596,6,FALSE),"")</f>
        <v>M</v>
      </c>
      <c r="H4" s="90" t="str">
        <f>IFERROR(VLOOKUP($A4,EntryList!$A$3:$N$596,7,FALSE),"")</f>
        <v>E-Bike M</v>
      </c>
      <c r="I4" s="54">
        <f>IFERROR(VLOOKUP($A4,SortedDownload!$A$3:$Z500,4,FALSE),"")</f>
        <v>5</v>
      </c>
      <c r="J4" s="59" t="str">
        <f>IFERROR(VLOOKUP($A4,SortedDownload!$A$3:$BB$499,23,FALSE),"")</f>
        <v>00:03:03.7 (3)</v>
      </c>
      <c r="K4" s="59" t="str">
        <f>IFERROR(VLOOKUP($A4,SortedDownload!$A$3:$BB$499,24,FALSE),"")</f>
        <v>00:03:27.8 (2)</v>
      </c>
      <c r="L4" s="59" t="str">
        <f>IFERROR(VLOOKUP($A4,SortedDownload!$A$3:$BB$499,25,FALSE),"")</f>
        <v>00:01:51.6 (2)</v>
      </c>
      <c r="M4" s="59" t="str">
        <f>IFERROR(VLOOKUP($A4,SortedDownload!$A$3:$BB$499,26,FALSE),"")</f>
        <v>00:03:50.1 (6)</v>
      </c>
      <c r="N4" s="59" t="str">
        <f>IFERROR(VLOOKUP($A4,SortedDownload!$A$3:$BB$499,27,FALSE),"")</f>
        <v>00:04:45.2 (4)</v>
      </c>
      <c r="O4" s="59" t="str">
        <f>IFERROR(VLOOKUP($A4,SortedDownload!$A$3:$BB$499,28,FALSE),"")</f>
        <v>DNS/DNF ()</v>
      </c>
      <c r="P4" s="59" t="str">
        <f>IFERROR(VLOOKUP($A4,SortedDownload!$A$3:$BB$499,29,FALSE),"")</f>
        <v>DNS/DNF ()</v>
      </c>
      <c r="Q4" s="59" t="str">
        <f>IFERROR(VLOOKUP($A4,SortedDownload!$A$3:$BB$499,30,FALSE),"")</f>
        <v>DNS/DNF ()</v>
      </c>
      <c r="R4" s="62" t="str">
        <f>IFERROR(TEXT(VLOOKUP($A4,SortedDownload!$A$3:$Z$499,14,FALSE),"[hh]:mm:ss.000"),"")</f>
        <v>00:16:58.413</v>
      </c>
      <c r="S4" s="83" t="str">
        <f>IFERROR(TEXT(($R4-$R3),"mm:ss"),"N/A")</f>
        <v>00:08</v>
      </c>
      <c r="T4" s="83" t="str">
        <f t="shared" ref="T4:T67" si="0">IF($I4-$I3&lt;0,"N/A",IFERROR(TEXT(($R4-$R$3),"mm:ss"),"N/A"))</f>
        <v>00:08</v>
      </c>
      <c r="U4" s="9" t="str">
        <f t="shared" ref="U4:U67" si="1">IF($A4="","",IF(COUNTIF($A$3:$A$500,$A4)&gt;1,"Duplicate",""))</f>
        <v/>
      </c>
      <c r="V4" s="20" t="str">
        <f>IFERROR(IF(VLOOKUP(H4,AgeCategories!$D$3:$J$32,7,FALSE)=I4,"","DNF"),"")</f>
        <v/>
      </c>
    </row>
    <row r="5" spans="1:22" s="9" customFormat="1">
      <c r="A5" s="53">
        <f>IF(SortedDownload!A5 &lt; 1,"",SortedDownload!A5)</f>
        <v>36</v>
      </c>
      <c r="B5" s="55">
        <f>IF(V5&lt;&gt;"","DNF",COUNTIF($V$3:V5,V5))</f>
        <v>3</v>
      </c>
      <c r="C5" s="54">
        <f>IF(OR(B5="DNF",H5=""),"DNF",COUNTIF($H$3:H5,H5))</f>
        <v>1</v>
      </c>
      <c r="D5" s="90" t="str">
        <f>IFERROR(VLOOKUP($A5,EntryList!$A$3:$N$596,2,FALSE),"")</f>
        <v>Philip Van Schalkwyk</v>
      </c>
      <c r="E5" s="54" t="str">
        <f>IFERROR(VLOOKUP($A5,EntryList!$A$3:$V$596,19,FALSE),"")</f>
        <v/>
      </c>
      <c r="F5" s="176" t="str">
        <f>IFERROR(VLOOKUP($A5,EntryList!$A$3:$V$596,18,FALSE),"")</f>
        <v/>
      </c>
      <c r="G5" s="90" t="str">
        <f>IFERROR(VLOOKUP($A5,EntryList!$A$3:$N$596,6,FALSE),"")</f>
        <v>M</v>
      </c>
      <c r="H5" s="90" t="str">
        <f>IFERROR(VLOOKUP($A5,EntryList!$A$3:$N$596,7,FALSE),"")</f>
        <v>Junior Men</v>
      </c>
      <c r="I5" s="54">
        <f>IFERROR(VLOOKUP($A5,SortedDownload!$A$3:$Z501,4,FALSE),"")</f>
        <v>5</v>
      </c>
      <c r="J5" s="59" t="str">
        <f>IFERROR(VLOOKUP($A5,SortedDownload!$A$3:$BB$499,23,FALSE),"")</f>
        <v>00:03:12.8 (6)</v>
      </c>
      <c r="K5" s="59" t="str">
        <f>IFERROR(VLOOKUP($A5,SortedDownload!$A$3:$BB$499,24,FALSE),"")</f>
        <v>00:03:29.9 (4)</v>
      </c>
      <c r="L5" s="59" t="str">
        <f>IFERROR(VLOOKUP($A5,SortedDownload!$A$3:$BB$499,25,FALSE),"")</f>
        <v>00:01:50.4 (1)</v>
      </c>
      <c r="M5" s="59" t="str">
        <f>IFERROR(VLOOKUP($A5,SortedDownload!$A$3:$BB$499,26,FALSE),"")</f>
        <v>00:03:49.2 (5)</v>
      </c>
      <c r="N5" s="59" t="str">
        <f>IFERROR(VLOOKUP($A5,SortedDownload!$A$3:$BB$499,27,FALSE),"")</f>
        <v>00:04:49.4 (7)</v>
      </c>
      <c r="O5" s="59" t="str">
        <f>IFERROR(VLOOKUP($A5,SortedDownload!$A$3:$BB$499,28,FALSE),"")</f>
        <v>DNS/DNF ()</v>
      </c>
      <c r="P5" s="59" t="str">
        <f>IFERROR(VLOOKUP($A5,SortedDownload!$A$3:$BB$499,29,FALSE),"")</f>
        <v>DNS/DNF ()</v>
      </c>
      <c r="Q5" s="59" t="str">
        <f>IFERROR(VLOOKUP($A5,SortedDownload!$A$3:$BB$499,30,FALSE),"")</f>
        <v>DNS/DNF ()</v>
      </c>
      <c r="R5" s="62" t="str">
        <f>IFERROR(TEXT(VLOOKUP($A5,SortedDownload!$A$3:$Z$499,14,FALSE),"[hh]:mm:ss.000"),"")</f>
        <v>00:17:11.727</v>
      </c>
      <c r="S5" s="83" t="str">
        <f t="shared" ref="S5:S68" si="2">IFERROR(TEXT(($R5-$R4),"mm:ss"),"N/A")</f>
        <v>00:13</v>
      </c>
      <c r="T5" s="83" t="str">
        <f t="shared" si="0"/>
        <v>00:22</v>
      </c>
      <c r="U5" s="9" t="str">
        <f t="shared" si="1"/>
        <v/>
      </c>
      <c r="V5" s="20" t="str">
        <f>IFERROR(IF(VLOOKUP(H5,AgeCategories!$D$3:$J$32,7,FALSE)=I5,"","DNF"),"")</f>
        <v/>
      </c>
    </row>
    <row r="6" spans="1:22" s="9" customFormat="1">
      <c r="A6" s="53">
        <f>IF(SortedDownload!A6 &lt; 1,"",SortedDownload!A6)</f>
        <v>294</v>
      </c>
      <c r="B6" s="55">
        <f>IF(V6&lt;&gt;"","DNF",COUNTIF($V$3:V6,V6))</f>
        <v>4</v>
      </c>
      <c r="C6" s="54">
        <f>IF(OR(B6="DNF",H6=""),"DNF",COUNTIF($H$3:H6,H6))</f>
        <v>1</v>
      </c>
      <c r="D6" s="90" t="str">
        <f>IFERROR(VLOOKUP($A6,EntryList!$A$3:$N$596,2,FALSE),"")</f>
        <v>Gert Heyns</v>
      </c>
      <c r="E6" s="54">
        <f>IFERROR(VLOOKUP($A6,EntryList!$A$3:$V$596,19,FALSE),"")</f>
        <v>0</v>
      </c>
      <c r="F6" s="176">
        <f>IFERROR(VLOOKUP($A6,EntryList!$A$3:$V$596,18,FALSE),"")</f>
        <v>0</v>
      </c>
      <c r="G6" s="90" t="str">
        <f>IFERROR(VLOOKUP($A6,EntryList!$A$3:$N$596,6,FALSE),"")</f>
        <v>M</v>
      </c>
      <c r="H6" s="90" t="str">
        <f>IFERROR(VLOOKUP($A6,EntryList!$A$3:$N$596,7,FALSE),"")</f>
        <v>Elite Men</v>
      </c>
      <c r="I6" s="54">
        <f>IFERROR(VLOOKUP($A6,SortedDownload!$A$3:$Z502,4,FALSE),"")</f>
        <v>5</v>
      </c>
      <c r="J6" s="59" t="str">
        <f>IFERROR(VLOOKUP($A6,SortedDownload!$A$3:$BB$499,23,FALSE),"")</f>
        <v>00:03:17.4 (11)</v>
      </c>
      <c r="K6" s="59" t="str">
        <f>IFERROR(VLOOKUP($A6,SortedDownload!$A$3:$BB$499,24,FALSE),"")</f>
        <v>00:03:31.0 (7)</v>
      </c>
      <c r="L6" s="59" t="str">
        <f>IFERROR(VLOOKUP($A6,SortedDownload!$A$3:$BB$499,25,FALSE),"")</f>
        <v>00:01:59.7 (14)</v>
      </c>
      <c r="M6" s="59" t="str">
        <f>IFERROR(VLOOKUP($A6,SortedDownload!$A$3:$BB$499,26,FALSE),"")</f>
        <v>00:03:49.1 (4)</v>
      </c>
      <c r="N6" s="59" t="str">
        <f>IFERROR(VLOOKUP($A6,SortedDownload!$A$3:$BB$499,27,FALSE),"")</f>
        <v>00:04:40.2 (2)</v>
      </c>
      <c r="O6" s="59" t="str">
        <f>IFERROR(VLOOKUP($A6,SortedDownload!$A$3:$BB$499,28,FALSE),"")</f>
        <v>DNS/DNF ()</v>
      </c>
      <c r="P6" s="59" t="str">
        <f>IFERROR(VLOOKUP($A6,SortedDownload!$A$3:$BB$499,29,FALSE),"")</f>
        <v>DNS/DNF ()</v>
      </c>
      <c r="Q6" s="59" t="str">
        <f>IFERROR(VLOOKUP($A6,SortedDownload!$A$3:$BB$499,30,FALSE),"")</f>
        <v>DNS/DNF ()</v>
      </c>
      <c r="R6" s="62" t="str">
        <f>IFERROR(TEXT(VLOOKUP($A6,SortedDownload!$A$3:$Z$499,14,FALSE),"[hh]:mm:ss.000"),"")</f>
        <v>00:17:17.441</v>
      </c>
      <c r="S6" s="83" t="str">
        <f t="shared" si="2"/>
        <v>00:06</v>
      </c>
      <c r="T6" s="83" t="str">
        <f t="shared" si="0"/>
        <v>00:27</v>
      </c>
      <c r="U6" s="9" t="str">
        <f t="shared" si="1"/>
        <v/>
      </c>
      <c r="V6" s="20" t="str">
        <f>IFERROR(IF(VLOOKUP(H6,AgeCategories!$D$3:$J$32,7,FALSE)=I6,"","DNF"),"")</f>
        <v/>
      </c>
    </row>
    <row r="7" spans="1:22" s="9" customFormat="1">
      <c r="A7" s="53">
        <f>IF(SortedDownload!A7 &lt; 1,"",SortedDownload!A7)</f>
        <v>225</v>
      </c>
      <c r="B7" s="55">
        <f>IF(V7&lt;&gt;"","DNF",COUNTIF($V$3:V7,V7))</f>
        <v>5</v>
      </c>
      <c r="C7" s="54">
        <f>IF(OR(B7="DNF",H7=""),"DNF",COUNTIF($H$3:H7,H7))</f>
        <v>2</v>
      </c>
      <c r="D7" s="90" t="str">
        <f>IFERROR(VLOOKUP($A7,EntryList!$A$3:$N$596,2,FALSE),"")</f>
        <v>Lance Morris</v>
      </c>
      <c r="E7" s="54">
        <f>IFERROR(VLOOKUP($A7,EntryList!$A$3:$V$596,19,FALSE),"")</f>
        <v>0</v>
      </c>
      <c r="F7" s="176">
        <f>IFERROR(VLOOKUP($A7,EntryList!$A$3:$V$596,18,FALSE),"")</f>
        <v>0</v>
      </c>
      <c r="G7" s="90" t="str">
        <f>IFERROR(VLOOKUP($A7,EntryList!$A$3:$N$596,6,FALSE),"")</f>
        <v>M</v>
      </c>
      <c r="H7" s="90" t="str">
        <f>IFERROR(VLOOKUP($A7,EntryList!$A$3:$N$596,7,FALSE),"")</f>
        <v>Master Men</v>
      </c>
      <c r="I7" s="54">
        <f>IFERROR(VLOOKUP($A7,SortedDownload!$A$3:$Z503,4,FALSE),"")</f>
        <v>5</v>
      </c>
      <c r="J7" s="59" t="str">
        <f>IFERROR(VLOOKUP($A7,SortedDownload!$A$3:$BB$499,23,FALSE),"")</f>
        <v>00:03:12.6 (5)</v>
      </c>
      <c r="K7" s="59" t="str">
        <f>IFERROR(VLOOKUP($A7,SortedDownload!$A$3:$BB$499,24,FALSE),"")</f>
        <v>00:03:29.7 (3)</v>
      </c>
      <c r="L7" s="59" t="str">
        <f>IFERROR(VLOOKUP($A7,SortedDownload!$A$3:$BB$499,25,FALSE),"")</f>
        <v>00:01:59.0 (12)</v>
      </c>
      <c r="M7" s="59" t="str">
        <f>IFERROR(VLOOKUP($A7,SortedDownload!$A$3:$BB$499,26,FALSE),"")</f>
        <v>00:03:52.0 (10)</v>
      </c>
      <c r="N7" s="59" t="str">
        <f>IFERROR(VLOOKUP($A7,SortedDownload!$A$3:$BB$499,27,FALSE),"")</f>
        <v>00:04:52.1 (9)</v>
      </c>
      <c r="O7" s="59" t="str">
        <f>IFERROR(VLOOKUP($A7,SortedDownload!$A$3:$BB$499,28,FALSE),"")</f>
        <v>DNS/DNF ()</v>
      </c>
      <c r="P7" s="59" t="str">
        <f>IFERROR(VLOOKUP($A7,SortedDownload!$A$3:$BB$499,29,FALSE),"")</f>
        <v>DNS/DNF ()</v>
      </c>
      <c r="Q7" s="59" t="str">
        <f>IFERROR(VLOOKUP($A7,SortedDownload!$A$3:$BB$499,30,FALSE),"")</f>
        <v>DNS/DNF ()</v>
      </c>
      <c r="R7" s="62" t="str">
        <f>IFERROR(TEXT(VLOOKUP($A7,SortedDownload!$A$3:$Z$499,14,FALSE),"[hh]:mm:ss.000"),"")</f>
        <v>00:17:25.411</v>
      </c>
      <c r="S7" s="83" t="str">
        <f t="shared" si="2"/>
        <v>00:08</v>
      </c>
      <c r="T7" s="83" t="str">
        <f t="shared" si="0"/>
        <v>00:35</v>
      </c>
      <c r="U7" s="9" t="str">
        <f t="shared" si="1"/>
        <v/>
      </c>
      <c r="V7" s="20" t="str">
        <f>IFERROR(IF(VLOOKUP(H7,AgeCategories!$D$3:$J$32,7,FALSE)=I7,"","DNF"),"")</f>
        <v/>
      </c>
    </row>
    <row r="8" spans="1:22" s="9" customFormat="1">
      <c r="A8" s="53">
        <f>IF(SortedDownload!A8 &lt; 1,"",SortedDownload!A8)</f>
        <v>200</v>
      </c>
      <c r="B8" s="55">
        <f>IF(V8&lt;&gt;"","DNF",COUNTIF($V$3:V8,V8))</f>
        <v>6</v>
      </c>
      <c r="C8" s="54">
        <f>IF(OR(B8="DNF",H8=""),"DNF",COUNTIF($H$3:H8,H8))</f>
        <v>2</v>
      </c>
      <c r="D8" s="90" t="str">
        <f>IFERROR(VLOOKUP($A8,EntryList!$A$3:$N$596,2,FALSE),"")</f>
        <v>Matt Lombardi</v>
      </c>
      <c r="E8" s="54">
        <f>IFERROR(VLOOKUP($A8,EntryList!$A$3:$V$596,19,FALSE),"")</f>
        <v>0</v>
      </c>
      <c r="F8" s="176">
        <f>IFERROR(VLOOKUP($A8,EntryList!$A$3:$V$596,18,FALSE),"")</f>
        <v>0</v>
      </c>
      <c r="G8" s="90" t="str">
        <f>IFERROR(VLOOKUP($A8,EntryList!$A$3:$N$596,6,FALSE),"")</f>
        <v>M</v>
      </c>
      <c r="H8" s="90" t="str">
        <f>IFERROR(VLOOKUP($A8,EntryList!$A$3:$N$596,7,FALSE),"")</f>
        <v>Elite Men</v>
      </c>
      <c r="I8" s="54">
        <f>IFERROR(VLOOKUP($A8,SortedDownload!$A$3:$Z504,4,FALSE),"")</f>
        <v>5</v>
      </c>
      <c r="J8" s="59" t="str">
        <f>IFERROR(VLOOKUP($A8,SortedDownload!$A$3:$BB$499,23,FALSE),"")</f>
        <v>00:03:01.1 (2)</v>
      </c>
      <c r="K8" s="59" t="str">
        <f>IFERROR(VLOOKUP($A8,SortedDownload!$A$3:$BB$499,24,FALSE),"")</f>
        <v>00:03:27.0 (1)</v>
      </c>
      <c r="L8" s="59" t="str">
        <f>IFERROR(VLOOKUP($A8,SortedDownload!$A$3:$BB$499,25,FALSE),"")</f>
        <v>00:01:52.2 (3)</v>
      </c>
      <c r="M8" s="59" t="str">
        <f>IFERROR(VLOOKUP($A8,SortedDownload!$A$3:$BB$499,26,FALSE),"")</f>
        <v>00:03:39.6 (1)</v>
      </c>
      <c r="N8" s="59" t="str">
        <f>IFERROR(VLOOKUP($A8,SortedDownload!$A$3:$BB$499,27,FALSE),"")</f>
        <v>00:05:26.7 (61)</v>
      </c>
      <c r="O8" s="59" t="str">
        <f>IFERROR(VLOOKUP($A8,SortedDownload!$A$3:$BB$499,28,FALSE),"")</f>
        <v>DNS/DNF ()</v>
      </c>
      <c r="P8" s="59" t="str">
        <f>IFERROR(VLOOKUP($A8,SortedDownload!$A$3:$BB$499,29,FALSE),"")</f>
        <v>DNS/DNF ()</v>
      </c>
      <c r="Q8" s="59" t="str">
        <f>IFERROR(VLOOKUP($A8,SortedDownload!$A$3:$BB$499,30,FALSE),"")</f>
        <v>DNS/DNF ()</v>
      </c>
      <c r="R8" s="62" t="str">
        <f>IFERROR(TEXT(VLOOKUP($A8,SortedDownload!$A$3:$Z$499,14,FALSE),"[hh]:mm:ss.000"),"")</f>
        <v>00:17:26.644</v>
      </c>
      <c r="S8" s="83" t="str">
        <f t="shared" si="2"/>
        <v>00:01</v>
      </c>
      <c r="T8" s="83" t="str">
        <f t="shared" si="0"/>
        <v>00:37</v>
      </c>
      <c r="U8" s="9" t="str">
        <f t="shared" si="1"/>
        <v/>
      </c>
      <c r="V8" s="20" t="str">
        <f>IFERROR(IF(VLOOKUP(H8,AgeCategories!$D$3:$J$32,7,FALSE)=I8,"","DNF"),"")</f>
        <v/>
      </c>
    </row>
    <row r="9" spans="1:22" s="9" customFormat="1">
      <c r="A9" s="53">
        <f>IF(SortedDownload!A9 &lt; 1,"",SortedDownload!A9)</f>
        <v>168</v>
      </c>
      <c r="B9" s="55">
        <f>IF(V9&lt;&gt;"","DNF",COUNTIF($V$3:V9,V9))</f>
        <v>7</v>
      </c>
      <c r="C9" s="54">
        <f>IF(OR(B9="DNF",H9=""),"DNF",COUNTIF($H$3:H9,H9))</f>
        <v>2</v>
      </c>
      <c r="D9" s="90" t="str">
        <f>IFERROR(VLOOKUP($A9,EntryList!$A$3:$N$596,2,FALSE),"")</f>
        <v>Gary Barnard</v>
      </c>
      <c r="E9" s="54">
        <f>IFERROR(VLOOKUP($A9,EntryList!$A$3:$V$596,19,FALSE),"")</f>
        <v>0</v>
      </c>
      <c r="F9" s="176">
        <f>IFERROR(VLOOKUP($A9,EntryList!$A$3:$V$596,18,FALSE),"")</f>
        <v>0</v>
      </c>
      <c r="G9" s="90" t="str">
        <f>IFERROR(VLOOKUP($A9,EntryList!$A$3:$N$596,6,FALSE),"")</f>
        <v>M</v>
      </c>
      <c r="H9" s="90" t="str">
        <f>IFERROR(VLOOKUP($A9,EntryList!$A$3:$N$596,7,FALSE),"")</f>
        <v>E-Bike M</v>
      </c>
      <c r="I9" s="54">
        <f>IFERROR(VLOOKUP($A9,SortedDownload!$A$3:$Z505,4,FALSE),"")</f>
        <v>5</v>
      </c>
      <c r="J9" s="59" t="str">
        <f>IFERROR(VLOOKUP($A9,SortedDownload!$A$3:$BB$499,23,FALSE),"")</f>
        <v>00:03:11.4 (4)</v>
      </c>
      <c r="K9" s="59" t="str">
        <f>IFERROR(VLOOKUP($A9,SortedDownload!$A$3:$BB$499,24,FALSE),"")</f>
        <v>00:03:30.2 (6)</v>
      </c>
      <c r="L9" s="59" t="str">
        <f>IFERROR(VLOOKUP($A9,SortedDownload!$A$3:$BB$499,25,FALSE),"")</f>
        <v>00:02:03.6 (22)</v>
      </c>
      <c r="M9" s="59" t="str">
        <f>IFERROR(VLOOKUP($A9,SortedDownload!$A$3:$BB$499,26,FALSE),"")</f>
        <v>00:03:50.7 (7)</v>
      </c>
      <c r="N9" s="59" t="str">
        <f>IFERROR(VLOOKUP($A9,SortedDownload!$A$3:$BB$499,27,FALSE),"")</f>
        <v>00:04:52.7 (10)</v>
      </c>
      <c r="O9" s="59" t="str">
        <f>IFERROR(VLOOKUP($A9,SortedDownload!$A$3:$BB$499,28,FALSE),"")</f>
        <v>DNS/DNF ()</v>
      </c>
      <c r="P9" s="59" t="str">
        <f>IFERROR(VLOOKUP($A9,SortedDownload!$A$3:$BB$499,29,FALSE),"")</f>
        <v>DNS/DNF ()</v>
      </c>
      <c r="Q9" s="59" t="str">
        <f>IFERROR(VLOOKUP($A9,SortedDownload!$A$3:$BB$499,30,FALSE),"")</f>
        <v>DNS/DNF ()</v>
      </c>
      <c r="R9" s="62" t="str">
        <f>IFERROR(TEXT(VLOOKUP($A9,SortedDownload!$A$3:$Z$499,14,FALSE),"[hh]:mm:ss.000"),"")</f>
        <v>00:17:28.605</v>
      </c>
      <c r="S9" s="83" t="str">
        <f t="shared" si="2"/>
        <v>00:02</v>
      </c>
      <c r="T9" s="83" t="str">
        <f t="shared" si="0"/>
        <v>00:39</v>
      </c>
      <c r="U9" s="9" t="str">
        <f t="shared" si="1"/>
        <v/>
      </c>
      <c r="V9" s="20" t="str">
        <f>IFERROR(IF(VLOOKUP(H9,AgeCategories!$D$3:$J$32,7,FALSE)=I9,"","DNF"),"")</f>
        <v/>
      </c>
    </row>
    <row r="10" spans="1:22" s="9" customFormat="1">
      <c r="A10" s="53">
        <f>IF(SortedDownload!A10 &lt; 1,"",SortedDownload!A10)</f>
        <v>246</v>
      </c>
      <c r="B10" s="55">
        <f>IF(V10&lt;&gt;"","DNF",COUNTIF($V$3:V10,V10))</f>
        <v>8</v>
      </c>
      <c r="C10" s="54">
        <f>IF(OR(B10="DNF",H10=""),"DNF",COUNTIF($H$3:H10,H10))</f>
        <v>3</v>
      </c>
      <c r="D10" s="90" t="str">
        <f>IFERROR(VLOOKUP($A10,EntryList!$A$3:$N$596,2,FALSE),"")</f>
        <v>Michard Meets</v>
      </c>
      <c r="E10" s="54">
        <f>IFERROR(VLOOKUP($A10,EntryList!$A$3:$V$596,19,FALSE),"")</f>
        <v>0</v>
      </c>
      <c r="F10" s="176">
        <f>IFERROR(VLOOKUP($A10,EntryList!$A$3:$V$596,18,FALSE),"")</f>
        <v>0</v>
      </c>
      <c r="G10" s="90" t="str">
        <f>IFERROR(VLOOKUP($A10,EntryList!$A$3:$N$596,6,FALSE),"")</f>
        <v>M</v>
      </c>
      <c r="H10" s="90" t="str">
        <f>IFERROR(VLOOKUP($A10,EntryList!$A$3:$N$596,7,FALSE),"")</f>
        <v>Elite Men</v>
      </c>
      <c r="I10" s="54">
        <f>IFERROR(VLOOKUP($A10,SortedDownload!$A$3:$Z506,4,FALSE),"")</f>
        <v>5</v>
      </c>
      <c r="J10" s="59" t="str">
        <f>IFERROR(VLOOKUP($A10,SortedDownload!$A$3:$BB$499,23,FALSE),"")</f>
        <v>00:03:14.7 (9)</v>
      </c>
      <c r="K10" s="59" t="str">
        <f>IFERROR(VLOOKUP($A10,SortedDownload!$A$3:$BB$499,24,FALSE),"")</f>
        <v>00:03:37.5 (16)</v>
      </c>
      <c r="L10" s="59" t="str">
        <f>IFERROR(VLOOKUP($A10,SortedDownload!$A$3:$BB$499,25,FALSE),"")</f>
        <v>00:01:59.0 (11)</v>
      </c>
      <c r="M10" s="59" t="str">
        <f>IFERROR(VLOOKUP($A10,SortedDownload!$A$3:$BB$499,26,FALSE),"")</f>
        <v>00:03:51.4 (8)</v>
      </c>
      <c r="N10" s="59" t="str">
        <f>IFERROR(VLOOKUP($A10,SortedDownload!$A$3:$BB$499,27,FALSE),"")</f>
        <v>00:04:48.4 (5)</v>
      </c>
      <c r="O10" s="59" t="str">
        <f>IFERROR(VLOOKUP($A10,SortedDownload!$A$3:$BB$499,28,FALSE),"")</f>
        <v>DNS/DNF ()</v>
      </c>
      <c r="P10" s="59" t="str">
        <f>IFERROR(VLOOKUP($A10,SortedDownload!$A$3:$BB$499,29,FALSE),"")</f>
        <v>DNS/DNF ()</v>
      </c>
      <c r="Q10" s="59" t="str">
        <f>IFERROR(VLOOKUP($A10,SortedDownload!$A$3:$BB$499,30,FALSE),"")</f>
        <v>DNS/DNF ()</v>
      </c>
      <c r="R10" s="62" t="str">
        <f>IFERROR(TEXT(VLOOKUP($A10,SortedDownload!$A$3:$Z$499,14,FALSE),"[hh]:mm:ss.000"),"")</f>
        <v>00:17:31.052</v>
      </c>
      <c r="S10" s="83" t="str">
        <f t="shared" si="2"/>
        <v>00:02</v>
      </c>
      <c r="T10" s="83" t="str">
        <f t="shared" si="0"/>
        <v>00:41</v>
      </c>
      <c r="U10" s="9" t="str">
        <f t="shared" si="1"/>
        <v/>
      </c>
      <c r="V10" s="20" t="str">
        <f>IFERROR(IF(VLOOKUP(H10,AgeCategories!$D$3:$J$32,7,FALSE)=I10,"","DNF"),"")</f>
        <v/>
      </c>
    </row>
    <row r="11" spans="1:22" s="9" customFormat="1">
      <c r="A11" s="53">
        <f>IF(SortedDownload!A11 &lt; 1,"",SortedDownload!A11)</f>
        <v>193</v>
      </c>
      <c r="B11" s="55">
        <f>IF(V11&lt;&gt;"","DNF",COUNTIF($V$3:V11,V11))</f>
        <v>9</v>
      </c>
      <c r="C11" s="54">
        <f>IF(OR(B11="DNF",H11=""),"DNF",COUNTIF($H$3:H11,H11))</f>
        <v>3</v>
      </c>
      <c r="D11" s="90" t="str">
        <f>IFERROR(VLOOKUP($A11,EntryList!$A$3:$N$596,2,FALSE),"")</f>
        <v>Justin Novella</v>
      </c>
      <c r="E11" s="54">
        <f>IFERROR(VLOOKUP($A11,EntryList!$A$3:$V$596,19,FALSE),"")</f>
        <v>0</v>
      </c>
      <c r="F11" s="176">
        <f>IFERROR(VLOOKUP($A11,EntryList!$A$3:$V$596,18,FALSE),"")</f>
        <v>0</v>
      </c>
      <c r="G11" s="90" t="str">
        <f>IFERROR(VLOOKUP($A11,EntryList!$A$3:$N$596,6,FALSE),"")</f>
        <v>M</v>
      </c>
      <c r="H11" s="90" t="str">
        <f>IFERROR(VLOOKUP($A11,EntryList!$A$3:$N$596,7,FALSE),"")</f>
        <v>E-Bike M</v>
      </c>
      <c r="I11" s="54">
        <f>IFERROR(VLOOKUP($A11,SortedDownload!$A$3:$Z507,4,FALSE),"")</f>
        <v>5</v>
      </c>
      <c r="J11" s="59" t="str">
        <f>IFERROR(VLOOKUP($A11,SortedDownload!$A$3:$BB$499,23,FALSE),"")</f>
        <v>00:03:20.0 (15)</v>
      </c>
      <c r="K11" s="59" t="str">
        <f>IFERROR(VLOOKUP($A11,SortedDownload!$A$3:$BB$499,24,FALSE),"")</f>
        <v>00:03:35.7 (13)</v>
      </c>
      <c r="L11" s="59" t="str">
        <f>IFERROR(VLOOKUP($A11,SortedDownload!$A$3:$BB$499,25,FALSE),"")</f>
        <v>00:01:55.7 (4)</v>
      </c>
      <c r="M11" s="59" t="str">
        <f>IFERROR(VLOOKUP($A11,SortedDownload!$A$3:$BB$499,26,FALSE),"")</f>
        <v>00:03:51.9 (9)</v>
      </c>
      <c r="N11" s="59" t="str">
        <f>IFERROR(VLOOKUP($A11,SortedDownload!$A$3:$BB$499,27,FALSE),"")</f>
        <v>00:04:49.2 (6)</v>
      </c>
      <c r="O11" s="59" t="str">
        <f>IFERROR(VLOOKUP($A11,SortedDownload!$A$3:$BB$499,28,FALSE),"")</f>
        <v>DNS/DNF ()</v>
      </c>
      <c r="P11" s="59" t="str">
        <f>IFERROR(VLOOKUP($A11,SortedDownload!$A$3:$BB$499,29,FALSE),"")</f>
        <v>DNS/DNF ()</v>
      </c>
      <c r="Q11" s="59" t="str">
        <f>IFERROR(VLOOKUP($A11,SortedDownload!$A$3:$BB$499,30,FALSE),"")</f>
        <v>DNS/DNF ()</v>
      </c>
      <c r="R11" s="62" t="str">
        <f>IFERROR(TEXT(VLOOKUP($A11,SortedDownload!$A$3:$Z$499,14,FALSE),"[hh]:mm:ss.000"),"")</f>
        <v>00:17:32.653</v>
      </c>
      <c r="S11" s="83" t="str">
        <f t="shared" si="2"/>
        <v>00:02</v>
      </c>
      <c r="T11" s="83" t="str">
        <f t="shared" si="0"/>
        <v>00:43</v>
      </c>
      <c r="U11" s="9" t="str">
        <f t="shared" si="1"/>
        <v/>
      </c>
      <c r="V11" s="20" t="str">
        <f>IFERROR(IF(VLOOKUP(H11,AgeCategories!$D$3:$J$32,7,FALSE)=I11,"","DNF"),"")</f>
        <v/>
      </c>
    </row>
    <row r="12" spans="1:22" s="9" customFormat="1">
      <c r="A12" s="53">
        <f>IF(SortedDownload!A12 &lt; 1,"",SortedDownload!A12)</f>
        <v>8</v>
      </c>
      <c r="B12" s="55">
        <f>IF(V12&lt;&gt;"","DNF",COUNTIF($V$3:V12,V12))</f>
        <v>10</v>
      </c>
      <c r="C12" s="54">
        <f>IF(OR(B12="DNF",H12=""),"DNF",COUNTIF($H$3:H12,H12))</f>
        <v>4</v>
      </c>
      <c r="D12" s="90" t="str">
        <f>IFERROR(VLOOKUP($A12,EntryList!$A$3:$N$596,2,FALSE),"")</f>
        <v>Myles Kelsey</v>
      </c>
      <c r="E12" s="54">
        <f>IFERROR(VLOOKUP($A12,EntryList!$A$3:$V$596,19,FALSE),"")</f>
        <v>0</v>
      </c>
      <c r="F12" s="176">
        <f>IFERROR(VLOOKUP($A12,EntryList!$A$3:$V$596,18,FALSE),"")</f>
        <v>0</v>
      </c>
      <c r="G12" s="90" t="str">
        <f>IFERROR(VLOOKUP($A12,EntryList!$A$3:$N$596,6,FALSE),"")</f>
        <v>M</v>
      </c>
      <c r="H12" s="90" t="str">
        <f>IFERROR(VLOOKUP($A12,EntryList!$A$3:$N$596,7,FALSE),"")</f>
        <v>E-Bike M</v>
      </c>
      <c r="I12" s="54">
        <f>IFERROR(VLOOKUP($A12,SortedDownload!$A$3:$Z508,4,FALSE),"")</f>
        <v>5</v>
      </c>
      <c r="J12" s="59" t="str">
        <f>IFERROR(VLOOKUP($A12,SortedDownload!$A$3:$BB$499,23,FALSE),"")</f>
        <v>00:03:17.5 (12)</v>
      </c>
      <c r="K12" s="59" t="str">
        <f>IFERROR(VLOOKUP($A12,SortedDownload!$A$3:$BB$499,24,FALSE),"")</f>
        <v>00:03:33.2 (10)</v>
      </c>
      <c r="L12" s="59" t="str">
        <f>IFERROR(VLOOKUP($A12,SortedDownload!$A$3:$BB$499,25,FALSE),"")</f>
        <v>00:01:58.9 (9)</v>
      </c>
      <c r="M12" s="59" t="str">
        <f>IFERROR(VLOOKUP($A12,SortedDownload!$A$3:$BB$499,26,FALSE),"")</f>
        <v>00:03:58.1 (15)</v>
      </c>
      <c r="N12" s="59" t="str">
        <f>IFERROR(VLOOKUP($A12,SortedDownload!$A$3:$BB$499,27,FALSE),"")</f>
        <v>00:04:51.7 (8)</v>
      </c>
      <c r="O12" s="59" t="str">
        <f>IFERROR(VLOOKUP($A12,SortedDownload!$A$3:$BB$499,28,FALSE),"")</f>
        <v>DNS/DNF ()</v>
      </c>
      <c r="P12" s="59" t="str">
        <f>IFERROR(VLOOKUP($A12,SortedDownload!$A$3:$BB$499,29,FALSE),"")</f>
        <v>DNS/DNF ()</v>
      </c>
      <c r="Q12" s="59" t="str">
        <f>IFERROR(VLOOKUP($A12,SortedDownload!$A$3:$BB$499,30,FALSE),"")</f>
        <v>DNS/DNF ()</v>
      </c>
      <c r="R12" s="62" t="str">
        <f>IFERROR(TEXT(VLOOKUP($A12,SortedDownload!$A$3:$Z$499,14,FALSE),"[hh]:mm:ss.000"),"")</f>
        <v>00:17:39.352</v>
      </c>
      <c r="S12" s="83" t="str">
        <f t="shared" si="2"/>
        <v>00:07</v>
      </c>
      <c r="T12" s="83" t="str">
        <f t="shared" si="0"/>
        <v>00:49</v>
      </c>
      <c r="U12" s="9" t="str">
        <f t="shared" si="1"/>
        <v/>
      </c>
      <c r="V12" s="20" t="str">
        <f>IFERROR(IF(VLOOKUP(H12,AgeCategories!$D$3:$J$32,7,FALSE)=I12,"","DNF"),"")</f>
        <v/>
      </c>
    </row>
    <row r="13" spans="1:22" s="9" customFormat="1">
      <c r="A13" s="53">
        <f>IF(SortedDownload!A13 &lt; 1,"",SortedDownload!A13)</f>
        <v>35</v>
      </c>
      <c r="B13" s="55">
        <f>IF(V13&lt;&gt;"","DNF",COUNTIF($V$3:V13,V13))</f>
        <v>11</v>
      </c>
      <c r="C13" s="54">
        <f>IF(OR(B13="DNF",H13=""),"DNF",COUNTIF($H$3:H13,H13))</f>
        <v>4</v>
      </c>
      <c r="D13" s="90" t="str">
        <f>IFERROR(VLOOKUP($A13,EntryList!$A$3:$N$596,2,FALSE),"")</f>
        <v>Corbin Mann</v>
      </c>
      <c r="E13" s="54">
        <f>IFERROR(VLOOKUP($A13,EntryList!$A$3:$V$596,19,FALSE),"")</f>
        <v>0</v>
      </c>
      <c r="F13" s="176">
        <f>IFERROR(VLOOKUP($A13,EntryList!$A$3:$V$596,18,FALSE),"")</f>
        <v>0</v>
      </c>
      <c r="G13" s="90" t="str">
        <f>IFERROR(VLOOKUP($A13,EntryList!$A$3:$N$596,6,FALSE),"")</f>
        <v>M</v>
      </c>
      <c r="H13" s="90" t="str">
        <f>IFERROR(VLOOKUP($A13,EntryList!$A$3:$N$596,7,FALSE),"")</f>
        <v>Elite Men</v>
      </c>
      <c r="I13" s="54">
        <f>IFERROR(VLOOKUP($A13,SortedDownload!$A$3:$Z509,4,FALSE),"")</f>
        <v>5</v>
      </c>
      <c r="J13" s="59" t="str">
        <f>IFERROR(VLOOKUP($A13,SortedDownload!$A$3:$BB$499,23,FALSE),"")</f>
        <v>00:03:17.7 (13)</v>
      </c>
      <c r="K13" s="59" t="str">
        <f>IFERROR(VLOOKUP($A13,SortedDownload!$A$3:$BB$499,24,FALSE),"")</f>
        <v>00:03:36.0 (14)</v>
      </c>
      <c r="L13" s="59" t="str">
        <f>IFERROR(VLOOKUP($A13,SortedDownload!$A$3:$BB$499,25,FALSE),"")</f>
        <v>00:01:59.1 (13)</v>
      </c>
      <c r="M13" s="59" t="str">
        <f>IFERROR(VLOOKUP($A13,SortedDownload!$A$3:$BB$499,26,FALSE),"")</f>
        <v>00:03:56.0 (12)</v>
      </c>
      <c r="N13" s="59" t="str">
        <f>IFERROR(VLOOKUP($A13,SortedDownload!$A$3:$BB$499,27,FALSE),"")</f>
        <v>00:04:55.0 (12)</v>
      </c>
      <c r="O13" s="59" t="str">
        <f>IFERROR(VLOOKUP($A13,SortedDownload!$A$3:$BB$499,28,FALSE),"")</f>
        <v>DNS/DNF ()</v>
      </c>
      <c r="P13" s="59" t="str">
        <f>IFERROR(VLOOKUP($A13,SortedDownload!$A$3:$BB$499,29,FALSE),"")</f>
        <v>DNS/DNF ()</v>
      </c>
      <c r="Q13" s="59" t="str">
        <f>IFERROR(VLOOKUP($A13,SortedDownload!$A$3:$BB$499,30,FALSE),"")</f>
        <v>DNS/DNF ()</v>
      </c>
      <c r="R13" s="62" t="str">
        <f>IFERROR(TEXT(VLOOKUP($A13,SortedDownload!$A$3:$Z$499,14,FALSE),"[hh]:mm:ss.000"),"")</f>
        <v>00:17:43.803</v>
      </c>
      <c r="S13" s="83" t="str">
        <f t="shared" si="2"/>
        <v>00:04</v>
      </c>
      <c r="T13" s="83" t="str">
        <f t="shared" si="0"/>
        <v>00:54</v>
      </c>
      <c r="U13" s="9" t="str">
        <f t="shared" si="1"/>
        <v/>
      </c>
      <c r="V13" s="20" t="str">
        <f>IFERROR(IF(VLOOKUP(H13,AgeCategories!$D$3:$J$32,7,FALSE)=I13,"","DNF"),"")</f>
        <v/>
      </c>
    </row>
    <row r="14" spans="1:22" s="9" customFormat="1">
      <c r="A14" s="53">
        <f>IF(SortedDownload!A14 &lt; 1,"",SortedDownload!A14)</f>
        <v>248</v>
      </c>
      <c r="B14" s="55">
        <f>IF(V14&lt;&gt;"","DNF",COUNTIF($V$3:V14,V14))</f>
        <v>12</v>
      </c>
      <c r="C14" s="54">
        <f>IF(OR(B14="DNF",H14=""),"DNF",COUNTIF($H$3:H14,H14))</f>
        <v>1</v>
      </c>
      <c r="D14" s="90" t="str">
        <f>IFERROR(VLOOKUP($A14,EntryList!$A$3:$N$596,2,FALSE),"")</f>
        <v>Pieter Venter</v>
      </c>
      <c r="E14" s="54">
        <f>IFERROR(VLOOKUP($A14,EntryList!$A$3:$V$596,19,FALSE),"")</f>
        <v>0</v>
      </c>
      <c r="F14" s="176">
        <f>IFERROR(VLOOKUP($A14,EntryList!$A$3:$V$596,18,FALSE),"")</f>
        <v>0</v>
      </c>
      <c r="G14" s="90" t="str">
        <f>IFERROR(VLOOKUP($A14,EntryList!$A$3:$N$596,6,FALSE),"")</f>
        <v>M</v>
      </c>
      <c r="H14" s="90" t="str">
        <f>IFERROR(VLOOKUP($A14,EntryList!$A$3:$N$596,7,FALSE),"")</f>
        <v>Youth Men</v>
      </c>
      <c r="I14" s="54">
        <f>IFERROR(VLOOKUP($A14,SortedDownload!$A$3:$Z510,4,FALSE),"")</f>
        <v>5</v>
      </c>
      <c r="J14" s="59" t="str">
        <f>IFERROR(VLOOKUP($A14,SortedDownload!$A$3:$BB$499,23,FALSE),"")</f>
        <v>00:03:15.7 (10)</v>
      </c>
      <c r="K14" s="59" t="str">
        <f>IFERROR(VLOOKUP($A14,SortedDownload!$A$3:$BB$499,24,FALSE),"")</f>
        <v>00:03:42.8 (24)</v>
      </c>
      <c r="L14" s="59" t="str">
        <f>IFERROR(VLOOKUP($A14,SortedDownload!$A$3:$BB$499,25,FALSE),"")</f>
        <v>00:01:58.5 (7)</v>
      </c>
      <c r="M14" s="59" t="str">
        <f>IFERROR(VLOOKUP($A14,SortedDownload!$A$3:$BB$499,26,FALSE),"")</f>
        <v>00:03:56.2 (13)</v>
      </c>
      <c r="N14" s="59" t="str">
        <f>IFERROR(VLOOKUP($A14,SortedDownload!$A$3:$BB$499,27,FALSE),"")</f>
        <v>00:04:55.6 (13)</v>
      </c>
      <c r="O14" s="59" t="str">
        <f>IFERROR(VLOOKUP($A14,SortedDownload!$A$3:$BB$499,28,FALSE),"")</f>
        <v>DNS/DNF ()</v>
      </c>
      <c r="P14" s="59" t="str">
        <f>IFERROR(VLOOKUP($A14,SortedDownload!$A$3:$BB$499,29,FALSE),"")</f>
        <v>DNS/DNF ()</v>
      </c>
      <c r="Q14" s="59" t="str">
        <f>IFERROR(VLOOKUP($A14,SortedDownload!$A$3:$BB$499,30,FALSE),"")</f>
        <v>DNS/DNF ()</v>
      </c>
      <c r="R14" s="62" t="str">
        <f>IFERROR(TEXT(VLOOKUP($A14,SortedDownload!$A$3:$Z$499,14,FALSE),"[hh]:mm:ss.000"),"")</f>
        <v>00:17:48.827</v>
      </c>
      <c r="S14" s="83" t="str">
        <f t="shared" si="2"/>
        <v>00:05</v>
      </c>
      <c r="T14" s="83" t="str">
        <f t="shared" si="0"/>
        <v>00:59</v>
      </c>
      <c r="U14" s="9" t="str">
        <f t="shared" si="1"/>
        <v/>
      </c>
      <c r="V14" s="20" t="str">
        <f>IFERROR(IF(VLOOKUP(H14,AgeCategories!$D$3:$J$32,7,FALSE)=I14,"","DNF"),"")</f>
        <v/>
      </c>
    </row>
    <row r="15" spans="1:22" s="9" customFormat="1">
      <c r="A15" s="53">
        <f>IF(SortedDownload!A15 &lt; 1,"",SortedDownload!A15)</f>
        <v>131</v>
      </c>
      <c r="B15" s="55">
        <f>IF(V15&lt;&gt;"","DNF",COUNTIF($V$3:V15,V15))</f>
        <v>13</v>
      </c>
      <c r="C15" s="54">
        <f>IF(OR(B15="DNF",H15=""),"DNF",COUNTIF($H$3:H15,H15))</f>
        <v>3</v>
      </c>
      <c r="D15" s="90" t="str">
        <f>IFERROR(VLOOKUP($A15,EntryList!$A$3:$N$596,2,FALSE),"")</f>
        <v>Dane Olsen</v>
      </c>
      <c r="E15" s="54">
        <f>IFERROR(VLOOKUP($A15,EntryList!$A$3:$V$596,19,FALSE),"")</f>
        <v>0</v>
      </c>
      <c r="F15" s="176">
        <f>IFERROR(VLOOKUP($A15,EntryList!$A$3:$V$596,18,FALSE),"")</f>
        <v>0</v>
      </c>
      <c r="G15" s="90" t="str">
        <f>IFERROR(VLOOKUP($A15,EntryList!$A$3:$N$596,6,FALSE),"")</f>
        <v>M</v>
      </c>
      <c r="H15" s="90" t="str">
        <f>IFERROR(VLOOKUP($A15,EntryList!$A$3:$N$596,7,FALSE),"")</f>
        <v>Master Men</v>
      </c>
      <c r="I15" s="54">
        <f>IFERROR(VLOOKUP($A15,SortedDownload!$A$3:$Z511,4,FALSE),"")</f>
        <v>5</v>
      </c>
      <c r="J15" s="59" t="str">
        <f>IFERROR(VLOOKUP($A15,SortedDownload!$A$3:$BB$499,23,FALSE),"")</f>
        <v>00:03:28.5 (19)</v>
      </c>
      <c r="K15" s="59" t="str">
        <f>IFERROR(VLOOKUP($A15,SortedDownload!$A$3:$BB$499,24,FALSE),"")</f>
        <v>00:03:35.7 (12)</v>
      </c>
      <c r="L15" s="59" t="str">
        <f>IFERROR(VLOOKUP($A15,SortedDownload!$A$3:$BB$499,25,FALSE),"")</f>
        <v>00:02:00.9 (16)</v>
      </c>
      <c r="M15" s="59" t="str">
        <f>IFERROR(VLOOKUP($A15,SortedDownload!$A$3:$BB$499,26,FALSE),"")</f>
        <v>00:03:55.4 (11)</v>
      </c>
      <c r="N15" s="59" t="str">
        <f>IFERROR(VLOOKUP($A15,SortedDownload!$A$3:$BB$499,27,FALSE),"")</f>
        <v>00:05:02.7 (20)</v>
      </c>
      <c r="O15" s="59" t="str">
        <f>IFERROR(VLOOKUP($A15,SortedDownload!$A$3:$BB$499,28,FALSE),"")</f>
        <v>DNS/DNF ()</v>
      </c>
      <c r="P15" s="59" t="str">
        <f>IFERROR(VLOOKUP($A15,SortedDownload!$A$3:$BB$499,29,FALSE),"")</f>
        <v>DNS/DNF ()</v>
      </c>
      <c r="Q15" s="59" t="str">
        <f>IFERROR(VLOOKUP($A15,SortedDownload!$A$3:$BB$499,30,FALSE),"")</f>
        <v>DNS/DNF ()</v>
      </c>
      <c r="R15" s="62" t="str">
        <f>IFERROR(TEXT(VLOOKUP($A15,SortedDownload!$A$3:$Z$499,14,FALSE),"[hh]:mm:ss.000"),"")</f>
        <v>00:18:03.176</v>
      </c>
      <c r="S15" s="83" t="str">
        <f t="shared" si="2"/>
        <v>00:14</v>
      </c>
      <c r="T15" s="83" t="str">
        <f t="shared" si="0"/>
        <v>01:13</v>
      </c>
      <c r="U15" s="9" t="str">
        <f t="shared" si="1"/>
        <v/>
      </c>
      <c r="V15" s="20" t="str">
        <f>IFERROR(IF(VLOOKUP(H15,AgeCategories!$D$3:$J$32,7,FALSE)=I15,"","DNF"),"")</f>
        <v/>
      </c>
    </row>
    <row r="16" spans="1:22" s="9" customFormat="1">
      <c r="A16" s="53">
        <f>IF(SortedDownload!A16 &lt; 1,"",SortedDownload!A16)</f>
        <v>216</v>
      </c>
      <c r="B16" s="55">
        <f>IF(V16&lt;&gt;"","DNF",COUNTIF($V$3:V16,V16))</f>
        <v>14</v>
      </c>
      <c r="C16" s="54">
        <f>IF(OR(B16="DNF",H16=""),"DNF",COUNTIF($H$3:H16,H16))</f>
        <v>5</v>
      </c>
      <c r="D16" s="90" t="str">
        <f>IFERROR(VLOOKUP($A16,EntryList!$A$3:$N$596,2,FALSE),"")</f>
        <v>Johan Van Zyl</v>
      </c>
      <c r="E16" s="54">
        <f>IFERROR(VLOOKUP($A16,EntryList!$A$3:$V$596,19,FALSE),"")</f>
        <v>0</v>
      </c>
      <c r="F16" s="176">
        <f>IFERROR(VLOOKUP($A16,EntryList!$A$3:$V$596,18,FALSE),"")</f>
        <v>0</v>
      </c>
      <c r="G16" s="90" t="str">
        <f>IFERROR(VLOOKUP($A16,EntryList!$A$3:$N$596,6,FALSE),"")</f>
        <v>M</v>
      </c>
      <c r="H16" s="90" t="str">
        <f>IFERROR(VLOOKUP($A16,EntryList!$A$3:$N$596,7,FALSE),"")</f>
        <v>Elite Men</v>
      </c>
      <c r="I16" s="54">
        <f>IFERROR(VLOOKUP($A16,SortedDownload!$A$3:$Z512,4,FALSE),"")</f>
        <v>5</v>
      </c>
      <c r="J16" s="59" t="str">
        <f>IFERROR(VLOOKUP($A16,SortedDownload!$A$3:$BB$499,23,FALSE),"")</f>
        <v>00:03:23.9 (17)</v>
      </c>
      <c r="K16" s="59" t="str">
        <f>IFERROR(VLOOKUP($A16,SortedDownload!$A$3:$BB$499,24,FALSE),"")</f>
        <v>00:03:38.4 (18)</v>
      </c>
      <c r="L16" s="59" t="str">
        <f>IFERROR(VLOOKUP($A16,SortedDownload!$A$3:$BB$499,25,FALSE),"")</f>
        <v>00:02:06.7 (32)</v>
      </c>
      <c r="M16" s="59" t="str">
        <f>IFERROR(VLOOKUP($A16,SortedDownload!$A$3:$BB$499,26,FALSE),"")</f>
        <v>00:04:00.4 (20)</v>
      </c>
      <c r="N16" s="59" t="str">
        <f>IFERROR(VLOOKUP($A16,SortedDownload!$A$3:$BB$499,27,FALSE),"")</f>
        <v>00:04:54.9 (11)</v>
      </c>
      <c r="O16" s="59" t="str">
        <f>IFERROR(VLOOKUP($A16,SortedDownload!$A$3:$BB$499,28,FALSE),"")</f>
        <v>DNS/DNF ()</v>
      </c>
      <c r="P16" s="59" t="str">
        <f>IFERROR(VLOOKUP($A16,SortedDownload!$A$3:$BB$499,29,FALSE),"")</f>
        <v>DNS/DNF ()</v>
      </c>
      <c r="Q16" s="59" t="str">
        <f>IFERROR(VLOOKUP($A16,SortedDownload!$A$3:$BB$499,30,FALSE),"")</f>
        <v>DNS/DNF ()</v>
      </c>
      <c r="R16" s="62" t="str">
        <f>IFERROR(TEXT(VLOOKUP($A16,SortedDownload!$A$3:$Z$499,14,FALSE),"[hh]:mm:ss.000"),"")</f>
        <v>00:18:04.251</v>
      </c>
      <c r="S16" s="83" t="str">
        <f t="shared" si="2"/>
        <v>00:01</v>
      </c>
      <c r="T16" s="83" t="str">
        <f t="shared" si="0"/>
        <v>01:14</v>
      </c>
      <c r="U16" s="9" t="str">
        <f t="shared" si="1"/>
        <v/>
      </c>
      <c r="V16" s="20" t="str">
        <f>IFERROR(IF(VLOOKUP(H16,AgeCategories!$D$3:$J$32,7,FALSE)=I16,"","DNF"),"")</f>
        <v/>
      </c>
    </row>
    <row r="17" spans="1:24" s="9" customFormat="1">
      <c r="A17" s="53">
        <f>IF(SortedDownload!A17 &lt; 1,"",SortedDownload!A17)</f>
        <v>249</v>
      </c>
      <c r="B17" s="55">
        <f>IF(V17&lt;&gt;"","DNF",COUNTIF($V$3:V17,V17))</f>
        <v>15</v>
      </c>
      <c r="C17" s="54">
        <f>IF(OR(B17="DNF",H17=""),"DNF",COUNTIF($H$3:H17,H17))</f>
        <v>2</v>
      </c>
      <c r="D17" s="90" t="str">
        <f>IFERROR(VLOOKUP($A17,EntryList!$A$3:$N$596,2,FALSE),"")</f>
        <v>Henning Venter</v>
      </c>
      <c r="E17" s="54">
        <f>IFERROR(VLOOKUP($A17,EntryList!$A$3:$V$596,19,FALSE),"")</f>
        <v>0</v>
      </c>
      <c r="F17" s="176">
        <f>IFERROR(VLOOKUP($A17,EntryList!$A$3:$V$596,18,FALSE),"")</f>
        <v>0</v>
      </c>
      <c r="G17" s="90" t="str">
        <f>IFERROR(VLOOKUP($A17,EntryList!$A$3:$N$596,6,FALSE),"")</f>
        <v>M</v>
      </c>
      <c r="H17" s="90" t="str">
        <f>IFERROR(VLOOKUP($A17,EntryList!$A$3:$N$596,7,FALSE),"")</f>
        <v>Junior Men</v>
      </c>
      <c r="I17" s="54">
        <f>IFERROR(VLOOKUP($A17,SortedDownload!$A$3:$Z513,4,FALSE),"")</f>
        <v>5</v>
      </c>
      <c r="J17" s="59" t="str">
        <f>IFERROR(VLOOKUP($A17,SortedDownload!$A$3:$BB$499,23,FALSE),"")</f>
        <v>00:03:31.4 (24)</v>
      </c>
      <c r="K17" s="59" t="str">
        <f>IFERROR(VLOOKUP($A17,SortedDownload!$A$3:$BB$499,24,FALSE),"")</f>
        <v>00:03:38.6 (19)</v>
      </c>
      <c r="L17" s="59" t="str">
        <f>IFERROR(VLOOKUP($A17,SortedDownload!$A$3:$BB$499,25,FALSE),"")</f>
        <v>00:02:03.0 (19)</v>
      </c>
      <c r="M17" s="59" t="str">
        <f>IFERROR(VLOOKUP($A17,SortedDownload!$A$3:$BB$499,26,FALSE),"")</f>
        <v>00:04:00.3 (19)</v>
      </c>
      <c r="N17" s="59" t="str">
        <f>IFERROR(VLOOKUP($A17,SortedDownload!$A$3:$BB$499,27,FALSE),"")</f>
        <v>00:05:00.3 (14)</v>
      </c>
      <c r="O17" s="59" t="str">
        <f>IFERROR(VLOOKUP($A17,SortedDownload!$A$3:$BB$499,28,FALSE),"")</f>
        <v>DNS/DNF ()</v>
      </c>
      <c r="P17" s="59" t="str">
        <f>IFERROR(VLOOKUP($A17,SortedDownload!$A$3:$BB$499,29,FALSE),"")</f>
        <v>DNS/DNF ()</v>
      </c>
      <c r="Q17" s="59" t="str">
        <f>IFERROR(VLOOKUP($A17,SortedDownload!$A$3:$BB$499,30,FALSE),"")</f>
        <v>DNS/DNF ()</v>
      </c>
      <c r="R17" s="62" t="str">
        <f>IFERROR(TEXT(VLOOKUP($A17,SortedDownload!$A$3:$Z$499,14,FALSE),"[hh]:mm:ss.000"),"")</f>
        <v>00:18:13.619</v>
      </c>
      <c r="S17" s="83" t="str">
        <f t="shared" si="2"/>
        <v>00:09</v>
      </c>
      <c r="T17" s="83" t="str">
        <f t="shared" si="0"/>
        <v>01:24</v>
      </c>
      <c r="U17" s="9" t="str">
        <f t="shared" si="1"/>
        <v/>
      </c>
      <c r="V17" s="20" t="str">
        <f>IFERROR(IF(VLOOKUP(H17,AgeCategories!$D$3:$J$32,7,FALSE)=I17,"","DNF"),"")</f>
        <v/>
      </c>
    </row>
    <row r="18" spans="1:24" s="9" customFormat="1">
      <c r="A18" s="53">
        <f>IF(SortedDownload!A18 &lt; 1,"",SortedDownload!A18)</f>
        <v>135</v>
      </c>
      <c r="B18" s="55">
        <f>IF(V18&lt;&gt;"","DNF",COUNTIF($V$3:V18,V18))</f>
        <v>16</v>
      </c>
      <c r="C18" s="54">
        <f>IF(OR(B18="DNF",H18=""),"DNF",COUNTIF($H$3:H18,H18))</f>
        <v>2</v>
      </c>
      <c r="D18" s="90" t="str">
        <f>IFERROR(VLOOKUP($A18,EntryList!$A$3:$N$596,2,FALSE),"")</f>
        <v>Fourie Van Wyk</v>
      </c>
      <c r="E18" s="54">
        <f>IFERROR(VLOOKUP($A18,EntryList!$A$3:$V$596,19,FALSE),"")</f>
        <v>0</v>
      </c>
      <c r="F18" s="176">
        <f>IFERROR(VLOOKUP($A18,EntryList!$A$3:$V$596,18,FALSE),"")</f>
        <v>0</v>
      </c>
      <c r="G18" s="90" t="str">
        <f>IFERROR(VLOOKUP($A18,EntryList!$A$3:$N$596,6,FALSE),"")</f>
        <v>M</v>
      </c>
      <c r="H18" s="90" t="str">
        <f>IFERROR(VLOOKUP($A18,EntryList!$A$3:$N$596,7,FALSE),"")</f>
        <v>Youth Men</v>
      </c>
      <c r="I18" s="54">
        <f>IFERROR(VLOOKUP($A18,SortedDownload!$A$3:$Z514,4,FALSE),"")</f>
        <v>5</v>
      </c>
      <c r="J18" s="59" t="str">
        <f>IFERROR(VLOOKUP($A18,SortedDownload!$A$3:$BB$499,23,FALSE),"")</f>
        <v>00:03:18.4 (14)</v>
      </c>
      <c r="K18" s="59" t="str">
        <f>IFERROR(VLOOKUP($A18,SortedDownload!$A$3:$BB$499,24,FALSE),"")</f>
        <v>00:03:49.8 (35)</v>
      </c>
      <c r="L18" s="59" t="str">
        <f>IFERROR(VLOOKUP($A18,SortedDownload!$A$3:$BB$499,25,FALSE),"")</f>
        <v>00:02:00.6 (15)</v>
      </c>
      <c r="M18" s="59" t="str">
        <f>IFERROR(VLOOKUP($A18,SortedDownload!$A$3:$BB$499,26,FALSE),"")</f>
        <v>00:04:04.9 (22)</v>
      </c>
      <c r="N18" s="59" t="str">
        <f>IFERROR(VLOOKUP($A18,SortedDownload!$A$3:$BB$499,27,FALSE),"")</f>
        <v>00:05:07.3 (26)</v>
      </c>
      <c r="O18" s="59" t="str">
        <f>IFERROR(VLOOKUP($A18,SortedDownload!$A$3:$BB$499,28,FALSE),"")</f>
        <v>DNS/DNF ()</v>
      </c>
      <c r="P18" s="59" t="str">
        <f>IFERROR(VLOOKUP($A18,SortedDownload!$A$3:$BB$499,29,FALSE),"")</f>
        <v>DNS/DNF ()</v>
      </c>
      <c r="Q18" s="59" t="str">
        <f>IFERROR(VLOOKUP($A18,SortedDownload!$A$3:$BB$499,30,FALSE),"")</f>
        <v>DNS/DNF ()</v>
      </c>
      <c r="R18" s="62" t="str">
        <f>IFERROR(TEXT(VLOOKUP($A18,SortedDownload!$A$3:$Z$499,14,FALSE),"[hh]:mm:ss.000"),"")</f>
        <v>00:18:20.939</v>
      </c>
      <c r="S18" s="83" t="str">
        <f t="shared" si="2"/>
        <v>00:07</v>
      </c>
      <c r="T18" s="83" t="str">
        <f t="shared" si="0"/>
        <v>01:31</v>
      </c>
      <c r="U18" s="9" t="str">
        <f t="shared" si="1"/>
        <v/>
      </c>
      <c r="V18" s="20" t="str">
        <f>IFERROR(IF(VLOOKUP(H18,AgeCategories!$D$3:$J$32,7,FALSE)=I18,"","DNF"),"")</f>
        <v/>
      </c>
    </row>
    <row r="19" spans="1:24" s="9" customFormat="1">
      <c r="A19" s="53">
        <f>IF(SortedDownload!A19 &lt; 1,"",SortedDownload!A19)</f>
        <v>101</v>
      </c>
      <c r="B19" s="55">
        <f>IF(V19&lt;&gt;"","DNF",COUNTIF($V$3:V19,V19))</f>
        <v>17</v>
      </c>
      <c r="C19" s="54">
        <f>IF(OR(B19="DNF",H19=""),"DNF",COUNTIF($H$3:H19,H19))</f>
        <v>6</v>
      </c>
      <c r="D19" s="90" t="str">
        <f>IFERROR(VLOOKUP($A19,EntryList!$A$3:$N$596,2,FALSE),"")</f>
        <v>Samuel Courts</v>
      </c>
      <c r="E19" s="54">
        <f>IFERROR(VLOOKUP($A19,EntryList!$A$3:$V$596,19,FALSE),"")</f>
        <v>0</v>
      </c>
      <c r="F19" s="176">
        <f>IFERROR(VLOOKUP($A19,EntryList!$A$3:$V$596,18,FALSE),"")</f>
        <v>0</v>
      </c>
      <c r="G19" s="90" t="str">
        <f>IFERROR(VLOOKUP($A19,EntryList!$A$3:$N$596,6,FALSE),"")</f>
        <v>M</v>
      </c>
      <c r="H19" s="90" t="str">
        <f>IFERROR(VLOOKUP($A19,EntryList!$A$3:$N$596,7,FALSE),"")</f>
        <v>Elite Men</v>
      </c>
      <c r="I19" s="54">
        <f>IFERROR(VLOOKUP($A19,SortedDownload!$A$3:$Z515,4,FALSE),"")</f>
        <v>5</v>
      </c>
      <c r="J19" s="59" t="str">
        <f>IFERROR(VLOOKUP($A19,SortedDownload!$A$3:$BB$499,23,FALSE),"")</f>
        <v>00:03:33.7 (27)</v>
      </c>
      <c r="K19" s="59" t="str">
        <f>IFERROR(VLOOKUP($A19,SortedDownload!$A$3:$BB$499,24,FALSE),"")</f>
        <v>00:03:36.8 (15)</v>
      </c>
      <c r="L19" s="59" t="str">
        <f>IFERROR(VLOOKUP($A19,SortedDownload!$A$3:$BB$499,25,FALSE),"")</f>
        <v>00:02:03.1 (20)</v>
      </c>
      <c r="M19" s="59" t="str">
        <f>IFERROR(VLOOKUP($A19,SortedDownload!$A$3:$BB$499,26,FALSE),"")</f>
        <v>00:04:07.0 (25)</v>
      </c>
      <c r="N19" s="59" t="str">
        <f>IFERROR(VLOOKUP($A19,SortedDownload!$A$3:$BB$499,27,FALSE),"")</f>
        <v>00:05:02.1 (19)</v>
      </c>
      <c r="O19" s="59" t="str">
        <f>IFERROR(VLOOKUP($A19,SortedDownload!$A$3:$BB$499,28,FALSE),"")</f>
        <v>DNS/DNF ()</v>
      </c>
      <c r="P19" s="59" t="str">
        <f>IFERROR(VLOOKUP($A19,SortedDownload!$A$3:$BB$499,29,FALSE),"")</f>
        <v>DNS/DNF ()</v>
      </c>
      <c r="Q19" s="59" t="str">
        <f>IFERROR(VLOOKUP($A19,SortedDownload!$A$3:$BB$499,30,FALSE),"")</f>
        <v>DNS/DNF ()</v>
      </c>
      <c r="R19" s="62" t="str">
        <f>IFERROR(TEXT(VLOOKUP($A19,SortedDownload!$A$3:$Z$499,14,FALSE),"[hh]:mm:ss.000"),"")</f>
        <v>00:18:22.662</v>
      </c>
      <c r="S19" s="83" t="str">
        <f t="shared" si="2"/>
        <v>00:02</v>
      </c>
      <c r="T19" s="83" t="str">
        <f t="shared" si="0"/>
        <v>01:33</v>
      </c>
      <c r="U19" s="9" t="str">
        <f t="shared" si="1"/>
        <v/>
      </c>
      <c r="V19" s="20" t="str">
        <f>IFERROR(IF(VLOOKUP(H19,AgeCategories!$D$3:$J$32,7,FALSE)=I19,"","DNF"),"")</f>
        <v/>
      </c>
    </row>
    <row r="20" spans="1:24" s="9" customFormat="1">
      <c r="A20" s="53">
        <f>IF(SortedDownload!A20 &lt; 1,"",SortedDownload!A20)</f>
        <v>170</v>
      </c>
      <c r="B20" s="55">
        <f>IF(V20&lt;&gt;"","DNF",COUNTIF($V$3:V20,V20))</f>
        <v>18</v>
      </c>
      <c r="C20" s="54">
        <f>IF(OR(B20="DNF",H20=""),"DNF",COUNTIF($H$3:H20,H20))</f>
        <v>3</v>
      </c>
      <c r="D20" s="90" t="str">
        <f>IFERROR(VLOOKUP($A20,EntryList!$A$3:$N$596,2,FALSE),"")</f>
        <v>Samuel Cleary</v>
      </c>
      <c r="E20" s="54">
        <f>IFERROR(VLOOKUP($A20,EntryList!$A$3:$V$596,19,FALSE),"")</f>
        <v>0</v>
      </c>
      <c r="F20" s="176">
        <f>IFERROR(VLOOKUP($A20,EntryList!$A$3:$V$596,18,FALSE),"")</f>
        <v>0</v>
      </c>
      <c r="G20" s="90" t="str">
        <f>IFERROR(VLOOKUP($A20,EntryList!$A$3:$N$596,6,FALSE),"")</f>
        <v>M</v>
      </c>
      <c r="H20" s="90" t="str">
        <f>IFERROR(VLOOKUP($A20,EntryList!$A$3:$N$596,7,FALSE),"")</f>
        <v>Youth Men</v>
      </c>
      <c r="I20" s="54">
        <f>IFERROR(VLOOKUP($A20,SortedDownload!$A$3:$Z516,4,FALSE),"")</f>
        <v>5</v>
      </c>
      <c r="J20" s="59" t="str">
        <f>IFERROR(VLOOKUP($A20,SortedDownload!$A$3:$BB$499,23,FALSE),"")</f>
        <v>00:03:38.3 (32)</v>
      </c>
      <c r="K20" s="59" t="str">
        <f>IFERROR(VLOOKUP($A20,SortedDownload!$A$3:$BB$499,24,FALSE),"")</f>
        <v>00:03:41.5 (20)</v>
      </c>
      <c r="L20" s="59" t="str">
        <f>IFERROR(VLOOKUP($A20,SortedDownload!$A$3:$BB$499,25,FALSE),"")</f>
        <v>00:02:05.1 (25)</v>
      </c>
      <c r="M20" s="59" t="str">
        <f>IFERROR(VLOOKUP($A20,SortedDownload!$A$3:$BB$499,26,FALSE),"")</f>
        <v>00:04:00.2 (18)</v>
      </c>
      <c r="N20" s="59" t="str">
        <f>IFERROR(VLOOKUP($A20,SortedDownload!$A$3:$BB$499,27,FALSE),"")</f>
        <v>00:05:00.6 (15)</v>
      </c>
      <c r="O20" s="59" t="str">
        <f>IFERROR(VLOOKUP($A20,SortedDownload!$A$3:$BB$499,28,FALSE),"")</f>
        <v>DNS/DNF ()</v>
      </c>
      <c r="P20" s="59" t="str">
        <f>IFERROR(VLOOKUP($A20,SortedDownload!$A$3:$BB$499,29,FALSE),"")</f>
        <v>DNS/DNF ()</v>
      </c>
      <c r="Q20" s="59" t="str">
        <f>IFERROR(VLOOKUP($A20,SortedDownload!$A$3:$BB$499,30,FALSE),"")</f>
        <v>DNS/DNF ()</v>
      </c>
      <c r="R20" s="62" t="str">
        <f>IFERROR(TEXT(VLOOKUP($A20,SortedDownload!$A$3:$Z$499,14,FALSE),"[hh]:mm:ss.000"),"")</f>
        <v>00:18:25.604</v>
      </c>
      <c r="S20" s="83" t="str">
        <f t="shared" si="2"/>
        <v>00:03</v>
      </c>
      <c r="T20" s="83" t="str">
        <f t="shared" si="0"/>
        <v>01:36</v>
      </c>
      <c r="U20" s="9" t="str">
        <f t="shared" si="1"/>
        <v/>
      </c>
      <c r="V20" s="20" t="str">
        <f>IFERROR(IF(VLOOKUP(H20,AgeCategories!$D$3:$J$32,7,FALSE)=I20,"","DNF"),"")</f>
        <v/>
      </c>
    </row>
    <row r="21" spans="1:24" s="9" customFormat="1">
      <c r="A21" s="53">
        <f>IF(SortedDownload!A21 &lt; 1,"",SortedDownload!A21)</f>
        <v>253</v>
      </c>
      <c r="B21" s="55">
        <f>IF(V21&lt;&gt;"","DNF",COUNTIF($V$3:V21,V21))</f>
        <v>19</v>
      </c>
      <c r="C21" s="54">
        <f>IF(OR(B21="DNF",H21=""),"DNF",COUNTIF($H$3:H21,H21))</f>
        <v>4</v>
      </c>
      <c r="D21" s="90" t="str">
        <f>IFERROR(VLOOKUP($A21,EntryList!$A$3:$N$596,2,FALSE),"")</f>
        <v>Ethan Hunter</v>
      </c>
      <c r="E21" s="54">
        <f>IFERROR(VLOOKUP($A21,EntryList!$A$3:$V$596,19,FALSE),"")</f>
        <v>0</v>
      </c>
      <c r="F21" s="176">
        <f>IFERROR(VLOOKUP($A21,EntryList!$A$3:$V$596,18,FALSE),"")</f>
        <v>0</v>
      </c>
      <c r="G21" s="90" t="str">
        <f>IFERROR(VLOOKUP($A21,EntryList!$A$3:$N$596,6,FALSE),"")</f>
        <v>M</v>
      </c>
      <c r="H21" s="90" t="str">
        <f>IFERROR(VLOOKUP($A21,EntryList!$A$3:$N$596,7,FALSE),"")</f>
        <v>Youth Men</v>
      </c>
      <c r="I21" s="54">
        <f>IFERROR(VLOOKUP($A21,SortedDownload!$A$3:$Z517,4,FALSE),"")</f>
        <v>5</v>
      </c>
      <c r="J21" s="59" t="str">
        <f>IFERROR(VLOOKUP($A21,SortedDownload!$A$3:$BB$499,23,FALSE),"")</f>
        <v>00:03:38.6 (33)</v>
      </c>
      <c r="K21" s="59" t="str">
        <f>IFERROR(VLOOKUP($A21,SortedDownload!$A$3:$BB$499,24,FALSE),"")</f>
        <v>00:03:41.7 (21)</v>
      </c>
      <c r="L21" s="59" t="str">
        <f>IFERROR(VLOOKUP($A21,SortedDownload!$A$3:$BB$499,25,FALSE),"")</f>
        <v>00:02:01.6 (17)</v>
      </c>
      <c r="M21" s="59" t="str">
        <f>IFERROR(VLOOKUP($A21,SortedDownload!$A$3:$BB$499,26,FALSE),"")</f>
        <v>00:04:07.1 (26)</v>
      </c>
      <c r="N21" s="59" t="str">
        <f>IFERROR(VLOOKUP($A21,SortedDownload!$A$3:$BB$499,27,FALSE),"")</f>
        <v>00:05:06.6 (25)</v>
      </c>
      <c r="O21" s="59" t="str">
        <f>IFERROR(VLOOKUP($A21,SortedDownload!$A$3:$BB$499,28,FALSE),"")</f>
        <v>DNS/DNF ()</v>
      </c>
      <c r="P21" s="59" t="str">
        <f>IFERROR(VLOOKUP($A21,SortedDownload!$A$3:$BB$499,29,FALSE),"")</f>
        <v>DNS/DNF ()</v>
      </c>
      <c r="Q21" s="59" t="str">
        <f>IFERROR(VLOOKUP($A21,SortedDownload!$A$3:$BB$499,30,FALSE),"")</f>
        <v>DNS/DNF ()</v>
      </c>
      <c r="R21" s="62" t="str">
        <f>IFERROR(TEXT(VLOOKUP($A21,SortedDownload!$A$3:$Z$499,14,FALSE),"[hh]:mm:ss.000"),"")</f>
        <v>00:18:35.568</v>
      </c>
      <c r="S21" s="83" t="str">
        <f t="shared" si="2"/>
        <v>00:10</v>
      </c>
      <c r="T21" s="83" t="str">
        <f t="shared" si="0"/>
        <v>01:46</v>
      </c>
      <c r="U21" s="9" t="str">
        <f t="shared" si="1"/>
        <v/>
      </c>
      <c r="V21" s="20" t="str">
        <f>IFERROR(IF(VLOOKUP(H21,AgeCategories!$D$3:$J$32,7,FALSE)=I21,"","DNF"),"")</f>
        <v/>
      </c>
    </row>
    <row r="22" spans="1:24" s="9" customFormat="1">
      <c r="A22" s="53">
        <f>IF(SortedDownload!A22 &lt; 1,"",SortedDownload!A22)</f>
        <v>122</v>
      </c>
      <c r="B22" s="55">
        <f>IF(V22&lt;&gt;"","DNF",COUNTIF($V$3:V22,V22))</f>
        <v>20</v>
      </c>
      <c r="C22" s="54">
        <f>IF(OR(B22="DNF",H22=""),"DNF",COUNTIF($H$3:H22,H22))</f>
        <v>7</v>
      </c>
      <c r="D22" s="90" t="str">
        <f>IFERROR(VLOOKUP($A22,EntryList!$A$3:$N$596,2,FALSE),"")</f>
        <v>Juri De Bruyn</v>
      </c>
      <c r="E22" s="54">
        <f>IFERROR(VLOOKUP($A22,EntryList!$A$3:$V$596,19,FALSE),"")</f>
        <v>0</v>
      </c>
      <c r="F22" s="176">
        <f>IFERROR(VLOOKUP($A22,EntryList!$A$3:$V$596,18,FALSE),"")</f>
        <v>0</v>
      </c>
      <c r="G22" s="90" t="str">
        <f>IFERROR(VLOOKUP($A22,EntryList!$A$3:$N$596,6,FALSE),"")</f>
        <v>M</v>
      </c>
      <c r="H22" s="90" t="str">
        <f>IFERROR(VLOOKUP($A22,EntryList!$A$3:$N$596,7,FALSE),"")</f>
        <v>Elite Men</v>
      </c>
      <c r="I22" s="54">
        <f>IFERROR(VLOOKUP($A22,SortedDownload!$A$3:$Z518,4,FALSE),"")</f>
        <v>5</v>
      </c>
      <c r="J22" s="59" t="str">
        <f>IFERROR(VLOOKUP($A22,SortedDownload!$A$3:$BB$499,23,FALSE),"")</f>
        <v>00:03:34.6 (29)</v>
      </c>
      <c r="K22" s="59" t="str">
        <f>IFERROR(VLOOKUP($A22,SortedDownload!$A$3:$BB$499,24,FALSE),"")</f>
        <v>00:03:42.9 (25)</v>
      </c>
      <c r="L22" s="59" t="str">
        <f>IFERROR(VLOOKUP($A22,SortedDownload!$A$3:$BB$499,25,FALSE),"")</f>
        <v>00:02:04.7 (24)</v>
      </c>
      <c r="M22" s="59" t="str">
        <f>IFERROR(VLOOKUP($A22,SortedDownload!$A$3:$BB$499,26,FALSE),"")</f>
        <v>00:04:13.9 (35)</v>
      </c>
      <c r="N22" s="59" t="str">
        <f>IFERROR(VLOOKUP($A22,SortedDownload!$A$3:$BB$499,27,FALSE),"")</f>
        <v>00:05:03.3 (22)</v>
      </c>
      <c r="O22" s="59" t="str">
        <f>IFERROR(VLOOKUP($A22,SortedDownload!$A$3:$BB$499,28,FALSE),"")</f>
        <v>DNS/DNF ()</v>
      </c>
      <c r="P22" s="59" t="str">
        <f>IFERROR(VLOOKUP($A22,SortedDownload!$A$3:$BB$499,29,FALSE),"")</f>
        <v>DNS/DNF ()</v>
      </c>
      <c r="Q22" s="59" t="str">
        <f>IFERROR(VLOOKUP($A22,SortedDownload!$A$3:$BB$499,30,FALSE),"")</f>
        <v>DNS/DNF ()</v>
      </c>
      <c r="R22" s="62" t="str">
        <f>IFERROR(TEXT(VLOOKUP($A22,SortedDownload!$A$3:$Z$499,14,FALSE),"[hh]:mm:ss.000"),"")</f>
        <v>00:18:39.509</v>
      </c>
      <c r="S22" s="83" t="str">
        <f t="shared" si="2"/>
        <v>00:04</v>
      </c>
      <c r="T22" s="83" t="str">
        <f t="shared" si="0"/>
        <v>01:49</v>
      </c>
      <c r="U22" s="9" t="str">
        <f t="shared" si="1"/>
        <v/>
      </c>
      <c r="V22" s="20" t="str">
        <f>IFERROR(IF(VLOOKUP(H22,AgeCategories!$D$3:$J$32,7,FALSE)=I22,"","DNF"),"")</f>
        <v/>
      </c>
    </row>
    <row r="23" spans="1:24" s="9" customFormat="1">
      <c r="A23" s="53">
        <f>IF(SortedDownload!A23 &lt; 1,"",SortedDownload!A23)</f>
        <v>219</v>
      </c>
      <c r="B23" s="55">
        <f>IF(V23&lt;&gt;"","DNF",COUNTIF($V$3:V23,V23))</f>
        <v>21</v>
      </c>
      <c r="C23" s="54">
        <f>IF(OR(B23="DNF",H23=""),"DNF",COUNTIF($H$3:H23,H23))</f>
        <v>8</v>
      </c>
      <c r="D23" s="90" t="str">
        <f>IFERROR(VLOOKUP($A23,EntryList!$A$3:$N$596,2,FALSE),"")</f>
        <v>Alexander Ham</v>
      </c>
      <c r="E23" s="54">
        <f>IFERROR(VLOOKUP($A23,EntryList!$A$3:$V$596,19,FALSE),"")</f>
        <v>0</v>
      </c>
      <c r="F23" s="176">
        <f>IFERROR(VLOOKUP($A23,EntryList!$A$3:$V$596,18,FALSE),"")</f>
        <v>0</v>
      </c>
      <c r="G23" s="90" t="str">
        <f>IFERROR(VLOOKUP($A23,EntryList!$A$3:$N$596,6,FALSE),"")</f>
        <v>M</v>
      </c>
      <c r="H23" s="90" t="str">
        <f>IFERROR(VLOOKUP($A23,EntryList!$A$3:$N$596,7,FALSE),"")</f>
        <v>Elite Men</v>
      </c>
      <c r="I23" s="54">
        <f>IFERROR(VLOOKUP($A23,SortedDownload!$A$3:$Z519,4,FALSE),"")</f>
        <v>5</v>
      </c>
      <c r="J23" s="59" t="str">
        <f>IFERROR(VLOOKUP($A23,SortedDownload!$A$3:$BB$499,23,FALSE),"")</f>
        <v>00:04:00.6 (57)</v>
      </c>
      <c r="K23" s="59" t="str">
        <f>IFERROR(VLOOKUP($A23,SortedDownload!$A$3:$BB$499,24,FALSE),"")</f>
        <v>00:03:32.5 (8)</v>
      </c>
      <c r="L23" s="59" t="str">
        <f>IFERROR(VLOOKUP($A23,SortedDownload!$A$3:$BB$499,25,FALSE),"")</f>
        <v>00:02:05.5 (28)</v>
      </c>
      <c r="M23" s="59" t="str">
        <f>IFERROR(VLOOKUP($A23,SortedDownload!$A$3:$BB$499,26,FALSE),"")</f>
        <v>00:03:58.8 (16)</v>
      </c>
      <c r="N23" s="59" t="str">
        <f>IFERROR(VLOOKUP($A23,SortedDownload!$A$3:$BB$499,27,FALSE),"")</f>
        <v>00:05:02.9 (21)</v>
      </c>
      <c r="O23" s="59" t="str">
        <f>IFERROR(VLOOKUP($A23,SortedDownload!$A$3:$BB$499,28,FALSE),"")</f>
        <v>DNS/DNF ()</v>
      </c>
      <c r="P23" s="59" t="str">
        <f>IFERROR(VLOOKUP($A23,SortedDownload!$A$3:$BB$499,29,FALSE),"")</f>
        <v>DNS/DNF ()</v>
      </c>
      <c r="Q23" s="59" t="str">
        <f>IFERROR(VLOOKUP($A23,SortedDownload!$A$3:$BB$499,30,FALSE),"")</f>
        <v>DNS/DNF ()</v>
      </c>
      <c r="R23" s="62" t="str">
        <f>IFERROR(TEXT(VLOOKUP($A23,SortedDownload!$A$3:$Z$499,14,FALSE),"[hh]:mm:ss.000"),"")</f>
        <v>00:18:40.233</v>
      </c>
      <c r="S23" s="83" t="str">
        <f t="shared" si="2"/>
        <v>00:01</v>
      </c>
      <c r="T23" s="83" t="str">
        <f t="shared" si="0"/>
        <v>01:50</v>
      </c>
      <c r="U23" s="9" t="str">
        <f t="shared" si="1"/>
        <v/>
      </c>
      <c r="V23" s="20" t="str">
        <f>IFERROR(IF(VLOOKUP(H23,AgeCategories!$D$3:$J$32,7,FALSE)=I23,"","DNF"),"")</f>
        <v/>
      </c>
    </row>
    <row r="24" spans="1:24" s="9" customFormat="1">
      <c r="A24" s="53">
        <f>IF(SortedDownload!A24 &lt; 1,"",SortedDownload!A24)</f>
        <v>274</v>
      </c>
      <c r="B24" s="55">
        <f>IF(V24&lt;&gt;"","DNF",COUNTIF($V$3:V24,V24))</f>
        <v>22</v>
      </c>
      <c r="C24" s="54">
        <f>IF(OR(B24="DNF",H24=""),"DNF",COUNTIF($H$3:H24,H24))</f>
        <v>9</v>
      </c>
      <c r="D24" s="90" t="str">
        <f>IFERROR(VLOOKUP($A24,EntryList!$A$3:$N$596,2,FALSE),"")</f>
        <v>Luca Ruwiel</v>
      </c>
      <c r="E24" s="54">
        <f>IFERROR(VLOOKUP($A24,EntryList!$A$3:$V$596,19,FALSE),"")</f>
        <v>0</v>
      </c>
      <c r="F24" s="176">
        <f>IFERROR(VLOOKUP($A24,EntryList!$A$3:$V$596,18,FALSE),"")</f>
        <v>0</v>
      </c>
      <c r="G24" s="90" t="str">
        <f>IFERROR(VLOOKUP($A24,EntryList!$A$3:$N$596,6,FALSE),"")</f>
        <v>M</v>
      </c>
      <c r="H24" s="90" t="str">
        <f>IFERROR(VLOOKUP($A24,EntryList!$A$3:$N$596,7,FALSE),"")</f>
        <v>Elite Men</v>
      </c>
      <c r="I24" s="54">
        <f>IFERROR(VLOOKUP($A24,SortedDownload!$A$3:$Z520,4,FALSE),"")</f>
        <v>5</v>
      </c>
      <c r="J24" s="59" t="str">
        <f>IFERROR(VLOOKUP($A24,SortedDownload!$A$3:$BB$499,23,FALSE),"")</f>
        <v>00:03:31.2 (23)</v>
      </c>
      <c r="K24" s="59" t="str">
        <f>IFERROR(VLOOKUP($A24,SortedDownload!$A$3:$BB$499,24,FALSE),"")</f>
        <v>00:03:52.7 (44)</v>
      </c>
      <c r="L24" s="59" t="str">
        <f>IFERROR(VLOOKUP($A24,SortedDownload!$A$3:$BB$499,25,FALSE),"")</f>
        <v>00:02:10.6 (47)</v>
      </c>
      <c r="M24" s="59" t="str">
        <f>IFERROR(VLOOKUP($A24,SortedDownload!$A$3:$BB$499,26,FALSE),"")</f>
        <v>00:04:05.5 (23)</v>
      </c>
      <c r="N24" s="59" t="str">
        <f>IFERROR(VLOOKUP($A24,SortedDownload!$A$3:$BB$499,27,FALSE),"")</f>
        <v>00:05:01.1 (16)</v>
      </c>
      <c r="O24" s="59" t="str">
        <f>IFERROR(VLOOKUP($A24,SortedDownload!$A$3:$BB$499,28,FALSE),"")</f>
        <v>DNS/DNF ()</v>
      </c>
      <c r="P24" s="59" t="str">
        <f>IFERROR(VLOOKUP($A24,SortedDownload!$A$3:$BB$499,29,FALSE),"")</f>
        <v>DNS/DNF ()</v>
      </c>
      <c r="Q24" s="59" t="str">
        <f>IFERROR(VLOOKUP($A24,SortedDownload!$A$3:$BB$499,30,FALSE),"")</f>
        <v>DNS/DNF ()</v>
      </c>
      <c r="R24" s="62" t="str">
        <f>IFERROR(TEXT(VLOOKUP($A24,SortedDownload!$A$3:$Z$499,14,FALSE),"[hh]:mm:ss.000"),"")</f>
        <v>00:18:41.083</v>
      </c>
      <c r="S24" s="83" t="str">
        <f t="shared" si="2"/>
        <v>00:01</v>
      </c>
      <c r="T24" s="83" t="str">
        <f t="shared" si="0"/>
        <v>01:51</v>
      </c>
      <c r="U24" s="9" t="str">
        <f t="shared" si="1"/>
        <v/>
      </c>
      <c r="V24" s="20" t="str">
        <f>IFERROR(IF(VLOOKUP(H24,AgeCategories!$D$3:$J$32,7,FALSE)=I24,"","DNF"),"")</f>
        <v/>
      </c>
    </row>
    <row r="25" spans="1:24" s="9" customFormat="1">
      <c r="A25" s="53">
        <f>IF(SortedDownload!A25 &lt; 1,"",SortedDownload!A25)</f>
        <v>258</v>
      </c>
      <c r="B25" s="55">
        <f>IF(V25&lt;&gt;"","DNF",COUNTIF($V$3:V25,V25))</f>
        <v>23</v>
      </c>
      <c r="C25" s="54">
        <f>IF(OR(B25="DNF",H25=""),"DNF",COUNTIF($H$3:H25,H25))</f>
        <v>4</v>
      </c>
      <c r="D25" s="90" t="str">
        <f>IFERROR(VLOOKUP($A25,EntryList!$A$3:$N$596,2,FALSE),"")</f>
        <v>Henlu Starke</v>
      </c>
      <c r="E25" s="54">
        <f>IFERROR(VLOOKUP($A25,EntryList!$A$3:$V$596,19,FALSE),"")</f>
        <v>0</v>
      </c>
      <c r="F25" s="176">
        <f>IFERROR(VLOOKUP($A25,EntryList!$A$3:$V$596,18,FALSE),"")</f>
        <v>0</v>
      </c>
      <c r="G25" s="90" t="str">
        <f>IFERROR(VLOOKUP($A25,EntryList!$A$3:$N$596,6,FALSE),"")</f>
        <v>M</v>
      </c>
      <c r="H25" s="90" t="str">
        <f>IFERROR(VLOOKUP($A25,EntryList!$A$3:$N$596,7,FALSE),"")</f>
        <v>Master Men</v>
      </c>
      <c r="I25" s="54">
        <f>IFERROR(VLOOKUP($A25,SortedDownload!$A$3:$Z521,4,FALSE),"")</f>
        <v>5</v>
      </c>
      <c r="J25" s="59" t="str">
        <f>IFERROR(VLOOKUP($A25,SortedDownload!$A$3:$BB$499,23,FALSE),"")</f>
        <v>00:03:30.1 (21)</v>
      </c>
      <c r="K25" s="59" t="str">
        <f>IFERROR(VLOOKUP($A25,SortedDownload!$A$3:$BB$499,24,FALSE),"")</f>
        <v>00:03:43.9 (26)</v>
      </c>
      <c r="L25" s="59" t="str">
        <f>IFERROR(VLOOKUP($A25,SortedDownload!$A$3:$BB$499,25,FALSE),"")</f>
        <v>00:02:05.3 (27)</v>
      </c>
      <c r="M25" s="59" t="str">
        <f>IFERROR(VLOOKUP($A25,SortedDownload!$A$3:$BB$499,26,FALSE),"")</f>
        <v>00:04:10.7 (31)</v>
      </c>
      <c r="N25" s="59" t="str">
        <f>IFERROR(VLOOKUP($A25,SortedDownload!$A$3:$BB$499,27,FALSE),"")</f>
        <v>00:05:11.5 (36)</v>
      </c>
      <c r="O25" s="59" t="str">
        <f>IFERROR(VLOOKUP($A25,SortedDownload!$A$3:$BB$499,28,FALSE),"")</f>
        <v>DNS/DNF ()</v>
      </c>
      <c r="P25" s="59" t="str">
        <f>IFERROR(VLOOKUP($A25,SortedDownload!$A$3:$BB$499,29,FALSE),"")</f>
        <v>DNS/DNF ()</v>
      </c>
      <c r="Q25" s="59" t="str">
        <f>IFERROR(VLOOKUP($A25,SortedDownload!$A$3:$BB$499,30,FALSE),"")</f>
        <v>DNS/DNF ()</v>
      </c>
      <c r="R25" s="62" t="str">
        <f>IFERROR(TEXT(VLOOKUP($A25,SortedDownload!$A$3:$Z$499,14,FALSE),"[hh]:mm:ss.000"),"")</f>
        <v>00:18:41.518</v>
      </c>
      <c r="S25" s="83" t="str">
        <f t="shared" si="2"/>
        <v>00:00</v>
      </c>
      <c r="T25" s="83" t="str">
        <f t="shared" si="0"/>
        <v>01:51</v>
      </c>
      <c r="U25" s="9" t="str">
        <f t="shared" si="1"/>
        <v/>
      </c>
      <c r="V25" s="20" t="str">
        <f>IFERROR(IF(VLOOKUP(H25,AgeCategories!$D$3:$J$32,7,FALSE)=I25,"","DNF"),"")</f>
        <v/>
      </c>
    </row>
    <row r="26" spans="1:24" s="9" customFormat="1">
      <c r="A26" s="53">
        <f>IF(SortedDownload!A26 &lt; 1,"",SortedDownload!A26)</f>
        <v>252</v>
      </c>
      <c r="B26" s="55">
        <f>IF(V26&lt;&gt;"","DNF",COUNTIF($V$3:V26,V26))</f>
        <v>24</v>
      </c>
      <c r="C26" s="54">
        <f>IF(OR(B26="DNF",H26=""),"DNF",COUNTIF($H$3:H26,H26))</f>
        <v>10</v>
      </c>
      <c r="D26" s="90" t="str">
        <f>IFERROR(VLOOKUP($A26,EntryList!$A$3:$N$596,2,FALSE),"")</f>
        <v>Brandon Willcocks</v>
      </c>
      <c r="E26" s="54">
        <f>IFERROR(VLOOKUP($A26,EntryList!$A$3:$V$596,19,FALSE),"")</f>
        <v>0</v>
      </c>
      <c r="F26" s="176">
        <f>IFERROR(VLOOKUP($A26,EntryList!$A$3:$V$596,18,FALSE),"")</f>
        <v>0</v>
      </c>
      <c r="G26" s="90" t="str">
        <f>IFERROR(VLOOKUP($A26,EntryList!$A$3:$N$596,6,FALSE),"")</f>
        <v>M</v>
      </c>
      <c r="H26" s="90" t="str">
        <f>IFERROR(VLOOKUP($A26,EntryList!$A$3:$N$596,7,FALSE),"")</f>
        <v>Elite Men</v>
      </c>
      <c r="I26" s="54">
        <f>IFERROR(VLOOKUP($A26,SortedDownload!$A$3:$Z522,4,FALSE),"")</f>
        <v>5</v>
      </c>
      <c r="J26" s="59" t="str">
        <f>IFERROR(VLOOKUP($A26,SortedDownload!$A$3:$BB$499,23,FALSE),"")</f>
        <v>00:03:34.7 (30)</v>
      </c>
      <c r="K26" s="59" t="str">
        <f>IFERROR(VLOOKUP($A26,SortedDownload!$A$3:$BB$499,24,FALSE),"")</f>
        <v>00:03:50.6 (38)</v>
      </c>
      <c r="L26" s="59" t="str">
        <f>IFERROR(VLOOKUP($A26,SortedDownload!$A$3:$BB$499,25,FALSE),"")</f>
        <v>00:02:10.0 (44)</v>
      </c>
      <c r="M26" s="59" t="str">
        <f>IFERROR(VLOOKUP($A26,SortedDownload!$A$3:$BB$499,26,FALSE),"")</f>
        <v>00:04:04.9 (21)</v>
      </c>
      <c r="N26" s="59" t="str">
        <f>IFERROR(VLOOKUP($A26,SortedDownload!$A$3:$BB$499,27,FALSE),"")</f>
        <v>00:05:05.0 (23)</v>
      </c>
      <c r="O26" s="59" t="str">
        <f>IFERROR(VLOOKUP($A26,SortedDownload!$A$3:$BB$499,28,FALSE),"")</f>
        <v>DNS/DNF ()</v>
      </c>
      <c r="P26" s="59" t="str">
        <f>IFERROR(VLOOKUP($A26,SortedDownload!$A$3:$BB$499,29,FALSE),"")</f>
        <v>DNS/DNF ()</v>
      </c>
      <c r="Q26" s="59" t="str">
        <f>IFERROR(VLOOKUP($A26,SortedDownload!$A$3:$BB$499,30,FALSE),"")</f>
        <v>DNS/DNF ()</v>
      </c>
      <c r="R26" s="62" t="str">
        <f>IFERROR(TEXT(VLOOKUP($A26,SortedDownload!$A$3:$Z$499,14,FALSE),"[hh]:mm:ss.000"),"")</f>
        <v>00:18:45.141</v>
      </c>
      <c r="S26" s="83" t="str">
        <f t="shared" si="2"/>
        <v>00:04</v>
      </c>
      <c r="T26" s="83" t="str">
        <f t="shared" si="0"/>
        <v>01:55</v>
      </c>
      <c r="U26" s="9" t="str">
        <f t="shared" si="1"/>
        <v/>
      </c>
      <c r="V26" s="20" t="str">
        <f>IFERROR(IF(VLOOKUP(H26,AgeCategories!$D$3:$J$32,7,FALSE)=I26,"","DNF"),"")</f>
        <v/>
      </c>
    </row>
    <row r="27" spans="1:24" s="9" customFormat="1">
      <c r="A27" s="53">
        <f>IF(SortedDownload!A27 &lt; 1,"",SortedDownload!A27)</f>
        <v>57</v>
      </c>
      <c r="B27" s="55">
        <f>IF(V27&lt;&gt;"","DNF",COUNTIF($V$3:V27,V27))</f>
        <v>25</v>
      </c>
      <c r="C27" s="54">
        <f>IF(OR(B27="DNF",H27=""),"DNF",COUNTIF($H$3:H27,H27))</f>
        <v>3</v>
      </c>
      <c r="D27" s="90" t="str">
        <f>IFERROR(VLOOKUP($A27,EntryList!$A$3:$N$596,2,FALSE),"")</f>
        <v>Hendre De Villiers</v>
      </c>
      <c r="E27" s="54">
        <f>IFERROR(VLOOKUP($A27,EntryList!$A$3:$V$596,19,FALSE),"")</f>
        <v>0</v>
      </c>
      <c r="F27" s="176">
        <f>IFERROR(VLOOKUP($A27,EntryList!$A$3:$V$596,18,FALSE),"")</f>
        <v>0</v>
      </c>
      <c r="G27" s="90" t="str">
        <f>IFERROR(VLOOKUP($A27,EntryList!$A$3:$N$596,6,FALSE),"")</f>
        <v>M</v>
      </c>
      <c r="H27" s="90" t="str">
        <f>IFERROR(VLOOKUP($A27,EntryList!$A$3:$N$596,7,FALSE),"")</f>
        <v>Junior Men</v>
      </c>
      <c r="I27" s="54">
        <f>IFERROR(VLOOKUP($A27,SortedDownload!$A$3:$Z523,4,FALSE),"")</f>
        <v>5</v>
      </c>
      <c r="J27" s="59" t="str">
        <f>IFERROR(VLOOKUP($A27,SortedDownload!$A$3:$BB$499,23,FALSE),"")</f>
        <v>00:03:32.9 (25)</v>
      </c>
      <c r="K27" s="59" t="str">
        <f>IFERROR(VLOOKUP($A27,SortedDownload!$A$3:$BB$499,24,FALSE),"")</f>
        <v>00:03:49.8 (36)</v>
      </c>
      <c r="L27" s="59" t="str">
        <f>IFERROR(VLOOKUP($A27,SortedDownload!$A$3:$BB$499,25,FALSE),"")</f>
        <v>00:02:09.5 (42)</v>
      </c>
      <c r="M27" s="59" t="str">
        <f>IFERROR(VLOOKUP($A27,SortedDownload!$A$3:$BB$499,26,FALSE),"")</f>
        <v>00:04:14.7 (36)</v>
      </c>
      <c r="N27" s="59" t="str">
        <f>IFERROR(VLOOKUP($A27,SortedDownload!$A$3:$BB$499,27,FALSE),"")</f>
        <v>00:05:01.2 (17)</v>
      </c>
      <c r="O27" s="59" t="str">
        <f>IFERROR(VLOOKUP($A27,SortedDownload!$A$3:$BB$499,28,FALSE),"")</f>
        <v>DNS/DNF ()</v>
      </c>
      <c r="P27" s="59" t="str">
        <f>IFERROR(VLOOKUP($A27,SortedDownload!$A$3:$BB$499,29,FALSE),"")</f>
        <v>DNS/DNF ()</v>
      </c>
      <c r="Q27" s="59" t="str">
        <f>IFERROR(VLOOKUP($A27,SortedDownload!$A$3:$BB$499,30,FALSE),"")</f>
        <v>DNS/DNF ()</v>
      </c>
      <c r="R27" s="62" t="str">
        <f>IFERROR(TEXT(VLOOKUP($A27,SortedDownload!$A$3:$Z$499,14,FALSE),"[hh]:mm:ss.000"),"")</f>
        <v>00:18:48.131</v>
      </c>
      <c r="S27" s="83" t="str">
        <f t="shared" si="2"/>
        <v>00:03</v>
      </c>
      <c r="T27" s="83" t="str">
        <f t="shared" si="0"/>
        <v>01:58</v>
      </c>
      <c r="U27" s="9" t="str">
        <f t="shared" si="1"/>
        <v/>
      </c>
      <c r="V27" s="20" t="str">
        <f>IFERROR(IF(VLOOKUP(H27,AgeCategories!$D$3:$J$32,7,FALSE)=I27,"","DNF"),"")</f>
        <v/>
      </c>
    </row>
    <row r="28" spans="1:24" s="9" customFormat="1">
      <c r="A28" s="53">
        <f>IF(SortedDownload!A28 &lt; 1,"",SortedDownload!A28)</f>
        <v>212</v>
      </c>
      <c r="B28" s="55">
        <f>IF(V28&lt;&gt;"","DNF",COUNTIF($V$3:V28,V28))</f>
        <v>26</v>
      </c>
      <c r="C28" s="54">
        <f>IF(OR(B28="DNF",H28=""),"DNF",COUNTIF($H$3:H28,H28))</f>
        <v>5</v>
      </c>
      <c r="D28" s="90" t="str">
        <f>IFERROR(VLOOKUP($A28,EntryList!$A$3:$N$596,2,FALSE),"")</f>
        <v>Zander Du Plessis</v>
      </c>
      <c r="E28" s="54">
        <f>IFERROR(VLOOKUP($A28,EntryList!$A$3:$V$596,19,FALSE),"")</f>
        <v>0</v>
      </c>
      <c r="F28" s="176">
        <f>IFERROR(VLOOKUP($A28,EntryList!$A$3:$V$596,18,FALSE),"")</f>
        <v>0</v>
      </c>
      <c r="G28" s="90" t="str">
        <f>IFERROR(VLOOKUP($A28,EntryList!$A$3:$N$596,6,FALSE),"")</f>
        <v>M</v>
      </c>
      <c r="H28" s="90" t="str">
        <f>IFERROR(VLOOKUP($A28,EntryList!$A$3:$N$596,7,FALSE),"")</f>
        <v>Youth Men</v>
      </c>
      <c r="I28" s="54">
        <f>IFERROR(VLOOKUP($A28,SortedDownload!$A$3:$Z524,4,FALSE),"")</f>
        <v>5</v>
      </c>
      <c r="J28" s="59" t="str">
        <f>IFERROR(VLOOKUP($A28,SortedDownload!$A$3:$BB$499,23,FALSE),"")</f>
        <v>00:03:12.9 (7)</v>
      </c>
      <c r="K28" s="59" t="str">
        <f>IFERROR(VLOOKUP($A28,SortedDownload!$A$3:$BB$499,24,FALSE),"")</f>
        <v>00:03:34.9 (11)</v>
      </c>
      <c r="L28" s="59" t="str">
        <f>IFERROR(VLOOKUP($A28,SortedDownload!$A$3:$BB$499,25,FALSE),"")</f>
        <v>00:01:58.6 (8)</v>
      </c>
      <c r="M28" s="59" t="str">
        <f>IFERROR(VLOOKUP($A28,SortedDownload!$A$3:$BB$499,26,FALSE),"")</f>
        <v>00:03:57.3 (14)</v>
      </c>
      <c r="N28" s="59" t="str">
        <f>IFERROR(VLOOKUP($A28,SortedDownload!$A$3:$BB$499,27,FALSE),"")</f>
        <v>00:06:05.1 (152)</v>
      </c>
      <c r="O28" s="59" t="str">
        <f>IFERROR(VLOOKUP($A28,SortedDownload!$A$3:$BB$499,28,FALSE),"")</f>
        <v>DNS/DNF ()</v>
      </c>
      <c r="P28" s="59" t="str">
        <f>IFERROR(VLOOKUP($A28,SortedDownload!$A$3:$BB$499,29,FALSE),"")</f>
        <v>DNS/DNF ()</v>
      </c>
      <c r="Q28" s="59" t="str">
        <f>IFERROR(VLOOKUP($A28,SortedDownload!$A$3:$BB$499,30,FALSE),"")</f>
        <v>DNS/DNF ()</v>
      </c>
      <c r="R28" s="62" t="str">
        <f>IFERROR(TEXT(VLOOKUP($A28,SortedDownload!$A$3:$Z$499,14,FALSE),"[hh]:mm:ss.000"),"")</f>
        <v>00:18:48.856</v>
      </c>
      <c r="S28" s="83" t="str">
        <f t="shared" si="2"/>
        <v>00:01</v>
      </c>
      <c r="T28" s="83" t="str">
        <f t="shared" si="0"/>
        <v>01:59</v>
      </c>
      <c r="U28" s="9" t="str">
        <f t="shared" si="1"/>
        <v/>
      </c>
      <c r="V28" s="20" t="str">
        <f>IFERROR(IF(VLOOKUP(H28,AgeCategories!$D$3:$J$32,7,FALSE)=I28,"","DNF"),"")</f>
        <v/>
      </c>
    </row>
    <row r="29" spans="1:24" s="9" customFormat="1">
      <c r="A29" s="53">
        <f>IF(SortedDownload!A29 &lt; 1,"",SortedDownload!A29)</f>
        <v>105</v>
      </c>
      <c r="B29" s="55">
        <f>IF(V29&lt;&gt;"","DNF",COUNTIF($V$3:V29,V29))</f>
        <v>27</v>
      </c>
      <c r="C29" s="54">
        <f>IF(OR(B29="DNF",H29=""),"DNF",COUNTIF($H$3:H29,H29))</f>
        <v>5</v>
      </c>
      <c r="D29" s="90" t="str">
        <f>IFERROR(VLOOKUP($A29,EntryList!$A$3:$N$596,2,FALSE),"")</f>
        <v>Jacobus Johannes Veldsman</v>
      </c>
      <c r="E29" s="54" t="str">
        <f>IFERROR(VLOOKUP($A29,EntryList!$A$3:$V$596,19,FALSE),"")</f>
        <v/>
      </c>
      <c r="F29" s="176" t="str">
        <f>IFERROR(VLOOKUP($A29,EntryList!$A$3:$V$596,18,FALSE),"")</f>
        <v/>
      </c>
      <c r="G29" s="90" t="str">
        <f>IFERROR(VLOOKUP($A29,EntryList!$A$3:$N$596,6,FALSE),"")</f>
        <v>M</v>
      </c>
      <c r="H29" s="90" t="str">
        <f>IFERROR(VLOOKUP($A29,EntryList!$A$3:$N$596,7,FALSE),"")</f>
        <v>E-Bike M</v>
      </c>
      <c r="I29" s="54">
        <f>IFERROR(VLOOKUP($A29,SortedDownload!$A$3:$Z525,4,FALSE),"")</f>
        <v>5</v>
      </c>
      <c r="J29" s="59" t="str">
        <f>IFERROR(VLOOKUP($A29,SortedDownload!$A$3:$BB$499,23,FALSE),"")</f>
        <v>00:03:36.7 (31)</v>
      </c>
      <c r="K29" s="59" t="str">
        <f>IFERROR(VLOOKUP($A29,SortedDownload!$A$3:$BB$499,24,FALSE),"")</f>
        <v>00:03:47.7 (31)</v>
      </c>
      <c r="L29" s="59" t="str">
        <f>IFERROR(VLOOKUP($A29,SortedDownload!$A$3:$BB$499,25,FALSE),"")</f>
        <v>00:02:09.4 (41)</v>
      </c>
      <c r="M29" s="59" t="str">
        <f>IFERROR(VLOOKUP($A29,SortedDownload!$A$3:$BB$499,26,FALSE),"")</f>
        <v>00:04:08.7 (28)</v>
      </c>
      <c r="N29" s="59" t="str">
        <f>IFERROR(VLOOKUP($A29,SortedDownload!$A$3:$BB$499,27,FALSE),"")</f>
        <v>00:05:08.1 (27)</v>
      </c>
      <c r="O29" s="59" t="str">
        <f>IFERROR(VLOOKUP($A29,SortedDownload!$A$3:$BB$499,28,FALSE),"")</f>
        <v>DNS/DNF ()</v>
      </c>
      <c r="P29" s="59" t="str">
        <f>IFERROR(VLOOKUP($A29,SortedDownload!$A$3:$BB$499,29,FALSE),"")</f>
        <v>DNS/DNF ()</v>
      </c>
      <c r="Q29" s="59" t="str">
        <f>IFERROR(VLOOKUP($A29,SortedDownload!$A$3:$BB$499,30,FALSE),"")</f>
        <v>DNS/DNF ()</v>
      </c>
      <c r="R29" s="62" t="str">
        <f>IFERROR(TEXT(VLOOKUP($A29,SortedDownload!$A$3:$Z$499,14,FALSE),"[hh]:mm:ss.000"),"")</f>
        <v>00:18:50.590</v>
      </c>
      <c r="S29" s="83" t="str">
        <f t="shared" si="2"/>
        <v>00:02</v>
      </c>
      <c r="T29" s="83" t="str">
        <f t="shared" si="0"/>
        <v>02:01</v>
      </c>
      <c r="U29" s="9" t="str">
        <f t="shared" si="1"/>
        <v/>
      </c>
      <c r="V29" s="20" t="str">
        <f>IFERROR(IF(VLOOKUP(H29,AgeCategories!$D$3:$J$32,7,FALSE)=I29,"","DNF"),"")</f>
        <v/>
      </c>
    </row>
    <row r="30" spans="1:24" s="9" customFormat="1">
      <c r="A30" s="53">
        <f>IF(SortedDownload!A30 &lt; 1,"",SortedDownload!A30)</f>
        <v>20</v>
      </c>
      <c r="B30" s="55">
        <f>IF(V30&lt;&gt;"","DNF",COUNTIF($V$3:V30,V30))</f>
        <v>28</v>
      </c>
      <c r="C30" s="54">
        <f>IF(OR(B30="DNF",H30=""),"DNF",COUNTIF($H$3:H30,H30))</f>
        <v>6</v>
      </c>
      <c r="D30" s="90" t="str">
        <f>IFERROR(VLOOKUP($A30,EntryList!$A$3:$N$596,2,FALSE),"")</f>
        <v>Luca Zietsman</v>
      </c>
      <c r="E30" s="54">
        <f>IFERROR(VLOOKUP($A30,EntryList!$A$3:$V$596,19,FALSE),"")</f>
        <v>0</v>
      </c>
      <c r="F30" s="176">
        <f>IFERROR(VLOOKUP($A30,EntryList!$A$3:$V$596,18,FALSE),"")</f>
        <v>0</v>
      </c>
      <c r="G30" s="90" t="str">
        <f>IFERROR(VLOOKUP($A30,EntryList!$A$3:$N$596,6,FALSE),"")</f>
        <v>M</v>
      </c>
      <c r="H30" s="90" t="str">
        <f>IFERROR(VLOOKUP($A30,EntryList!$A$3:$N$596,7,FALSE),"")</f>
        <v>Youth Men</v>
      </c>
      <c r="I30" s="54">
        <f>IFERROR(VLOOKUP($A30,SortedDownload!$A$3:$Z526,4,FALSE),"")</f>
        <v>5</v>
      </c>
      <c r="J30" s="59" t="str">
        <f>IFERROR(VLOOKUP($A30,SortedDownload!$A$3:$BB$499,23,FALSE),"")</f>
        <v>00:03:33.8 (28)</v>
      </c>
      <c r="K30" s="59" t="str">
        <f>IFERROR(VLOOKUP($A30,SortedDownload!$A$3:$BB$499,24,FALSE),"")</f>
        <v>00:03:48.3 (32)</v>
      </c>
      <c r="L30" s="59" t="str">
        <f>IFERROR(VLOOKUP($A30,SortedDownload!$A$3:$BB$499,25,FALSE),"")</f>
        <v>00:02:06.7 (33)</v>
      </c>
      <c r="M30" s="59" t="str">
        <f>IFERROR(VLOOKUP($A30,SortedDownload!$A$3:$BB$499,26,FALSE),"")</f>
        <v>00:04:13.7 (34)</v>
      </c>
      <c r="N30" s="59" t="str">
        <f>IFERROR(VLOOKUP($A30,SortedDownload!$A$3:$BB$499,27,FALSE),"")</f>
        <v>00:05:09.0 (29)</v>
      </c>
      <c r="O30" s="59" t="str">
        <f>IFERROR(VLOOKUP($A30,SortedDownload!$A$3:$BB$499,28,FALSE),"")</f>
        <v>DNS/DNF ()</v>
      </c>
      <c r="P30" s="59" t="str">
        <f>IFERROR(VLOOKUP($A30,SortedDownload!$A$3:$BB$499,29,FALSE),"")</f>
        <v>DNS/DNF ()</v>
      </c>
      <c r="Q30" s="59" t="str">
        <f>IFERROR(VLOOKUP($A30,SortedDownload!$A$3:$BB$499,30,FALSE),"")</f>
        <v>DNS/DNF ()</v>
      </c>
      <c r="R30" s="62" t="str">
        <f>IFERROR(TEXT(VLOOKUP($A30,SortedDownload!$A$3:$Z$499,14,FALSE),"[hh]:mm:ss.000"),"")</f>
        <v>00:18:51.451</v>
      </c>
      <c r="S30" s="83" t="str">
        <f t="shared" si="2"/>
        <v>00:01</v>
      </c>
      <c r="T30" s="83" t="str">
        <f t="shared" si="0"/>
        <v>02:01</v>
      </c>
      <c r="U30" s="9" t="str">
        <f t="shared" si="1"/>
        <v/>
      </c>
      <c r="V30" s="20" t="str">
        <f>IFERROR(IF(VLOOKUP(H30,AgeCategories!$D$3:$J$32,7,FALSE)=I30,"","DNF"),"")</f>
        <v/>
      </c>
    </row>
    <row r="31" spans="1:24" s="9" customFormat="1">
      <c r="A31" s="53">
        <f>IF(SortedDownload!A31 &lt; 1,"",SortedDownload!A31)</f>
        <v>56</v>
      </c>
      <c r="B31" s="55">
        <f>IF(V31&lt;&gt;"","DNF",COUNTIF($V$3:V31,V31))</f>
        <v>29</v>
      </c>
      <c r="C31" s="54">
        <f>IF(OR(B31="DNF",H31=""),"DNF",COUNTIF($H$3:H31,H31))</f>
        <v>7</v>
      </c>
      <c r="D31" s="90" t="str">
        <f>IFERROR(VLOOKUP($A31,EntryList!$A$3:$N$596,2,FALSE),"")</f>
        <v>Myndert Laubscher</v>
      </c>
      <c r="E31" s="54">
        <f>IFERROR(VLOOKUP($A31,EntryList!$A$3:$V$596,19,FALSE),"")</f>
        <v>0</v>
      </c>
      <c r="F31" s="176">
        <f>IFERROR(VLOOKUP($A31,EntryList!$A$3:$V$596,18,FALSE),"")</f>
        <v>0</v>
      </c>
      <c r="G31" s="90" t="str">
        <f>IFERROR(VLOOKUP($A31,EntryList!$A$3:$N$596,6,FALSE),"")</f>
        <v>M</v>
      </c>
      <c r="H31" s="90" t="str">
        <f>IFERROR(VLOOKUP($A31,EntryList!$A$3:$N$596,7,FALSE),"")</f>
        <v>Youth Men</v>
      </c>
      <c r="I31" s="54">
        <f>IFERROR(VLOOKUP($A31,SortedDownload!$A$3:$Z527,4,FALSE),"")</f>
        <v>5</v>
      </c>
      <c r="J31" s="59" t="str">
        <f>IFERROR(VLOOKUP($A31,SortedDownload!$A$3:$BB$499,23,FALSE),"")</f>
        <v>00:03:26.3 (18)</v>
      </c>
      <c r="K31" s="59" t="str">
        <f>IFERROR(VLOOKUP($A31,SortedDownload!$A$3:$BB$499,24,FALSE),"")</f>
        <v>00:03:50.4 (37)</v>
      </c>
      <c r="L31" s="59" t="str">
        <f>IFERROR(VLOOKUP($A31,SortedDownload!$A$3:$BB$499,25,FALSE),"")</f>
        <v>00:02:08.0 (36)</v>
      </c>
      <c r="M31" s="59" t="str">
        <f>IFERROR(VLOOKUP($A31,SortedDownload!$A$3:$BB$499,26,FALSE),"")</f>
        <v>00:04:16.7 (40)</v>
      </c>
      <c r="N31" s="59" t="str">
        <f>IFERROR(VLOOKUP($A31,SortedDownload!$A$3:$BB$499,27,FALSE),"")</f>
        <v>00:05:12.9 (40)</v>
      </c>
      <c r="O31" s="59" t="str">
        <f>IFERROR(VLOOKUP($A31,SortedDownload!$A$3:$BB$499,28,FALSE),"")</f>
        <v>DNS/DNF ()</v>
      </c>
      <c r="P31" s="59" t="str">
        <f>IFERROR(VLOOKUP($A31,SortedDownload!$A$3:$BB$499,29,FALSE),"")</f>
        <v>DNS/DNF ()</v>
      </c>
      <c r="Q31" s="59" t="str">
        <f>IFERROR(VLOOKUP($A31,SortedDownload!$A$3:$BB$499,30,FALSE),"")</f>
        <v>DNS/DNF ()</v>
      </c>
      <c r="R31" s="62" t="str">
        <f>IFERROR(TEXT(VLOOKUP($A31,SortedDownload!$A$3:$Z$499,14,FALSE),"[hh]:mm:ss.000"),"")</f>
        <v>00:18:54.340</v>
      </c>
      <c r="S31" s="83" t="str">
        <f t="shared" si="2"/>
        <v>00:03</v>
      </c>
      <c r="T31" s="83" t="str">
        <f t="shared" si="0"/>
        <v>02:04</v>
      </c>
      <c r="U31" s="9" t="str">
        <f t="shared" si="1"/>
        <v/>
      </c>
      <c r="V31" s="20" t="str">
        <f>IFERROR(IF(VLOOKUP(H31,AgeCategories!$D$3:$J$32,7,FALSE)=I31,"","DNF"),"")</f>
        <v/>
      </c>
    </row>
    <row r="32" spans="1:24">
      <c r="A32" s="53">
        <f>IF(SortedDownload!A32 &lt; 1,"",SortedDownload!A32)</f>
        <v>152</v>
      </c>
      <c r="B32" s="55">
        <f>IF(V32&lt;&gt;"","DNF",COUNTIF($V$3:V32,V32))</f>
        <v>30</v>
      </c>
      <c r="C32" s="54">
        <f>IF(OR(B32="DNF",H32=""),"DNF",COUNTIF($H$3:H32,H32))</f>
        <v>6</v>
      </c>
      <c r="D32" s="90" t="str">
        <f>IFERROR(VLOOKUP($A32,EntryList!$A$3:$N$596,2,FALSE),"")</f>
        <v>Grant Hulley</v>
      </c>
      <c r="E32" s="54">
        <f>IFERROR(VLOOKUP($A32,EntryList!$A$3:$V$596,19,FALSE),"")</f>
        <v>0</v>
      </c>
      <c r="F32" s="176">
        <f>IFERROR(VLOOKUP($A32,EntryList!$A$3:$V$596,18,FALSE),"")</f>
        <v>0</v>
      </c>
      <c r="G32" s="90" t="str">
        <f>IFERROR(VLOOKUP($A32,EntryList!$A$3:$N$596,6,FALSE),"")</f>
        <v>M</v>
      </c>
      <c r="H32" s="90" t="str">
        <f>IFERROR(VLOOKUP($A32,EntryList!$A$3:$N$596,7,FALSE),"")</f>
        <v>E-Bike M</v>
      </c>
      <c r="I32" s="54">
        <f>IFERROR(VLOOKUP($A32,SortedDownload!$A$3:$Z528,4,FALSE),"")</f>
        <v>5</v>
      </c>
      <c r="J32" s="59" t="str">
        <f>IFERROR(VLOOKUP($A32,SortedDownload!$A$3:$BB$499,23,FALSE),"")</f>
        <v>00:03:41.7 (38)</v>
      </c>
      <c r="K32" s="59" t="str">
        <f>IFERROR(VLOOKUP($A32,SortedDownload!$A$3:$BB$499,24,FALSE),"")</f>
        <v>00:03:47.4 (30)</v>
      </c>
      <c r="L32" s="59" t="str">
        <f>IFERROR(VLOOKUP($A32,SortedDownload!$A$3:$BB$499,25,FALSE),"")</f>
        <v>00:02:15.7 (63)</v>
      </c>
      <c r="M32" s="59" t="str">
        <f>IFERROR(VLOOKUP($A32,SortedDownload!$A$3:$BB$499,26,FALSE),"")</f>
        <v>00:04:10.1 (30)</v>
      </c>
      <c r="N32" s="59" t="str">
        <f>IFERROR(VLOOKUP($A32,SortedDownload!$A$3:$BB$499,27,FALSE),"")</f>
        <v>00:05:08.4 (28)</v>
      </c>
      <c r="O32" s="59" t="str">
        <f>IFERROR(VLOOKUP($A32,SortedDownload!$A$3:$BB$499,28,FALSE),"")</f>
        <v>DNS/DNF ()</v>
      </c>
      <c r="P32" s="59" t="str">
        <f>IFERROR(VLOOKUP($A32,SortedDownload!$A$3:$BB$499,29,FALSE),"")</f>
        <v>DNS/DNF ()</v>
      </c>
      <c r="Q32" s="59" t="str">
        <f>IFERROR(VLOOKUP($A32,SortedDownload!$A$3:$BB$499,30,FALSE),"")</f>
        <v>DNS/DNF ()</v>
      </c>
      <c r="R32" s="62" t="str">
        <f>IFERROR(TEXT(VLOOKUP($A32,SortedDownload!$A$3:$Z$499,14,FALSE),"[hh]:mm:ss.000"),"")</f>
        <v>00:19:03.289</v>
      </c>
      <c r="S32" s="83" t="str">
        <f t="shared" si="2"/>
        <v>00:09</v>
      </c>
      <c r="T32" s="83" t="str">
        <f t="shared" si="0"/>
        <v>02:13</v>
      </c>
      <c r="U32" s="9" t="str">
        <f t="shared" si="1"/>
        <v/>
      </c>
      <c r="V32" s="20" t="str">
        <f>IFERROR(IF(VLOOKUP(H32,AgeCategories!$D$3:$J$32,7,FALSE)=I32,"","DNF"),"")</f>
        <v/>
      </c>
      <c r="W32" s="9"/>
      <c r="X32" s="9"/>
    </row>
    <row r="33" spans="1:24">
      <c r="A33" s="53">
        <f>IF(SortedDownload!A33 &lt; 1,"",SortedDownload!A33)</f>
        <v>187</v>
      </c>
      <c r="B33" s="55">
        <f>IF(V33&lt;&gt;"","DNF",COUNTIF($V$3:V33,V33))</f>
        <v>31</v>
      </c>
      <c r="C33" s="54">
        <f>IF(OR(B33="DNF",H33=""),"DNF",COUNTIF($H$3:H33,H33))</f>
        <v>5</v>
      </c>
      <c r="D33" s="90" t="str">
        <f>IFERROR(VLOOKUP($A33,EntryList!$A$3:$N$596,2,FALSE),"")</f>
        <v>James Owen</v>
      </c>
      <c r="E33" s="54">
        <f>IFERROR(VLOOKUP($A33,EntryList!$A$3:$V$596,19,FALSE),"")</f>
        <v>0</v>
      </c>
      <c r="F33" s="176">
        <f>IFERROR(VLOOKUP($A33,EntryList!$A$3:$V$596,18,FALSE),"")</f>
        <v>0</v>
      </c>
      <c r="G33" s="90" t="str">
        <f>IFERROR(VLOOKUP($A33,EntryList!$A$3:$N$596,6,FALSE),"")</f>
        <v>M</v>
      </c>
      <c r="H33" s="90" t="str">
        <f>IFERROR(VLOOKUP($A33,EntryList!$A$3:$N$596,7,FALSE),"")</f>
        <v>Master Men</v>
      </c>
      <c r="I33" s="54">
        <f>IFERROR(VLOOKUP($A33,SortedDownload!$A$3:$Z529,4,FALSE),"")</f>
        <v>5</v>
      </c>
      <c r="J33" s="59" t="str">
        <f>IFERROR(VLOOKUP($A33,SortedDownload!$A$3:$BB$499,23,FALSE),"")</f>
        <v>00:03:43.7 (39)</v>
      </c>
      <c r="K33" s="59" t="str">
        <f>IFERROR(VLOOKUP($A33,SortedDownload!$A$3:$BB$499,24,FALSE),"")</f>
        <v>00:03:41.9 (22)</v>
      </c>
      <c r="L33" s="59" t="str">
        <f>IFERROR(VLOOKUP($A33,SortedDownload!$A$3:$BB$499,25,FALSE),"")</f>
        <v>00:02:07.5 (34)</v>
      </c>
      <c r="M33" s="59" t="str">
        <f>IFERROR(VLOOKUP($A33,SortedDownload!$A$3:$BB$499,26,FALSE),"")</f>
        <v>00:04:12.9 (33)</v>
      </c>
      <c r="N33" s="59" t="str">
        <f>IFERROR(VLOOKUP($A33,SortedDownload!$A$3:$BB$499,27,FALSE),"")</f>
        <v>00:05:17.9 (50)</v>
      </c>
      <c r="O33" s="59" t="str">
        <f>IFERROR(VLOOKUP($A33,SortedDownload!$A$3:$BB$499,28,FALSE),"")</f>
        <v>DNS/DNF ()</v>
      </c>
      <c r="P33" s="59" t="str">
        <f>IFERROR(VLOOKUP($A33,SortedDownload!$A$3:$BB$499,29,FALSE),"")</f>
        <v>DNS/DNF ()</v>
      </c>
      <c r="Q33" s="59" t="str">
        <f>IFERROR(VLOOKUP($A33,SortedDownload!$A$3:$BB$499,30,FALSE),"")</f>
        <v>DNS/DNF ()</v>
      </c>
      <c r="R33" s="62" t="str">
        <f>IFERROR(TEXT(VLOOKUP($A33,SortedDownload!$A$3:$Z$499,14,FALSE),"[hh]:mm:ss.000"),"")</f>
        <v>00:19:03.771</v>
      </c>
      <c r="S33" s="83" t="str">
        <f t="shared" si="2"/>
        <v>00:00</v>
      </c>
      <c r="T33" s="83" t="str">
        <f t="shared" si="0"/>
        <v>02:14</v>
      </c>
      <c r="U33" s="9" t="str">
        <f t="shared" si="1"/>
        <v/>
      </c>
      <c r="V33" s="20" t="str">
        <f>IFERROR(IF(VLOOKUP(H33,AgeCategories!$D$3:$J$32,7,FALSE)=I33,"","DNF"),"")</f>
        <v/>
      </c>
      <c r="W33" s="9"/>
      <c r="X33" s="9"/>
    </row>
    <row r="34" spans="1:24">
      <c r="A34" s="53">
        <f>IF(SortedDownload!A34 &lt; 1,"",SortedDownload!A34)</f>
        <v>55</v>
      </c>
      <c r="B34" s="55">
        <f>IF(V34&lt;&gt;"","DNF",COUNTIF($V$3:V34,V34))</f>
        <v>32</v>
      </c>
      <c r="C34" s="54">
        <f>IF(OR(B34="DNF",H34=""),"DNF",COUNTIF($H$3:H34,H34))</f>
        <v>7</v>
      </c>
      <c r="D34" s="90" t="str">
        <f>IFERROR(VLOOKUP($A34,EntryList!$A$3:$N$596,2,FALSE),"")</f>
        <v>Nic Rezelman</v>
      </c>
      <c r="E34" s="54">
        <f>IFERROR(VLOOKUP($A34,EntryList!$A$3:$V$596,19,FALSE),"")</f>
        <v>0</v>
      </c>
      <c r="F34" s="176">
        <f>IFERROR(VLOOKUP($A34,EntryList!$A$3:$V$596,18,FALSE),"")</f>
        <v>0</v>
      </c>
      <c r="G34" s="90" t="str">
        <f>IFERROR(VLOOKUP($A34,EntryList!$A$3:$N$596,6,FALSE),"")</f>
        <v>M</v>
      </c>
      <c r="H34" s="90" t="str">
        <f>IFERROR(VLOOKUP($A34,EntryList!$A$3:$N$596,7,FALSE),"")</f>
        <v>E-Bike M</v>
      </c>
      <c r="I34" s="54">
        <f>IFERROR(VLOOKUP($A34,SortedDownload!$A$3:$Z530,4,FALSE),"")</f>
        <v>5</v>
      </c>
      <c r="J34" s="59" t="str">
        <f>IFERROR(VLOOKUP($A34,SortedDownload!$A$3:$BB$499,23,FALSE),"")</f>
        <v>00:03:53.6 (53)</v>
      </c>
      <c r="K34" s="59" t="str">
        <f>IFERROR(VLOOKUP($A34,SortedDownload!$A$3:$BB$499,24,FALSE),"")</f>
        <v>00:03:42.2 (23)</v>
      </c>
      <c r="L34" s="59" t="str">
        <f>IFERROR(VLOOKUP($A34,SortedDownload!$A$3:$BB$499,25,FALSE),"")</f>
        <v>00:02:09.3 (40)</v>
      </c>
      <c r="M34" s="59" t="str">
        <f>IFERROR(VLOOKUP($A34,SortedDownload!$A$3:$BB$499,26,FALSE),"")</f>
        <v>00:04:09.0 (29)</v>
      </c>
      <c r="N34" s="59" t="str">
        <f>IFERROR(VLOOKUP($A34,SortedDownload!$A$3:$BB$499,27,FALSE),"")</f>
        <v>00:05:09.9 (31)</v>
      </c>
      <c r="O34" s="59" t="str">
        <f>IFERROR(VLOOKUP($A34,SortedDownload!$A$3:$BB$499,28,FALSE),"")</f>
        <v>DNS/DNF ()</v>
      </c>
      <c r="P34" s="59" t="str">
        <f>IFERROR(VLOOKUP($A34,SortedDownload!$A$3:$BB$499,29,FALSE),"")</f>
        <v>DNS/DNF ()</v>
      </c>
      <c r="Q34" s="59" t="str">
        <f>IFERROR(VLOOKUP($A34,SortedDownload!$A$3:$BB$499,30,FALSE),"")</f>
        <v>DNS/DNF ()</v>
      </c>
      <c r="R34" s="62" t="str">
        <f>IFERROR(TEXT(VLOOKUP($A34,SortedDownload!$A$3:$Z$499,14,FALSE),"[hh]:mm:ss.000"),"")</f>
        <v>00:19:03.982</v>
      </c>
      <c r="S34" s="83" t="str">
        <f t="shared" si="2"/>
        <v>00:00</v>
      </c>
      <c r="T34" s="83" t="str">
        <f t="shared" si="0"/>
        <v>02:14</v>
      </c>
      <c r="U34" s="9" t="str">
        <f t="shared" si="1"/>
        <v/>
      </c>
      <c r="V34" s="20" t="str">
        <f>IFERROR(IF(VLOOKUP(H34,AgeCategories!$D$3:$J$32,7,FALSE)=I34,"","DNF"),"")</f>
        <v/>
      </c>
      <c r="W34" s="9"/>
      <c r="X34" s="9"/>
    </row>
    <row r="35" spans="1:24">
      <c r="A35" s="53">
        <f>IF(SortedDownload!A35 &lt; 1,"",SortedDownload!A35)</f>
        <v>160</v>
      </c>
      <c r="B35" s="55">
        <f>IF(V35&lt;&gt;"","DNF",COUNTIF($V$3:V35,V35))</f>
        <v>33</v>
      </c>
      <c r="C35" s="54">
        <f>IF(OR(B35="DNF",H35=""),"DNF",COUNTIF($H$3:H35,H35))</f>
        <v>11</v>
      </c>
      <c r="D35" s="90" t="str">
        <f>IFERROR(VLOOKUP($A35,EntryList!$A$3:$N$596,2,FALSE),"")</f>
        <v>Francois Van Schalkwyk</v>
      </c>
      <c r="E35" s="54">
        <f>IFERROR(VLOOKUP($A35,EntryList!$A$3:$V$596,19,FALSE),"")</f>
        <v>0</v>
      </c>
      <c r="F35" s="176">
        <f>IFERROR(VLOOKUP($A35,EntryList!$A$3:$V$596,18,FALSE),"")</f>
        <v>0</v>
      </c>
      <c r="G35" s="90" t="str">
        <f>IFERROR(VLOOKUP($A35,EntryList!$A$3:$N$596,6,FALSE),"")</f>
        <v>M</v>
      </c>
      <c r="H35" s="90" t="str">
        <f>IFERROR(VLOOKUP($A35,EntryList!$A$3:$N$596,7,FALSE),"")</f>
        <v>Elite Men</v>
      </c>
      <c r="I35" s="54">
        <f>IFERROR(VLOOKUP($A35,SortedDownload!$A$3:$Z531,4,FALSE),"")</f>
        <v>5</v>
      </c>
      <c r="J35" s="59" t="str">
        <f>IFERROR(VLOOKUP($A35,SortedDownload!$A$3:$BB$499,23,FALSE),"")</f>
        <v>00:03:40.1 (35)</v>
      </c>
      <c r="K35" s="59" t="str">
        <f>IFERROR(VLOOKUP($A35,SortedDownload!$A$3:$BB$499,24,FALSE),"")</f>
        <v>00:03:48.6 (33)</v>
      </c>
      <c r="L35" s="59" t="str">
        <f>IFERROR(VLOOKUP($A35,SortedDownload!$A$3:$BB$499,25,FALSE),"")</f>
        <v>00:02:20.6 (77)</v>
      </c>
      <c r="M35" s="59" t="str">
        <f>IFERROR(VLOOKUP($A35,SortedDownload!$A$3:$BB$499,26,FALSE),"")</f>
        <v>00:04:06.1 (24)</v>
      </c>
      <c r="N35" s="59" t="str">
        <f>IFERROR(VLOOKUP($A35,SortedDownload!$A$3:$BB$499,27,FALSE),"")</f>
        <v>00:05:15.6 (46)</v>
      </c>
      <c r="O35" s="59" t="str">
        <f>IFERROR(VLOOKUP($A35,SortedDownload!$A$3:$BB$499,28,FALSE),"")</f>
        <v>DNS/DNF ()</v>
      </c>
      <c r="P35" s="59" t="str">
        <f>IFERROR(VLOOKUP($A35,SortedDownload!$A$3:$BB$499,29,FALSE),"")</f>
        <v>DNS/DNF ()</v>
      </c>
      <c r="Q35" s="59" t="str">
        <f>IFERROR(VLOOKUP($A35,SortedDownload!$A$3:$BB$499,30,FALSE),"")</f>
        <v>DNS/DNF ()</v>
      </c>
      <c r="R35" s="62" t="str">
        <f>IFERROR(TEXT(VLOOKUP($A35,SortedDownload!$A$3:$Z$499,14,FALSE),"[hh]:mm:ss.000"),"")</f>
        <v>00:19:10.925</v>
      </c>
      <c r="S35" s="83" t="str">
        <f t="shared" si="2"/>
        <v>00:07</v>
      </c>
      <c r="T35" s="83" t="str">
        <f t="shared" si="0"/>
        <v>02:21</v>
      </c>
      <c r="U35" s="9" t="str">
        <f t="shared" si="1"/>
        <v/>
      </c>
      <c r="V35" s="20" t="str">
        <f>IFERROR(IF(VLOOKUP(H35,AgeCategories!$D$3:$J$32,7,FALSE)=I35,"","DNF"),"")</f>
        <v/>
      </c>
      <c r="W35" s="9"/>
      <c r="X35" s="9"/>
    </row>
    <row r="36" spans="1:24">
      <c r="A36" s="53">
        <f>IF(SortedDownload!A36 &lt; 1,"",SortedDownload!A36)</f>
        <v>285</v>
      </c>
      <c r="B36" s="55">
        <f>IF(V36&lt;&gt;"","DNF",COUNTIF($V$3:V36,V36))</f>
        <v>34</v>
      </c>
      <c r="C36" s="54">
        <f>IF(OR(B36="DNF",H36=""),"DNF",COUNTIF($H$3:H36,H36))</f>
        <v>12</v>
      </c>
      <c r="D36" s="90" t="str">
        <f>IFERROR(VLOOKUP($A36,EntryList!$A$3:$N$596,2,FALSE),"")</f>
        <v>Piet Brummer</v>
      </c>
      <c r="E36" s="54" t="str">
        <f>IFERROR(VLOOKUP($A36,EntryList!$A$3:$V$596,19,FALSE),"")</f>
        <v/>
      </c>
      <c r="F36" s="176" t="str">
        <f>IFERROR(VLOOKUP($A36,EntryList!$A$3:$V$596,18,FALSE),"")</f>
        <v/>
      </c>
      <c r="G36" s="90" t="str">
        <f>IFERROR(VLOOKUP($A36,EntryList!$A$3:$N$596,6,FALSE),"")</f>
        <v>M</v>
      </c>
      <c r="H36" s="90" t="str">
        <f>IFERROR(VLOOKUP($A36,EntryList!$A$3:$N$596,7,FALSE),"")</f>
        <v>Elite Men</v>
      </c>
      <c r="I36" s="54">
        <f>IFERROR(VLOOKUP($A36,SortedDownload!$A$3:$Z532,4,FALSE),"")</f>
        <v>5</v>
      </c>
      <c r="J36" s="59" t="str">
        <f>IFERROR(VLOOKUP($A36,SortedDownload!$A$3:$BB$499,23,FALSE),"")</f>
        <v>00:03:30.6 (22)</v>
      </c>
      <c r="K36" s="59" t="str">
        <f>IFERROR(VLOOKUP($A36,SortedDownload!$A$3:$BB$499,24,FALSE),"")</f>
        <v>00:03:56.5 (55)</v>
      </c>
      <c r="L36" s="59" t="str">
        <f>IFERROR(VLOOKUP($A36,SortedDownload!$A$3:$BB$499,25,FALSE),"")</f>
        <v>00:02:10.4 (46)</v>
      </c>
      <c r="M36" s="59" t="str">
        <f>IFERROR(VLOOKUP($A36,SortedDownload!$A$3:$BB$499,26,FALSE),"")</f>
        <v>00:04:23.5 (54)</v>
      </c>
      <c r="N36" s="59" t="str">
        <f>IFERROR(VLOOKUP($A36,SortedDownload!$A$3:$BB$499,27,FALSE),"")</f>
        <v>00:05:10.0 (32)</v>
      </c>
      <c r="O36" s="59" t="str">
        <f>IFERROR(VLOOKUP($A36,SortedDownload!$A$3:$BB$499,28,FALSE),"")</f>
        <v>DNS/DNF ()</v>
      </c>
      <c r="P36" s="59" t="str">
        <f>IFERROR(VLOOKUP($A36,SortedDownload!$A$3:$BB$499,29,FALSE),"")</f>
        <v>DNS/DNF ()</v>
      </c>
      <c r="Q36" s="59" t="str">
        <f>IFERROR(VLOOKUP($A36,SortedDownload!$A$3:$BB$499,30,FALSE),"")</f>
        <v>DNS/DNF ()</v>
      </c>
      <c r="R36" s="62" t="str">
        <f>IFERROR(TEXT(VLOOKUP($A36,SortedDownload!$A$3:$Z$499,14,FALSE),"[hh]:mm:ss.000"),"")</f>
        <v>00:19:10.972</v>
      </c>
      <c r="S36" s="83" t="str">
        <f t="shared" si="2"/>
        <v>00:00</v>
      </c>
      <c r="T36" s="83" t="str">
        <f t="shared" si="0"/>
        <v>02:21</v>
      </c>
      <c r="U36" s="9" t="str">
        <f t="shared" si="1"/>
        <v/>
      </c>
      <c r="V36" s="20" t="str">
        <f>IFERROR(IF(VLOOKUP(H36,AgeCategories!$D$3:$J$32,7,FALSE)=I36,"","DNF"),"")</f>
        <v/>
      </c>
      <c r="W36" s="9"/>
      <c r="X36" s="9"/>
    </row>
    <row r="37" spans="1:24">
      <c r="A37" s="53">
        <f>IF(SortedDownload!A37 &lt; 1,"",SortedDownload!A37)</f>
        <v>208</v>
      </c>
      <c r="B37" s="55">
        <f>IF(V37&lt;&gt;"","DNF",COUNTIF($V$3:V37,V37))</f>
        <v>35</v>
      </c>
      <c r="C37" s="54">
        <f>IF(OR(B37="DNF",H37=""),"DNF",COUNTIF($H$3:H37,H37))</f>
        <v>4</v>
      </c>
      <c r="D37" s="90" t="str">
        <f>IFERROR(VLOOKUP($A37,EntryList!$A$3:$N$596,2,FALSE),"")</f>
        <v>Lood Goosen</v>
      </c>
      <c r="E37" s="54">
        <f>IFERROR(VLOOKUP($A37,EntryList!$A$3:$V$596,19,FALSE),"")</f>
        <v>0</v>
      </c>
      <c r="F37" s="176">
        <f>IFERROR(VLOOKUP($A37,EntryList!$A$3:$V$596,18,FALSE),"")</f>
        <v>0</v>
      </c>
      <c r="G37" s="90" t="str">
        <f>IFERROR(VLOOKUP($A37,EntryList!$A$3:$N$596,6,FALSE),"")</f>
        <v>M</v>
      </c>
      <c r="H37" s="90" t="str">
        <f>IFERROR(VLOOKUP($A37,EntryList!$A$3:$N$596,7,FALSE),"")</f>
        <v>Junior Men</v>
      </c>
      <c r="I37" s="54">
        <f>IFERROR(VLOOKUP($A37,SortedDownload!$A$3:$Z533,4,FALSE),"")</f>
        <v>5</v>
      </c>
      <c r="J37" s="59" t="str">
        <f>IFERROR(VLOOKUP($A37,SortedDownload!$A$3:$BB$499,23,FALSE),"")</f>
        <v>00:03:45.1 (44)</v>
      </c>
      <c r="K37" s="59" t="str">
        <f>IFERROR(VLOOKUP($A37,SortedDownload!$A$3:$BB$499,24,FALSE),"")</f>
        <v>00:03:52.7 (43)</v>
      </c>
      <c r="L37" s="59" t="str">
        <f>IFERROR(VLOOKUP($A37,SortedDownload!$A$3:$BB$499,25,FALSE),"")</f>
        <v>00:02:10.8 (50)</v>
      </c>
      <c r="M37" s="59" t="str">
        <f>IFERROR(VLOOKUP($A37,SortedDownload!$A$3:$BB$499,26,FALSE),"")</f>
        <v>00:04:17.5 (41)</v>
      </c>
      <c r="N37" s="59" t="str">
        <f>IFERROR(VLOOKUP($A37,SortedDownload!$A$3:$BB$499,27,FALSE),"")</f>
        <v>00:05:05.2 (24)</v>
      </c>
      <c r="O37" s="59" t="str">
        <f>IFERROR(VLOOKUP($A37,SortedDownload!$A$3:$BB$499,28,FALSE),"")</f>
        <v>DNS/DNF ()</v>
      </c>
      <c r="P37" s="59" t="str">
        <f>IFERROR(VLOOKUP($A37,SortedDownload!$A$3:$BB$499,29,FALSE),"")</f>
        <v>DNS/DNF ()</v>
      </c>
      <c r="Q37" s="59" t="str">
        <f>IFERROR(VLOOKUP($A37,SortedDownload!$A$3:$BB$499,30,FALSE),"")</f>
        <v>DNS/DNF ()</v>
      </c>
      <c r="R37" s="62" t="str">
        <f>IFERROR(TEXT(VLOOKUP($A37,SortedDownload!$A$3:$Z$499,14,FALSE),"[hh]:mm:ss.000"),"")</f>
        <v>00:19:11.293</v>
      </c>
      <c r="S37" s="83" t="str">
        <f t="shared" si="2"/>
        <v>00:00</v>
      </c>
      <c r="T37" s="83" t="str">
        <f t="shared" si="0"/>
        <v>02:21</v>
      </c>
      <c r="U37" s="9" t="str">
        <f t="shared" si="1"/>
        <v/>
      </c>
      <c r="V37" s="20" t="str">
        <f>IFERROR(IF(VLOOKUP(H37,AgeCategories!$D$3:$J$32,7,FALSE)=I37,"","DNF"),"")</f>
        <v/>
      </c>
      <c r="W37" s="9"/>
      <c r="X37" s="9"/>
    </row>
    <row r="38" spans="1:24">
      <c r="A38" s="53">
        <f>IF(SortedDownload!A38 &lt; 1,"",SortedDownload!A38)</f>
        <v>16</v>
      </c>
      <c r="B38" s="55">
        <f>IF(V38&lt;&gt;"","DNF",COUNTIF($V$3:V38,V38))</f>
        <v>36</v>
      </c>
      <c r="C38" s="54">
        <f>IF(OR(B38="DNF",H38=""),"DNF",COUNTIF($H$3:H38,H38))</f>
        <v>8</v>
      </c>
      <c r="D38" s="90" t="str">
        <f>IFERROR(VLOOKUP($A38,EntryList!$A$3:$N$596,2,FALSE),"")</f>
        <v>Seth Barnard</v>
      </c>
      <c r="E38" s="54">
        <f>IFERROR(VLOOKUP($A38,EntryList!$A$3:$V$596,19,FALSE),"")</f>
        <v>0</v>
      </c>
      <c r="F38" s="176">
        <f>IFERROR(VLOOKUP($A38,EntryList!$A$3:$V$596,18,FALSE),"")</f>
        <v>0</v>
      </c>
      <c r="G38" s="90" t="str">
        <f>IFERROR(VLOOKUP($A38,EntryList!$A$3:$N$596,6,FALSE),"")</f>
        <v>M</v>
      </c>
      <c r="H38" s="90" t="str">
        <f>IFERROR(VLOOKUP($A38,EntryList!$A$3:$N$596,7,FALSE),"")</f>
        <v>Youth Men</v>
      </c>
      <c r="I38" s="54">
        <f>IFERROR(VLOOKUP($A38,SortedDownload!$A$3:$Z534,4,FALSE),"")</f>
        <v>5</v>
      </c>
      <c r="J38" s="59" t="str">
        <f>IFERROR(VLOOKUP($A38,SortedDownload!$A$3:$BB$499,23,FALSE),"")</f>
        <v>00:03:45.6 (45)</v>
      </c>
      <c r="K38" s="59" t="str">
        <f>IFERROR(VLOOKUP($A38,SortedDownload!$A$3:$BB$499,24,FALSE),"")</f>
        <v>00:03:53.6 (47)</v>
      </c>
      <c r="L38" s="59" t="str">
        <f>IFERROR(VLOOKUP($A38,SortedDownload!$A$3:$BB$499,25,FALSE),"")</f>
        <v>00:02:05.8 (29)</v>
      </c>
      <c r="M38" s="59" t="str">
        <f>IFERROR(VLOOKUP($A38,SortedDownload!$A$3:$BB$499,26,FALSE),"")</f>
        <v>00:04:12.7 (32)</v>
      </c>
      <c r="N38" s="59" t="str">
        <f>IFERROR(VLOOKUP($A38,SortedDownload!$A$3:$BB$499,27,FALSE),"")</f>
        <v>00:05:15.4 (44)</v>
      </c>
      <c r="O38" s="59" t="str">
        <f>IFERROR(VLOOKUP($A38,SortedDownload!$A$3:$BB$499,28,FALSE),"")</f>
        <v>DNS/DNF ()</v>
      </c>
      <c r="P38" s="59" t="str">
        <f>IFERROR(VLOOKUP($A38,SortedDownload!$A$3:$BB$499,29,FALSE),"")</f>
        <v>DNS/DNF ()</v>
      </c>
      <c r="Q38" s="59" t="str">
        <f>IFERROR(VLOOKUP($A38,SortedDownload!$A$3:$BB$499,30,FALSE),"")</f>
        <v>DNS/DNF ()</v>
      </c>
      <c r="R38" s="62" t="str">
        <f>IFERROR(TEXT(VLOOKUP($A38,SortedDownload!$A$3:$Z$499,14,FALSE),"[hh]:mm:ss.000"),"")</f>
        <v>00:19:13.167</v>
      </c>
      <c r="S38" s="83" t="str">
        <f t="shared" si="2"/>
        <v>00:02</v>
      </c>
      <c r="T38" s="83" t="str">
        <f t="shared" si="0"/>
        <v>02:23</v>
      </c>
      <c r="U38" s="9" t="str">
        <f t="shared" si="1"/>
        <v/>
      </c>
      <c r="V38" s="20" t="str">
        <f>IFERROR(IF(VLOOKUP(H38,AgeCategories!$D$3:$J$32,7,FALSE)=I38,"","DNF"),"")</f>
        <v/>
      </c>
      <c r="W38" s="9"/>
      <c r="X38" s="9"/>
    </row>
    <row r="39" spans="1:24">
      <c r="A39" s="53">
        <f>IF(SortedDownload!A39 &lt; 1,"",SortedDownload!A39)</f>
        <v>126</v>
      </c>
      <c r="B39" s="55">
        <f>IF(V39&lt;&gt;"","DNF",COUNTIF($V$3:V39,V39))</f>
        <v>37</v>
      </c>
      <c r="C39" s="54">
        <f>IF(OR(B39="DNF",H39=""),"DNF",COUNTIF($H$3:H39,H39))</f>
        <v>13</v>
      </c>
      <c r="D39" s="90" t="str">
        <f>IFERROR(VLOOKUP($A39,EntryList!$A$3:$N$596,2,FALSE),"")</f>
        <v>Luke Moir</v>
      </c>
      <c r="E39" s="54">
        <f>IFERROR(VLOOKUP($A39,EntryList!$A$3:$V$596,19,FALSE),"")</f>
        <v>0</v>
      </c>
      <c r="F39" s="176">
        <f>IFERROR(VLOOKUP($A39,EntryList!$A$3:$V$596,18,FALSE),"")</f>
        <v>0</v>
      </c>
      <c r="G39" s="90" t="str">
        <f>IFERROR(VLOOKUP($A39,EntryList!$A$3:$N$596,6,FALSE),"")</f>
        <v>M</v>
      </c>
      <c r="H39" s="90" t="str">
        <f>IFERROR(VLOOKUP($A39,EntryList!$A$3:$N$596,7,FALSE),"")</f>
        <v>Elite Men</v>
      </c>
      <c r="I39" s="54">
        <f>IFERROR(VLOOKUP($A39,SortedDownload!$A$3:$Z535,4,FALSE),"")</f>
        <v>5</v>
      </c>
      <c r="J39" s="59" t="str">
        <f>IFERROR(VLOOKUP($A39,SortedDownload!$A$3:$BB$499,23,FALSE),"")</f>
        <v>00:03:13.4 (8)</v>
      </c>
      <c r="K39" s="59" t="str">
        <f>IFERROR(VLOOKUP($A39,SortedDownload!$A$3:$BB$499,24,FALSE),"")</f>
        <v>00:03:37.8 (17)</v>
      </c>
      <c r="L39" s="59" t="str">
        <f>IFERROR(VLOOKUP($A39,SortedDownload!$A$3:$BB$499,25,FALSE),"")</f>
        <v>00:01:59.0 (10)</v>
      </c>
      <c r="M39" s="59" t="str">
        <f>IFERROR(VLOOKUP($A39,SortedDownload!$A$3:$BB$499,26,FALSE),"")</f>
        <v>00:05:40.1 (126)</v>
      </c>
      <c r="N39" s="59" t="str">
        <f>IFERROR(VLOOKUP($A39,SortedDownload!$A$3:$BB$499,27,FALSE),"")</f>
        <v>00:04:44.1 (3)</v>
      </c>
      <c r="O39" s="59" t="str">
        <f>IFERROR(VLOOKUP($A39,SortedDownload!$A$3:$BB$499,28,FALSE),"")</f>
        <v>DNS/DNF ()</v>
      </c>
      <c r="P39" s="59" t="str">
        <f>IFERROR(VLOOKUP($A39,SortedDownload!$A$3:$BB$499,29,FALSE),"")</f>
        <v>DNS/DNF ()</v>
      </c>
      <c r="Q39" s="59" t="str">
        <f>IFERROR(VLOOKUP($A39,SortedDownload!$A$3:$BB$499,30,FALSE),"")</f>
        <v>DNS/DNF ()</v>
      </c>
      <c r="R39" s="62" t="str">
        <f>IFERROR(TEXT(VLOOKUP($A39,SortedDownload!$A$3:$Z$499,14,FALSE),"[hh]:mm:ss.000"),"")</f>
        <v>00:19:14.378</v>
      </c>
      <c r="S39" s="83" t="str">
        <f t="shared" si="2"/>
        <v>00:01</v>
      </c>
      <c r="T39" s="83" t="str">
        <f t="shared" si="0"/>
        <v>02:24</v>
      </c>
      <c r="U39" s="9" t="str">
        <f t="shared" si="1"/>
        <v/>
      </c>
      <c r="V39" s="20" t="str">
        <f>IFERROR(IF(VLOOKUP(H39,AgeCategories!$D$3:$J$32,7,FALSE)=I39,"","DNF"),"")</f>
        <v/>
      </c>
      <c r="W39" s="9"/>
      <c r="X39" s="9"/>
    </row>
    <row r="40" spans="1:24">
      <c r="A40" s="53">
        <f>IF(SortedDownload!A40 &lt; 1,"",SortedDownload!A40)</f>
        <v>84</v>
      </c>
      <c r="B40" s="55">
        <f>IF(V40&lt;&gt;"","DNF",COUNTIF($V$3:V40,V40))</f>
        <v>38</v>
      </c>
      <c r="C40" s="54">
        <f>IF(OR(B40="DNF",H40=""),"DNF",COUNTIF($H$3:H40,H40))</f>
        <v>6</v>
      </c>
      <c r="D40" s="90" t="str">
        <f>IFERROR(VLOOKUP($A40,EntryList!$A$3:$N$596,2,FALSE),"")</f>
        <v>Stefan Boshoff</v>
      </c>
      <c r="E40" s="54">
        <f>IFERROR(VLOOKUP($A40,EntryList!$A$3:$V$596,19,FALSE),"")</f>
        <v>0</v>
      </c>
      <c r="F40" s="176">
        <f>IFERROR(VLOOKUP($A40,EntryList!$A$3:$V$596,18,FALSE),"")</f>
        <v>0</v>
      </c>
      <c r="G40" s="90" t="str">
        <f>IFERROR(VLOOKUP($A40,EntryList!$A$3:$N$596,6,FALSE),"")</f>
        <v>M</v>
      </c>
      <c r="H40" s="90" t="str">
        <f>IFERROR(VLOOKUP($A40,EntryList!$A$3:$N$596,7,FALSE),"")</f>
        <v>Master Men</v>
      </c>
      <c r="I40" s="54">
        <f>IFERROR(VLOOKUP($A40,SortedDownload!$A$3:$Z536,4,FALSE),"")</f>
        <v>5</v>
      </c>
      <c r="J40" s="59" t="str">
        <f>IFERROR(VLOOKUP($A40,SortedDownload!$A$3:$BB$499,23,FALSE),"")</f>
        <v>00:03:40.4 (37)</v>
      </c>
      <c r="K40" s="59" t="str">
        <f>IFERROR(VLOOKUP($A40,SortedDownload!$A$3:$BB$499,24,FALSE),"")</f>
        <v>00:03:53.1 (46)</v>
      </c>
      <c r="L40" s="59" t="str">
        <f>IFERROR(VLOOKUP($A40,SortedDownload!$A$3:$BB$499,25,FALSE),"")</f>
        <v>00:02:05.1 (26)</v>
      </c>
      <c r="M40" s="59" t="str">
        <f>IFERROR(VLOOKUP($A40,SortedDownload!$A$3:$BB$499,26,FALSE),"")</f>
        <v>00:04:16.0 (38)</v>
      </c>
      <c r="N40" s="59" t="str">
        <f>IFERROR(VLOOKUP($A40,SortedDownload!$A$3:$BB$499,27,FALSE),"")</f>
        <v>00:05:20.8 (54)</v>
      </c>
      <c r="O40" s="59" t="str">
        <f>IFERROR(VLOOKUP($A40,SortedDownload!$A$3:$BB$499,28,FALSE),"")</f>
        <v>DNS/DNF ()</v>
      </c>
      <c r="P40" s="59" t="str">
        <f>IFERROR(VLOOKUP($A40,SortedDownload!$A$3:$BB$499,29,FALSE),"")</f>
        <v>DNS/DNF ()</v>
      </c>
      <c r="Q40" s="59" t="str">
        <f>IFERROR(VLOOKUP($A40,SortedDownload!$A$3:$BB$499,30,FALSE),"")</f>
        <v>DNS/DNF ()</v>
      </c>
      <c r="R40" s="62" t="str">
        <f>IFERROR(TEXT(VLOOKUP($A40,SortedDownload!$A$3:$Z$499,14,FALSE),"[hh]:mm:ss.000"),"")</f>
        <v>00:19:15.336</v>
      </c>
      <c r="S40" s="83" t="str">
        <f t="shared" si="2"/>
        <v>00:01</v>
      </c>
      <c r="T40" s="83" t="str">
        <f t="shared" si="0"/>
        <v>02:25</v>
      </c>
      <c r="U40" s="9" t="str">
        <f t="shared" si="1"/>
        <v/>
      </c>
      <c r="V40" s="20" t="str">
        <f>IFERROR(IF(VLOOKUP(H40,AgeCategories!$D$3:$J$32,7,FALSE)=I40,"","DNF"),"")</f>
        <v/>
      </c>
      <c r="W40" s="9"/>
      <c r="X40" s="9"/>
    </row>
    <row r="41" spans="1:24">
      <c r="A41" s="53">
        <f>IF(SortedDownload!A41 &lt; 1,"",SortedDownload!A41)</f>
        <v>17</v>
      </c>
      <c r="B41" s="55">
        <f>IF(V41&lt;&gt;"","DNF",COUNTIF($V$3:V41,V41))</f>
        <v>39</v>
      </c>
      <c r="C41" s="54">
        <f>IF(OR(B41="DNF",H41=""),"DNF",COUNTIF($H$3:H41,H41))</f>
        <v>9</v>
      </c>
      <c r="D41" s="90" t="str">
        <f>IFERROR(VLOOKUP($A41,EntryList!$A$3:$N$596,2,FALSE),"")</f>
        <v>Alexander Jonker</v>
      </c>
      <c r="E41" s="54">
        <f>IFERROR(VLOOKUP($A41,EntryList!$A$3:$V$596,19,FALSE),"")</f>
        <v>0</v>
      </c>
      <c r="F41" s="176">
        <f>IFERROR(VLOOKUP($A41,EntryList!$A$3:$V$596,18,FALSE),"")</f>
        <v>0</v>
      </c>
      <c r="G41" s="90" t="str">
        <f>IFERROR(VLOOKUP($A41,EntryList!$A$3:$N$596,6,FALSE),"")</f>
        <v>M</v>
      </c>
      <c r="H41" s="90" t="str">
        <f>IFERROR(VLOOKUP($A41,EntryList!$A$3:$N$596,7,FALSE),"")</f>
        <v>Youth Men</v>
      </c>
      <c r="I41" s="54">
        <f>IFERROR(VLOOKUP($A41,SortedDownload!$A$3:$Z537,4,FALSE),"")</f>
        <v>5</v>
      </c>
      <c r="J41" s="59" t="str">
        <f>IFERROR(VLOOKUP($A41,SortedDownload!$A$3:$BB$499,23,FALSE),"")</f>
        <v>00:03:33.5 (26)</v>
      </c>
      <c r="K41" s="59" t="str">
        <f>IFERROR(VLOOKUP($A41,SortedDownload!$A$3:$BB$499,24,FALSE),"")</f>
        <v>00:04:03.9 (73)</v>
      </c>
      <c r="L41" s="59" t="str">
        <f>IFERROR(VLOOKUP($A41,SortedDownload!$A$3:$BB$499,25,FALSE),"")</f>
        <v>00:02:10.8 (51)</v>
      </c>
      <c r="M41" s="59" t="str">
        <f>IFERROR(VLOOKUP($A41,SortedDownload!$A$3:$BB$499,26,FALSE),"")</f>
        <v>00:04:18.2 (43)</v>
      </c>
      <c r="N41" s="59" t="str">
        <f>IFERROR(VLOOKUP($A41,SortedDownload!$A$3:$BB$499,27,FALSE),"")</f>
        <v>00:05:11.4 (35)</v>
      </c>
      <c r="O41" s="59" t="str">
        <f>IFERROR(VLOOKUP($A41,SortedDownload!$A$3:$BB$499,28,FALSE),"")</f>
        <v>DNS/DNF ()</v>
      </c>
      <c r="P41" s="59" t="str">
        <f>IFERROR(VLOOKUP($A41,SortedDownload!$A$3:$BB$499,29,FALSE),"")</f>
        <v>DNS/DNF ()</v>
      </c>
      <c r="Q41" s="59" t="str">
        <f>IFERROR(VLOOKUP($A41,SortedDownload!$A$3:$BB$499,30,FALSE),"")</f>
        <v>DNS/DNF ()</v>
      </c>
      <c r="R41" s="62" t="str">
        <f>IFERROR(TEXT(VLOOKUP($A41,SortedDownload!$A$3:$Z$499,14,FALSE),"[hh]:mm:ss.000"),"")</f>
        <v>00:19:17.776</v>
      </c>
      <c r="S41" s="83" t="str">
        <f t="shared" si="2"/>
        <v>00:02</v>
      </c>
      <c r="T41" s="83" t="str">
        <f t="shared" si="0"/>
        <v>02:28</v>
      </c>
      <c r="U41" s="9" t="str">
        <f t="shared" si="1"/>
        <v/>
      </c>
      <c r="V41" s="20" t="str">
        <f>IFERROR(IF(VLOOKUP(H41,AgeCategories!$D$3:$J$32,7,FALSE)=I41,"","DNF"),"")</f>
        <v/>
      </c>
      <c r="W41" s="9"/>
      <c r="X41" s="9"/>
    </row>
    <row r="42" spans="1:24">
      <c r="A42" s="53">
        <f>IF(SortedDownload!A42 &lt; 1,"",SortedDownload!A42)</f>
        <v>30</v>
      </c>
      <c r="B42" s="55">
        <f>IF(V42&lt;&gt;"","DNF",COUNTIF($V$3:V42,V42))</f>
        <v>40</v>
      </c>
      <c r="C42" s="54">
        <f>IF(OR(B42="DNF",H42=""),"DNF",COUNTIF($H$3:H42,H42))</f>
        <v>7</v>
      </c>
      <c r="D42" s="90" t="str">
        <f>IFERROR(VLOOKUP($A42,EntryList!$A$3:$N$596,2,FALSE),"")</f>
        <v>Devin Toselli</v>
      </c>
      <c r="E42" s="54">
        <f>IFERROR(VLOOKUP($A42,EntryList!$A$3:$V$596,19,FALSE),"")</f>
        <v>0</v>
      </c>
      <c r="F42" s="176">
        <f>IFERROR(VLOOKUP($A42,EntryList!$A$3:$V$596,18,FALSE),"")</f>
        <v>0</v>
      </c>
      <c r="G42" s="90" t="str">
        <f>IFERROR(VLOOKUP($A42,EntryList!$A$3:$N$596,6,FALSE),"")</f>
        <v>M</v>
      </c>
      <c r="H42" s="90" t="str">
        <f>IFERROR(VLOOKUP($A42,EntryList!$A$3:$N$596,7,FALSE),"")</f>
        <v>Master Men</v>
      </c>
      <c r="I42" s="54">
        <f>IFERROR(VLOOKUP($A42,SortedDownload!$A$3:$Z538,4,FALSE),"")</f>
        <v>5</v>
      </c>
      <c r="J42" s="59" t="str">
        <f>IFERROR(VLOOKUP($A42,SortedDownload!$A$3:$BB$499,23,FALSE),"")</f>
        <v>00:03:44.7 (43)</v>
      </c>
      <c r="K42" s="59" t="str">
        <f>IFERROR(VLOOKUP($A42,SortedDownload!$A$3:$BB$499,24,FALSE),"")</f>
        <v>00:03:49.7 (34)</v>
      </c>
      <c r="L42" s="59" t="str">
        <f>IFERROR(VLOOKUP($A42,SortedDownload!$A$3:$BB$499,25,FALSE),"")</f>
        <v>00:02:10.2 (45)</v>
      </c>
      <c r="M42" s="59" t="str">
        <f>IFERROR(VLOOKUP($A42,SortedDownload!$A$3:$BB$499,26,FALSE),"")</f>
        <v>00:04:23.2 (53)</v>
      </c>
      <c r="N42" s="59" t="str">
        <f>IFERROR(VLOOKUP($A42,SortedDownload!$A$3:$BB$499,27,FALSE),"")</f>
        <v>00:05:13.9 (41)</v>
      </c>
      <c r="O42" s="59" t="str">
        <f>IFERROR(VLOOKUP($A42,SortedDownload!$A$3:$BB$499,28,FALSE),"")</f>
        <v>DNS/DNF ()</v>
      </c>
      <c r="P42" s="59" t="str">
        <f>IFERROR(VLOOKUP($A42,SortedDownload!$A$3:$BB$499,29,FALSE),"")</f>
        <v>DNS/DNF ()</v>
      </c>
      <c r="Q42" s="59" t="str">
        <f>IFERROR(VLOOKUP($A42,SortedDownload!$A$3:$BB$499,30,FALSE),"")</f>
        <v>DNS/DNF ()</v>
      </c>
      <c r="R42" s="62" t="str">
        <f>IFERROR(TEXT(VLOOKUP($A42,SortedDownload!$A$3:$Z$499,14,FALSE),"[hh]:mm:ss.000"),"")</f>
        <v>00:19:21.726</v>
      </c>
      <c r="S42" s="83" t="str">
        <f t="shared" si="2"/>
        <v>00:04</v>
      </c>
      <c r="T42" s="83" t="str">
        <f t="shared" si="0"/>
        <v>02:32</v>
      </c>
      <c r="U42" s="9" t="str">
        <f t="shared" si="1"/>
        <v/>
      </c>
      <c r="V42" s="20" t="str">
        <f>IFERROR(IF(VLOOKUP(H42,AgeCategories!$D$3:$J$32,7,FALSE)=I42,"","DNF"),"")</f>
        <v/>
      </c>
      <c r="W42" s="9"/>
      <c r="X42" s="9"/>
    </row>
    <row r="43" spans="1:24">
      <c r="A43" s="53">
        <f>IF(SortedDownload!A43 &lt; 1,"",SortedDownload!A43)</f>
        <v>165</v>
      </c>
      <c r="B43" s="55">
        <f>IF(V43&lt;&gt;"","DNF",COUNTIF($V$3:V43,V43))</f>
        <v>41</v>
      </c>
      <c r="C43" s="54">
        <f>IF(OR(B43="DNF",H43=""),"DNF",COUNTIF($H$3:H43,H43))</f>
        <v>10</v>
      </c>
      <c r="D43" s="90" t="str">
        <f>IFERROR(VLOOKUP($A43,EntryList!$A$3:$N$596,2,FALSE),"")</f>
        <v>Christian Mocke'</v>
      </c>
      <c r="E43" s="54">
        <f>IFERROR(VLOOKUP($A43,EntryList!$A$3:$V$596,19,FALSE),"")</f>
        <v>0</v>
      </c>
      <c r="F43" s="176">
        <f>IFERROR(VLOOKUP($A43,EntryList!$A$3:$V$596,18,FALSE),"")</f>
        <v>0</v>
      </c>
      <c r="G43" s="90" t="str">
        <f>IFERROR(VLOOKUP($A43,EntryList!$A$3:$N$596,6,FALSE),"")</f>
        <v>M</v>
      </c>
      <c r="H43" s="90" t="str">
        <f>IFERROR(VLOOKUP($A43,EntryList!$A$3:$N$596,7,FALSE),"")</f>
        <v>Youth Men</v>
      </c>
      <c r="I43" s="54">
        <f>IFERROR(VLOOKUP($A43,SortedDownload!$A$3:$Z539,4,FALSE),"")</f>
        <v>5</v>
      </c>
      <c r="J43" s="59" t="str">
        <f>IFERROR(VLOOKUP($A43,SortedDownload!$A$3:$BB$499,23,FALSE),"")</f>
        <v>00:03:40.2 (36)</v>
      </c>
      <c r="K43" s="59" t="str">
        <f>IFERROR(VLOOKUP($A43,SortedDownload!$A$3:$BB$499,24,FALSE),"")</f>
        <v>00:04:02.7 (68)</v>
      </c>
      <c r="L43" s="59" t="str">
        <f>IFERROR(VLOOKUP($A43,SortedDownload!$A$3:$BB$499,25,FALSE),"")</f>
        <v>00:02:10.7 (49)</v>
      </c>
      <c r="M43" s="59" t="str">
        <f>IFERROR(VLOOKUP($A43,SortedDownload!$A$3:$BB$499,26,FALSE),"")</f>
        <v>00:04:15.2 (37)</v>
      </c>
      <c r="N43" s="59" t="str">
        <f>IFERROR(VLOOKUP($A43,SortedDownload!$A$3:$BB$499,27,FALSE),"")</f>
        <v>00:05:15.5 (45)</v>
      </c>
      <c r="O43" s="59" t="str">
        <f>IFERROR(VLOOKUP($A43,SortedDownload!$A$3:$BB$499,28,FALSE),"")</f>
        <v>DNS/DNF ()</v>
      </c>
      <c r="P43" s="59" t="str">
        <f>IFERROR(VLOOKUP($A43,SortedDownload!$A$3:$BB$499,29,FALSE),"")</f>
        <v>DNS/DNF ()</v>
      </c>
      <c r="Q43" s="59" t="str">
        <f>IFERROR(VLOOKUP($A43,SortedDownload!$A$3:$BB$499,30,FALSE),"")</f>
        <v>DNS/DNF ()</v>
      </c>
      <c r="R43" s="62" t="str">
        <f>IFERROR(TEXT(VLOOKUP($A43,SortedDownload!$A$3:$Z$499,14,FALSE),"[hh]:mm:ss.000"),"")</f>
        <v>00:19:24.250</v>
      </c>
      <c r="S43" s="83" t="str">
        <f t="shared" si="2"/>
        <v>00:03</v>
      </c>
      <c r="T43" s="83" t="str">
        <f t="shared" si="0"/>
        <v>02:34</v>
      </c>
      <c r="U43" s="9" t="str">
        <f t="shared" si="1"/>
        <v/>
      </c>
      <c r="V43" s="20" t="str">
        <f>IFERROR(IF(VLOOKUP(H43,AgeCategories!$D$3:$J$32,7,FALSE)=I43,"","DNF"),"")</f>
        <v/>
      </c>
      <c r="W43" s="9"/>
      <c r="X43" s="9"/>
    </row>
    <row r="44" spans="1:24">
      <c r="A44" s="53">
        <f>IF(SortedDownload!A44 &lt; 1,"",SortedDownload!A44)</f>
        <v>202</v>
      </c>
      <c r="B44" s="55">
        <f>IF(V44&lt;&gt;"","DNF",COUNTIF($V$3:V44,V44))</f>
        <v>42</v>
      </c>
      <c r="C44" s="54">
        <f>IF(OR(B44="DNF",H44=""),"DNF",COUNTIF($H$3:H44,H44))</f>
        <v>11</v>
      </c>
      <c r="D44" s="90" t="str">
        <f>IFERROR(VLOOKUP($A44,EntryList!$A$3:$N$596,2,FALSE),"")</f>
        <v>Jaco Van Zyl</v>
      </c>
      <c r="E44" s="54">
        <f>IFERROR(VLOOKUP($A44,EntryList!$A$3:$V$596,19,FALSE),"")</f>
        <v>0</v>
      </c>
      <c r="F44" s="176">
        <f>IFERROR(VLOOKUP($A44,EntryList!$A$3:$V$596,18,FALSE),"")</f>
        <v>0</v>
      </c>
      <c r="G44" s="90" t="str">
        <f>IFERROR(VLOOKUP($A44,EntryList!$A$3:$N$596,6,FALSE),"")</f>
        <v>M</v>
      </c>
      <c r="H44" s="90" t="str">
        <f>IFERROR(VLOOKUP($A44,EntryList!$A$3:$N$596,7,FALSE),"")</f>
        <v>Youth Men</v>
      </c>
      <c r="I44" s="54">
        <f>IFERROR(VLOOKUP($A44,SortedDownload!$A$3:$Z540,4,FALSE),"")</f>
        <v>5</v>
      </c>
      <c r="J44" s="59" t="str">
        <f>IFERROR(VLOOKUP($A44,SortedDownload!$A$3:$BB$499,23,FALSE),"")</f>
        <v>00:03:51.8 (50)</v>
      </c>
      <c r="K44" s="59" t="str">
        <f>IFERROR(VLOOKUP($A44,SortedDownload!$A$3:$BB$499,24,FALSE),"")</f>
        <v>00:03:56.0 (54)</v>
      </c>
      <c r="L44" s="59" t="str">
        <f>IFERROR(VLOOKUP($A44,SortedDownload!$A$3:$BB$499,25,FALSE),"")</f>
        <v>00:02:07.6 (35)</v>
      </c>
      <c r="M44" s="59" t="str">
        <f>IFERROR(VLOOKUP($A44,SortedDownload!$A$3:$BB$499,26,FALSE),"")</f>
        <v>00:04:16.4 (39)</v>
      </c>
      <c r="N44" s="59" t="str">
        <f>IFERROR(VLOOKUP($A44,SortedDownload!$A$3:$BB$499,27,FALSE),"")</f>
        <v>00:05:16.2 (47)</v>
      </c>
      <c r="O44" s="59" t="str">
        <f>IFERROR(VLOOKUP($A44,SortedDownload!$A$3:$BB$499,28,FALSE),"")</f>
        <v>DNS/DNF ()</v>
      </c>
      <c r="P44" s="59" t="str">
        <f>IFERROR(VLOOKUP($A44,SortedDownload!$A$3:$BB$499,29,FALSE),"")</f>
        <v>DNS/DNF ()</v>
      </c>
      <c r="Q44" s="59" t="str">
        <f>IFERROR(VLOOKUP($A44,SortedDownload!$A$3:$BB$499,30,FALSE),"")</f>
        <v>DNS/DNF ()</v>
      </c>
      <c r="R44" s="62" t="str">
        <f>IFERROR(TEXT(VLOOKUP($A44,SortedDownload!$A$3:$Z$499,14,FALSE),"[hh]:mm:ss.000"),"")</f>
        <v>00:19:28.066</v>
      </c>
      <c r="S44" s="83" t="str">
        <f t="shared" si="2"/>
        <v>00:04</v>
      </c>
      <c r="T44" s="83" t="str">
        <f t="shared" si="0"/>
        <v>02:38</v>
      </c>
      <c r="U44" s="9" t="str">
        <f t="shared" si="1"/>
        <v/>
      </c>
      <c r="V44" s="20" t="str">
        <f>IFERROR(IF(VLOOKUP(H44,AgeCategories!$D$3:$J$32,7,FALSE)=I44,"","DNF"),"")</f>
        <v/>
      </c>
      <c r="W44" s="9"/>
      <c r="X44" s="9"/>
    </row>
    <row r="45" spans="1:24">
      <c r="A45" s="53">
        <f>IF(SortedDownload!A45 &lt; 1,"",SortedDownload!A45)</f>
        <v>66</v>
      </c>
      <c r="B45" s="55">
        <f>IF(V45&lt;&gt;"","DNF",COUNTIF($V$3:V45,V45))</f>
        <v>43</v>
      </c>
      <c r="C45" s="54">
        <f>IF(OR(B45="DNF",H45=""),"DNF",COUNTIF($H$3:H45,H45))</f>
        <v>5</v>
      </c>
      <c r="D45" s="90" t="str">
        <f>IFERROR(VLOOKUP($A45,EntryList!$A$3:$N$596,2,FALSE),"")</f>
        <v>Neo Dekker</v>
      </c>
      <c r="E45" s="54">
        <f>IFERROR(VLOOKUP($A45,EntryList!$A$3:$V$596,19,FALSE),"")</f>
        <v>0</v>
      </c>
      <c r="F45" s="176">
        <f>IFERROR(VLOOKUP($A45,EntryList!$A$3:$V$596,18,FALSE),"")</f>
        <v>0</v>
      </c>
      <c r="G45" s="90" t="str">
        <f>IFERROR(VLOOKUP($A45,EntryList!$A$3:$N$596,6,FALSE),"")</f>
        <v>M</v>
      </c>
      <c r="H45" s="90" t="str">
        <f>IFERROR(VLOOKUP($A45,EntryList!$A$3:$N$596,7,FALSE),"")</f>
        <v>Junior Men</v>
      </c>
      <c r="I45" s="54">
        <f>IFERROR(VLOOKUP($A45,SortedDownload!$A$3:$Z541,4,FALSE),"")</f>
        <v>5</v>
      </c>
      <c r="J45" s="59" t="str">
        <f>IFERROR(VLOOKUP($A45,SortedDownload!$A$3:$BB$499,23,FALSE),"")</f>
        <v>00:04:01.4 (59)</v>
      </c>
      <c r="K45" s="59" t="str">
        <f>IFERROR(VLOOKUP($A45,SortedDownload!$A$3:$BB$499,24,FALSE),"")</f>
        <v>00:03:46.4 (28)</v>
      </c>
      <c r="L45" s="59" t="str">
        <f>IFERROR(VLOOKUP($A45,SortedDownload!$A$3:$BB$499,25,FALSE),"")</f>
        <v>00:02:04.6 (23)</v>
      </c>
      <c r="M45" s="59" t="str">
        <f>IFERROR(VLOOKUP($A45,SortedDownload!$A$3:$BB$499,26,FALSE),"")</f>
        <v>00:04:20.1 (46)</v>
      </c>
      <c r="N45" s="59" t="str">
        <f>IFERROR(VLOOKUP($A45,SortedDownload!$A$3:$BB$499,27,FALSE),"")</f>
        <v>00:05:16.9 (48)</v>
      </c>
      <c r="O45" s="59" t="str">
        <f>IFERROR(VLOOKUP($A45,SortedDownload!$A$3:$BB$499,28,FALSE),"")</f>
        <v>DNS/DNF ()</v>
      </c>
      <c r="P45" s="59" t="str">
        <f>IFERROR(VLOOKUP($A45,SortedDownload!$A$3:$BB$499,29,FALSE),"")</f>
        <v>DNS/DNF ()</v>
      </c>
      <c r="Q45" s="59" t="str">
        <f>IFERROR(VLOOKUP($A45,SortedDownload!$A$3:$BB$499,30,FALSE),"")</f>
        <v>DNS/DNF ()</v>
      </c>
      <c r="R45" s="62" t="str">
        <f>IFERROR(TEXT(VLOOKUP($A45,SortedDownload!$A$3:$Z$499,14,FALSE),"[hh]:mm:ss.000"),"")</f>
        <v>00:19:29.349</v>
      </c>
      <c r="S45" s="83" t="str">
        <f t="shared" si="2"/>
        <v>00:01</v>
      </c>
      <c r="T45" s="83" t="str">
        <f t="shared" si="0"/>
        <v>02:39</v>
      </c>
      <c r="U45" s="9" t="str">
        <f t="shared" si="1"/>
        <v/>
      </c>
      <c r="V45" s="20" t="str">
        <f>IFERROR(IF(VLOOKUP(H45,AgeCategories!$D$3:$J$32,7,FALSE)=I45,"","DNF"),"")</f>
        <v/>
      </c>
      <c r="W45" s="9"/>
      <c r="X45" s="9"/>
    </row>
    <row r="46" spans="1:24">
      <c r="A46" s="53">
        <f>IF(SortedDownload!A46 &lt; 1,"",SortedDownload!A46)</f>
        <v>190</v>
      </c>
      <c r="B46" s="55">
        <f>IF(V46&lt;&gt;"","DNF",COUNTIF($V$3:V46,V46))</f>
        <v>44</v>
      </c>
      <c r="C46" s="54">
        <f>IF(OR(B46="DNF",H46=""),"DNF",COUNTIF($H$3:H46,H46))</f>
        <v>8</v>
      </c>
      <c r="D46" s="90" t="str">
        <f>IFERROR(VLOOKUP($A46,EntryList!$A$3:$N$596,2,FALSE),"")</f>
        <v>Theuns Louw</v>
      </c>
      <c r="E46" s="54">
        <f>IFERROR(VLOOKUP($A46,EntryList!$A$3:$V$596,19,FALSE),"")</f>
        <v>0</v>
      </c>
      <c r="F46" s="176">
        <f>IFERROR(VLOOKUP($A46,EntryList!$A$3:$V$596,18,FALSE),"")</f>
        <v>0</v>
      </c>
      <c r="G46" s="90" t="str">
        <f>IFERROR(VLOOKUP($A46,EntryList!$A$3:$N$596,6,FALSE),"")</f>
        <v>M</v>
      </c>
      <c r="H46" s="90" t="str">
        <f>IFERROR(VLOOKUP($A46,EntryList!$A$3:$N$596,7,FALSE),"")</f>
        <v>Master Men</v>
      </c>
      <c r="I46" s="54">
        <f>IFERROR(VLOOKUP($A46,SortedDownload!$A$3:$Z542,4,FALSE),"")</f>
        <v>5</v>
      </c>
      <c r="J46" s="59" t="str">
        <f>IFERROR(VLOOKUP($A46,SortedDownload!$A$3:$BB$499,23,FALSE),"")</f>
        <v>00:03:47.5 (47)</v>
      </c>
      <c r="K46" s="59" t="str">
        <f>IFERROR(VLOOKUP($A46,SortedDownload!$A$3:$BB$499,24,FALSE),"")</f>
        <v>00:03:54.0 (49)</v>
      </c>
      <c r="L46" s="59" t="str">
        <f>IFERROR(VLOOKUP($A46,SortedDownload!$A$3:$BB$499,25,FALSE),"")</f>
        <v>00:02:08.0 (37)</v>
      </c>
      <c r="M46" s="59" t="str">
        <f>IFERROR(VLOOKUP($A46,SortedDownload!$A$3:$BB$499,26,FALSE),"")</f>
        <v>00:04:18.8 (44)</v>
      </c>
      <c r="N46" s="59" t="str">
        <f>IFERROR(VLOOKUP($A46,SortedDownload!$A$3:$BB$499,27,FALSE),"")</f>
        <v>00:05:22.5 (56)</v>
      </c>
      <c r="O46" s="59" t="str">
        <f>IFERROR(VLOOKUP($A46,SortedDownload!$A$3:$BB$499,28,FALSE),"")</f>
        <v>DNS/DNF ()</v>
      </c>
      <c r="P46" s="59" t="str">
        <f>IFERROR(VLOOKUP($A46,SortedDownload!$A$3:$BB$499,29,FALSE),"")</f>
        <v>DNS/DNF ()</v>
      </c>
      <c r="Q46" s="59" t="str">
        <f>IFERROR(VLOOKUP($A46,SortedDownload!$A$3:$BB$499,30,FALSE),"")</f>
        <v>DNS/DNF ()</v>
      </c>
      <c r="R46" s="62" t="str">
        <f>IFERROR(TEXT(VLOOKUP($A46,SortedDownload!$A$3:$Z$499,14,FALSE),"[hh]:mm:ss.000"),"")</f>
        <v>00:19:30.783</v>
      </c>
      <c r="S46" s="83" t="str">
        <f t="shared" si="2"/>
        <v>00:01</v>
      </c>
      <c r="T46" s="83" t="str">
        <f t="shared" si="0"/>
        <v>02:41</v>
      </c>
      <c r="U46" s="9" t="str">
        <f t="shared" si="1"/>
        <v/>
      </c>
      <c r="V46" s="20" t="str">
        <f>IFERROR(IF(VLOOKUP(H46,AgeCategories!$D$3:$J$32,7,FALSE)=I46,"","DNF"),"")</f>
        <v/>
      </c>
      <c r="W46" s="9"/>
      <c r="X46" s="9"/>
    </row>
    <row r="47" spans="1:24">
      <c r="A47" s="53">
        <f>IF(SortedDownload!A47 &lt; 1,"",SortedDownload!A47)</f>
        <v>3</v>
      </c>
      <c r="B47" s="55">
        <f>IF(V47&lt;&gt;"","DNF",COUNTIF($V$3:V47,V47))</f>
        <v>45</v>
      </c>
      <c r="C47" s="54">
        <f>IF(OR(B47="DNF",H47=""),"DNF",COUNTIF($H$3:H47,H47))</f>
        <v>6</v>
      </c>
      <c r="D47" s="90" t="str">
        <f>IFERROR(VLOOKUP($A47,EntryList!$A$3:$N$596,2,FALSE),"")</f>
        <v>Kevin De Kock</v>
      </c>
      <c r="E47" s="54" t="str">
        <f>IFERROR(VLOOKUP($A47,EntryList!$A$3:$V$596,19,FALSE),"")</f>
        <v/>
      </c>
      <c r="F47" s="176" t="str">
        <f>IFERROR(VLOOKUP($A47,EntryList!$A$3:$V$596,18,FALSE),"")</f>
        <v/>
      </c>
      <c r="G47" s="90" t="str">
        <f>IFERROR(VLOOKUP($A47,EntryList!$A$3:$N$596,6,FALSE),"")</f>
        <v>M</v>
      </c>
      <c r="H47" s="90" t="str">
        <f>IFERROR(VLOOKUP($A47,EntryList!$A$3:$N$596,7,FALSE),"")</f>
        <v>Junior Men</v>
      </c>
      <c r="I47" s="54">
        <f>IFERROR(VLOOKUP($A47,SortedDownload!$A$3:$Z543,4,FALSE),"")</f>
        <v>5</v>
      </c>
      <c r="J47" s="59" t="str">
        <f>IFERROR(VLOOKUP($A47,SortedDownload!$A$3:$BB$499,23,FALSE),"")</f>
        <v>00:03:44.3 (40)</v>
      </c>
      <c r="K47" s="59" t="str">
        <f>IFERROR(VLOOKUP($A47,SortedDownload!$A$3:$BB$499,24,FALSE),"")</f>
        <v>00:03:55.0 (51)</v>
      </c>
      <c r="L47" s="59" t="str">
        <f>IFERROR(VLOOKUP($A47,SortedDownload!$A$3:$BB$499,25,FALSE),"")</f>
        <v>00:02:11.6 (54)</v>
      </c>
      <c r="M47" s="59" t="str">
        <f>IFERROR(VLOOKUP($A47,SortedDownload!$A$3:$BB$499,26,FALSE),"")</f>
        <v>00:04:18.9 (45)</v>
      </c>
      <c r="N47" s="59" t="str">
        <f>IFERROR(VLOOKUP($A47,SortedDownload!$A$3:$BB$499,27,FALSE),"")</f>
        <v>00:05:21.4 (55)</v>
      </c>
      <c r="O47" s="59" t="str">
        <f>IFERROR(VLOOKUP($A47,SortedDownload!$A$3:$BB$499,28,FALSE),"")</f>
        <v>DNS/DNF ()</v>
      </c>
      <c r="P47" s="59" t="str">
        <f>IFERROR(VLOOKUP($A47,SortedDownload!$A$3:$BB$499,29,FALSE),"")</f>
        <v>DNS/DNF ()</v>
      </c>
      <c r="Q47" s="59" t="str">
        <f>IFERROR(VLOOKUP($A47,SortedDownload!$A$3:$BB$499,30,FALSE),"")</f>
        <v>DNS/DNF ()</v>
      </c>
      <c r="R47" s="62" t="str">
        <f>IFERROR(TEXT(VLOOKUP($A47,SortedDownload!$A$3:$Z$499,14,FALSE),"[hh]:mm:ss.000"),"")</f>
        <v>00:19:31.242</v>
      </c>
      <c r="S47" s="83" t="str">
        <f t="shared" si="2"/>
        <v>00:00</v>
      </c>
      <c r="T47" s="83" t="str">
        <f t="shared" si="0"/>
        <v>02:41</v>
      </c>
      <c r="U47" s="9" t="str">
        <f t="shared" si="1"/>
        <v/>
      </c>
      <c r="V47" s="20" t="str">
        <f>IFERROR(IF(VLOOKUP(H47,AgeCategories!$D$3:$J$32,7,FALSE)=I47,"","DNF"),"")</f>
        <v/>
      </c>
      <c r="W47" s="9"/>
      <c r="X47" s="9"/>
    </row>
    <row r="48" spans="1:24">
      <c r="A48" s="53">
        <f>IF(SortedDownload!A48 &lt; 1,"",SortedDownload!A48)</f>
        <v>206</v>
      </c>
      <c r="B48" s="55">
        <f>IF(V48&lt;&gt;"","DNF",COUNTIF($V$3:V48,V48))</f>
        <v>46</v>
      </c>
      <c r="C48" s="54">
        <f>IF(OR(B48="DNF",H48=""),"DNF",COUNTIF($H$3:H48,H48))</f>
        <v>9</v>
      </c>
      <c r="D48" s="90" t="str">
        <f>IFERROR(VLOOKUP($A48,EntryList!$A$3:$N$596,2,FALSE),"")</f>
        <v>Waldo De Wet</v>
      </c>
      <c r="E48" s="54">
        <f>IFERROR(VLOOKUP($A48,EntryList!$A$3:$V$596,19,FALSE),"")</f>
        <v>0</v>
      </c>
      <c r="F48" s="176">
        <f>IFERROR(VLOOKUP($A48,EntryList!$A$3:$V$596,18,FALSE),"")</f>
        <v>0</v>
      </c>
      <c r="G48" s="90" t="str">
        <f>IFERROR(VLOOKUP($A48,EntryList!$A$3:$N$596,6,FALSE),"")</f>
        <v>M</v>
      </c>
      <c r="H48" s="90" t="str">
        <f>IFERROR(VLOOKUP($A48,EntryList!$A$3:$N$596,7,FALSE),"")</f>
        <v>Master Men</v>
      </c>
      <c r="I48" s="54">
        <f>IFERROR(VLOOKUP($A48,SortedDownload!$A$3:$Z544,4,FALSE),"")</f>
        <v>5</v>
      </c>
      <c r="J48" s="59" t="str">
        <f>IFERROR(VLOOKUP($A48,SortedDownload!$A$3:$BB$499,23,FALSE),"")</f>
        <v>00:03:39.7 (34)</v>
      </c>
      <c r="K48" s="59" t="str">
        <f>IFERROR(VLOOKUP($A48,SortedDownload!$A$3:$BB$499,24,FALSE),"")</f>
        <v>00:03:51.7 (40)</v>
      </c>
      <c r="L48" s="59" t="str">
        <f>IFERROR(VLOOKUP($A48,SortedDownload!$A$3:$BB$499,25,FALSE),"")</f>
        <v>00:02:09.1 (39)</v>
      </c>
      <c r="M48" s="59" t="str">
        <f>IFERROR(VLOOKUP($A48,SortedDownload!$A$3:$BB$499,26,FALSE),"")</f>
        <v>00:04:21.7 (48)</v>
      </c>
      <c r="N48" s="59" t="str">
        <f>IFERROR(VLOOKUP($A48,SortedDownload!$A$3:$BB$499,27,FALSE),"")</f>
        <v>00:05:29.3 (65)</v>
      </c>
      <c r="O48" s="59" t="str">
        <f>IFERROR(VLOOKUP($A48,SortedDownload!$A$3:$BB$499,28,FALSE),"")</f>
        <v>DNS/DNF ()</v>
      </c>
      <c r="P48" s="59" t="str">
        <f>IFERROR(VLOOKUP($A48,SortedDownload!$A$3:$BB$499,29,FALSE),"")</f>
        <v>DNS/DNF ()</v>
      </c>
      <c r="Q48" s="59" t="str">
        <f>IFERROR(VLOOKUP($A48,SortedDownload!$A$3:$BB$499,30,FALSE),"")</f>
        <v>DNS/DNF ()</v>
      </c>
      <c r="R48" s="62" t="str">
        <f>IFERROR(TEXT(VLOOKUP($A48,SortedDownload!$A$3:$Z$499,14,FALSE),"[hh]:mm:ss.000"),"")</f>
        <v>00:19:31.557</v>
      </c>
      <c r="S48" s="83" t="str">
        <f t="shared" si="2"/>
        <v>00:00</v>
      </c>
      <c r="T48" s="83" t="str">
        <f t="shared" si="0"/>
        <v>02:42</v>
      </c>
      <c r="U48" s="9" t="str">
        <f t="shared" si="1"/>
        <v/>
      </c>
      <c r="V48" s="20" t="str">
        <f>IFERROR(IF(VLOOKUP(H48,AgeCategories!$D$3:$J$32,7,FALSE)=I48,"","DNF"),"")</f>
        <v/>
      </c>
      <c r="W48" s="9"/>
      <c r="X48" s="9"/>
    </row>
    <row r="49" spans="1:24">
      <c r="A49" s="53">
        <f>IF(SortedDownload!A49 &lt; 1,"",SortedDownload!A49)</f>
        <v>163</v>
      </c>
      <c r="B49" s="55">
        <f>IF(V49&lt;&gt;"","DNF",COUNTIF($V$3:V49,V49))</f>
        <v>47</v>
      </c>
      <c r="C49" s="54">
        <f>IF(OR(B49="DNF",H49=""),"DNF",COUNTIF($H$3:H49,H49))</f>
        <v>14</v>
      </c>
      <c r="D49" s="90" t="str">
        <f>IFERROR(VLOOKUP($A49,EntryList!$A$3:$N$596,2,FALSE),"")</f>
        <v>Ethan Paton</v>
      </c>
      <c r="E49" s="54">
        <f>IFERROR(VLOOKUP($A49,EntryList!$A$3:$V$596,19,FALSE),"")</f>
        <v>0</v>
      </c>
      <c r="F49" s="176">
        <f>IFERROR(VLOOKUP($A49,EntryList!$A$3:$V$596,18,FALSE),"")</f>
        <v>0</v>
      </c>
      <c r="G49" s="90" t="str">
        <f>IFERROR(VLOOKUP($A49,EntryList!$A$3:$N$596,6,FALSE),"")</f>
        <v>M</v>
      </c>
      <c r="H49" s="90" t="str">
        <f>IFERROR(VLOOKUP($A49,EntryList!$A$3:$N$596,7,FALSE),"")</f>
        <v>Elite Men</v>
      </c>
      <c r="I49" s="54">
        <f>IFERROR(VLOOKUP($A49,SortedDownload!$A$3:$Z545,4,FALSE),"")</f>
        <v>5</v>
      </c>
      <c r="J49" s="59" t="str">
        <f>IFERROR(VLOOKUP($A49,SortedDownload!$A$3:$BB$499,23,FALSE),"")</f>
        <v>00:04:03.7 (62)</v>
      </c>
      <c r="K49" s="59" t="str">
        <f>IFERROR(VLOOKUP($A49,SortedDownload!$A$3:$BB$499,24,FALSE),"")</f>
        <v>00:03:44.6 (27)</v>
      </c>
      <c r="L49" s="59" t="str">
        <f>IFERROR(VLOOKUP($A49,SortedDownload!$A$3:$BB$499,25,FALSE),"")</f>
        <v>00:02:21.0 (79)</v>
      </c>
      <c r="M49" s="59" t="str">
        <f>IFERROR(VLOOKUP($A49,SortedDownload!$A$3:$BB$499,26,FALSE),"")</f>
        <v>00:04:17.7 (42)</v>
      </c>
      <c r="N49" s="59" t="str">
        <f>IFERROR(VLOOKUP($A49,SortedDownload!$A$3:$BB$499,27,FALSE),"")</f>
        <v>00:05:10.7 (34)</v>
      </c>
      <c r="O49" s="59" t="str">
        <f>IFERROR(VLOOKUP($A49,SortedDownload!$A$3:$BB$499,28,FALSE),"")</f>
        <v>DNS/DNF ()</v>
      </c>
      <c r="P49" s="59" t="str">
        <f>IFERROR(VLOOKUP($A49,SortedDownload!$A$3:$BB$499,29,FALSE),"")</f>
        <v>DNS/DNF ()</v>
      </c>
      <c r="Q49" s="59" t="str">
        <f>IFERROR(VLOOKUP($A49,SortedDownload!$A$3:$BB$499,30,FALSE),"")</f>
        <v>DNS/DNF ()</v>
      </c>
      <c r="R49" s="62" t="str">
        <f>IFERROR(TEXT(VLOOKUP($A49,SortedDownload!$A$3:$Z$499,14,FALSE),"[hh]:mm:ss.000"),"")</f>
        <v>00:19:37.779</v>
      </c>
      <c r="S49" s="83" t="str">
        <f t="shared" si="2"/>
        <v>00:06</v>
      </c>
      <c r="T49" s="83" t="str">
        <f t="shared" si="0"/>
        <v>02:48</v>
      </c>
      <c r="U49" s="9" t="str">
        <f t="shared" si="1"/>
        <v/>
      </c>
      <c r="V49" s="20" t="str">
        <f>IFERROR(IF(VLOOKUP(H49,AgeCategories!$D$3:$J$32,7,FALSE)=I49,"","DNF"),"")</f>
        <v/>
      </c>
      <c r="W49" s="9"/>
      <c r="X49" s="9"/>
    </row>
    <row r="50" spans="1:24">
      <c r="A50" s="53">
        <f>IF(SortedDownload!A50 &lt; 1,"",SortedDownload!A50)</f>
        <v>142</v>
      </c>
      <c r="B50" s="55">
        <f>IF(V50&lt;&gt;"","DNF",COUNTIF($V$3:V50,V50))</f>
        <v>48</v>
      </c>
      <c r="C50" s="54">
        <f>IF(OR(B50="DNF",H50=""),"DNF",COUNTIF($H$3:H50,H50))</f>
        <v>10</v>
      </c>
      <c r="D50" s="90" t="str">
        <f>IFERROR(VLOOKUP($A50,EntryList!$A$3:$N$596,2,FALSE),"")</f>
        <v>Dr Katzen</v>
      </c>
      <c r="E50" s="54">
        <f>IFERROR(VLOOKUP($A50,EntryList!$A$3:$V$596,19,FALSE),"")</f>
        <v>0</v>
      </c>
      <c r="F50" s="176">
        <f>IFERROR(VLOOKUP($A50,EntryList!$A$3:$V$596,18,FALSE),"")</f>
        <v>0</v>
      </c>
      <c r="G50" s="90" t="str">
        <f>IFERROR(VLOOKUP($A50,EntryList!$A$3:$N$596,6,FALSE),"")</f>
        <v>M</v>
      </c>
      <c r="H50" s="90" t="str">
        <f>IFERROR(VLOOKUP($A50,EntryList!$A$3:$N$596,7,FALSE),"")</f>
        <v>Master Men</v>
      </c>
      <c r="I50" s="54">
        <f>IFERROR(VLOOKUP($A50,SortedDownload!$A$3:$Z546,4,FALSE),"")</f>
        <v>5</v>
      </c>
      <c r="J50" s="59" t="str">
        <f>IFERROR(VLOOKUP($A50,SortedDownload!$A$3:$BB$499,23,FALSE),"")</f>
        <v>00:03:54.3 (54)</v>
      </c>
      <c r="K50" s="59" t="str">
        <f>IFERROR(VLOOKUP($A50,SortedDownload!$A$3:$BB$499,24,FALSE),"")</f>
        <v>00:03:53.9 (48)</v>
      </c>
      <c r="L50" s="59" t="str">
        <f>IFERROR(VLOOKUP($A50,SortedDownload!$A$3:$BB$499,25,FALSE),"")</f>
        <v>00:02:13.8 (58)</v>
      </c>
      <c r="M50" s="59" t="str">
        <f>IFERROR(VLOOKUP($A50,SortedDownload!$A$3:$BB$499,26,FALSE),"")</f>
        <v>00:04:22.3 (50)</v>
      </c>
      <c r="N50" s="59" t="str">
        <f>IFERROR(VLOOKUP($A50,SortedDownload!$A$3:$BB$499,27,FALSE),"")</f>
        <v>00:05:17.6 (49)</v>
      </c>
      <c r="O50" s="59" t="str">
        <f>IFERROR(VLOOKUP($A50,SortedDownload!$A$3:$BB$499,28,FALSE),"")</f>
        <v>DNS/DNF ()</v>
      </c>
      <c r="P50" s="59" t="str">
        <f>IFERROR(VLOOKUP($A50,SortedDownload!$A$3:$BB$499,29,FALSE),"")</f>
        <v>DNS/DNF ()</v>
      </c>
      <c r="Q50" s="59" t="str">
        <f>IFERROR(VLOOKUP($A50,SortedDownload!$A$3:$BB$499,30,FALSE),"")</f>
        <v>DNS/DNF ()</v>
      </c>
      <c r="R50" s="62" t="str">
        <f>IFERROR(TEXT(VLOOKUP($A50,SortedDownload!$A$3:$Z$499,14,FALSE),"[hh]:mm:ss.000"),"")</f>
        <v>00:19:41.882</v>
      </c>
      <c r="S50" s="83" t="str">
        <f t="shared" si="2"/>
        <v>00:04</v>
      </c>
      <c r="T50" s="83" t="str">
        <f t="shared" si="0"/>
        <v>02:52</v>
      </c>
      <c r="U50" s="9" t="str">
        <f t="shared" si="1"/>
        <v/>
      </c>
      <c r="V50" s="20" t="str">
        <f>IFERROR(IF(VLOOKUP(H50,AgeCategories!$D$3:$J$32,7,FALSE)=I50,"","DNF"),"")</f>
        <v/>
      </c>
      <c r="W50" s="9"/>
      <c r="X50" s="9"/>
    </row>
    <row r="51" spans="1:24">
      <c r="A51" s="53">
        <f>IF(SortedDownload!A51 &lt; 1,"",SortedDownload!A51)</f>
        <v>199</v>
      </c>
      <c r="B51" s="55">
        <f>IF(V51&lt;&gt;"","DNF",COUNTIF($V$3:V51,V51))</f>
        <v>49</v>
      </c>
      <c r="C51" s="54">
        <f>IF(OR(B51="DNF",H51=""),"DNF",COUNTIF($H$3:H51,H51))</f>
        <v>1</v>
      </c>
      <c r="D51" s="90" t="str">
        <f>IFERROR(VLOOKUP($A51,EntryList!$A$3:$N$596,2,FALSE),"")</f>
        <v>Frankie Du Toit</v>
      </c>
      <c r="E51" s="54">
        <f>IFERROR(VLOOKUP($A51,EntryList!$A$3:$V$596,19,FALSE),"")</f>
        <v>0</v>
      </c>
      <c r="F51" s="176">
        <f>IFERROR(VLOOKUP($A51,EntryList!$A$3:$V$596,18,FALSE),"")</f>
        <v>0</v>
      </c>
      <c r="G51" s="90" t="str">
        <f>IFERROR(VLOOKUP($A51,EntryList!$A$3:$N$596,6,FALSE),"")</f>
        <v>F</v>
      </c>
      <c r="H51" s="90" t="str">
        <f>IFERROR(VLOOKUP($A51,EntryList!$A$3:$N$596,7,FALSE),"")</f>
        <v>Elite Women</v>
      </c>
      <c r="I51" s="54">
        <f>IFERROR(VLOOKUP($A51,SortedDownload!$A$3:$Z547,4,FALSE),"")</f>
        <v>5</v>
      </c>
      <c r="J51" s="59" t="str">
        <f>IFERROR(VLOOKUP($A51,SortedDownload!$A$3:$BB$499,23,FALSE),"")</f>
        <v>00:04:01.3 (58)</v>
      </c>
      <c r="K51" s="59" t="str">
        <f>IFERROR(VLOOKUP($A51,SortedDownload!$A$3:$BB$499,24,FALSE),"")</f>
        <v>00:03:52.2 (42)</v>
      </c>
      <c r="L51" s="59" t="str">
        <f>IFERROR(VLOOKUP($A51,SortedDownload!$A$3:$BB$499,25,FALSE),"")</f>
        <v>00:02:11.1 (52)</v>
      </c>
      <c r="M51" s="59" t="str">
        <f>IFERROR(VLOOKUP($A51,SortedDownload!$A$3:$BB$499,26,FALSE),"")</f>
        <v>00:04:22.8 (52)</v>
      </c>
      <c r="N51" s="59" t="str">
        <f>IFERROR(VLOOKUP($A51,SortedDownload!$A$3:$BB$499,27,FALSE),"")</f>
        <v>00:05:15.0 (43)</v>
      </c>
      <c r="O51" s="59" t="str">
        <f>IFERROR(VLOOKUP($A51,SortedDownload!$A$3:$BB$499,28,FALSE),"")</f>
        <v>DNS/DNF ()</v>
      </c>
      <c r="P51" s="59" t="str">
        <f>IFERROR(VLOOKUP($A51,SortedDownload!$A$3:$BB$499,29,FALSE),"")</f>
        <v>DNS/DNF ()</v>
      </c>
      <c r="Q51" s="59" t="str">
        <f>IFERROR(VLOOKUP($A51,SortedDownload!$A$3:$BB$499,30,FALSE),"")</f>
        <v>DNS/DNF ()</v>
      </c>
      <c r="R51" s="62" t="str">
        <f>IFERROR(TEXT(VLOOKUP($A51,SortedDownload!$A$3:$Z$499,14,FALSE),"[hh]:mm:ss.000"),"")</f>
        <v>00:19:42.485</v>
      </c>
      <c r="S51" s="83" t="str">
        <f t="shared" si="2"/>
        <v>00:01</v>
      </c>
      <c r="T51" s="83" t="str">
        <f t="shared" si="0"/>
        <v>02:52</v>
      </c>
      <c r="U51" s="9" t="str">
        <f t="shared" si="1"/>
        <v/>
      </c>
      <c r="V51" s="20" t="str">
        <f>IFERROR(IF(VLOOKUP(H51,AgeCategories!$D$3:$J$32,7,FALSE)=I51,"","DNF"),"")</f>
        <v/>
      </c>
      <c r="W51" s="9"/>
      <c r="X51" s="9"/>
    </row>
    <row r="52" spans="1:24">
      <c r="A52" s="53">
        <f>IF(SortedDownload!A52 &lt; 1,"",SortedDownload!A52)</f>
        <v>166</v>
      </c>
      <c r="B52" s="55">
        <f>IF(V52&lt;&gt;"","DNF",COUNTIF($V$3:V52,V52))</f>
        <v>50</v>
      </c>
      <c r="C52" s="54">
        <f>IF(OR(B52="DNF",H52=""),"DNF",COUNTIF($H$3:H52,H52))</f>
        <v>12</v>
      </c>
      <c r="D52" s="90" t="str">
        <f>IFERROR(VLOOKUP($A52,EntryList!$A$3:$N$596,2,FALSE),"")</f>
        <v>Zivan Venter</v>
      </c>
      <c r="E52" s="54">
        <f>IFERROR(VLOOKUP($A52,EntryList!$A$3:$V$596,19,FALSE),"")</f>
        <v>0</v>
      </c>
      <c r="F52" s="176">
        <f>IFERROR(VLOOKUP($A52,EntryList!$A$3:$V$596,18,FALSE),"")</f>
        <v>0</v>
      </c>
      <c r="G52" s="90" t="str">
        <f>IFERROR(VLOOKUP($A52,EntryList!$A$3:$N$596,6,FALSE),"")</f>
        <v>M</v>
      </c>
      <c r="H52" s="90" t="str">
        <f>IFERROR(VLOOKUP($A52,EntryList!$A$3:$N$596,7,FALSE),"")</f>
        <v>Youth Men</v>
      </c>
      <c r="I52" s="54">
        <f>IFERROR(VLOOKUP($A52,SortedDownload!$A$3:$Z548,4,FALSE),"")</f>
        <v>5</v>
      </c>
      <c r="J52" s="59" t="str">
        <f>IFERROR(VLOOKUP($A52,SortedDownload!$A$3:$BB$499,23,FALSE),"")</f>
        <v>00:03:51.9 (51)</v>
      </c>
      <c r="K52" s="59" t="str">
        <f>IFERROR(VLOOKUP($A52,SortedDownload!$A$3:$BB$499,24,FALSE),"")</f>
        <v>00:03:58.1 (57)</v>
      </c>
      <c r="L52" s="59" t="str">
        <f>IFERROR(VLOOKUP($A52,SortedDownload!$A$3:$BB$499,25,FALSE),"")</f>
        <v>00:02:10.6 (48)</v>
      </c>
      <c r="M52" s="59" t="str">
        <f>IFERROR(VLOOKUP($A52,SortedDownload!$A$3:$BB$499,26,FALSE),"")</f>
        <v>00:04:24.5 (56)</v>
      </c>
      <c r="N52" s="59" t="str">
        <f>IFERROR(VLOOKUP($A52,SortedDownload!$A$3:$BB$499,27,FALSE),"")</f>
        <v>00:05:20.1 (52)</v>
      </c>
      <c r="O52" s="59" t="str">
        <f>IFERROR(VLOOKUP($A52,SortedDownload!$A$3:$BB$499,28,FALSE),"")</f>
        <v>DNS/DNF ()</v>
      </c>
      <c r="P52" s="59" t="str">
        <f>IFERROR(VLOOKUP($A52,SortedDownload!$A$3:$BB$499,29,FALSE),"")</f>
        <v>DNS/DNF ()</v>
      </c>
      <c r="Q52" s="59" t="str">
        <f>IFERROR(VLOOKUP($A52,SortedDownload!$A$3:$BB$499,30,FALSE),"")</f>
        <v>DNS/DNF ()</v>
      </c>
      <c r="R52" s="62" t="str">
        <f>IFERROR(TEXT(VLOOKUP($A52,SortedDownload!$A$3:$Z$499,14,FALSE),"[hh]:mm:ss.000"),"")</f>
        <v>00:19:45.178</v>
      </c>
      <c r="S52" s="83" t="str">
        <f t="shared" si="2"/>
        <v>00:03</v>
      </c>
      <c r="T52" s="83" t="str">
        <f t="shared" si="0"/>
        <v>02:55</v>
      </c>
      <c r="U52" s="9" t="str">
        <f t="shared" si="1"/>
        <v/>
      </c>
      <c r="V52" s="20" t="str">
        <f>IFERROR(IF(VLOOKUP(H52,AgeCategories!$D$3:$J$32,7,FALSE)=I52,"","DNF"),"")</f>
        <v/>
      </c>
      <c r="W52" s="9"/>
      <c r="X52" s="9"/>
    </row>
    <row r="53" spans="1:24">
      <c r="A53" s="53">
        <f>IF(SortedDownload!A53 &lt; 1,"",SortedDownload!A53)</f>
        <v>177</v>
      </c>
      <c r="B53" s="55">
        <f>IF(V53&lt;&gt;"","DNF",COUNTIF($V$3:V53,V53))</f>
        <v>51</v>
      </c>
      <c r="C53" s="54">
        <f>IF(OR(B53="DNF",H53=""),"DNF",COUNTIF($H$3:H53,H53))</f>
        <v>13</v>
      </c>
      <c r="D53" s="90" t="str">
        <f>IFERROR(VLOOKUP($A53,EntryList!$A$3:$N$596,2,FALSE),"")</f>
        <v>Daniel Fairbrother</v>
      </c>
      <c r="E53" s="54">
        <f>IFERROR(VLOOKUP($A53,EntryList!$A$3:$V$596,19,FALSE),"")</f>
        <v>0</v>
      </c>
      <c r="F53" s="176">
        <f>IFERROR(VLOOKUP($A53,EntryList!$A$3:$V$596,18,FALSE),"")</f>
        <v>0</v>
      </c>
      <c r="G53" s="90" t="str">
        <f>IFERROR(VLOOKUP($A53,EntryList!$A$3:$N$596,6,FALSE),"")</f>
        <v>M</v>
      </c>
      <c r="H53" s="90" t="str">
        <f>IFERROR(VLOOKUP($A53,EntryList!$A$3:$N$596,7,FALSE),"")</f>
        <v>Youth Men</v>
      </c>
      <c r="I53" s="54">
        <f>IFERROR(VLOOKUP($A53,SortedDownload!$A$3:$Z549,4,FALSE),"")</f>
        <v>5</v>
      </c>
      <c r="J53" s="59" t="str">
        <f>IFERROR(VLOOKUP($A53,SortedDownload!$A$3:$BB$499,23,FALSE),"")</f>
        <v>00:04:00.0 (56)</v>
      </c>
      <c r="K53" s="59" t="str">
        <f>IFERROR(VLOOKUP($A53,SortedDownload!$A$3:$BB$499,24,FALSE),"")</f>
        <v>00:04:01.7 (66)</v>
      </c>
      <c r="L53" s="59" t="str">
        <f>IFERROR(VLOOKUP($A53,SortedDownload!$A$3:$BB$499,25,FALSE),"")</f>
        <v>00:02:08.7 (38)</v>
      </c>
      <c r="M53" s="59" t="str">
        <f>IFERROR(VLOOKUP($A53,SortedDownload!$A$3:$BB$499,26,FALSE),"")</f>
        <v>00:04:21.8 (49)</v>
      </c>
      <c r="N53" s="59" t="str">
        <f>IFERROR(VLOOKUP($A53,SortedDownload!$A$3:$BB$499,27,FALSE),"")</f>
        <v>00:05:20.3 (53)</v>
      </c>
      <c r="O53" s="59" t="str">
        <f>IFERROR(VLOOKUP($A53,SortedDownload!$A$3:$BB$499,28,FALSE),"")</f>
        <v>DNS/DNF ()</v>
      </c>
      <c r="P53" s="59" t="str">
        <f>IFERROR(VLOOKUP($A53,SortedDownload!$A$3:$BB$499,29,FALSE),"")</f>
        <v>DNS/DNF ()</v>
      </c>
      <c r="Q53" s="59" t="str">
        <f>IFERROR(VLOOKUP($A53,SortedDownload!$A$3:$BB$499,30,FALSE),"")</f>
        <v>DNS/DNF ()</v>
      </c>
      <c r="R53" s="62" t="str">
        <f>IFERROR(TEXT(VLOOKUP($A53,SortedDownload!$A$3:$Z$499,14,FALSE),"[hh]:mm:ss.000"),"")</f>
        <v>00:19:52.577</v>
      </c>
      <c r="S53" s="83" t="str">
        <f t="shared" si="2"/>
        <v>00:07</v>
      </c>
      <c r="T53" s="83" t="str">
        <f t="shared" si="0"/>
        <v>03:03</v>
      </c>
      <c r="U53" s="9" t="str">
        <f t="shared" si="1"/>
        <v/>
      </c>
      <c r="V53" s="20" t="str">
        <f>IFERROR(IF(VLOOKUP(H53,AgeCategories!$D$3:$J$32,7,FALSE)=I53,"","DNF"),"")</f>
        <v/>
      </c>
      <c r="W53" s="9"/>
      <c r="X53" s="9"/>
    </row>
    <row r="54" spans="1:24">
      <c r="A54" s="53">
        <f>IF(SortedDownload!A54 &lt; 1,"",SortedDownload!A54)</f>
        <v>125</v>
      </c>
      <c r="B54" s="55">
        <f>IF(V54&lt;&gt;"","DNF",COUNTIF($V$3:V54,V54))</f>
        <v>52</v>
      </c>
      <c r="C54" s="54">
        <f>IF(OR(B54="DNF",H54=""),"DNF",COUNTIF($H$3:H54,H54))</f>
        <v>7</v>
      </c>
      <c r="D54" s="90" t="str">
        <f>IFERROR(VLOOKUP($A54,EntryList!$A$3:$N$596,2,FALSE),"")</f>
        <v>Nic Kenny</v>
      </c>
      <c r="E54" s="54">
        <f>IFERROR(VLOOKUP($A54,EntryList!$A$3:$V$596,19,FALSE),"")</f>
        <v>0</v>
      </c>
      <c r="F54" s="176">
        <f>IFERROR(VLOOKUP($A54,EntryList!$A$3:$V$596,18,FALSE),"")</f>
        <v>0</v>
      </c>
      <c r="G54" s="90" t="str">
        <f>IFERROR(VLOOKUP($A54,EntryList!$A$3:$N$596,6,FALSE),"")</f>
        <v>M</v>
      </c>
      <c r="H54" s="90" t="str">
        <f>IFERROR(VLOOKUP($A54,EntryList!$A$3:$N$596,7,FALSE),"")</f>
        <v>Junior Men</v>
      </c>
      <c r="I54" s="54">
        <f>IFERROR(VLOOKUP($A54,SortedDownload!$A$3:$Z550,4,FALSE),"")</f>
        <v>5</v>
      </c>
      <c r="J54" s="59" t="str">
        <f>IFERROR(VLOOKUP($A54,SortedDownload!$A$3:$BB$499,23,FALSE),"")</f>
        <v>00:03:44.7 (42)</v>
      </c>
      <c r="K54" s="59" t="str">
        <f>IFERROR(VLOOKUP($A54,SortedDownload!$A$3:$BB$499,24,FALSE),"")</f>
        <v>00:04:01.7 (65)</v>
      </c>
      <c r="L54" s="59" t="str">
        <f>IFERROR(VLOOKUP($A54,SortedDownload!$A$3:$BB$499,25,FALSE),"")</f>
        <v>00:02:12.9 (57)</v>
      </c>
      <c r="M54" s="59" t="str">
        <f>IFERROR(VLOOKUP($A54,SortedDownload!$A$3:$BB$499,26,FALSE),"")</f>
        <v>00:04:24.0 (55)</v>
      </c>
      <c r="N54" s="59" t="str">
        <f>IFERROR(VLOOKUP($A54,SortedDownload!$A$3:$BB$499,27,FALSE),"")</f>
        <v>00:05:40.0 (85)</v>
      </c>
      <c r="O54" s="59" t="str">
        <f>IFERROR(VLOOKUP($A54,SortedDownload!$A$3:$BB$499,28,FALSE),"")</f>
        <v>DNS/DNF ()</v>
      </c>
      <c r="P54" s="59" t="str">
        <f>IFERROR(VLOOKUP($A54,SortedDownload!$A$3:$BB$499,29,FALSE),"")</f>
        <v>DNS/DNF ()</v>
      </c>
      <c r="Q54" s="59" t="str">
        <f>IFERROR(VLOOKUP($A54,SortedDownload!$A$3:$BB$499,30,FALSE),"")</f>
        <v>DNS/DNF ()</v>
      </c>
      <c r="R54" s="62" t="str">
        <f>IFERROR(TEXT(VLOOKUP($A54,SortedDownload!$A$3:$Z$499,14,FALSE),"[hh]:mm:ss.000"),"")</f>
        <v>00:20:03.226</v>
      </c>
      <c r="S54" s="83" t="str">
        <f t="shared" si="2"/>
        <v>00:11</v>
      </c>
      <c r="T54" s="83" t="str">
        <f t="shared" si="0"/>
        <v>03:13</v>
      </c>
      <c r="U54" s="9" t="str">
        <f t="shared" si="1"/>
        <v/>
      </c>
      <c r="V54" s="20" t="str">
        <f>IFERROR(IF(VLOOKUP(H54,AgeCategories!$D$3:$J$32,7,FALSE)=I54,"","DNF"),"")</f>
        <v/>
      </c>
      <c r="W54" s="9"/>
      <c r="X54" s="9"/>
    </row>
    <row r="55" spans="1:24">
      <c r="A55" s="53">
        <f>IF(SortedDownload!A55 &lt; 1,"",SortedDownload!A55)</f>
        <v>80</v>
      </c>
      <c r="B55" s="55">
        <f>IF(V55&lt;&gt;"","DNF",COUNTIF($V$3:V55,V55))</f>
        <v>53</v>
      </c>
      <c r="C55" s="54">
        <f>IF(OR(B55="DNF",H55=""),"DNF",COUNTIF($H$3:H55,H55))</f>
        <v>11</v>
      </c>
      <c r="D55" s="90" t="str">
        <f>IFERROR(VLOOKUP($A55,EntryList!$A$3:$N$596,2,FALSE),"")</f>
        <v>Matthias Christen</v>
      </c>
      <c r="E55" s="54">
        <f>IFERROR(VLOOKUP($A55,EntryList!$A$3:$V$596,19,FALSE),"")</f>
        <v>0</v>
      </c>
      <c r="F55" s="176">
        <f>IFERROR(VLOOKUP($A55,EntryList!$A$3:$V$596,18,FALSE),"")</f>
        <v>0</v>
      </c>
      <c r="G55" s="90" t="str">
        <f>IFERROR(VLOOKUP($A55,EntryList!$A$3:$N$596,6,FALSE),"")</f>
        <v>M</v>
      </c>
      <c r="H55" s="90" t="str">
        <f>IFERROR(VLOOKUP($A55,EntryList!$A$3:$N$596,7,FALSE),"")</f>
        <v>Master Men</v>
      </c>
      <c r="I55" s="54">
        <f>IFERROR(VLOOKUP($A55,SortedDownload!$A$3:$Z551,4,FALSE),"")</f>
        <v>5</v>
      </c>
      <c r="J55" s="59" t="str">
        <f>IFERROR(VLOOKUP($A55,SortedDownload!$A$3:$BB$499,23,FALSE),"")</f>
        <v>00:04:03.4 (60)</v>
      </c>
      <c r="K55" s="59" t="str">
        <f>IFERROR(VLOOKUP($A55,SortedDownload!$A$3:$BB$499,24,FALSE),"")</f>
        <v>00:04:01.9 (67)</v>
      </c>
      <c r="L55" s="59" t="str">
        <f>IFERROR(VLOOKUP($A55,SortedDownload!$A$3:$BB$499,25,FALSE),"")</f>
        <v>00:02:17.9 (72)</v>
      </c>
      <c r="M55" s="59" t="str">
        <f>IFERROR(VLOOKUP($A55,SortedDownload!$A$3:$BB$499,26,FALSE),"")</f>
        <v>00:04:20.4 (47)</v>
      </c>
      <c r="N55" s="59" t="str">
        <f>IFERROR(VLOOKUP($A55,SortedDownload!$A$3:$BB$499,27,FALSE),"")</f>
        <v>00:05:27.9 (63)</v>
      </c>
      <c r="O55" s="59" t="str">
        <f>IFERROR(VLOOKUP($A55,SortedDownload!$A$3:$BB$499,28,FALSE),"")</f>
        <v>DNS/DNF ()</v>
      </c>
      <c r="P55" s="59" t="str">
        <f>IFERROR(VLOOKUP($A55,SortedDownload!$A$3:$BB$499,29,FALSE),"")</f>
        <v>DNS/DNF ()</v>
      </c>
      <c r="Q55" s="59" t="str">
        <f>IFERROR(VLOOKUP($A55,SortedDownload!$A$3:$BB$499,30,FALSE),"")</f>
        <v>DNS/DNF ()</v>
      </c>
      <c r="R55" s="62" t="str">
        <f>IFERROR(TEXT(VLOOKUP($A55,SortedDownload!$A$3:$Z$499,14,FALSE),"[hh]:mm:ss.000"),"")</f>
        <v>00:20:11.458</v>
      </c>
      <c r="S55" s="83" t="str">
        <f t="shared" si="2"/>
        <v>00:08</v>
      </c>
      <c r="T55" s="83" t="str">
        <f t="shared" si="0"/>
        <v>03:21</v>
      </c>
      <c r="U55" s="9" t="str">
        <f t="shared" si="1"/>
        <v/>
      </c>
      <c r="V55" s="20" t="str">
        <f>IFERROR(IF(VLOOKUP(H55,AgeCategories!$D$3:$J$32,7,FALSE)=I55,"","DNF"),"")</f>
        <v/>
      </c>
      <c r="W55" s="9"/>
      <c r="X55" s="9"/>
    </row>
    <row r="56" spans="1:24">
      <c r="A56" s="53">
        <f>IF(SortedDownload!A56 &lt; 1,"",SortedDownload!A56)</f>
        <v>15</v>
      </c>
      <c r="B56" s="55">
        <f>IF(V56&lt;&gt;"","DNF",COUNTIF($V$3:V56,V56))</f>
        <v>54</v>
      </c>
      <c r="C56" s="54">
        <f>IF(OR(B56="DNF",H56=""),"DNF",COUNTIF($H$3:H56,H56))</f>
        <v>12</v>
      </c>
      <c r="D56" s="90" t="str">
        <f>IFERROR(VLOOKUP($A56,EntryList!$A$3:$N$596,2,FALSE),"")</f>
        <v>Dale Barnard</v>
      </c>
      <c r="E56" s="54">
        <f>IFERROR(VLOOKUP($A56,EntryList!$A$3:$V$596,19,FALSE),"")</f>
        <v>0</v>
      </c>
      <c r="F56" s="176">
        <f>IFERROR(VLOOKUP($A56,EntryList!$A$3:$V$596,18,FALSE),"")</f>
        <v>0</v>
      </c>
      <c r="G56" s="90" t="str">
        <f>IFERROR(VLOOKUP($A56,EntryList!$A$3:$N$596,6,FALSE),"")</f>
        <v>M</v>
      </c>
      <c r="H56" s="90" t="str">
        <f>IFERROR(VLOOKUP($A56,EntryList!$A$3:$N$596,7,FALSE),"")</f>
        <v>Master Men</v>
      </c>
      <c r="I56" s="54">
        <f>IFERROR(VLOOKUP($A56,SortedDownload!$A$3:$Z552,4,FALSE),"")</f>
        <v>5</v>
      </c>
      <c r="J56" s="59" t="str">
        <f>IFERROR(VLOOKUP($A56,SortedDownload!$A$3:$BB$499,23,FALSE),"")</f>
        <v>00:04:06.1 (65)</v>
      </c>
      <c r="K56" s="59" t="str">
        <f>IFERROR(VLOOKUP($A56,SortedDownload!$A$3:$BB$499,24,FALSE),"")</f>
        <v>00:04:01.4 (62)</v>
      </c>
      <c r="L56" s="59" t="str">
        <f>IFERROR(VLOOKUP($A56,SortedDownload!$A$3:$BB$499,25,FALSE),"")</f>
        <v>00:02:12.6 (56)</v>
      </c>
      <c r="M56" s="59" t="str">
        <f>IFERROR(VLOOKUP($A56,SortedDownload!$A$3:$BB$499,26,FALSE),"")</f>
        <v>00:04:29.7 (59)</v>
      </c>
      <c r="N56" s="59" t="str">
        <f>IFERROR(VLOOKUP($A56,SortedDownload!$A$3:$BB$499,27,FALSE),"")</f>
        <v>00:05:28.0 (64)</v>
      </c>
      <c r="O56" s="59" t="str">
        <f>IFERROR(VLOOKUP($A56,SortedDownload!$A$3:$BB$499,28,FALSE),"")</f>
        <v>DNS/DNF ()</v>
      </c>
      <c r="P56" s="59" t="str">
        <f>IFERROR(VLOOKUP($A56,SortedDownload!$A$3:$BB$499,29,FALSE),"")</f>
        <v>DNS/DNF ()</v>
      </c>
      <c r="Q56" s="59" t="str">
        <f>IFERROR(VLOOKUP($A56,SortedDownload!$A$3:$BB$499,30,FALSE),"")</f>
        <v>DNS/DNF ()</v>
      </c>
      <c r="R56" s="62" t="str">
        <f>IFERROR(TEXT(VLOOKUP($A56,SortedDownload!$A$3:$Z$499,14,FALSE),"[hh]:mm:ss.000"),"")</f>
        <v>00:20:17.791</v>
      </c>
      <c r="S56" s="83" t="str">
        <f t="shared" si="2"/>
        <v>00:06</v>
      </c>
      <c r="T56" s="83" t="str">
        <f t="shared" si="0"/>
        <v>03:28</v>
      </c>
      <c r="U56" s="9" t="str">
        <f t="shared" si="1"/>
        <v/>
      </c>
      <c r="V56" s="20" t="str">
        <f>IFERROR(IF(VLOOKUP(H56,AgeCategories!$D$3:$J$32,7,FALSE)=I56,"","DNF"),"")</f>
        <v/>
      </c>
      <c r="W56" s="9"/>
      <c r="X56" s="9"/>
    </row>
    <row r="57" spans="1:24">
      <c r="A57" s="53">
        <f>IF(SortedDownload!A57 &lt; 1,"",SortedDownload!A57)</f>
        <v>130</v>
      </c>
      <c r="B57" s="55">
        <f>IF(V57&lt;&gt;"","DNF",COUNTIF($V$3:V57,V57))</f>
        <v>55</v>
      </c>
      <c r="C57" s="54">
        <f>IF(OR(B57="DNF",H57=""),"DNF",COUNTIF($H$3:H57,H57))</f>
        <v>14</v>
      </c>
      <c r="D57" s="90" t="str">
        <f>IFERROR(VLOOKUP($A57,EntryList!$A$3:$N$596,2,FALSE),"")</f>
        <v>Jano Gildenhuys</v>
      </c>
      <c r="E57" s="54">
        <f>IFERROR(VLOOKUP($A57,EntryList!$A$3:$V$596,19,FALSE),"")</f>
        <v>0</v>
      </c>
      <c r="F57" s="176">
        <f>IFERROR(VLOOKUP($A57,EntryList!$A$3:$V$596,18,FALSE),"")</f>
        <v>0</v>
      </c>
      <c r="G57" s="90" t="str">
        <f>IFERROR(VLOOKUP($A57,EntryList!$A$3:$N$596,6,FALSE),"")</f>
        <v>M</v>
      </c>
      <c r="H57" s="90" t="str">
        <f>IFERROR(VLOOKUP($A57,EntryList!$A$3:$N$596,7,FALSE),"")</f>
        <v>Youth Men</v>
      </c>
      <c r="I57" s="54">
        <f>IFERROR(VLOOKUP($A57,SortedDownload!$A$3:$Z553,4,FALSE),"")</f>
        <v>5</v>
      </c>
      <c r="J57" s="59" t="str">
        <f>IFERROR(VLOOKUP($A57,SortedDownload!$A$3:$BB$499,23,FALSE),"")</f>
        <v>00:03:52.1 (52)</v>
      </c>
      <c r="K57" s="59" t="str">
        <f>IFERROR(VLOOKUP($A57,SortedDownload!$A$3:$BB$499,24,FALSE),"")</f>
        <v>00:04:16.2 (98)</v>
      </c>
      <c r="L57" s="59" t="str">
        <f>IFERROR(VLOOKUP($A57,SortedDownload!$A$3:$BB$499,25,FALSE),"")</f>
        <v>00:02:12.2 (55)</v>
      </c>
      <c r="M57" s="59" t="str">
        <f>IFERROR(VLOOKUP($A57,SortedDownload!$A$3:$BB$499,26,FALSE),"")</f>
        <v>00:04:22.3 (51)</v>
      </c>
      <c r="N57" s="59" t="str">
        <f>IFERROR(VLOOKUP($A57,SortedDownload!$A$3:$BB$499,27,FALSE),"")</f>
        <v>00:05:41.4 (89)</v>
      </c>
      <c r="O57" s="59" t="str">
        <f>IFERROR(VLOOKUP($A57,SortedDownload!$A$3:$BB$499,28,FALSE),"")</f>
        <v>DNS/DNF ()</v>
      </c>
      <c r="P57" s="59" t="str">
        <f>IFERROR(VLOOKUP($A57,SortedDownload!$A$3:$BB$499,29,FALSE),"")</f>
        <v>DNS/DNF ()</v>
      </c>
      <c r="Q57" s="59" t="str">
        <f>IFERROR(VLOOKUP($A57,SortedDownload!$A$3:$BB$499,30,FALSE),"")</f>
        <v>DNS/DNF ()</v>
      </c>
      <c r="R57" s="62" t="str">
        <f>IFERROR(TEXT(VLOOKUP($A57,SortedDownload!$A$3:$Z$499,14,FALSE),"[hh]:mm:ss.000"),"")</f>
        <v>00:20:24.207</v>
      </c>
      <c r="S57" s="83" t="str">
        <f t="shared" si="2"/>
        <v>00:06</v>
      </c>
      <c r="T57" s="83" t="str">
        <f t="shared" si="0"/>
        <v>03:34</v>
      </c>
      <c r="U57" s="9" t="str">
        <f t="shared" si="1"/>
        <v/>
      </c>
      <c r="V57" s="20" t="str">
        <f>IFERROR(IF(VLOOKUP(H57,AgeCategories!$D$3:$J$32,7,FALSE)=I57,"","DNF"),"")</f>
        <v/>
      </c>
      <c r="W57" s="9"/>
      <c r="X57" s="9"/>
    </row>
    <row r="58" spans="1:24">
      <c r="A58" s="53">
        <f>IF(SortedDownload!A58 &lt; 1,"",SortedDownload!A58)</f>
        <v>287</v>
      </c>
      <c r="B58" s="55">
        <f>IF(V58&lt;&gt;"","DNF",COUNTIF($V$3:V58,V58))</f>
        <v>56</v>
      </c>
      <c r="C58" s="54">
        <f>IF(OR(B58="DNF",H58=""),"DNF",COUNTIF($H$3:H58,H58))</f>
        <v>8</v>
      </c>
      <c r="D58" s="90" t="str">
        <f>IFERROR(VLOOKUP($A58,EntryList!$A$3:$N$596,2,FALSE),"")</f>
        <v>Dewald Oosthuizen</v>
      </c>
      <c r="E58" s="54" t="str">
        <f>IFERROR(VLOOKUP($A58,EntryList!$A$3:$V$596,19,FALSE),"")</f>
        <v/>
      </c>
      <c r="F58" s="176" t="str">
        <f>IFERROR(VLOOKUP($A58,EntryList!$A$3:$V$596,18,FALSE),"")</f>
        <v/>
      </c>
      <c r="G58" s="90" t="str">
        <f>IFERROR(VLOOKUP($A58,EntryList!$A$3:$N$596,6,FALSE),"")</f>
        <v>M</v>
      </c>
      <c r="H58" s="90" t="str">
        <f>IFERROR(VLOOKUP($A58,EntryList!$A$3:$N$596,7,FALSE),"")</f>
        <v>E-Bike M</v>
      </c>
      <c r="I58" s="54">
        <f>IFERROR(VLOOKUP($A58,SortedDownload!$A$3:$Z554,4,FALSE),"")</f>
        <v>5</v>
      </c>
      <c r="J58" s="59" t="str">
        <f>IFERROR(VLOOKUP($A58,SortedDownload!$A$3:$BB$499,23,FALSE),"")</f>
        <v>00:04:03.6 (61)</v>
      </c>
      <c r="K58" s="59" t="str">
        <f>IFERROR(VLOOKUP($A58,SortedDownload!$A$3:$BB$499,24,FALSE),"")</f>
        <v>00:04:02.9 (69)</v>
      </c>
      <c r="L58" s="59" t="str">
        <f>IFERROR(VLOOKUP($A58,SortedDownload!$A$3:$BB$499,25,FALSE),"")</f>
        <v>00:02:18.8 (73)</v>
      </c>
      <c r="M58" s="59" t="str">
        <f>IFERROR(VLOOKUP($A58,SortedDownload!$A$3:$BB$499,26,FALSE),"")</f>
        <v>00:04:30.8 (62)</v>
      </c>
      <c r="N58" s="59" t="str">
        <f>IFERROR(VLOOKUP($A58,SortedDownload!$A$3:$BB$499,27,FALSE),"")</f>
        <v>00:05:30.0 (66)</v>
      </c>
      <c r="O58" s="59" t="str">
        <f>IFERROR(VLOOKUP($A58,SortedDownload!$A$3:$BB$499,28,FALSE),"")</f>
        <v>DNS/DNF ()</v>
      </c>
      <c r="P58" s="59" t="str">
        <f>IFERROR(VLOOKUP($A58,SortedDownload!$A$3:$BB$499,29,FALSE),"")</f>
        <v>DNS/DNF ()</v>
      </c>
      <c r="Q58" s="59" t="str">
        <f>IFERROR(VLOOKUP($A58,SortedDownload!$A$3:$BB$499,30,FALSE),"")</f>
        <v>DNS/DNF ()</v>
      </c>
      <c r="R58" s="62" t="str">
        <f>IFERROR(TEXT(VLOOKUP($A58,SortedDownload!$A$3:$Z$499,14,FALSE),"[hh]:mm:ss.000"),"")</f>
        <v>00:20:26.072</v>
      </c>
      <c r="S58" s="83" t="str">
        <f t="shared" si="2"/>
        <v>00:02</v>
      </c>
      <c r="T58" s="83" t="str">
        <f t="shared" si="0"/>
        <v>03:36</v>
      </c>
      <c r="U58" s="9" t="str">
        <f t="shared" si="1"/>
        <v/>
      </c>
      <c r="V58" s="20" t="str">
        <f>IFERROR(IF(VLOOKUP(H58,AgeCategories!$D$3:$J$32,7,FALSE)=I58,"","DNF"),"")</f>
        <v/>
      </c>
      <c r="W58" s="9"/>
      <c r="X58" s="9"/>
    </row>
    <row r="59" spans="1:24">
      <c r="A59" s="53">
        <f>IF(SortedDownload!A59 &lt; 1,"",SortedDownload!A59)</f>
        <v>236</v>
      </c>
      <c r="B59" s="55">
        <f>IF(V59&lt;&gt;"","DNF",COUNTIF($V$3:V59,V59))</f>
        <v>57</v>
      </c>
      <c r="C59" s="54">
        <f>IF(OR(B59="DNF",H59=""),"DNF",COUNTIF($H$3:H59,H59))</f>
        <v>9</v>
      </c>
      <c r="D59" s="90" t="str">
        <f>IFERROR(VLOOKUP($A59,EntryList!$A$3:$N$596,2,FALSE),"")</f>
        <v>Marc Carr</v>
      </c>
      <c r="E59" s="54">
        <f>IFERROR(VLOOKUP($A59,EntryList!$A$3:$V$596,19,FALSE),"")</f>
        <v>0</v>
      </c>
      <c r="F59" s="176">
        <f>IFERROR(VLOOKUP($A59,EntryList!$A$3:$V$596,18,FALSE),"")</f>
        <v>0</v>
      </c>
      <c r="G59" s="90" t="str">
        <f>IFERROR(VLOOKUP($A59,EntryList!$A$3:$N$596,6,FALSE),"")</f>
        <v>M</v>
      </c>
      <c r="H59" s="90" t="str">
        <f>IFERROR(VLOOKUP($A59,EntryList!$A$3:$N$596,7,FALSE),"")</f>
        <v>E-Bike M</v>
      </c>
      <c r="I59" s="54">
        <f>IFERROR(VLOOKUP($A59,SortedDownload!$A$3:$Z555,4,FALSE),"")</f>
        <v>5</v>
      </c>
      <c r="J59" s="59" t="str">
        <f>IFERROR(VLOOKUP($A59,SortedDownload!$A$3:$BB$499,23,FALSE),"")</f>
        <v>00:04:10.6 (68)</v>
      </c>
      <c r="K59" s="59" t="str">
        <f>IFERROR(VLOOKUP($A59,SortedDownload!$A$3:$BB$499,24,FALSE),"")</f>
        <v>00:04:01.6 (64)</v>
      </c>
      <c r="L59" s="59" t="str">
        <f>IFERROR(VLOOKUP($A59,SortedDownload!$A$3:$BB$499,25,FALSE),"")</f>
        <v>00:02:15.6 (62)</v>
      </c>
      <c r="M59" s="59" t="str">
        <f>IFERROR(VLOOKUP($A59,SortedDownload!$A$3:$BB$499,26,FALSE),"")</f>
        <v>00:04:30.2 (60)</v>
      </c>
      <c r="N59" s="59" t="str">
        <f>IFERROR(VLOOKUP($A59,SortedDownload!$A$3:$BB$499,27,FALSE),"")</f>
        <v>00:05:33.0 (72)</v>
      </c>
      <c r="O59" s="59" t="str">
        <f>IFERROR(VLOOKUP($A59,SortedDownload!$A$3:$BB$499,28,FALSE),"")</f>
        <v>DNS/DNF ()</v>
      </c>
      <c r="P59" s="59" t="str">
        <f>IFERROR(VLOOKUP($A59,SortedDownload!$A$3:$BB$499,29,FALSE),"")</f>
        <v>DNS/DNF ()</v>
      </c>
      <c r="Q59" s="59" t="str">
        <f>IFERROR(VLOOKUP($A59,SortedDownload!$A$3:$BB$499,30,FALSE),"")</f>
        <v>DNS/DNF ()</v>
      </c>
      <c r="R59" s="62" t="str">
        <f>IFERROR(TEXT(VLOOKUP($A59,SortedDownload!$A$3:$Z$499,14,FALSE),"[hh]:mm:ss.000"),"")</f>
        <v>00:20:30.969</v>
      </c>
      <c r="S59" s="83" t="str">
        <f t="shared" si="2"/>
        <v>00:05</v>
      </c>
      <c r="T59" s="83" t="str">
        <f t="shared" si="0"/>
        <v>03:41</v>
      </c>
      <c r="U59" s="9" t="str">
        <f t="shared" si="1"/>
        <v/>
      </c>
      <c r="V59" s="20" t="str">
        <f>IFERROR(IF(VLOOKUP(H59,AgeCategories!$D$3:$J$32,7,FALSE)=I59,"","DNF"),"")</f>
        <v/>
      </c>
      <c r="W59" s="9"/>
      <c r="X59" s="9"/>
    </row>
    <row r="60" spans="1:24">
      <c r="A60" s="53">
        <f>IF(SortedDownload!A60 &lt; 1,"",SortedDownload!A60)</f>
        <v>24</v>
      </c>
      <c r="B60" s="55">
        <f>IF(V60&lt;&gt;"","DNF",COUNTIF($V$3:V60,V60))</f>
        <v>58</v>
      </c>
      <c r="C60" s="54">
        <f>IF(OR(B60="DNF",H60=""),"DNF",COUNTIF($H$3:H60,H60))</f>
        <v>13</v>
      </c>
      <c r="D60" s="90" t="str">
        <f>IFERROR(VLOOKUP($A60,EntryList!$A$3:$N$596,2,FALSE),"")</f>
        <v>Enrique Julyan</v>
      </c>
      <c r="E60" s="54">
        <f>IFERROR(VLOOKUP($A60,EntryList!$A$3:$V$596,19,FALSE),"")</f>
        <v>0</v>
      </c>
      <c r="F60" s="176">
        <f>IFERROR(VLOOKUP($A60,EntryList!$A$3:$V$596,18,FALSE),"")</f>
        <v>0</v>
      </c>
      <c r="G60" s="90" t="str">
        <f>IFERROR(VLOOKUP($A60,EntryList!$A$3:$N$596,6,FALSE),"")</f>
        <v>M</v>
      </c>
      <c r="H60" s="90" t="str">
        <f>IFERROR(VLOOKUP($A60,EntryList!$A$3:$N$596,7,FALSE),"")</f>
        <v>Master Men</v>
      </c>
      <c r="I60" s="54">
        <f>IFERROR(VLOOKUP($A60,SortedDownload!$A$3:$Z556,4,FALSE),"")</f>
        <v>5</v>
      </c>
      <c r="J60" s="59" t="str">
        <f>IFERROR(VLOOKUP($A60,SortedDownload!$A$3:$BB$499,23,FALSE),"")</f>
        <v>00:04:11.2 (71)</v>
      </c>
      <c r="K60" s="59" t="str">
        <f>IFERROR(VLOOKUP($A60,SortedDownload!$A$3:$BB$499,24,FALSE),"")</f>
        <v>00:04:06.1 (76)</v>
      </c>
      <c r="L60" s="59" t="str">
        <f>IFERROR(VLOOKUP($A60,SortedDownload!$A$3:$BB$499,25,FALSE),"")</f>
        <v>00:02:20.6 (78)</v>
      </c>
      <c r="M60" s="59" t="str">
        <f>IFERROR(VLOOKUP($A60,SortedDownload!$A$3:$BB$499,26,FALSE),"")</f>
        <v>00:04:26.0 (57)</v>
      </c>
      <c r="N60" s="59" t="str">
        <f>IFERROR(VLOOKUP($A60,SortedDownload!$A$3:$BB$499,27,FALSE),"")</f>
        <v>00:05:31.7 (69)</v>
      </c>
      <c r="O60" s="59" t="str">
        <f>IFERROR(VLOOKUP($A60,SortedDownload!$A$3:$BB$499,28,FALSE),"")</f>
        <v>DNS/DNF ()</v>
      </c>
      <c r="P60" s="59" t="str">
        <f>IFERROR(VLOOKUP($A60,SortedDownload!$A$3:$BB$499,29,FALSE),"")</f>
        <v>DNS/DNF ()</v>
      </c>
      <c r="Q60" s="59" t="str">
        <f>IFERROR(VLOOKUP($A60,SortedDownload!$A$3:$BB$499,30,FALSE),"")</f>
        <v>DNS/DNF ()</v>
      </c>
      <c r="R60" s="62" t="str">
        <f>IFERROR(TEXT(VLOOKUP($A60,SortedDownload!$A$3:$Z$499,14,FALSE),"[hh]:mm:ss.000"),"")</f>
        <v>00:20:35.604</v>
      </c>
      <c r="S60" s="83" t="str">
        <f t="shared" si="2"/>
        <v>00:05</v>
      </c>
      <c r="T60" s="83" t="str">
        <f t="shared" si="0"/>
        <v>03:46</v>
      </c>
      <c r="U60" s="9" t="str">
        <f t="shared" si="1"/>
        <v/>
      </c>
      <c r="V60" s="20" t="str">
        <f>IFERROR(IF(VLOOKUP(H60,AgeCategories!$D$3:$J$32,7,FALSE)=I60,"","DNF"),"")</f>
        <v/>
      </c>
      <c r="W60" s="9"/>
      <c r="X60" s="9"/>
    </row>
    <row r="61" spans="1:24">
      <c r="A61" s="53">
        <f>IF(SortedDownload!A61 &lt; 1,"",SortedDownload!A61)</f>
        <v>94</v>
      </c>
      <c r="B61" s="55">
        <f>IF(V61&lt;&gt;"","DNF",COUNTIF($V$3:V61,V61))</f>
        <v>59</v>
      </c>
      <c r="C61" s="54">
        <f>IF(OR(B61="DNF",H61=""),"DNF",COUNTIF($H$3:H61,H61))</f>
        <v>14</v>
      </c>
      <c r="D61" s="90" t="str">
        <f>IFERROR(VLOOKUP($A61,EntryList!$A$3:$N$596,2,FALSE),"")</f>
        <v>Christo Van Den Heever</v>
      </c>
      <c r="E61" s="54">
        <f>IFERROR(VLOOKUP($A61,EntryList!$A$3:$V$596,19,FALSE),"")</f>
        <v>0</v>
      </c>
      <c r="F61" s="176">
        <f>IFERROR(VLOOKUP($A61,EntryList!$A$3:$V$596,18,FALSE),"")</f>
        <v>0</v>
      </c>
      <c r="G61" s="90" t="str">
        <f>IFERROR(VLOOKUP($A61,EntryList!$A$3:$N$596,6,FALSE),"")</f>
        <v>M</v>
      </c>
      <c r="H61" s="90" t="str">
        <f>IFERROR(VLOOKUP($A61,EntryList!$A$3:$N$596,7,FALSE),"")</f>
        <v>Master Men</v>
      </c>
      <c r="I61" s="54">
        <f>IFERROR(VLOOKUP($A61,SortedDownload!$A$3:$Z557,4,FALSE),"")</f>
        <v>5</v>
      </c>
      <c r="J61" s="59" t="str">
        <f>IFERROR(VLOOKUP($A61,SortedDownload!$A$3:$BB$499,23,FALSE),"")</f>
        <v>00:04:12.5 (73)</v>
      </c>
      <c r="K61" s="59" t="str">
        <f>IFERROR(VLOOKUP($A61,SortedDownload!$A$3:$BB$499,24,FALSE),"")</f>
        <v>00:04:08.1 (82)</v>
      </c>
      <c r="L61" s="59" t="str">
        <f>IFERROR(VLOOKUP($A61,SortedDownload!$A$3:$BB$499,25,FALSE),"")</f>
        <v>00:02:15.1 (61)</v>
      </c>
      <c r="M61" s="59" t="str">
        <f>IFERROR(VLOOKUP($A61,SortedDownload!$A$3:$BB$499,26,FALSE),"")</f>
        <v>00:04:35.5 (68)</v>
      </c>
      <c r="N61" s="59" t="str">
        <f>IFERROR(VLOOKUP($A61,SortedDownload!$A$3:$BB$499,27,FALSE),"")</f>
        <v>00:05:27.1 (62)</v>
      </c>
      <c r="O61" s="59" t="str">
        <f>IFERROR(VLOOKUP($A61,SortedDownload!$A$3:$BB$499,28,FALSE),"")</f>
        <v>DNS/DNF ()</v>
      </c>
      <c r="P61" s="59" t="str">
        <f>IFERROR(VLOOKUP($A61,SortedDownload!$A$3:$BB$499,29,FALSE),"")</f>
        <v>DNS/DNF ()</v>
      </c>
      <c r="Q61" s="59" t="str">
        <f>IFERROR(VLOOKUP($A61,SortedDownload!$A$3:$BB$499,30,FALSE),"")</f>
        <v>DNS/DNF ()</v>
      </c>
      <c r="R61" s="62" t="str">
        <f>IFERROR(TEXT(VLOOKUP($A61,SortedDownload!$A$3:$Z$499,14,FALSE),"[hh]:mm:ss.000"),"")</f>
        <v>00:20:38.302</v>
      </c>
      <c r="S61" s="83" t="str">
        <f t="shared" si="2"/>
        <v>00:03</v>
      </c>
      <c r="T61" s="83" t="str">
        <f t="shared" si="0"/>
        <v>03:48</v>
      </c>
      <c r="U61" s="9" t="str">
        <f t="shared" si="1"/>
        <v/>
      </c>
      <c r="V61" s="20" t="str">
        <f>IFERROR(IF(VLOOKUP(H61,AgeCategories!$D$3:$J$32,7,FALSE)=I61,"","DNF"),"")</f>
        <v/>
      </c>
      <c r="W61" s="9"/>
      <c r="X61" s="9"/>
    </row>
    <row r="62" spans="1:24">
      <c r="A62" s="53">
        <f>IF(SortedDownload!A62 &lt; 1,"",SortedDownload!A62)</f>
        <v>141</v>
      </c>
      <c r="B62" s="55">
        <f>IF(V62&lt;&gt;"","DNF",COUNTIF($V$3:V62,V62))</f>
        <v>60</v>
      </c>
      <c r="C62" s="54">
        <f>IF(OR(B62="DNF",H62=""),"DNF",COUNTIF($H$3:H62,H62))</f>
        <v>15</v>
      </c>
      <c r="D62" s="90" t="str">
        <f>IFERROR(VLOOKUP($A62,EntryList!$A$3:$N$596,2,FALSE),"")</f>
        <v>Philip Mccann</v>
      </c>
      <c r="E62" s="54">
        <f>IFERROR(VLOOKUP($A62,EntryList!$A$3:$V$596,19,FALSE),"")</f>
        <v>0</v>
      </c>
      <c r="F62" s="176">
        <f>IFERROR(VLOOKUP($A62,EntryList!$A$3:$V$596,18,FALSE),"")</f>
        <v>0</v>
      </c>
      <c r="G62" s="90" t="str">
        <f>IFERROR(VLOOKUP($A62,EntryList!$A$3:$N$596,6,FALSE),"")</f>
        <v>M</v>
      </c>
      <c r="H62" s="90" t="str">
        <f>IFERROR(VLOOKUP($A62,EntryList!$A$3:$N$596,7,FALSE),"")</f>
        <v>Youth Men</v>
      </c>
      <c r="I62" s="54">
        <f>IFERROR(VLOOKUP($A62,SortedDownload!$A$3:$Z558,4,FALSE),"")</f>
        <v>5</v>
      </c>
      <c r="J62" s="59" t="str">
        <f>IFERROR(VLOOKUP($A62,SortedDownload!$A$3:$BB$499,23,FALSE),"")</f>
        <v>00:03:51.4 (49)</v>
      </c>
      <c r="K62" s="59" t="str">
        <f>IFERROR(VLOOKUP($A62,SortedDownload!$A$3:$BB$499,24,FALSE),"")</f>
        <v>00:04:13.0 (94)</v>
      </c>
      <c r="L62" s="59" t="str">
        <f>IFERROR(VLOOKUP($A62,SortedDownload!$A$3:$BB$499,25,FALSE),"")</f>
        <v>00:02:15.8 (64)</v>
      </c>
      <c r="M62" s="59" t="str">
        <f>IFERROR(VLOOKUP($A62,SortedDownload!$A$3:$BB$499,26,FALSE),"")</f>
        <v>00:04:36.6 (72)</v>
      </c>
      <c r="N62" s="59" t="str">
        <f>IFERROR(VLOOKUP($A62,SortedDownload!$A$3:$BB$499,27,FALSE),"")</f>
        <v>00:05:43.2 (95)</v>
      </c>
      <c r="O62" s="59" t="str">
        <f>IFERROR(VLOOKUP($A62,SortedDownload!$A$3:$BB$499,28,FALSE),"")</f>
        <v>DNS/DNF ()</v>
      </c>
      <c r="P62" s="59" t="str">
        <f>IFERROR(VLOOKUP($A62,SortedDownload!$A$3:$BB$499,29,FALSE),"")</f>
        <v>DNS/DNF ()</v>
      </c>
      <c r="Q62" s="59" t="str">
        <f>IFERROR(VLOOKUP($A62,SortedDownload!$A$3:$BB$499,30,FALSE),"")</f>
        <v>DNS/DNF ()</v>
      </c>
      <c r="R62" s="62" t="str">
        <f>IFERROR(TEXT(VLOOKUP($A62,SortedDownload!$A$3:$Z$499,14,FALSE),"[hh]:mm:ss.000"),"")</f>
        <v>00:20:40.109</v>
      </c>
      <c r="S62" s="83" t="str">
        <f t="shared" si="2"/>
        <v>00:02</v>
      </c>
      <c r="T62" s="83" t="str">
        <f t="shared" si="0"/>
        <v>03:50</v>
      </c>
      <c r="U62" s="9" t="str">
        <f t="shared" si="1"/>
        <v/>
      </c>
      <c r="V62" s="20" t="str">
        <f>IFERROR(IF(VLOOKUP(H62,AgeCategories!$D$3:$J$32,7,FALSE)=I62,"","DNF"),"")</f>
        <v/>
      </c>
      <c r="W62" s="9"/>
      <c r="X62" s="9"/>
    </row>
    <row r="63" spans="1:24">
      <c r="A63" s="53">
        <f>IF(SortedDownload!A63 &lt; 1,"",SortedDownload!A63)</f>
        <v>33</v>
      </c>
      <c r="B63" s="55">
        <f>IF(V63&lt;&gt;"","DNF",COUNTIF($V$3:V63,V63))</f>
        <v>61</v>
      </c>
      <c r="C63" s="54">
        <f>IF(OR(B63="DNF",H63=""),"DNF",COUNTIF($H$3:H63,H63))</f>
        <v>15</v>
      </c>
      <c r="D63" s="90" t="str">
        <f>IFERROR(VLOOKUP($A63,EntryList!$A$3:$N$596,2,FALSE),"")</f>
        <v>Rameez Abrahams</v>
      </c>
      <c r="E63" s="54">
        <f>IFERROR(VLOOKUP($A63,EntryList!$A$3:$V$596,19,FALSE),"")</f>
        <v>0</v>
      </c>
      <c r="F63" s="176">
        <f>IFERROR(VLOOKUP($A63,EntryList!$A$3:$V$596,18,FALSE),"")</f>
        <v>0</v>
      </c>
      <c r="G63" s="90" t="str">
        <f>IFERROR(VLOOKUP($A63,EntryList!$A$3:$N$596,6,FALSE),"")</f>
        <v>M</v>
      </c>
      <c r="H63" s="90" t="str">
        <f>IFERROR(VLOOKUP($A63,EntryList!$A$3:$N$596,7,FALSE),"")</f>
        <v>Master Men</v>
      </c>
      <c r="I63" s="54">
        <f>IFERROR(VLOOKUP($A63,SortedDownload!$A$3:$Z559,4,FALSE),"")</f>
        <v>5</v>
      </c>
      <c r="J63" s="59" t="str">
        <f>IFERROR(VLOOKUP($A63,SortedDownload!$A$3:$BB$499,23,FALSE),"")</f>
        <v>00:04:09.1 (66)</v>
      </c>
      <c r="K63" s="59" t="str">
        <f>IFERROR(VLOOKUP($A63,SortedDownload!$A$3:$BB$499,24,FALSE),"")</f>
        <v>00:04:00.4 (60)</v>
      </c>
      <c r="L63" s="59" t="str">
        <f>IFERROR(VLOOKUP($A63,SortedDownload!$A$3:$BB$499,25,FALSE),"")</f>
        <v>00:02:26.1 (94)</v>
      </c>
      <c r="M63" s="59" t="str">
        <f>IFERROR(VLOOKUP($A63,SortedDownload!$A$3:$BB$499,26,FALSE),"")</f>
        <v>00:04:36.1 (70)</v>
      </c>
      <c r="N63" s="59" t="str">
        <f>IFERROR(VLOOKUP($A63,SortedDownload!$A$3:$BB$499,27,FALSE),"")</f>
        <v>00:05:30.4 (68)</v>
      </c>
      <c r="O63" s="59" t="str">
        <f>IFERROR(VLOOKUP($A63,SortedDownload!$A$3:$BB$499,28,FALSE),"")</f>
        <v>DNS/DNF ()</v>
      </c>
      <c r="P63" s="59" t="str">
        <f>IFERROR(VLOOKUP($A63,SortedDownload!$A$3:$BB$499,29,FALSE),"")</f>
        <v>DNS/DNF ()</v>
      </c>
      <c r="Q63" s="59" t="str">
        <f>IFERROR(VLOOKUP($A63,SortedDownload!$A$3:$BB$499,30,FALSE),"")</f>
        <v>DNS/DNF ()</v>
      </c>
      <c r="R63" s="62" t="str">
        <f>IFERROR(TEXT(VLOOKUP($A63,SortedDownload!$A$3:$Z$499,14,FALSE),"[hh]:mm:ss.000"),"")</f>
        <v>00:20:42.126</v>
      </c>
      <c r="S63" s="83" t="str">
        <f t="shared" si="2"/>
        <v>00:02</v>
      </c>
      <c r="T63" s="83" t="str">
        <f t="shared" si="0"/>
        <v>03:52</v>
      </c>
      <c r="U63" s="9" t="str">
        <f t="shared" si="1"/>
        <v/>
      </c>
      <c r="V63" s="20" t="str">
        <f>IFERROR(IF(VLOOKUP(H63,AgeCategories!$D$3:$J$32,7,FALSE)=I63,"","DNF"),"")</f>
        <v/>
      </c>
      <c r="W63" s="9"/>
      <c r="X63" s="9"/>
    </row>
    <row r="64" spans="1:24">
      <c r="A64" s="53">
        <f>IF(SortedDownload!A64 &lt; 1,"",SortedDownload!A64)</f>
        <v>298</v>
      </c>
      <c r="B64" s="55">
        <f>IF(V64&lt;&gt;"","DNF",COUNTIF($V$3:V64,V64))</f>
        <v>62</v>
      </c>
      <c r="C64" s="54">
        <f>IF(OR(B64="DNF",H64=""),"DNF",COUNTIF($H$3:H64,H64))</f>
        <v>16</v>
      </c>
      <c r="D64" s="90" t="str">
        <f>IFERROR(VLOOKUP($A64,EntryList!$A$3:$N$596,2,FALSE),"")</f>
        <v>Nicholas Turvey</v>
      </c>
      <c r="E64" s="54">
        <f>IFERROR(VLOOKUP($A64,EntryList!$A$3:$V$596,19,FALSE),"")</f>
        <v>0</v>
      </c>
      <c r="F64" s="176">
        <f>IFERROR(VLOOKUP($A64,EntryList!$A$3:$V$596,18,FALSE),"")</f>
        <v>0</v>
      </c>
      <c r="G64" s="90" t="str">
        <f>IFERROR(VLOOKUP($A64,EntryList!$A$3:$N$596,6,FALSE),"")</f>
        <v>M</v>
      </c>
      <c r="H64" s="90" t="str">
        <f>IFERROR(VLOOKUP($A64,EntryList!$A$3:$N$596,7,FALSE),"")</f>
        <v>Master Men</v>
      </c>
      <c r="I64" s="54">
        <f>IFERROR(VLOOKUP($A64,SortedDownload!$A$3:$Z560,4,FALSE),"")</f>
        <v>5</v>
      </c>
      <c r="J64" s="59" t="str">
        <f>IFERROR(VLOOKUP($A64,SortedDownload!$A$3:$BB$499,23,FALSE),"")</f>
        <v>00:04:09.2 (67)</v>
      </c>
      <c r="K64" s="59" t="str">
        <f>IFERROR(VLOOKUP($A64,SortedDownload!$A$3:$BB$499,24,FALSE),"")</f>
        <v>00:04:05.8 (75)</v>
      </c>
      <c r="L64" s="59" t="str">
        <f>IFERROR(VLOOKUP($A64,SortedDownload!$A$3:$BB$499,25,FALSE),"")</f>
        <v>00:02:22.2 (83)</v>
      </c>
      <c r="M64" s="59" t="str">
        <f>IFERROR(VLOOKUP($A64,SortedDownload!$A$3:$BB$499,26,FALSE),"")</f>
        <v>00:04:32.4 (64)</v>
      </c>
      <c r="N64" s="59" t="str">
        <f>IFERROR(VLOOKUP($A64,SortedDownload!$A$3:$BB$499,27,FALSE),"")</f>
        <v>00:05:34.7 (77)</v>
      </c>
      <c r="O64" s="59" t="str">
        <f>IFERROR(VLOOKUP($A64,SortedDownload!$A$3:$BB$499,28,FALSE),"")</f>
        <v>DNS/DNF ()</v>
      </c>
      <c r="P64" s="59" t="str">
        <f>IFERROR(VLOOKUP($A64,SortedDownload!$A$3:$BB$499,29,FALSE),"")</f>
        <v>DNS/DNF ()</v>
      </c>
      <c r="Q64" s="59" t="str">
        <f>IFERROR(VLOOKUP($A64,SortedDownload!$A$3:$BB$499,30,FALSE),"")</f>
        <v>DNS/DNF ()</v>
      </c>
      <c r="R64" s="62" t="str">
        <f>IFERROR(TEXT(VLOOKUP($A64,SortedDownload!$A$3:$Z$499,14,FALSE),"[hh]:mm:ss.000"),"")</f>
        <v>00:20:44.187</v>
      </c>
      <c r="S64" s="83" t="str">
        <f t="shared" si="2"/>
        <v>00:02</v>
      </c>
      <c r="T64" s="83" t="str">
        <f t="shared" si="0"/>
        <v>03:54</v>
      </c>
      <c r="U64" s="9" t="str">
        <f t="shared" si="1"/>
        <v/>
      </c>
      <c r="V64" s="20" t="str">
        <f>IFERROR(IF(VLOOKUP(H64,AgeCategories!$D$3:$J$32,7,FALSE)=I64,"","DNF"),"")</f>
        <v/>
      </c>
      <c r="W64" s="9"/>
      <c r="X64" s="9"/>
    </row>
    <row r="65" spans="1:24">
      <c r="A65" s="53">
        <f>IF(SortedDownload!A65 &lt; 1,"",SortedDownload!A65)</f>
        <v>128</v>
      </c>
      <c r="B65" s="55">
        <f>IF(V65&lt;&gt;"","DNF",COUNTIF($V$3:V65,V65))</f>
        <v>63</v>
      </c>
      <c r="C65" s="54">
        <f>IF(OR(B65="DNF",H65=""),"DNF",COUNTIF($H$3:H65,H65))</f>
        <v>15</v>
      </c>
      <c r="D65" s="90" t="str">
        <f>IFERROR(VLOOKUP($A65,EntryList!$A$3:$N$596,2,FALSE),"")</f>
        <v>Tiaan Van De Merwe</v>
      </c>
      <c r="E65" s="54">
        <f>IFERROR(VLOOKUP($A65,EntryList!$A$3:$V$596,19,FALSE),"")</f>
        <v>0</v>
      </c>
      <c r="F65" s="176">
        <f>IFERROR(VLOOKUP($A65,EntryList!$A$3:$V$596,18,FALSE),"")</f>
        <v>0</v>
      </c>
      <c r="G65" s="90" t="str">
        <f>IFERROR(VLOOKUP($A65,EntryList!$A$3:$N$596,6,FALSE),"")</f>
        <v>M</v>
      </c>
      <c r="H65" s="90" t="str">
        <f>IFERROR(VLOOKUP($A65,EntryList!$A$3:$N$596,7,FALSE),"")</f>
        <v>Elite Men</v>
      </c>
      <c r="I65" s="54">
        <f>IFERROR(VLOOKUP($A65,SortedDownload!$A$3:$Z561,4,FALSE),"")</f>
        <v>5</v>
      </c>
      <c r="J65" s="59" t="str">
        <f>IFERROR(VLOOKUP($A65,SortedDownload!$A$3:$BB$499,23,FALSE),"")</f>
        <v>00:04:22.4 (82)</v>
      </c>
      <c r="K65" s="59" t="str">
        <f>IFERROR(VLOOKUP($A65,SortedDownload!$A$3:$BB$499,24,FALSE),"")</f>
        <v>00:04:03.8 (72)</v>
      </c>
      <c r="L65" s="59" t="str">
        <f>IFERROR(VLOOKUP($A65,SortedDownload!$A$3:$BB$499,25,FALSE),"")</f>
        <v>00:02:17.3 (69)</v>
      </c>
      <c r="M65" s="59" t="str">
        <f>IFERROR(VLOOKUP($A65,SortedDownload!$A$3:$BB$499,26,FALSE),"")</f>
        <v>00:04:28.7 (58)</v>
      </c>
      <c r="N65" s="59" t="str">
        <f>IFERROR(VLOOKUP($A65,SortedDownload!$A$3:$BB$499,27,FALSE),"")</f>
        <v>00:05:33.8 (73)</v>
      </c>
      <c r="O65" s="59" t="str">
        <f>IFERROR(VLOOKUP($A65,SortedDownload!$A$3:$BB$499,28,FALSE),"")</f>
        <v>DNS/DNF ()</v>
      </c>
      <c r="P65" s="59" t="str">
        <f>IFERROR(VLOOKUP($A65,SortedDownload!$A$3:$BB$499,29,FALSE),"")</f>
        <v>DNS/DNF ()</v>
      </c>
      <c r="Q65" s="59" t="str">
        <f>IFERROR(VLOOKUP($A65,SortedDownload!$A$3:$BB$499,30,FALSE),"")</f>
        <v>DNS/DNF ()</v>
      </c>
      <c r="R65" s="62" t="str">
        <f>IFERROR(TEXT(VLOOKUP($A65,SortedDownload!$A$3:$Z$499,14,FALSE),"[hh]:mm:ss.000"),"")</f>
        <v>00:20:45.950</v>
      </c>
      <c r="S65" s="83" t="str">
        <f t="shared" si="2"/>
        <v>00:02</v>
      </c>
      <c r="T65" s="83" t="str">
        <f t="shared" si="0"/>
        <v>03:56</v>
      </c>
      <c r="U65" s="9" t="str">
        <f t="shared" si="1"/>
        <v/>
      </c>
      <c r="V65" s="20" t="str">
        <f>IFERROR(IF(VLOOKUP(H65,AgeCategories!$D$3:$J$32,7,FALSE)=I65,"","DNF"),"")</f>
        <v/>
      </c>
      <c r="W65" s="9"/>
      <c r="X65" s="9"/>
    </row>
    <row r="66" spans="1:24">
      <c r="A66" s="53">
        <f>IF(SortedDownload!A66 &lt; 1,"",SortedDownload!A66)</f>
        <v>260</v>
      </c>
      <c r="B66" s="55">
        <f>IF(V66&lt;&gt;"","DNF",COUNTIF($V$3:V66,V66))</f>
        <v>64</v>
      </c>
      <c r="C66" s="54">
        <f>IF(OR(B66="DNF",H66=""),"DNF",COUNTIF($H$3:H66,H66))</f>
        <v>16</v>
      </c>
      <c r="D66" s="90" t="str">
        <f>IFERROR(VLOOKUP($A66,EntryList!$A$3:$N$596,2,FALSE),"")</f>
        <v>Dillan Rix</v>
      </c>
      <c r="E66" s="54">
        <f>IFERROR(VLOOKUP($A66,EntryList!$A$3:$V$596,19,FALSE),"")</f>
        <v>0</v>
      </c>
      <c r="F66" s="176">
        <f>IFERROR(VLOOKUP($A66,EntryList!$A$3:$V$596,18,FALSE),"")</f>
        <v>0</v>
      </c>
      <c r="G66" s="90" t="str">
        <f>IFERROR(VLOOKUP($A66,EntryList!$A$3:$N$596,6,FALSE),"")</f>
        <v>M</v>
      </c>
      <c r="H66" s="90" t="str">
        <f>IFERROR(VLOOKUP($A66,EntryList!$A$3:$N$596,7,FALSE),"")</f>
        <v>Elite Men</v>
      </c>
      <c r="I66" s="54">
        <f>IFERROR(VLOOKUP($A66,SortedDownload!$A$3:$Z562,4,FALSE),"")</f>
        <v>5</v>
      </c>
      <c r="J66" s="59" t="str">
        <f>IFERROR(VLOOKUP($A66,SortedDownload!$A$3:$BB$499,23,FALSE),"")</f>
        <v>00:03:46.1 (46)</v>
      </c>
      <c r="K66" s="59" t="str">
        <f>IFERROR(VLOOKUP($A66,SortedDownload!$A$3:$BB$499,24,FALSE),"")</f>
        <v>00:03:56.7 (56)</v>
      </c>
      <c r="L66" s="59" t="str">
        <f>IFERROR(VLOOKUP($A66,SortedDownload!$A$3:$BB$499,25,FALSE),"")</f>
        <v>00:02:19.1 (74)</v>
      </c>
      <c r="M66" s="59" t="str">
        <f>IFERROR(VLOOKUP($A66,SortedDownload!$A$3:$BB$499,26,FALSE),"")</f>
        <v>00:05:37.9 (125)</v>
      </c>
      <c r="N66" s="59" t="str">
        <f>IFERROR(VLOOKUP($A66,SortedDownload!$A$3:$BB$499,27,FALSE),"")</f>
        <v>00:05:11.8 (37)</v>
      </c>
      <c r="O66" s="59" t="str">
        <f>IFERROR(VLOOKUP($A66,SortedDownload!$A$3:$BB$499,28,FALSE),"")</f>
        <v>DNS/DNF ()</v>
      </c>
      <c r="P66" s="59" t="str">
        <f>IFERROR(VLOOKUP($A66,SortedDownload!$A$3:$BB$499,29,FALSE),"")</f>
        <v>DNS/DNF ()</v>
      </c>
      <c r="Q66" s="59" t="str">
        <f>IFERROR(VLOOKUP($A66,SortedDownload!$A$3:$BB$499,30,FALSE),"")</f>
        <v>DNS/DNF ()</v>
      </c>
      <c r="R66" s="62" t="str">
        <f>IFERROR(TEXT(VLOOKUP($A66,SortedDownload!$A$3:$Z$499,14,FALSE),"[hh]:mm:ss.000"),"")</f>
        <v>00:20:51.602</v>
      </c>
      <c r="S66" s="83" t="str">
        <f t="shared" si="2"/>
        <v>00:06</v>
      </c>
      <c r="T66" s="83" t="str">
        <f t="shared" si="0"/>
        <v>04:02</v>
      </c>
      <c r="U66" s="9" t="str">
        <f t="shared" si="1"/>
        <v/>
      </c>
      <c r="V66" s="20" t="str">
        <f>IFERROR(IF(VLOOKUP(H66,AgeCategories!$D$3:$J$32,7,FALSE)=I66,"","DNF"),"")</f>
        <v/>
      </c>
      <c r="W66" s="9"/>
      <c r="X66" s="9"/>
    </row>
    <row r="67" spans="1:24">
      <c r="A67" s="53">
        <f>IF(SortedDownload!A67 &lt; 1,"",SortedDownload!A67)</f>
        <v>179</v>
      </c>
      <c r="B67" s="55">
        <f>IF(V67&lt;&gt;"","DNF",COUNTIF($V$3:V67,V67))</f>
        <v>65</v>
      </c>
      <c r="C67" s="54">
        <f>IF(OR(B67="DNF",H67=""),"DNF",COUNTIF($H$3:H67,H67))</f>
        <v>17</v>
      </c>
      <c r="D67" s="90" t="str">
        <f>IFERROR(VLOOKUP($A67,EntryList!$A$3:$N$596,2,FALSE),"")</f>
        <v>Daniel Jacobs</v>
      </c>
      <c r="E67" s="54">
        <f>IFERROR(VLOOKUP($A67,EntryList!$A$3:$V$596,19,FALSE),"")</f>
        <v>0</v>
      </c>
      <c r="F67" s="176">
        <f>IFERROR(VLOOKUP($A67,EntryList!$A$3:$V$596,18,FALSE),"")</f>
        <v>0</v>
      </c>
      <c r="G67" s="90" t="str">
        <f>IFERROR(VLOOKUP($A67,EntryList!$A$3:$N$596,6,FALSE),"")</f>
        <v>M</v>
      </c>
      <c r="H67" s="90" t="str">
        <f>IFERROR(VLOOKUP($A67,EntryList!$A$3:$N$596,7,FALSE),"")</f>
        <v>Master Men</v>
      </c>
      <c r="I67" s="54">
        <f>IFERROR(VLOOKUP($A67,SortedDownload!$A$3:$Z563,4,FALSE),"")</f>
        <v>5</v>
      </c>
      <c r="J67" s="59" t="str">
        <f>IFERROR(VLOOKUP($A67,SortedDownload!$A$3:$BB$499,23,FALSE),"")</f>
        <v>00:04:14.1 (75)</v>
      </c>
      <c r="K67" s="59" t="str">
        <f>IFERROR(VLOOKUP($A67,SortedDownload!$A$3:$BB$499,24,FALSE),"")</f>
        <v>00:04:11.6 (89)</v>
      </c>
      <c r="L67" s="59" t="str">
        <f>IFERROR(VLOOKUP($A67,SortedDownload!$A$3:$BB$499,25,FALSE),"")</f>
        <v>00:02:15.9 (65)</v>
      </c>
      <c r="M67" s="59" t="str">
        <f>IFERROR(VLOOKUP($A67,SortedDownload!$A$3:$BB$499,26,FALSE),"")</f>
        <v>00:04:33.9 (65)</v>
      </c>
      <c r="N67" s="59" t="str">
        <f>IFERROR(VLOOKUP($A67,SortedDownload!$A$3:$BB$499,27,FALSE),"")</f>
        <v>00:05:38.3 (83)</v>
      </c>
      <c r="O67" s="59" t="str">
        <f>IFERROR(VLOOKUP($A67,SortedDownload!$A$3:$BB$499,28,FALSE),"")</f>
        <v>DNS/DNF ()</v>
      </c>
      <c r="P67" s="59" t="str">
        <f>IFERROR(VLOOKUP($A67,SortedDownload!$A$3:$BB$499,29,FALSE),"")</f>
        <v>DNS/DNF ()</v>
      </c>
      <c r="Q67" s="59" t="str">
        <f>IFERROR(VLOOKUP($A67,SortedDownload!$A$3:$BB$499,30,FALSE),"")</f>
        <v>DNS/DNF ()</v>
      </c>
      <c r="R67" s="62" t="str">
        <f>IFERROR(TEXT(VLOOKUP($A67,SortedDownload!$A$3:$Z$499,14,FALSE),"[hh]:mm:ss.000"),"")</f>
        <v>00:20:53.820</v>
      </c>
      <c r="S67" s="83" t="str">
        <f t="shared" si="2"/>
        <v>00:02</v>
      </c>
      <c r="T67" s="83" t="str">
        <f t="shared" si="0"/>
        <v>04:04</v>
      </c>
      <c r="U67" s="9" t="str">
        <f t="shared" si="1"/>
        <v/>
      </c>
      <c r="V67" s="20" t="str">
        <f>IFERROR(IF(VLOOKUP(H67,AgeCategories!$D$3:$J$32,7,FALSE)=I67,"","DNF"),"")</f>
        <v/>
      </c>
      <c r="W67" s="9"/>
      <c r="X67" s="9"/>
    </row>
    <row r="68" spans="1:24">
      <c r="A68" s="53">
        <f>IF(SortedDownload!A68 &lt; 1,"",SortedDownload!A68)</f>
        <v>25</v>
      </c>
      <c r="B68" s="55">
        <f>IF(V68&lt;&gt;"","DNF",COUNTIF($V$3:V68,V68))</f>
        <v>66</v>
      </c>
      <c r="C68" s="54">
        <f>IF(OR(B68="DNF",H68=""),"DNF",COUNTIF($H$3:H68,H68))</f>
        <v>10</v>
      </c>
      <c r="D68" s="90" t="str">
        <f>IFERROR(VLOOKUP($A68,EntryList!$A$3:$N$596,2,FALSE),"")</f>
        <v>Stirling Kotze</v>
      </c>
      <c r="E68" s="54">
        <f>IFERROR(VLOOKUP($A68,EntryList!$A$3:$V$596,19,FALSE),"")</f>
        <v>0</v>
      </c>
      <c r="F68" s="176">
        <f>IFERROR(VLOOKUP($A68,EntryList!$A$3:$V$596,18,FALSE),"")</f>
        <v>0</v>
      </c>
      <c r="G68" s="90" t="str">
        <f>IFERROR(VLOOKUP($A68,EntryList!$A$3:$N$596,6,FALSE),"")</f>
        <v>M</v>
      </c>
      <c r="H68" s="90" t="str">
        <f>IFERROR(VLOOKUP($A68,EntryList!$A$3:$N$596,7,FALSE),"")</f>
        <v>E-Bike M</v>
      </c>
      <c r="I68" s="54">
        <f>IFERROR(VLOOKUP($A68,SortedDownload!$A$3:$Z564,4,FALSE),"")</f>
        <v>5</v>
      </c>
      <c r="J68" s="59" t="str">
        <f>IFERROR(VLOOKUP($A68,SortedDownload!$A$3:$BB$499,23,FALSE),"")</f>
        <v>00:04:04.5 (64)</v>
      </c>
      <c r="K68" s="59" t="str">
        <f>IFERROR(VLOOKUP($A68,SortedDownload!$A$3:$BB$499,24,FALSE),"")</f>
        <v>00:04:08.2 (83)</v>
      </c>
      <c r="L68" s="59" t="str">
        <f>IFERROR(VLOOKUP($A68,SortedDownload!$A$3:$BB$499,25,FALSE),"")</f>
        <v>00:02:27.7 (103)</v>
      </c>
      <c r="M68" s="59" t="str">
        <f>IFERROR(VLOOKUP($A68,SortedDownload!$A$3:$BB$499,26,FALSE),"")</f>
        <v>00:04:31.1 (63)</v>
      </c>
      <c r="N68" s="59" t="str">
        <f>IFERROR(VLOOKUP($A68,SortedDownload!$A$3:$BB$499,27,FALSE),"")</f>
        <v>00:05:42.4 (92)</v>
      </c>
      <c r="O68" s="59" t="str">
        <f>IFERROR(VLOOKUP($A68,SortedDownload!$A$3:$BB$499,28,FALSE),"")</f>
        <v>DNS/DNF ()</v>
      </c>
      <c r="P68" s="59" t="str">
        <f>IFERROR(VLOOKUP($A68,SortedDownload!$A$3:$BB$499,29,FALSE),"")</f>
        <v>DNS/DNF ()</v>
      </c>
      <c r="Q68" s="59" t="str">
        <f>IFERROR(VLOOKUP($A68,SortedDownload!$A$3:$BB$499,30,FALSE),"")</f>
        <v>DNS/DNF ()</v>
      </c>
      <c r="R68" s="62" t="str">
        <f>IFERROR(TEXT(VLOOKUP($A68,SortedDownload!$A$3:$Z$499,14,FALSE),"[hh]:mm:ss.000"),"")</f>
        <v>00:20:53.952</v>
      </c>
      <c r="S68" s="83" t="str">
        <f t="shared" si="2"/>
        <v>00:00</v>
      </c>
      <c r="T68" s="83" t="str">
        <f t="shared" ref="T68:T131" si="3">IF($I68-$I67&lt;0,"N/A",IFERROR(TEXT(($R68-$R$3),"mm:ss"),"N/A"))</f>
        <v>04:04</v>
      </c>
      <c r="U68" s="9" t="str">
        <f t="shared" ref="U68:U131" si="4">IF($A68="","",IF(COUNTIF($A$3:$A$500,$A68)&gt;1,"Duplicate",""))</f>
        <v/>
      </c>
      <c r="V68" s="20" t="str">
        <f>IFERROR(IF(VLOOKUP(H68,AgeCategories!$D$3:$J$32,7,FALSE)=I68,"","DNF"),"")</f>
        <v/>
      </c>
      <c r="W68" s="9"/>
      <c r="X68" s="9"/>
    </row>
    <row r="69" spans="1:24">
      <c r="A69" s="53">
        <f>IF(SortedDownload!A69 &lt; 1,"",SortedDownload!A69)</f>
        <v>201</v>
      </c>
      <c r="B69" s="55">
        <f>IF(V69&lt;&gt;"","DNF",COUNTIF($V$3:V69,V69))</f>
        <v>67</v>
      </c>
      <c r="C69" s="54">
        <f>IF(OR(B69="DNF",H69=""),"DNF",COUNTIF($H$3:H69,H69))</f>
        <v>17</v>
      </c>
      <c r="D69" s="90" t="str">
        <f>IFERROR(VLOOKUP($A69,EntryList!$A$3:$N$596,2,FALSE),"")</f>
        <v>Jordan De Goede</v>
      </c>
      <c r="E69" s="54">
        <f>IFERROR(VLOOKUP($A69,EntryList!$A$3:$V$596,19,FALSE),"")</f>
        <v>0</v>
      </c>
      <c r="F69" s="176">
        <f>IFERROR(VLOOKUP($A69,EntryList!$A$3:$V$596,18,FALSE),"")</f>
        <v>0</v>
      </c>
      <c r="G69" s="90" t="str">
        <f>IFERROR(VLOOKUP($A69,EntryList!$A$3:$N$596,6,FALSE),"")</f>
        <v>M</v>
      </c>
      <c r="H69" s="90" t="str">
        <f>IFERROR(VLOOKUP($A69,EntryList!$A$3:$N$596,7,FALSE),"")</f>
        <v>Elite Men</v>
      </c>
      <c r="I69" s="54">
        <f>IFERROR(VLOOKUP($A69,SortedDownload!$A$3:$Z565,4,FALSE),"")</f>
        <v>5</v>
      </c>
      <c r="J69" s="59" t="str">
        <f>IFERROR(VLOOKUP($A69,SortedDownload!$A$3:$BB$499,23,FALSE),"")</f>
        <v>00:03:29.6 (20)</v>
      </c>
      <c r="K69" s="59" t="str">
        <f>IFERROR(VLOOKUP($A69,SortedDownload!$A$3:$BB$499,24,FALSE),"")</f>
        <v>00:03:47.1 (29)</v>
      </c>
      <c r="L69" s="59" t="str">
        <f>IFERROR(VLOOKUP($A69,SortedDownload!$A$3:$BB$499,25,FALSE),"")</f>
        <v>00:04:38.6 (246)</v>
      </c>
      <c r="M69" s="59" t="str">
        <f>IFERROR(VLOOKUP($A69,SortedDownload!$A$3:$BB$499,26,FALSE),"")</f>
        <v>00:03:59.8 (17)</v>
      </c>
      <c r="N69" s="59" t="str">
        <f>IFERROR(VLOOKUP($A69,SortedDownload!$A$3:$BB$499,27,FALSE),"")</f>
        <v>00:05:01.5 (18)</v>
      </c>
      <c r="O69" s="59" t="str">
        <f>IFERROR(VLOOKUP($A69,SortedDownload!$A$3:$BB$499,28,FALSE),"")</f>
        <v>DNS/DNF ()</v>
      </c>
      <c r="P69" s="59" t="str">
        <f>IFERROR(VLOOKUP($A69,SortedDownload!$A$3:$BB$499,29,FALSE),"")</f>
        <v>DNS/DNF ()</v>
      </c>
      <c r="Q69" s="59" t="str">
        <f>IFERROR(VLOOKUP($A69,SortedDownload!$A$3:$BB$499,30,FALSE),"")</f>
        <v>DNS/DNF ()</v>
      </c>
      <c r="R69" s="62" t="str">
        <f>IFERROR(TEXT(VLOOKUP($A69,SortedDownload!$A$3:$Z$499,14,FALSE),"[hh]:mm:ss.000"),"")</f>
        <v>00:20:56.629</v>
      </c>
      <c r="S69" s="83" t="str">
        <f t="shared" ref="S69:S132" si="5">IFERROR(TEXT(($R69-$R68),"mm:ss"),"N/A")</f>
        <v>00:03</v>
      </c>
      <c r="T69" s="83" t="str">
        <f t="shared" si="3"/>
        <v>04:07</v>
      </c>
      <c r="U69" s="9" t="str">
        <f t="shared" si="4"/>
        <v/>
      </c>
      <c r="V69" s="20" t="str">
        <f>IFERROR(IF(VLOOKUP(H69,AgeCategories!$D$3:$J$32,7,FALSE)=I69,"","DNF"),"")</f>
        <v/>
      </c>
      <c r="W69" s="9"/>
      <c r="X69" s="9"/>
    </row>
    <row r="70" spans="1:24">
      <c r="A70" s="53">
        <f>IF(SortedDownload!A70 &lt; 1,"",SortedDownload!A70)</f>
        <v>13</v>
      </c>
      <c r="B70" s="55">
        <f>IF(V70&lt;&gt;"","DNF",COUNTIF($V$3:V70,V70))</f>
        <v>68</v>
      </c>
      <c r="C70" s="54">
        <f>IF(OR(B70="DNF",H70=""),"DNF",COUNTIF($H$3:H70,H70))</f>
        <v>18</v>
      </c>
      <c r="D70" s="90" t="str">
        <f>IFERROR(VLOOKUP($A70,EntryList!$A$3:$N$596,2,FALSE),"")</f>
        <v>David B Hartley</v>
      </c>
      <c r="E70" s="54">
        <f>IFERROR(VLOOKUP($A70,EntryList!$A$3:$V$596,19,FALSE),"")</f>
        <v>0</v>
      </c>
      <c r="F70" s="176">
        <f>IFERROR(VLOOKUP($A70,EntryList!$A$3:$V$596,18,FALSE),"")</f>
        <v>0</v>
      </c>
      <c r="G70" s="90" t="str">
        <f>IFERROR(VLOOKUP($A70,EntryList!$A$3:$N$596,6,FALSE),"")</f>
        <v>M</v>
      </c>
      <c r="H70" s="90" t="str">
        <f>IFERROR(VLOOKUP($A70,EntryList!$A$3:$N$596,7,FALSE),"")</f>
        <v>Master Men</v>
      </c>
      <c r="I70" s="54">
        <f>IFERROR(VLOOKUP($A70,SortedDownload!$A$3:$Z566,4,FALSE),"")</f>
        <v>5</v>
      </c>
      <c r="J70" s="59" t="str">
        <f>IFERROR(VLOOKUP($A70,SortedDownload!$A$3:$BB$499,23,FALSE),"")</f>
        <v>00:04:04.0 (63)</v>
      </c>
      <c r="K70" s="59" t="str">
        <f>IFERROR(VLOOKUP($A70,SortedDownload!$A$3:$BB$499,24,FALSE),"")</f>
        <v>00:04:06.3 (79)</v>
      </c>
      <c r="L70" s="59" t="str">
        <f>IFERROR(VLOOKUP($A70,SortedDownload!$A$3:$BB$499,25,FALSE),"")</f>
        <v>00:02:29.4 (109)</v>
      </c>
      <c r="M70" s="59" t="str">
        <f>IFERROR(VLOOKUP($A70,SortedDownload!$A$3:$BB$499,26,FALSE),"")</f>
        <v>00:04:40.3 (75)</v>
      </c>
      <c r="N70" s="59" t="str">
        <f>IFERROR(VLOOKUP($A70,SortedDownload!$A$3:$BB$499,27,FALSE),"")</f>
        <v>00:05:38.2 (82)</v>
      </c>
      <c r="O70" s="59" t="str">
        <f>IFERROR(VLOOKUP($A70,SortedDownload!$A$3:$BB$499,28,FALSE),"")</f>
        <v>DNS/DNF ()</v>
      </c>
      <c r="P70" s="59" t="str">
        <f>IFERROR(VLOOKUP($A70,SortedDownload!$A$3:$BB$499,29,FALSE),"")</f>
        <v>DNS/DNF ()</v>
      </c>
      <c r="Q70" s="59" t="str">
        <f>IFERROR(VLOOKUP($A70,SortedDownload!$A$3:$BB$499,30,FALSE),"")</f>
        <v>DNS/DNF ()</v>
      </c>
      <c r="R70" s="62" t="str">
        <f>IFERROR(TEXT(VLOOKUP($A70,SortedDownload!$A$3:$Z$499,14,FALSE),"[hh]:mm:ss.000"),"")</f>
        <v>00:20:58.235</v>
      </c>
      <c r="S70" s="83" t="str">
        <f t="shared" si="5"/>
        <v>00:02</v>
      </c>
      <c r="T70" s="83" t="str">
        <f t="shared" si="3"/>
        <v>04:08</v>
      </c>
      <c r="U70" s="9" t="str">
        <f t="shared" si="4"/>
        <v/>
      </c>
      <c r="V70" s="20" t="str">
        <f>IFERROR(IF(VLOOKUP(H70,AgeCategories!$D$3:$J$32,7,FALSE)=I70,"","DNF"),"")</f>
        <v/>
      </c>
      <c r="W70" s="9"/>
      <c r="X70" s="9"/>
    </row>
    <row r="71" spans="1:24">
      <c r="A71" s="53">
        <f>IF(SortedDownload!A71 &lt; 1,"",SortedDownload!A71)</f>
        <v>210</v>
      </c>
      <c r="B71" s="55">
        <f>IF(V71&lt;&gt;"","DNF",COUNTIF($V$3:V71,V71))</f>
        <v>69</v>
      </c>
      <c r="C71" s="54">
        <f>IF(OR(B71="DNF",H71=""),"DNF",COUNTIF($H$3:H71,H71))</f>
        <v>16</v>
      </c>
      <c r="D71" s="90" t="str">
        <f>IFERROR(VLOOKUP($A71,EntryList!$A$3:$N$596,2,FALSE),"")</f>
        <v>Thomas Dunkley</v>
      </c>
      <c r="E71" s="54">
        <f>IFERROR(VLOOKUP($A71,EntryList!$A$3:$V$596,19,FALSE),"")</f>
        <v>0</v>
      </c>
      <c r="F71" s="176">
        <f>IFERROR(VLOOKUP($A71,EntryList!$A$3:$V$596,18,FALSE),"")</f>
        <v>0</v>
      </c>
      <c r="G71" s="90" t="str">
        <f>IFERROR(VLOOKUP($A71,EntryList!$A$3:$N$596,6,FALSE),"")</f>
        <v>M</v>
      </c>
      <c r="H71" s="90" t="str">
        <f>IFERROR(VLOOKUP($A71,EntryList!$A$3:$N$596,7,FALSE),"")</f>
        <v>Youth Men</v>
      </c>
      <c r="I71" s="54">
        <f>IFERROR(VLOOKUP($A71,SortedDownload!$A$3:$Z567,4,FALSE),"")</f>
        <v>5</v>
      </c>
      <c r="J71" s="59" t="str">
        <f>IFERROR(VLOOKUP($A71,SortedDownload!$A$3:$BB$499,23,FALSE),"")</f>
        <v>00:04:37.3 (95)</v>
      </c>
      <c r="K71" s="59" t="str">
        <f>IFERROR(VLOOKUP($A71,SortedDownload!$A$3:$BB$499,24,FALSE),"")</f>
        <v>00:04:03.0 (70)</v>
      </c>
      <c r="L71" s="59" t="str">
        <f>IFERROR(VLOOKUP($A71,SortedDownload!$A$3:$BB$499,25,FALSE),"")</f>
        <v>00:02:24.7 (90)</v>
      </c>
      <c r="M71" s="59" t="str">
        <f>IFERROR(VLOOKUP($A71,SortedDownload!$A$3:$BB$499,26,FALSE),"")</f>
        <v>00:04:35.5 (67)</v>
      </c>
      <c r="N71" s="59" t="str">
        <f>IFERROR(VLOOKUP($A71,SortedDownload!$A$3:$BB$499,27,FALSE),"")</f>
        <v>00:05:25.6 (59)</v>
      </c>
      <c r="O71" s="59" t="str">
        <f>IFERROR(VLOOKUP($A71,SortedDownload!$A$3:$BB$499,28,FALSE),"")</f>
        <v>DNS/DNF ()</v>
      </c>
      <c r="P71" s="59" t="str">
        <f>IFERROR(VLOOKUP($A71,SortedDownload!$A$3:$BB$499,29,FALSE),"")</f>
        <v>DNS/DNF ()</v>
      </c>
      <c r="Q71" s="59" t="str">
        <f>IFERROR(VLOOKUP($A71,SortedDownload!$A$3:$BB$499,30,FALSE),"")</f>
        <v>DNS/DNF ()</v>
      </c>
      <c r="R71" s="62" t="str">
        <f>IFERROR(TEXT(VLOOKUP($A71,SortedDownload!$A$3:$Z$499,14,FALSE),"[hh]:mm:ss.000"),"")</f>
        <v>00:21:06.207</v>
      </c>
      <c r="S71" s="83" t="str">
        <f t="shared" si="5"/>
        <v>00:08</v>
      </c>
      <c r="T71" s="83" t="str">
        <f t="shared" si="3"/>
        <v>04:16</v>
      </c>
      <c r="U71" s="9" t="str">
        <f t="shared" si="4"/>
        <v/>
      </c>
      <c r="V71" s="20" t="str">
        <f>IFERROR(IF(VLOOKUP(H71,AgeCategories!$D$3:$J$32,7,FALSE)=I71,"","DNF"),"")</f>
        <v/>
      </c>
      <c r="W71" s="9"/>
      <c r="X71" s="9"/>
    </row>
    <row r="72" spans="1:24">
      <c r="A72" s="53">
        <f>IF(SortedDownload!A72 &lt; 1,"",SortedDownload!A72)</f>
        <v>233</v>
      </c>
      <c r="B72" s="55">
        <f>IF(V72&lt;&gt;"","DNF",COUNTIF($V$3:V72,V72))</f>
        <v>70</v>
      </c>
      <c r="C72" s="54">
        <f>IF(OR(B72="DNF",H72=""),"DNF",COUNTIF($H$3:H72,H72))</f>
        <v>8</v>
      </c>
      <c r="D72" s="90" t="str">
        <f>IFERROR(VLOOKUP($A72,EntryList!$A$3:$N$596,2,FALSE),"")</f>
        <v>Jordon Evard</v>
      </c>
      <c r="E72" s="54">
        <f>IFERROR(VLOOKUP($A72,EntryList!$A$3:$V$596,19,FALSE),"")</f>
        <v>0</v>
      </c>
      <c r="F72" s="176">
        <f>IFERROR(VLOOKUP($A72,EntryList!$A$3:$V$596,18,FALSE),"")</f>
        <v>0</v>
      </c>
      <c r="G72" s="90" t="str">
        <f>IFERROR(VLOOKUP($A72,EntryList!$A$3:$N$596,6,FALSE),"")</f>
        <v>M</v>
      </c>
      <c r="H72" s="90" t="str">
        <f>IFERROR(VLOOKUP($A72,EntryList!$A$3:$N$596,7,FALSE),"")</f>
        <v>Junior Men</v>
      </c>
      <c r="I72" s="54">
        <f>IFERROR(VLOOKUP($A72,SortedDownload!$A$3:$Z568,4,FALSE),"")</f>
        <v>5</v>
      </c>
      <c r="J72" s="59" t="str">
        <f>IFERROR(VLOOKUP($A72,SortedDownload!$A$3:$BB$499,23,FALSE),"")</f>
        <v>00:04:14.6 (76)</v>
      </c>
      <c r="K72" s="59" t="str">
        <f>IFERROR(VLOOKUP($A72,SortedDownload!$A$3:$BB$499,24,FALSE),"")</f>
        <v>00:04:06.1 (77)</v>
      </c>
      <c r="L72" s="59" t="str">
        <f>IFERROR(VLOOKUP($A72,SortedDownload!$A$3:$BB$499,25,FALSE),"")</f>
        <v>00:02:26.1 (93)</v>
      </c>
      <c r="M72" s="59" t="str">
        <f>IFERROR(VLOOKUP($A72,SortedDownload!$A$3:$BB$499,26,FALSE),"")</f>
        <v>00:04:34.7 (66)</v>
      </c>
      <c r="N72" s="59" t="str">
        <f>IFERROR(VLOOKUP($A72,SortedDownload!$A$3:$BB$499,27,FALSE),"")</f>
        <v>00:05:51.8 (111)</v>
      </c>
      <c r="O72" s="59" t="str">
        <f>IFERROR(VLOOKUP($A72,SortedDownload!$A$3:$BB$499,28,FALSE),"")</f>
        <v>DNS/DNF ()</v>
      </c>
      <c r="P72" s="59" t="str">
        <f>IFERROR(VLOOKUP($A72,SortedDownload!$A$3:$BB$499,29,FALSE),"")</f>
        <v>DNS/DNF ()</v>
      </c>
      <c r="Q72" s="59" t="str">
        <f>IFERROR(VLOOKUP($A72,SortedDownload!$A$3:$BB$499,30,FALSE),"")</f>
        <v>DNS/DNF ()</v>
      </c>
      <c r="R72" s="62" t="str">
        <f>IFERROR(TEXT(VLOOKUP($A72,SortedDownload!$A$3:$Z$499,14,FALSE),"[hh]:mm:ss.000"),"")</f>
        <v>00:21:13.295</v>
      </c>
      <c r="S72" s="83" t="str">
        <f t="shared" si="5"/>
        <v>00:07</v>
      </c>
      <c r="T72" s="83" t="str">
        <f t="shared" si="3"/>
        <v>04:23</v>
      </c>
      <c r="U72" s="9" t="str">
        <f t="shared" si="4"/>
        <v/>
      </c>
      <c r="V72" s="20" t="str">
        <f>IFERROR(IF(VLOOKUP(H72,AgeCategories!$D$3:$J$32,7,FALSE)=I72,"","DNF"),"")</f>
        <v/>
      </c>
      <c r="W72" s="9"/>
      <c r="X72" s="9"/>
    </row>
    <row r="73" spans="1:24">
      <c r="A73" s="53">
        <f>IF(SortedDownload!A73 &lt; 1,"",SortedDownload!A73)</f>
        <v>284</v>
      </c>
      <c r="B73" s="55">
        <f>IF(V73&lt;&gt;"","DNF",COUNTIF($V$3:V73,V73))</f>
        <v>71</v>
      </c>
      <c r="C73" s="54">
        <f>IF(OR(B73="DNF",H73=""),"DNF",COUNTIF($H$3:H73,H73))</f>
        <v>18</v>
      </c>
      <c r="D73" s="90" t="str">
        <f>IFERROR(VLOOKUP($A73,EntryList!$A$3:$N$596,2,FALSE),"")</f>
        <v>Jonathan Wareing</v>
      </c>
      <c r="E73" s="54">
        <f>IFERROR(VLOOKUP($A73,EntryList!$A$3:$V$596,19,FALSE),"")</f>
        <v>0</v>
      </c>
      <c r="F73" s="176">
        <f>IFERROR(VLOOKUP($A73,EntryList!$A$3:$V$596,18,FALSE),"")</f>
        <v>0</v>
      </c>
      <c r="G73" s="90" t="str">
        <f>IFERROR(VLOOKUP($A73,EntryList!$A$3:$N$596,6,FALSE),"")</f>
        <v>M</v>
      </c>
      <c r="H73" s="90" t="str">
        <f>IFERROR(VLOOKUP($A73,EntryList!$A$3:$N$596,7,FALSE),"")</f>
        <v>Elite Men</v>
      </c>
      <c r="I73" s="54">
        <f>IFERROR(VLOOKUP($A73,SortedDownload!$A$3:$Z569,4,FALSE),"")</f>
        <v>5</v>
      </c>
      <c r="J73" s="59" t="str">
        <f>IFERROR(VLOOKUP($A73,SortedDownload!$A$3:$BB$499,23,FALSE),"")</f>
        <v>00:04:25.4 (84)</v>
      </c>
      <c r="K73" s="59" t="str">
        <f>IFERROR(VLOOKUP($A73,SortedDownload!$A$3:$BB$499,24,FALSE),"")</f>
        <v>00:04:14.5 (97)</v>
      </c>
      <c r="L73" s="59" t="str">
        <f>IFERROR(VLOOKUP($A73,SortedDownload!$A$3:$BB$499,25,FALSE),"")</f>
        <v>00:02:19.2 (75)</v>
      </c>
      <c r="M73" s="59" t="str">
        <f>IFERROR(VLOOKUP($A73,SortedDownload!$A$3:$BB$499,26,FALSE),"")</f>
        <v>00:04:37.8 (73)</v>
      </c>
      <c r="N73" s="59" t="str">
        <f>IFERROR(VLOOKUP($A73,SortedDownload!$A$3:$BB$499,27,FALSE),"")</f>
        <v>00:05:40.3 (88)</v>
      </c>
      <c r="O73" s="59" t="str">
        <f>IFERROR(VLOOKUP($A73,SortedDownload!$A$3:$BB$499,28,FALSE),"")</f>
        <v>DNS/DNF ()</v>
      </c>
      <c r="P73" s="59" t="str">
        <f>IFERROR(VLOOKUP($A73,SortedDownload!$A$3:$BB$499,29,FALSE),"")</f>
        <v>DNS/DNF ()</v>
      </c>
      <c r="Q73" s="59" t="str">
        <f>IFERROR(VLOOKUP($A73,SortedDownload!$A$3:$BB$499,30,FALSE),"")</f>
        <v>DNS/DNF ()</v>
      </c>
      <c r="R73" s="62" t="str">
        <f>IFERROR(TEXT(VLOOKUP($A73,SortedDownload!$A$3:$Z$499,14,FALSE),"[hh]:mm:ss.000"),"")</f>
        <v>00:21:17.184</v>
      </c>
      <c r="S73" s="83" t="str">
        <f t="shared" si="5"/>
        <v>00:04</v>
      </c>
      <c r="T73" s="83" t="str">
        <f t="shared" si="3"/>
        <v>04:27</v>
      </c>
      <c r="U73" s="9" t="str">
        <f t="shared" si="4"/>
        <v/>
      </c>
      <c r="V73" s="20" t="str">
        <f>IFERROR(IF(VLOOKUP(H73,AgeCategories!$D$3:$J$32,7,FALSE)=I73,"","DNF"),"")</f>
        <v/>
      </c>
      <c r="W73" s="9"/>
      <c r="X73" s="9"/>
    </row>
    <row r="74" spans="1:24">
      <c r="A74" s="53">
        <f>IF(SortedDownload!A74 &lt; 1,"",SortedDownload!A74)</f>
        <v>198</v>
      </c>
      <c r="B74" s="55">
        <f>IF(V74&lt;&gt;"","DNF",COUNTIF($V$3:V74,V74))</f>
        <v>72</v>
      </c>
      <c r="C74" s="54">
        <f>IF(OR(B74="DNF",H74=""),"DNF",COUNTIF($H$3:H74,H74))</f>
        <v>19</v>
      </c>
      <c r="D74" s="90" t="str">
        <f>IFERROR(VLOOKUP($A74,EntryList!$A$3:$N$596,2,FALSE),"")</f>
        <v>John Rostance</v>
      </c>
      <c r="E74" s="54">
        <f>IFERROR(VLOOKUP($A74,EntryList!$A$3:$V$596,19,FALSE),"")</f>
        <v>0</v>
      </c>
      <c r="F74" s="176">
        <f>IFERROR(VLOOKUP($A74,EntryList!$A$3:$V$596,18,FALSE),"")</f>
        <v>0</v>
      </c>
      <c r="G74" s="90" t="str">
        <f>IFERROR(VLOOKUP($A74,EntryList!$A$3:$N$596,6,FALSE),"")</f>
        <v>M</v>
      </c>
      <c r="H74" s="90" t="str">
        <f>IFERROR(VLOOKUP($A74,EntryList!$A$3:$N$596,7,FALSE),"")</f>
        <v>Master Men</v>
      </c>
      <c r="I74" s="54">
        <f>IFERROR(VLOOKUP($A74,SortedDownload!$A$3:$Z570,4,FALSE),"")</f>
        <v>5</v>
      </c>
      <c r="J74" s="59" t="str">
        <f>IFERROR(VLOOKUP($A74,SortedDownload!$A$3:$BB$499,23,FALSE),"")</f>
        <v>00:04:16.7 (78)</v>
      </c>
      <c r="K74" s="59" t="str">
        <f>IFERROR(VLOOKUP($A74,SortedDownload!$A$3:$BB$499,24,FALSE),"")</f>
        <v>00:04:12.4 (90)</v>
      </c>
      <c r="L74" s="59" t="str">
        <f>IFERROR(VLOOKUP($A74,SortedDownload!$A$3:$BB$499,25,FALSE),"")</f>
        <v>00:02:29.1 (108)</v>
      </c>
      <c r="M74" s="59" t="str">
        <f>IFERROR(VLOOKUP($A74,SortedDownload!$A$3:$BB$499,26,FALSE),"")</f>
        <v>00:04:38.5 (74)</v>
      </c>
      <c r="N74" s="59" t="str">
        <f>IFERROR(VLOOKUP($A74,SortedDownload!$A$3:$BB$499,27,FALSE),"")</f>
        <v>00:05:41.7 (91)</v>
      </c>
      <c r="O74" s="59" t="str">
        <f>IFERROR(VLOOKUP($A74,SortedDownload!$A$3:$BB$499,28,FALSE),"")</f>
        <v>DNS/DNF ()</v>
      </c>
      <c r="P74" s="59" t="str">
        <f>IFERROR(VLOOKUP($A74,SortedDownload!$A$3:$BB$499,29,FALSE),"")</f>
        <v>DNS/DNF ()</v>
      </c>
      <c r="Q74" s="59" t="str">
        <f>IFERROR(VLOOKUP($A74,SortedDownload!$A$3:$BB$499,30,FALSE),"")</f>
        <v>DNS/DNF ()</v>
      </c>
      <c r="R74" s="62" t="str">
        <f>IFERROR(TEXT(VLOOKUP($A74,SortedDownload!$A$3:$Z$499,14,FALSE),"[hh]:mm:ss.000"),"")</f>
        <v>00:21:18.500</v>
      </c>
      <c r="S74" s="83" t="str">
        <f t="shared" si="5"/>
        <v>00:01</v>
      </c>
      <c r="T74" s="83" t="str">
        <f t="shared" si="3"/>
        <v>04:28</v>
      </c>
      <c r="U74" s="9" t="str">
        <f t="shared" si="4"/>
        <v/>
      </c>
      <c r="V74" s="20" t="str">
        <f>IFERROR(IF(VLOOKUP(H74,AgeCategories!$D$3:$J$32,7,FALSE)=I74,"","DNF"),"")</f>
        <v/>
      </c>
      <c r="W74" s="9"/>
      <c r="X74" s="9"/>
    </row>
    <row r="75" spans="1:24">
      <c r="A75" s="53">
        <f>IF(SortedDownload!A75 &lt; 1,"",SortedDownload!A75)</f>
        <v>41</v>
      </c>
      <c r="B75" s="55">
        <f>IF(V75&lt;&gt;"","DNF",COUNTIF($V$3:V75,V75))</f>
        <v>73</v>
      </c>
      <c r="C75" s="54">
        <f>IF(OR(B75="DNF",H75=""),"DNF",COUNTIF($H$3:H75,H75))</f>
        <v>19</v>
      </c>
      <c r="D75" s="90" t="str">
        <f>IFERROR(VLOOKUP($A75,EntryList!$A$3:$N$596,2,FALSE),"")</f>
        <v>Kyle Ridge</v>
      </c>
      <c r="E75" s="54">
        <f>IFERROR(VLOOKUP($A75,EntryList!$A$3:$V$596,19,FALSE),"")</f>
        <v>0</v>
      </c>
      <c r="F75" s="176">
        <f>IFERROR(VLOOKUP($A75,EntryList!$A$3:$V$596,18,FALSE),"")</f>
        <v>0</v>
      </c>
      <c r="G75" s="90" t="str">
        <f>IFERROR(VLOOKUP($A75,EntryList!$A$3:$N$596,6,FALSE),"")</f>
        <v>M</v>
      </c>
      <c r="H75" s="90" t="str">
        <f>IFERROR(VLOOKUP($A75,EntryList!$A$3:$N$596,7,FALSE),"")</f>
        <v>Elite Men</v>
      </c>
      <c r="I75" s="54">
        <f>IFERROR(VLOOKUP($A75,SortedDownload!$A$3:$Z571,4,FALSE),"")</f>
        <v>5</v>
      </c>
      <c r="J75" s="59" t="str">
        <f>IFERROR(VLOOKUP($A75,SortedDownload!$A$3:$BB$499,23,FALSE),"")</f>
        <v>00:04:11.2 (70)</v>
      </c>
      <c r="K75" s="59" t="str">
        <f>IFERROR(VLOOKUP($A75,SortedDownload!$A$3:$BB$499,24,FALSE),"")</f>
        <v>00:04:06.3 (78)</v>
      </c>
      <c r="L75" s="59" t="str">
        <f>IFERROR(VLOOKUP($A75,SortedDownload!$A$3:$BB$499,25,FALSE),"")</f>
        <v>00:02:22.4 (84)</v>
      </c>
      <c r="M75" s="59" t="str">
        <f>IFERROR(VLOOKUP($A75,SortedDownload!$A$3:$BB$499,26,FALSE),"")</f>
        <v>00:04:54.0 (88)</v>
      </c>
      <c r="N75" s="59" t="str">
        <f>IFERROR(VLOOKUP($A75,SortedDownload!$A$3:$BB$499,27,FALSE),"")</f>
        <v>00:05:47.4 (100)</v>
      </c>
      <c r="O75" s="59" t="str">
        <f>IFERROR(VLOOKUP($A75,SortedDownload!$A$3:$BB$499,28,FALSE),"")</f>
        <v>DNS/DNF ()</v>
      </c>
      <c r="P75" s="59" t="str">
        <f>IFERROR(VLOOKUP($A75,SortedDownload!$A$3:$BB$499,29,FALSE),"")</f>
        <v>DNS/DNF ()</v>
      </c>
      <c r="Q75" s="59" t="str">
        <f>IFERROR(VLOOKUP($A75,SortedDownload!$A$3:$BB$499,30,FALSE),"")</f>
        <v>DNS/DNF ()</v>
      </c>
      <c r="R75" s="62" t="str">
        <f>IFERROR(TEXT(VLOOKUP($A75,SortedDownload!$A$3:$Z$499,14,FALSE),"[hh]:mm:ss.000"),"")</f>
        <v>00:21:21.221</v>
      </c>
      <c r="S75" s="83" t="str">
        <f t="shared" si="5"/>
        <v>00:03</v>
      </c>
      <c r="T75" s="83" t="str">
        <f t="shared" si="3"/>
        <v>04:31</v>
      </c>
      <c r="U75" s="9" t="str">
        <f t="shared" si="4"/>
        <v/>
      </c>
      <c r="V75" s="20" t="str">
        <f>IFERROR(IF(VLOOKUP(H75,AgeCategories!$D$3:$J$32,7,FALSE)=I75,"","DNF"),"")</f>
        <v/>
      </c>
      <c r="W75" s="9"/>
      <c r="X75" s="9"/>
    </row>
    <row r="76" spans="1:24">
      <c r="A76" s="53">
        <f>IF(SortedDownload!A76 &lt; 1,"",SortedDownload!A76)</f>
        <v>102</v>
      </c>
      <c r="B76" s="55">
        <f>IF(V76&lt;&gt;"","DNF",COUNTIF($V$3:V76,V76))</f>
        <v>74</v>
      </c>
      <c r="C76" s="54">
        <f>IF(OR(B76="DNF",H76=""),"DNF",COUNTIF($H$3:H76,H76))</f>
        <v>9</v>
      </c>
      <c r="D76" s="90" t="str">
        <f>IFERROR(VLOOKUP($A76,EntryList!$A$3:$N$596,2,FALSE),"")</f>
        <v>Altus Rossouw</v>
      </c>
      <c r="E76" s="54">
        <f>IFERROR(VLOOKUP($A76,EntryList!$A$3:$V$596,19,FALSE),"")</f>
        <v>0</v>
      </c>
      <c r="F76" s="176">
        <f>IFERROR(VLOOKUP($A76,EntryList!$A$3:$V$596,18,FALSE),"")</f>
        <v>0</v>
      </c>
      <c r="G76" s="90" t="str">
        <f>IFERROR(VLOOKUP($A76,EntryList!$A$3:$N$596,6,FALSE),"")</f>
        <v>M</v>
      </c>
      <c r="H76" s="90" t="str">
        <f>IFERROR(VLOOKUP($A76,EntryList!$A$3:$N$596,7,FALSE),"")</f>
        <v>Junior Men</v>
      </c>
      <c r="I76" s="54">
        <f>IFERROR(VLOOKUP($A76,SortedDownload!$A$3:$Z572,4,FALSE),"")</f>
        <v>5</v>
      </c>
      <c r="J76" s="59" t="str">
        <f>IFERROR(VLOOKUP($A76,SortedDownload!$A$3:$BB$499,23,FALSE),"")</f>
        <v>00:04:25.8 (85)</v>
      </c>
      <c r="K76" s="59" t="str">
        <f>IFERROR(VLOOKUP($A76,SortedDownload!$A$3:$BB$499,24,FALSE),"")</f>
        <v>00:04:10.4 (86)</v>
      </c>
      <c r="L76" s="59" t="str">
        <f>IFERROR(VLOOKUP($A76,SortedDownload!$A$3:$BB$499,25,FALSE),"")</f>
        <v>00:02:23.5 (87)</v>
      </c>
      <c r="M76" s="59" t="str">
        <f>IFERROR(VLOOKUP($A76,SortedDownload!$A$3:$BB$499,26,FALSE),"")</f>
        <v>00:04:49.4 (81)</v>
      </c>
      <c r="N76" s="59" t="str">
        <f>IFERROR(VLOOKUP($A76,SortedDownload!$A$3:$BB$499,27,FALSE),"")</f>
        <v>00:05:34.1 (75)</v>
      </c>
      <c r="O76" s="59" t="str">
        <f>IFERROR(VLOOKUP($A76,SortedDownload!$A$3:$BB$499,28,FALSE),"")</f>
        <v>DNS/DNF ()</v>
      </c>
      <c r="P76" s="59" t="str">
        <f>IFERROR(VLOOKUP($A76,SortedDownload!$A$3:$BB$499,29,FALSE),"")</f>
        <v>DNS/DNF ()</v>
      </c>
      <c r="Q76" s="59" t="str">
        <f>IFERROR(VLOOKUP($A76,SortedDownload!$A$3:$BB$499,30,FALSE),"")</f>
        <v>DNS/DNF ()</v>
      </c>
      <c r="R76" s="62" t="str">
        <f>IFERROR(TEXT(VLOOKUP($A76,SortedDownload!$A$3:$Z$499,14,FALSE),"[hh]:mm:ss.000"),"")</f>
        <v>00:21:23.218</v>
      </c>
      <c r="S76" s="83" t="str">
        <f t="shared" si="5"/>
        <v>00:02</v>
      </c>
      <c r="T76" s="83" t="str">
        <f t="shared" si="3"/>
        <v>04:33</v>
      </c>
      <c r="U76" s="9" t="str">
        <f t="shared" si="4"/>
        <v/>
      </c>
      <c r="V76" s="20" t="str">
        <f>IFERROR(IF(VLOOKUP(H76,AgeCategories!$D$3:$J$32,7,FALSE)=I76,"","DNF"),"")</f>
        <v/>
      </c>
      <c r="W76" s="9"/>
      <c r="X76" s="9"/>
    </row>
    <row r="77" spans="1:24">
      <c r="A77" s="53">
        <f>IF(SortedDownload!A77 &lt; 1,"",SortedDownload!A77)</f>
        <v>68</v>
      </c>
      <c r="B77" s="55">
        <f>IF(V77&lt;&gt;"","DNF",COUNTIF($V$3:V77,V77))</f>
        <v>75</v>
      </c>
      <c r="C77" s="54">
        <f>IF(OR(B77="DNF",H77=""),"DNF",COUNTIF($H$3:H77,H77))</f>
        <v>17</v>
      </c>
      <c r="D77" s="90" t="str">
        <f>IFERROR(VLOOKUP($A77,EntryList!$A$3:$N$596,2,FALSE),"")</f>
        <v>Liam Coetzee</v>
      </c>
      <c r="E77" s="54">
        <f>IFERROR(VLOOKUP($A77,EntryList!$A$3:$V$596,19,FALSE),"")</f>
        <v>0</v>
      </c>
      <c r="F77" s="176">
        <f>IFERROR(VLOOKUP($A77,EntryList!$A$3:$V$596,18,FALSE),"")</f>
        <v>0</v>
      </c>
      <c r="G77" s="90" t="str">
        <f>IFERROR(VLOOKUP($A77,EntryList!$A$3:$N$596,6,FALSE),"")</f>
        <v>M</v>
      </c>
      <c r="H77" s="90" t="str">
        <f>IFERROR(VLOOKUP($A77,EntryList!$A$3:$N$596,7,FALSE),"")</f>
        <v>Youth Men</v>
      </c>
      <c r="I77" s="54">
        <f>IFERROR(VLOOKUP($A77,SortedDownload!$A$3:$Z573,4,FALSE),"")</f>
        <v>5</v>
      </c>
      <c r="J77" s="59" t="str">
        <f>IFERROR(VLOOKUP($A77,SortedDownload!$A$3:$BB$499,23,FALSE),"")</f>
        <v>00:04:36.8 (94)</v>
      </c>
      <c r="K77" s="59" t="str">
        <f>IFERROR(VLOOKUP($A77,SortedDownload!$A$3:$BB$499,24,FALSE),"")</f>
        <v>00:04:10.7 (87)</v>
      </c>
      <c r="L77" s="59" t="str">
        <f>IFERROR(VLOOKUP($A77,SortedDownload!$A$3:$BB$499,25,FALSE),"")</f>
        <v>00:02:24.4 (89)</v>
      </c>
      <c r="M77" s="59" t="str">
        <f>IFERROR(VLOOKUP($A77,SortedDownload!$A$3:$BB$499,26,FALSE),"")</f>
        <v>00:04:30.7 (61)</v>
      </c>
      <c r="N77" s="59" t="str">
        <f>IFERROR(VLOOKUP($A77,SortedDownload!$A$3:$BB$499,27,FALSE),"")</f>
        <v>00:05:48.3 (103)</v>
      </c>
      <c r="O77" s="59" t="str">
        <f>IFERROR(VLOOKUP($A77,SortedDownload!$A$3:$BB$499,28,FALSE),"")</f>
        <v>DNS/DNF ()</v>
      </c>
      <c r="P77" s="59" t="str">
        <f>IFERROR(VLOOKUP($A77,SortedDownload!$A$3:$BB$499,29,FALSE),"")</f>
        <v>DNS/DNF ()</v>
      </c>
      <c r="Q77" s="59" t="str">
        <f>IFERROR(VLOOKUP($A77,SortedDownload!$A$3:$BB$499,30,FALSE),"")</f>
        <v>DNS/DNF ()</v>
      </c>
      <c r="R77" s="62" t="str">
        <f>IFERROR(TEXT(VLOOKUP($A77,SortedDownload!$A$3:$Z$499,14,FALSE),"[hh]:mm:ss.000"),"")</f>
        <v>00:21:30.843</v>
      </c>
      <c r="S77" s="83" t="str">
        <f t="shared" si="5"/>
        <v>00:08</v>
      </c>
      <c r="T77" s="83" t="str">
        <f t="shared" si="3"/>
        <v>04:41</v>
      </c>
      <c r="U77" s="9" t="str">
        <f t="shared" si="4"/>
        <v/>
      </c>
      <c r="V77" s="20" t="str">
        <f>IFERROR(IF(VLOOKUP(H77,AgeCategories!$D$3:$J$32,7,FALSE)=I77,"","DNF"),"")</f>
        <v/>
      </c>
      <c r="W77" s="9"/>
      <c r="X77" s="9"/>
    </row>
    <row r="78" spans="1:24">
      <c r="A78" s="53">
        <f>IF(SortedDownload!A78 &lt; 1,"",SortedDownload!A78)</f>
        <v>73</v>
      </c>
      <c r="B78" s="55">
        <f>IF(V78&lt;&gt;"","DNF",COUNTIF($V$3:V78,V78))</f>
        <v>76</v>
      </c>
      <c r="C78" s="54">
        <f>IF(OR(B78="DNF",H78=""),"DNF",COUNTIF($H$3:H78,H78))</f>
        <v>20</v>
      </c>
      <c r="D78" s="90" t="str">
        <f>IFERROR(VLOOKUP($A78,EntryList!$A$3:$N$596,2,FALSE),"")</f>
        <v>Jean-Pierre Whitfield</v>
      </c>
      <c r="E78" s="54">
        <f>IFERROR(VLOOKUP($A78,EntryList!$A$3:$V$596,19,FALSE),"")</f>
        <v>0</v>
      </c>
      <c r="F78" s="176">
        <f>IFERROR(VLOOKUP($A78,EntryList!$A$3:$V$596,18,FALSE),"")</f>
        <v>0</v>
      </c>
      <c r="G78" s="90" t="str">
        <f>IFERROR(VLOOKUP($A78,EntryList!$A$3:$N$596,6,FALSE),"")</f>
        <v>M</v>
      </c>
      <c r="H78" s="90" t="str">
        <f>IFERROR(VLOOKUP($A78,EntryList!$A$3:$N$596,7,FALSE),"")</f>
        <v>Elite Men</v>
      </c>
      <c r="I78" s="54">
        <f>IFERROR(VLOOKUP($A78,SortedDownload!$A$3:$Z574,4,FALSE),"")</f>
        <v>5</v>
      </c>
      <c r="J78" s="59" t="str">
        <f>IFERROR(VLOOKUP($A78,SortedDownload!$A$3:$BB$499,23,FALSE),"")</f>
        <v>00:03:59.5 (55)</v>
      </c>
      <c r="K78" s="59" t="str">
        <f>IFERROR(VLOOKUP($A78,SortedDownload!$A$3:$BB$499,24,FALSE),"")</f>
        <v>00:04:14.2 (96)</v>
      </c>
      <c r="L78" s="59" t="str">
        <f>IFERROR(VLOOKUP($A78,SortedDownload!$A$3:$BB$499,25,FALSE),"")</f>
        <v>00:02:25.8 (92)</v>
      </c>
      <c r="M78" s="59" t="str">
        <f>IFERROR(VLOOKUP($A78,SortedDownload!$A$3:$BB$499,26,FALSE),"")</f>
        <v>00:05:00.2 (96)</v>
      </c>
      <c r="N78" s="59" t="str">
        <f>IFERROR(VLOOKUP($A78,SortedDownload!$A$3:$BB$499,27,FALSE),"")</f>
        <v>00:05:53.1 (119)</v>
      </c>
      <c r="O78" s="59" t="str">
        <f>IFERROR(VLOOKUP($A78,SortedDownload!$A$3:$BB$499,28,FALSE),"")</f>
        <v>DNS/DNF ()</v>
      </c>
      <c r="P78" s="59" t="str">
        <f>IFERROR(VLOOKUP($A78,SortedDownload!$A$3:$BB$499,29,FALSE),"")</f>
        <v>DNS/DNF ()</v>
      </c>
      <c r="Q78" s="59" t="str">
        <f>IFERROR(VLOOKUP($A78,SortedDownload!$A$3:$BB$499,30,FALSE),"")</f>
        <v>DNS/DNF ()</v>
      </c>
      <c r="R78" s="62" t="str">
        <f>IFERROR(TEXT(VLOOKUP($A78,SortedDownload!$A$3:$Z$499,14,FALSE),"[hh]:mm:ss.000"),"")</f>
        <v>00:21:32.842</v>
      </c>
      <c r="S78" s="83" t="str">
        <f t="shared" si="5"/>
        <v>00:02</v>
      </c>
      <c r="T78" s="83" t="str">
        <f t="shared" si="3"/>
        <v>04:43</v>
      </c>
      <c r="U78" s="9" t="str">
        <f t="shared" si="4"/>
        <v/>
      </c>
      <c r="V78" s="20" t="str">
        <f>IFERROR(IF(VLOOKUP(H78,AgeCategories!$D$3:$J$32,7,FALSE)=I78,"","DNF"),"")</f>
        <v/>
      </c>
      <c r="W78" s="9"/>
      <c r="X78" s="9"/>
    </row>
    <row r="79" spans="1:24">
      <c r="A79" s="53">
        <f>IF(SortedDownload!A79 &lt; 1,"",SortedDownload!A79)</f>
        <v>124</v>
      </c>
      <c r="B79" s="55">
        <f>IF(V79&lt;&gt;"","DNF",COUNTIF($V$3:V79,V79))</f>
        <v>77</v>
      </c>
      <c r="C79" s="54">
        <f>IF(OR(B79="DNF",H79=""),"DNF",COUNTIF($H$3:H79,H79))</f>
        <v>10</v>
      </c>
      <c r="D79" s="90" t="str">
        <f>IFERROR(VLOOKUP($A79,EntryList!$A$3:$N$596,2,FALSE),"")</f>
        <v>Matthew Halbert</v>
      </c>
      <c r="E79" s="54">
        <f>IFERROR(VLOOKUP($A79,EntryList!$A$3:$V$596,19,FALSE),"")</f>
        <v>0</v>
      </c>
      <c r="F79" s="176">
        <f>IFERROR(VLOOKUP($A79,EntryList!$A$3:$V$596,18,FALSE),"")</f>
        <v>0</v>
      </c>
      <c r="G79" s="90" t="str">
        <f>IFERROR(VLOOKUP($A79,EntryList!$A$3:$N$596,6,FALSE),"")</f>
        <v>M</v>
      </c>
      <c r="H79" s="90" t="str">
        <f>IFERROR(VLOOKUP($A79,EntryList!$A$3:$N$596,7,FALSE),"")</f>
        <v>Junior Men</v>
      </c>
      <c r="I79" s="54">
        <f>IFERROR(VLOOKUP($A79,SortedDownload!$A$3:$Z575,4,FALSE),"")</f>
        <v>5</v>
      </c>
      <c r="J79" s="59" t="str">
        <f>IFERROR(VLOOKUP($A79,SortedDownload!$A$3:$BB$499,23,FALSE),"")</f>
        <v>00:04:49.6 (105)</v>
      </c>
      <c r="K79" s="59" t="str">
        <f>IFERROR(VLOOKUP($A79,SortedDownload!$A$3:$BB$499,24,FALSE),"")</f>
        <v>00:04:12.8 (93)</v>
      </c>
      <c r="L79" s="59" t="str">
        <f>IFERROR(VLOOKUP($A79,SortedDownload!$A$3:$BB$499,25,FALSE),"")</f>
        <v>00:02:21.0 (80)</v>
      </c>
      <c r="M79" s="59" t="str">
        <f>IFERROR(VLOOKUP($A79,SortedDownload!$A$3:$BB$499,26,FALSE),"")</f>
        <v>00:04:36.4 (71)</v>
      </c>
      <c r="N79" s="59" t="str">
        <f>IFERROR(VLOOKUP($A79,SortedDownload!$A$3:$BB$499,27,FALSE),"")</f>
        <v>00:05:38.1 (81)</v>
      </c>
      <c r="O79" s="59" t="str">
        <f>IFERROR(VLOOKUP($A79,SortedDownload!$A$3:$BB$499,28,FALSE),"")</f>
        <v>DNS/DNF ()</v>
      </c>
      <c r="P79" s="59" t="str">
        <f>IFERROR(VLOOKUP($A79,SortedDownload!$A$3:$BB$499,29,FALSE),"")</f>
        <v>DNS/DNF ()</v>
      </c>
      <c r="Q79" s="59" t="str">
        <f>IFERROR(VLOOKUP($A79,SortedDownload!$A$3:$BB$499,30,FALSE),"")</f>
        <v>DNS/DNF ()</v>
      </c>
      <c r="R79" s="62" t="str">
        <f>IFERROR(TEXT(VLOOKUP($A79,SortedDownload!$A$3:$Z$499,14,FALSE),"[hh]:mm:ss.000"),"")</f>
        <v>00:21:37.962</v>
      </c>
      <c r="S79" s="83" t="str">
        <f t="shared" si="5"/>
        <v>00:05</v>
      </c>
      <c r="T79" s="83" t="str">
        <f t="shared" si="3"/>
        <v>04:48</v>
      </c>
      <c r="U79" s="9" t="str">
        <f t="shared" si="4"/>
        <v/>
      </c>
      <c r="V79" s="20" t="str">
        <f>IFERROR(IF(VLOOKUP(H79,AgeCategories!$D$3:$J$32,7,FALSE)=I79,"","DNF"),"")</f>
        <v/>
      </c>
      <c r="W79" s="9"/>
      <c r="X79" s="9"/>
    </row>
    <row r="80" spans="1:24">
      <c r="A80" s="53">
        <f>IF(SortedDownload!A80 &lt; 1,"",SortedDownload!A80)</f>
        <v>173</v>
      </c>
      <c r="B80" s="55">
        <f>IF(V80&lt;&gt;"","DNF",COUNTIF($V$3:V80,V80))</f>
        <v>78</v>
      </c>
      <c r="C80" s="54">
        <f>IF(OR(B80="DNF",H80=""),"DNF",COUNTIF($H$3:H80,H80))</f>
        <v>21</v>
      </c>
      <c r="D80" s="90" t="str">
        <f>IFERROR(VLOOKUP($A80,EntryList!$A$3:$N$596,2,FALSE),"")</f>
        <v>Luca Hewitson</v>
      </c>
      <c r="E80" s="54">
        <f>IFERROR(VLOOKUP($A80,EntryList!$A$3:$V$596,19,FALSE),"")</f>
        <v>0</v>
      </c>
      <c r="F80" s="176">
        <f>IFERROR(VLOOKUP($A80,EntryList!$A$3:$V$596,18,FALSE),"")</f>
        <v>0</v>
      </c>
      <c r="G80" s="90" t="str">
        <f>IFERROR(VLOOKUP($A80,EntryList!$A$3:$N$596,6,FALSE),"")</f>
        <v>M</v>
      </c>
      <c r="H80" s="90" t="str">
        <f>IFERROR(VLOOKUP($A80,EntryList!$A$3:$N$596,7,FALSE),"")</f>
        <v>Elite Men</v>
      </c>
      <c r="I80" s="54">
        <f>IFERROR(VLOOKUP($A80,SortedDownload!$A$3:$Z576,4,FALSE),"")</f>
        <v>5</v>
      </c>
      <c r="J80" s="59" t="str">
        <f>IFERROR(VLOOKUP($A80,SortedDownload!$A$3:$BB$499,23,FALSE),"")</f>
        <v>00:04:10.8 (69)</v>
      </c>
      <c r="K80" s="59" t="str">
        <f>IFERROR(VLOOKUP($A80,SortedDownload!$A$3:$BB$499,24,FALSE),"")</f>
        <v>00:04:20.3 (112)</v>
      </c>
      <c r="L80" s="59" t="str">
        <f>IFERROR(VLOOKUP($A80,SortedDownload!$A$3:$BB$499,25,FALSE),"")</f>
        <v>00:02:27.1 (99)</v>
      </c>
      <c r="M80" s="59" t="str">
        <f>IFERROR(VLOOKUP($A80,SortedDownload!$A$3:$BB$499,26,FALSE),"")</f>
        <v>00:04:48.5 (80)</v>
      </c>
      <c r="N80" s="59" t="str">
        <f>IFERROR(VLOOKUP($A80,SortedDownload!$A$3:$BB$499,27,FALSE),"")</f>
        <v>00:05:53.8 (123)</v>
      </c>
      <c r="O80" s="59" t="str">
        <f>IFERROR(VLOOKUP($A80,SortedDownload!$A$3:$BB$499,28,FALSE),"")</f>
        <v>DNS/DNF ()</v>
      </c>
      <c r="P80" s="59" t="str">
        <f>IFERROR(VLOOKUP($A80,SortedDownload!$A$3:$BB$499,29,FALSE),"")</f>
        <v>DNS/DNF ()</v>
      </c>
      <c r="Q80" s="59" t="str">
        <f>IFERROR(VLOOKUP($A80,SortedDownload!$A$3:$BB$499,30,FALSE),"")</f>
        <v>DNS/DNF ()</v>
      </c>
      <c r="R80" s="62" t="str">
        <f>IFERROR(TEXT(VLOOKUP($A80,SortedDownload!$A$3:$Z$499,14,FALSE),"[hh]:mm:ss.000"),"")</f>
        <v>00:21:40.479</v>
      </c>
      <c r="S80" s="83" t="str">
        <f t="shared" si="5"/>
        <v>00:03</v>
      </c>
      <c r="T80" s="83" t="str">
        <f t="shared" si="3"/>
        <v>04:50</v>
      </c>
      <c r="U80" s="9" t="str">
        <f t="shared" si="4"/>
        <v/>
      </c>
      <c r="V80" s="20" t="str">
        <f>IFERROR(IF(VLOOKUP(H80,AgeCategories!$D$3:$J$32,7,FALSE)=I80,"","DNF"),"")</f>
        <v/>
      </c>
      <c r="W80" s="9"/>
      <c r="X80" s="9"/>
    </row>
    <row r="81" spans="1:24">
      <c r="A81" s="53">
        <f>IF(SortedDownload!A81 &lt; 1,"",SortedDownload!A81)</f>
        <v>259</v>
      </c>
      <c r="B81" s="55">
        <f>IF(V81&lt;&gt;"","DNF",COUNTIF($V$3:V81,V81))</f>
        <v>79</v>
      </c>
      <c r="C81" s="54">
        <f>IF(OR(B81="DNF",H81=""),"DNF",COUNTIF($H$3:H81,H81))</f>
        <v>2</v>
      </c>
      <c r="D81" s="90" t="str">
        <f>IFERROR(VLOOKUP($A81,EntryList!$A$3:$N$596,2,FALSE),"")</f>
        <v>Jessi Nixon</v>
      </c>
      <c r="E81" s="54">
        <f>IFERROR(VLOOKUP($A81,EntryList!$A$3:$V$596,19,FALSE),"")</f>
        <v>0</v>
      </c>
      <c r="F81" s="176">
        <f>IFERROR(VLOOKUP($A81,EntryList!$A$3:$V$596,18,FALSE),"")</f>
        <v>0</v>
      </c>
      <c r="G81" s="90" t="str">
        <f>IFERROR(VLOOKUP($A81,EntryList!$A$3:$N$596,6,FALSE),"")</f>
        <v>F</v>
      </c>
      <c r="H81" s="90" t="str">
        <f>IFERROR(VLOOKUP($A81,EntryList!$A$3:$N$596,7,FALSE),"")</f>
        <v>Elite Women</v>
      </c>
      <c r="I81" s="54">
        <f>IFERROR(VLOOKUP($A81,SortedDownload!$A$3:$Z577,4,FALSE),"")</f>
        <v>5</v>
      </c>
      <c r="J81" s="59" t="str">
        <f>IFERROR(VLOOKUP($A81,SortedDownload!$A$3:$BB$499,23,FALSE),"")</f>
        <v>00:04:11.3 (72)</v>
      </c>
      <c r="K81" s="59" t="str">
        <f>IFERROR(VLOOKUP($A81,SortedDownload!$A$3:$BB$499,24,FALSE),"")</f>
        <v>00:04:20.2 (111)</v>
      </c>
      <c r="L81" s="59" t="str">
        <f>IFERROR(VLOOKUP($A81,SortedDownload!$A$3:$BB$499,25,FALSE),"")</f>
        <v>00:02:26.2 (95)</v>
      </c>
      <c r="M81" s="59" t="str">
        <f>IFERROR(VLOOKUP($A81,SortedDownload!$A$3:$BB$499,26,FALSE),"")</f>
        <v>00:04:53.1 (86)</v>
      </c>
      <c r="N81" s="59" t="str">
        <f>IFERROR(VLOOKUP($A81,SortedDownload!$A$3:$BB$499,27,FALSE),"")</f>
        <v>00:05:51.8 (112)</v>
      </c>
      <c r="O81" s="59" t="str">
        <f>IFERROR(VLOOKUP($A81,SortedDownload!$A$3:$BB$499,28,FALSE),"")</f>
        <v>DNS/DNF ()</v>
      </c>
      <c r="P81" s="59" t="str">
        <f>IFERROR(VLOOKUP($A81,SortedDownload!$A$3:$BB$499,29,FALSE),"")</f>
        <v>DNS/DNF ()</v>
      </c>
      <c r="Q81" s="59" t="str">
        <f>IFERROR(VLOOKUP($A81,SortedDownload!$A$3:$BB$499,30,FALSE),"")</f>
        <v>DNS/DNF ()</v>
      </c>
      <c r="R81" s="62" t="str">
        <f>IFERROR(TEXT(VLOOKUP($A81,SortedDownload!$A$3:$Z$499,14,FALSE),"[hh]:mm:ss.000"),"")</f>
        <v>00:21:42.582</v>
      </c>
      <c r="S81" s="83" t="str">
        <f t="shared" si="5"/>
        <v>00:02</v>
      </c>
      <c r="T81" s="83" t="str">
        <f t="shared" si="3"/>
        <v>04:53</v>
      </c>
      <c r="U81" s="9" t="str">
        <f t="shared" si="4"/>
        <v/>
      </c>
      <c r="V81" s="20" t="str">
        <f>IFERROR(IF(VLOOKUP(H81,AgeCategories!$D$3:$J$32,7,FALSE)=I81,"","DNF"),"")</f>
        <v/>
      </c>
      <c r="W81" s="9"/>
      <c r="X81" s="9"/>
    </row>
    <row r="82" spans="1:24">
      <c r="A82" s="53">
        <f>IF(SortedDownload!A82 &lt; 1,"",SortedDownload!A82)</f>
        <v>59</v>
      </c>
      <c r="B82" s="55">
        <f>IF(V82&lt;&gt;"","DNF",COUNTIF($V$3:V82,V82))</f>
        <v>80</v>
      </c>
      <c r="C82" s="54">
        <f>IF(OR(B82="DNF",H82=""),"DNF",COUNTIF($H$3:H82,H82))</f>
        <v>20</v>
      </c>
      <c r="D82" s="90" t="str">
        <f>IFERROR(VLOOKUP($A82,EntryList!$A$3:$N$596,2,FALSE),"")</f>
        <v>Kyle Collair</v>
      </c>
      <c r="E82" s="54">
        <f>IFERROR(VLOOKUP($A82,EntryList!$A$3:$V$596,19,FALSE),"")</f>
        <v>0</v>
      </c>
      <c r="F82" s="176">
        <f>IFERROR(VLOOKUP($A82,EntryList!$A$3:$V$596,18,FALSE),"")</f>
        <v>0</v>
      </c>
      <c r="G82" s="90" t="str">
        <f>IFERROR(VLOOKUP($A82,EntryList!$A$3:$N$596,6,FALSE),"")</f>
        <v>M</v>
      </c>
      <c r="H82" s="90" t="str">
        <f>IFERROR(VLOOKUP($A82,EntryList!$A$3:$N$596,7,FALSE),"")</f>
        <v>Master Men</v>
      </c>
      <c r="I82" s="54">
        <f>IFERROR(VLOOKUP($A82,SortedDownload!$A$3:$Z578,4,FALSE),"")</f>
        <v>5</v>
      </c>
      <c r="J82" s="59" t="str">
        <f>IFERROR(VLOOKUP($A82,SortedDownload!$A$3:$BB$499,23,FALSE),"")</f>
        <v>00:04:38.3 (96)</v>
      </c>
      <c r="K82" s="59" t="str">
        <f>IFERROR(VLOOKUP($A82,SortedDownload!$A$3:$BB$499,24,FALSE),"")</f>
        <v>00:04:10.9 (88)</v>
      </c>
      <c r="L82" s="59" t="str">
        <f>IFERROR(VLOOKUP($A82,SortedDownload!$A$3:$BB$499,25,FALSE),"")</f>
        <v>00:02:30.3 (111)</v>
      </c>
      <c r="M82" s="59" t="str">
        <f>IFERROR(VLOOKUP($A82,SortedDownload!$A$3:$BB$499,26,FALSE),"")</f>
        <v>00:04:50.1 (83)</v>
      </c>
      <c r="N82" s="59" t="str">
        <f>IFERROR(VLOOKUP($A82,SortedDownload!$A$3:$BB$499,27,FALSE),"")</f>
        <v>00:05:41.6 (90)</v>
      </c>
      <c r="O82" s="59" t="str">
        <f>IFERROR(VLOOKUP($A82,SortedDownload!$A$3:$BB$499,28,FALSE),"")</f>
        <v>DNS/DNF ()</v>
      </c>
      <c r="P82" s="59" t="str">
        <f>IFERROR(VLOOKUP($A82,SortedDownload!$A$3:$BB$499,29,FALSE),"")</f>
        <v>DNS/DNF ()</v>
      </c>
      <c r="Q82" s="59" t="str">
        <f>IFERROR(VLOOKUP($A82,SortedDownload!$A$3:$BB$499,30,FALSE),"")</f>
        <v>DNS/DNF ()</v>
      </c>
      <c r="R82" s="62" t="str">
        <f>IFERROR(TEXT(VLOOKUP($A82,SortedDownload!$A$3:$Z$499,14,FALSE),"[hh]:mm:ss.000"),"")</f>
        <v>00:21:51.287</v>
      </c>
      <c r="S82" s="83" t="str">
        <f t="shared" si="5"/>
        <v>00:09</v>
      </c>
      <c r="T82" s="83" t="str">
        <f t="shared" si="3"/>
        <v>05:01</v>
      </c>
      <c r="U82" s="9" t="str">
        <f t="shared" si="4"/>
        <v/>
      </c>
      <c r="V82" s="20" t="str">
        <f>IFERROR(IF(VLOOKUP(H82,AgeCategories!$D$3:$J$32,7,FALSE)=I82,"","DNF"),"")</f>
        <v/>
      </c>
      <c r="W82" s="9"/>
      <c r="X82" s="9"/>
    </row>
    <row r="83" spans="1:24">
      <c r="A83" s="53">
        <f>IF(SortedDownload!A83 &lt; 1,"",SortedDownload!A83)</f>
        <v>178</v>
      </c>
      <c r="B83" s="55">
        <f>IF(V83&lt;&gt;"","DNF",COUNTIF($V$3:V83,V83))</f>
        <v>81</v>
      </c>
      <c r="C83" s="54">
        <f>IF(OR(B83="DNF",H83=""),"DNF",COUNTIF($H$3:H83,H83))</f>
        <v>18</v>
      </c>
      <c r="D83" s="90" t="str">
        <f>IFERROR(VLOOKUP($A83,EntryList!$A$3:$N$596,2,FALSE),"")</f>
        <v>Gustav Raubenheimer</v>
      </c>
      <c r="E83" s="54">
        <f>IFERROR(VLOOKUP($A83,EntryList!$A$3:$V$596,19,FALSE),"")</f>
        <v>0</v>
      </c>
      <c r="F83" s="176">
        <f>IFERROR(VLOOKUP($A83,EntryList!$A$3:$V$596,18,FALSE),"")</f>
        <v>0</v>
      </c>
      <c r="G83" s="90" t="str">
        <f>IFERROR(VLOOKUP($A83,EntryList!$A$3:$N$596,6,FALSE),"")</f>
        <v>M</v>
      </c>
      <c r="H83" s="90" t="str">
        <f>IFERROR(VLOOKUP($A83,EntryList!$A$3:$N$596,7,FALSE),"")</f>
        <v>Youth Men</v>
      </c>
      <c r="I83" s="54">
        <f>IFERROR(VLOOKUP($A83,SortedDownload!$A$3:$Z579,4,FALSE),"")</f>
        <v>5</v>
      </c>
      <c r="J83" s="59" t="str">
        <f>IFERROR(VLOOKUP($A83,SortedDownload!$A$3:$BB$499,23,FALSE),"")</f>
        <v>00:04:28.2 (86)</v>
      </c>
      <c r="K83" s="59" t="str">
        <f>IFERROR(VLOOKUP($A83,SortedDownload!$A$3:$BB$499,24,FALSE),"")</f>
        <v>00:04:13.0 (95)</v>
      </c>
      <c r="L83" s="59" t="str">
        <f>IFERROR(VLOOKUP($A83,SortedDownload!$A$3:$BB$499,25,FALSE),"")</f>
        <v>00:02:27.7 (104)</v>
      </c>
      <c r="M83" s="59" t="str">
        <f>IFERROR(VLOOKUP($A83,SortedDownload!$A$3:$BB$499,26,FALSE),"")</f>
        <v>00:04:45.8 (78)</v>
      </c>
      <c r="N83" s="59" t="str">
        <f>IFERROR(VLOOKUP($A83,SortedDownload!$A$3:$BB$499,27,FALSE),"")</f>
        <v>00:05:58.2 (135)</v>
      </c>
      <c r="O83" s="59" t="str">
        <f>IFERROR(VLOOKUP($A83,SortedDownload!$A$3:$BB$499,28,FALSE),"")</f>
        <v>DNS/DNF ()</v>
      </c>
      <c r="P83" s="59" t="str">
        <f>IFERROR(VLOOKUP($A83,SortedDownload!$A$3:$BB$499,29,FALSE),"")</f>
        <v>DNS/DNF ()</v>
      </c>
      <c r="Q83" s="59" t="str">
        <f>IFERROR(VLOOKUP($A83,SortedDownload!$A$3:$BB$499,30,FALSE),"")</f>
        <v>DNS/DNF ()</v>
      </c>
      <c r="R83" s="62" t="str">
        <f>IFERROR(TEXT(VLOOKUP($A83,SortedDownload!$A$3:$Z$499,14,FALSE),"[hh]:mm:ss.000"),"")</f>
        <v>00:21:53.014</v>
      </c>
      <c r="S83" s="83" t="str">
        <f t="shared" si="5"/>
        <v>00:02</v>
      </c>
      <c r="T83" s="83" t="str">
        <f t="shared" si="3"/>
        <v>05:03</v>
      </c>
      <c r="U83" s="9" t="str">
        <f t="shared" si="4"/>
        <v/>
      </c>
      <c r="V83" s="20" t="str">
        <f>IFERROR(IF(VLOOKUP(H83,AgeCategories!$D$3:$J$32,7,FALSE)=I83,"","DNF"),"")</f>
        <v/>
      </c>
      <c r="W83" s="9"/>
      <c r="X83" s="9"/>
    </row>
    <row r="84" spans="1:24">
      <c r="A84" s="53">
        <f>IF(SortedDownload!A84 &lt; 1,"",SortedDownload!A84)</f>
        <v>184</v>
      </c>
      <c r="B84" s="55">
        <f>IF(V84&lt;&gt;"","DNF",COUNTIF($V$3:V84,V84))</f>
        <v>82</v>
      </c>
      <c r="C84" s="54">
        <f>IF(OR(B84="DNF",H84=""),"DNF",COUNTIF($H$3:H84,H84))</f>
        <v>22</v>
      </c>
      <c r="D84" s="90" t="str">
        <f>IFERROR(VLOOKUP($A84,EntryList!$A$3:$N$596,2,FALSE),"")</f>
        <v>Leon Bartel</v>
      </c>
      <c r="E84" s="54">
        <f>IFERROR(VLOOKUP($A84,EntryList!$A$3:$V$596,19,FALSE),"")</f>
        <v>0</v>
      </c>
      <c r="F84" s="176">
        <f>IFERROR(VLOOKUP($A84,EntryList!$A$3:$V$596,18,FALSE),"")</f>
        <v>0</v>
      </c>
      <c r="G84" s="90" t="str">
        <f>IFERROR(VLOOKUP($A84,EntryList!$A$3:$N$596,6,FALSE),"")</f>
        <v>M</v>
      </c>
      <c r="H84" s="90" t="str">
        <f>IFERROR(VLOOKUP($A84,EntryList!$A$3:$N$596,7,FALSE),"")</f>
        <v>Elite Men</v>
      </c>
      <c r="I84" s="54">
        <f>IFERROR(VLOOKUP($A84,SortedDownload!$A$3:$Z580,4,FALSE),"")</f>
        <v>5</v>
      </c>
      <c r="J84" s="59" t="str">
        <f>IFERROR(VLOOKUP($A84,SortedDownload!$A$3:$BB$499,23,FALSE),"")</f>
        <v>00:04:35.7 (92)</v>
      </c>
      <c r="K84" s="59" t="str">
        <f>IFERROR(VLOOKUP($A84,SortedDownload!$A$3:$BB$499,24,FALSE),"")</f>
        <v>00:04:17.9 (105)</v>
      </c>
      <c r="L84" s="59" t="str">
        <f>IFERROR(VLOOKUP($A84,SortedDownload!$A$3:$BB$499,25,FALSE),"")</f>
        <v>00:02:38.2 (140)</v>
      </c>
      <c r="M84" s="59" t="str">
        <f>IFERROR(VLOOKUP($A84,SortedDownload!$A$3:$BB$499,26,FALSE),"")</f>
        <v>00:04:53.8 (87)</v>
      </c>
      <c r="N84" s="59" t="str">
        <f>IFERROR(VLOOKUP($A84,SortedDownload!$A$3:$BB$499,27,FALSE),"")</f>
        <v>00:05:38.5 (84)</v>
      </c>
      <c r="O84" s="59" t="str">
        <f>IFERROR(VLOOKUP($A84,SortedDownload!$A$3:$BB$499,28,FALSE),"")</f>
        <v>DNS/DNF ()</v>
      </c>
      <c r="P84" s="59" t="str">
        <f>IFERROR(VLOOKUP($A84,SortedDownload!$A$3:$BB$499,29,FALSE),"")</f>
        <v>DNS/DNF ()</v>
      </c>
      <c r="Q84" s="59" t="str">
        <f>IFERROR(VLOOKUP($A84,SortedDownload!$A$3:$BB$499,30,FALSE),"")</f>
        <v>DNS/DNF ()</v>
      </c>
      <c r="R84" s="62" t="str">
        <f>IFERROR(TEXT(VLOOKUP($A84,SortedDownload!$A$3:$Z$499,14,FALSE),"[hh]:mm:ss.000"),"")</f>
        <v>00:22:04.204</v>
      </c>
      <c r="S84" s="83" t="str">
        <f t="shared" si="5"/>
        <v>00:11</v>
      </c>
      <c r="T84" s="83" t="str">
        <f t="shared" si="3"/>
        <v>05:14</v>
      </c>
      <c r="U84" s="9" t="str">
        <f t="shared" si="4"/>
        <v/>
      </c>
      <c r="V84" s="20" t="str">
        <f>IFERROR(IF(VLOOKUP(H84,AgeCategories!$D$3:$J$32,7,FALSE)=I84,"","DNF"),"")</f>
        <v/>
      </c>
      <c r="W84" s="9"/>
      <c r="X84" s="9"/>
    </row>
    <row r="85" spans="1:24">
      <c r="A85" s="53">
        <f>IF(SortedDownload!A85 &lt; 1,"",SortedDownload!A85)</f>
        <v>162</v>
      </c>
      <c r="B85" s="55">
        <f>IF(V85&lt;&gt;"","DNF",COUNTIF($V$3:V85,V85))</f>
        <v>83</v>
      </c>
      <c r="C85" s="54">
        <f>IF(OR(B85="DNF",H85=""),"DNF",COUNTIF($H$3:H85,H85))</f>
        <v>19</v>
      </c>
      <c r="D85" s="90" t="str">
        <f>IFERROR(VLOOKUP($A85,EntryList!$A$3:$N$596,2,FALSE),"")</f>
        <v>Fritz Kolb</v>
      </c>
      <c r="E85" s="54">
        <f>IFERROR(VLOOKUP($A85,EntryList!$A$3:$V$596,19,FALSE),"")</f>
        <v>0</v>
      </c>
      <c r="F85" s="176">
        <f>IFERROR(VLOOKUP($A85,EntryList!$A$3:$V$596,18,FALSE),"")</f>
        <v>0</v>
      </c>
      <c r="G85" s="90" t="str">
        <f>IFERROR(VLOOKUP($A85,EntryList!$A$3:$N$596,6,FALSE),"")</f>
        <v>M</v>
      </c>
      <c r="H85" s="90" t="str">
        <f>IFERROR(VLOOKUP($A85,EntryList!$A$3:$N$596,7,FALSE),"")</f>
        <v>Youth Men</v>
      </c>
      <c r="I85" s="54">
        <f>IFERROR(VLOOKUP($A85,SortedDownload!$A$3:$Z581,4,FALSE),"")</f>
        <v>5</v>
      </c>
      <c r="J85" s="59" t="str">
        <f>IFERROR(VLOOKUP($A85,SortedDownload!$A$3:$BB$499,23,FALSE),"")</f>
        <v>00:04:36.3 (93)</v>
      </c>
      <c r="K85" s="59" t="str">
        <f>IFERROR(VLOOKUP($A85,SortedDownload!$A$3:$BB$499,24,FALSE),"")</f>
        <v>00:04:26.2 (124)</v>
      </c>
      <c r="L85" s="59" t="str">
        <f>IFERROR(VLOOKUP($A85,SortedDownload!$A$3:$BB$499,25,FALSE),"")</f>
        <v>00:02:27.6 (101)</v>
      </c>
      <c r="M85" s="59" t="str">
        <f>IFERROR(VLOOKUP($A85,SortedDownload!$A$3:$BB$499,26,FALSE),"")</f>
        <v>00:04:54.2 (89)</v>
      </c>
      <c r="N85" s="59" t="str">
        <f>IFERROR(VLOOKUP($A85,SortedDownload!$A$3:$BB$499,27,FALSE),"")</f>
        <v>00:05:40.3 (87)</v>
      </c>
      <c r="O85" s="59" t="str">
        <f>IFERROR(VLOOKUP($A85,SortedDownload!$A$3:$BB$499,28,FALSE),"")</f>
        <v>DNS/DNF ()</v>
      </c>
      <c r="P85" s="59" t="str">
        <f>IFERROR(VLOOKUP($A85,SortedDownload!$A$3:$BB$499,29,FALSE),"")</f>
        <v>DNS/DNF ()</v>
      </c>
      <c r="Q85" s="59" t="str">
        <f>IFERROR(VLOOKUP($A85,SortedDownload!$A$3:$BB$499,30,FALSE),"")</f>
        <v>DNS/DNF ()</v>
      </c>
      <c r="R85" s="62" t="str">
        <f>IFERROR(TEXT(VLOOKUP($A85,SortedDownload!$A$3:$Z$499,14,FALSE),"[hh]:mm:ss.000"),"")</f>
        <v>00:22:04.541</v>
      </c>
      <c r="S85" s="83" t="str">
        <f t="shared" si="5"/>
        <v>00:00</v>
      </c>
      <c r="T85" s="83" t="str">
        <f t="shared" si="3"/>
        <v>05:15</v>
      </c>
      <c r="U85" s="9" t="str">
        <f t="shared" si="4"/>
        <v/>
      </c>
      <c r="V85" s="20" t="str">
        <f>IFERROR(IF(VLOOKUP(H85,AgeCategories!$D$3:$J$32,7,FALSE)=I85,"","DNF"),"")</f>
        <v/>
      </c>
      <c r="W85" s="9"/>
      <c r="X85" s="9"/>
    </row>
    <row r="86" spans="1:24">
      <c r="A86" s="53">
        <f>IF(SortedDownload!A86 &lt; 1,"",SortedDownload!A86)</f>
        <v>226</v>
      </c>
      <c r="B86" s="55">
        <f>IF(V86&lt;&gt;"","DNF",COUNTIF($V$3:V86,V86))</f>
        <v>84</v>
      </c>
      <c r="C86" s="54">
        <f>IF(OR(B86="DNF",H86=""),"DNF",COUNTIF($H$3:H86,H86))</f>
        <v>23</v>
      </c>
      <c r="D86" s="90" t="str">
        <f>IFERROR(VLOOKUP($A86,EntryList!$A$3:$N$596,2,FALSE),"")</f>
        <v>Adriaan De Lange</v>
      </c>
      <c r="E86" s="54">
        <f>IFERROR(VLOOKUP($A86,EntryList!$A$3:$V$596,19,FALSE),"")</f>
        <v>0</v>
      </c>
      <c r="F86" s="176">
        <f>IFERROR(VLOOKUP($A86,EntryList!$A$3:$V$596,18,FALSE),"")</f>
        <v>0</v>
      </c>
      <c r="G86" s="90" t="str">
        <f>IFERROR(VLOOKUP($A86,EntryList!$A$3:$N$596,6,FALSE),"")</f>
        <v>M</v>
      </c>
      <c r="H86" s="90" t="str">
        <f>IFERROR(VLOOKUP($A86,EntryList!$A$3:$N$596,7,FALSE),"")</f>
        <v>Elite Men</v>
      </c>
      <c r="I86" s="54">
        <f>IFERROR(VLOOKUP($A86,SortedDownload!$A$3:$Z582,4,FALSE),"")</f>
        <v>5</v>
      </c>
      <c r="J86" s="59" t="str">
        <f>IFERROR(VLOOKUP($A86,SortedDownload!$A$3:$BB$499,23,FALSE),"")</f>
        <v>00:05:22.1 (118)</v>
      </c>
      <c r="K86" s="59" t="str">
        <f>IFERROR(VLOOKUP($A86,SortedDownload!$A$3:$BB$499,24,FALSE),"")</f>
        <v>00:04:27.6 (129)</v>
      </c>
      <c r="L86" s="59" t="str">
        <f>IFERROR(VLOOKUP($A86,SortedDownload!$A$3:$BB$499,25,FALSE),"")</f>
        <v>00:02:16.2 (66)</v>
      </c>
      <c r="M86" s="59" t="str">
        <f>IFERROR(VLOOKUP($A86,SortedDownload!$A$3:$BB$499,26,FALSE),"")</f>
        <v>00:04:35.5 (69)</v>
      </c>
      <c r="N86" s="59" t="str">
        <f>IFERROR(VLOOKUP($A86,SortedDownload!$A$3:$BB$499,27,FALSE),"")</f>
        <v>00:05:25.0 (58)</v>
      </c>
      <c r="O86" s="59" t="str">
        <f>IFERROR(VLOOKUP($A86,SortedDownload!$A$3:$BB$499,28,FALSE),"")</f>
        <v>DNS/DNF ()</v>
      </c>
      <c r="P86" s="59" t="str">
        <f>IFERROR(VLOOKUP($A86,SortedDownload!$A$3:$BB$499,29,FALSE),"")</f>
        <v>DNS/DNF ()</v>
      </c>
      <c r="Q86" s="59" t="str">
        <f>IFERROR(VLOOKUP($A86,SortedDownload!$A$3:$BB$499,30,FALSE),"")</f>
        <v>DNS/DNF ()</v>
      </c>
      <c r="R86" s="62" t="str">
        <f>IFERROR(TEXT(VLOOKUP($A86,SortedDownload!$A$3:$Z$499,14,FALSE),"[hh]:mm:ss.000"),"")</f>
        <v>00:22:06.447</v>
      </c>
      <c r="S86" s="83" t="str">
        <f t="shared" si="5"/>
        <v>00:02</v>
      </c>
      <c r="T86" s="83" t="str">
        <f t="shared" si="3"/>
        <v>05:16</v>
      </c>
      <c r="U86" s="9" t="str">
        <f t="shared" si="4"/>
        <v/>
      </c>
      <c r="V86" s="20" t="str">
        <f>IFERROR(IF(VLOOKUP(H86,AgeCategories!$D$3:$J$32,7,FALSE)=I86,"","DNF"),"")</f>
        <v/>
      </c>
      <c r="W86" s="9"/>
      <c r="X86" s="9"/>
    </row>
    <row r="87" spans="1:24">
      <c r="A87" s="53">
        <f>IF(SortedDownload!A87 &lt; 1,"",SortedDownload!A87)</f>
        <v>261</v>
      </c>
      <c r="B87" s="55">
        <f>IF(V87&lt;&gt;"","DNF",COUNTIF($V$3:V87,V87))</f>
        <v>85</v>
      </c>
      <c r="C87" s="54">
        <f>IF(OR(B87="DNF",H87=""),"DNF",COUNTIF($H$3:H87,H87))</f>
        <v>1</v>
      </c>
      <c r="D87" s="90" t="str">
        <f>IFERROR(VLOOKUP($A87,EntryList!$A$3:$N$596,2,FALSE),"")</f>
        <v>Gina Nixon</v>
      </c>
      <c r="E87" s="54">
        <f>IFERROR(VLOOKUP($A87,EntryList!$A$3:$V$596,19,FALSE),"")</f>
        <v>0</v>
      </c>
      <c r="F87" s="176">
        <f>IFERROR(VLOOKUP($A87,EntryList!$A$3:$V$596,18,FALSE),"")</f>
        <v>0</v>
      </c>
      <c r="G87" s="90" t="str">
        <f>IFERROR(VLOOKUP($A87,EntryList!$A$3:$N$596,6,FALSE),"")</f>
        <v>F</v>
      </c>
      <c r="H87" s="90" t="str">
        <f>IFERROR(VLOOKUP($A87,EntryList!$A$3:$N$596,7,FALSE),"")</f>
        <v>E-Bike F</v>
      </c>
      <c r="I87" s="54">
        <f>IFERROR(VLOOKUP($A87,SortedDownload!$A$3:$Z583,4,FALSE),"")</f>
        <v>5</v>
      </c>
      <c r="J87" s="59" t="str">
        <f>IFERROR(VLOOKUP($A87,SortedDownload!$A$3:$BB$499,23,FALSE),"")</f>
        <v>00:04:41.3 (99)</v>
      </c>
      <c r="K87" s="59" t="str">
        <f>IFERROR(VLOOKUP($A87,SortedDownload!$A$3:$BB$499,24,FALSE),"")</f>
        <v>00:04:16.5 (100)</v>
      </c>
      <c r="L87" s="59" t="str">
        <f>IFERROR(VLOOKUP($A87,SortedDownload!$A$3:$BB$499,25,FALSE),"")</f>
        <v>00:02:35.0 (134)</v>
      </c>
      <c r="M87" s="59" t="str">
        <f>IFERROR(VLOOKUP($A87,SortedDownload!$A$3:$BB$499,26,FALSE),"")</f>
        <v>00:04:53.0 (85)</v>
      </c>
      <c r="N87" s="59" t="str">
        <f>IFERROR(VLOOKUP($A87,SortedDownload!$A$3:$BB$499,27,FALSE),"")</f>
        <v>00:05:48.9 (107)</v>
      </c>
      <c r="O87" s="59" t="str">
        <f>IFERROR(VLOOKUP($A87,SortedDownload!$A$3:$BB$499,28,FALSE),"")</f>
        <v>DNS/DNF ()</v>
      </c>
      <c r="P87" s="59" t="str">
        <f>IFERROR(VLOOKUP($A87,SortedDownload!$A$3:$BB$499,29,FALSE),"")</f>
        <v>DNS/DNF ()</v>
      </c>
      <c r="Q87" s="59" t="str">
        <f>IFERROR(VLOOKUP($A87,SortedDownload!$A$3:$BB$499,30,FALSE),"")</f>
        <v>DNS/DNF ()</v>
      </c>
      <c r="R87" s="62" t="str">
        <f>IFERROR(TEXT(VLOOKUP($A87,SortedDownload!$A$3:$Z$499,14,FALSE),"[hh]:mm:ss.000"),"")</f>
        <v>00:22:14.711</v>
      </c>
      <c r="S87" s="83" t="str">
        <f t="shared" si="5"/>
        <v>00:08</v>
      </c>
      <c r="T87" s="83" t="str">
        <f t="shared" si="3"/>
        <v>05:25</v>
      </c>
      <c r="U87" s="9" t="str">
        <f t="shared" si="4"/>
        <v/>
      </c>
      <c r="V87" s="20" t="str">
        <f>IFERROR(IF(VLOOKUP(H87,AgeCategories!$D$3:$J$32,7,FALSE)=I87,"","DNF"),"")</f>
        <v/>
      </c>
      <c r="W87" s="9"/>
      <c r="X87" s="9"/>
    </row>
    <row r="88" spans="1:24">
      <c r="A88" s="53">
        <f>IF(SortedDownload!A88 &lt; 1,"",SortedDownload!A88)</f>
        <v>214</v>
      </c>
      <c r="B88" s="55">
        <f>IF(V88&lt;&gt;"","DNF",COUNTIF($V$3:V88,V88))</f>
        <v>86</v>
      </c>
      <c r="C88" s="54">
        <f>IF(OR(B88="DNF",H88=""),"DNF",COUNTIF($H$3:H88,H88))</f>
        <v>20</v>
      </c>
      <c r="D88" s="90" t="str">
        <f>IFERROR(VLOOKUP($A88,EntryList!$A$3:$N$596,2,FALSE),"")</f>
        <v>James Mccann</v>
      </c>
      <c r="E88" s="54">
        <f>IFERROR(VLOOKUP($A88,EntryList!$A$3:$V$596,19,FALSE),"")</f>
        <v>0</v>
      </c>
      <c r="F88" s="176">
        <f>IFERROR(VLOOKUP($A88,EntryList!$A$3:$V$596,18,FALSE),"")</f>
        <v>0</v>
      </c>
      <c r="G88" s="90" t="str">
        <f>IFERROR(VLOOKUP($A88,EntryList!$A$3:$N$596,6,FALSE),"")</f>
        <v>M</v>
      </c>
      <c r="H88" s="90" t="str">
        <f>IFERROR(VLOOKUP($A88,EntryList!$A$3:$N$596,7,FALSE),"")</f>
        <v>Youth Men</v>
      </c>
      <c r="I88" s="54">
        <f>IFERROR(VLOOKUP($A88,SortedDownload!$A$3:$Z584,4,FALSE),"")</f>
        <v>5</v>
      </c>
      <c r="J88" s="59" t="str">
        <f>IFERROR(VLOOKUP($A88,SortedDownload!$A$3:$BB$499,23,FALSE),"")</f>
        <v>00:04:18.8 (81)</v>
      </c>
      <c r="K88" s="59" t="str">
        <f>IFERROR(VLOOKUP($A88,SortedDownload!$A$3:$BB$499,24,FALSE),"")</f>
        <v>00:04:44.6 (182)</v>
      </c>
      <c r="L88" s="59" t="str">
        <f>IFERROR(VLOOKUP($A88,SortedDownload!$A$3:$BB$499,25,FALSE),"")</f>
        <v>00:02:28.1 (106)</v>
      </c>
      <c r="M88" s="59" t="str">
        <f>IFERROR(VLOOKUP($A88,SortedDownload!$A$3:$BB$499,26,FALSE),"")</f>
        <v>00:04:49.6 (82)</v>
      </c>
      <c r="N88" s="59" t="str">
        <f>IFERROR(VLOOKUP($A88,SortedDownload!$A$3:$BB$499,27,FALSE),"")</f>
        <v>00:05:57.1 (133)</v>
      </c>
      <c r="O88" s="59" t="str">
        <f>IFERROR(VLOOKUP($A88,SortedDownload!$A$3:$BB$499,28,FALSE),"")</f>
        <v>DNS/DNF ()</v>
      </c>
      <c r="P88" s="59" t="str">
        <f>IFERROR(VLOOKUP($A88,SortedDownload!$A$3:$BB$499,29,FALSE),"")</f>
        <v>DNS/DNF ()</v>
      </c>
      <c r="Q88" s="59" t="str">
        <f>IFERROR(VLOOKUP($A88,SortedDownload!$A$3:$BB$499,30,FALSE),"")</f>
        <v>DNS/DNF ()</v>
      </c>
      <c r="R88" s="62" t="str">
        <f>IFERROR(TEXT(VLOOKUP($A88,SortedDownload!$A$3:$Z$499,14,FALSE),"[hh]:mm:ss.000"),"")</f>
        <v>00:22:18.107</v>
      </c>
      <c r="S88" s="83" t="str">
        <f t="shared" si="5"/>
        <v>00:03</v>
      </c>
      <c r="T88" s="83" t="str">
        <f t="shared" si="3"/>
        <v>05:28</v>
      </c>
      <c r="U88" s="9" t="str">
        <f t="shared" si="4"/>
        <v/>
      </c>
      <c r="V88" s="20" t="str">
        <f>IFERROR(IF(VLOOKUP(H88,AgeCategories!$D$3:$J$32,7,FALSE)=I88,"","DNF"),"")</f>
        <v/>
      </c>
      <c r="W88" s="9"/>
      <c r="X88" s="9"/>
    </row>
    <row r="89" spans="1:24">
      <c r="A89" s="53">
        <f>IF(SortedDownload!A89 &lt; 1,"",SortedDownload!A89)</f>
        <v>123</v>
      </c>
      <c r="B89" s="55">
        <f>IF(V89&lt;&gt;"","DNF",COUNTIF($V$3:V89,V89))</f>
        <v>87</v>
      </c>
      <c r="C89" s="54">
        <f>IF(OR(B89="DNF",H89=""),"DNF",COUNTIF($H$3:H89,H89))</f>
        <v>21</v>
      </c>
      <c r="D89" s="90" t="str">
        <f>IFERROR(VLOOKUP($A89,EntryList!$A$3:$N$596,2,FALSE),"")</f>
        <v>Dane Clifton</v>
      </c>
      <c r="E89" s="54">
        <f>IFERROR(VLOOKUP($A89,EntryList!$A$3:$V$596,19,FALSE),"")</f>
        <v>0</v>
      </c>
      <c r="F89" s="176">
        <f>IFERROR(VLOOKUP($A89,EntryList!$A$3:$V$596,18,FALSE),"")</f>
        <v>0</v>
      </c>
      <c r="G89" s="90" t="str">
        <f>IFERROR(VLOOKUP($A89,EntryList!$A$3:$N$596,6,FALSE),"")</f>
        <v>M</v>
      </c>
      <c r="H89" s="90" t="str">
        <f>IFERROR(VLOOKUP($A89,EntryList!$A$3:$N$596,7,FALSE),"")</f>
        <v>Master Men</v>
      </c>
      <c r="I89" s="54">
        <f>IFERROR(VLOOKUP($A89,SortedDownload!$A$3:$Z585,4,FALSE),"")</f>
        <v>5</v>
      </c>
      <c r="J89" s="59" t="str">
        <f>IFERROR(VLOOKUP($A89,SortedDownload!$A$3:$BB$499,23,FALSE),"")</f>
        <v>00:04:16.9 (79)</v>
      </c>
      <c r="K89" s="59" t="str">
        <f>IFERROR(VLOOKUP($A89,SortedDownload!$A$3:$BB$499,24,FALSE),"")</f>
        <v>00:04:26.9 (128)</v>
      </c>
      <c r="L89" s="59" t="str">
        <f>IFERROR(VLOOKUP($A89,SortedDownload!$A$3:$BB$499,25,FALSE),"")</f>
        <v>00:02:23.1 (86)</v>
      </c>
      <c r="M89" s="59" t="str">
        <f>IFERROR(VLOOKUP($A89,SortedDownload!$A$3:$BB$499,26,FALSE),"")</f>
        <v>00:05:21.0 (116)</v>
      </c>
      <c r="N89" s="59" t="str">
        <f>IFERROR(VLOOKUP($A89,SortedDownload!$A$3:$BB$499,27,FALSE),"")</f>
        <v>00:05:52.2 (116)</v>
      </c>
      <c r="O89" s="59" t="str">
        <f>IFERROR(VLOOKUP($A89,SortedDownload!$A$3:$BB$499,28,FALSE),"")</f>
        <v>DNS/DNF ()</v>
      </c>
      <c r="P89" s="59" t="str">
        <f>IFERROR(VLOOKUP($A89,SortedDownload!$A$3:$BB$499,29,FALSE),"")</f>
        <v>DNS/DNF ()</v>
      </c>
      <c r="Q89" s="59" t="str">
        <f>IFERROR(VLOOKUP($A89,SortedDownload!$A$3:$BB$499,30,FALSE),"")</f>
        <v>DNS/DNF ()</v>
      </c>
      <c r="R89" s="62" t="str">
        <f>IFERROR(TEXT(VLOOKUP($A89,SortedDownload!$A$3:$Z$499,14,FALSE),"[hh]:mm:ss.000"),"")</f>
        <v>00:22:20.199</v>
      </c>
      <c r="S89" s="83" t="str">
        <f t="shared" si="5"/>
        <v>00:02</v>
      </c>
      <c r="T89" s="83" t="str">
        <f t="shared" si="3"/>
        <v>05:30</v>
      </c>
      <c r="U89" s="9" t="str">
        <f t="shared" si="4"/>
        <v/>
      </c>
      <c r="V89" s="20" t="str">
        <f>IFERROR(IF(VLOOKUP(H89,AgeCategories!$D$3:$J$32,7,FALSE)=I89,"","DNF"),"")</f>
        <v/>
      </c>
      <c r="W89" s="9"/>
      <c r="X89" s="9"/>
    </row>
    <row r="90" spans="1:24">
      <c r="A90" s="53">
        <f>IF(SortedDownload!A90 &lt; 1,"",SortedDownload!A90)</f>
        <v>235</v>
      </c>
      <c r="B90" s="55">
        <f>IF(V90&lt;&gt;"","DNF",COUNTIF($V$3:V90,V90))</f>
        <v>88</v>
      </c>
      <c r="C90" s="54">
        <f>IF(OR(B90="DNF",H90=""),"DNF",COUNTIF($H$3:H90,H90))</f>
        <v>24</v>
      </c>
      <c r="D90" s="90" t="str">
        <f>IFERROR(VLOOKUP($A90,EntryList!$A$3:$N$596,2,FALSE),"")</f>
        <v>Bjorn Train</v>
      </c>
      <c r="E90" s="54">
        <f>IFERROR(VLOOKUP($A90,EntryList!$A$3:$V$596,19,FALSE),"")</f>
        <v>0</v>
      </c>
      <c r="F90" s="176">
        <f>IFERROR(VLOOKUP($A90,EntryList!$A$3:$V$596,18,FALSE),"")</f>
        <v>0</v>
      </c>
      <c r="G90" s="90" t="str">
        <f>IFERROR(VLOOKUP($A90,EntryList!$A$3:$N$596,6,FALSE),"")</f>
        <v>M</v>
      </c>
      <c r="H90" s="90" t="str">
        <f>IFERROR(VLOOKUP($A90,EntryList!$A$3:$N$596,7,FALSE),"")</f>
        <v>Elite Men</v>
      </c>
      <c r="I90" s="54">
        <f>IFERROR(VLOOKUP($A90,SortedDownload!$A$3:$Z586,4,FALSE),"")</f>
        <v>5</v>
      </c>
      <c r="J90" s="59" t="str">
        <f>IFERROR(VLOOKUP($A90,SortedDownload!$A$3:$BB$499,23,FALSE),"")</f>
        <v>00:05:00.2 (109)</v>
      </c>
      <c r="K90" s="59" t="str">
        <f>IFERROR(VLOOKUP($A90,SortedDownload!$A$3:$BB$499,24,FALSE),"")</f>
        <v>00:04:23.6 (118)</v>
      </c>
      <c r="L90" s="59" t="str">
        <f>IFERROR(VLOOKUP($A90,SortedDownload!$A$3:$BB$499,25,FALSE),"")</f>
        <v>00:02:24.9 (91)</v>
      </c>
      <c r="M90" s="59" t="str">
        <f>IFERROR(VLOOKUP($A90,SortedDownload!$A$3:$BB$499,26,FALSE),"")</f>
        <v>00:04:48.1 (79)</v>
      </c>
      <c r="N90" s="59" t="str">
        <f>IFERROR(VLOOKUP($A90,SortedDownload!$A$3:$BB$499,27,FALSE),"")</f>
        <v>00:05:48.8 (105)</v>
      </c>
      <c r="O90" s="59" t="str">
        <f>IFERROR(VLOOKUP($A90,SortedDownload!$A$3:$BB$499,28,FALSE),"")</f>
        <v>DNS/DNF ()</v>
      </c>
      <c r="P90" s="59" t="str">
        <f>IFERROR(VLOOKUP($A90,SortedDownload!$A$3:$BB$499,29,FALSE),"")</f>
        <v>DNS/DNF ()</v>
      </c>
      <c r="Q90" s="59" t="str">
        <f>IFERROR(VLOOKUP($A90,SortedDownload!$A$3:$BB$499,30,FALSE),"")</f>
        <v>DNS/DNF ()</v>
      </c>
      <c r="R90" s="62" t="str">
        <f>IFERROR(TEXT(VLOOKUP($A90,SortedDownload!$A$3:$Z$499,14,FALSE),"[hh]:mm:ss.000"),"")</f>
        <v>00:22:25.555</v>
      </c>
      <c r="S90" s="83" t="str">
        <f t="shared" si="5"/>
        <v>00:05</v>
      </c>
      <c r="T90" s="83" t="str">
        <f t="shared" si="3"/>
        <v>05:36</v>
      </c>
      <c r="U90" s="9" t="str">
        <f t="shared" si="4"/>
        <v/>
      </c>
      <c r="V90" s="20" t="str">
        <f>IFERROR(IF(VLOOKUP(H90,AgeCategories!$D$3:$J$32,7,FALSE)=I90,"","DNF"),"")</f>
        <v/>
      </c>
      <c r="W90" s="9"/>
      <c r="X90" s="9"/>
    </row>
    <row r="91" spans="1:24">
      <c r="A91" s="53">
        <f>IF(SortedDownload!A91 &lt; 1,"",SortedDownload!A91)</f>
        <v>231</v>
      </c>
      <c r="B91" s="55">
        <f>IF(V91&lt;&gt;"","DNF",COUNTIF($V$3:V91,V91))</f>
        <v>89</v>
      </c>
      <c r="C91" s="54">
        <f>IF(OR(B91="DNF",H91=""),"DNF",COUNTIF($H$3:H91,H91))</f>
        <v>21</v>
      </c>
      <c r="D91" s="90" t="str">
        <f>IFERROR(VLOOKUP($A91,EntryList!$A$3:$N$596,2,FALSE),"")</f>
        <v>Adriaan De Waard</v>
      </c>
      <c r="E91" s="54">
        <f>IFERROR(VLOOKUP($A91,EntryList!$A$3:$V$596,19,FALSE),"")</f>
        <v>0</v>
      </c>
      <c r="F91" s="176">
        <f>IFERROR(VLOOKUP($A91,EntryList!$A$3:$V$596,18,FALSE),"")</f>
        <v>0</v>
      </c>
      <c r="G91" s="90" t="str">
        <f>IFERROR(VLOOKUP($A91,EntryList!$A$3:$N$596,6,FALSE),"")</f>
        <v>M</v>
      </c>
      <c r="H91" s="90" t="str">
        <f>IFERROR(VLOOKUP($A91,EntryList!$A$3:$N$596,7,FALSE),"")</f>
        <v>Youth Men</v>
      </c>
      <c r="I91" s="54">
        <f>IFERROR(VLOOKUP($A91,SortedDownload!$A$3:$Z587,4,FALSE),"")</f>
        <v>5</v>
      </c>
      <c r="J91" s="59" t="str">
        <f>IFERROR(VLOOKUP($A91,SortedDownload!$A$3:$BB$499,23,FALSE),"")</f>
        <v>00:04:13.1 (74)</v>
      </c>
      <c r="K91" s="59" t="str">
        <f>IFERROR(VLOOKUP($A91,SortedDownload!$A$3:$BB$499,24,FALSE),"")</f>
        <v>00:04:24.5 (119)</v>
      </c>
      <c r="L91" s="59" t="str">
        <f>IFERROR(VLOOKUP($A91,SortedDownload!$A$3:$BB$499,25,FALSE),"")</f>
        <v>00:02:28.0 (105)</v>
      </c>
      <c r="M91" s="59" t="str">
        <f>IFERROR(VLOOKUP($A91,SortedDownload!$A$3:$BB$499,26,FALSE),"")</f>
        <v>00:05:12.6 (109)</v>
      </c>
      <c r="N91" s="59" t="str">
        <f>IFERROR(VLOOKUP($A91,SortedDownload!$A$3:$BB$499,27,FALSE),"")</f>
        <v>00:06:08.8 (159)</v>
      </c>
      <c r="O91" s="59" t="str">
        <f>IFERROR(VLOOKUP($A91,SortedDownload!$A$3:$BB$499,28,FALSE),"")</f>
        <v>DNS/DNF ()</v>
      </c>
      <c r="P91" s="59" t="str">
        <f>IFERROR(VLOOKUP($A91,SortedDownload!$A$3:$BB$499,29,FALSE),"")</f>
        <v>DNS/DNF ()</v>
      </c>
      <c r="Q91" s="59" t="str">
        <f>IFERROR(VLOOKUP($A91,SortedDownload!$A$3:$BB$499,30,FALSE),"")</f>
        <v>DNS/DNF ()</v>
      </c>
      <c r="R91" s="62" t="str">
        <f>IFERROR(TEXT(VLOOKUP($A91,SortedDownload!$A$3:$Z$499,14,FALSE),"[hh]:mm:ss.000"),"")</f>
        <v>00:22:27.065</v>
      </c>
      <c r="S91" s="83" t="str">
        <f t="shared" si="5"/>
        <v>00:02</v>
      </c>
      <c r="T91" s="83" t="str">
        <f t="shared" si="3"/>
        <v>05:37</v>
      </c>
      <c r="U91" s="9" t="str">
        <f t="shared" si="4"/>
        <v/>
      </c>
      <c r="V91" s="20" t="str">
        <f>IFERROR(IF(VLOOKUP(H91,AgeCategories!$D$3:$J$32,7,FALSE)=I91,"","DNF"),"")</f>
        <v/>
      </c>
      <c r="W91" s="9"/>
      <c r="X91" s="9"/>
    </row>
    <row r="92" spans="1:24">
      <c r="A92" s="53">
        <f>IF(SortedDownload!A92 &lt; 1,"",SortedDownload!A92)</f>
        <v>62</v>
      </c>
      <c r="B92" s="55">
        <f>IF(V92&lt;&gt;"","DNF",COUNTIF($V$3:V92,V92))</f>
        <v>90</v>
      </c>
      <c r="C92" s="54">
        <f>IF(OR(B92="DNF",H92=""),"DNF",COUNTIF($H$3:H92,H92))</f>
        <v>11</v>
      </c>
      <c r="D92" s="90" t="str">
        <f>IFERROR(VLOOKUP($A92,EntryList!$A$3:$N$596,2,FALSE),"")</f>
        <v>Brett Wienburg</v>
      </c>
      <c r="E92" s="54">
        <f>IFERROR(VLOOKUP($A92,EntryList!$A$3:$V$596,19,FALSE),"")</f>
        <v>0</v>
      </c>
      <c r="F92" s="176">
        <f>IFERROR(VLOOKUP($A92,EntryList!$A$3:$V$596,18,FALSE),"")</f>
        <v>0</v>
      </c>
      <c r="G92" s="90" t="str">
        <f>IFERROR(VLOOKUP($A92,EntryList!$A$3:$N$596,6,FALSE),"")</f>
        <v>M</v>
      </c>
      <c r="H92" s="90" t="str">
        <f>IFERROR(VLOOKUP($A92,EntryList!$A$3:$N$596,7,FALSE),"")</f>
        <v>E-Bike M</v>
      </c>
      <c r="I92" s="54">
        <f>IFERROR(VLOOKUP($A92,SortedDownload!$A$3:$Z588,4,FALSE),"")</f>
        <v>5</v>
      </c>
      <c r="J92" s="59" t="str">
        <f>IFERROR(VLOOKUP($A92,SortedDownload!$A$3:$BB$499,23,FALSE),"")</f>
        <v>00:04:31.6 (89)</v>
      </c>
      <c r="K92" s="59" t="str">
        <f>IFERROR(VLOOKUP($A92,SortedDownload!$A$3:$BB$499,24,FALSE),"")</f>
        <v>00:04:16.6 (101)</v>
      </c>
      <c r="L92" s="59" t="str">
        <f>IFERROR(VLOOKUP($A92,SortedDownload!$A$3:$BB$499,25,FALSE),"")</f>
        <v>00:02:34.8 (132)</v>
      </c>
      <c r="M92" s="59" t="str">
        <f>IFERROR(VLOOKUP($A92,SortedDownload!$A$3:$BB$499,26,FALSE),"")</f>
        <v>00:05:18.8 (113)</v>
      </c>
      <c r="N92" s="59" t="str">
        <f>IFERROR(VLOOKUP($A92,SortedDownload!$A$3:$BB$499,27,FALSE),"")</f>
        <v>00:05:48.1 (102)</v>
      </c>
      <c r="O92" s="59" t="str">
        <f>IFERROR(VLOOKUP($A92,SortedDownload!$A$3:$BB$499,28,FALSE),"")</f>
        <v>DNS/DNF ()</v>
      </c>
      <c r="P92" s="59" t="str">
        <f>IFERROR(VLOOKUP($A92,SortedDownload!$A$3:$BB$499,29,FALSE),"")</f>
        <v>DNS/DNF ()</v>
      </c>
      <c r="Q92" s="59" t="str">
        <f>IFERROR(VLOOKUP($A92,SortedDownload!$A$3:$BB$499,30,FALSE),"")</f>
        <v>DNS/DNF ()</v>
      </c>
      <c r="R92" s="62" t="str">
        <f>IFERROR(TEXT(VLOOKUP($A92,SortedDownload!$A$3:$Z$499,14,FALSE),"[hh]:mm:ss.000"),"")</f>
        <v>00:22:29.868</v>
      </c>
      <c r="S92" s="83" t="str">
        <f t="shared" si="5"/>
        <v>00:03</v>
      </c>
      <c r="T92" s="83" t="str">
        <f t="shared" si="3"/>
        <v>05:40</v>
      </c>
      <c r="U92" s="9" t="str">
        <f t="shared" si="4"/>
        <v/>
      </c>
      <c r="V92" s="20" t="str">
        <f>IFERROR(IF(VLOOKUP(H92,AgeCategories!$D$3:$J$32,7,FALSE)=I92,"","DNF"),"")</f>
        <v/>
      </c>
      <c r="W92" s="9"/>
      <c r="X92" s="9"/>
    </row>
    <row r="93" spans="1:24">
      <c r="A93" s="53">
        <f>IF(SortedDownload!A93 &lt; 1,"",SortedDownload!A93)</f>
        <v>86</v>
      </c>
      <c r="B93" s="55">
        <f>IF(V93&lt;&gt;"","DNF",COUNTIF($V$3:V93,V93))</f>
        <v>91</v>
      </c>
      <c r="C93" s="54">
        <f>IF(OR(B93="DNF",H93=""),"DNF",COUNTIF($H$3:H93,H93))</f>
        <v>22</v>
      </c>
      <c r="D93" s="90" t="str">
        <f>IFERROR(VLOOKUP($A93,EntryList!$A$3:$N$596,2,FALSE),"")</f>
        <v>Julian Burke</v>
      </c>
      <c r="E93" s="54">
        <f>IFERROR(VLOOKUP($A93,EntryList!$A$3:$V$596,19,FALSE),"")</f>
        <v>0</v>
      </c>
      <c r="F93" s="176">
        <f>IFERROR(VLOOKUP($A93,EntryList!$A$3:$V$596,18,FALSE),"")</f>
        <v>0</v>
      </c>
      <c r="G93" s="90" t="str">
        <f>IFERROR(VLOOKUP($A93,EntryList!$A$3:$N$596,6,FALSE),"")</f>
        <v>M</v>
      </c>
      <c r="H93" s="90" t="str">
        <f>IFERROR(VLOOKUP($A93,EntryList!$A$3:$N$596,7,FALSE),"")</f>
        <v>Master Men</v>
      </c>
      <c r="I93" s="54">
        <f>IFERROR(VLOOKUP($A93,SortedDownload!$A$3:$Z589,4,FALSE),"")</f>
        <v>5</v>
      </c>
      <c r="J93" s="59" t="str">
        <f>IFERROR(VLOOKUP($A93,SortedDownload!$A$3:$BB$499,23,FALSE),"")</f>
        <v>00:04:35.3 (91)</v>
      </c>
      <c r="K93" s="59" t="str">
        <f>IFERROR(VLOOKUP($A93,SortedDownload!$A$3:$BB$499,24,FALSE),"")</f>
        <v>00:04:25.9 (123)</v>
      </c>
      <c r="L93" s="59" t="str">
        <f>IFERROR(VLOOKUP($A93,SortedDownload!$A$3:$BB$499,25,FALSE),"")</f>
        <v>00:02:40.3 (154)</v>
      </c>
      <c r="M93" s="59" t="str">
        <f>IFERROR(VLOOKUP($A93,SortedDownload!$A$3:$BB$499,26,FALSE),"")</f>
        <v>00:04:55.6 (90)</v>
      </c>
      <c r="N93" s="59" t="str">
        <f>IFERROR(VLOOKUP($A93,SortedDownload!$A$3:$BB$499,27,FALSE),"")</f>
        <v>00:05:53.4 (121)</v>
      </c>
      <c r="O93" s="59" t="str">
        <f>IFERROR(VLOOKUP($A93,SortedDownload!$A$3:$BB$499,28,FALSE),"")</f>
        <v>DNS/DNF ()</v>
      </c>
      <c r="P93" s="59" t="str">
        <f>IFERROR(VLOOKUP($A93,SortedDownload!$A$3:$BB$499,29,FALSE),"")</f>
        <v>DNS/DNF ()</v>
      </c>
      <c r="Q93" s="59" t="str">
        <f>IFERROR(VLOOKUP($A93,SortedDownload!$A$3:$BB$499,30,FALSE),"")</f>
        <v>DNS/DNF ()</v>
      </c>
      <c r="R93" s="62" t="str">
        <f>IFERROR(TEXT(VLOOKUP($A93,SortedDownload!$A$3:$Z$499,14,FALSE),"[hh]:mm:ss.000"),"")</f>
        <v>00:22:30.590</v>
      </c>
      <c r="S93" s="83" t="str">
        <f t="shared" si="5"/>
        <v>00:01</v>
      </c>
      <c r="T93" s="83" t="str">
        <f t="shared" si="3"/>
        <v>05:41</v>
      </c>
      <c r="U93" s="9" t="str">
        <f t="shared" si="4"/>
        <v/>
      </c>
      <c r="V93" s="20" t="str">
        <f>IFERROR(IF(VLOOKUP(H93,AgeCategories!$D$3:$J$32,7,FALSE)=I93,"","DNF"),"")</f>
        <v/>
      </c>
      <c r="W93" s="9"/>
      <c r="X93" s="9"/>
    </row>
    <row r="94" spans="1:24">
      <c r="A94" s="53">
        <f>IF(SortedDownload!A94 &lt; 1,"",SortedDownload!A94)</f>
        <v>40</v>
      </c>
      <c r="B94" s="55">
        <f>IF(V94&lt;&gt;"","DNF",COUNTIF($V$3:V94,V94))</f>
        <v>92</v>
      </c>
      <c r="C94" s="54">
        <f>IF(OR(B94="DNF",H94=""),"DNF",COUNTIF($H$3:H94,H94))</f>
        <v>23</v>
      </c>
      <c r="D94" s="90" t="str">
        <f>IFERROR(VLOOKUP($A94,EntryList!$A$3:$N$596,2,FALSE),"")</f>
        <v>Eugene Elliott</v>
      </c>
      <c r="E94" s="54">
        <f>IFERROR(VLOOKUP($A94,EntryList!$A$3:$V$596,19,FALSE),"")</f>
        <v>0</v>
      </c>
      <c r="F94" s="176">
        <f>IFERROR(VLOOKUP($A94,EntryList!$A$3:$V$596,18,FALSE),"")</f>
        <v>0</v>
      </c>
      <c r="G94" s="90" t="str">
        <f>IFERROR(VLOOKUP($A94,EntryList!$A$3:$N$596,6,FALSE),"")</f>
        <v>M</v>
      </c>
      <c r="H94" s="90" t="str">
        <f>IFERROR(VLOOKUP($A94,EntryList!$A$3:$N$596,7,FALSE),"")</f>
        <v>Master Men</v>
      </c>
      <c r="I94" s="54">
        <f>IFERROR(VLOOKUP($A94,SortedDownload!$A$3:$Z590,4,FALSE),"")</f>
        <v>5</v>
      </c>
      <c r="J94" s="59" t="str">
        <f>IFERROR(VLOOKUP($A94,SortedDownload!$A$3:$BB$499,23,FALSE),"")</f>
        <v>00:04:49.1 (104)</v>
      </c>
      <c r="K94" s="59" t="str">
        <f>IFERROR(VLOOKUP($A94,SortedDownload!$A$3:$BB$499,24,FALSE),"")</f>
        <v>00:04:28.9 (135)</v>
      </c>
      <c r="L94" s="59" t="str">
        <f>IFERROR(VLOOKUP($A94,SortedDownload!$A$3:$BB$499,25,FALSE),"")</f>
        <v>00:02:34.2 (128)</v>
      </c>
      <c r="M94" s="59" t="str">
        <f>IFERROR(VLOOKUP($A94,SortedDownload!$A$3:$BB$499,26,FALSE),"")</f>
        <v>00:04:56.4 (91)</v>
      </c>
      <c r="N94" s="59" t="str">
        <f>IFERROR(VLOOKUP($A94,SortedDownload!$A$3:$BB$499,27,FALSE),"")</f>
        <v>00:05:44.3 (97)</v>
      </c>
      <c r="O94" s="59" t="str">
        <f>IFERROR(VLOOKUP($A94,SortedDownload!$A$3:$BB$499,28,FALSE),"")</f>
        <v>DNS/DNF ()</v>
      </c>
      <c r="P94" s="59" t="str">
        <f>IFERROR(VLOOKUP($A94,SortedDownload!$A$3:$BB$499,29,FALSE),"")</f>
        <v>DNS/DNF ()</v>
      </c>
      <c r="Q94" s="59" t="str">
        <f>IFERROR(VLOOKUP($A94,SortedDownload!$A$3:$BB$499,30,FALSE),"")</f>
        <v>DNS/DNF ()</v>
      </c>
      <c r="R94" s="62" t="str">
        <f>IFERROR(TEXT(VLOOKUP($A94,SortedDownload!$A$3:$Z$499,14,FALSE),"[hh]:mm:ss.000"),"")</f>
        <v>00:22:32.836</v>
      </c>
      <c r="S94" s="83" t="str">
        <f t="shared" si="5"/>
        <v>00:02</v>
      </c>
      <c r="T94" s="83" t="str">
        <f t="shared" si="3"/>
        <v>05:43</v>
      </c>
      <c r="U94" s="9" t="str">
        <f t="shared" si="4"/>
        <v/>
      </c>
      <c r="V94" s="20" t="str">
        <f>IFERROR(IF(VLOOKUP(H94,AgeCategories!$D$3:$J$32,7,FALSE)=I94,"","DNF"),"")</f>
        <v/>
      </c>
      <c r="W94" s="9"/>
      <c r="X94" s="9"/>
    </row>
    <row r="95" spans="1:24">
      <c r="A95" s="53">
        <f>IF(SortedDownload!A95 &lt; 1,"",SortedDownload!A95)</f>
        <v>129</v>
      </c>
      <c r="B95" s="55">
        <f>IF(V95&lt;&gt;"","DNF",COUNTIF($V$3:V95,V95))</f>
        <v>93</v>
      </c>
      <c r="C95" s="54">
        <f>IF(OR(B95="DNF",H95=""),"DNF",COUNTIF($H$3:H95,H95))</f>
        <v>22</v>
      </c>
      <c r="D95" s="90" t="str">
        <f>IFERROR(VLOOKUP($A95,EntryList!$A$3:$N$596,2,FALSE),"")</f>
        <v>Evan Lategan</v>
      </c>
      <c r="E95" s="54">
        <f>IFERROR(VLOOKUP($A95,EntryList!$A$3:$V$596,19,FALSE),"")</f>
        <v>0</v>
      </c>
      <c r="F95" s="176">
        <f>IFERROR(VLOOKUP($A95,EntryList!$A$3:$V$596,18,FALSE),"")</f>
        <v>0</v>
      </c>
      <c r="G95" s="90" t="str">
        <f>IFERROR(VLOOKUP($A95,EntryList!$A$3:$N$596,6,FALSE),"")</f>
        <v>M</v>
      </c>
      <c r="H95" s="90" t="str">
        <f>IFERROR(VLOOKUP($A95,EntryList!$A$3:$N$596,7,FALSE),"")</f>
        <v>Youth Men</v>
      </c>
      <c r="I95" s="54">
        <f>IFERROR(VLOOKUP($A95,SortedDownload!$A$3:$Z591,4,FALSE),"")</f>
        <v>5</v>
      </c>
      <c r="J95" s="59" t="str">
        <f>IFERROR(VLOOKUP($A95,SortedDownload!$A$3:$BB$499,23,FALSE),"")</f>
        <v>00:04:29.3 (87)</v>
      </c>
      <c r="K95" s="59" t="str">
        <f>IFERROR(VLOOKUP($A95,SortedDownload!$A$3:$BB$499,24,FALSE),"")</f>
        <v>00:04:38.0 (164)</v>
      </c>
      <c r="L95" s="59" t="str">
        <f>IFERROR(VLOOKUP($A95,SortedDownload!$A$3:$BB$499,25,FALSE),"")</f>
        <v>00:02:32.6 (122)</v>
      </c>
      <c r="M95" s="59" t="str">
        <f>IFERROR(VLOOKUP($A95,SortedDownload!$A$3:$BB$499,26,FALSE),"")</f>
        <v>00:05:01.4 (97)</v>
      </c>
      <c r="N95" s="59" t="str">
        <f>IFERROR(VLOOKUP($A95,SortedDownload!$A$3:$BB$499,27,FALSE),"")</f>
        <v>00:05:53.1 (118)</v>
      </c>
      <c r="O95" s="59" t="str">
        <f>IFERROR(VLOOKUP($A95,SortedDownload!$A$3:$BB$499,28,FALSE),"")</f>
        <v>DNS/DNF ()</v>
      </c>
      <c r="P95" s="59" t="str">
        <f>IFERROR(VLOOKUP($A95,SortedDownload!$A$3:$BB$499,29,FALSE),"")</f>
        <v>DNS/DNF ()</v>
      </c>
      <c r="Q95" s="59" t="str">
        <f>IFERROR(VLOOKUP($A95,SortedDownload!$A$3:$BB$499,30,FALSE),"")</f>
        <v>DNS/DNF ()</v>
      </c>
      <c r="R95" s="62" t="str">
        <f>IFERROR(TEXT(VLOOKUP($A95,SortedDownload!$A$3:$Z$499,14,FALSE),"[hh]:mm:ss.000"),"")</f>
        <v>00:22:34.405</v>
      </c>
      <c r="S95" s="83" t="str">
        <f t="shared" si="5"/>
        <v>00:02</v>
      </c>
      <c r="T95" s="83" t="str">
        <f t="shared" si="3"/>
        <v>05:44</v>
      </c>
      <c r="U95" s="9" t="str">
        <f t="shared" si="4"/>
        <v/>
      </c>
      <c r="V95" s="20" t="str">
        <f>IFERROR(IF(VLOOKUP(H95,AgeCategories!$D$3:$J$32,7,FALSE)=I95,"","DNF"),"")</f>
        <v/>
      </c>
      <c r="W95" s="9"/>
      <c r="X95" s="9"/>
    </row>
    <row r="96" spans="1:24">
      <c r="A96" s="53">
        <f>IF(SortedDownload!A96 &lt; 1,"",SortedDownload!A96)</f>
        <v>54</v>
      </c>
      <c r="B96" s="55">
        <f>IF(V96&lt;&gt;"","DNF",COUNTIF($V$3:V96,V96))</f>
        <v>94</v>
      </c>
      <c r="C96" s="54">
        <f>IF(OR(B96="DNF",H96=""),"DNF",COUNTIF($H$3:H96,H96))</f>
        <v>24</v>
      </c>
      <c r="D96" s="90" t="str">
        <f>IFERROR(VLOOKUP($A96,EntryList!$A$3:$N$596,2,FALSE),"")</f>
        <v>Warren Galley</v>
      </c>
      <c r="E96" s="54">
        <f>IFERROR(VLOOKUP($A96,EntryList!$A$3:$V$596,19,FALSE),"")</f>
        <v>0</v>
      </c>
      <c r="F96" s="176">
        <f>IFERROR(VLOOKUP($A96,EntryList!$A$3:$V$596,18,FALSE),"")</f>
        <v>0</v>
      </c>
      <c r="G96" s="90" t="str">
        <f>IFERROR(VLOOKUP($A96,EntryList!$A$3:$N$596,6,FALSE),"")</f>
        <v>M</v>
      </c>
      <c r="H96" s="90" t="str">
        <f>IFERROR(VLOOKUP($A96,EntryList!$A$3:$N$596,7,FALSE),"")</f>
        <v>Master Men</v>
      </c>
      <c r="I96" s="54">
        <f>IFERROR(VLOOKUP($A96,SortedDownload!$A$3:$Z592,4,FALSE),"")</f>
        <v>5</v>
      </c>
      <c r="J96" s="59" t="str">
        <f>IFERROR(VLOOKUP($A96,SortedDownload!$A$3:$BB$499,23,FALSE),"")</f>
        <v>00:04:48.9 (103)</v>
      </c>
      <c r="K96" s="59" t="str">
        <f>IFERROR(VLOOKUP($A96,SortedDownload!$A$3:$BB$499,24,FALSE),"")</f>
        <v>00:04:19.0 (107)</v>
      </c>
      <c r="L96" s="59" t="str">
        <f>IFERROR(VLOOKUP($A96,SortedDownload!$A$3:$BB$499,25,FALSE),"")</f>
        <v>00:02:32.6 (123)</v>
      </c>
      <c r="M96" s="59" t="str">
        <f>IFERROR(VLOOKUP($A96,SortedDownload!$A$3:$BB$499,26,FALSE),"")</f>
        <v>00:05:03.0 (99)</v>
      </c>
      <c r="N96" s="59" t="str">
        <f>IFERROR(VLOOKUP($A96,SortedDownload!$A$3:$BB$499,27,FALSE),"")</f>
        <v>00:05:56.5 (130)</v>
      </c>
      <c r="O96" s="59" t="str">
        <f>IFERROR(VLOOKUP($A96,SortedDownload!$A$3:$BB$499,28,FALSE),"")</f>
        <v>DNS/DNF ()</v>
      </c>
      <c r="P96" s="59" t="str">
        <f>IFERROR(VLOOKUP($A96,SortedDownload!$A$3:$BB$499,29,FALSE),"")</f>
        <v>DNS/DNF ()</v>
      </c>
      <c r="Q96" s="59" t="str">
        <f>IFERROR(VLOOKUP($A96,SortedDownload!$A$3:$BB$499,30,FALSE),"")</f>
        <v>DNS/DNF ()</v>
      </c>
      <c r="R96" s="62" t="str">
        <f>IFERROR(TEXT(VLOOKUP($A96,SortedDownload!$A$3:$Z$499,14,FALSE),"[hh]:mm:ss.000"),"")</f>
        <v>00:22:39.970</v>
      </c>
      <c r="S96" s="83" t="str">
        <f t="shared" si="5"/>
        <v>00:06</v>
      </c>
      <c r="T96" s="83" t="str">
        <f t="shared" si="3"/>
        <v>05:50</v>
      </c>
      <c r="U96" s="9" t="str">
        <f t="shared" si="4"/>
        <v/>
      </c>
      <c r="V96" s="20" t="str">
        <f>IFERROR(IF(VLOOKUP(H96,AgeCategories!$D$3:$J$32,7,FALSE)=I96,"","DNF"),"")</f>
        <v/>
      </c>
      <c r="W96" s="9"/>
      <c r="X96" s="9"/>
    </row>
    <row r="97" spans="1:24">
      <c r="A97" s="53">
        <f>IF(SortedDownload!A97 &lt; 1,"",SortedDownload!A97)</f>
        <v>140</v>
      </c>
      <c r="B97" s="55">
        <f>IF(V97&lt;&gt;"","DNF",COUNTIF($V$3:V97,V97))</f>
        <v>95</v>
      </c>
      <c r="C97" s="54">
        <f>IF(OR(B97="DNF",H97=""),"DNF",COUNTIF($H$3:H97,H97))</f>
        <v>11</v>
      </c>
      <c r="D97" s="90" t="str">
        <f>IFERROR(VLOOKUP($A97,EntryList!$A$3:$N$596,2,FALSE),"")</f>
        <v>Gavin Dingley</v>
      </c>
      <c r="E97" s="54">
        <f>IFERROR(VLOOKUP($A97,EntryList!$A$3:$V$596,19,FALSE),"")</f>
        <v>0</v>
      </c>
      <c r="F97" s="176">
        <f>IFERROR(VLOOKUP($A97,EntryList!$A$3:$V$596,18,FALSE),"")</f>
        <v>0</v>
      </c>
      <c r="G97" s="90" t="str">
        <f>IFERROR(VLOOKUP($A97,EntryList!$A$3:$N$596,6,FALSE),"")</f>
        <v>M</v>
      </c>
      <c r="H97" s="90" t="str">
        <f>IFERROR(VLOOKUP($A97,EntryList!$A$3:$N$596,7,FALSE),"")</f>
        <v>Junior Men</v>
      </c>
      <c r="I97" s="54">
        <f>IFERROR(VLOOKUP($A97,SortedDownload!$A$3:$Z593,4,FALSE),"")</f>
        <v>5</v>
      </c>
      <c r="J97" s="59" t="str">
        <f>IFERROR(VLOOKUP($A97,SortedDownload!$A$3:$BB$499,23,FALSE),"")</f>
        <v>00:05:44.7 (124)</v>
      </c>
      <c r="K97" s="59" t="str">
        <f>IFERROR(VLOOKUP($A97,SortedDownload!$A$3:$BB$499,24,FALSE),"")</f>
        <v>00:04:12.6 (92)</v>
      </c>
      <c r="L97" s="59" t="str">
        <f>IFERROR(VLOOKUP($A97,SortedDownload!$A$3:$BB$499,25,FALSE),"")</f>
        <v>00:02:23.7 (88)</v>
      </c>
      <c r="M97" s="59" t="str">
        <f>IFERROR(VLOOKUP($A97,SortedDownload!$A$3:$BB$499,26,FALSE),"")</f>
        <v>00:04:40.5 (77)</v>
      </c>
      <c r="N97" s="59" t="str">
        <f>IFERROR(VLOOKUP($A97,SortedDownload!$A$3:$BB$499,27,FALSE),"")</f>
        <v>00:05:44.3 (98)</v>
      </c>
      <c r="O97" s="59" t="str">
        <f>IFERROR(VLOOKUP($A97,SortedDownload!$A$3:$BB$499,28,FALSE),"")</f>
        <v>DNS/DNF ()</v>
      </c>
      <c r="P97" s="59" t="str">
        <f>IFERROR(VLOOKUP($A97,SortedDownload!$A$3:$BB$499,29,FALSE),"")</f>
        <v>DNS/DNF ()</v>
      </c>
      <c r="Q97" s="59" t="str">
        <f>IFERROR(VLOOKUP($A97,SortedDownload!$A$3:$BB$499,30,FALSE),"")</f>
        <v>DNS/DNF ()</v>
      </c>
      <c r="R97" s="62" t="str">
        <f>IFERROR(TEXT(VLOOKUP($A97,SortedDownload!$A$3:$Z$499,14,FALSE),"[hh]:mm:ss.000"),"")</f>
        <v>00:22:45.811</v>
      </c>
      <c r="S97" s="83" t="str">
        <f t="shared" si="5"/>
        <v>00:06</v>
      </c>
      <c r="T97" s="83" t="str">
        <f t="shared" si="3"/>
        <v>05:56</v>
      </c>
      <c r="U97" s="9" t="str">
        <f t="shared" si="4"/>
        <v/>
      </c>
      <c r="V97" s="20" t="str">
        <f>IFERROR(IF(VLOOKUP(H97,AgeCategories!$D$3:$J$32,7,FALSE)=I97,"","DNF"),"")</f>
        <v/>
      </c>
      <c r="W97" s="9"/>
      <c r="X97" s="9"/>
    </row>
    <row r="98" spans="1:24">
      <c r="A98" s="53">
        <f>IF(SortedDownload!A98 &lt; 1,"",SortedDownload!A98)</f>
        <v>283</v>
      </c>
      <c r="B98" s="55">
        <f>IF(V98&lt;&gt;"","DNF",COUNTIF($V$3:V98,V98))</f>
        <v>96</v>
      </c>
      <c r="C98" s="54">
        <f>IF(OR(B98="DNF",H98=""),"DNF",COUNTIF($H$3:H98,H98))</f>
        <v>25</v>
      </c>
      <c r="D98" s="90" t="str">
        <f>IFERROR(VLOOKUP($A98,EntryList!$A$3:$N$596,2,FALSE),"")</f>
        <v>Adrian Kritzinger</v>
      </c>
      <c r="E98" s="54">
        <f>IFERROR(VLOOKUP($A98,EntryList!$A$3:$V$596,19,FALSE),"")</f>
        <v>0</v>
      </c>
      <c r="F98" s="176">
        <f>IFERROR(VLOOKUP($A98,EntryList!$A$3:$V$596,18,FALSE),"")</f>
        <v>0</v>
      </c>
      <c r="G98" s="90" t="str">
        <f>IFERROR(VLOOKUP($A98,EntryList!$A$3:$N$596,6,FALSE),"")</f>
        <v>M</v>
      </c>
      <c r="H98" s="90" t="str">
        <f>IFERROR(VLOOKUP($A98,EntryList!$A$3:$N$596,7,FALSE),"")</f>
        <v>Master Men</v>
      </c>
      <c r="I98" s="54">
        <f>IFERROR(VLOOKUP($A98,SortedDownload!$A$3:$Z594,4,FALSE),"")</f>
        <v>5</v>
      </c>
      <c r="J98" s="59" t="str">
        <f>IFERROR(VLOOKUP($A98,SortedDownload!$A$3:$BB$499,23,FALSE),"")</f>
        <v>00:04:33.6 (90)</v>
      </c>
      <c r="K98" s="59" t="str">
        <f>IFERROR(VLOOKUP($A98,SortedDownload!$A$3:$BB$499,24,FALSE),"")</f>
        <v>00:04:40.3 (171)</v>
      </c>
      <c r="L98" s="59" t="str">
        <f>IFERROR(VLOOKUP($A98,SortedDownload!$A$3:$BB$499,25,FALSE),"")</f>
        <v>00:02:39.0 (143)</v>
      </c>
      <c r="M98" s="59" t="str">
        <f>IFERROR(VLOOKUP($A98,SortedDownload!$A$3:$BB$499,26,FALSE),"")</f>
        <v>00:05:03.9 (100)</v>
      </c>
      <c r="N98" s="59" t="str">
        <f>IFERROR(VLOOKUP($A98,SortedDownload!$A$3:$BB$499,27,FALSE),"")</f>
        <v>00:05:59.8 (141)</v>
      </c>
      <c r="O98" s="59" t="str">
        <f>IFERROR(VLOOKUP($A98,SortedDownload!$A$3:$BB$499,28,FALSE),"")</f>
        <v>DNS/DNF ()</v>
      </c>
      <c r="P98" s="59" t="str">
        <f>IFERROR(VLOOKUP($A98,SortedDownload!$A$3:$BB$499,29,FALSE),"")</f>
        <v>DNS/DNF ()</v>
      </c>
      <c r="Q98" s="59" t="str">
        <f>IFERROR(VLOOKUP($A98,SortedDownload!$A$3:$BB$499,30,FALSE),"")</f>
        <v>DNS/DNF ()</v>
      </c>
      <c r="R98" s="62" t="str">
        <f>IFERROR(TEXT(VLOOKUP($A98,SortedDownload!$A$3:$Z$499,14,FALSE),"[hh]:mm:ss.000"),"")</f>
        <v>00:22:56.616</v>
      </c>
      <c r="S98" s="83" t="str">
        <f t="shared" si="5"/>
        <v>00:11</v>
      </c>
      <c r="T98" s="83" t="str">
        <f t="shared" si="3"/>
        <v>06:07</v>
      </c>
      <c r="U98" s="9" t="str">
        <f t="shared" si="4"/>
        <v/>
      </c>
      <c r="V98" s="20" t="str">
        <f>IFERROR(IF(VLOOKUP(H98,AgeCategories!$D$3:$J$32,7,FALSE)=I98,"","DNF"),"")</f>
        <v/>
      </c>
      <c r="W98" s="9"/>
      <c r="X98" s="9"/>
    </row>
    <row r="99" spans="1:24">
      <c r="A99" s="53">
        <f>IF(SortedDownload!A99 &lt; 1,"",SortedDownload!A99)</f>
        <v>88</v>
      </c>
      <c r="B99" s="55">
        <f>IF(V99&lt;&gt;"","DNF",COUNTIF($V$3:V99,V99))</f>
        <v>97</v>
      </c>
      <c r="C99" s="54">
        <f>IF(OR(B99="DNF",H99=""),"DNF",COUNTIF($H$3:H99,H99))</f>
        <v>26</v>
      </c>
      <c r="D99" s="90" t="str">
        <f>IFERROR(VLOOKUP($A99,EntryList!$A$3:$N$596,2,FALSE),"")</f>
        <v>John Dalton</v>
      </c>
      <c r="E99" s="54">
        <f>IFERROR(VLOOKUP($A99,EntryList!$A$3:$V$596,19,FALSE),"")</f>
        <v>0</v>
      </c>
      <c r="F99" s="176">
        <f>IFERROR(VLOOKUP($A99,EntryList!$A$3:$V$596,18,FALSE),"")</f>
        <v>0</v>
      </c>
      <c r="G99" s="90" t="str">
        <f>IFERROR(VLOOKUP($A99,EntryList!$A$3:$N$596,6,FALSE),"")</f>
        <v>M</v>
      </c>
      <c r="H99" s="90" t="str">
        <f>IFERROR(VLOOKUP($A99,EntryList!$A$3:$N$596,7,FALSE),"")</f>
        <v>Master Men</v>
      </c>
      <c r="I99" s="54">
        <f>IFERROR(VLOOKUP($A99,SortedDownload!$A$3:$Z595,4,FALSE),"")</f>
        <v>5</v>
      </c>
      <c r="J99" s="59" t="str">
        <f>IFERROR(VLOOKUP($A99,SortedDownload!$A$3:$BB$499,23,FALSE),"")</f>
        <v>00:04:43.4 (100)</v>
      </c>
      <c r="K99" s="59" t="str">
        <f>IFERROR(VLOOKUP($A99,SortedDownload!$A$3:$BB$499,24,FALSE),"")</f>
        <v>00:04:46.9 (186)</v>
      </c>
      <c r="L99" s="59" t="str">
        <f>IFERROR(VLOOKUP($A99,SortedDownload!$A$3:$BB$499,25,FALSE),"")</f>
        <v>00:02:38.5 (141)</v>
      </c>
      <c r="M99" s="59" t="str">
        <f>IFERROR(VLOOKUP($A99,SortedDownload!$A$3:$BB$499,26,FALSE),"")</f>
        <v>00:04:56.5 (92)</v>
      </c>
      <c r="N99" s="59" t="str">
        <f>IFERROR(VLOOKUP($A99,SortedDownload!$A$3:$BB$499,27,FALSE),"")</f>
        <v>00:05:53.4 (120)</v>
      </c>
      <c r="O99" s="59" t="str">
        <f>IFERROR(VLOOKUP($A99,SortedDownload!$A$3:$BB$499,28,FALSE),"")</f>
        <v>DNS/DNF ()</v>
      </c>
      <c r="P99" s="59" t="str">
        <f>IFERROR(VLOOKUP($A99,SortedDownload!$A$3:$BB$499,29,FALSE),"")</f>
        <v>DNS/DNF ()</v>
      </c>
      <c r="Q99" s="59" t="str">
        <f>IFERROR(VLOOKUP($A99,SortedDownload!$A$3:$BB$499,30,FALSE),"")</f>
        <v>DNS/DNF ()</v>
      </c>
      <c r="R99" s="62" t="str">
        <f>IFERROR(TEXT(VLOOKUP($A99,SortedDownload!$A$3:$Z$499,14,FALSE),"[hh]:mm:ss.000"),"")</f>
        <v>00:22:58.630</v>
      </c>
      <c r="S99" s="83" t="str">
        <f t="shared" si="5"/>
        <v>00:02</v>
      </c>
      <c r="T99" s="83" t="str">
        <f t="shared" si="3"/>
        <v>06:09</v>
      </c>
      <c r="U99" s="9" t="str">
        <f t="shared" si="4"/>
        <v/>
      </c>
      <c r="V99" s="20" t="str">
        <f>IFERROR(IF(VLOOKUP(H99,AgeCategories!$D$3:$J$32,7,FALSE)=I99,"","DNF"),"")</f>
        <v/>
      </c>
      <c r="W99" s="9"/>
      <c r="X99" s="9"/>
    </row>
    <row r="100" spans="1:24">
      <c r="A100" s="53">
        <f>IF(SortedDownload!A100 &lt; 1,"",SortedDownload!A100)</f>
        <v>69</v>
      </c>
      <c r="B100" s="55">
        <f>IF(V100&lt;&gt;"","DNF",COUNTIF($V$3:V100,V100))</f>
        <v>98</v>
      </c>
      <c r="C100" s="54">
        <f>IF(OR(B100="DNF",H100=""),"DNF",COUNTIF($H$3:H100,H100))</f>
        <v>12</v>
      </c>
      <c r="D100" s="90" t="str">
        <f>IFERROR(VLOOKUP($A100,EntryList!$A$3:$N$596,2,FALSE),"")</f>
        <v>Roger Hartley</v>
      </c>
      <c r="E100" s="54">
        <f>IFERROR(VLOOKUP($A100,EntryList!$A$3:$V$596,19,FALSE),"")</f>
        <v>0</v>
      </c>
      <c r="F100" s="176">
        <f>IFERROR(VLOOKUP($A100,EntryList!$A$3:$V$596,18,FALSE),"")</f>
        <v>0</v>
      </c>
      <c r="G100" s="90" t="str">
        <f>IFERROR(VLOOKUP($A100,EntryList!$A$3:$N$596,6,FALSE),"")</f>
        <v>M</v>
      </c>
      <c r="H100" s="90" t="str">
        <f>IFERROR(VLOOKUP($A100,EntryList!$A$3:$N$596,7,FALSE),"")</f>
        <v>E-Bike M</v>
      </c>
      <c r="I100" s="54">
        <f>IFERROR(VLOOKUP($A100,SortedDownload!$A$3:$Z596,4,FALSE),"")</f>
        <v>5</v>
      </c>
      <c r="J100" s="59" t="str">
        <f>IFERROR(VLOOKUP($A100,SortedDownload!$A$3:$BB$499,23,FALSE),"")</f>
        <v>00:04:29.8 (88)</v>
      </c>
      <c r="K100" s="59" t="str">
        <f>IFERROR(VLOOKUP($A100,SortedDownload!$A$3:$BB$499,24,FALSE),"")</f>
        <v>00:04:44.1 (178)</v>
      </c>
      <c r="L100" s="59" t="str">
        <f>IFERROR(VLOOKUP($A100,SortedDownload!$A$3:$BB$499,25,FALSE),"")</f>
        <v>00:02:39.6 (148)</v>
      </c>
      <c r="M100" s="59" t="str">
        <f>IFERROR(VLOOKUP($A100,SortedDownload!$A$3:$BB$499,26,FALSE),"")</f>
        <v>00:05:11.0 (107)</v>
      </c>
      <c r="N100" s="59" t="str">
        <f>IFERROR(VLOOKUP($A100,SortedDownload!$A$3:$BB$499,27,FALSE),"")</f>
        <v>00:06:08.5 (158)</v>
      </c>
      <c r="O100" s="59" t="str">
        <f>IFERROR(VLOOKUP($A100,SortedDownload!$A$3:$BB$499,28,FALSE),"")</f>
        <v>DNS/DNF ()</v>
      </c>
      <c r="P100" s="59" t="str">
        <f>IFERROR(VLOOKUP($A100,SortedDownload!$A$3:$BB$499,29,FALSE),"")</f>
        <v>DNS/DNF ()</v>
      </c>
      <c r="Q100" s="59" t="str">
        <f>IFERROR(VLOOKUP($A100,SortedDownload!$A$3:$BB$499,30,FALSE),"")</f>
        <v>DNS/DNF ()</v>
      </c>
      <c r="R100" s="62" t="str">
        <f>IFERROR(TEXT(VLOOKUP($A100,SortedDownload!$A$3:$Z$499,14,FALSE),"[hh]:mm:ss.000"),"")</f>
        <v>00:23:12.993</v>
      </c>
      <c r="S100" s="83" t="str">
        <f t="shared" si="5"/>
        <v>00:14</v>
      </c>
      <c r="T100" s="83" t="str">
        <f t="shared" si="3"/>
        <v>06:23</v>
      </c>
      <c r="U100" s="9" t="str">
        <f t="shared" si="4"/>
        <v/>
      </c>
      <c r="V100" s="20" t="str">
        <f>IFERROR(IF(VLOOKUP(H100,AgeCategories!$D$3:$J$32,7,FALSE)=I100,"","DNF"),"")</f>
        <v/>
      </c>
      <c r="W100" s="9"/>
      <c r="X100" s="9"/>
    </row>
    <row r="101" spans="1:24">
      <c r="A101" s="53">
        <f>IF(SortedDownload!A101 &lt; 1,"",SortedDownload!A101)</f>
        <v>172</v>
      </c>
      <c r="B101" s="55">
        <f>IF(V101&lt;&gt;"","DNF",COUNTIF($V$3:V101,V101))</f>
        <v>99</v>
      </c>
      <c r="C101" s="54">
        <f>IF(OR(B101="DNF",H101=""),"DNF",COUNTIF($H$3:H101,H101))</f>
        <v>23</v>
      </c>
      <c r="D101" s="90" t="str">
        <f>IFERROR(VLOOKUP($A101,EntryList!$A$3:$N$596,2,FALSE),"")</f>
        <v>Jean-Luc Roux</v>
      </c>
      <c r="E101" s="54">
        <f>IFERROR(VLOOKUP($A101,EntryList!$A$3:$V$596,19,FALSE),"")</f>
        <v>0</v>
      </c>
      <c r="F101" s="176">
        <f>IFERROR(VLOOKUP($A101,EntryList!$A$3:$V$596,18,FALSE),"")</f>
        <v>0</v>
      </c>
      <c r="G101" s="90" t="str">
        <f>IFERROR(VLOOKUP($A101,EntryList!$A$3:$N$596,6,FALSE),"")</f>
        <v>M</v>
      </c>
      <c r="H101" s="90" t="str">
        <f>IFERROR(VLOOKUP($A101,EntryList!$A$3:$N$596,7,FALSE),"")</f>
        <v>Youth Men</v>
      </c>
      <c r="I101" s="54">
        <f>IFERROR(VLOOKUP($A101,SortedDownload!$A$3:$Z597,4,FALSE),"")</f>
        <v>5</v>
      </c>
      <c r="J101" s="59" t="str">
        <f>IFERROR(VLOOKUP($A101,SortedDownload!$A$3:$BB$499,23,FALSE),"")</f>
        <v>00:04:46.8 (102)</v>
      </c>
      <c r="K101" s="59" t="str">
        <f>IFERROR(VLOOKUP($A101,SortedDownload!$A$3:$BB$499,24,FALSE),"")</f>
        <v>00:04:39.9 (168)</v>
      </c>
      <c r="L101" s="59" t="str">
        <f>IFERROR(VLOOKUP($A101,SortedDownload!$A$3:$BB$499,25,FALSE),"")</f>
        <v>00:02:42.6 (167)</v>
      </c>
      <c r="M101" s="59" t="str">
        <f>IFERROR(VLOOKUP($A101,SortedDownload!$A$3:$BB$499,26,FALSE),"")</f>
        <v>00:05:11.1 (108)</v>
      </c>
      <c r="N101" s="59" t="str">
        <f>IFERROR(VLOOKUP($A101,SortedDownload!$A$3:$BB$499,27,FALSE),"")</f>
        <v>00:05:53.9 (124)</v>
      </c>
      <c r="O101" s="59" t="str">
        <f>IFERROR(VLOOKUP($A101,SortedDownload!$A$3:$BB$499,28,FALSE),"")</f>
        <v>DNS/DNF ()</v>
      </c>
      <c r="P101" s="59" t="str">
        <f>IFERROR(VLOOKUP($A101,SortedDownload!$A$3:$BB$499,29,FALSE),"")</f>
        <v>DNS/DNF ()</v>
      </c>
      <c r="Q101" s="59" t="str">
        <f>IFERROR(VLOOKUP($A101,SortedDownload!$A$3:$BB$499,30,FALSE),"")</f>
        <v>DNS/DNF ()</v>
      </c>
      <c r="R101" s="62" t="str">
        <f>IFERROR(TEXT(VLOOKUP($A101,SortedDownload!$A$3:$Z$499,14,FALSE),"[hh]:mm:ss.000"),"")</f>
        <v>00:23:14.322</v>
      </c>
      <c r="S101" s="83" t="str">
        <f t="shared" si="5"/>
        <v>00:01</v>
      </c>
      <c r="T101" s="83" t="str">
        <f>IF($I101-$I100&lt;0,"N/A",IFERROR(TEXT(($R101-$R$3),"mm:ss"),"-"))</f>
        <v>06:24</v>
      </c>
      <c r="U101" s="9" t="str">
        <f t="shared" si="4"/>
        <v/>
      </c>
      <c r="V101" s="20" t="str">
        <f>IFERROR(IF(VLOOKUP(H101,AgeCategories!$D$3:$J$32,7,FALSE)=I101,"","DNF"),"")</f>
        <v/>
      </c>
      <c r="W101" s="9"/>
      <c r="X101" s="9"/>
    </row>
    <row r="102" spans="1:24">
      <c r="A102" s="53">
        <f>IF(SortedDownload!A102 &lt; 1,"",SortedDownload!A102)</f>
        <v>42</v>
      </c>
      <c r="B102" s="55">
        <f>IF(V102&lt;&gt;"","DNF",COUNTIF($V$3:V102,V102))</f>
        <v>100</v>
      </c>
      <c r="C102" s="54">
        <f>IF(OR(B102="DNF",H102=""),"DNF",COUNTIF($H$3:H102,H102))</f>
        <v>27</v>
      </c>
      <c r="D102" s="90" t="str">
        <f>IFERROR(VLOOKUP($A102,EntryList!$A$3:$N$596,2,FALSE),"")</f>
        <v>Dylan Jones</v>
      </c>
      <c r="E102" s="54">
        <f>IFERROR(VLOOKUP($A102,EntryList!$A$3:$V$596,19,FALSE),"")</f>
        <v>0</v>
      </c>
      <c r="F102" s="176">
        <f>IFERROR(VLOOKUP($A102,EntryList!$A$3:$V$596,18,FALSE),"")</f>
        <v>0</v>
      </c>
      <c r="G102" s="90" t="str">
        <f>IFERROR(VLOOKUP($A102,EntryList!$A$3:$N$596,6,FALSE),"")</f>
        <v>M</v>
      </c>
      <c r="H102" s="90" t="str">
        <f>IFERROR(VLOOKUP($A102,EntryList!$A$3:$N$596,7,FALSE),"")</f>
        <v>Master Men</v>
      </c>
      <c r="I102" s="54">
        <f>IFERROR(VLOOKUP($A102,SortedDownload!$A$3:$Z598,4,FALSE),"")</f>
        <v>5</v>
      </c>
      <c r="J102" s="59" t="str">
        <f>IFERROR(VLOOKUP($A102,SortedDownload!$A$3:$BB$499,23,FALSE),"")</f>
        <v>00:04:53.1 (106)</v>
      </c>
      <c r="K102" s="59" t="str">
        <f>IFERROR(VLOOKUP($A102,SortedDownload!$A$3:$BB$499,24,FALSE),"")</f>
        <v>00:04:32.5 (142)</v>
      </c>
      <c r="L102" s="59" t="str">
        <f>IFERROR(VLOOKUP($A102,SortedDownload!$A$3:$BB$499,25,FALSE),"")</f>
        <v>00:02:31.1 (113)</v>
      </c>
      <c r="M102" s="59" t="str">
        <f>IFERROR(VLOOKUP($A102,SortedDownload!$A$3:$BB$499,26,FALSE),"")</f>
        <v>00:04:58.4 (94)</v>
      </c>
      <c r="N102" s="59" t="str">
        <f>IFERROR(VLOOKUP($A102,SortedDownload!$A$3:$BB$499,27,FALSE),"")</f>
        <v>00:06:20.2 (174)</v>
      </c>
      <c r="O102" s="59" t="str">
        <f>IFERROR(VLOOKUP($A102,SortedDownload!$A$3:$BB$499,28,FALSE),"")</f>
        <v>DNS/DNF ()</v>
      </c>
      <c r="P102" s="59" t="str">
        <f>IFERROR(VLOOKUP($A102,SortedDownload!$A$3:$BB$499,29,FALSE),"")</f>
        <v>DNS/DNF ()</v>
      </c>
      <c r="Q102" s="59" t="str">
        <f>IFERROR(VLOOKUP($A102,SortedDownload!$A$3:$BB$499,30,FALSE),"")</f>
        <v>DNS/DNF ()</v>
      </c>
      <c r="R102" s="62" t="str">
        <f>IFERROR(TEXT(VLOOKUP($A102,SortedDownload!$A$3:$Z$499,14,FALSE),"[hh]:mm:ss.000"),"")</f>
        <v>00:23:15.392</v>
      </c>
      <c r="S102" s="83" t="str">
        <f t="shared" si="5"/>
        <v>00:01</v>
      </c>
      <c r="T102" s="83" t="str">
        <f t="shared" si="3"/>
        <v>06:25</v>
      </c>
      <c r="U102" s="9" t="str">
        <f t="shared" si="4"/>
        <v/>
      </c>
      <c r="V102" s="20" t="str">
        <f>IFERROR(IF(VLOOKUP(H102,AgeCategories!$D$3:$J$32,7,FALSE)=I102,"","DNF"),"")</f>
        <v/>
      </c>
      <c r="W102" s="9"/>
      <c r="X102" s="9"/>
    </row>
    <row r="103" spans="1:24">
      <c r="A103" s="53">
        <f>IF(SortedDownload!A103 &lt; 1,"",SortedDownload!A103)</f>
        <v>9</v>
      </c>
      <c r="B103" s="55">
        <f>IF(V103&lt;&gt;"","DNF",COUNTIF($V$3:V103,V103))</f>
        <v>101</v>
      </c>
      <c r="C103" s="54">
        <f>IF(OR(B103="DNF",H103=""),"DNF",COUNTIF($H$3:H103,H103))</f>
        <v>25</v>
      </c>
      <c r="D103" s="90" t="str">
        <f>IFERROR(VLOOKUP($A103,EntryList!$A$3:$N$596,2,FALSE),"")</f>
        <v>Charlie Thiry</v>
      </c>
      <c r="E103" s="54">
        <f>IFERROR(VLOOKUP($A103,EntryList!$A$3:$V$596,19,FALSE),"")</f>
        <v>0</v>
      </c>
      <c r="F103" s="176">
        <f>IFERROR(VLOOKUP($A103,EntryList!$A$3:$V$596,18,FALSE),"")</f>
        <v>0</v>
      </c>
      <c r="G103" s="90" t="str">
        <f>IFERROR(VLOOKUP($A103,EntryList!$A$3:$N$596,6,FALSE),"")</f>
        <v>M</v>
      </c>
      <c r="H103" s="90" t="str">
        <f>IFERROR(VLOOKUP($A103,EntryList!$A$3:$N$596,7,FALSE),"")</f>
        <v>Elite Men</v>
      </c>
      <c r="I103" s="54">
        <f>IFERROR(VLOOKUP($A103,SortedDownload!$A$3:$Z599,4,FALSE),"")</f>
        <v>5</v>
      </c>
      <c r="J103" s="59" t="str">
        <f>IFERROR(VLOOKUP($A103,SortedDownload!$A$3:$BB$499,23,FALSE),"")</f>
        <v>00:05:11.9 (113)</v>
      </c>
      <c r="K103" s="59" t="str">
        <f>IFERROR(VLOOKUP($A103,SortedDownload!$A$3:$BB$499,24,FALSE),"")</f>
        <v>00:04:30.3 (137)</v>
      </c>
      <c r="L103" s="59" t="str">
        <f>IFERROR(VLOOKUP($A103,SortedDownload!$A$3:$BB$499,25,FALSE),"")</f>
        <v>00:02:33.3 (125)</v>
      </c>
      <c r="M103" s="59" t="str">
        <f>IFERROR(VLOOKUP($A103,SortedDownload!$A$3:$BB$499,26,FALSE),"")</f>
        <v>00:04:56.8 (93)</v>
      </c>
      <c r="N103" s="59" t="str">
        <f>IFERROR(VLOOKUP($A103,SortedDownload!$A$3:$BB$499,27,FALSE),"")</f>
        <v>00:06:03.4 (147)</v>
      </c>
      <c r="O103" s="59" t="str">
        <f>IFERROR(VLOOKUP($A103,SortedDownload!$A$3:$BB$499,28,FALSE),"")</f>
        <v>DNS/DNF ()</v>
      </c>
      <c r="P103" s="59" t="str">
        <f>IFERROR(VLOOKUP($A103,SortedDownload!$A$3:$BB$499,29,FALSE),"")</f>
        <v>DNS/DNF ()</v>
      </c>
      <c r="Q103" s="59" t="str">
        <f>IFERROR(VLOOKUP($A103,SortedDownload!$A$3:$BB$499,30,FALSE),"")</f>
        <v>DNS/DNF ()</v>
      </c>
      <c r="R103" s="62" t="str">
        <f>IFERROR(TEXT(VLOOKUP($A103,SortedDownload!$A$3:$Z$499,14,FALSE),"[hh]:mm:ss.000"),"")</f>
        <v>00:23:15.656</v>
      </c>
      <c r="S103" s="83" t="str">
        <f t="shared" si="5"/>
        <v>00:00</v>
      </c>
      <c r="T103" s="83" t="str">
        <f t="shared" si="3"/>
        <v>06:26</v>
      </c>
      <c r="U103" s="9" t="str">
        <f t="shared" si="4"/>
        <v/>
      </c>
      <c r="V103" s="20" t="str">
        <f>IFERROR(IF(VLOOKUP(H103,AgeCategories!$D$3:$J$32,7,FALSE)=I103,"","DNF"),"")</f>
        <v/>
      </c>
      <c r="W103" s="9"/>
      <c r="X103" s="9"/>
    </row>
    <row r="104" spans="1:24">
      <c r="A104" s="53">
        <f>IF(SortedDownload!A104 &lt; 1,"",SortedDownload!A104)</f>
        <v>44</v>
      </c>
      <c r="B104" s="55">
        <f>IF(V104&lt;&gt;"","DNF",COUNTIF($V$3:V104,V104))</f>
        <v>102</v>
      </c>
      <c r="C104" s="54">
        <f>IF(OR(B104="DNF",H104=""),"DNF",COUNTIF($H$3:H104,H104))</f>
        <v>28</v>
      </c>
      <c r="D104" s="90" t="str">
        <f>IFERROR(VLOOKUP($A104,EntryList!$A$3:$N$596,2,FALSE),"")</f>
        <v>Nigel Basel</v>
      </c>
      <c r="E104" s="54">
        <f>IFERROR(VLOOKUP($A104,EntryList!$A$3:$V$596,19,FALSE),"")</f>
        <v>0</v>
      </c>
      <c r="F104" s="176">
        <f>IFERROR(VLOOKUP($A104,EntryList!$A$3:$V$596,18,FALSE),"")</f>
        <v>0</v>
      </c>
      <c r="G104" s="90" t="str">
        <f>IFERROR(VLOOKUP($A104,EntryList!$A$3:$N$596,6,FALSE),"")</f>
        <v>M</v>
      </c>
      <c r="H104" s="90" t="str">
        <f>IFERROR(VLOOKUP($A104,EntryList!$A$3:$N$596,7,FALSE),"")</f>
        <v>Master Men</v>
      </c>
      <c r="I104" s="54">
        <f>IFERROR(VLOOKUP($A104,SortedDownload!$A$3:$Z600,4,FALSE),"")</f>
        <v>5</v>
      </c>
      <c r="J104" s="59" t="str">
        <f>IFERROR(VLOOKUP($A104,SortedDownload!$A$3:$BB$499,23,FALSE),"")</f>
        <v>00:04:43.5 (101)</v>
      </c>
      <c r="K104" s="59" t="str">
        <f>IFERROR(VLOOKUP($A104,SortedDownload!$A$3:$BB$499,24,FALSE),"")</f>
        <v>00:04:36.7 (158)</v>
      </c>
      <c r="L104" s="59" t="str">
        <f>IFERROR(VLOOKUP($A104,SortedDownload!$A$3:$BB$499,25,FALSE),"")</f>
        <v>00:02:38.5 (142)</v>
      </c>
      <c r="M104" s="59" t="str">
        <f>IFERROR(VLOOKUP($A104,SortedDownload!$A$3:$BB$499,26,FALSE),"")</f>
        <v>00:05:01.8 (98)</v>
      </c>
      <c r="N104" s="59" t="str">
        <f>IFERROR(VLOOKUP($A104,SortedDownload!$A$3:$BB$499,27,FALSE),"")</f>
        <v>00:06:15.6 (169)</v>
      </c>
      <c r="O104" s="59" t="str">
        <f>IFERROR(VLOOKUP($A104,SortedDownload!$A$3:$BB$499,28,FALSE),"")</f>
        <v>DNS/DNF ()</v>
      </c>
      <c r="P104" s="59" t="str">
        <f>IFERROR(VLOOKUP($A104,SortedDownload!$A$3:$BB$499,29,FALSE),"")</f>
        <v>DNS/DNF ()</v>
      </c>
      <c r="Q104" s="59" t="str">
        <f>IFERROR(VLOOKUP($A104,SortedDownload!$A$3:$BB$499,30,FALSE),"")</f>
        <v>DNS/DNF ()</v>
      </c>
      <c r="R104" s="62" t="str">
        <f>IFERROR(TEXT(VLOOKUP($A104,SortedDownload!$A$3:$Z$499,14,FALSE),"[hh]:mm:ss.000"),"")</f>
        <v>00:23:15.949</v>
      </c>
      <c r="S104" s="83" t="str">
        <f t="shared" si="5"/>
        <v>00:00</v>
      </c>
      <c r="T104" s="83" t="str">
        <f t="shared" si="3"/>
        <v>06:26</v>
      </c>
      <c r="U104" s="9" t="str">
        <f t="shared" si="4"/>
        <v/>
      </c>
      <c r="V104" s="20" t="str">
        <f>IFERROR(IF(VLOOKUP(H104,AgeCategories!$D$3:$J$32,7,FALSE)=I104,"","DNF"),"")</f>
        <v/>
      </c>
      <c r="W104" s="9"/>
      <c r="X104" s="9"/>
    </row>
    <row r="105" spans="1:24">
      <c r="A105" s="53">
        <f>IF(SortedDownload!A105 &lt; 1,"",SortedDownload!A105)</f>
        <v>22</v>
      </c>
      <c r="B105" s="55">
        <f>IF(V105&lt;&gt;"","DNF",COUNTIF($V$3:V105,V105))</f>
        <v>103</v>
      </c>
      <c r="C105" s="54">
        <f>IF(OR(B105="DNF",H105=""),"DNF",COUNTIF($H$3:H105,H105))</f>
        <v>1</v>
      </c>
      <c r="D105" s="90" t="str">
        <f>IFERROR(VLOOKUP($A105,EntryList!$A$3:$N$596,2,FALSE),"")</f>
        <v>Annemi Pfister</v>
      </c>
      <c r="E105" s="54">
        <f>IFERROR(VLOOKUP($A105,EntryList!$A$3:$V$596,19,FALSE),"")</f>
        <v>0</v>
      </c>
      <c r="F105" s="176">
        <f>IFERROR(VLOOKUP($A105,EntryList!$A$3:$V$596,18,FALSE),"")</f>
        <v>0</v>
      </c>
      <c r="G105" s="90" t="str">
        <f>IFERROR(VLOOKUP($A105,EntryList!$A$3:$N$596,6,FALSE),"")</f>
        <v>F</v>
      </c>
      <c r="H105" s="90" t="str">
        <f>IFERROR(VLOOKUP($A105,EntryList!$A$3:$N$596,7,FALSE),"")</f>
        <v>Master Women</v>
      </c>
      <c r="I105" s="54">
        <f>IFERROR(VLOOKUP($A105,SortedDownload!$A$3:$Z601,4,FALSE),"")</f>
        <v>5</v>
      </c>
      <c r="J105" s="59" t="str">
        <f>IFERROR(VLOOKUP($A105,SortedDownload!$A$3:$BB$499,23,FALSE),"")</f>
        <v>00:05:09.9 (112)</v>
      </c>
      <c r="K105" s="59" t="str">
        <f>IFERROR(VLOOKUP($A105,SortedDownload!$A$3:$BB$499,24,FALSE),"")</f>
        <v>00:04:28.8 (134)</v>
      </c>
      <c r="L105" s="59" t="str">
        <f>IFERROR(VLOOKUP($A105,SortedDownload!$A$3:$BB$499,25,FALSE),"")</f>
        <v>00:02:37.8 (139)</v>
      </c>
      <c r="M105" s="59" t="str">
        <f>IFERROR(VLOOKUP($A105,SortedDownload!$A$3:$BB$499,26,FALSE),"")</f>
        <v>00:05:07.0 (104)</v>
      </c>
      <c r="N105" s="59" t="str">
        <f>IFERROR(VLOOKUP($A105,SortedDownload!$A$3:$BB$499,27,FALSE),"")</f>
        <v>00:05:56.9 (132)</v>
      </c>
      <c r="O105" s="59" t="str">
        <f>IFERROR(VLOOKUP($A105,SortedDownload!$A$3:$BB$499,28,FALSE),"")</f>
        <v>DNS/DNF ()</v>
      </c>
      <c r="P105" s="59" t="str">
        <f>IFERROR(VLOOKUP($A105,SortedDownload!$A$3:$BB$499,29,FALSE),"")</f>
        <v>DNS/DNF ()</v>
      </c>
      <c r="Q105" s="59" t="str">
        <f>IFERROR(VLOOKUP($A105,SortedDownload!$A$3:$BB$499,30,FALSE),"")</f>
        <v>DNS/DNF ()</v>
      </c>
      <c r="R105" s="62" t="str">
        <f>IFERROR(TEXT(VLOOKUP($A105,SortedDownload!$A$3:$Z$499,14,FALSE),"[hh]:mm:ss.000"),"")</f>
        <v>00:23:20.436</v>
      </c>
      <c r="S105" s="83" t="str">
        <f t="shared" si="5"/>
        <v>00:04</v>
      </c>
      <c r="T105" s="83" t="str">
        <f t="shared" si="3"/>
        <v>06:30</v>
      </c>
      <c r="U105" s="9" t="str">
        <f t="shared" si="4"/>
        <v/>
      </c>
      <c r="V105" s="20" t="str">
        <f>IFERROR(IF(VLOOKUP(H105,AgeCategories!$D$3:$J$32,7,FALSE)=I105,"","DNF"),"")</f>
        <v/>
      </c>
      <c r="W105" s="9"/>
      <c r="X105" s="9"/>
    </row>
    <row r="106" spans="1:24">
      <c r="A106" s="53">
        <f>IF(SortedDownload!A106 &lt; 1,"",SortedDownload!A106)</f>
        <v>4</v>
      </c>
      <c r="B106" s="55">
        <f>IF(V106&lt;&gt;"","DNF",COUNTIF($V$3:V106,V106))</f>
        <v>104</v>
      </c>
      <c r="C106" s="54">
        <f>IF(OR(B106="DNF",H106=""),"DNF",COUNTIF($H$3:H106,H106))</f>
        <v>29</v>
      </c>
      <c r="D106" s="90" t="str">
        <f>IFERROR(VLOOKUP($A106,EntryList!$A$3:$N$596,2,FALSE),"")</f>
        <v>James Eatwell</v>
      </c>
      <c r="E106" s="54">
        <f>IFERROR(VLOOKUP($A106,EntryList!$A$3:$V$596,19,FALSE),"")</f>
        <v>0</v>
      </c>
      <c r="F106" s="176">
        <f>IFERROR(VLOOKUP($A106,EntryList!$A$3:$V$596,18,FALSE),"")</f>
        <v>0</v>
      </c>
      <c r="G106" s="90" t="str">
        <f>IFERROR(VLOOKUP($A106,EntryList!$A$3:$N$596,6,FALSE),"")</f>
        <v>M</v>
      </c>
      <c r="H106" s="90" t="str">
        <f>IFERROR(VLOOKUP($A106,EntryList!$A$3:$N$596,7,FALSE),"")</f>
        <v>Master Men</v>
      </c>
      <c r="I106" s="54">
        <f>IFERROR(VLOOKUP($A106,SortedDownload!$A$3:$Z602,4,FALSE),"")</f>
        <v>5</v>
      </c>
      <c r="J106" s="59" t="str">
        <f>IFERROR(VLOOKUP($A106,SortedDownload!$A$3:$BB$499,23,FALSE),"")</f>
        <v>00:04:58.0 (108)</v>
      </c>
      <c r="K106" s="59" t="str">
        <f>IFERROR(VLOOKUP($A106,SortedDownload!$A$3:$BB$499,24,FALSE),"")</f>
        <v>00:04:25.6 (122)</v>
      </c>
      <c r="L106" s="59" t="str">
        <f>IFERROR(VLOOKUP($A106,SortedDownload!$A$3:$BB$499,25,FALSE),"")</f>
        <v>00:02:39.5 (146)</v>
      </c>
      <c r="M106" s="59" t="str">
        <f>IFERROR(VLOOKUP($A106,SortedDownload!$A$3:$BB$499,26,FALSE),"")</f>
        <v>00:05:24.9 (117)</v>
      </c>
      <c r="N106" s="59" t="str">
        <f>IFERROR(VLOOKUP($A106,SortedDownload!$A$3:$BB$499,27,FALSE),"")</f>
        <v>00:05:59.9 (142)</v>
      </c>
      <c r="O106" s="59" t="str">
        <f>IFERROR(VLOOKUP($A106,SortedDownload!$A$3:$BB$499,28,FALSE),"")</f>
        <v>DNS/DNF ()</v>
      </c>
      <c r="P106" s="59" t="str">
        <f>IFERROR(VLOOKUP($A106,SortedDownload!$A$3:$BB$499,29,FALSE),"")</f>
        <v>DNS/DNF ()</v>
      </c>
      <c r="Q106" s="59" t="str">
        <f>IFERROR(VLOOKUP($A106,SortedDownload!$A$3:$BB$499,30,FALSE),"")</f>
        <v>DNS/DNF ()</v>
      </c>
      <c r="R106" s="62" t="str">
        <f>IFERROR(TEXT(VLOOKUP($A106,SortedDownload!$A$3:$Z$499,14,FALSE),"[hh]:mm:ss.000"),"")</f>
        <v>00:23:27.926</v>
      </c>
      <c r="S106" s="83" t="str">
        <f t="shared" si="5"/>
        <v>00:07</v>
      </c>
      <c r="T106" s="83" t="str">
        <f t="shared" si="3"/>
        <v>06:38</v>
      </c>
      <c r="U106" s="9" t="str">
        <f t="shared" si="4"/>
        <v/>
      </c>
      <c r="V106" s="20" t="str">
        <f>IFERROR(IF(VLOOKUP(H106,AgeCategories!$D$3:$J$32,7,FALSE)=I106,"","DNF"),"")</f>
        <v/>
      </c>
      <c r="W106" s="9"/>
      <c r="X106" s="9"/>
    </row>
    <row r="107" spans="1:24">
      <c r="A107" s="53">
        <f>IF(SortedDownload!A107 &lt; 1,"",SortedDownload!A107)</f>
        <v>119</v>
      </c>
      <c r="B107" s="55">
        <f>IF(V107&lt;&gt;"","DNF",COUNTIF($V$3:V107,V107))</f>
        <v>105</v>
      </c>
      <c r="C107" s="54">
        <f>IF(OR(B107="DNF",H107=""),"DNF",COUNTIF($H$3:H107,H107))</f>
        <v>30</v>
      </c>
      <c r="D107" s="90" t="str">
        <f>IFERROR(VLOOKUP($A107,EntryList!$A$3:$N$596,2,FALSE),"")</f>
        <v>Ian Williams</v>
      </c>
      <c r="E107" s="54">
        <f>IFERROR(VLOOKUP($A107,EntryList!$A$3:$V$596,19,FALSE),"")</f>
        <v>0</v>
      </c>
      <c r="F107" s="176">
        <f>IFERROR(VLOOKUP($A107,EntryList!$A$3:$V$596,18,FALSE),"")</f>
        <v>0</v>
      </c>
      <c r="G107" s="90" t="str">
        <f>IFERROR(VLOOKUP($A107,EntryList!$A$3:$N$596,6,FALSE),"")</f>
        <v>M</v>
      </c>
      <c r="H107" s="90" t="str">
        <f>IFERROR(VLOOKUP($A107,EntryList!$A$3:$N$596,7,FALSE),"")</f>
        <v>Master Men</v>
      </c>
      <c r="I107" s="54">
        <f>IFERROR(VLOOKUP($A107,SortedDownload!$A$3:$Z603,4,FALSE),"")</f>
        <v>5</v>
      </c>
      <c r="J107" s="59" t="str">
        <f>IFERROR(VLOOKUP($A107,SortedDownload!$A$3:$BB$499,23,FALSE),"")</f>
        <v>00:05:13.5 (115)</v>
      </c>
      <c r="K107" s="59" t="str">
        <f>IFERROR(VLOOKUP($A107,SortedDownload!$A$3:$BB$499,24,FALSE),"")</f>
        <v>00:04:36.5 (157)</v>
      </c>
      <c r="L107" s="59" t="str">
        <f>IFERROR(VLOOKUP($A107,SortedDownload!$A$3:$BB$499,25,FALSE),"")</f>
        <v>00:02:40.4 (155)</v>
      </c>
      <c r="M107" s="59" t="str">
        <f>IFERROR(VLOOKUP($A107,SortedDownload!$A$3:$BB$499,26,FALSE),"")</f>
        <v>00:05:04.9 (102)</v>
      </c>
      <c r="N107" s="59" t="str">
        <f>IFERROR(VLOOKUP($A107,SortedDownload!$A$3:$BB$499,27,FALSE),"")</f>
        <v>00:05:59.7 (140)</v>
      </c>
      <c r="O107" s="59" t="str">
        <f>IFERROR(VLOOKUP($A107,SortedDownload!$A$3:$BB$499,28,FALSE),"")</f>
        <v>DNS/DNF ()</v>
      </c>
      <c r="P107" s="59" t="str">
        <f>IFERROR(VLOOKUP($A107,SortedDownload!$A$3:$BB$499,29,FALSE),"")</f>
        <v>DNS/DNF ()</v>
      </c>
      <c r="Q107" s="59" t="str">
        <f>IFERROR(VLOOKUP($A107,SortedDownload!$A$3:$BB$499,30,FALSE),"")</f>
        <v>DNS/DNF ()</v>
      </c>
      <c r="R107" s="62" t="str">
        <f>IFERROR(TEXT(VLOOKUP($A107,SortedDownload!$A$3:$Z$499,14,FALSE),"[hh]:mm:ss.000"),"")</f>
        <v>00:23:34.952</v>
      </c>
      <c r="S107" s="83" t="str">
        <f t="shared" si="5"/>
        <v>00:07</v>
      </c>
      <c r="T107" s="83" t="str">
        <f t="shared" si="3"/>
        <v>06:45</v>
      </c>
      <c r="U107" s="9" t="str">
        <f t="shared" si="4"/>
        <v/>
      </c>
      <c r="V107" s="20" t="str">
        <f>IFERROR(IF(VLOOKUP(H107,AgeCategories!$D$3:$J$32,7,FALSE)=I107,"","DNF"),"")</f>
        <v/>
      </c>
      <c r="W107" s="9"/>
      <c r="X107" s="9"/>
    </row>
    <row r="108" spans="1:24">
      <c r="A108" s="53">
        <f>IF(SortedDownload!A108 &lt; 1,"",SortedDownload!A108)</f>
        <v>180</v>
      </c>
      <c r="B108" s="55">
        <f>IF(V108&lt;&gt;"","DNF",COUNTIF($V$3:V108,V108))</f>
        <v>106</v>
      </c>
      <c r="C108" s="54">
        <f>IF(OR(B108="DNF",H108=""),"DNF",COUNTIF($H$3:H108,H108))</f>
        <v>3</v>
      </c>
      <c r="D108" s="90" t="str">
        <f>IFERROR(VLOOKUP($A108,EntryList!$A$3:$N$596,2,FALSE),"")</f>
        <v>Robyn Emslie</v>
      </c>
      <c r="E108" s="54">
        <f>IFERROR(VLOOKUP($A108,EntryList!$A$3:$V$596,19,FALSE),"")</f>
        <v>0</v>
      </c>
      <c r="F108" s="176">
        <f>IFERROR(VLOOKUP($A108,EntryList!$A$3:$V$596,18,FALSE),"")</f>
        <v>0</v>
      </c>
      <c r="G108" s="90" t="str">
        <f>IFERROR(VLOOKUP($A108,EntryList!$A$3:$N$596,6,FALSE),"")</f>
        <v>F</v>
      </c>
      <c r="H108" s="90" t="str">
        <f>IFERROR(VLOOKUP($A108,EntryList!$A$3:$N$596,7,FALSE),"")</f>
        <v>Elite Women</v>
      </c>
      <c r="I108" s="54">
        <f>IFERROR(VLOOKUP($A108,SortedDownload!$A$3:$Z604,4,FALSE),"")</f>
        <v>5</v>
      </c>
      <c r="J108" s="59" t="str">
        <f>IFERROR(VLOOKUP($A108,SortedDownload!$A$3:$BB$499,23,FALSE),"")</f>
        <v>00:05:30.3 (119)</v>
      </c>
      <c r="K108" s="59" t="str">
        <f>IFERROR(VLOOKUP($A108,SortedDownload!$A$3:$BB$499,24,FALSE),"")</f>
        <v>00:04:29.4 (136)</v>
      </c>
      <c r="L108" s="59" t="str">
        <f>IFERROR(VLOOKUP($A108,SortedDownload!$A$3:$BB$499,25,FALSE),"")</f>
        <v>00:02:37.0 (138)</v>
      </c>
      <c r="M108" s="59" t="str">
        <f>IFERROR(VLOOKUP($A108,SortedDownload!$A$3:$BB$499,26,FALSE),"")</f>
        <v>00:05:04.7 (101)</v>
      </c>
      <c r="N108" s="59" t="str">
        <f>IFERROR(VLOOKUP($A108,SortedDownload!$A$3:$BB$499,27,FALSE),"")</f>
        <v>00:05:54.2 (125)</v>
      </c>
      <c r="O108" s="59" t="str">
        <f>IFERROR(VLOOKUP($A108,SortedDownload!$A$3:$BB$499,28,FALSE),"")</f>
        <v>DNS/DNF ()</v>
      </c>
      <c r="P108" s="59" t="str">
        <f>IFERROR(VLOOKUP($A108,SortedDownload!$A$3:$BB$499,29,FALSE),"")</f>
        <v>DNS/DNF ()</v>
      </c>
      <c r="Q108" s="59" t="str">
        <f>IFERROR(VLOOKUP($A108,SortedDownload!$A$3:$BB$499,30,FALSE),"")</f>
        <v>DNS/DNF ()</v>
      </c>
      <c r="R108" s="62" t="str">
        <f>IFERROR(TEXT(VLOOKUP($A108,SortedDownload!$A$3:$Z$499,14,FALSE),"[hh]:mm:ss.000"),"")</f>
        <v>00:23:35.604</v>
      </c>
      <c r="S108" s="83" t="str">
        <f t="shared" si="5"/>
        <v>00:01</v>
      </c>
      <c r="T108" s="83" t="str">
        <f t="shared" si="3"/>
        <v>06:46</v>
      </c>
      <c r="U108" s="9" t="str">
        <f t="shared" si="4"/>
        <v/>
      </c>
      <c r="V108" s="20" t="str">
        <f>IFERROR(IF(VLOOKUP(H108,AgeCategories!$D$3:$J$32,7,FALSE)=I108,"","DNF"),"")</f>
        <v/>
      </c>
      <c r="W108" s="9"/>
      <c r="X108" s="9"/>
    </row>
    <row r="109" spans="1:24">
      <c r="A109" s="53">
        <f>IF(SortedDownload!A109 &lt; 1,"",SortedDownload!A109)</f>
        <v>92</v>
      </c>
      <c r="B109" s="55">
        <f>IF(V109&lt;&gt;"","DNF",COUNTIF($V$3:V109,V109))</f>
        <v>107</v>
      </c>
      <c r="C109" s="54">
        <f>IF(OR(B109="DNF",H109=""),"DNF",COUNTIF($H$3:H109,H109))</f>
        <v>31</v>
      </c>
      <c r="D109" s="90" t="str">
        <f>IFERROR(VLOOKUP($A109,EntryList!$A$3:$N$596,2,FALSE),"")</f>
        <v>Jaco Van Der Linde</v>
      </c>
      <c r="E109" s="54">
        <f>IFERROR(VLOOKUP($A109,EntryList!$A$3:$V$596,19,FALSE),"")</f>
        <v>0</v>
      </c>
      <c r="F109" s="176">
        <f>IFERROR(VLOOKUP($A109,EntryList!$A$3:$V$596,18,FALSE),"")</f>
        <v>0</v>
      </c>
      <c r="G109" s="90" t="str">
        <f>IFERROR(VLOOKUP($A109,EntryList!$A$3:$N$596,6,FALSE),"")</f>
        <v>M</v>
      </c>
      <c r="H109" s="90" t="str">
        <f>IFERROR(VLOOKUP($A109,EntryList!$A$3:$N$596,7,FALSE),"")</f>
        <v>Master Men</v>
      </c>
      <c r="I109" s="54">
        <f>IFERROR(VLOOKUP($A109,SortedDownload!$A$3:$Z605,4,FALSE),"")</f>
        <v>5</v>
      </c>
      <c r="J109" s="59" t="str">
        <f>IFERROR(VLOOKUP($A109,SortedDownload!$A$3:$BB$499,23,FALSE),"")</f>
        <v>00:06:34.4 (132)</v>
      </c>
      <c r="K109" s="59" t="str">
        <f>IFERROR(VLOOKUP($A109,SortedDownload!$A$3:$BB$499,24,FALSE),"")</f>
        <v>00:04:03.6 (71)</v>
      </c>
      <c r="L109" s="59" t="str">
        <f>IFERROR(VLOOKUP($A109,SortedDownload!$A$3:$BB$499,25,FALSE),"")</f>
        <v>00:02:27.2 (100)</v>
      </c>
      <c r="M109" s="59" t="str">
        <f>IFERROR(VLOOKUP($A109,SortedDownload!$A$3:$BB$499,26,FALSE),"")</f>
        <v>00:04:52.8 (84)</v>
      </c>
      <c r="N109" s="59" t="str">
        <f>IFERROR(VLOOKUP($A109,SortedDownload!$A$3:$BB$499,27,FALSE),"")</f>
        <v>00:05:45.7 (99)</v>
      </c>
      <c r="O109" s="59" t="str">
        <f>IFERROR(VLOOKUP($A109,SortedDownload!$A$3:$BB$499,28,FALSE),"")</f>
        <v>DNS/DNF ()</v>
      </c>
      <c r="P109" s="59" t="str">
        <f>IFERROR(VLOOKUP($A109,SortedDownload!$A$3:$BB$499,29,FALSE),"")</f>
        <v>DNS/DNF ()</v>
      </c>
      <c r="Q109" s="59" t="str">
        <f>IFERROR(VLOOKUP($A109,SortedDownload!$A$3:$BB$499,30,FALSE),"")</f>
        <v>DNS/DNF ()</v>
      </c>
      <c r="R109" s="62" t="str">
        <f>IFERROR(TEXT(VLOOKUP($A109,SortedDownload!$A$3:$Z$499,14,FALSE),"[hh]:mm:ss.000"),"")</f>
        <v>00:23:43.662</v>
      </c>
      <c r="S109" s="83" t="str">
        <f t="shared" si="5"/>
        <v>00:08</v>
      </c>
      <c r="T109" s="83" t="str">
        <f t="shared" si="3"/>
        <v>06:54</v>
      </c>
      <c r="U109" s="9" t="str">
        <f t="shared" si="4"/>
        <v/>
      </c>
      <c r="V109" s="20" t="str">
        <f>IFERROR(IF(VLOOKUP(H109,AgeCategories!$D$3:$J$32,7,FALSE)=I109,"","DNF"),"")</f>
        <v/>
      </c>
      <c r="W109" s="9"/>
      <c r="X109" s="9"/>
    </row>
    <row r="110" spans="1:24">
      <c r="A110" s="53">
        <f>IF(SortedDownload!A110 &lt; 1,"",SortedDownload!A110)</f>
        <v>277</v>
      </c>
      <c r="B110" s="55">
        <f>IF(V110&lt;&gt;"","DNF",COUNTIF($V$3:V110,V110))</f>
        <v>108</v>
      </c>
      <c r="C110" s="54">
        <f>IF(OR(B110="DNF",H110=""),"DNF",COUNTIF($H$3:H110,H110))</f>
        <v>13</v>
      </c>
      <c r="D110" s="90" t="str">
        <f>IFERROR(VLOOKUP($A110,EntryList!$A$3:$N$596,2,FALSE),"")</f>
        <v>Stephen Wiggill</v>
      </c>
      <c r="E110" s="54">
        <f>IFERROR(VLOOKUP($A110,EntryList!$A$3:$V$596,19,FALSE),"")</f>
        <v>0</v>
      </c>
      <c r="F110" s="176">
        <f>IFERROR(VLOOKUP($A110,EntryList!$A$3:$V$596,18,FALSE),"")</f>
        <v>0</v>
      </c>
      <c r="G110" s="90" t="str">
        <f>IFERROR(VLOOKUP($A110,EntryList!$A$3:$N$596,6,FALSE),"")</f>
        <v>M</v>
      </c>
      <c r="H110" s="90" t="str">
        <f>IFERROR(VLOOKUP($A110,EntryList!$A$3:$N$596,7,FALSE),"")</f>
        <v>E-Bike M</v>
      </c>
      <c r="I110" s="54">
        <f>IFERROR(VLOOKUP($A110,SortedDownload!$A$3:$Z606,4,FALSE),"")</f>
        <v>5</v>
      </c>
      <c r="J110" s="59" t="str">
        <f>IFERROR(VLOOKUP($A110,SortedDownload!$A$3:$BB$499,23,FALSE),"")</f>
        <v>00:05:15.2 (116)</v>
      </c>
      <c r="K110" s="59" t="str">
        <f>IFERROR(VLOOKUP($A110,SortedDownload!$A$3:$BB$499,24,FALSE),"")</f>
        <v>00:04:33.9 (151)</v>
      </c>
      <c r="L110" s="59" t="str">
        <f>IFERROR(VLOOKUP($A110,SortedDownload!$A$3:$BB$499,25,FALSE),"")</f>
        <v>00:02:50.8 (187)</v>
      </c>
      <c r="M110" s="59" t="str">
        <f>IFERROR(VLOOKUP($A110,SortedDownload!$A$3:$BB$499,26,FALSE),"")</f>
        <v>00:05:17.0 (111)</v>
      </c>
      <c r="N110" s="59" t="str">
        <f>IFERROR(VLOOKUP($A110,SortedDownload!$A$3:$BB$499,27,FALSE),"")</f>
        <v>00:05:56.9 (131)</v>
      </c>
      <c r="O110" s="59" t="str">
        <f>IFERROR(VLOOKUP($A110,SortedDownload!$A$3:$BB$499,28,FALSE),"")</f>
        <v>DNS/DNF ()</v>
      </c>
      <c r="P110" s="59" t="str">
        <f>IFERROR(VLOOKUP($A110,SortedDownload!$A$3:$BB$499,29,FALSE),"")</f>
        <v>DNS/DNF ()</v>
      </c>
      <c r="Q110" s="59" t="str">
        <f>IFERROR(VLOOKUP($A110,SortedDownload!$A$3:$BB$499,30,FALSE),"")</f>
        <v>DNS/DNF ()</v>
      </c>
      <c r="R110" s="62" t="str">
        <f>IFERROR(TEXT(VLOOKUP($A110,SortedDownload!$A$3:$Z$499,14,FALSE),"[hh]:mm:ss.000"),"")</f>
        <v>00:23:53.779</v>
      </c>
      <c r="S110" s="83" t="str">
        <f t="shared" si="5"/>
        <v>00:10</v>
      </c>
      <c r="T110" s="83" t="str">
        <f t="shared" si="3"/>
        <v>07:04</v>
      </c>
      <c r="U110" s="9" t="str">
        <f t="shared" si="4"/>
        <v/>
      </c>
      <c r="V110" s="20" t="str">
        <f>IFERROR(IF(VLOOKUP(H110,AgeCategories!$D$3:$J$32,7,FALSE)=I110,"","DNF"),"")</f>
        <v/>
      </c>
      <c r="W110" s="9"/>
      <c r="X110" s="9"/>
    </row>
    <row r="111" spans="1:24">
      <c r="A111" s="53">
        <f>IF(SortedDownload!A111 &lt; 1,"",SortedDownload!A111)</f>
        <v>146</v>
      </c>
      <c r="B111" s="55">
        <f>IF(V111&lt;&gt;"","DNF",COUNTIF($V$3:V111,V111))</f>
        <v>109</v>
      </c>
      <c r="C111" s="54">
        <f>IF(OR(B111="DNF",H111=""),"DNF",COUNTIF($H$3:H111,H111))</f>
        <v>32</v>
      </c>
      <c r="D111" s="90" t="str">
        <f>IFERROR(VLOOKUP($A111,EntryList!$A$3:$N$596,2,FALSE),"")</f>
        <v>Andrew Kenny</v>
      </c>
      <c r="E111" s="54">
        <f>IFERROR(VLOOKUP($A111,EntryList!$A$3:$V$596,19,FALSE),"")</f>
        <v>0</v>
      </c>
      <c r="F111" s="176">
        <f>IFERROR(VLOOKUP($A111,EntryList!$A$3:$V$596,18,FALSE),"")</f>
        <v>0</v>
      </c>
      <c r="G111" s="90" t="str">
        <f>IFERROR(VLOOKUP($A111,EntryList!$A$3:$N$596,6,FALSE),"")</f>
        <v>M</v>
      </c>
      <c r="H111" s="90" t="str">
        <f>IFERROR(VLOOKUP($A111,EntryList!$A$3:$N$596,7,FALSE),"")</f>
        <v>Master Men</v>
      </c>
      <c r="I111" s="54">
        <f>IFERROR(VLOOKUP($A111,SortedDownload!$A$3:$Z607,4,FALSE),"")</f>
        <v>5</v>
      </c>
      <c r="J111" s="59" t="str">
        <f>IFERROR(VLOOKUP($A111,SortedDownload!$A$3:$BB$499,23,FALSE),"")</f>
        <v>00:05:52.4 (126)</v>
      </c>
      <c r="K111" s="59" t="str">
        <f>IFERROR(VLOOKUP($A111,SortedDownload!$A$3:$BB$499,24,FALSE),"")</f>
        <v>00:04:20.4 (113)</v>
      </c>
      <c r="L111" s="59" t="str">
        <f>IFERROR(VLOOKUP($A111,SortedDownload!$A$3:$BB$499,25,FALSE),"")</f>
        <v>00:02:39.2 (144)</v>
      </c>
      <c r="M111" s="59" t="str">
        <f>IFERROR(VLOOKUP($A111,SortedDownload!$A$3:$BB$499,26,FALSE),"")</f>
        <v>00:05:00.2 (95)</v>
      </c>
      <c r="N111" s="59" t="str">
        <f>IFERROR(VLOOKUP($A111,SortedDownload!$A$3:$BB$499,27,FALSE),"")</f>
        <v>00:06:04.4 (149)</v>
      </c>
      <c r="O111" s="59" t="str">
        <f>IFERROR(VLOOKUP($A111,SortedDownload!$A$3:$BB$499,28,FALSE),"")</f>
        <v>DNS/DNF ()</v>
      </c>
      <c r="P111" s="59" t="str">
        <f>IFERROR(VLOOKUP($A111,SortedDownload!$A$3:$BB$499,29,FALSE),"")</f>
        <v>DNS/DNF ()</v>
      </c>
      <c r="Q111" s="59" t="str">
        <f>IFERROR(VLOOKUP($A111,SortedDownload!$A$3:$BB$499,30,FALSE),"")</f>
        <v>DNS/DNF ()</v>
      </c>
      <c r="R111" s="62" t="str">
        <f>IFERROR(TEXT(VLOOKUP($A111,SortedDownload!$A$3:$Z$499,14,FALSE),"[hh]:mm:ss.000"),"")</f>
        <v>00:23:56.584</v>
      </c>
      <c r="S111" s="83" t="str">
        <f t="shared" si="5"/>
        <v>00:03</v>
      </c>
      <c r="T111" s="83" t="str">
        <f t="shared" si="3"/>
        <v>07:07</v>
      </c>
      <c r="U111" s="9" t="str">
        <f t="shared" si="4"/>
        <v/>
      </c>
      <c r="V111" s="20" t="str">
        <f>IFERROR(IF(VLOOKUP(H111,AgeCategories!$D$3:$J$32,7,FALSE)=I111,"","DNF"),"")</f>
        <v/>
      </c>
      <c r="W111" s="9"/>
      <c r="X111" s="9"/>
    </row>
    <row r="112" spans="1:24">
      <c r="A112" s="53">
        <f>IF(SortedDownload!A112 &lt; 1,"",SortedDownload!A112)</f>
        <v>103</v>
      </c>
      <c r="B112" s="55">
        <f>IF(V112&lt;&gt;"","DNF",COUNTIF($V$3:V112,V112))</f>
        <v>110</v>
      </c>
      <c r="C112" s="54">
        <f>IF(OR(B112="DNF",H112=""),"DNF",COUNTIF($H$3:H112,H112))</f>
        <v>26</v>
      </c>
      <c r="D112" s="90" t="str">
        <f>IFERROR(VLOOKUP($A112,EntryList!$A$3:$N$596,2,FALSE),"")</f>
        <v>Angus Fergusson</v>
      </c>
      <c r="E112" s="54">
        <f>IFERROR(VLOOKUP($A112,EntryList!$A$3:$V$596,19,FALSE),"")</f>
        <v>0</v>
      </c>
      <c r="F112" s="176">
        <f>IFERROR(VLOOKUP($A112,EntryList!$A$3:$V$596,18,FALSE),"")</f>
        <v>0</v>
      </c>
      <c r="G112" s="90" t="str">
        <f>IFERROR(VLOOKUP($A112,EntryList!$A$3:$N$596,6,FALSE),"")</f>
        <v>M</v>
      </c>
      <c r="H112" s="90" t="str">
        <f>IFERROR(VLOOKUP($A112,EntryList!$A$3:$N$596,7,FALSE),"")</f>
        <v>Elite Men</v>
      </c>
      <c r="I112" s="54">
        <f>IFERROR(VLOOKUP($A112,SortedDownload!$A$3:$Z608,4,FALSE),"")</f>
        <v>5</v>
      </c>
      <c r="J112" s="59" t="str">
        <f>IFERROR(VLOOKUP($A112,SortedDownload!$A$3:$BB$499,23,FALSE),"")</f>
        <v>00:05:33.9 (120)</v>
      </c>
      <c r="K112" s="59" t="str">
        <f>IFERROR(VLOOKUP($A112,SortedDownload!$A$3:$BB$499,24,FALSE),"")</f>
        <v>00:04:37.9 (163)</v>
      </c>
      <c r="L112" s="59" t="str">
        <f>IFERROR(VLOOKUP($A112,SortedDownload!$A$3:$BB$499,25,FALSE),"")</f>
        <v>00:02:35.2 (135)</v>
      </c>
      <c r="M112" s="59" t="str">
        <f>IFERROR(VLOOKUP($A112,SortedDownload!$A$3:$BB$499,26,FALSE),"")</f>
        <v>00:05:08.9 (105)</v>
      </c>
      <c r="N112" s="59" t="str">
        <f>IFERROR(VLOOKUP($A112,SortedDownload!$A$3:$BB$499,27,FALSE),"")</f>
        <v>00:06:08.0 (157)</v>
      </c>
      <c r="O112" s="59" t="str">
        <f>IFERROR(VLOOKUP($A112,SortedDownload!$A$3:$BB$499,28,FALSE),"")</f>
        <v>DNS/DNF ()</v>
      </c>
      <c r="P112" s="59" t="str">
        <f>IFERROR(VLOOKUP($A112,SortedDownload!$A$3:$BB$499,29,FALSE),"")</f>
        <v>DNS/DNF ()</v>
      </c>
      <c r="Q112" s="59" t="str">
        <f>IFERROR(VLOOKUP($A112,SortedDownload!$A$3:$BB$499,30,FALSE),"")</f>
        <v>DNS/DNF ()</v>
      </c>
      <c r="R112" s="62" t="str">
        <f>IFERROR(TEXT(VLOOKUP($A112,SortedDownload!$A$3:$Z$499,14,FALSE),"[hh]:mm:ss.000"),"")</f>
        <v>00:24:03.896</v>
      </c>
      <c r="S112" s="83" t="str">
        <f t="shared" si="5"/>
        <v>00:07</v>
      </c>
      <c r="T112" s="83" t="str">
        <f t="shared" si="3"/>
        <v>07:14</v>
      </c>
      <c r="U112" s="9" t="str">
        <f t="shared" si="4"/>
        <v/>
      </c>
      <c r="V112" s="20" t="str">
        <f>IFERROR(IF(VLOOKUP(H112,AgeCategories!$D$3:$J$32,7,FALSE)=I112,"","DNF"),"")</f>
        <v/>
      </c>
      <c r="W112" s="9"/>
      <c r="X112" s="9"/>
    </row>
    <row r="113" spans="1:24">
      <c r="A113" s="53">
        <f>IF(SortedDownload!A113 &lt; 1,"",SortedDownload!A113)</f>
        <v>245</v>
      </c>
      <c r="B113" s="55">
        <f>IF(V113&lt;&gt;"","DNF",COUNTIF($V$3:V113,V113))</f>
        <v>111</v>
      </c>
      <c r="C113" s="54">
        <f>IF(OR(B113="DNF",H113=""),"DNF",COUNTIF($H$3:H113,H113))</f>
        <v>14</v>
      </c>
      <c r="D113" s="90" t="str">
        <f>IFERROR(VLOOKUP($A113,EntryList!$A$3:$N$596,2,FALSE),"")</f>
        <v>Miles Henebrey</v>
      </c>
      <c r="E113" s="54">
        <f>IFERROR(VLOOKUP($A113,EntryList!$A$3:$V$596,19,FALSE),"")</f>
        <v>0</v>
      </c>
      <c r="F113" s="176">
        <f>IFERROR(VLOOKUP($A113,EntryList!$A$3:$V$596,18,FALSE),"")</f>
        <v>0</v>
      </c>
      <c r="G113" s="90" t="str">
        <f>IFERROR(VLOOKUP($A113,EntryList!$A$3:$N$596,6,FALSE),"")</f>
        <v>M</v>
      </c>
      <c r="H113" s="90" t="str">
        <f>IFERROR(VLOOKUP($A113,EntryList!$A$3:$N$596,7,FALSE),"")</f>
        <v>E-Bike M</v>
      </c>
      <c r="I113" s="54">
        <f>IFERROR(VLOOKUP($A113,SortedDownload!$A$3:$Z609,4,FALSE),"")</f>
        <v>5</v>
      </c>
      <c r="J113" s="59" t="str">
        <f>IFERROR(VLOOKUP($A113,SortedDownload!$A$3:$BB$499,23,FALSE),"")</f>
        <v>00:05:34.5 (121)</v>
      </c>
      <c r="K113" s="59" t="str">
        <f>IFERROR(VLOOKUP($A113,SortedDownload!$A$3:$BB$499,24,FALSE),"")</f>
        <v>00:04:36.2 (156)</v>
      </c>
      <c r="L113" s="59" t="str">
        <f>IFERROR(VLOOKUP($A113,SortedDownload!$A$3:$BB$499,25,FALSE),"")</f>
        <v>00:02:31.6 (116)</v>
      </c>
      <c r="M113" s="59" t="str">
        <f>IFERROR(VLOOKUP($A113,SortedDownload!$A$3:$BB$499,26,FALSE),"")</f>
        <v>00:05:17.2 (112)</v>
      </c>
      <c r="N113" s="59" t="str">
        <f>IFERROR(VLOOKUP($A113,SortedDownload!$A$3:$BB$499,27,FALSE),"")</f>
        <v>00:06:16.3 (171)</v>
      </c>
      <c r="O113" s="59" t="str">
        <f>IFERROR(VLOOKUP($A113,SortedDownload!$A$3:$BB$499,28,FALSE),"")</f>
        <v>DNS/DNF ()</v>
      </c>
      <c r="P113" s="59" t="str">
        <f>IFERROR(VLOOKUP($A113,SortedDownload!$A$3:$BB$499,29,FALSE),"")</f>
        <v>DNS/DNF ()</v>
      </c>
      <c r="Q113" s="59" t="str">
        <f>IFERROR(VLOOKUP($A113,SortedDownload!$A$3:$BB$499,30,FALSE),"")</f>
        <v>DNS/DNF ()</v>
      </c>
      <c r="R113" s="62" t="str">
        <f>IFERROR(TEXT(VLOOKUP($A113,SortedDownload!$A$3:$Z$499,14,FALSE),"[hh]:mm:ss.000"),"")</f>
        <v>00:24:15.782</v>
      </c>
      <c r="S113" s="83" t="str">
        <f t="shared" si="5"/>
        <v>00:12</v>
      </c>
      <c r="T113" s="83" t="str">
        <f t="shared" si="3"/>
        <v>07:26</v>
      </c>
      <c r="U113" s="9" t="str">
        <f t="shared" si="4"/>
        <v/>
      </c>
      <c r="V113" s="20" t="str">
        <f>IFERROR(IF(VLOOKUP(H113,AgeCategories!$D$3:$J$32,7,FALSE)=I113,"","DNF"),"")</f>
        <v/>
      </c>
      <c r="W113" s="9"/>
      <c r="X113" s="9"/>
    </row>
    <row r="114" spans="1:24">
      <c r="A114" s="53">
        <f>IF(SortedDownload!A114 &lt; 1,"",SortedDownload!A114)</f>
        <v>118</v>
      </c>
      <c r="B114" s="55">
        <f>IF(V114&lt;&gt;"","DNF",COUNTIF($V$3:V114,V114))</f>
        <v>112</v>
      </c>
      <c r="C114" s="54">
        <f>IF(OR(B114="DNF",H114=""),"DNF",COUNTIF($H$3:H114,H114))</f>
        <v>33</v>
      </c>
      <c r="D114" s="90" t="str">
        <f>IFERROR(VLOOKUP($A114,EntryList!$A$3:$N$596,2,FALSE),"")</f>
        <v>Robin Moore</v>
      </c>
      <c r="E114" s="54">
        <f>IFERROR(VLOOKUP($A114,EntryList!$A$3:$V$596,19,FALSE),"")</f>
        <v>0</v>
      </c>
      <c r="F114" s="176">
        <f>IFERROR(VLOOKUP($A114,EntryList!$A$3:$V$596,18,FALSE),"")</f>
        <v>0</v>
      </c>
      <c r="G114" s="90" t="str">
        <f>IFERROR(VLOOKUP($A114,EntryList!$A$3:$N$596,6,FALSE),"")</f>
        <v>M</v>
      </c>
      <c r="H114" s="90" t="str">
        <f>IFERROR(VLOOKUP($A114,EntryList!$A$3:$N$596,7,FALSE),"")</f>
        <v>Master Men</v>
      </c>
      <c r="I114" s="54">
        <f>IFERROR(VLOOKUP($A114,SortedDownload!$A$3:$Z610,4,FALSE),"")</f>
        <v>5</v>
      </c>
      <c r="J114" s="59" t="str">
        <f>IFERROR(VLOOKUP($A114,SortedDownload!$A$3:$BB$499,23,FALSE),"")</f>
        <v>00:07:41.5 (135)</v>
      </c>
      <c r="K114" s="59" t="str">
        <f>IFERROR(VLOOKUP($A114,SortedDownload!$A$3:$BB$499,24,FALSE),"")</f>
        <v>00:04:01.4 (61)</v>
      </c>
      <c r="L114" s="59" t="str">
        <f>IFERROR(VLOOKUP($A114,SortedDownload!$A$3:$BB$499,25,FALSE),"")</f>
        <v>00:02:21.9 (82)</v>
      </c>
      <c r="M114" s="59" t="str">
        <f>IFERROR(VLOOKUP($A114,SortedDownload!$A$3:$BB$499,26,FALSE),"")</f>
        <v>00:04:40.3 (76)</v>
      </c>
      <c r="N114" s="59" t="str">
        <f>IFERROR(VLOOKUP($A114,SortedDownload!$A$3:$BB$499,27,FALSE),"")</f>
        <v>00:05:31.8 (70)</v>
      </c>
      <c r="O114" s="59" t="str">
        <f>IFERROR(VLOOKUP($A114,SortedDownload!$A$3:$BB$499,28,FALSE),"")</f>
        <v>DNS/DNF ()</v>
      </c>
      <c r="P114" s="59" t="str">
        <f>IFERROR(VLOOKUP($A114,SortedDownload!$A$3:$BB$499,29,FALSE),"")</f>
        <v>DNS/DNF ()</v>
      </c>
      <c r="Q114" s="59" t="str">
        <f>IFERROR(VLOOKUP($A114,SortedDownload!$A$3:$BB$499,30,FALSE),"")</f>
        <v>DNS/DNF ()</v>
      </c>
      <c r="R114" s="62" t="str">
        <f>IFERROR(TEXT(VLOOKUP($A114,SortedDownload!$A$3:$Z$499,14,FALSE),"[hh]:mm:ss.000"),"")</f>
        <v>00:24:16.889</v>
      </c>
      <c r="S114" s="83" t="str">
        <f t="shared" si="5"/>
        <v>00:01</v>
      </c>
      <c r="T114" s="83" t="str">
        <f t="shared" si="3"/>
        <v>07:27</v>
      </c>
      <c r="U114" s="9" t="str">
        <f t="shared" si="4"/>
        <v/>
      </c>
      <c r="V114" s="20" t="str">
        <f>IFERROR(IF(VLOOKUP(H114,AgeCategories!$D$3:$J$32,7,FALSE)=I114,"","DNF"),"")</f>
        <v/>
      </c>
      <c r="W114" s="9"/>
      <c r="X114" s="9"/>
    </row>
    <row r="115" spans="1:24">
      <c r="A115" s="53">
        <f>IF(SortedDownload!A115 &lt; 1,"",SortedDownload!A115)</f>
        <v>204</v>
      </c>
      <c r="B115" s="55">
        <f>IF(V115&lt;&gt;"","DNF",COUNTIF($V$3:V115,V115))</f>
        <v>113</v>
      </c>
      <c r="C115" s="54">
        <f>IF(OR(B115="DNF",H115=""),"DNF",COUNTIF($H$3:H115,H115))</f>
        <v>24</v>
      </c>
      <c r="D115" s="90" t="str">
        <f>IFERROR(VLOOKUP($A115,EntryList!$A$3:$N$596,2,FALSE),"")</f>
        <v>Tyler Pearce Denovan</v>
      </c>
      <c r="E115" s="54">
        <f>IFERROR(VLOOKUP($A115,EntryList!$A$3:$V$596,19,FALSE),"")</f>
        <v>0</v>
      </c>
      <c r="F115" s="176">
        <f>IFERROR(VLOOKUP($A115,EntryList!$A$3:$V$596,18,FALSE),"")</f>
        <v>0</v>
      </c>
      <c r="G115" s="90" t="str">
        <f>IFERROR(VLOOKUP($A115,EntryList!$A$3:$N$596,6,FALSE),"")</f>
        <v>M</v>
      </c>
      <c r="H115" s="90" t="str">
        <f>IFERROR(VLOOKUP($A115,EntryList!$A$3:$N$596,7,FALSE),"")</f>
        <v>Youth Men</v>
      </c>
      <c r="I115" s="54">
        <f>IFERROR(VLOOKUP($A115,SortedDownload!$A$3:$Z611,4,FALSE),"")</f>
        <v>5</v>
      </c>
      <c r="J115" s="59" t="str">
        <f>IFERROR(VLOOKUP($A115,SortedDownload!$A$3:$BB$499,23,FALSE),"")</f>
        <v>00:05:08.9 (111)</v>
      </c>
      <c r="K115" s="59" t="str">
        <f>IFERROR(VLOOKUP($A115,SortedDownload!$A$3:$BB$499,24,FALSE),"")</f>
        <v>00:04:40.2 (169)</v>
      </c>
      <c r="L115" s="59" t="str">
        <f>IFERROR(VLOOKUP($A115,SortedDownload!$A$3:$BB$499,25,FALSE),"")</f>
        <v>00:02:40.5 (156)</v>
      </c>
      <c r="M115" s="59" t="str">
        <f>IFERROR(VLOOKUP($A115,SortedDownload!$A$3:$BB$499,26,FALSE),"")</f>
        <v>00:05:27.8 (119)</v>
      </c>
      <c r="N115" s="59" t="str">
        <f>IFERROR(VLOOKUP($A115,SortedDownload!$A$3:$BB$499,27,FALSE),"")</f>
        <v>00:06:20.5 (175)</v>
      </c>
      <c r="O115" s="59" t="str">
        <f>IFERROR(VLOOKUP($A115,SortedDownload!$A$3:$BB$499,28,FALSE),"")</f>
        <v>DNS/DNF ()</v>
      </c>
      <c r="P115" s="59" t="str">
        <f>IFERROR(VLOOKUP($A115,SortedDownload!$A$3:$BB$499,29,FALSE),"")</f>
        <v>DNS/DNF ()</v>
      </c>
      <c r="Q115" s="59" t="str">
        <f>IFERROR(VLOOKUP($A115,SortedDownload!$A$3:$BB$499,30,FALSE),"")</f>
        <v>DNS/DNF ()</v>
      </c>
      <c r="R115" s="62" t="str">
        <f>IFERROR(TEXT(VLOOKUP($A115,SortedDownload!$A$3:$Z$499,14,FALSE),"[hh]:mm:ss.000"),"")</f>
        <v>00:24:17.877</v>
      </c>
      <c r="S115" s="83" t="str">
        <f t="shared" si="5"/>
        <v>00:01</v>
      </c>
      <c r="T115" s="83" t="str">
        <f t="shared" si="3"/>
        <v>07:28</v>
      </c>
      <c r="U115" s="9" t="str">
        <f t="shared" si="4"/>
        <v/>
      </c>
      <c r="V115" s="20" t="str">
        <f>IFERROR(IF(VLOOKUP(H115,AgeCategories!$D$3:$J$32,7,FALSE)=I115,"","DNF"),"")</f>
        <v/>
      </c>
      <c r="W115" s="9"/>
      <c r="X115" s="9"/>
    </row>
    <row r="116" spans="1:24">
      <c r="A116" s="53">
        <f>IF(SortedDownload!A116 &lt; 1,"",SortedDownload!A116)</f>
        <v>296</v>
      </c>
      <c r="B116" s="55">
        <f>IF(V116&lt;&gt;"","DNF",COUNTIF($V$3:V116,V116))</f>
        <v>114</v>
      </c>
      <c r="C116" s="54">
        <f>IF(OR(B116="DNF",H116=""),"DNF",COUNTIF($H$3:H116,H116))</f>
        <v>25</v>
      </c>
      <c r="D116" s="90" t="str">
        <f>IFERROR(VLOOKUP($A116,EntryList!$A$3:$N$596,2,FALSE),"")</f>
        <v>Daniel Franken</v>
      </c>
      <c r="E116" s="54">
        <f>IFERROR(VLOOKUP($A116,EntryList!$A$3:$V$596,19,FALSE),"")</f>
        <v>0</v>
      </c>
      <c r="F116" s="176">
        <f>IFERROR(VLOOKUP($A116,EntryList!$A$3:$V$596,18,FALSE),"")</f>
        <v>0</v>
      </c>
      <c r="G116" s="90" t="str">
        <f>IFERROR(VLOOKUP($A116,EntryList!$A$3:$N$596,6,FALSE),"")</f>
        <v>M</v>
      </c>
      <c r="H116" s="90" t="str">
        <f>IFERROR(VLOOKUP($A116,EntryList!$A$3:$N$596,7,FALSE),"")</f>
        <v>Youth Men</v>
      </c>
      <c r="I116" s="54">
        <f>IFERROR(VLOOKUP($A116,SortedDownload!$A$3:$Z612,4,FALSE),"")</f>
        <v>5</v>
      </c>
      <c r="J116" s="59" t="str">
        <f>IFERROR(VLOOKUP($A116,SortedDownload!$A$3:$BB$499,23,FALSE),"")</f>
        <v>00:05:35.0 (122)</v>
      </c>
      <c r="K116" s="59" t="str">
        <f>IFERROR(VLOOKUP($A116,SortedDownload!$A$3:$BB$499,24,FALSE),"")</f>
        <v>00:04:44.4 (180)</v>
      </c>
      <c r="L116" s="59" t="str">
        <f>IFERROR(VLOOKUP($A116,SortedDownload!$A$3:$BB$499,25,FALSE),"")</f>
        <v>00:02:40.9 (160)</v>
      </c>
      <c r="M116" s="59" t="str">
        <f>IFERROR(VLOOKUP($A116,SortedDownload!$A$3:$BB$499,26,FALSE),"")</f>
        <v>00:05:14.2 (110)</v>
      </c>
      <c r="N116" s="59" t="str">
        <f>IFERROR(VLOOKUP($A116,SortedDownload!$A$3:$BB$499,27,FALSE),"")</f>
        <v>00:06:09.5 (161)</v>
      </c>
      <c r="O116" s="59" t="str">
        <f>IFERROR(VLOOKUP($A116,SortedDownload!$A$3:$BB$499,28,FALSE),"")</f>
        <v>DNS/DNF ()</v>
      </c>
      <c r="P116" s="59" t="str">
        <f>IFERROR(VLOOKUP($A116,SortedDownload!$A$3:$BB$499,29,FALSE),"")</f>
        <v>DNS/DNF ()</v>
      </c>
      <c r="Q116" s="59" t="str">
        <f>IFERROR(VLOOKUP($A116,SortedDownload!$A$3:$BB$499,30,FALSE),"")</f>
        <v>DNS/DNF ()</v>
      </c>
      <c r="R116" s="62" t="str">
        <f>IFERROR(TEXT(VLOOKUP($A116,SortedDownload!$A$3:$Z$499,14,FALSE),"[hh]:mm:ss.000"),"")</f>
        <v>00:24:23.971</v>
      </c>
      <c r="S116" s="83" t="str">
        <f t="shared" si="5"/>
        <v>00:06</v>
      </c>
      <c r="T116" s="83" t="str">
        <f t="shared" si="3"/>
        <v>07:34</v>
      </c>
      <c r="U116" s="9" t="str">
        <f t="shared" si="4"/>
        <v/>
      </c>
      <c r="V116" s="20" t="str">
        <f>IFERROR(IF(VLOOKUP(H116,AgeCategories!$D$3:$J$32,7,FALSE)=I116,"","DNF"),"")</f>
        <v/>
      </c>
      <c r="W116" s="9"/>
      <c r="X116" s="9"/>
    </row>
    <row r="117" spans="1:24">
      <c r="A117" s="53">
        <f>IF(SortedDownload!A117 &lt; 1,"",SortedDownload!A117)</f>
        <v>104</v>
      </c>
      <c r="B117" s="55">
        <f>IF(V117&lt;&gt;"","DNF",COUNTIF($V$3:V117,V117))</f>
        <v>115</v>
      </c>
      <c r="C117" s="54">
        <f>IF(OR(B117="DNF",H117=""),"DNF",COUNTIF($H$3:H117,H117))</f>
        <v>34</v>
      </c>
      <c r="D117" s="90" t="str">
        <f>IFERROR(VLOOKUP($A117,EntryList!$A$3:$N$596,2,FALSE),"")</f>
        <v>Ryan Liversage</v>
      </c>
      <c r="E117" s="54">
        <f>IFERROR(VLOOKUP($A117,EntryList!$A$3:$V$596,19,FALSE),"")</f>
        <v>0</v>
      </c>
      <c r="F117" s="176">
        <f>IFERROR(VLOOKUP($A117,EntryList!$A$3:$V$596,18,FALSE),"")</f>
        <v>0</v>
      </c>
      <c r="G117" s="90" t="str">
        <f>IFERROR(VLOOKUP($A117,EntryList!$A$3:$N$596,6,FALSE),"")</f>
        <v>M</v>
      </c>
      <c r="H117" s="90" t="str">
        <f>IFERROR(VLOOKUP($A117,EntryList!$A$3:$N$596,7,FALSE),"")</f>
        <v>Master Men</v>
      </c>
      <c r="I117" s="54">
        <f>IFERROR(VLOOKUP($A117,SortedDownload!$A$3:$Z613,4,FALSE),"")</f>
        <v>5</v>
      </c>
      <c r="J117" s="59" t="str">
        <f>IFERROR(VLOOKUP($A117,SortedDownload!$A$3:$BB$499,23,FALSE),"")</f>
        <v>00:05:06.1 (110)</v>
      </c>
      <c r="K117" s="59" t="str">
        <f>IFERROR(VLOOKUP($A117,SortedDownload!$A$3:$BB$499,24,FALSE),"")</f>
        <v>00:04:52.4 (192)</v>
      </c>
      <c r="L117" s="59" t="str">
        <f>IFERROR(VLOOKUP($A117,SortedDownload!$A$3:$BB$499,25,FALSE),"")</f>
        <v>00:02:34.7 (130)</v>
      </c>
      <c r="M117" s="59" t="str">
        <f>IFERROR(VLOOKUP($A117,SortedDownload!$A$3:$BB$499,26,FALSE),"")</f>
        <v>00:05:19.6 (114)</v>
      </c>
      <c r="N117" s="59" t="str">
        <f>IFERROR(VLOOKUP($A117,SortedDownload!$A$3:$BB$499,27,FALSE),"")</f>
        <v>00:06:33.9 (193)</v>
      </c>
      <c r="O117" s="59" t="str">
        <f>IFERROR(VLOOKUP($A117,SortedDownload!$A$3:$BB$499,28,FALSE),"")</f>
        <v>DNS/DNF ()</v>
      </c>
      <c r="P117" s="59" t="str">
        <f>IFERROR(VLOOKUP($A117,SortedDownload!$A$3:$BB$499,29,FALSE),"")</f>
        <v>DNS/DNF ()</v>
      </c>
      <c r="Q117" s="59" t="str">
        <f>IFERROR(VLOOKUP($A117,SortedDownload!$A$3:$BB$499,30,FALSE),"")</f>
        <v>DNS/DNF ()</v>
      </c>
      <c r="R117" s="62" t="str">
        <f>IFERROR(TEXT(VLOOKUP($A117,SortedDownload!$A$3:$Z$499,14,FALSE),"[hh]:mm:ss.000"),"")</f>
        <v>00:24:26.611</v>
      </c>
      <c r="S117" s="83" t="str">
        <f t="shared" si="5"/>
        <v>00:03</v>
      </c>
      <c r="T117" s="83" t="str">
        <f t="shared" si="3"/>
        <v>07:37</v>
      </c>
      <c r="U117" s="9" t="str">
        <f t="shared" si="4"/>
        <v/>
      </c>
      <c r="V117" s="20" t="str">
        <f>IFERROR(IF(VLOOKUP(H117,AgeCategories!$D$3:$J$32,7,FALSE)=I117,"","DNF"),"")</f>
        <v/>
      </c>
      <c r="W117" s="9"/>
      <c r="X117" s="9"/>
    </row>
    <row r="118" spans="1:24">
      <c r="A118" s="53">
        <f>IF(SortedDownload!A118 &lt; 1,"",SortedDownload!A118)</f>
        <v>91</v>
      </c>
      <c r="B118" s="55">
        <f>IF(V118&lt;&gt;"","DNF",COUNTIF($V$3:V118,V118))</f>
        <v>116</v>
      </c>
      <c r="C118" s="54">
        <f>IF(OR(B118="DNF",H118=""),"DNF",COUNTIF($H$3:H118,H118))</f>
        <v>27</v>
      </c>
      <c r="D118" s="90" t="str">
        <f>IFERROR(VLOOKUP($A118,EntryList!$A$3:$N$596,2,FALSE),"")</f>
        <v>Grant Morris</v>
      </c>
      <c r="E118" s="54">
        <f>IFERROR(VLOOKUP($A118,EntryList!$A$3:$V$596,19,FALSE),"")</f>
        <v>0</v>
      </c>
      <c r="F118" s="176">
        <f>IFERROR(VLOOKUP($A118,EntryList!$A$3:$V$596,18,FALSE),"")</f>
        <v>0</v>
      </c>
      <c r="G118" s="90" t="str">
        <f>IFERROR(VLOOKUP($A118,EntryList!$A$3:$N$596,6,FALSE),"")</f>
        <v>M</v>
      </c>
      <c r="H118" s="90" t="str">
        <f>IFERROR(VLOOKUP($A118,EntryList!$A$3:$N$596,7,FALSE),"")</f>
        <v>Elite Men</v>
      </c>
      <c r="I118" s="54">
        <f>IFERROR(VLOOKUP($A118,SortedDownload!$A$3:$Z614,4,FALSE),"")</f>
        <v>5</v>
      </c>
      <c r="J118" s="59" t="str">
        <f>IFERROR(VLOOKUP($A118,SortedDownload!$A$3:$BB$499,23,FALSE),"")</f>
        <v>00:06:22.4 (130)</v>
      </c>
      <c r="K118" s="59" t="str">
        <f>IFERROR(VLOOKUP($A118,SortedDownload!$A$3:$BB$499,24,FALSE),"")</f>
        <v>00:04:32.8 (144)</v>
      </c>
      <c r="L118" s="59" t="str">
        <f>IFERROR(VLOOKUP($A118,SortedDownload!$A$3:$BB$499,25,FALSE),"")</f>
        <v>00:02:27.7 (102)</v>
      </c>
      <c r="M118" s="59" t="str">
        <f>IFERROR(VLOOKUP($A118,SortedDownload!$A$3:$BB$499,26,FALSE),"")</f>
        <v>00:05:10.6 (106)</v>
      </c>
      <c r="N118" s="59" t="str">
        <f>IFERROR(VLOOKUP($A118,SortedDownload!$A$3:$BB$499,27,FALSE),"")</f>
        <v>00:05:53.7 (122)</v>
      </c>
      <c r="O118" s="59" t="str">
        <f>IFERROR(VLOOKUP($A118,SortedDownload!$A$3:$BB$499,28,FALSE),"")</f>
        <v>DNS/DNF ()</v>
      </c>
      <c r="P118" s="59" t="str">
        <f>IFERROR(VLOOKUP($A118,SortedDownload!$A$3:$BB$499,29,FALSE),"")</f>
        <v>DNS/DNF ()</v>
      </c>
      <c r="Q118" s="59" t="str">
        <f>IFERROR(VLOOKUP($A118,SortedDownload!$A$3:$BB$499,30,FALSE),"")</f>
        <v>DNS/DNF ()</v>
      </c>
      <c r="R118" s="62" t="str">
        <f>IFERROR(TEXT(VLOOKUP($A118,SortedDownload!$A$3:$Z$499,14,FALSE),"[hh]:mm:ss.000"),"")</f>
        <v>00:24:27.124</v>
      </c>
      <c r="S118" s="83" t="str">
        <f t="shared" si="5"/>
        <v>00:01</v>
      </c>
      <c r="T118" s="83" t="str">
        <f t="shared" si="3"/>
        <v>07:37</v>
      </c>
      <c r="U118" s="9" t="str">
        <f t="shared" si="4"/>
        <v/>
      </c>
      <c r="V118" s="20" t="str">
        <f>IFERROR(IF(VLOOKUP(H118,AgeCategories!$D$3:$J$32,7,FALSE)=I118,"","DNF"),"")</f>
        <v/>
      </c>
      <c r="W118" s="9"/>
      <c r="X118" s="9"/>
    </row>
    <row r="119" spans="1:24">
      <c r="A119" s="53">
        <f>IF(SortedDownload!A119 &lt; 1,"",SortedDownload!A119)</f>
        <v>273</v>
      </c>
      <c r="B119" s="55">
        <f>IF(V119&lt;&gt;"","DNF",COUNTIF($V$3:V119,V119))</f>
        <v>117</v>
      </c>
      <c r="C119" s="54">
        <f>IF(OR(B119="DNF",H119=""),"DNF",COUNTIF($H$3:H119,H119))</f>
        <v>35</v>
      </c>
      <c r="D119" s="90" t="str">
        <f>IFERROR(VLOOKUP($A119,EntryList!$A$3:$N$596,2,FALSE),"")</f>
        <v>Marc Ruwiel</v>
      </c>
      <c r="E119" s="54">
        <f>IFERROR(VLOOKUP($A119,EntryList!$A$3:$V$596,19,FALSE),"")</f>
        <v>0</v>
      </c>
      <c r="F119" s="176">
        <f>IFERROR(VLOOKUP($A119,EntryList!$A$3:$V$596,18,FALSE),"")</f>
        <v>0</v>
      </c>
      <c r="G119" s="90" t="str">
        <f>IFERROR(VLOOKUP($A119,EntryList!$A$3:$N$596,6,FALSE),"")</f>
        <v>M</v>
      </c>
      <c r="H119" s="90" t="str">
        <f>IFERROR(VLOOKUP($A119,EntryList!$A$3:$N$596,7,FALSE),"")</f>
        <v>Master Men</v>
      </c>
      <c r="I119" s="54">
        <f>IFERROR(VLOOKUP($A119,SortedDownload!$A$3:$Z615,4,FALSE),"")</f>
        <v>5</v>
      </c>
      <c r="J119" s="59" t="str">
        <f>IFERROR(VLOOKUP($A119,SortedDownload!$A$3:$BB$499,23,FALSE),"")</f>
        <v>00:05:40.6 (123)</v>
      </c>
      <c r="K119" s="59" t="str">
        <f>IFERROR(VLOOKUP($A119,SortedDownload!$A$3:$BB$499,24,FALSE),"")</f>
        <v>00:04:37.5 (160)</v>
      </c>
      <c r="L119" s="59" t="str">
        <f>IFERROR(VLOOKUP($A119,SortedDownload!$A$3:$BB$499,25,FALSE),"")</f>
        <v>00:02:52.3 (190)</v>
      </c>
      <c r="M119" s="59" t="str">
        <f>IFERROR(VLOOKUP($A119,SortedDownload!$A$3:$BB$499,26,FALSE),"")</f>
        <v>00:05:28.0 (120)</v>
      </c>
      <c r="N119" s="59" t="str">
        <f>IFERROR(VLOOKUP($A119,SortedDownload!$A$3:$BB$499,27,FALSE),"")</f>
        <v>00:05:58.4 (136)</v>
      </c>
      <c r="O119" s="59" t="str">
        <f>IFERROR(VLOOKUP($A119,SortedDownload!$A$3:$BB$499,28,FALSE),"")</f>
        <v>DNS/DNF ()</v>
      </c>
      <c r="P119" s="59" t="str">
        <f>IFERROR(VLOOKUP($A119,SortedDownload!$A$3:$BB$499,29,FALSE),"")</f>
        <v>DNS/DNF ()</v>
      </c>
      <c r="Q119" s="59" t="str">
        <f>IFERROR(VLOOKUP($A119,SortedDownload!$A$3:$BB$499,30,FALSE),"")</f>
        <v>DNS/DNF ()</v>
      </c>
      <c r="R119" s="62" t="str">
        <f>IFERROR(TEXT(VLOOKUP($A119,SortedDownload!$A$3:$Z$499,14,FALSE),"[hh]:mm:ss.000"),"")</f>
        <v>00:24:36.840</v>
      </c>
      <c r="S119" s="83" t="str">
        <f t="shared" si="5"/>
        <v>00:10</v>
      </c>
      <c r="T119" s="83" t="str">
        <f t="shared" si="3"/>
        <v>07:47</v>
      </c>
      <c r="U119" s="9" t="str">
        <f t="shared" si="4"/>
        <v/>
      </c>
      <c r="V119" s="20" t="str">
        <f>IFERROR(IF(VLOOKUP(H119,AgeCategories!$D$3:$J$32,7,FALSE)=I119,"","DNF"),"")</f>
        <v/>
      </c>
      <c r="W119" s="9"/>
      <c r="X119" s="9"/>
    </row>
    <row r="120" spans="1:24">
      <c r="A120" s="53">
        <f>IF(SortedDownload!A120 &lt; 1,"",SortedDownload!A120)</f>
        <v>174</v>
      </c>
      <c r="B120" s="55">
        <f>IF(V120&lt;&gt;"","DNF",COUNTIF($V$3:V120,V120))</f>
        <v>118</v>
      </c>
      <c r="C120" s="54">
        <f>IF(OR(B120="DNF",H120=""),"DNF",COUNTIF($H$3:H120,H120))</f>
        <v>36</v>
      </c>
      <c r="D120" s="90" t="str">
        <f>IFERROR(VLOOKUP($A120,EntryList!$A$3:$N$596,2,FALSE),"")</f>
        <v>Chris Kistner</v>
      </c>
      <c r="E120" s="54">
        <f>IFERROR(VLOOKUP($A120,EntryList!$A$3:$V$596,19,FALSE),"")</f>
        <v>0</v>
      </c>
      <c r="F120" s="176">
        <f>IFERROR(VLOOKUP($A120,EntryList!$A$3:$V$596,18,FALSE),"")</f>
        <v>0</v>
      </c>
      <c r="G120" s="90" t="str">
        <f>IFERROR(VLOOKUP($A120,EntryList!$A$3:$N$596,6,FALSE),"")</f>
        <v>M</v>
      </c>
      <c r="H120" s="90" t="str">
        <f>IFERROR(VLOOKUP($A120,EntryList!$A$3:$N$596,7,FALSE),"")</f>
        <v>Master Men</v>
      </c>
      <c r="I120" s="54">
        <f>IFERROR(VLOOKUP($A120,SortedDownload!$A$3:$Z616,4,FALSE),"")</f>
        <v>5</v>
      </c>
      <c r="J120" s="59" t="str">
        <f>IFERROR(VLOOKUP($A120,SortedDownload!$A$3:$BB$499,23,FALSE),"")</f>
        <v>00:05:59.0 (127)</v>
      </c>
      <c r="K120" s="59" t="str">
        <f>IFERROR(VLOOKUP($A120,SortedDownload!$A$3:$BB$499,24,FALSE),"")</f>
        <v>00:04:30.5 (138)</v>
      </c>
      <c r="L120" s="59" t="str">
        <f>IFERROR(VLOOKUP($A120,SortedDownload!$A$3:$BB$499,25,FALSE),"")</f>
        <v>00:02:39.7 (149)</v>
      </c>
      <c r="M120" s="59" t="str">
        <f>IFERROR(VLOOKUP($A120,SortedDownload!$A$3:$BB$499,26,FALSE),"")</f>
        <v>00:05:19.8 (115)</v>
      </c>
      <c r="N120" s="59" t="str">
        <f>IFERROR(VLOOKUP($A120,SortedDownload!$A$3:$BB$499,27,FALSE),"")</f>
        <v>00:06:09.6 (162)</v>
      </c>
      <c r="O120" s="59" t="str">
        <f>IFERROR(VLOOKUP($A120,SortedDownload!$A$3:$BB$499,28,FALSE),"")</f>
        <v>DNS/DNF ()</v>
      </c>
      <c r="P120" s="59" t="str">
        <f>IFERROR(VLOOKUP($A120,SortedDownload!$A$3:$BB$499,29,FALSE),"")</f>
        <v>DNS/DNF ()</v>
      </c>
      <c r="Q120" s="59" t="str">
        <f>IFERROR(VLOOKUP($A120,SortedDownload!$A$3:$BB$499,30,FALSE),"")</f>
        <v>DNS/DNF ()</v>
      </c>
      <c r="R120" s="62" t="str">
        <f>IFERROR(TEXT(VLOOKUP($A120,SortedDownload!$A$3:$Z$499,14,FALSE),"[hh]:mm:ss.000"),"")</f>
        <v>00:24:38.589</v>
      </c>
      <c r="S120" s="83" t="str">
        <f t="shared" si="5"/>
        <v>00:02</v>
      </c>
      <c r="T120" s="83" t="str">
        <f t="shared" si="3"/>
        <v>07:49</v>
      </c>
      <c r="U120" s="9" t="str">
        <f t="shared" si="4"/>
        <v/>
      </c>
      <c r="V120" s="20" t="str">
        <f>IFERROR(IF(VLOOKUP(H120,AgeCategories!$D$3:$J$32,7,FALSE)=I120,"","DNF"),"")</f>
        <v/>
      </c>
      <c r="W120" s="9"/>
      <c r="X120" s="9"/>
    </row>
    <row r="121" spans="1:24">
      <c r="A121" s="53">
        <f>IF(SortedDownload!A121 &lt; 1,"",SortedDownload!A121)</f>
        <v>45</v>
      </c>
      <c r="B121" s="55">
        <f>IF(V121&lt;&gt;"","DNF",COUNTIF($V$3:V121,V121))</f>
        <v>119</v>
      </c>
      <c r="C121" s="54">
        <f>IF(OR(B121="DNF",H121=""),"DNF",COUNTIF($H$3:H121,H121))</f>
        <v>28</v>
      </c>
      <c r="D121" s="90" t="str">
        <f>IFERROR(VLOOKUP($A121,EntryList!$A$3:$N$596,2,FALSE),"")</f>
        <v>Rory Butler</v>
      </c>
      <c r="E121" s="54">
        <f>IFERROR(VLOOKUP($A121,EntryList!$A$3:$V$596,19,FALSE),"")</f>
        <v>0</v>
      </c>
      <c r="F121" s="176">
        <f>IFERROR(VLOOKUP($A121,EntryList!$A$3:$V$596,18,FALSE),"")</f>
        <v>0</v>
      </c>
      <c r="G121" s="90" t="str">
        <f>IFERROR(VLOOKUP($A121,EntryList!$A$3:$N$596,6,FALSE),"")</f>
        <v>M</v>
      </c>
      <c r="H121" s="90" t="str">
        <f>IFERROR(VLOOKUP($A121,EntryList!$A$3:$N$596,7,FALSE),"")</f>
        <v>Elite Men</v>
      </c>
      <c r="I121" s="54">
        <f>IFERROR(VLOOKUP($A121,SortedDownload!$A$3:$Z617,4,FALSE),"")</f>
        <v>5</v>
      </c>
      <c r="J121" s="59" t="str">
        <f>IFERROR(VLOOKUP($A121,SortedDownload!$A$3:$BB$499,23,FALSE),"")</f>
        <v>00:05:12.4 (114)</v>
      </c>
      <c r="K121" s="59" t="str">
        <f>IFERROR(VLOOKUP($A121,SortedDownload!$A$3:$BB$499,24,FALSE),"")</f>
        <v>00:04:49.4 (188)</v>
      </c>
      <c r="L121" s="59" t="str">
        <f>IFERROR(VLOOKUP($A121,SortedDownload!$A$3:$BB$499,25,FALSE),"")</f>
        <v>00:02:41.6 (164)</v>
      </c>
      <c r="M121" s="59" t="str">
        <f>IFERROR(VLOOKUP($A121,SortedDownload!$A$3:$BB$499,26,FALSE),"")</f>
        <v>00:05:36.3 (124)</v>
      </c>
      <c r="N121" s="59" t="str">
        <f>IFERROR(VLOOKUP($A121,SortedDownload!$A$3:$BB$499,27,FALSE),"")</f>
        <v>00:06:25.8 (182)</v>
      </c>
      <c r="O121" s="59" t="str">
        <f>IFERROR(VLOOKUP($A121,SortedDownload!$A$3:$BB$499,28,FALSE),"")</f>
        <v>DNS/DNF ()</v>
      </c>
      <c r="P121" s="59" t="str">
        <f>IFERROR(VLOOKUP($A121,SortedDownload!$A$3:$BB$499,29,FALSE),"")</f>
        <v>DNS/DNF ()</v>
      </c>
      <c r="Q121" s="59" t="str">
        <f>IFERROR(VLOOKUP($A121,SortedDownload!$A$3:$BB$499,30,FALSE),"")</f>
        <v>DNS/DNF ()</v>
      </c>
      <c r="R121" s="62" t="str">
        <f>IFERROR(TEXT(VLOOKUP($A121,SortedDownload!$A$3:$Z$499,14,FALSE),"[hh]:mm:ss.000"),"")</f>
        <v>00:24:45.518</v>
      </c>
      <c r="S121" s="83" t="str">
        <f t="shared" si="5"/>
        <v>00:07</v>
      </c>
      <c r="T121" s="83" t="str">
        <f t="shared" si="3"/>
        <v>07:55</v>
      </c>
      <c r="U121" s="9" t="str">
        <f t="shared" si="4"/>
        <v/>
      </c>
      <c r="V121" s="20" t="str">
        <f>IFERROR(IF(VLOOKUP(H121,AgeCategories!$D$3:$J$32,7,FALSE)=I121,"","DNF"),"")</f>
        <v/>
      </c>
      <c r="W121" s="9"/>
      <c r="X121" s="9"/>
    </row>
    <row r="122" spans="1:24">
      <c r="A122" s="53">
        <f>IF(SortedDownload!A122 &lt; 1,"",SortedDownload!A122)</f>
        <v>295</v>
      </c>
      <c r="B122" s="55">
        <f>IF(V122&lt;&gt;"","DNF",COUNTIF($V$3:V122,V122))</f>
        <v>120</v>
      </c>
      <c r="C122" s="54">
        <f>IF(OR(B122="DNF",H122=""),"DNF",COUNTIF($H$3:H122,H122))</f>
        <v>37</v>
      </c>
      <c r="D122" s="90" t="str">
        <f>IFERROR(VLOOKUP($A122,EntryList!$A$3:$N$596,2,FALSE),"")</f>
        <v>Andrew Henwood</v>
      </c>
      <c r="E122" s="54">
        <f>IFERROR(VLOOKUP($A122,EntryList!$A$3:$V$596,19,FALSE),"")</f>
        <v>0</v>
      </c>
      <c r="F122" s="176">
        <f>IFERROR(VLOOKUP($A122,EntryList!$A$3:$V$596,18,FALSE),"")</f>
        <v>0</v>
      </c>
      <c r="G122" s="90" t="str">
        <f>IFERROR(VLOOKUP($A122,EntryList!$A$3:$N$596,6,FALSE),"")</f>
        <v>M</v>
      </c>
      <c r="H122" s="90" t="str">
        <f>IFERROR(VLOOKUP($A122,EntryList!$A$3:$N$596,7,FALSE),"")</f>
        <v>Master Men</v>
      </c>
      <c r="I122" s="54">
        <f>IFERROR(VLOOKUP($A122,SortedDownload!$A$3:$Z618,4,FALSE),"")</f>
        <v>5</v>
      </c>
      <c r="J122" s="59" t="str">
        <f>IFERROR(VLOOKUP($A122,SortedDownload!$A$3:$BB$499,23,FALSE),"")</f>
        <v>00:06:05.2 (128)</v>
      </c>
      <c r="K122" s="59" t="str">
        <f>IFERROR(VLOOKUP($A122,SortedDownload!$A$3:$BB$499,24,FALSE),"")</f>
        <v>00:05:03.2 (205)</v>
      </c>
      <c r="L122" s="59" t="str">
        <f>IFERROR(VLOOKUP($A122,SortedDownload!$A$3:$BB$499,25,FALSE),"")</f>
        <v>00:02:54.1 (193)</v>
      </c>
      <c r="M122" s="59" t="str">
        <f>IFERROR(VLOOKUP($A122,SortedDownload!$A$3:$BB$499,26,FALSE),"")</f>
        <v>00:05:33.3 (122)</v>
      </c>
      <c r="N122" s="59" t="str">
        <f>IFERROR(VLOOKUP($A122,SortedDownload!$A$3:$BB$499,27,FALSE),"")</f>
        <v>00:06:15.8 (170)</v>
      </c>
      <c r="O122" s="59" t="str">
        <f>IFERROR(VLOOKUP($A122,SortedDownload!$A$3:$BB$499,28,FALSE),"")</f>
        <v>DNS/DNF ()</v>
      </c>
      <c r="P122" s="59" t="str">
        <f>IFERROR(VLOOKUP($A122,SortedDownload!$A$3:$BB$499,29,FALSE),"")</f>
        <v>DNS/DNF ()</v>
      </c>
      <c r="Q122" s="59" t="str">
        <f>IFERROR(VLOOKUP($A122,SortedDownload!$A$3:$BB$499,30,FALSE),"")</f>
        <v>DNS/DNF ()</v>
      </c>
      <c r="R122" s="62" t="str">
        <f>IFERROR(TEXT(VLOOKUP($A122,SortedDownload!$A$3:$Z$499,14,FALSE),"[hh]:mm:ss.000"),"")</f>
        <v>00:25:51.566</v>
      </c>
      <c r="S122" s="83" t="str">
        <f t="shared" si="5"/>
        <v>01:06</v>
      </c>
      <c r="T122" s="83" t="str">
        <f t="shared" si="3"/>
        <v>09:02</v>
      </c>
      <c r="U122" s="9" t="str">
        <f t="shared" si="4"/>
        <v/>
      </c>
      <c r="V122" s="20" t="str">
        <f>IFERROR(IF(VLOOKUP(H122,AgeCategories!$D$3:$J$32,7,FALSE)=I122,"","DNF"),"")</f>
        <v/>
      </c>
      <c r="W122" s="9"/>
      <c r="X122" s="9"/>
    </row>
    <row r="123" spans="1:24">
      <c r="A123" s="53">
        <f>IF(SortedDownload!A123 &lt; 1,"",SortedDownload!A123)</f>
        <v>90</v>
      </c>
      <c r="B123" s="55">
        <f>IF(V123&lt;&gt;"","DNF",COUNTIF($V$3:V123,V123))</f>
        <v>121</v>
      </c>
      <c r="C123" s="54">
        <f>IF(OR(B123="DNF",H123=""),"DNF",COUNTIF($H$3:H123,H123))</f>
        <v>38</v>
      </c>
      <c r="D123" s="90" t="str">
        <f>IFERROR(VLOOKUP($A123,EntryList!$A$3:$N$596,2,FALSE),"")</f>
        <v>Jedri Visser</v>
      </c>
      <c r="E123" s="54">
        <f>IFERROR(VLOOKUP($A123,EntryList!$A$3:$V$596,19,FALSE),"")</f>
        <v>0</v>
      </c>
      <c r="F123" s="176">
        <f>IFERROR(VLOOKUP($A123,EntryList!$A$3:$V$596,18,FALSE),"")</f>
        <v>0</v>
      </c>
      <c r="G123" s="90" t="str">
        <f>IFERROR(VLOOKUP($A123,EntryList!$A$3:$N$596,6,FALSE),"")</f>
        <v>M</v>
      </c>
      <c r="H123" s="90" t="str">
        <f>IFERROR(VLOOKUP($A123,EntryList!$A$3:$N$596,7,FALSE),"")</f>
        <v>Master Men</v>
      </c>
      <c r="I123" s="54">
        <f>IFERROR(VLOOKUP($A123,SortedDownload!$A$3:$Z619,4,FALSE),"")</f>
        <v>5</v>
      </c>
      <c r="J123" s="59" t="str">
        <f>IFERROR(VLOOKUP($A123,SortedDownload!$A$3:$BB$499,23,FALSE),"")</f>
        <v>00:05:46.3 (125)</v>
      </c>
      <c r="K123" s="59" t="str">
        <f>IFERROR(VLOOKUP($A123,SortedDownload!$A$3:$BB$499,24,FALSE),"")</f>
        <v>00:05:11.3 (212)</v>
      </c>
      <c r="L123" s="59" t="str">
        <f>IFERROR(VLOOKUP($A123,SortedDownload!$A$3:$BB$499,25,FALSE),"")</f>
        <v>00:03:02.8 (211)</v>
      </c>
      <c r="M123" s="59" t="str">
        <f>IFERROR(VLOOKUP($A123,SortedDownload!$A$3:$BB$499,26,FALSE),"")</f>
        <v>00:05:34.5 (123)</v>
      </c>
      <c r="N123" s="59" t="str">
        <f>IFERROR(VLOOKUP($A123,SortedDownload!$A$3:$BB$499,27,FALSE),"")</f>
        <v>00:06:17.5 (172)</v>
      </c>
      <c r="O123" s="59" t="str">
        <f>IFERROR(VLOOKUP($A123,SortedDownload!$A$3:$BB$499,28,FALSE),"")</f>
        <v>DNS/DNF ()</v>
      </c>
      <c r="P123" s="59" t="str">
        <f>IFERROR(VLOOKUP($A123,SortedDownload!$A$3:$BB$499,29,FALSE),"")</f>
        <v>DNS/DNF ()</v>
      </c>
      <c r="Q123" s="59" t="str">
        <f>IFERROR(VLOOKUP($A123,SortedDownload!$A$3:$BB$499,30,FALSE),"")</f>
        <v>DNS/DNF ()</v>
      </c>
      <c r="R123" s="62" t="str">
        <f>IFERROR(TEXT(VLOOKUP($A123,SortedDownload!$A$3:$Z$499,14,FALSE),"[hh]:mm:ss.000"),"")</f>
        <v>00:25:52.568</v>
      </c>
      <c r="S123" s="83" t="str">
        <f t="shared" si="5"/>
        <v>00:01</v>
      </c>
      <c r="T123" s="83" t="str">
        <f t="shared" si="3"/>
        <v>09:03</v>
      </c>
      <c r="U123" s="9" t="str">
        <f t="shared" si="4"/>
        <v/>
      </c>
      <c r="V123" s="20" t="str">
        <f>IFERROR(IF(VLOOKUP(H123,AgeCategories!$D$3:$J$32,7,FALSE)=I123,"","DNF"),"")</f>
        <v/>
      </c>
      <c r="W123" s="9"/>
      <c r="X123" s="9"/>
    </row>
    <row r="124" spans="1:24">
      <c r="A124" s="53">
        <f>IF(SortedDownload!A124 &lt; 1,"",SortedDownload!A124)</f>
        <v>10</v>
      </c>
      <c r="B124" s="55">
        <f>IF(V124&lt;&gt;"","DNF",COUNTIF($V$3:V124,V124))</f>
        <v>122</v>
      </c>
      <c r="C124" s="54">
        <f>IF(OR(B124="DNF",H124=""),"DNF",COUNTIF($H$3:H124,H124))</f>
        <v>15</v>
      </c>
      <c r="D124" s="90" t="str">
        <f>IFERROR(VLOOKUP($A124,EntryList!$A$3:$N$596,2,FALSE),"")</f>
        <v>Conner Morrison</v>
      </c>
      <c r="E124" s="54">
        <f>IFERROR(VLOOKUP($A124,EntryList!$A$3:$V$596,19,FALSE),"")</f>
        <v>0</v>
      </c>
      <c r="F124" s="176">
        <f>IFERROR(VLOOKUP($A124,EntryList!$A$3:$V$596,18,FALSE),"")</f>
        <v>0</v>
      </c>
      <c r="G124" s="90" t="str">
        <f>IFERROR(VLOOKUP($A124,EntryList!$A$3:$N$596,6,FALSE),"")</f>
        <v>M</v>
      </c>
      <c r="H124" s="90" t="str">
        <f>IFERROR(VLOOKUP($A124,EntryList!$A$3:$N$596,7,FALSE),"")</f>
        <v>E-Bike M</v>
      </c>
      <c r="I124" s="54">
        <f>IFERROR(VLOOKUP($A124,SortedDownload!$A$3:$Z620,4,FALSE),"")</f>
        <v>5</v>
      </c>
      <c r="J124" s="59" t="str">
        <f>IFERROR(VLOOKUP($A124,SortedDownload!$A$3:$BB$499,23,FALSE),"")</f>
        <v>00:08:00.5 (137)</v>
      </c>
      <c r="K124" s="59" t="str">
        <f>IFERROR(VLOOKUP($A124,SortedDownload!$A$3:$BB$499,24,FALSE),"")</f>
        <v>00:03:53.0 (45)</v>
      </c>
      <c r="L124" s="59" t="str">
        <f>IFERROR(VLOOKUP($A124,SortedDownload!$A$3:$BB$499,25,FALSE),"")</f>
        <v>00:02:11.3 (53)</v>
      </c>
      <c r="M124" s="59" t="str">
        <f>IFERROR(VLOOKUP($A124,SortedDownload!$A$3:$BB$499,26,FALSE),"")</f>
        <v>00:04:07.8 (27)</v>
      </c>
      <c r="N124" s="59" t="str">
        <f>IFERROR(VLOOKUP($A124,SortedDownload!$A$3:$BB$499,27,FALSE),"")</f>
        <v>00:07:53.8 (237)</v>
      </c>
      <c r="O124" s="59" t="str">
        <f>IFERROR(VLOOKUP($A124,SortedDownload!$A$3:$BB$499,28,FALSE),"")</f>
        <v>DNS/DNF ()</v>
      </c>
      <c r="P124" s="59" t="str">
        <f>IFERROR(VLOOKUP($A124,SortedDownload!$A$3:$BB$499,29,FALSE),"")</f>
        <v>DNS/DNF ()</v>
      </c>
      <c r="Q124" s="59" t="str">
        <f>IFERROR(VLOOKUP($A124,SortedDownload!$A$3:$BB$499,30,FALSE),"")</f>
        <v>DNS/DNF ()</v>
      </c>
      <c r="R124" s="62" t="str">
        <f>IFERROR(TEXT(VLOOKUP($A124,SortedDownload!$A$3:$Z$499,14,FALSE),"[hh]:mm:ss.000"),"")</f>
        <v>00:26:06.502</v>
      </c>
      <c r="S124" s="83" t="str">
        <f t="shared" si="5"/>
        <v>00:14</v>
      </c>
      <c r="T124" s="83" t="str">
        <f t="shared" si="3"/>
        <v>09:16</v>
      </c>
      <c r="U124" s="9" t="str">
        <f t="shared" si="4"/>
        <v/>
      </c>
      <c r="V124" s="20" t="str">
        <f>IFERROR(IF(VLOOKUP(H124,AgeCategories!$D$3:$J$32,7,FALSE)=I124,"","DNF"),"")</f>
        <v/>
      </c>
      <c r="W124" s="9"/>
      <c r="X124" s="9"/>
    </row>
    <row r="125" spans="1:24">
      <c r="A125" s="53">
        <f>IF(SortedDownload!A125 &lt; 1,"",SortedDownload!A125)</f>
        <v>247</v>
      </c>
      <c r="B125" s="55">
        <f>IF(V125&lt;&gt;"","DNF",COUNTIF($V$3:V125,V125))</f>
        <v>123</v>
      </c>
      <c r="C125" s="54">
        <f>IF(OR(B125="DNF",H125=""),"DNF",COUNTIF($H$3:H125,H125))</f>
        <v>16</v>
      </c>
      <c r="D125" s="90" t="str">
        <f>IFERROR(VLOOKUP($A125,EntryList!$A$3:$N$596,2,FALSE),"")</f>
        <v>Pieter Venter Snr</v>
      </c>
      <c r="E125" s="54">
        <f>IFERROR(VLOOKUP($A125,EntryList!$A$3:$V$596,19,FALSE),"")</f>
        <v>0</v>
      </c>
      <c r="F125" s="176">
        <f>IFERROR(VLOOKUP($A125,EntryList!$A$3:$V$596,18,FALSE),"")</f>
        <v>0</v>
      </c>
      <c r="G125" s="90" t="str">
        <f>IFERROR(VLOOKUP($A125,EntryList!$A$3:$N$596,6,FALSE),"")</f>
        <v>M</v>
      </c>
      <c r="H125" s="90" t="str">
        <f>IFERROR(VLOOKUP($A125,EntryList!$A$3:$N$596,7,FALSE),"")</f>
        <v>E-Bike M</v>
      </c>
      <c r="I125" s="54">
        <f>IFERROR(VLOOKUP($A125,SortedDownload!$A$3:$Z621,4,FALSE),"")</f>
        <v>5</v>
      </c>
      <c r="J125" s="59" t="str">
        <f>IFERROR(VLOOKUP($A125,SortedDownload!$A$3:$BB$499,23,FALSE),"")</f>
        <v>00:07:55.8 (136)</v>
      </c>
      <c r="K125" s="59" t="str">
        <f>IFERROR(VLOOKUP($A125,SortedDownload!$A$3:$BB$499,24,FALSE),"")</f>
        <v>00:04:27.8 (130)</v>
      </c>
      <c r="L125" s="59" t="str">
        <f>IFERROR(VLOOKUP($A125,SortedDownload!$A$3:$BB$499,25,FALSE),"")</f>
        <v>00:02:48.6 (182)</v>
      </c>
      <c r="M125" s="59" t="str">
        <f>IFERROR(VLOOKUP($A125,SortedDownload!$A$3:$BB$499,26,FALSE),"")</f>
        <v>00:05:06.6 (103)</v>
      </c>
      <c r="N125" s="59" t="str">
        <f>IFERROR(VLOOKUP($A125,SortedDownload!$A$3:$BB$499,27,FALSE),"")</f>
        <v>00:05:51.9 (114)</v>
      </c>
      <c r="O125" s="59" t="str">
        <f>IFERROR(VLOOKUP($A125,SortedDownload!$A$3:$BB$499,28,FALSE),"")</f>
        <v>DNS/DNF ()</v>
      </c>
      <c r="P125" s="59" t="str">
        <f>IFERROR(VLOOKUP($A125,SortedDownload!$A$3:$BB$499,29,FALSE),"")</f>
        <v>DNS/DNF ()</v>
      </c>
      <c r="Q125" s="59" t="str">
        <f>IFERROR(VLOOKUP($A125,SortedDownload!$A$3:$BB$499,30,FALSE),"")</f>
        <v>DNS/DNF ()</v>
      </c>
      <c r="R125" s="62" t="str">
        <f>IFERROR(TEXT(VLOOKUP($A125,SortedDownload!$A$3:$Z$499,14,FALSE),"[hh]:mm:ss.000"),"")</f>
        <v>00:26:10.679</v>
      </c>
      <c r="S125" s="83" t="str">
        <f t="shared" si="5"/>
        <v>00:04</v>
      </c>
      <c r="T125" s="83" t="str">
        <f t="shared" si="3"/>
        <v>09:21</v>
      </c>
      <c r="U125" s="9" t="str">
        <f t="shared" si="4"/>
        <v/>
      </c>
      <c r="V125" s="20" t="str">
        <f>IFERROR(IF(VLOOKUP(H125,AgeCategories!$D$3:$J$32,7,FALSE)=I125,"","DNF"),"")</f>
        <v/>
      </c>
      <c r="W125" s="9"/>
      <c r="X125" s="9"/>
    </row>
    <row r="126" spans="1:24">
      <c r="A126" s="53">
        <f>IF(SortedDownload!A126 &lt; 1,"",SortedDownload!A126)</f>
        <v>145</v>
      </c>
      <c r="B126" s="55">
        <f>IF(V126&lt;&gt;"","DNF",COUNTIF($V$3:V126,V126))</f>
        <v>124</v>
      </c>
      <c r="C126" s="54">
        <f>IF(OR(B126="DNF",H126=""),"DNF",COUNTIF($H$3:H126,H126))</f>
        <v>26</v>
      </c>
      <c r="D126" s="90" t="str">
        <f>IFERROR(VLOOKUP($A126,EntryList!$A$3:$N$596,2,FALSE),"")</f>
        <v>Tristan Harley</v>
      </c>
      <c r="E126" s="54">
        <f>IFERROR(VLOOKUP($A126,EntryList!$A$3:$V$596,19,FALSE),"")</f>
        <v>0</v>
      </c>
      <c r="F126" s="176">
        <f>IFERROR(VLOOKUP($A126,EntryList!$A$3:$V$596,18,FALSE),"")</f>
        <v>0</v>
      </c>
      <c r="G126" s="90" t="str">
        <f>IFERROR(VLOOKUP($A126,EntryList!$A$3:$N$596,6,FALSE),"")</f>
        <v>M</v>
      </c>
      <c r="H126" s="90" t="str">
        <f>IFERROR(VLOOKUP($A126,EntryList!$A$3:$N$596,7,FALSE),"")</f>
        <v>Youth Men</v>
      </c>
      <c r="I126" s="54">
        <f>IFERROR(VLOOKUP($A126,SortedDownload!$A$3:$Z622,4,FALSE),"")</f>
        <v>5</v>
      </c>
      <c r="J126" s="59" t="str">
        <f>IFERROR(VLOOKUP($A126,SortedDownload!$A$3:$BB$499,23,FALSE),"")</f>
        <v>00:06:54.7 (134)</v>
      </c>
      <c r="K126" s="59" t="str">
        <f>IFERROR(VLOOKUP($A126,SortedDownload!$A$3:$BB$499,24,FALSE),"")</f>
        <v>00:04:33.5 (149)</v>
      </c>
      <c r="L126" s="59" t="str">
        <f>IFERROR(VLOOKUP($A126,SortedDownload!$A$3:$BB$499,25,FALSE),"")</f>
        <v>00:02:49.8 (186)</v>
      </c>
      <c r="M126" s="59" t="str">
        <f>IFERROR(VLOOKUP($A126,SortedDownload!$A$3:$BB$499,26,FALSE),"")</f>
        <v>00:05:52.0 (128)</v>
      </c>
      <c r="N126" s="59" t="str">
        <f>IFERROR(VLOOKUP($A126,SortedDownload!$A$3:$BB$499,27,FALSE),"")</f>
        <v>00:06:10.9 (163)</v>
      </c>
      <c r="O126" s="59" t="str">
        <f>IFERROR(VLOOKUP($A126,SortedDownload!$A$3:$BB$499,28,FALSE),"")</f>
        <v>DNS/DNF ()</v>
      </c>
      <c r="P126" s="59" t="str">
        <f>IFERROR(VLOOKUP($A126,SortedDownload!$A$3:$BB$499,29,FALSE),"")</f>
        <v>DNS/DNF ()</v>
      </c>
      <c r="Q126" s="59" t="str">
        <f>IFERROR(VLOOKUP($A126,SortedDownload!$A$3:$BB$499,30,FALSE),"")</f>
        <v>DNS/DNF ()</v>
      </c>
      <c r="R126" s="62" t="str">
        <f>IFERROR(TEXT(VLOOKUP($A126,SortedDownload!$A$3:$Z$499,14,FALSE),"[hh]:mm:ss.000"),"")</f>
        <v>00:26:20.922</v>
      </c>
      <c r="S126" s="83" t="str">
        <f t="shared" si="5"/>
        <v>00:10</v>
      </c>
      <c r="T126" s="83" t="str">
        <f t="shared" si="3"/>
        <v>09:31</v>
      </c>
      <c r="U126" s="9" t="str">
        <f t="shared" si="4"/>
        <v/>
      </c>
      <c r="V126" s="20" t="str">
        <f>IFERROR(IF(VLOOKUP(H126,AgeCategories!$D$3:$J$32,7,FALSE)=I126,"","DNF"),"")</f>
        <v/>
      </c>
      <c r="W126" s="9"/>
      <c r="X126" s="9"/>
    </row>
    <row r="127" spans="1:24">
      <c r="A127" s="53">
        <f>IF(SortedDownload!A127 &lt; 1,"",SortedDownload!A127)</f>
        <v>127</v>
      </c>
      <c r="B127" s="55">
        <f>IF(V127&lt;&gt;"","DNF",COUNTIF($V$3:V127,V127))</f>
        <v>125</v>
      </c>
      <c r="C127" s="54">
        <f>IF(OR(B127="DNF",H127=""),"DNF",COUNTIF($H$3:H127,H127))</f>
        <v>17</v>
      </c>
      <c r="D127" s="90" t="str">
        <f>IFERROR(VLOOKUP($A127,EntryList!$A$3:$N$596,2,FALSE),"")</f>
        <v>Max Sullivan</v>
      </c>
      <c r="E127" s="54">
        <f>IFERROR(VLOOKUP($A127,EntryList!$A$3:$V$596,19,FALSE),"")</f>
        <v>0</v>
      </c>
      <c r="F127" s="176">
        <f>IFERROR(VLOOKUP($A127,EntryList!$A$3:$V$596,18,FALSE),"")</f>
        <v>0</v>
      </c>
      <c r="G127" s="90" t="str">
        <f>IFERROR(VLOOKUP($A127,EntryList!$A$3:$N$596,6,FALSE),"")</f>
        <v>M</v>
      </c>
      <c r="H127" s="90" t="str">
        <f>IFERROR(VLOOKUP($A127,EntryList!$A$3:$N$596,7,FALSE),"")</f>
        <v>E-Bike M</v>
      </c>
      <c r="I127" s="54">
        <f>IFERROR(VLOOKUP($A127,SortedDownload!$A$3:$Z623,4,FALSE),"")</f>
        <v>5</v>
      </c>
      <c r="J127" s="59" t="str">
        <f>IFERROR(VLOOKUP($A127,SortedDownload!$A$3:$BB$499,23,FALSE),"")</f>
        <v>00:12:02.1 (141)</v>
      </c>
      <c r="K127" s="59" t="str">
        <f>IFERROR(VLOOKUP($A127,SortedDownload!$A$3:$BB$499,24,FALSE),"")</f>
        <v>00:03:32.6 (9)</v>
      </c>
      <c r="L127" s="59" t="str">
        <f>IFERROR(VLOOKUP($A127,SortedDownload!$A$3:$BB$499,25,FALSE),"")</f>
        <v>00:01:55.8 (5)</v>
      </c>
      <c r="M127" s="59" t="str">
        <f>IFERROR(VLOOKUP($A127,SortedDownload!$A$3:$BB$499,26,FALSE),"")</f>
        <v>00:03:46.4 (3)</v>
      </c>
      <c r="N127" s="59" t="str">
        <f>IFERROR(VLOOKUP($A127,SortedDownload!$A$3:$BB$499,27,FALSE),"")</f>
        <v>00:05:09.1 (30)</v>
      </c>
      <c r="O127" s="59" t="str">
        <f>IFERROR(VLOOKUP($A127,SortedDownload!$A$3:$BB$499,28,FALSE),"")</f>
        <v>DNS/DNF ()</v>
      </c>
      <c r="P127" s="59" t="str">
        <f>IFERROR(VLOOKUP($A127,SortedDownload!$A$3:$BB$499,29,FALSE),"")</f>
        <v>DNS/DNF ()</v>
      </c>
      <c r="Q127" s="59" t="str">
        <f>IFERROR(VLOOKUP($A127,SortedDownload!$A$3:$BB$499,30,FALSE),"")</f>
        <v>DNS/DNF ()</v>
      </c>
      <c r="R127" s="62" t="str">
        <f>IFERROR(TEXT(VLOOKUP($A127,SortedDownload!$A$3:$Z$499,14,FALSE),"[hh]:mm:ss.000"),"")</f>
        <v>00:26:25.993</v>
      </c>
      <c r="S127" s="83" t="str">
        <f t="shared" si="5"/>
        <v>00:05</v>
      </c>
      <c r="T127" s="83" t="str">
        <f t="shared" si="3"/>
        <v>09:36</v>
      </c>
      <c r="U127" s="9" t="str">
        <f t="shared" si="4"/>
        <v/>
      </c>
      <c r="V127" s="20" t="str">
        <f>IFERROR(IF(VLOOKUP(H127,AgeCategories!$D$3:$J$32,7,FALSE)=I127,"","DNF"),"")</f>
        <v/>
      </c>
      <c r="W127" s="9"/>
      <c r="X127" s="9"/>
    </row>
    <row r="128" spans="1:24">
      <c r="A128" s="53">
        <f>IF(SortedDownload!A128 &lt; 1,"",SortedDownload!A128)</f>
        <v>243</v>
      </c>
      <c r="B128" s="55">
        <f>IF(V128&lt;&gt;"","DNF",COUNTIF($V$3:V128,V128))</f>
        <v>126</v>
      </c>
      <c r="C128" s="54">
        <f>IF(OR(B128="DNF",H128=""),"DNF",COUNTIF($H$3:H128,H128))</f>
        <v>29</v>
      </c>
      <c r="D128" s="90" t="str">
        <f>IFERROR(VLOOKUP($A128,EntryList!$A$3:$N$596,2,FALSE),"")</f>
        <v>Marc Van Der Meer</v>
      </c>
      <c r="E128" s="54">
        <f>IFERROR(VLOOKUP($A128,EntryList!$A$3:$V$596,19,FALSE),"")</f>
        <v>0</v>
      </c>
      <c r="F128" s="176">
        <f>IFERROR(VLOOKUP($A128,EntryList!$A$3:$V$596,18,FALSE),"")</f>
        <v>0</v>
      </c>
      <c r="G128" s="90" t="str">
        <f>IFERROR(VLOOKUP($A128,EntryList!$A$3:$N$596,6,FALSE),"")</f>
        <v>M</v>
      </c>
      <c r="H128" s="90" t="str">
        <f>IFERROR(VLOOKUP($A128,EntryList!$A$3:$N$596,7,FALSE),"")</f>
        <v>Elite Men</v>
      </c>
      <c r="I128" s="54">
        <f>IFERROR(VLOOKUP($A128,SortedDownload!$A$3:$Z624,4,FALSE),"")</f>
        <v>5</v>
      </c>
      <c r="J128" s="59" t="str">
        <f>IFERROR(VLOOKUP($A128,SortedDownload!$A$3:$BB$499,23,FALSE),"")</f>
        <v>00:06:47.2 (133)</v>
      </c>
      <c r="K128" s="59" t="str">
        <f>IFERROR(VLOOKUP($A128,SortedDownload!$A$3:$BB$499,24,FALSE),"")</f>
        <v>00:04:56.6 (198)</v>
      </c>
      <c r="L128" s="59" t="str">
        <f>IFERROR(VLOOKUP($A128,SortedDownload!$A$3:$BB$499,25,FALSE),"")</f>
        <v>00:02:44.0 (173)</v>
      </c>
      <c r="M128" s="59" t="str">
        <f>IFERROR(VLOOKUP($A128,SortedDownload!$A$3:$BB$499,26,FALSE),"")</f>
        <v>00:05:50.6 (127)</v>
      </c>
      <c r="N128" s="59" t="str">
        <f>IFERROR(VLOOKUP($A128,SortedDownload!$A$3:$BB$499,27,FALSE),"")</f>
        <v>00:06:43.4 (205)</v>
      </c>
      <c r="O128" s="59" t="str">
        <f>IFERROR(VLOOKUP($A128,SortedDownload!$A$3:$BB$499,28,FALSE),"")</f>
        <v>DNS/DNF ()</v>
      </c>
      <c r="P128" s="59" t="str">
        <f>IFERROR(VLOOKUP($A128,SortedDownload!$A$3:$BB$499,29,FALSE),"")</f>
        <v>DNS/DNF ()</v>
      </c>
      <c r="Q128" s="59" t="str">
        <f>IFERROR(VLOOKUP($A128,SortedDownload!$A$3:$BB$499,30,FALSE),"")</f>
        <v>DNS/DNF ()</v>
      </c>
      <c r="R128" s="62" t="str">
        <f>IFERROR(TEXT(VLOOKUP($A128,SortedDownload!$A$3:$Z$499,14,FALSE),"[hh]:mm:ss.000"),"")</f>
        <v>00:27:01.867</v>
      </c>
      <c r="S128" s="83" t="str">
        <f t="shared" si="5"/>
        <v>00:36</v>
      </c>
      <c r="T128" s="83" t="str">
        <f t="shared" si="3"/>
        <v>10:12</v>
      </c>
      <c r="U128" s="9" t="str">
        <f t="shared" si="4"/>
        <v/>
      </c>
      <c r="V128" s="20" t="str">
        <f>IFERROR(IF(VLOOKUP(H128,AgeCategories!$D$3:$J$32,7,FALSE)=I128,"","DNF"),"")</f>
        <v/>
      </c>
      <c r="W128" s="9"/>
      <c r="X128" s="9"/>
    </row>
    <row r="129" spans="1:24">
      <c r="A129" s="53">
        <f>IF(SortedDownload!A129 &lt; 1,"",SortedDownload!A129)</f>
        <v>89</v>
      </c>
      <c r="B129" s="55">
        <f>IF(V129&lt;&gt;"","DNF",COUNTIF($V$3:V129,V129))</f>
        <v>127</v>
      </c>
      <c r="C129" s="54">
        <f>IF(OR(B129="DNF",H129=""),"DNF",COUNTIF($H$3:H129,H129))</f>
        <v>39</v>
      </c>
      <c r="D129" s="90" t="str">
        <f>IFERROR(VLOOKUP($A129,EntryList!$A$3:$N$596,2,FALSE),"")</f>
        <v>Nicholas Thompson</v>
      </c>
      <c r="E129" s="54">
        <f>IFERROR(VLOOKUP($A129,EntryList!$A$3:$V$596,19,FALSE),"")</f>
        <v>0</v>
      </c>
      <c r="F129" s="176">
        <f>IFERROR(VLOOKUP($A129,EntryList!$A$3:$V$596,18,FALSE),"")</f>
        <v>0</v>
      </c>
      <c r="G129" s="90" t="str">
        <f>IFERROR(VLOOKUP($A129,EntryList!$A$3:$N$596,6,FALSE),"")</f>
        <v>M</v>
      </c>
      <c r="H129" s="90" t="str">
        <f>IFERROR(VLOOKUP($A129,EntryList!$A$3:$N$596,7,FALSE),"")</f>
        <v>Master Men</v>
      </c>
      <c r="I129" s="54">
        <f>IFERROR(VLOOKUP($A129,SortedDownload!$A$3:$Z625,4,FALSE),"")</f>
        <v>5</v>
      </c>
      <c r="J129" s="59" t="str">
        <f>IFERROR(VLOOKUP($A129,SortedDownload!$A$3:$BB$499,23,FALSE),"")</f>
        <v>00:06:17.4 (129)</v>
      </c>
      <c r="K129" s="59" t="str">
        <f>IFERROR(VLOOKUP($A129,SortedDownload!$A$3:$BB$499,24,FALSE),"")</f>
        <v>00:04:53.3 (193)</v>
      </c>
      <c r="L129" s="59" t="str">
        <f>IFERROR(VLOOKUP($A129,SortedDownload!$A$3:$BB$499,25,FALSE),"")</f>
        <v>00:03:08.8 (215)</v>
      </c>
      <c r="M129" s="59" t="str">
        <f>IFERROR(VLOOKUP($A129,SortedDownload!$A$3:$BB$499,26,FALSE),"")</f>
        <v>00:06:22.1 (132)</v>
      </c>
      <c r="N129" s="59" t="str">
        <f>IFERROR(VLOOKUP($A129,SortedDownload!$A$3:$BB$499,27,FALSE),"")</f>
        <v>00:06:48.7 (211)</v>
      </c>
      <c r="O129" s="59" t="str">
        <f>IFERROR(VLOOKUP($A129,SortedDownload!$A$3:$BB$499,28,FALSE),"")</f>
        <v>DNS/DNF ()</v>
      </c>
      <c r="P129" s="59" t="str">
        <f>IFERROR(VLOOKUP($A129,SortedDownload!$A$3:$BB$499,29,FALSE),"")</f>
        <v>DNS/DNF ()</v>
      </c>
      <c r="Q129" s="59" t="str">
        <f>IFERROR(VLOOKUP($A129,SortedDownload!$A$3:$BB$499,30,FALSE),"")</f>
        <v>DNS/DNF ()</v>
      </c>
      <c r="R129" s="62" t="str">
        <f>IFERROR(TEXT(VLOOKUP($A129,SortedDownload!$A$3:$Z$499,14,FALSE),"[hh]:mm:ss.000"),"")</f>
        <v>00:27:30.289</v>
      </c>
      <c r="S129" s="83" t="str">
        <f t="shared" si="5"/>
        <v>00:28</v>
      </c>
      <c r="T129" s="83" t="str">
        <f t="shared" si="3"/>
        <v>10:40</v>
      </c>
      <c r="U129" s="9" t="str">
        <f t="shared" si="4"/>
        <v/>
      </c>
      <c r="V129" s="20" t="str">
        <f>IFERROR(IF(VLOOKUP(H129,AgeCategories!$D$3:$J$32,7,FALSE)=I129,"","DNF"),"")</f>
        <v/>
      </c>
      <c r="W129" s="9"/>
      <c r="X129" s="9"/>
    </row>
    <row r="130" spans="1:24">
      <c r="A130" s="53">
        <f>IF(SortedDownload!A130 &lt; 1,"",SortedDownload!A130)</f>
        <v>100</v>
      </c>
      <c r="B130" s="55">
        <f>IF(V130&lt;&gt;"","DNF",COUNTIF($V$3:V130,V130))</f>
        <v>128</v>
      </c>
      <c r="C130" s="54">
        <f>IF(OR(B130="DNF",H130=""),"DNF",COUNTIF($H$3:H130,H130))</f>
        <v>27</v>
      </c>
      <c r="D130" s="90" t="str">
        <f>IFERROR(VLOOKUP($A130,EntryList!$A$3:$N$596,2,FALSE),"")</f>
        <v>Jan Cilliers</v>
      </c>
      <c r="E130" s="54">
        <f>IFERROR(VLOOKUP($A130,EntryList!$A$3:$V$596,19,FALSE),"")</f>
        <v>0</v>
      </c>
      <c r="F130" s="176">
        <f>IFERROR(VLOOKUP($A130,EntryList!$A$3:$V$596,18,FALSE),"")</f>
        <v>0</v>
      </c>
      <c r="G130" s="90" t="str">
        <f>IFERROR(VLOOKUP($A130,EntryList!$A$3:$N$596,6,FALSE),"")</f>
        <v>M</v>
      </c>
      <c r="H130" s="90" t="str">
        <f>IFERROR(VLOOKUP($A130,EntryList!$A$3:$N$596,7,FALSE),"")</f>
        <v>Youth Men</v>
      </c>
      <c r="I130" s="54">
        <f>IFERROR(VLOOKUP($A130,SortedDownload!$A$3:$Z626,4,FALSE),"")</f>
        <v>5</v>
      </c>
      <c r="J130" s="59" t="str">
        <f>IFERROR(VLOOKUP($A130,SortedDownload!$A$3:$BB$499,23,FALSE),"")</f>
        <v>00:06:22.9 (131)</v>
      </c>
      <c r="K130" s="59" t="str">
        <f>IFERROR(VLOOKUP($A130,SortedDownload!$A$3:$BB$499,24,FALSE),"")</f>
        <v>00:05:25.1 (224)</v>
      </c>
      <c r="L130" s="59" t="str">
        <f>IFERROR(VLOOKUP($A130,SortedDownload!$A$3:$BB$499,25,FALSE),"")</f>
        <v>00:02:59.4 (206)</v>
      </c>
      <c r="M130" s="59" t="str">
        <f>IFERROR(VLOOKUP($A130,SortedDownload!$A$3:$BB$499,26,FALSE),"")</f>
        <v>00:06:17.8 (131)</v>
      </c>
      <c r="N130" s="59" t="str">
        <f>IFERROR(VLOOKUP($A130,SortedDownload!$A$3:$BB$499,27,FALSE),"")</f>
        <v>00:07:23.9 (226)</v>
      </c>
      <c r="O130" s="59" t="str">
        <f>IFERROR(VLOOKUP($A130,SortedDownload!$A$3:$BB$499,28,FALSE),"")</f>
        <v>DNS/DNF ()</v>
      </c>
      <c r="P130" s="59" t="str">
        <f>IFERROR(VLOOKUP($A130,SortedDownload!$A$3:$BB$499,29,FALSE),"")</f>
        <v>DNS/DNF ()</v>
      </c>
      <c r="Q130" s="59" t="str">
        <f>IFERROR(VLOOKUP($A130,SortedDownload!$A$3:$BB$499,30,FALSE),"")</f>
        <v>DNS/DNF ()</v>
      </c>
      <c r="R130" s="62" t="str">
        <f>IFERROR(TEXT(VLOOKUP($A130,SortedDownload!$A$3:$Z$499,14,FALSE),"[hh]:mm:ss.000"),"")</f>
        <v>00:28:29.137</v>
      </c>
      <c r="S130" s="83" t="str">
        <f t="shared" si="5"/>
        <v>00:59</v>
      </c>
      <c r="T130" s="83" t="str">
        <f t="shared" si="3"/>
        <v>11:39</v>
      </c>
      <c r="U130" s="9" t="str">
        <f t="shared" si="4"/>
        <v/>
      </c>
      <c r="V130" s="20" t="str">
        <f>IFERROR(IF(VLOOKUP(H130,AgeCategories!$D$3:$J$32,7,FALSE)=I130,"","DNF"),"")</f>
        <v/>
      </c>
      <c r="W130" s="9"/>
      <c r="X130" s="9"/>
    </row>
    <row r="131" spans="1:24">
      <c r="A131" s="53">
        <f>IF(SortedDownload!A131 &lt; 1,"",SortedDownload!A131)</f>
        <v>234</v>
      </c>
      <c r="B131" s="55">
        <f>IF(V131&lt;&gt;"","DNF",COUNTIF($V$3:V131,V131))</f>
        <v>129</v>
      </c>
      <c r="C131" s="54">
        <f>IF(OR(B131="DNF",H131=""),"DNF",COUNTIF($H$3:H131,H131))</f>
        <v>30</v>
      </c>
      <c r="D131" s="90" t="str">
        <f>IFERROR(VLOOKUP($A131,EntryList!$A$3:$N$596,2,FALSE),"")</f>
        <v>Devon Coombe</v>
      </c>
      <c r="E131" s="54">
        <f>IFERROR(VLOOKUP($A131,EntryList!$A$3:$V$596,19,FALSE),"")</f>
        <v>0</v>
      </c>
      <c r="F131" s="176">
        <f>IFERROR(VLOOKUP($A131,EntryList!$A$3:$V$596,18,FALSE),"")</f>
        <v>0</v>
      </c>
      <c r="G131" s="90" t="str">
        <f>IFERROR(VLOOKUP($A131,EntryList!$A$3:$N$596,6,FALSE),"")</f>
        <v>M</v>
      </c>
      <c r="H131" s="90" t="str">
        <f>IFERROR(VLOOKUP($A131,EntryList!$A$3:$N$596,7,FALSE),"")</f>
        <v>Elite Men</v>
      </c>
      <c r="I131" s="54">
        <f>IFERROR(VLOOKUP($A131,SortedDownload!$A$3:$Z627,4,FALSE),"")</f>
        <v>5</v>
      </c>
      <c r="J131" s="59" t="str">
        <f>IFERROR(VLOOKUP($A131,SortedDownload!$A$3:$BB$499,23,FALSE),"")</f>
        <v>00:11:40.3 (140)</v>
      </c>
      <c r="K131" s="59" t="str">
        <f>IFERROR(VLOOKUP($A131,SortedDownload!$A$3:$BB$499,24,FALSE),"")</f>
        <v>00:04:46.7 (185)</v>
      </c>
      <c r="L131" s="59" t="str">
        <f>IFERROR(VLOOKUP($A131,SortedDownload!$A$3:$BB$499,25,FALSE),"")</f>
        <v>00:03:16.1 (223)</v>
      </c>
      <c r="M131" s="59" t="str">
        <f>IFERROR(VLOOKUP($A131,SortedDownload!$A$3:$BB$499,26,FALSE),"")</f>
        <v>00:06:01.0 (130)</v>
      </c>
      <c r="N131" s="59" t="str">
        <f>IFERROR(VLOOKUP($A131,SortedDownload!$A$3:$BB$499,27,FALSE),"")</f>
        <v>00:06:24.9 (181)</v>
      </c>
      <c r="O131" s="59" t="str">
        <f>IFERROR(VLOOKUP($A131,SortedDownload!$A$3:$BB$499,28,FALSE),"")</f>
        <v>DNS/DNF ()</v>
      </c>
      <c r="P131" s="59" t="str">
        <f>IFERROR(VLOOKUP($A131,SortedDownload!$A$3:$BB$499,29,FALSE),"")</f>
        <v>DNS/DNF ()</v>
      </c>
      <c r="Q131" s="59" t="str">
        <f>IFERROR(VLOOKUP($A131,SortedDownload!$A$3:$BB$499,30,FALSE),"")</f>
        <v>DNS/DNF ()</v>
      </c>
      <c r="R131" s="62" t="str">
        <f>IFERROR(TEXT(VLOOKUP($A131,SortedDownload!$A$3:$Z$499,14,FALSE),"[hh]:mm:ss.000"),"")</f>
        <v>00:32:08.976</v>
      </c>
      <c r="S131" s="83" t="str">
        <f t="shared" si="5"/>
        <v>03:40</v>
      </c>
      <c r="T131" s="83" t="str">
        <f t="shared" si="3"/>
        <v>15:19</v>
      </c>
      <c r="U131" s="9" t="str">
        <f t="shared" si="4"/>
        <v/>
      </c>
      <c r="V131" s="20" t="str">
        <f>IFERROR(IF(VLOOKUP(H131,AgeCategories!$D$3:$J$32,7,FALSE)=I131,"","DNF"),"")</f>
        <v/>
      </c>
      <c r="W131" s="9"/>
      <c r="X131" s="9"/>
    </row>
    <row r="132" spans="1:24">
      <c r="A132" s="53">
        <f>IF(SortedDownload!A132 &lt; 1,"",SortedDownload!A132)</f>
        <v>262</v>
      </c>
      <c r="B132" s="55">
        <f>IF(V132&lt;&gt;"","DNF",COUNTIF($V$3:V132,V132))</f>
        <v>130</v>
      </c>
      <c r="C132" s="54">
        <f>IF(OR(B132="DNF",H132=""),"DNF",COUNTIF($H$3:H132,H132))</f>
        <v>40</v>
      </c>
      <c r="D132" s="90" t="str">
        <f>IFERROR(VLOOKUP($A132,EntryList!$A$3:$N$596,2,FALSE),"")</f>
        <v>Julian Peter Oosthuizen</v>
      </c>
      <c r="E132" s="54" t="str">
        <f>IFERROR(VLOOKUP($A132,EntryList!$A$3:$V$596,19,FALSE),"")</f>
        <v/>
      </c>
      <c r="F132" s="176" t="str">
        <f>IFERROR(VLOOKUP($A132,EntryList!$A$3:$V$596,18,FALSE),"")</f>
        <v/>
      </c>
      <c r="G132" s="90" t="str">
        <f>IFERROR(VLOOKUP($A132,EntryList!$A$3:$N$596,6,FALSE),"")</f>
        <v>M</v>
      </c>
      <c r="H132" s="90" t="str">
        <f>IFERROR(VLOOKUP($A132,EntryList!$A$3:$N$596,7,FALSE),"")</f>
        <v>Master Men</v>
      </c>
      <c r="I132" s="54">
        <f>IFERROR(VLOOKUP($A132,SortedDownload!$A$3:$Z628,4,FALSE),"")</f>
        <v>5</v>
      </c>
      <c r="J132" s="59" t="str">
        <f>IFERROR(VLOOKUP($A132,SortedDownload!$A$3:$BB$499,23,FALSE),"")</f>
        <v>00:08:39.8 (139)</v>
      </c>
      <c r="K132" s="59" t="str">
        <f>IFERROR(VLOOKUP($A132,SortedDownload!$A$3:$BB$499,24,FALSE),"")</f>
        <v>00:05:33.8 (234)</v>
      </c>
      <c r="L132" s="59" t="str">
        <f>IFERROR(VLOOKUP($A132,SortedDownload!$A$3:$BB$499,25,FALSE),"")</f>
        <v>00:03:29.5 (234)</v>
      </c>
      <c r="M132" s="59" t="str">
        <f>IFERROR(VLOOKUP($A132,SortedDownload!$A$3:$BB$499,26,FALSE),"")</f>
        <v>00:08:00.8 (137)</v>
      </c>
      <c r="N132" s="59" t="str">
        <f>IFERROR(VLOOKUP($A132,SortedDownload!$A$3:$BB$499,27,FALSE),"")</f>
        <v>00:07:51.1 (236)</v>
      </c>
      <c r="O132" s="59" t="str">
        <f>IFERROR(VLOOKUP($A132,SortedDownload!$A$3:$BB$499,28,FALSE),"")</f>
        <v>DNS/DNF ()</v>
      </c>
      <c r="P132" s="59" t="str">
        <f>IFERROR(VLOOKUP($A132,SortedDownload!$A$3:$BB$499,29,FALSE),"")</f>
        <v>DNS/DNF ()</v>
      </c>
      <c r="Q132" s="59" t="str">
        <f>IFERROR(VLOOKUP($A132,SortedDownload!$A$3:$BB$499,30,FALSE),"")</f>
        <v>DNS/DNF ()</v>
      </c>
      <c r="R132" s="62" t="str">
        <f>IFERROR(TEXT(VLOOKUP($A132,SortedDownload!$A$3:$Z$499,14,FALSE),"[hh]:mm:ss.000"),"")</f>
        <v>00:33:34.964</v>
      </c>
      <c r="S132" s="83" t="str">
        <f t="shared" si="5"/>
        <v>01:26</v>
      </c>
      <c r="T132" s="83" t="str">
        <f t="shared" ref="T132:T195" si="6">IF($I132-$I131&lt;0,"N/A",IFERROR(TEXT(($R132-$R$3),"mm:ss"),"N/A"))</f>
        <v>16:45</v>
      </c>
      <c r="U132" s="9" t="str">
        <f t="shared" ref="U132:U195" si="7">IF($A132="","",IF(COUNTIF($A$3:$A$500,$A132)&gt;1,"Duplicate",""))</f>
        <v/>
      </c>
      <c r="V132" s="20" t="str">
        <f>IFERROR(IF(VLOOKUP(H132,AgeCategories!$D$3:$J$32,7,FALSE)=I132,"","DNF"),"")</f>
        <v/>
      </c>
      <c r="W132" s="9"/>
      <c r="X132" s="9"/>
    </row>
    <row r="133" spans="1:24">
      <c r="A133" s="53">
        <f>IF(SortedDownload!A133 &lt; 1,"",SortedDownload!A133)</f>
        <v>77</v>
      </c>
      <c r="B133" s="55" t="str">
        <f>IF(V133&lt;&gt;"","DNF",COUNTIF($V$3:V133,V133))</f>
        <v>DNF</v>
      </c>
      <c r="C133" s="54" t="str">
        <f>IF(OR(B133="DNF",H133=""),"DNF",COUNTIF($H$3:H133,H133))</f>
        <v>DNF</v>
      </c>
      <c r="D133" s="90" t="str">
        <f>IFERROR(VLOOKUP($A133,EntryList!$A$3:$N$596,2,FALSE),"")</f>
        <v>Pieter Berner</v>
      </c>
      <c r="E133" s="54">
        <f>IFERROR(VLOOKUP($A133,EntryList!$A$3:$V$596,19,FALSE),"")</f>
        <v>0</v>
      </c>
      <c r="F133" s="176">
        <f>IFERROR(VLOOKUP($A133,EntryList!$A$3:$V$596,18,FALSE),"")</f>
        <v>0</v>
      </c>
      <c r="G133" s="90" t="str">
        <f>IFERROR(VLOOKUP($A133,EntryList!$A$3:$N$596,6,FALSE),"")</f>
        <v>M</v>
      </c>
      <c r="H133" s="90" t="str">
        <f>IFERROR(VLOOKUP($A133,EntryList!$A$3:$N$596,7,FALSE),"")</f>
        <v>Master Men</v>
      </c>
      <c r="I133" s="54">
        <f>IFERROR(VLOOKUP($A133,SortedDownload!$A$3:$Z629,4,FALSE),"")</f>
        <v>4</v>
      </c>
      <c r="J133" s="59" t="str">
        <f>IFERROR(VLOOKUP($A133,SortedDownload!$A$3:$BB$499,23,FALSE),"")</f>
        <v>00:05:17.1 (117)</v>
      </c>
      <c r="K133" s="59" t="str">
        <f>IFERROR(VLOOKUP($A133,SortedDownload!$A$3:$BB$499,24,FALSE),"")</f>
        <v>00:04:33.6 (150)</v>
      </c>
      <c r="L133" s="59" t="str">
        <f>IFERROR(VLOOKUP($A133,SortedDownload!$A$3:$BB$499,25,FALSE),"")</f>
        <v>00:02:32.3 (121)</v>
      </c>
      <c r="M133" s="59" t="str">
        <f>IFERROR(VLOOKUP($A133,SortedDownload!$A$3:$BB$499,26,FALSE),"")</f>
        <v>DNS/DNF ()</v>
      </c>
      <c r="N133" s="59" t="str">
        <f>IFERROR(VLOOKUP($A133,SortedDownload!$A$3:$BB$499,27,FALSE),"")</f>
        <v>00:05:54.9 (127)</v>
      </c>
      <c r="O133" s="59" t="str">
        <f>IFERROR(VLOOKUP($A133,SortedDownload!$A$3:$BB$499,28,FALSE),"")</f>
        <v>DNS/DNF ()</v>
      </c>
      <c r="P133" s="59" t="str">
        <f>IFERROR(VLOOKUP($A133,SortedDownload!$A$3:$BB$499,29,FALSE),"")</f>
        <v>DNS/DNF ()</v>
      </c>
      <c r="Q133" s="59" t="str">
        <f>IFERROR(VLOOKUP($A133,SortedDownload!$A$3:$BB$499,30,FALSE),"")</f>
        <v>DNS/DNF ()</v>
      </c>
      <c r="R133" s="62" t="str">
        <f>IFERROR(TEXT(VLOOKUP($A133,SortedDownload!$A$3:$Z$499,14,FALSE),"[hh]:mm:ss.000"),"")</f>
        <v>00:18:17.896</v>
      </c>
      <c r="S133" s="83" t="str">
        <f t="shared" ref="S133:S196" si="8">IFERROR(TEXT(($R133-$R132),"mm:ss"),"N/A")</f>
        <v>N/A</v>
      </c>
      <c r="T133" s="83" t="str">
        <f t="shared" si="6"/>
        <v>N/A</v>
      </c>
      <c r="U133" s="9" t="str">
        <f t="shared" si="7"/>
        <v/>
      </c>
      <c r="V133" s="20" t="str">
        <f>IFERROR(IF(VLOOKUP(H133,AgeCategories!$D$3:$J$32,7,FALSE)=I133,"","DNF"),"")</f>
        <v>DNF</v>
      </c>
      <c r="W133" s="9"/>
      <c r="X133" s="9"/>
    </row>
    <row r="134" spans="1:24">
      <c r="A134" s="53">
        <f>IF(SortedDownload!A134 &lt; 1,"",SortedDownload!A134)</f>
        <v>157</v>
      </c>
      <c r="B134" s="55" t="str">
        <f>IF(V134&lt;&gt;"","DNF",COUNTIF($V$3:V134,V134))</f>
        <v>DNF</v>
      </c>
      <c r="C134" s="54" t="str">
        <f>IF(OR(B134="DNF",H134=""),"DNF",COUNTIF($H$3:H134,H134))</f>
        <v>DNF</v>
      </c>
      <c r="D134" s="90" t="str">
        <f>IFERROR(VLOOKUP($A134,EntryList!$A$3:$N$596,2,FALSE),"")</f>
        <v>Xander De Bruyn</v>
      </c>
      <c r="E134" s="54">
        <f>IFERROR(VLOOKUP($A134,EntryList!$A$3:$V$596,19,FALSE),"")</f>
        <v>0</v>
      </c>
      <c r="F134" s="176">
        <f>IFERROR(VLOOKUP($A134,EntryList!$A$3:$V$596,18,FALSE),"")</f>
        <v>0</v>
      </c>
      <c r="G134" s="90" t="str">
        <f>IFERROR(VLOOKUP($A134,EntryList!$A$3:$N$596,6,FALSE),"")</f>
        <v>M</v>
      </c>
      <c r="H134" s="90" t="str">
        <f>IFERROR(VLOOKUP($A134,EntryList!$A$3:$N$596,7,FALSE),"")</f>
        <v>Elite Men</v>
      </c>
      <c r="I134" s="54">
        <f>IFERROR(VLOOKUP($A134,SortedDownload!$A$3:$Z630,4,FALSE),"")</f>
        <v>4</v>
      </c>
      <c r="J134" s="59" t="str">
        <f>IFERROR(VLOOKUP($A134,SortedDownload!$A$3:$BB$499,23,FALSE),"")</f>
        <v>DNS/DNF ()</v>
      </c>
      <c r="K134" s="59" t="str">
        <f>IFERROR(VLOOKUP($A134,SortedDownload!$A$3:$BB$499,24,FALSE),"")</f>
        <v>00:04:28.7 (132)</v>
      </c>
      <c r="L134" s="59" t="str">
        <f>IFERROR(VLOOKUP($A134,SortedDownload!$A$3:$BB$499,25,FALSE),"")</f>
        <v>00:02:34.1 (127)</v>
      </c>
      <c r="M134" s="59" t="str">
        <f>IFERROR(VLOOKUP($A134,SortedDownload!$A$3:$BB$499,26,FALSE),"")</f>
        <v>00:05:31.3 (121)</v>
      </c>
      <c r="N134" s="59" t="str">
        <f>IFERROR(VLOOKUP($A134,SortedDownload!$A$3:$BB$499,27,FALSE),"")</f>
        <v>00:06:00.1 (143)</v>
      </c>
      <c r="O134" s="59" t="str">
        <f>IFERROR(VLOOKUP($A134,SortedDownload!$A$3:$BB$499,28,FALSE),"")</f>
        <v>DNS/DNF ()</v>
      </c>
      <c r="P134" s="59" t="str">
        <f>IFERROR(VLOOKUP($A134,SortedDownload!$A$3:$BB$499,29,FALSE),"")</f>
        <v>DNS/DNF ()</v>
      </c>
      <c r="Q134" s="59" t="str">
        <f>IFERROR(VLOOKUP($A134,SortedDownload!$A$3:$BB$499,30,FALSE),"")</f>
        <v>DNS/DNF ()</v>
      </c>
      <c r="R134" s="62" t="str">
        <f>IFERROR(TEXT(VLOOKUP($A134,SortedDownload!$A$3:$Z$499,14,FALSE),"[hh]:mm:ss.000"),"")</f>
        <v>00:18:34.102</v>
      </c>
      <c r="S134" s="83" t="str">
        <f t="shared" si="8"/>
        <v>00:16</v>
      </c>
      <c r="T134" s="83" t="str">
        <f t="shared" si="6"/>
        <v>01:44</v>
      </c>
      <c r="U134" s="9" t="str">
        <f t="shared" si="7"/>
        <v/>
      </c>
      <c r="V134" s="20" t="str">
        <f>IFERROR(IF(VLOOKUP(H134,AgeCategories!$D$3:$J$32,7,FALSE)=I134,"","DNF"),"")</f>
        <v>DNF</v>
      </c>
      <c r="W134" s="9"/>
      <c r="X134" s="9"/>
    </row>
    <row r="135" spans="1:24">
      <c r="A135" s="53">
        <f>IF(SortedDownload!A135 &lt; 1,"",SortedDownload!A135)</f>
        <v>266</v>
      </c>
      <c r="B135" s="55" t="str">
        <f>IF(V135&lt;&gt;"","DNF",COUNTIF($V$3:V135,V135))</f>
        <v>DNF</v>
      </c>
      <c r="C135" s="54" t="str">
        <f>IF(OR(B135="DNF",H135=""),"DNF",COUNTIF($H$3:H135,H135))</f>
        <v>DNF</v>
      </c>
      <c r="D135" s="90" t="str">
        <f>IFERROR(VLOOKUP($A135,EntryList!$A$3:$N$596,2,FALSE),"")</f>
        <v>Philip Van Schalkwyk Snr</v>
      </c>
      <c r="E135" s="54">
        <f>IFERROR(VLOOKUP($A135,EntryList!$A$3:$V$596,19,FALSE),"")</f>
        <v>0</v>
      </c>
      <c r="F135" s="176">
        <f>IFERROR(VLOOKUP($A135,EntryList!$A$3:$V$596,18,FALSE),"")</f>
        <v>0</v>
      </c>
      <c r="G135" s="90" t="str">
        <f>IFERROR(VLOOKUP($A135,EntryList!$A$3:$N$596,6,FALSE),"")</f>
        <v>M</v>
      </c>
      <c r="H135" s="90" t="str">
        <f>IFERROR(VLOOKUP($A135,EntryList!$A$3:$N$596,7,FALSE),"")</f>
        <v>Master Men</v>
      </c>
      <c r="I135" s="54">
        <f>IFERROR(VLOOKUP($A135,SortedDownload!$A$3:$Z631,4,FALSE),"")</f>
        <v>4</v>
      </c>
      <c r="J135" s="59" t="str">
        <f>IFERROR(VLOOKUP($A135,SortedDownload!$A$3:$BB$499,23,FALSE),"")</f>
        <v>DNS/DNF ()</v>
      </c>
      <c r="K135" s="59" t="str">
        <f>IFERROR(VLOOKUP($A135,SortedDownload!$A$3:$BB$499,24,FALSE),"")</f>
        <v>00:04:39.5 (166)</v>
      </c>
      <c r="L135" s="59" t="str">
        <f>IFERROR(VLOOKUP($A135,SortedDownload!$A$3:$BB$499,25,FALSE),"")</f>
        <v>00:02:49.6 (185)</v>
      </c>
      <c r="M135" s="59" t="str">
        <f>IFERROR(VLOOKUP($A135,SortedDownload!$A$3:$BB$499,26,FALSE),"")</f>
        <v>00:05:25.4 (118)</v>
      </c>
      <c r="N135" s="59" t="str">
        <f>IFERROR(VLOOKUP($A135,SortedDownload!$A$3:$BB$499,27,FALSE),"")</f>
        <v>00:06:05.5 (153)</v>
      </c>
      <c r="O135" s="59" t="str">
        <f>IFERROR(VLOOKUP($A135,SortedDownload!$A$3:$BB$499,28,FALSE),"")</f>
        <v>DNS/DNF ()</v>
      </c>
      <c r="P135" s="59" t="str">
        <f>IFERROR(VLOOKUP($A135,SortedDownload!$A$3:$BB$499,29,FALSE),"")</f>
        <v>DNS/DNF ()</v>
      </c>
      <c r="Q135" s="59" t="str">
        <f>IFERROR(VLOOKUP($A135,SortedDownload!$A$3:$BB$499,30,FALSE),"")</f>
        <v>DNS/DNF ()</v>
      </c>
      <c r="R135" s="62" t="str">
        <f>IFERROR(TEXT(VLOOKUP($A135,SortedDownload!$A$3:$Z$499,14,FALSE),"[hh]:mm:ss.000"),"")</f>
        <v>00:19:00.114</v>
      </c>
      <c r="S135" s="83" t="str">
        <f t="shared" si="8"/>
        <v>00:26</v>
      </c>
      <c r="T135" s="83" t="str">
        <f t="shared" si="6"/>
        <v>02:10</v>
      </c>
      <c r="U135" s="9" t="str">
        <f t="shared" si="7"/>
        <v/>
      </c>
      <c r="V135" s="20" t="str">
        <f>IFERROR(IF(VLOOKUP(H135,AgeCategories!$D$3:$J$32,7,FALSE)=I135,"","DNF"),"")</f>
        <v>DNF</v>
      </c>
      <c r="W135" s="9"/>
      <c r="X135" s="9"/>
    </row>
    <row r="136" spans="1:24">
      <c r="A136" s="53">
        <f>IF(SortedDownload!A136 &lt; 1,"",SortedDownload!A136)</f>
        <v>230</v>
      </c>
      <c r="B136" s="55" t="str">
        <f>IF(V136&lt;&gt;"","DNF",COUNTIF($V$3:V136,V136))</f>
        <v>DNF</v>
      </c>
      <c r="C136" s="54" t="str">
        <f>IF(OR(B136="DNF",H136=""),"DNF",COUNTIF($H$3:H136,H136))</f>
        <v>DNF</v>
      </c>
      <c r="D136" s="90" t="str">
        <f>IFERROR(VLOOKUP($A136,EntryList!$A$3:$N$596,2,FALSE),"")</f>
        <v>Christo Van Eeden</v>
      </c>
      <c r="E136" s="54">
        <f>IFERROR(VLOOKUP($A136,EntryList!$A$3:$V$596,19,FALSE),"")</f>
        <v>0</v>
      </c>
      <c r="F136" s="176">
        <f>IFERROR(VLOOKUP($A136,EntryList!$A$3:$V$596,18,FALSE),"")</f>
        <v>0</v>
      </c>
      <c r="G136" s="90" t="str">
        <f>IFERROR(VLOOKUP($A136,EntryList!$A$3:$N$596,6,FALSE),"")</f>
        <v>M</v>
      </c>
      <c r="H136" s="90" t="str">
        <f>IFERROR(VLOOKUP($A136,EntryList!$A$3:$N$596,7,FALSE),"")</f>
        <v>E-Bike M</v>
      </c>
      <c r="I136" s="54">
        <f>IFERROR(VLOOKUP($A136,SortedDownload!$A$3:$Z632,4,FALSE),"")</f>
        <v>4</v>
      </c>
      <c r="J136" s="59" t="str">
        <f>IFERROR(VLOOKUP($A136,SortedDownload!$A$3:$BB$499,23,FALSE),"")</f>
        <v>DNS/DNF ()</v>
      </c>
      <c r="K136" s="59" t="str">
        <f>IFERROR(VLOOKUP($A136,SortedDownload!$A$3:$BB$499,24,FALSE),"")</f>
        <v>00:04:39.8 (167)</v>
      </c>
      <c r="L136" s="59" t="str">
        <f>IFERROR(VLOOKUP($A136,SortedDownload!$A$3:$BB$499,25,FALSE),"")</f>
        <v>00:02:44.8 (174)</v>
      </c>
      <c r="M136" s="59" t="str">
        <f>IFERROR(VLOOKUP($A136,SortedDownload!$A$3:$BB$499,26,FALSE),"")</f>
        <v>00:07:22.2 (134)</v>
      </c>
      <c r="N136" s="59" t="str">
        <f>IFERROR(VLOOKUP($A136,SortedDownload!$A$3:$BB$499,27,FALSE),"")</f>
        <v>00:06:32.4 (190)</v>
      </c>
      <c r="O136" s="59" t="str">
        <f>IFERROR(VLOOKUP($A136,SortedDownload!$A$3:$BB$499,28,FALSE),"")</f>
        <v>DNS/DNF ()</v>
      </c>
      <c r="P136" s="59" t="str">
        <f>IFERROR(VLOOKUP($A136,SortedDownload!$A$3:$BB$499,29,FALSE),"")</f>
        <v>DNS/DNF ()</v>
      </c>
      <c r="Q136" s="59" t="str">
        <f>IFERROR(VLOOKUP($A136,SortedDownload!$A$3:$BB$499,30,FALSE),"")</f>
        <v>DNS/DNF ()</v>
      </c>
      <c r="R136" s="62" t="str">
        <f>IFERROR(TEXT(VLOOKUP($A136,SortedDownload!$A$3:$Z$499,14,FALSE),"[hh]:mm:ss.000"),"")</f>
        <v>00:21:19.184</v>
      </c>
      <c r="S136" s="83" t="str">
        <f t="shared" si="8"/>
        <v>02:19</v>
      </c>
      <c r="T136" s="83" t="str">
        <f t="shared" si="6"/>
        <v>04:29</v>
      </c>
      <c r="U136" s="9" t="str">
        <f t="shared" si="7"/>
        <v/>
      </c>
      <c r="V136" s="20" t="str">
        <f>IFERROR(IF(VLOOKUP(H136,AgeCategories!$D$3:$J$32,7,FALSE)=I136,"","DNF"),"")</f>
        <v>DNF</v>
      </c>
      <c r="W136" s="9"/>
      <c r="X136" s="9"/>
    </row>
    <row r="137" spans="1:24">
      <c r="A137" s="53">
        <f>IF(SortedDownload!A137 &lt; 1,"",SortedDownload!A137)</f>
        <v>132</v>
      </c>
      <c r="B137" s="55" t="str">
        <f>IF(V137&lt;&gt;"","DNF",COUNTIF($V$3:V137,V137))</f>
        <v>DNF</v>
      </c>
      <c r="C137" s="54" t="str">
        <f>IF(OR(B137="DNF",H137=""),"DNF",COUNTIF($H$3:H137,H137))</f>
        <v>DNF</v>
      </c>
      <c r="D137" s="90" t="str">
        <f>IFERROR(VLOOKUP($A137,EntryList!$A$3:$N$596,2,FALSE),"")</f>
        <v>Warwick Davison</v>
      </c>
      <c r="E137" s="54">
        <f>IFERROR(VLOOKUP($A137,EntryList!$A$3:$V$596,19,FALSE),"")</f>
        <v>0</v>
      </c>
      <c r="F137" s="176">
        <f>IFERROR(VLOOKUP($A137,EntryList!$A$3:$V$596,18,FALSE),"")</f>
        <v>0</v>
      </c>
      <c r="G137" s="90" t="str">
        <f>IFERROR(VLOOKUP($A137,EntryList!$A$3:$N$596,6,FALSE),"")</f>
        <v>M</v>
      </c>
      <c r="H137" s="90" t="str">
        <f>IFERROR(VLOOKUP($A137,EntryList!$A$3:$N$596,7,FALSE),"")</f>
        <v>Master Men</v>
      </c>
      <c r="I137" s="54">
        <f>IFERROR(VLOOKUP($A137,SortedDownload!$A$3:$Z633,4,FALSE),"")</f>
        <v>4</v>
      </c>
      <c r="J137" s="59" t="str">
        <f>IFERROR(VLOOKUP($A137,SortedDownload!$A$3:$BB$499,23,FALSE),"")</f>
        <v>DNS/DNF ()</v>
      </c>
      <c r="K137" s="59" t="str">
        <f>IFERROR(VLOOKUP($A137,SortedDownload!$A$3:$BB$499,24,FALSE),"")</f>
        <v>00:05:22.8 (221)</v>
      </c>
      <c r="L137" s="59" t="str">
        <f>IFERROR(VLOOKUP($A137,SortedDownload!$A$3:$BB$499,25,FALSE),"")</f>
        <v>00:03:53.5 (241)</v>
      </c>
      <c r="M137" s="59" t="str">
        <f>IFERROR(VLOOKUP($A137,SortedDownload!$A$3:$BB$499,26,FALSE),"")</f>
        <v>00:06:42.7 (133)</v>
      </c>
      <c r="N137" s="59" t="str">
        <f>IFERROR(VLOOKUP($A137,SortedDownload!$A$3:$BB$499,27,FALSE),"")</f>
        <v>00:07:04.1 (218)</v>
      </c>
      <c r="O137" s="59" t="str">
        <f>IFERROR(VLOOKUP($A137,SortedDownload!$A$3:$BB$499,28,FALSE),"")</f>
        <v>DNS/DNF ()</v>
      </c>
      <c r="P137" s="59" t="str">
        <f>IFERROR(VLOOKUP($A137,SortedDownload!$A$3:$BB$499,29,FALSE),"")</f>
        <v>DNS/DNF ()</v>
      </c>
      <c r="Q137" s="59" t="str">
        <f>IFERROR(VLOOKUP($A137,SortedDownload!$A$3:$BB$499,30,FALSE),"")</f>
        <v>DNS/DNF ()</v>
      </c>
      <c r="R137" s="62" t="str">
        <f>IFERROR(TEXT(VLOOKUP($A137,SortedDownload!$A$3:$Z$499,14,FALSE),"[hh]:mm:ss.000"),"")</f>
        <v>00:23:03.055</v>
      </c>
      <c r="S137" s="83" t="str">
        <f t="shared" si="8"/>
        <v>01:44</v>
      </c>
      <c r="T137" s="83" t="str">
        <f t="shared" si="6"/>
        <v>06:13</v>
      </c>
      <c r="U137" s="9" t="str">
        <f t="shared" si="7"/>
        <v/>
      </c>
      <c r="V137" s="20" t="str">
        <f>IFERROR(IF(VLOOKUP(H137,AgeCategories!$D$3:$J$32,7,FALSE)=I137,"","DNF"),"")</f>
        <v>DNF</v>
      </c>
      <c r="W137" s="9"/>
      <c r="X137" s="9"/>
    </row>
    <row r="138" spans="1:24">
      <c r="A138" s="53">
        <f>IF(SortedDownload!A138 &lt; 1,"",SortedDownload!A138)</f>
        <v>229</v>
      </c>
      <c r="B138" s="55" t="str">
        <f>IF(V138&lt;&gt;"","DNF",COUNTIF($V$3:V138,V138))</f>
        <v>DNF</v>
      </c>
      <c r="C138" s="54" t="str">
        <f>IF(OR(B138="DNF",H138=""),"DNF",COUNTIF($H$3:H138,H138))</f>
        <v>DNF</v>
      </c>
      <c r="D138" s="90" t="str">
        <f>IFERROR(VLOOKUP($A138,EntryList!$A$3:$N$596,2,FALSE),"")</f>
        <v>Mark Minter</v>
      </c>
      <c r="E138" s="54">
        <f>IFERROR(VLOOKUP($A138,EntryList!$A$3:$V$596,19,FALSE),"")</f>
        <v>0</v>
      </c>
      <c r="F138" s="176">
        <f>IFERROR(VLOOKUP($A138,EntryList!$A$3:$V$596,18,FALSE),"")</f>
        <v>0</v>
      </c>
      <c r="G138" s="90" t="str">
        <f>IFERROR(VLOOKUP($A138,EntryList!$A$3:$N$596,6,FALSE),"")</f>
        <v>M</v>
      </c>
      <c r="H138" s="90" t="str">
        <f>IFERROR(VLOOKUP($A138,EntryList!$A$3:$N$596,7,FALSE),"")</f>
        <v>Master Men</v>
      </c>
      <c r="I138" s="54">
        <f>IFERROR(VLOOKUP($A138,SortedDownload!$A$3:$Z634,4,FALSE),"")</f>
        <v>4</v>
      </c>
      <c r="J138" s="59" t="str">
        <f>IFERROR(VLOOKUP($A138,SortedDownload!$A$3:$BB$499,23,FALSE),"")</f>
        <v>DNS/DNF ()</v>
      </c>
      <c r="K138" s="59" t="str">
        <f>IFERROR(VLOOKUP($A138,SortedDownload!$A$3:$BB$499,24,FALSE),"")</f>
        <v>00:05:29.4 (228)</v>
      </c>
      <c r="L138" s="59" t="str">
        <f>IFERROR(VLOOKUP($A138,SortedDownload!$A$3:$BB$499,25,FALSE),"")</f>
        <v>00:03:15.6 (221)</v>
      </c>
      <c r="M138" s="59" t="str">
        <f>IFERROR(VLOOKUP($A138,SortedDownload!$A$3:$BB$499,26,FALSE),"")</f>
        <v>00:07:44.7 (135)</v>
      </c>
      <c r="N138" s="59" t="str">
        <f>IFERROR(VLOOKUP($A138,SortedDownload!$A$3:$BB$499,27,FALSE),"")</f>
        <v>00:06:52.0 (212)</v>
      </c>
      <c r="O138" s="59" t="str">
        <f>IFERROR(VLOOKUP($A138,SortedDownload!$A$3:$BB$499,28,FALSE),"")</f>
        <v>DNS/DNF ()</v>
      </c>
      <c r="P138" s="59" t="str">
        <f>IFERROR(VLOOKUP($A138,SortedDownload!$A$3:$BB$499,29,FALSE),"")</f>
        <v>DNS/DNF ()</v>
      </c>
      <c r="Q138" s="59" t="str">
        <f>IFERROR(VLOOKUP($A138,SortedDownload!$A$3:$BB$499,30,FALSE),"")</f>
        <v>DNS/DNF ()</v>
      </c>
      <c r="R138" s="62" t="str">
        <f>IFERROR(TEXT(VLOOKUP($A138,SortedDownload!$A$3:$Z$499,14,FALSE),"[hh]:mm:ss.000"),"")</f>
        <v>00:23:21.644</v>
      </c>
      <c r="S138" s="83" t="str">
        <f t="shared" si="8"/>
        <v>00:19</v>
      </c>
      <c r="T138" s="83" t="str">
        <f t="shared" si="6"/>
        <v>06:32</v>
      </c>
      <c r="U138" s="9" t="str">
        <f t="shared" si="7"/>
        <v/>
      </c>
      <c r="V138" s="20" t="str">
        <f>IFERROR(IF(VLOOKUP(H138,AgeCategories!$D$3:$J$32,7,FALSE)=I138,"","DNF"),"")</f>
        <v>DNF</v>
      </c>
      <c r="W138" s="9"/>
      <c r="X138" s="9"/>
    </row>
    <row r="139" spans="1:24">
      <c r="A139" s="53">
        <f>IF(SortedDownload!A139 &lt; 1,"",SortedDownload!A139)</f>
        <v>244</v>
      </c>
      <c r="B139" s="55" t="str">
        <f>IF(V139&lt;&gt;"","DNF",COUNTIF($V$3:V139,V139))</f>
        <v>DNF</v>
      </c>
      <c r="C139" s="54" t="str">
        <f>IF(OR(B139="DNF",H139=""),"DNF",COUNTIF($H$3:H139,H139))</f>
        <v>DNF</v>
      </c>
      <c r="D139" s="90" t="str">
        <f>IFERROR(VLOOKUP($A139,EntryList!$A$3:$N$596,2,FALSE),"")</f>
        <v>Devon Van Straten</v>
      </c>
      <c r="E139" s="54">
        <f>IFERROR(VLOOKUP($A139,EntryList!$A$3:$V$596,19,FALSE),"")</f>
        <v>0</v>
      </c>
      <c r="F139" s="176">
        <f>IFERROR(VLOOKUP($A139,EntryList!$A$3:$V$596,18,FALSE),"")</f>
        <v>0</v>
      </c>
      <c r="G139" s="90" t="str">
        <f>IFERROR(VLOOKUP($A139,EntryList!$A$3:$N$596,6,FALSE),"")</f>
        <v>M</v>
      </c>
      <c r="H139" s="90" t="str">
        <f>IFERROR(VLOOKUP($A139,EntryList!$A$3:$N$596,7,FALSE),"")</f>
        <v>Elite Men</v>
      </c>
      <c r="I139" s="54">
        <f>IFERROR(VLOOKUP($A139,SortedDownload!$A$3:$Z635,4,FALSE),"")</f>
        <v>4</v>
      </c>
      <c r="J139" s="59" t="str">
        <f>IFERROR(VLOOKUP($A139,SortedDownload!$A$3:$BB$499,23,FALSE),"")</f>
        <v>DNS/DNF ()</v>
      </c>
      <c r="K139" s="59" t="str">
        <f>IFERROR(VLOOKUP($A139,SortedDownload!$A$3:$BB$499,24,FALSE),"")</f>
        <v>00:07:22.2 (252)</v>
      </c>
      <c r="L139" s="59" t="str">
        <f>IFERROR(VLOOKUP($A139,SortedDownload!$A$3:$BB$499,25,FALSE),"")</f>
        <v>00:04:32.4 (245)</v>
      </c>
      <c r="M139" s="59" t="str">
        <f>IFERROR(VLOOKUP($A139,SortedDownload!$A$3:$BB$499,26,FALSE),"")</f>
        <v>00:11:31.0 (138)</v>
      </c>
      <c r="N139" s="59" t="str">
        <f>IFERROR(VLOOKUP($A139,SortedDownload!$A$3:$BB$499,27,FALSE),"")</f>
        <v>00:09:04.5 (240)</v>
      </c>
      <c r="O139" s="59" t="str">
        <f>IFERROR(VLOOKUP($A139,SortedDownload!$A$3:$BB$499,28,FALSE),"")</f>
        <v>DNS/DNF ()</v>
      </c>
      <c r="P139" s="59" t="str">
        <f>IFERROR(VLOOKUP($A139,SortedDownload!$A$3:$BB$499,29,FALSE),"")</f>
        <v>DNS/DNF ()</v>
      </c>
      <c r="Q139" s="59" t="str">
        <f>IFERROR(VLOOKUP($A139,SortedDownload!$A$3:$BB$499,30,FALSE),"")</f>
        <v>DNS/DNF ()</v>
      </c>
      <c r="R139" s="62" t="str">
        <f>IFERROR(TEXT(VLOOKUP($A139,SortedDownload!$A$3:$Z$499,14,FALSE),"[hh]:mm:ss.000"),"")</f>
        <v>00:32:30.124</v>
      </c>
      <c r="S139" s="83" t="str">
        <f t="shared" si="8"/>
        <v>09:08</v>
      </c>
      <c r="T139" s="83" t="str">
        <f t="shared" si="6"/>
        <v>15:40</v>
      </c>
      <c r="U139" s="9" t="str">
        <f t="shared" si="7"/>
        <v/>
      </c>
      <c r="V139" s="20" t="str">
        <f>IFERROR(IF(VLOOKUP(H139,AgeCategories!$D$3:$J$32,7,FALSE)=I139,"","DNF"),"")</f>
        <v>DNF</v>
      </c>
      <c r="W139" s="9"/>
      <c r="X139" s="9"/>
    </row>
    <row r="140" spans="1:24">
      <c r="A140" s="53">
        <f>IF(SortedDownload!A140 &lt; 1,"",SortedDownload!A140)</f>
        <v>74</v>
      </c>
      <c r="B140" s="55" t="str">
        <f>IF(V140&lt;&gt;"","DNF",COUNTIF($V$3:V140,V140))</f>
        <v>DNF</v>
      </c>
      <c r="C140" s="54" t="str">
        <f>IF(OR(B140="DNF",H140=""),"DNF",COUNTIF($H$3:H140,H140))</f>
        <v>DNF</v>
      </c>
      <c r="D140" s="90" t="str">
        <f>IFERROR(VLOOKUP($A140,EntryList!$A$3:$N$596,2,FALSE),"")</f>
        <v>Franco Pretorius</v>
      </c>
      <c r="E140" s="54">
        <f>IFERROR(VLOOKUP($A140,EntryList!$A$3:$V$596,19,FALSE),"")</f>
        <v>0</v>
      </c>
      <c r="F140" s="176">
        <f>IFERROR(VLOOKUP($A140,EntryList!$A$3:$V$596,18,FALSE),"")</f>
        <v>0</v>
      </c>
      <c r="G140" s="90" t="str">
        <f>IFERROR(VLOOKUP($A140,EntryList!$A$3:$N$596,6,FALSE),"")</f>
        <v>M</v>
      </c>
      <c r="H140" s="90" t="str">
        <f>IFERROR(VLOOKUP($A140,EntryList!$A$3:$N$596,7,FALSE),"")</f>
        <v>Elite Men</v>
      </c>
      <c r="I140" s="54">
        <f>IFERROR(VLOOKUP($A140,SortedDownload!$A$3:$Z636,4,FALSE),"")</f>
        <v>4</v>
      </c>
      <c r="J140" s="59" t="str">
        <f>IFERROR(VLOOKUP($A140,SortedDownload!$A$3:$BB$499,23,FALSE),"")</f>
        <v>00:03:44.6 (41)</v>
      </c>
      <c r="K140" s="59" t="str">
        <f>IFERROR(VLOOKUP($A140,SortedDownload!$A$3:$BB$499,24,FALSE),"")</f>
        <v>00:03:54.9 (50)</v>
      </c>
      <c r="L140" s="59" t="str">
        <f>IFERROR(VLOOKUP($A140,SortedDownload!$A$3:$BB$499,25,FALSE),"")</f>
        <v>00:02:02.8 (18)</v>
      </c>
      <c r="M140" s="59" t="str">
        <f>IFERROR(VLOOKUP($A140,SortedDownload!$A$3:$BB$499,26,FALSE),"")</f>
        <v>00:27:55.4 (139)</v>
      </c>
      <c r="N140" s="59" t="str">
        <f>IFERROR(VLOOKUP($A140,SortedDownload!$A$3:$BB$499,27,FALSE),"")</f>
        <v>DNS/DNF ()</v>
      </c>
      <c r="O140" s="59" t="str">
        <f>IFERROR(VLOOKUP($A140,SortedDownload!$A$3:$BB$499,28,FALSE),"")</f>
        <v>DNS/DNF ()</v>
      </c>
      <c r="P140" s="59" t="str">
        <f>IFERROR(VLOOKUP($A140,SortedDownload!$A$3:$BB$499,29,FALSE),"")</f>
        <v>DNS/DNF ()</v>
      </c>
      <c r="Q140" s="59" t="str">
        <f>IFERROR(VLOOKUP($A140,SortedDownload!$A$3:$BB$499,30,FALSE),"")</f>
        <v>DNS/DNF ()</v>
      </c>
      <c r="R140" s="62" t="str">
        <f>IFERROR(TEXT(VLOOKUP($A140,SortedDownload!$A$3:$Z$499,14,FALSE),"[hh]:mm:ss.000"),"")</f>
        <v>00:37:37.755</v>
      </c>
      <c r="S140" s="83" t="str">
        <f t="shared" si="8"/>
        <v>05:08</v>
      </c>
      <c r="T140" s="83" t="str">
        <f t="shared" si="6"/>
        <v>20:48</v>
      </c>
      <c r="U140" s="9" t="str">
        <f t="shared" si="7"/>
        <v/>
      </c>
      <c r="V140" s="20" t="str">
        <f>IFERROR(IF(VLOOKUP(H140,AgeCategories!$D$3:$J$32,7,FALSE)=I140,"","DNF"),"")</f>
        <v>DNF</v>
      </c>
      <c r="W140" s="9"/>
      <c r="X140" s="9"/>
    </row>
    <row r="141" spans="1:24">
      <c r="A141" s="53">
        <f>IF(SortedDownload!A141 &lt; 1,"",SortedDownload!A141)</f>
        <v>220</v>
      </c>
      <c r="B141" s="55" t="str">
        <f>IF(V141&lt;&gt;"","DNF",COUNTIF($V$3:V141,V141))</f>
        <v>DNF</v>
      </c>
      <c r="C141" s="54" t="str">
        <f>IF(OR(B141="DNF",H141=""),"DNF",COUNTIF($H$3:H141,H141))</f>
        <v>DNF</v>
      </c>
      <c r="D141" s="90" t="str">
        <f>IFERROR(VLOOKUP($A141,EntryList!$A$3:$N$596,2,FALSE),"")</f>
        <v>Mackinley Daly</v>
      </c>
      <c r="E141" s="54">
        <f>IFERROR(VLOOKUP($A141,EntryList!$A$3:$V$596,19,FALSE),"")</f>
        <v>0</v>
      </c>
      <c r="F141" s="176">
        <f>IFERROR(VLOOKUP($A141,EntryList!$A$3:$V$596,18,FALSE),"")</f>
        <v>0</v>
      </c>
      <c r="G141" s="90" t="str">
        <f>IFERROR(VLOOKUP($A141,EntryList!$A$3:$N$596,6,FALSE),"")</f>
        <v>M</v>
      </c>
      <c r="H141" s="90" t="str">
        <f>IFERROR(VLOOKUP($A141,EntryList!$A$3:$N$596,7,FALSE),"")</f>
        <v>Elite Men</v>
      </c>
      <c r="I141" s="54">
        <f>IFERROR(VLOOKUP($A141,SortedDownload!$A$3:$Z637,4,FALSE),"")</f>
        <v>3</v>
      </c>
      <c r="J141" s="59" t="str">
        <f>IFERROR(VLOOKUP($A141,SortedDownload!$A$3:$BB$499,23,FALSE),"")</f>
        <v>00:03:20.9 (16)</v>
      </c>
      <c r="K141" s="59" t="str">
        <f>IFERROR(VLOOKUP($A141,SortedDownload!$A$3:$BB$499,24,FALSE),"")</f>
        <v>00:03:51.7 (39)</v>
      </c>
      <c r="L141" s="59" t="str">
        <f>IFERROR(VLOOKUP($A141,SortedDownload!$A$3:$BB$499,25,FALSE),"")</f>
        <v>00:02:03.3 (21)</v>
      </c>
      <c r="M141" s="59" t="str">
        <f>IFERROR(VLOOKUP($A141,SortedDownload!$A$3:$BB$499,26,FALSE),"")</f>
        <v>DNS/DNF ()</v>
      </c>
      <c r="N141" s="59" t="str">
        <f>IFERROR(VLOOKUP($A141,SortedDownload!$A$3:$BB$499,27,FALSE),"")</f>
        <v>DNS/DNF ()</v>
      </c>
      <c r="O141" s="59" t="str">
        <f>IFERROR(VLOOKUP($A141,SortedDownload!$A$3:$BB$499,28,FALSE),"")</f>
        <v>DNS/DNF ()</v>
      </c>
      <c r="P141" s="59" t="str">
        <f>IFERROR(VLOOKUP($A141,SortedDownload!$A$3:$BB$499,29,FALSE),"")</f>
        <v>DNS/DNF ()</v>
      </c>
      <c r="Q141" s="59" t="str">
        <f>IFERROR(VLOOKUP($A141,SortedDownload!$A$3:$BB$499,30,FALSE),"")</f>
        <v>DNS/DNF ()</v>
      </c>
      <c r="R141" s="62" t="str">
        <f>IFERROR(TEXT(VLOOKUP($A141,SortedDownload!$A$3:$Z$499,14,FALSE),"[hh]:mm:ss.000"),"")</f>
        <v>00:09:15.902</v>
      </c>
      <c r="S141" s="83" t="str">
        <f t="shared" si="8"/>
        <v>N/A</v>
      </c>
      <c r="T141" s="83" t="str">
        <f t="shared" si="6"/>
        <v>N/A</v>
      </c>
      <c r="U141" s="9" t="str">
        <f t="shared" si="7"/>
        <v/>
      </c>
      <c r="V141" s="20" t="str">
        <f>IFERROR(IF(VLOOKUP(H141,AgeCategories!$D$3:$J$32,7,FALSE)=I141,"","DNF"),"")</f>
        <v>DNF</v>
      </c>
      <c r="W141" s="9"/>
      <c r="X141" s="9"/>
    </row>
    <row r="142" spans="1:24">
      <c r="A142" s="53">
        <f>IF(SortedDownload!A142 &lt; 1,"",SortedDownload!A142)</f>
        <v>238</v>
      </c>
      <c r="B142" s="55">
        <f>IF(V142&lt;&gt;"","DNF",COUNTIF($V$3:V142,V142))</f>
        <v>131</v>
      </c>
      <c r="C142" s="54">
        <f>IF(OR(B142="DNF",H142=""),"DNF",COUNTIF($H$3:H142,H142))</f>
        <v>1</v>
      </c>
      <c r="D142" s="90" t="str">
        <f>IFERROR(VLOOKUP($A142,EntryList!$A$3:$N$596,2,FALSE),"")</f>
        <v>Louis Van Der Walt</v>
      </c>
      <c r="E142" s="54">
        <f>IFERROR(VLOOKUP($A142,EntryList!$A$3:$V$596,19,FALSE),"")</f>
        <v>0</v>
      </c>
      <c r="F142" s="176">
        <f>IFERROR(VLOOKUP($A142,EntryList!$A$3:$V$596,18,FALSE),"")</f>
        <v>0</v>
      </c>
      <c r="G142" s="90" t="str">
        <f>IFERROR(VLOOKUP($A142,EntryList!$A$3:$N$596,6,FALSE),"")</f>
        <v>M</v>
      </c>
      <c r="H142" s="90" t="str">
        <f>IFERROR(VLOOKUP($A142,EntryList!$A$3:$N$596,7,FALSE),"")</f>
        <v>Lite M</v>
      </c>
      <c r="I142" s="54">
        <f>IFERROR(VLOOKUP($A142,SortedDownload!$A$3:$Z638,4,FALSE),"")</f>
        <v>3</v>
      </c>
      <c r="J142" s="59" t="str">
        <f>IFERROR(VLOOKUP($A142,SortedDownload!$A$3:$BB$499,23,FALSE),"")</f>
        <v>DNS/DNF ()</v>
      </c>
      <c r="K142" s="59" t="str">
        <f>IFERROR(VLOOKUP($A142,SortedDownload!$A$3:$BB$499,24,FALSE),"")</f>
        <v>00:03:51.9 (41)</v>
      </c>
      <c r="L142" s="59" t="str">
        <f>IFERROR(VLOOKUP($A142,SortedDownload!$A$3:$BB$499,25,FALSE),"")</f>
        <v>00:02:06.4 (31)</v>
      </c>
      <c r="M142" s="59" t="str">
        <f>IFERROR(VLOOKUP($A142,SortedDownload!$A$3:$BB$499,26,FALSE),"")</f>
        <v>DNS/DNF ()</v>
      </c>
      <c r="N142" s="59" t="str">
        <f>IFERROR(VLOOKUP($A142,SortedDownload!$A$3:$BB$499,27,FALSE),"")</f>
        <v>00:05:11.8 (38)</v>
      </c>
      <c r="O142" s="59" t="str">
        <f>IFERROR(VLOOKUP($A142,SortedDownload!$A$3:$BB$499,28,FALSE),"")</f>
        <v>DNS/DNF ()</v>
      </c>
      <c r="P142" s="59" t="str">
        <f>IFERROR(VLOOKUP($A142,SortedDownload!$A$3:$BB$499,29,FALSE),"")</f>
        <v>DNS/DNF ()</v>
      </c>
      <c r="Q142" s="59" t="str">
        <f>IFERROR(VLOOKUP($A142,SortedDownload!$A$3:$BB$499,30,FALSE),"")</f>
        <v>DNS/DNF ()</v>
      </c>
      <c r="R142" s="62" t="str">
        <f>IFERROR(TEXT(VLOOKUP($A142,SortedDownload!$A$3:$Z$499,14,FALSE),"[hh]:mm:ss.000"),"")</f>
        <v>00:11:10.123</v>
      </c>
      <c r="S142" s="83" t="str">
        <f t="shared" si="8"/>
        <v>01:54</v>
      </c>
      <c r="T142" s="83" t="str">
        <f t="shared" si="6"/>
        <v>N/A</v>
      </c>
      <c r="U142" s="9" t="str">
        <f t="shared" si="7"/>
        <v/>
      </c>
      <c r="V142" s="20" t="str">
        <f>IFERROR(IF(VLOOKUP(H142,AgeCategories!$D$3:$J$32,7,FALSE)=I142,"","DNF"),"")</f>
        <v/>
      </c>
      <c r="W142" s="9"/>
      <c r="X142" s="9"/>
    </row>
    <row r="143" spans="1:24">
      <c r="A143" s="53">
        <f>IF(SortedDownload!A143 &lt; 1,"",SortedDownload!A143)</f>
        <v>134</v>
      </c>
      <c r="B143" s="55">
        <f>IF(V143&lt;&gt;"","DNF",COUNTIF($V$3:V143,V143))</f>
        <v>132</v>
      </c>
      <c r="C143" s="54">
        <f>IF(OR(B143="DNF",H143=""),"DNF",COUNTIF($H$3:H143,H143))</f>
        <v>1</v>
      </c>
      <c r="D143" s="90" t="str">
        <f>IFERROR(VLOOKUP($A143,EntryList!$A$3:$N$596,2,FALSE),"")</f>
        <v>Christiaan De Villiers</v>
      </c>
      <c r="E143" s="54">
        <f>IFERROR(VLOOKUP($A143,EntryList!$A$3:$V$596,19,FALSE),"")</f>
        <v>0</v>
      </c>
      <c r="F143" s="176">
        <f>IFERROR(VLOOKUP($A143,EntryList!$A$3:$V$596,18,FALSE),"")</f>
        <v>0</v>
      </c>
      <c r="G143" s="90" t="str">
        <f>IFERROR(VLOOKUP($A143,EntryList!$A$3:$N$596,6,FALSE),"")</f>
        <v>M</v>
      </c>
      <c r="H143" s="90" t="str">
        <f>IFERROR(VLOOKUP($A143,EntryList!$A$3:$N$596,7,FALSE),"")</f>
        <v>Sub Junior Boys</v>
      </c>
      <c r="I143" s="54">
        <f>IFERROR(VLOOKUP($A143,SortedDownload!$A$3:$Z639,4,FALSE),"")</f>
        <v>3</v>
      </c>
      <c r="J143" s="59" t="str">
        <f>IFERROR(VLOOKUP($A143,SortedDownload!$A$3:$BB$499,23,FALSE),"")</f>
        <v>DNS/DNF ()</v>
      </c>
      <c r="K143" s="59" t="str">
        <f>IFERROR(VLOOKUP($A143,SortedDownload!$A$3:$BB$499,24,FALSE),"")</f>
        <v>00:03:55.0 (52)</v>
      </c>
      <c r="L143" s="59" t="str">
        <f>IFERROR(VLOOKUP($A143,SortedDownload!$A$3:$BB$499,25,FALSE),"")</f>
        <v>00:02:06.2 (30)</v>
      </c>
      <c r="M143" s="59" t="str">
        <f>IFERROR(VLOOKUP($A143,SortedDownload!$A$3:$BB$499,26,FALSE),"")</f>
        <v>DNS/DNF ()</v>
      </c>
      <c r="N143" s="59" t="str">
        <f>IFERROR(VLOOKUP($A143,SortedDownload!$A$3:$BB$499,27,FALSE),"")</f>
        <v>00:05:10.5 (33)</v>
      </c>
      <c r="O143" s="59" t="str">
        <f>IFERROR(VLOOKUP($A143,SortedDownload!$A$3:$BB$499,28,FALSE),"")</f>
        <v>DNS/DNF ()</v>
      </c>
      <c r="P143" s="59" t="str">
        <f>IFERROR(VLOOKUP($A143,SortedDownload!$A$3:$BB$499,29,FALSE),"")</f>
        <v>DNS/DNF ()</v>
      </c>
      <c r="Q143" s="59" t="str">
        <f>IFERROR(VLOOKUP($A143,SortedDownload!$A$3:$BB$499,30,FALSE),"")</f>
        <v>DNS/DNF ()</v>
      </c>
      <c r="R143" s="62" t="str">
        <f>IFERROR(TEXT(VLOOKUP($A143,SortedDownload!$A$3:$Z$499,14,FALSE),"[hh]:mm:ss.000"),"")</f>
        <v>00:11:11.777</v>
      </c>
      <c r="S143" s="83" t="str">
        <f t="shared" si="8"/>
        <v>00:02</v>
      </c>
      <c r="T143" s="83" t="str">
        <f t="shared" si="6"/>
        <v>N/A</v>
      </c>
      <c r="U143" s="9" t="str">
        <f t="shared" si="7"/>
        <v/>
      </c>
      <c r="V143" s="20" t="str">
        <f>IFERROR(IF(VLOOKUP(H143,AgeCategories!$D$3:$J$32,7,FALSE)=I143,"","DNF"),"")</f>
        <v/>
      </c>
      <c r="W143" s="9"/>
      <c r="X143" s="9"/>
    </row>
    <row r="144" spans="1:24">
      <c r="A144" s="53">
        <f>IF(SortedDownload!A144 &lt; 1,"",SortedDownload!A144)</f>
        <v>96</v>
      </c>
      <c r="B144" s="55">
        <f>IF(V144&lt;&gt;"","DNF",COUNTIF($V$3:V144,V144))</f>
        <v>133</v>
      </c>
      <c r="C144" s="54">
        <f>IF(OR(B144="DNF",H144=""),"DNF",COUNTIF($H$3:H144,H144))</f>
        <v>1</v>
      </c>
      <c r="D144" s="90" t="str">
        <f>IFERROR(VLOOKUP($A144,EntryList!$A$3:$N$596,2,FALSE),"")</f>
        <v>Sven Etsebeth</v>
      </c>
      <c r="E144" s="54">
        <f>IFERROR(VLOOKUP($A144,EntryList!$A$3:$V$596,19,FALSE),"")</f>
        <v>0</v>
      </c>
      <c r="F144" s="176">
        <f>IFERROR(VLOOKUP($A144,EntryList!$A$3:$V$596,18,FALSE),"")</f>
        <v>0</v>
      </c>
      <c r="G144" s="90" t="str">
        <f>IFERROR(VLOOKUP($A144,EntryList!$A$3:$N$596,6,FALSE),"")</f>
        <v>M</v>
      </c>
      <c r="H144" s="90" t="str">
        <f>IFERROR(VLOOKUP($A144,EntryList!$A$3:$N$596,7,FALSE),"")</f>
        <v>Sprog Boys</v>
      </c>
      <c r="I144" s="54">
        <f>IFERROR(VLOOKUP($A144,SortedDownload!$A$3:$Z640,4,FALSE),"")</f>
        <v>3</v>
      </c>
      <c r="J144" s="59" t="str">
        <f>IFERROR(VLOOKUP($A144,SortedDownload!$A$3:$BB$499,23,FALSE),"")</f>
        <v>DNS/DNF ()</v>
      </c>
      <c r="K144" s="59" t="str">
        <f>IFERROR(VLOOKUP($A144,SortedDownload!$A$3:$BB$499,24,FALSE),"")</f>
        <v>00:03:58.3 (58)</v>
      </c>
      <c r="L144" s="59" t="str">
        <f>IFERROR(VLOOKUP($A144,SortedDownload!$A$3:$BB$499,25,FALSE),"")</f>
        <v>00:02:15.0 (60)</v>
      </c>
      <c r="M144" s="59" t="str">
        <f>IFERROR(VLOOKUP($A144,SortedDownload!$A$3:$BB$499,26,FALSE),"")</f>
        <v>DNS/DNF ()</v>
      </c>
      <c r="N144" s="59" t="str">
        <f>IFERROR(VLOOKUP($A144,SortedDownload!$A$3:$BB$499,27,FALSE),"")</f>
        <v>00:05:12.5 (39)</v>
      </c>
      <c r="O144" s="59" t="str">
        <f>IFERROR(VLOOKUP($A144,SortedDownload!$A$3:$BB$499,28,FALSE),"")</f>
        <v>DNS/DNF ()</v>
      </c>
      <c r="P144" s="59" t="str">
        <f>IFERROR(VLOOKUP($A144,SortedDownload!$A$3:$BB$499,29,FALSE),"")</f>
        <v>DNS/DNF ()</v>
      </c>
      <c r="Q144" s="59" t="str">
        <f>IFERROR(VLOOKUP($A144,SortedDownload!$A$3:$BB$499,30,FALSE),"")</f>
        <v>DNS/DNF ()</v>
      </c>
      <c r="R144" s="62" t="str">
        <f>IFERROR(TEXT(VLOOKUP($A144,SortedDownload!$A$3:$Z$499,14,FALSE),"[hh]:mm:ss.000"),"")</f>
        <v>00:11:25.743</v>
      </c>
      <c r="S144" s="83" t="str">
        <f t="shared" si="8"/>
        <v>00:14</v>
      </c>
      <c r="T144" s="83" t="str">
        <f t="shared" si="6"/>
        <v>N/A</v>
      </c>
      <c r="U144" s="9" t="str">
        <f t="shared" si="7"/>
        <v/>
      </c>
      <c r="V144" s="20" t="str">
        <f>IFERROR(IF(VLOOKUP(H144,AgeCategories!$D$3:$J$32,7,FALSE)=I144,"","DNF"),"")</f>
        <v/>
      </c>
      <c r="W144" s="9"/>
      <c r="X144" s="9"/>
    </row>
    <row r="145" spans="1:24">
      <c r="A145" s="53">
        <f>IF(SortedDownload!A145 &lt; 1,"",SortedDownload!A145)</f>
        <v>58</v>
      </c>
      <c r="B145" s="55" t="str">
        <f>IF(V145&lt;&gt;"","DNF",COUNTIF($V$3:V145,V145))</f>
        <v>DNF</v>
      </c>
      <c r="C145" s="54" t="str">
        <f>IF(OR(B145="DNF",H145=""),"DNF",COUNTIF($H$3:H145,H145))</f>
        <v>DNF</v>
      </c>
      <c r="D145" s="90" t="str">
        <f>IFERROR(VLOOKUP($A145,EntryList!$A$3:$N$596,2,FALSE),"")</f>
        <v>Craig Fussell</v>
      </c>
      <c r="E145" s="54">
        <f>IFERROR(VLOOKUP($A145,EntryList!$A$3:$V$596,19,FALSE),"")</f>
        <v>0</v>
      </c>
      <c r="F145" s="176">
        <f>IFERROR(VLOOKUP($A145,EntryList!$A$3:$V$596,18,FALSE),"")</f>
        <v>0</v>
      </c>
      <c r="G145" s="90" t="str">
        <f>IFERROR(VLOOKUP($A145,EntryList!$A$3:$N$596,6,FALSE),"")</f>
        <v>M</v>
      </c>
      <c r="H145" s="90" t="str">
        <f>IFERROR(VLOOKUP($A145,EntryList!$A$3:$N$596,7,FALSE),"")</f>
        <v>Master Men</v>
      </c>
      <c r="I145" s="54">
        <f>IFERROR(VLOOKUP($A145,SortedDownload!$A$3:$Z641,4,FALSE),"")</f>
        <v>3</v>
      </c>
      <c r="J145" s="59" t="str">
        <f>IFERROR(VLOOKUP($A145,SortedDownload!$A$3:$BB$499,23,FALSE),"")</f>
        <v>00:04:38.4 (97)</v>
      </c>
      <c r="K145" s="59" t="str">
        <f>IFERROR(VLOOKUP($A145,SortedDownload!$A$3:$BB$499,24,FALSE),"")</f>
        <v>00:04:19.2 (109)</v>
      </c>
      <c r="L145" s="59" t="str">
        <f>IFERROR(VLOOKUP($A145,SortedDownload!$A$3:$BB$499,25,FALSE),"")</f>
        <v>00:02:34.7 (130)</v>
      </c>
      <c r="M145" s="59" t="str">
        <f>IFERROR(VLOOKUP($A145,SortedDownload!$A$3:$BB$499,26,FALSE),"")</f>
        <v>DNS/DNF ()</v>
      </c>
      <c r="N145" s="59" t="str">
        <f>IFERROR(VLOOKUP($A145,SortedDownload!$A$3:$BB$499,27,FALSE),"")</f>
        <v>DNS/DNF ()</v>
      </c>
      <c r="O145" s="59" t="str">
        <f>IFERROR(VLOOKUP($A145,SortedDownload!$A$3:$BB$499,28,FALSE),"")</f>
        <v>DNS/DNF ()</v>
      </c>
      <c r="P145" s="59" t="str">
        <f>IFERROR(VLOOKUP($A145,SortedDownload!$A$3:$BB$499,29,FALSE),"")</f>
        <v>DNS/DNF ()</v>
      </c>
      <c r="Q145" s="59" t="str">
        <f>IFERROR(VLOOKUP($A145,SortedDownload!$A$3:$BB$499,30,FALSE),"")</f>
        <v>DNS/DNF ()</v>
      </c>
      <c r="R145" s="62" t="str">
        <f>IFERROR(TEXT(VLOOKUP($A145,SortedDownload!$A$3:$Z$499,14,FALSE),"[hh]:mm:ss.000"),"")</f>
        <v>00:11:32.193</v>
      </c>
      <c r="S145" s="83" t="str">
        <f t="shared" si="8"/>
        <v>00:06</v>
      </c>
      <c r="T145" s="83" t="str">
        <f t="shared" si="6"/>
        <v>N/A</v>
      </c>
      <c r="U145" s="9" t="str">
        <f t="shared" si="7"/>
        <v/>
      </c>
      <c r="V145" s="20" t="str">
        <f>IFERROR(IF(VLOOKUP(H145,AgeCategories!$D$3:$J$32,7,FALSE)=I145,"","DNF"),"")</f>
        <v>DNF</v>
      </c>
      <c r="W145" s="9"/>
      <c r="X145" s="9"/>
    </row>
    <row r="146" spans="1:24">
      <c r="A146" s="53">
        <f>IF(SortedDownload!A146 &lt; 1,"",SortedDownload!A146)</f>
        <v>191</v>
      </c>
      <c r="B146" s="55">
        <f>IF(V146&lt;&gt;"","DNF",COUNTIF($V$3:V146,V146))</f>
        <v>134</v>
      </c>
      <c r="C146" s="54">
        <f>IF(OR(B146="DNF",H146=""),"DNF",COUNTIF($H$3:H146,H146))</f>
        <v>2</v>
      </c>
      <c r="D146" s="90" t="str">
        <f>IFERROR(VLOOKUP($A146,EntryList!$A$3:$N$596,2,FALSE),"")</f>
        <v>Pieter Heyns</v>
      </c>
      <c r="E146" s="54">
        <f>IFERROR(VLOOKUP($A146,EntryList!$A$3:$V$596,19,FALSE),"")</f>
        <v>0</v>
      </c>
      <c r="F146" s="176">
        <f>IFERROR(VLOOKUP($A146,EntryList!$A$3:$V$596,18,FALSE),"")</f>
        <v>0</v>
      </c>
      <c r="G146" s="90" t="str">
        <f>IFERROR(VLOOKUP($A146,EntryList!$A$3:$N$596,6,FALSE),"")</f>
        <v>M</v>
      </c>
      <c r="H146" s="90" t="str">
        <f>IFERROR(VLOOKUP($A146,EntryList!$A$3:$N$596,7,FALSE),"")</f>
        <v>Lite M</v>
      </c>
      <c r="I146" s="54">
        <f>IFERROR(VLOOKUP($A146,SortedDownload!$A$3:$Z642,4,FALSE),"")</f>
        <v>3</v>
      </c>
      <c r="J146" s="59" t="str">
        <f>IFERROR(VLOOKUP($A146,SortedDownload!$A$3:$BB$499,23,FALSE),"")</f>
        <v>DNS/DNF ()</v>
      </c>
      <c r="K146" s="59" t="str">
        <f>IFERROR(VLOOKUP($A146,SortedDownload!$A$3:$BB$499,24,FALSE),"")</f>
        <v>00:03:58.6 (59)</v>
      </c>
      <c r="L146" s="59" t="str">
        <f>IFERROR(VLOOKUP($A146,SortedDownload!$A$3:$BB$499,25,FALSE),"")</f>
        <v>00:02:09.8 (43)</v>
      </c>
      <c r="M146" s="59" t="str">
        <f>IFERROR(VLOOKUP($A146,SortedDownload!$A$3:$BB$499,26,FALSE),"")</f>
        <v>DNS/DNF ()</v>
      </c>
      <c r="N146" s="59" t="str">
        <f>IFERROR(VLOOKUP($A146,SortedDownload!$A$3:$BB$499,27,FALSE),"")</f>
        <v>00:05:24.7 (57)</v>
      </c>
      <c r="O146" s="59" t="str">
        <f>IFERROR(VLOOKUP($A146,SortedDownload!$A$3:$BB$499,28,FALSE),"")</f>
        <v>DNS/DNF ()</v>
      </c>
      <c r="P146" s="59" t="str">
        <f>IFERROR(VLOOKUP($A146,SortedDownload!$A$3:$BB$499,29,FALSE),"")</f>
        <v>DNS/DNF ()</v>
      </c>
      <c r="Q146" s="59" t="str">
        <f>IFERROR(VLOOKUP($A146,SortedDownload!$A$3:$BB$499,30,FALSE),"")</f>
        <v>DNS/DNF ()</v>
      </c>
      <c r="R146" s="62" t="str">
        <f>IFERROR(TEXT(VLOOKUP($A146,SortedDownload!$A$3:$Z$499,14,FALSE),"[hh]:mm:ss.000"),"")</f>
        <v>00:11:33.146</v>
      </c>
      <c r="S146" s="83" t="str">
        <f t="shared" si="8"/>
        <v>00:01</v>
      </c>
      <c r="T146" s="83" t="str">
        <f t="shared" si="6"/>
        <v>N/A</v>
      </c>
      <c r="U146" s="9" t="str">
        <f t="shared" si="7"/>
        <v/>
      </c>
      <c r="V146" s="20" t="str">
        <f>IFERROR(IF(VLOOKUP(H146,AgeCategories!$D$3:$J$32,7,FALSE)=I146,"","DNF"),"")</f>
        <v/>
      </c>
      <c r="W146" s="9"/>
      <c r="X146" s="9"/>
    </row>
    <row r="147" spans="1:24">
      <c r="A147" s="53">
        <f>IF(SortedDownload!A147 &lt; 1,"",SortedDownload!A147)</f>
        <v>293</v>
      </c>
      <c r="B147" s="55">
        <f>IF(V147&lt;&gt;"","DNF",COUNTIF($V$3:V147,V147))</f>
        <v>135</v>
      </c>
      <c r="C147" s="54">
        <f>IF(OR(B147="DNF",H147=""),"DNF",COUNTIF($H$3:H147,H147))</f>
        <v>3</v>
      </c>
      <c r="D147" s="90" t="str">
        <f>IFERROR(VLOOKUP($A147,EntryList!$A$3:$N$596,2,FALSE),"")</f>
        <v>Wynand Mostert</v>
      </c>
      <c r="E147" s="54">
        <f>IFERROR(VLOOKUP($A147,EntryList!$A$3:$V$596,19,FALSE),"")</f>
        <v>0</v>
      </c>
      <c r="F147" s="176">
        <f>IFERROR(VLOOKUP($A147,EntryList!$A$3:$V$596,18,FALSE),"")</f>
        <v>0</v>
      </c>
      <c r="G147" s="90" t="str">
        <f>IFERROR(VLOOKUP($A147,EntryList!$A$3:$N$596,6,FALSE),"")</f>
        <v>M</v>
      </c>
      <c r="H147" s="90" t="str">
        <f>IFERROR(VLOOKUP($A147,EntryList!$A$3:$N$596,7,FALSE),"")</f>
        <v>Lite M</v>
      </c>
      <c r="I147" s="54">
        <f>IFERROR(VLOOKUP($A147,SortedDownload!$A$3:$Z643,4,FALSE),"")</f>
        <v>3</v>
      </c>
      <c r="J147" s="59" t="str">
        <f>IFERROR(VLOOKUP($A147,SortedDownload!$A$3:$BB$499,23,FALSE),"")</f>
        <v>DNS/DNF ()</v>
      </c>
      <c r="K147" s="59" t="str">
        <f>IFERROR(VLOOKUP($A147,SortedDownload!$A$3:$BB$499,24,FALSE),"")</f>
        <v>00:03:56.0 (53)</v>
      </c>
      <c r="L147" s="59" t="str">
        <f>IFERROR(VLOOKUP($A147,SortedDownload!$A$3:$BB$499,25,FALSE),"")</f>
        <v>00:02:14.5 (59)</v>
      </c>
      <c r="M147" s="59" t="str">
        <f>IFERROR(VLOOKUP($A147,SortedDownload!$A$3:$BB$499,26,FALSE),"")</f>
        <v>DNS/DNF ()</v>
      </c>
      <c r="N147" s="59" t="str">
        <f>IFERROR(VLOOKUP($A147,SortedDownload!$A$3:$BB$499,27,FALSE),"")</f>
        <v>00:05:25.7 (60)</v>
      </c>
      <c r="O147" s="59" t="str">
        <f>IFERROR(VLOOKUP($A147,SortedDownload!$A$3:$BB$499,28,FALSE),"")</f>
        <v>DNS/DNF ()</v>
      </c>
      <c r="P147" s="59" t="str">
        <f>IFERROR(VLOOKUP($A147,SortedDownload!$A$3:$BB$499,29,FALSE),"")</f>
        <v>DNS/DNF ()</v>
      </c>
      <c r="Q147" s="59" t="str">
        <f>IFERROR(VLOOKUP($A147,SortedDownload!$A$3:$BB$499,30,FALSE),"")</f>
        <v>DNS/DNF ()</v>
      </c>
      <c r="R147" s="62" t="str">
        <f>IFERROR(TEXT(VLOOKUP($A147,SortedDownload!$A$3:$Z$499,14,FALSE),"[hh]:mm:ss.000"),"")</f>
        <v>00:11:36.188</v>
      </c>
      <c r="S147" s="83" t="str">
        <f t="shared" si="8"/>
        <v>00:03</v>
      </c>
      <c r="T147" s="83" t="str">
        <f t="shared" si="6"/>
        <v>N/A</v>
      </c>
      <c r="U147" s="9" t="str">
        <f t="shared" si="7"/>
        <v/>
      </c>
      <c r="V147" s="20" t="str">
        <f>IFERROR(IF(VLOOKUP(H147,AgeCategories!$D$3:$J$32,7,FALSE)=I147,"","DNF"),"")</f>
        <v/>
      </c>
      <c r="W147" s="9"/>
      <c r="X147" s="9"/>
    </row>
    <row r="148" spans="1:24">
      <c r="A148" s="53">
        <f>IF(SortedDownload!A148 &lt; 1,"",SortedDownload!A148)</f>
        <v>215</v>
      </c>
      <c r="B148" s="55">
        <f>IF(V148&lt;&gt;"","DNF",COUNTIF($V$3:V148,V148))</f>
        <v>136</v>
      </c>
      <c r="C148" s="54">
        <f>IF(OR(B148="DNF",H148=""),"DNF",COUNTIF($H$3:H148,H148))</f>
        <v>2</v>
      </c>
      <c r="D148" s="90" t="str">
        <f>IFERROR(VLOOKUP($A148,EntryList!$A$3:$N$596,2,FALSE),"")</f>
        <v>Benjamin Fourie</v>
      </c>
      <c r="E148" s="54">
        <f>IFERROR(VLOOKUP($A148,EntryList!$A$3:$V$596,19,FALSE),"")</f>
        <v>0</v>
      </c>
      <c r="F148" s="176">
        <f>IFERROR(VLOOKUP($A148,EntryList!$A$3:$V$596,18,FALSE),"")</f>
        <v>0</v>
      </c>
      <c r="G148" s="90" t="str">
        <f>IFERROR(VLOOKUP($A148,EntryList!$A$3:$N$596,6,FALSE),"")</f>
        <v>M</v>
      </c>
      <c r="H148" s="90" t="str">
        <f>IFERROR(VLOOKUP($A148,EntryList!$A$3:$N$596,7,FALSE),"")</f>
        <v>Sub Junior Boys</v>
      </c>
      <c r="I148" s="54">
        <f>IFERROR(VLOOKUP($A148,SortedDownload!$A$3:$Z644,4,FALSE),"")</f>
        <v>3</v>
      </c>
      <c r="J148" s="59" t="str">
        <f>IFERROR(VLOOKUP($A148,SortedDownload!$A$3:$BB$499,23,FALSE),"")</f>
        <v>DNS/DNF ()</v>
      </c>
      <c r="K148" s="59" t="str">
        <f>IFERROR(VLOOKUP($A148,SortedDownload!$A$3:$BB$499,24,FALSE),"")</f>
        <v>00:04:06.8 (80)</v>
      </c>
      <c r="L148" s="59" t="str">
        <f>IFERROR(VLOOKUP($A148,SortedDownload!$A$3:$BB$499,25,FALSE),"")</f>
        <v>00:02:17.8 (71)</v>
      </c>
      <c r="M148" s="59" t="str">
        <f>IFERROR(VLOOKUP($A148,SortedDownload!$A$3:$BB$499,26,FALSE),"")</f>
        <v>DNS/DNF ()</v>
      </c>
      <c r="N148" s="59" t="str">
        <f>IFERROR(VLOOKUP($A148,SortedDownload!$A$3:$BB$499,27,FALSE),"")</f>
        <v>00:05:14.9 (42)</v>
      </c>
      <c r="O148" s="59" t="str">
        <f>IFERROR(VLOOKUP($A148,SortedDownload!$A$3:$BB$499,28,FALSE),"")</f>
        <v>DNS/DNF ()</v>
      </c>
      <c r="P148" s="59" t="str">
        <f>IFERROR(VLOOKUP($A148,SortedDownload!$A$3:$BB$499,29,FALSE),"")</f>
        <v>DNS/DNF ()</v>
      </c>
      <c r="Q148" s="59" t="str">
        <f>IFERROR(VLOOKUP($A148,SortedDownload!$A$3:$BB$499,30,FALSE),"")</f>
        <v>DNS/DNF ()</v>
      </c>
      <c r="R148" s="62" t="str">
        <f>IFERROR(TEXT(VLOOKUP($A148,SortedDownload!$A$3:$Z$499,14,FALSE),"[hh]:mm:ss.000"),"")</f>
        <v>00:11:39.552</v>
      </c>
      <c r="S148" s="83" t="str">
        <f t="shared" si="8"/>
        <v>00:03</v>
      </c>
      <c r="T148" s="83" t="str">
        <f t="shared" si="6"/>
        <v>N/A</v>
      </c>
      <c r="U148" s="9" t="str">
        <f t="shared" si="7"/>
        <v/>
      </c>
      <c r="V148" s="20" t="str">
        <f>IFERROR(IF(VLOOKUP(H148,AgeCategories!$D$3:$J$32,7,FALSE)=I148,"","DNF"),"")</f>
        <v/>
      </c>
      <c r="W148" s="9"/>
      <c r="X148" s="9"/>
    </row>
    <row r="149" spans="1:24">
      <c r="A149" s="53">
        <f>IF(SortedDownload!A149 &lt; 1,"",SortedDownload!A149)</f>
        <v>205</v>
      </c>
      <c r="B149" s="55">
        <f>IF(V149&lt;&gt;"","DNF",COUNTIF($V$3:V149,V149))</f>
        <v>137</v>
      </c>
      <c r="C149" s="54">
        <f>IF(OR(B149="DNF",H149=""),"DNF",COUNTIF($H$3:H149,H149))</f>
        <v>4</v>
      </c>
      <c r="D149" s="90" t="str">
        <f>IFERROR(VLOOKUP($A149,EntryList!$A$3:$N$596,2,FALSE),"")</f>
        <v>Johmar Loubser</v>
      </c>
      <c r="E149" s="54">
        <f>IFERROR(VLOOKUP($A149,EntryList!$A$3:$V$596,19,FALSE),"")</f>
        <v>0</v>
      </c>
      <c r="F149" s="176">
        <f>IFERROR(VLOOKUP($A149,EntryList!$A$3:$V$596,18,FALSE),"")</f>
        <v>0</v>
      </c>
      <c r="G149" s="90" t="str">
        <f>IFERROR(VLOOKUP($A149,EntryList!$A$3:$N$596,6,FALSE),"")</f>
        <v>M</v>
      </c>
      <c r="H149" s="90" t="str">
        <f>IFERROR(VLOOKUP($A149,EntryList!$A$3:$N$596,7,FALSE),"")</f>
        <v>Lite M</v>
      </c>
      <c r="I149" s="54">
        <f>IFERROR(VLOOKUP($A149,SortedDownload!$A$3:$Z645,4,FALSE),"")</f>
        <v>3</v>
      </c>
      <c r="J149" s="59" t="str">
        <f>IFERROR(VLOOKUP($A149,SortedDownload!$A$3:$BB$499,23,FALSE),"")</f>
        <v>DNS/DNF ()</v>
      </c>
      <c r="K149" s="59" t="str">
        <f>IFERROR(VLOOKUP($A149,SortedDownload!$A$3:$BB$499,24,FALSE),"")</f>
        <v>00:04:04.8 (74)</v>
      </c>
      <c r="L149" s="59" t="str">
        <f>IFERROR(VLOOKUP($A149,SortedDownload!$A$3:$BB$499,25,FALSE),"")</f>
        <v>00:02:16.6 (67)</v>
      </c>
      <c r="M149" s="59" t="str">
        <f>IFERROR(VLOOKUP($A149,SortedDownload!$A$3:$BB$499,26,FALSE),"")</f>
        <v>DNS/DNF ()</v>
      </c>
      <c r="N149" s="59" t="str">
        <f>IFERROR(VLOOKUP($A149,SortedDownload!$A$3:$BB$499,27,FALSE),"")</f>
        <v>00:05:19.0 (51)</v>
      </c>
      <c r="O149" s="59" t="str">
        <f>IFERROR(VLOOKUP($A149,SortedDownload!$A$3:$BB$499,28,FALSE),"")</f>
        <v>DNS/DNF ()</v>
      </c>
      <c r="P149" s="59" t="str">
        <f>IFERROR(VLOOKUP($A149,SortedDownload!$A$3:$BB$499,29,FALSE),"")</f>
        <v>DNS/DNF ()</v>
      </c>
      <c r="Q149" s="59" t="str">
        <f>IFERROR(VLOOKUP($A149,SortedDownload!$A$3:$BB$499,30,FALSE),"")</f>
        <v>DNS/DNF ()</v>
      </c>
      <c r="R149" s="62" t="str">
        <f>IFERROR(TEXT(VLOOKUP($A149,SortedDownload!$A$3:$Z$499,14,FALSE),"[hh]:mm:ss.000"),"")</f>
        <v>00:11:40.479</v>
      </c>
      <c r="S149" s="83" t="str">
        <f t="shared" si="8"/>
        <v>00:01</v>
      </c>
      <c r="T149" s="83" t="str">
        <f t="shared" si="6"/>
        <v>N/A</v>
      </c>
      <c r="U149" s="9" t="str">
        <f t="shared" si="7"/>
        <v/>
      </c>
      <c r="V149" s="20" t="str">
        <f>IFERROR(IF(VLOOKUP(H149,AgeCategories!$D$3:$J$32,7,FALSE)=I149,"","DNF"),"")</f>
        <v/>
      </c>
      <c r="W149" s="9"/>
      <c r="X149" s="9"/>
    </row>
    <row r="150" spans="1:24">
      <c r="A150" s="53">
        <f>IF(SortedDownload!A150 &lt; 1,"",SortedDownload!A150)</f>
        <v>139</v>
      </c>
      <c r="B150" s="55">
        <f>IF(V150&lt;&gt;"","DNF",COUNTIF($V$3:V150,V150))</f>
        <v>138</v>
      </c>
      <c r="C150" s="54">
        <f>IF(OR(B150="DNF",H150=""),"DNF",COUNTIF($H$3:H150,H150))</f>
        <v>5</v>
      </c>
      <c r="D150" s="90" t="str">
        <f>IFERROR(VLOOKUP($A150,EntryList!$A$3:$N$596,2,FALSE),"")</f>
        <v>Heinrich Vreken</v>
      </c>
      <c r="E150" s="54">
        <f>IFERROR(VLOOKUP($A150,EntryList!$A$3:$V$596,19,FALSE),"")</f>
        <v>0</v>
      </c>
      <c r="F150" s="176">
        <f>IFERROR(VLOOKUP($A150,EntryList!$A$3:$V$596,18,FALSE),"")</f>
        <v>0</v>
      </c>
      <c r="G150" s="90" t="str">
        <f>IFERROR(VLOOKUP($A150,EntryList!$A$3:$N$596,6,FALSE),"")</f>
        <v>M</v>
      </c>
      <c r="H150" s="90" t="str">
        <f>IFERROR(VLOOKUP($A150,EntryList!$A$3:$N$596,7,FALSE),"")</f>
        <v>Lite M</v>
      </c>
      <c r="I150" s="54">
        <f>IFERROR(VLOOKUP($A150,SortedDownload!$A$3:$Z646,4,FALSE),"")</f>
        <v>3</v>
      </c>
      <c r="J150" s="59" t="str">
        <f>IFERROR(VLOOKUP($A150,SortedDownload!$A$3:$BB$499,23,FALSE),"")</f>
        <v>DNS/DNF ()</v>
      </c>
      <c r="K150" s="59" t="str">
        <f>IFERROR(VLOOKUP($A150,SortedDownload!$A$3:$BB$499,24,FALSE),"")</f>
        <v>00:04:09.0 (85)</v>
      </c>
      <c r="L150" s="59" t="str">
        <f>IFERROR(VLOOKUP($A150,SortedDownload!$A$3:$BB$499,25,FALSE),"")</f>
        <v>00:02:17.2 (68)</v>
      </c>
      <c r="M150" s="59" t="str">
        <f>IFERROR(VLOOKUP($A150,SortedDownload!$A$3:$BB$499,26,FALSE),"")</f>
        <v>DNS/DNF ()</v>
      </c>
      <c r="N150" s="59" t="str">
        <f>IFERROR(VLOOKUP($A150,SortedDownload!$A$3:$BB$499,27,FALSE),"")</f>
        <v>00:05:32.4 (71)</v>
      </c>
      <c r="O150" s="59" t="str">
        <f>IFERROR(VLOOKUP($A150,SortedDownload!$A$3:$BB$499,28,FALSE),"")</f>
        <v>DNS/DNF ()</v>
      </c>
      <c r="P150" s="59" t="str">
        <f>IFERROR(VLOOKUP($A150,SortedDownload!$A$3:$BB$499,29,FALSE),"")</f>
        <v>DNS/DNF ()</v>
      </c>
      <c r="Q150" s="59" t="str">
        <f>IFERROR(VLOOKUP($A150,SortedDownload!$A$3:$BB$499,30,FALSE),"")</f>
        <v>DNS/DNF ()</v>
      </c>
      <c r="R150" s="62" t="str">
        <f>IFERROR(TEXT(VLOOKUP($A150,SortedDownload!$A$3:$Z$499,14,FALSE),"[hh]:mm:ss.000"),"")</f>
        <v>00:11:58.665</v>
      </c>
      <c r="S150" s="83" t="str">
        <f t="shared" si="8"/>
        <v>00:18</v>
      </c>
      <c r="T150" s="83" t="str">
        <f t="shared" si="6"/>
        <v>N/A</v>
      </c>
      <c r="U150" s="9" t="str">
        <f t="shared" si="7"/>
        <v/>
      </c>
      <c r="V150" s="20" t="str">
        <f>IFERROR(IF(VLOOKUP(H150,AgeCategories!$D$3:$J$32,7,FALSE)=I150,"","DNF"),"")</f>
        <v/>
      </c>
      <c r="W150" s="9"/>
      <c r="X150" s="9"/>
    </row>
    <row r="151" spans="1:24">
      <c r="A151" s="53">
        <f>IF(SortedDownload!A151 &lt; 1,"",SortedDownload!A151)</f>
        <v>265</v>
      </c>
      <c r="B151" s="55">
        <f>IF(V151&lt;&gt;"","DNF",COUNTIF($V$3:V151,V151))</f>
        <v>139</v>
      </c>
      <c r="C151" s="54">
        <f>IF(OR(B151="DNF",H151=""),"DNF",COUNTIF($H$3:H151,H151))</f>
        <v>1</v>
      </c>
      <c r="D151" s="90" t="str">
        <f>IFERROR(VLOOKUP($A151,EntryList!$A$3:$N$596,2,FALSE),"")</f>
        <v>Phil Hulse</v>
      </c>
      <c r="E151" s="54">
        <f>IFERROR(VLOOKUP($A151,EntryList!$A$3:$V$596,19,FALSE),"")</f>
        <v>0</v>
      </c>
      <c r="F151" s="176">
        <f>IFERROR(VLOOKUP($A151,EntryList!$A$3:$V$596,18,FALSE),"")</f>
        <v>0</v>
      </c>
      <c r="G151" s="90" t="str">
        <f>IFERROR(VLOOKUP($A151,EntryList!$A$3:$N$596,6,FALSE),"")</f>
        <v>M</v>
      </c>
      <c r="H151" s="90" t="str">
        <f>IFERROR(VLOOKUP($A151,EntryList!$A$3:$N$596,7,FALSE),"")</f>
        <v>E-Bike Lite M</v>
      </c>
      <c r="I151" s="54">
        <f>IFERROR(VLOOKUP($A151,SortedDownload!$A$3:$Z647,4,FALSE),"")</f>
        <v>3</v>
      </c>
      <c r="J151" s="59" t="str">
        <f>IFERROR(VLOOKUP($A151,SortedDownload!$A$3:$BB$499,23,FALSE),"")</f>
        <v>DNS/DNF ()</v>
      </c>
      <c r="K151" s="59" t="str">
        <f>IFERROR(VLOOKUP($A151,SortedDownload!$A$3:$BB$499,24,FALSE),"")</f>
        <v>00:04:07.8 (81)</v>
      </c>
      <c r="L151" s="59" t="str">
        <f>IFERROR(VLOOKUP($A151,SortedDownload!$A$3:$BB$499,25,FALSE),"")</f>
        <v>00:02:17.7 (70)</v>
      </c>
      <c r="M151" s="59" t="str">
        <f>IFERROR(VLOOKUP($A151,SortedDownload!$A$3:$BB$499,26,FALSE),"")</f>
        <v>DNS/DNF ()</v>
      </c>
      <c r="N151" s="59" t="str">
        <f>IFERROR(VLOOKUP($A151,SortedDownload!$A$3:$BB$499,27,FALSE),"")</f>
        <v>00:05:34.0 (74)</v>
      </c>
      <c r="O151" s="59" t="str">
        <f>IFERROR(VLOOKUP($A151,SortedDownload!$A$3:$BB$499,28,FALSE),"")</f>
        <v>DNS/DNF ()</v>
      </c>
      <c r="P151" s="59" t="str">
        <f>IFERROR(VLOOKUP($A151,SortedDownload!$A$3:$BB$499,29,FALSE),"")</f>
        <v>DNS/DNF ()</v>
      </c>
      <c r="Q151" s="59" t="str">
        <f>IFERROR(VLOOKUP($A151,SortedDownload!$A$3:$BB$499,30,FALSE),"")</f>
        <v>DNS/DNF ()</v>
      </c>
      <c r="R151" s="62" t="str">
        <f>IFERROR(TEXT(VLOOKUP($A151,SortedDownload!$A$3:$Z$499,14,FALSE),"[hh]:mm:ss.000"),"")</f>
        <v>00:11:59.419</v>
      </c>
      <c r="S151" s="83" t="str">
        <f t="shared" si="8"/>
        <v>00:01</v>
      </c>
      <c r="T151" s="83" t="str">
        <f t="shared" si="6"/>
        <v>N/A</v>
      </c>
      <c r="U151" s="9" t="str">
        <f t="shared" si="7"/>
        <v/>
      </c>
      <c r="V151" s="20" t="str">
        <f>IFERROR(IF(VLOOKUP(H151,AgeCategories!$D$3:$J$32,7,FALSE)=I151,"","DNF"),"")</f>
        <v/>
      </c>
      <c r="W151" s="9"/>
      <c r="X151" s="9"/>
    </row>
    <row r="152" spans="1:24">
      <c r="A152" s="53">
        <f>IF(SortedDownload!A152 &lt; 1,"",SortedDownload!A152)</f>
        <v>53</v>
      </c>
      <c r="B152" s="55">
        <f>IF(V152&lt;&gt;"","DNF",COUNTIF($V$3:V152,V152))</f>
        <v>140</v>
      </c>
      <c r="C152" s="54">
        <f>IF(OR(B152="DNF",H152=""),"DNF",COUNTIF($H$3:H152,H152))</f>
        <v>2</v>
      </c>
      <c r="D152" s="90" t="str">
        <f>IFERROR(VLOOKUP($A152,EntryList!$A$3:$N$596,2,FALSE),"")</f>
        <v>Paul Combrinck</v>
      </c>
      <c r="E152" s="54">
        <f>IFERROR(VLOOKUP($A152,EntryList!$A$3:$V$596,19,FALSE),"")</f>
        <v>0</v>
      </c>
      <c r="F152" s="176">
        <f>IFERROR(VLOOKUP($A152,EntryList!$A$3:$V$596,18,FALSE),"")</f>
        <v>0</v>
      </c>
      <c r="G152" s="90" t="str">
        <f>IFERROR(VLOOKUP($A152,EntryList!$A$3:$N$596,6,FALSE),"")</f>
        <v>M</v>
      </c>
      <c r="H152" s="90" t="str">
        <f>IFERROR(VLOOKUP($A152,EntryList!$A$3:$N$596,7,FALSE),"")</f>
        <v>E-Bike Lite M</v>
      </c>
      <c r="I152" s="54">
        <f>IFERROR(VLOOKUP($A152,SortedDownload!$A$3:$Z648,4,FALSE),"")</f>
        <v>3</v>
      </c>
      <c r="J152" s="59" t="str">
        <f>IFERROR(VLOOKUP($A152,SortedDownload!$A$3:$BB$499,23,FALSE),"")</f>
        <v>DNS/DNF ()</v>
      </c>
      <c r="K152" s="59" t="str">
        <f>IFERROR(VLOOKUP($A152,SortedDownload!$A$3:$BB$499,24,FALSE),"")</f>
        <v>00:04:08.8 (84)</v>
      </c>
      <c r="L152" s="59" t="str">
        <f>IFERROR(VLOOKUP($A152,SortedDownload!$A$3:$BB$499,25,FALSE),"")</f>
        <v>00:02:31.3 (114)</v>
      </c>
      <c r="M152" s="59" t="str">
        <f>IFERROR(VLOOKUP($A152,SortedDownload!$A$3:$BB$499,26,FALSE),"")</f>
        <v>DNS/DNF ()</v>
      </c>
      <c r="N152" s="59" t="str">
        <f>IFERROR(VLOOKUP($A152,SortedDownload!$A$3:$BB$499,27,FALSE),"")</f>
        <v>00:05:37.1 (79)</v>
      </c>
      <c r="O152" s="59" t="str">
        <f>IFERROR(VLOOKUP($A152,SortedDownload!$A$3:$BB$499,28,FALSE),"")</f>
        <v>DNS/DNF ()</v>
      </c>
      <c r="P152" s="59" t="str">
        <f>IFERROR(VLOOKUP($A152,SortedDownload!$A$3:$BB$499,29,FALSE),"")</f>
        <v>DNS/DNF ()</v>
      </c>
      <c r="Q152" s="59" t="str">
        <f>IFERROR(VLOOKUP($A152,SortedDownload!$A$3:$BB$499,30,FALSE),"")</f>
        <v>DNS/DNF ()</v>
      </c>
      <c r="R152" s="62" t="str">
        <f>IFERROR(TEXT(VLOOKUP($A152,SortedDownload!$A$3:$Z$499,14,FALSE),"[hh]:mm:ss.000"),"")</f>
        <v>00:12:17.200</v>
      </c>
      <c r="S152" s="83" t="str">
        <f t="shared" si="8"/>
        <v>00:18</v>
      </c>
      <c r="T152" s="83" t="str">
        <f t="shared" si="6"/>
        <v>N/A</v>
      </c>
      <c r="U152" s="9" t="str">
        <f t="shared" si="7"/>
        <v/>
      </c>
      <c r="V152" s="20" t="str">
        <f>IFERROR(IF(VLOOKUP(H152,AgeCategories!$D$3:$J$32,7,FALSE)=I152,"","DNF"),"")</f>
        <v/>
      </c>
      <c r="W152" s="9"/>
      <c r="X152" s="9"/>
    </row>
    <row r="153" spans="1:24">
      <c r="A153" s="53">
        <f>IF(SortedDownload!A153 &lt; 1,"",SortedDownload!A153)</f>
        <v>154</v>
      </c>
      <c r="B153" s="55" t="str">
        <f>IF(V153&lt;&gt;"","DNF",COUNTIF($V$3:V153,V153))</f>
        <v>DNF</v>
      </c>
      <c r="C153" s="54" t="str">
        <f>IF(OR(B153="DNF",H153=""),"DNF",COUNTIF($H$3:H153,H153))</f>
        <v>DNF</v>
      </c>
      <c r="D153" s="90" t="str">
        <f>IFERROR(VLOOKUP($A153,EntryList!$A$3:$N$596,2,FALSE),"")</f>
        <v>Philip Viljoen</v>
      </c>
      <c r="E153" s="54">
        <f>IFERROR(VLOOKUP($A153,EntryList!$A$3:$V$596,19,FALSE),"")</f>
        <v>0</v>
      </c>
      <c r="F153" s="176">
        <f>IFERROR(VLOOKUP($A153,EntryList!$A$3:$V$596,18,FALSE),"")</f>
        <v>0</v>
      </c>
      <c r="G153" s="90" t="str">
        <f>IFERROR(VLOOKUP($A153,EntryList!$A$3:$N$596,6,FALSE),"")</f>
        <v>M</v>
      </c>
      <c r="H153" s="90" t="str">
        <f>IFERROR(VLOOKUP($A153,EntryList!$A$3:$N$596,7,FALSE),"")</f>
        <v>Master Men</v>
      </c>
      <c r="I153" s="54">
        <f>IFERROR(VLOOKUP($A153,SortedDownload!$A$3:$Z649,4,FALSE),"")</f>
        <v>3</v>
      </c>
      <c r="J153" s="59" t="str">
        <f>IFERROR(VLOOKUP($A153,SortedDownload!$A$3:$BB$499,23,FALSE),"")</f>
        <v>00:04:14.6 (77)</v>
      </c>
      <c r="K153" s="59" t="str">
        <f>IFERROR(VLOOKUP($A153,SortedDownload!$A$3:$BB$499,24,FALSE),"")</f>
        <v>DNS/DNF ()</v>
      </c>
      <c r="L153" s="59" t="str">
        <f>IFERROR(VLOOKUP($A153,SortedDownload!$A$3:$BB$499,25,FALSE),"")</f>
        <v>00:02:41.4 (162)</v>
      </c>
      <c r="M153" s="59" t="str">
        <f>IFERROR(VLOOKUP($A153,SortedDownload!$A$3:$BB$499,26,FALSE),"")</f>
        <v>DNS/DNF ()</v>
      </c>
      <c r="N153" s="59" t="str">
        <f>IFERROR(VLOOKUP($A153,SortedDownload!$A$3:$BB$499,27,FALSE),"")</f>
        <v>00:05:30.1 (67)</v>
      </c>
      <c r="O153" s="59" t="str">
        <f>IFERROR(VLOOKUP($A153,SortedDownload!$A$3:$BB$499,28,FALSE),"")</f>
        <v>DNS/DNF ()</v>
      </c>
      <c r="P153" s="59" t="str">
        <f>IFERROR(VLOOKUP($A153,SortedDownload!$A$3:$BB$499,29,FALSE),"")</f>
        <v>DNS/DNF ()</v>
      </c>
      <c r="Q153" s="59" t="str">
        <f>IFERROR(VLOOKUP($A153,SortedDownload!$A$3:$BB$499,30,FALSE),"")</f>
        <v>DNS/DNF ()</v>
      </c>
      <c r="R153" s="62" t="str">
        <f>IFERROR(TEXT(VLOOKUP($A153,SortedDownload!$A$3:$Z$499,14,FALSE),"[hh]:mm:ss.000"),"")</f>
        <v>00:12:26.040</v>
      </c>
      <c r="S153" s="83" t="str">
        <f t="shared" si="8"/>
        <v>00:09</v>
      </c>
      <c r="T153" s="83" t="str">
        <f t="shared" si="6"/>
        <v>N/A</v>
      </c>
      <c r="U153" s="9" t="str">
        <f t="shared" si="7"/>
        <v/>
      </c>
      <c r="V153" s="20" t="str">
        <f>IFERROR(IF(VLOOKUP(H153,AgeCategories!$D$3:$J$32,7,FALSE)=I153,"","DNF"),"")</f>
        <v>DNF</v>
      </c>
      <c r="W153" s="9"/>
      <c r="X153" s="9"/>
    </row>
    <row r="154" spans="1:24">
      <c r="A154" s="53">
        <f>IF(SortedDownload!A154 &lt; 1,"",SortedDownload!A154)</f>
        <v>209</v>
      </c>
      <c r="B154" s="55">
        <f>IF(V154&lt;&gt;"","DNF",COUNTIF($V$3:V154,V154))</f>
        <v>141</v>
      </c>
      <c r="C154" s="54">
        <f>IF(OR(B154="DNF",H154=""),"DNF",COUNTIF($H$3:H154,H154))</f>
        <v>3</v>
      </c>
      <c r="D154" s="90" t="str">
        <f>IFERROR(VLOOKUP($A154,EntryList!$A$3:$N$596,2,FALSE),"")</f>
        <v>Jack Goosen</v>
      </c>
      <c r="E154" s="54">
        <f>IFERROR(VLOOKUP($A154,EntryList!$A$3:$V$596,19,FALSE),"")</f>
        <v>0</v>
      </c>
      <c r="F154" s="176">
        <f>IFERROR(VLOOKUP($A154,EntryList!$A$3:$V$596,18,FALSE),"")</f>
        <v>0</v>
      </c>
      <c r="G154" s="90" t="str">
        <f>IFERROR(VLOOKUP($A154,EntryList!$A$3:$N$596,6,FALSE),"")</f>
        <v>M</v>
      </c>
      <c r="H154" s="90" t="str">
        <f>IFERROR(VLOOKUP($A154,EntryList!$A$3:$N$596,7,FALSE),"")</f>
        <v>Sub Junior Boys</v>
      </c>
      <c r="I154" s="54">
        <f>IFERROR(VLOOKUP($A154,SortedDownload!$A$3:$Z650,4,FALSE),"")</f>
        <v>3</v>
      </c>
      <c r="J154" s="59" t="str">
        <f>IFERROR(VLOOKUP($A154,SortedDownload!$A$3:$BB$499,23,FALSE),"")</f>
        <v>DNS/DNF ()</v>
      </c>
      <c r="K154" s="59" t="str">
        <f>IFERROR(VLOOKUP($A154,SortedDownload!$A$3:$BB$499,24,FALSE),"")</f>
        <v>00:04:26.6 (126)</v>
      </c>
      <c r="L154" s="59" t="str">
        <f>IFERROR(VLOOKUP($A154,SortedDownload!$A$3:$BB$499,25,FALSE),"")</f>
        <v>00:02:23.0 (85)</v>
      </c>
      <c r="M154" s="59" t="str">
        <f>IFERROR(VLOOKUP($A154,SortedDownload!$A$3:$BB$499,26,FALSE),"")</f>
        <v>DNS/DNF ()</v>
      </c>
      <c r="N154" s="59" t="str">
        <f>IFERROR(VLOOKUP($A154,SortedDownload!$A$3:$BB$499,27,FALSE),"")</f>
        <v>00:05:37.1 (80)</v>
      </c>
      <c r="O154" s="59" t="str">
        <f>IFERROR(VLOOKUP($A154,SortedDownload!$A$3:$BB$499,28,FALSE),"")</f>
        <v>DNS/DNF ()</v>
      </c>
      <c r="P154" s="59" t="str">
        <f>IFERROR(VLOOKUP($A154,SortedDownload!$A$3:$BB$499,29,FALSE),"")</f>
        <v>DNS/DNF ()</v>
      </c>
      <c r="Q154" s="59" t="str">
        <f>IFERROR(VLOOKUP($A154,SortedDownload!$A$3:$BB$499,30,FALSE),"")</f>
        <v>DNS/DNF ()</v>
      </c>
      <c r="R154" s="62" t="str">
        <f>IFERROR(TEXT(VLOOKUP($A154,SortedDownload!$A$3:$Z$499,14,FALSE),"[hh]:mm:ss.000"),"")</f>
        <v>00:12:26.764</v>
      </c>
      <c r="S154" s="83" t="str">
        <f t="shared" si="8"/>
        <v>00:01</v>
      </c>
      <c r="T154" s="83" t="str">
        <f t="shared" si="6"/>
        <v>N/A</v>
      </c>
      <c r="U154" s="9" t="str">
        <f t="shared" si="7"/>
        <v/>
      </c>
      <c r="V154" s="20" t="str">
        <f>IFERROR(IF(VLOOKUP(H154,AgeCategories!$D$3:$J$32,7,FALSE)=I154,"","DNF"),"")</f>
        <v/>
      </c>
      <c r="W154" s="9"/>
      <c r="X154" s="9"/>
    </row>
    <row r="155" spans="1:24">
      <c r="A155" s="53">
        <f>IF(SortedDownload!A155 &lt; 1,"",SortedDownload!A155)</f>
        <v>211</v>
      </c>
      <c r="B155" s="55">
        <f>IF(V155&lt;&gt;"","DNF",COUNTIF($V$3:V155,V155))</f>
        <v>142</v>
      </c>
      <c r="C155" s="54">
        <f>IF(OR(B155="DNF",H155=""),"DNF",COUNTIF($H$3:H155,H155))</f>
        <v>4</v>
      </c>
      <c r="D155" s="90" t="str">
        <f>IFERROR(VLOOKUP($A155,EntryList!$A$3:$N$596,2,FALSE),"")</f>
        <v>Jonathan Dunkley</v>
      </c>
      <c r="E155" s="54">
        <f>IFERROR(VLOOKUP($A155,EntryList!$A$3:$V$596,19,FALSE),"")</f>
        <v>0</v>
      </c>
      <c r="F155" s="176">
        <f>IFERROR(VLOOKUP($A155,EntryList!$A$3:$V$596,18,FALSE),"")</f>
        <v>0</v>
      </c>
      <c r="G155" s="90" t="str">
        <f>IFERROR(VLOOKUP($A155,EntryList!$A$3:$N$596,6,FALSE),"")</f>
        <v>M</v>
      </c>
      <c r="H155" s="90" t="str">
        <f>IFERROR(VLOOKUP($A155,EntryList!$A$3:$N$596,7,FALSE),"")</f>
        <v>Sub Junior Boys</v>
      </c>
      <c r="I155" s="54">
        <f>IFERROR(VLOOKUP($A155,SortedDownload!$A$3:$Z651,4,FALSE),"")</f>
        <v>3</v>
      </c>
      <c r="J155" s="59" t="str">
        <f>IFERROR(VLOOKUP($A155,SortedDownload!$A$3:$BB$499,23,FALSE),"")</f>
        <v>DNS/DNF ()</v>
      </c>
      <c r="K155" s="59" t="str">
        <f>IFERROR(VLOOKUP($A155,SortedDownload!$A$3:$BB$499,24,FALSE),"")</f>
        <v>00:04:12.5 (91)</v>
      </c>
      <c r="L155" s="59" t="str">
        <f>IFERROR(VLOOKUP($A155,SortedDownload!$A$3:$BB$499,25,FALSE),"")</f>
        <v>00:02:31.9 (120)</v>
      </c>
      <c r="M155" s="59" t="str">
        <f>IFERROR(VLOOKUP($A155,SortedDownload!$A$3:$BB$499,26,FALSE),"")</f>
        <v>DNS/DNF ()</v>
      </c>
      <c r="N155" s="59" t="str">
        <f>IFERROR(VLOOKUP($A155,SortedDownload!$A$3:$BB$499,27,FALSE),"")</f>
        <v>00:05:43.8 (96)</v>
      </c>
      <c r="O155" s="59" t="str">
        <f>IFERROR(VLOOKUP($A155,SortedDownload!$A$3:$BB$499,28,FALSE),"")</f>
        <v>DNS/DNF ()</v>
      </c>
      <c r="P155" s="59" t="str">
        <f>IFERROR(VLOOKUP($A155,SortedDownload!$A$3:$BB$499,29,FALSE),"")</f>
        <v>DNS/DNF ()</v>
      </c>
      <c r="Q155" s="59" t="str">
        <f>IFERROR(VLOOKUP($A155,SortedDownload!$A$3:$BB$499,30,FALSE),"")</f>
        <v>DNS/DNF ()</v>
      </c>
      <c r="R155" s="62" t="str">
        <f>IFERROR(TEXT(VLOOKUP($A155,SortedDownload!$A$3:$Z$499,14,FALSE),"[hh]:mm:ss.000"),"")</f>
        <v>00:12:28.240</v>
      </c>
      <c r="S155" s="83" t="str">
        <f t="shared" si="8"/>
        <v>00:01</v>
      </c>
      <c r="T155" s="83" t="str">
        <f t="shared" si="6"/>
        <v>N/A</v>
      </c>
      <c r="U155" s="9" t="str">
        <f t="shared" si="7"/>
        <v/>
      </c>
      <c r="V155" s="20" t="str">
        <f>IFERROR(IF(VLOOKUP(H155,AgeCategories!$D$3:$J$32,7,FALSE)=I155,"","DNF"),"")</f>
        <v/>
      </c>
      <c r="W155" s="9"/>
      <c r="X155" s="9"/>
    </row>
    <row r="156" spans="1:24">
      <c r="A156" s="53">
        <f>IF(SortedDownload!A156 &lt; 1,"",SortedDownload!A156)</f>
        <v>182</v>
      </c>
      <c r="B156" s="55">
        <f>IF(V156&lt;&gt;"","DNF",COUNTIF($V$3:V156,V156))</f>
        <v>143</v>
      </c>
      <c r="C156" s="54">
        <f>IF(OR(B156="DNF",H156=""),"DNF",COUNTIF($H$3:H156,H156))</f>
        <v>6</v>
      </c>
      <c r="D156" s="90" t="str">
        <f>IFERROR(VLOOKUP($A156,EntryList!$A$3:$N$596,2,FALSE),"")</f>
        <v>Aaron Budke</v>
      </c>
      <c r="E156" s="54">
        <f>IFERROR(VLOOKUP($A156,EntryList!$A$3:$V$596,19,FALSE),"")</f>
        <v>0</v>
      </c>
      <c r="F156" s="176">
        <f>IFERROR(VLOOKUP($A156,EntryList!$A$3:$V$596,18,FALSE),"")</f>
        <v>0</v>
      </c>
      <c r="G156" s="90" t="str">
        <f>IFERROR(VLOOKUP($A156,EntryList!$A$3:$N$596,6,FALSE),"")</f>
        <v>M</v>
      </c>
      <c r="H156" s="90" t="str">
        <f>IFERROR(VLOOKUP($A156,EntryList!$A$3:$N$596,7,FALSE),"")</f>
        <v>Lite M</v>
      </c>
      <c r="I156" s="54">
        <f>IFERROR(VLOOKUP($A156,SortedDownload!$A$3:$Z652,4,FALSE),"")</f>
        <v>3</v>
      </c>
      <c r="J156" s="59" t="str">
        <f>IFERROR(VLOOKUP($A156,SortedDownload!$A$3:$BB$499,23,FALSE),"")</f>
        <v>DNS/DNF ()</v>
      </c>
      <c r="K156" s="59" t="str">
        <f>IFERROR(VLOOKUP($A156,SortedDownload!$A$3:$BB$499,24,FALSE),"")</f>
        <v>00:04:26.2 (125)</v>
      </c>
      <c r="L156" s="59" t="str">
        <f>IFERROR(VLOOKUP($A156,SortedDownload!$A$3:$BB$499,25,FALSE),"")</f>
        <v>00:02:29.0 (107)</v>
      </c>
      <c r="M156" s="59" t="str">
        <f>IFERROR(VLOOKUP($A156,SortedDownload!$A$3:$BB$499,26,FALSE),"")</f>
        <v>DNS/DNF ()</v>
      </c>
      <c r="N156" s="59" t="str">
        <f>IFERROR(VLOOKUP($A156,SortedDownload!$A$3:$BB$499,27,FALSE),"")</f>
        <v>00:05:34.3 (76)</v>
      </c>
      <c r="O156" s="59" t="str">
        <f>IFERROR(VLOOKUP($A156,SortedDownload!$A$3:$BB$499,28,FALSE),"")</f>
        <v>DNS/DNF ()</v>
      </c>
      <c r="P156" s="59" t="str">
        <f>IFERROR(VLOOKUP($A156,SortedDownload!$A$3:$BB$499,29,FALSE),"")</f>
        <v>DNS/DNF ()</v>
      </c>
      <c r="Q156" s="59" t="str">
        <f>IFERROR(VLOOKUP($A156,SortedDownload!$A$3:$BB$499,30,FALSE),"")</f>
        <v>DNS/DNF ()</v>
      </c>
      <c r="R156" s="62" t="str">
        <f>IFERROR(TEXT(VLOOKUP($A156,SortedDownload!$A$3:$Z$499,14,FALSE),"[hh]:mm:ss.000"),"")</f>
        <v>00:12:29.523</v>
      </c>
      <c r="S156" s="83" t="str">
        <f t="shared" si="8"/>
        <v>00:01</v>
      </c>
      <c r="T156" s="83" t="str">
        <f t="shared" si="6"/>
        <v>N/A</v>
      </c>
      <c r="U156" s="9" t="str">
        <f t="shared" si="7"/>
        <v/>
      </c>
      <c r="V156" s="20" t="str">
        <f>IFERROR(IF(VLOOKUP(H156,AgeCategories!$D$3:$J$32,7,FALSE)=I156,"","DNF"),"")</f>
        <v/>
      </c>
      <c r="W156" s="9"/>
      <c r="X156" s="9"/>
    </row>
    <row r="157" spans="1:24">
      <c r="A157" s="53">
        <f>IF(SortedDownload!A157 &lt; 1,"",SortedDownload!A157)</f>
        <v>99</v>
      </c>
      <c r="B157" s="55">
        <f>IF(V157&lt;&gt;"","DNF",COUNTIF($V$3:V157,V157))</f>
        <v>144</v>
      </c>
      <c r="C157" s="54">
        <f>IF(OR(B157="DNF",H157=""),"DNF",COUNTIF($H$3:H157,H157))</f>
        <v>2</v>
      </c>
      <c r="D157" s="90" t="str">
        <f>IFERROR(VLOOKUP($A157,EntryList!$A$3:$N$596,2,FALSE),"")</f>
        <v>Lian De Jager</v>
      </c>
      <c r="E157" s="54">
        <f>IFERROR(VLOOKUP($A157,EntryList!$A$3:$V$596,19,FALSE),"")</f>
        <v>0</v>
      </c>
      <c r="F157" s="176">
        <f>IFERROR(VLOOKUP($A157,EntryList!$A$3:$V$596,18,FALSE),"")</f>
        <v>0</v>
      </c>
      <c r="G157" s="90" t="str">
        <f>IFERROR(VLOOKUP($A157,EntryList!$A$3:$N$596,6,FALSE),"")</f>
        <v>M</v>
      </c>
      <c r="H157" s="90" t="str">
        <f>IFERROR(VLOOKUP($A157,EntryList!$A$3:$N$596,7,FALSE),"")</f>
        <v>Sprog Boys</v>
      </c>
      <c r="I157" s="54">
        <f>IFERROR(VLOOKUP($A157,SortedDownload!$A$3:$Z653,4,FALSE),"")</f>
        <v>3</v>
      </c>
      <c r="J157" s="59" t="str">
        <f>IFERROR(VLOOKUP($A157,SortedDownload!$A$3:$BB$499,23,FALSE),"")</f>
        <v>DNS/DNF ()</v>
      </c>
      <c r="K157" s="59" t="str">
        <f>IFERROR(VLOOKUP($A157,SortedDownload!$A$3:$BB$499,24,FALSE),"")</f>
        <v>00:04:34.9 (153)</v>
      </c>
      <c r="L157" s="59" t="str">
        <f>IFERROR(VLOOKUP($A157,SortedDownload!$A$3:$BB$499,25,FALSE),"")</f>
        <v>00:02:21.8 (81)</v>
      </c>
      <c r="M157" s="59" t="str">
        <f>IFERROR(VLOOKUP($A157,SortedDownload!$A$3:$BB$499,26,FALSE),"")</f>
        <v>DNS/DNF ()</v>
      </c>
      <c r="N157" s="59" t="str">
        <f>IFERROR(VLOOKUP($A157,SortedDownload!$A$3:$BB$499,27,FALSE),"")</f>
        <v>00:05:36.8 (78)</v>
      </c>
      <c r="O157" s="59" t="str">
        <f>IFERROR(VLOOKUP($A157,SortedDownload!$A$3:$BB$499,28,FALSE),"")</f>
        <v>DNS/DNF ()</v>
      </c>
      <c r="P157" s="59" t="str">
        <f>IFERROR(VLOOKUP($A157,SortedDownload!$A$3:$BB$499,29,FALSE),"")</f>
        <v>DNS/DNF ()</v>
      </c>
      <c r="Q157" s="59" t="str">
        <f>IFERROR(VLOOKUP($A157,SortedDownload!$A$3:$BB$499,30,FALSE),"")</f>
        <v>DNS/DNF ()</v>
      </c>
      <c r="R157" s="62" t="str">
        <f>IFERROR(TEXT(VLOOKUP($A157,SortedDownload!$A$3:$Z$499,14,FALSE),"[hh]:mm:ss.000"),"")</f>
        <v>00:12:33.493</v>
      </c>
      <c r="S157" s="83" t="str">
        <f t="shared" si="8"/>
        <v>00:04</v>
      </c>
      <c r="T157" s="83" t="str">
        <f t="shared" si="6"/>
        <v>N/A</v>
      </c>
      <c r="U157" s="9" t="str">
        <f t="shared" si="7"/>
        <v/>
      </c>
      <c r="V157" s="20" t="str">
        <f>IFERROR(IF(VLOOKUP(H157,AgeCategories!$D$3:$J$32,7,FALSE)=I157,"","DNF"),"")</f>
        <v/>
      </c>
      <c r="W157" s="9"/>
      <c r="X157" s="9"/>
    </row>
    <row r="158" spans="1:24">
      <c r="A158" s="53">
        <f>IF(SortedDownload!A158 &lt; 1,"",SortedDownload!A158)</f>
        <v>267</v>
      </c>
      <c r="B158" s="55">
        <f>IF(V158&lt;&gt;"","DNF",COUNTIF($V$3:V158,V158))</f>
        <v>145</v>
      </c>
      <c r="C158" s="54">
        <f>IF(OR(B158="DNF",H158=""),"DNF",COUNTIF($H$3:H158,H158))</f>
        <v>7</v>
      </c>
      <c r="D158" s="90" t="str">
        <f>IFERROR(VLOOKUP($A158,EntryList!$A$3:$N$596,2,FALSE),"")</f>
        <v>Calum Marriott</v>
      </c>
      <c r="E158" s="54">
        <f>IFERROR(VLOOKUP($A158,EntryList!$A$3:$V$596,19,FALSE),"")</f>
        <v>0</v>
      </c>
      <c r="F158" s="176">
        <f>IFERROR(VLOOKUP($A158,EntryList!$A$3:$V$596,18,FALSE),"")</f>
        <v>0</v>
      </c>
      <c r="G158" s="90" t="str">
        <f>IFERROR(VLOOKUP($A158,EntryList!$A$3:$N$596,6,FALSE),"")</f>
        <v>M</v>
      </c>
      <c r="H158" s="90" t="str">
        <f>IFERROR(VLOOKUP($A158,EntryList!$A$3:$N$596,7,FALSE),"")</f>
        <v>Lite M</v>
      </c>
      <c r="I158" s="54">
        <f>IFERROR(VLOOKUP($A158,SortedDownload!$A$3:$Z654,4,FALSE),"")</f>
        <v>3</v>
      </c>
      <c r="J158" s="59" t="str">
        <f>IFERROR(VLOOKUP($A158,SortedDownload!$A$3:$BB$499,23,FALSE),"")</f>
        <v>DNS/DNF ()</v>
      </c>
      <c r="K158" s="59" t="str">
        <f>IFERROR(VLOOKUP($A158,SortedDownload!$A$3:$BB$499,24,FALSE),"")</f>
        <v>00:04:18.0 (106)</v>
      </c>
      <c r="L158" s="59" t="str">
        <f>IFERROR(VLOOKUP($A158,SortedDownload!$A$3:$BB$499,25,FALSE),"")</f>
        <v>00:02:26.4 (97)</v>
      </c>
      <c r="M158" s="59" t="str">
        <f>IFERROR(VLOOKUP($A158,SortedDownload!$A$3:$BB$499,26,FALSE),"")</f>
        <v>DNS/DNF ()</v>
      </c>
      <c r="N158" s="59" t="str">
        <f>IFERROR(VLOOKUP($A158,SortedDownload!$A$3:$BB$499,27,FALSE),"")</f>
        <v>00:05:50.0 (108)</v>
      </c>
      <c r="O158" s="59" t="str">
        <f>IFERROR(VLOOKUP($A158,SortedDownload!$A$3:$BB$499,28,FALSE),"")</f>
        <v>DNS/DNF ()</v>
      </c>
      <c r="P158" s="59" t="str">
        <f>IFERROR(VLOOKUP($A158,SortedDownload!$A$3:$BB$499,29,FALSE),"")</f>
        <v>DNS/DNF ()</v>
      </c>
      <c r="Q158" s="59" t="str">
        <f>IFERROR(VLOOKUP($A158,SortedDownload!$A$3:$BB$499,30,FALSE),"")</f>
        <v>DNS/DNF ()</v>
      </c>
      <c r="R158" s="62" t="str">
        <f>IFERROR(TEXT(VLOOKUP($A158,SortedDownload!$A$3:$Z$499,14,FALSE),"[hh]:mm:ss.000"),"")</f>
        <v>00:12:34.382</v>
      </c>
      <c r="S158" s="83" t="str">
        <f t="shared" si="8"/>
        <v>00:01</v>
      </c>
      <c r="T158" s="83" t="str">
        <f t="shared" si="6"/>
        <v>N/A</v>
      </c>
      <c r="U158" s="9" t="str">
        <f t="shared" si="7"/>
        <v/>
      </c>
      <c r="V158" s="20" t="str">
        <f>IFERROR(IF(VLOOKUP(H158,AgeCategories!$D$3:$J$32,7,FALSE)=I158,"","DNF"),"")</f>
        <v/>
      </c>
      <c r="W158" s="9"/>
      <c r="X158" s="9"/>
    </row>
    <row r="159" spans="1:24">
      <c r="A159" s="53">
        <f>IF(SortedDownload!A159 &lt; 1,"",SortedDownload!A159)</f>
        <v>278</v>
      </c>
      <c r="B159" s="55">
        <f>IF(V159&lt;&gt;"","DNF",COUNTIF($V$3:V159,V159))</f>
        <v>146</v>
      </c>
      <c r="C159" s="54">
        <f>IF(OR(B159="DNF",H159=""),"DNF",COUNTIF($H$3:H159,H159))</f>
        <v>8</v>
      </c>
      <c r="D159" s="90" t="str">
        <f>IFERROR(VLOOKUP($A159,EntryList!$A$3:$N$596,2,FALSE),"")</f>
        <v>Thomas Dawson</v>
      </c>
      <c r="E159" s="54">
        <f>IFERROR(VLOOKUP($A159,EntryList!$A$3:$V$596,19,FALSE),"")</f>
        <v>0</v>
      </c>
      <c r="F159" s="176">
        <f>IFERROR(VLOOKUP($A159,EntryList!$A$3:$V$596,18,FALSE),"")</f>
        <v>0</v>
      </c>
      <c r="G159" s="90" t="str">
        <f>IFERROR(VLOOKUP($A159,EntryList!$A$3:$N$596,6,FALSE),"")</f>
        <v>M</v>
      </c>
      <c r="H159" s="90" t="str">
        <f>IFERROR(VLOOKUP($A159,EntryList!$A$3:$N$596,7,FALSE),"")</f>
        <v>Lite M</v>
      </c>
      <c r="I159" s="54">
        <f>IFERROR(VLOOKUP($A159,SortedDownload!$A$3:$Z655,4,FALSE),"")</f>
        <v>3</v>
      </c>
      <c r="J159" s="59" t="str">
        <f>IFERROR(VLOOKUP($A159,SortedDownload!$A$3:$BB$499,23,FALSE),"")</f>
        <v>DNS/DNF ()</v>
      </c>
      <c r="K159" s="59" t="str">
        <f>IFERROR(VLOOKUP($A159,SortedDownload!$A$3:$BB$499,24,FALSE),"")</f>
        <v>00:04:16.3 (99)</v>
      </c>
      <c r="L159" s="59" t="str">
        <f>IFERROR(VLOOKUP($A159,SortedDownload!$A$3:$BB$499,25,FALSE),"")</f>
        <v>00:02:26.7 (98)</v>
      </c>
      <c r="M159" s="59" t="str">
        <f>IFERROR(VLOOKUP($A159,SortedDownload!$A$3:$BB$499,26,FALSE),"")</f>
        <v>DNS/DNF ()</v>
      </c>
      <c r="N159" s="59" t="str">
        <f>IFERROR(VLOOKUP($A159,SortedDownload!$A$3:$BB$499,27,FALSE),"")</f>
        <v>00:05:51.9 (113)</v>
      </c>
      <c r="O159" s="59" t="str">
        <f>IFERROR(VLOOKUP($A159,SortedDownload!$A$3:$BB$499,28,FALSE),"")</f>
        <v>DNS/DNF ()</v>
      </c>
      <c r="P159" s="59" t="str">
        <f>IFERROR(VLOOKUP($A159,SortedDownload!$A$3:$BB$499,29,FALSE),"")</f>
        <v>DNS/DNF ()</v>
      </c>
      <c r="Q159" s="59" t="str">
        <f>IFERROR(VLOOKUP($A159,SortedDownload!$A$3:$BB$499,30,FALSE),"")</f>
        <v>DNS/DNF ()</v>
      </c>
      <c r="R159" s="62" t="str">
        <f>IFERROR(TEXT(VLOOKUP($A159,SortedDownload!$A$3:$Z$499,14,FALSE),"[hh]:mm:ss.000"),"")</f>
        <v>00:12:34.864</v>
      </c>
      <c r="S159" s="83" t="str">
        <f t="shared" si="8"/>
        <v>00:00</v>
      </c>
      <c r="T159" s="83" t="str">
        <f t="shared" si="6"/>
        <v>N/A</v>
      </c>
      <c r="U159" s="9" t="str">
        <f t="shared" si="7"/>
        <v/>
      </c>
      <c r="V159" s="20" t="str">
        <f>IFERROR(IF(VLOOKUP(H159,AgeCategories!$D$3:$J$32,7,FALSE)=I159,"","DNF"),"")</f>
        <v/>
      </c>
      <c r="W159" s="9"/>
      <c r="X159" s="9"/>
    </row>
    <row r="160" spans="1:24">
      <c r="A160" s="53">
        <f>IF(SortedDownload!A160 &lt; 1,"",SortedDownload!A160)</f>
        <v>109</v>
      </c>
      <c r="B160" s="55">
        <f>IF(V160&lt;&gt;"","DNF",COUNTIF($V$3:V160,V160))</f>
        <v>147</v>
      </c>
      <c r="C160" s="54">
        <f>IF(OR(B160="DNF",H160=""),"DNF",COUNTIF($H$3:H160,H160))</f>
        <v>9</v>
      </c>
      <c r="D160" s="90" t="str">
        <f>IFERROR(VLOOKUP($A160,EntryList!$A$3:$N$596,2,FALSE),"")</f>
        <v>Sean Stephens</v>
      </c>
      <c r="E160" s="54">
        <f>IFERROR(VLOOKUP($A160,EntryList!$A$3:$V$596,19,FALSE),"")</f>
        <v>0</v>
      </c>
      <c r="F160" s="176">
        <f>IFERROR(VLOOKUP($A160,EntryList!$A$3:$V$596,18,FALSE),"")</f>
        <v>0</v>
      </c>
      <c r="G160" s="90" t="str">
        <f>IFERROR(VLOOKUP($A160,EntryList!$A$3:$N$596,6,FALSE),"")</f>
        <v>M</v>
      </c>
      <c r="H160" s="90" t="str">
        <f>IFERROR(VLOOKUP($A160,EntryList!$A$3:$N$596,7,FALSE),"")</f>
        <v>Lite M</v>
      </c>
      <c r="I160" s="54">
        <f>IFERROR(VLOOKUP($A160,SortedDownload!$A$3:$Z656,4,FALSE),"")</f>
        <v>3</v>
      </c>
      <c r="J160" s="59" t="str">
        <f>IFERROR(VLOOKUP($A160,SortedDownload!$A$3:$BB$499,23,FALSE),"")</f>
        <v>DNS/DNF ()</v>
      </c>
      <c r="K160" s="59" t="str">
        <f>IFERROR(VLOOKUP($A160,SortedDownload!$A$3:$BB$499,24,FALSE),"")</f>
        <v>00:04:17.9 (104)</v>
      </c>
      <c r="L160" s="59" t="str">
        <f>IFERROR(VLOOKUP($A160,SortedDownload!$A$3:$BB$499,25,FALSE),"")</f>
        <v>00:02:29.7 (110)</v>
      </c>
      <c r="M160" s="59" t="str">
        <f>IFERROR(VLOOKUP($A160,SortedDownload!$A$3:$BB$499,26,FALSE),"")</f>
        <v>DNS/DNF ()</v>
      </c>
      <c r="N160" s="59" t="str">
        <f>IFERROR(VLOOKUP($A160,SortedDownload!$A$3:$BB$499,27,FALSE),"")</f>
        <v>00:05:51.7 (110)</v>
      </c>
      <c r="O160" s="59" t="str">
        <f>IFERROR(VLOOKUP($A160,SortedDownload!$A$3:$BB$499,28,FALSE),"")</f>
        <v>DNS/DNF ()</v>
      </c>
      <c r="P160" s="59" t="str">
        <f>IFERROR(VLOOKUP($A160,SortedDownload!$A$3:$BB$499,29,FALSE),"")</f>
        <v>DNS/DNF ()</v>
      </c>
      <c r="Q160" s="59" t="str">
        <f>IFERROR(VLOOKUP($A160,SortedDownload!$A$3:$BB$499,30,FALSE),"")</f>
        <v>DNS/DNF ()</v>
      </c>
      <c r="R160" s="62" t="str">
        <f>IFERROR(TEXT(VLOOKUP($A160,SortedDownload!$A$3:$Z$499,14,FALSE),"[hh]:mm:ss.000"),"")</f>
        <v>00:12:39.304</v>
      </c>
      <c r="S160" s="83" t="str">
        <f t="shared" si="8"/>
        <v>00:04</v>
      </c>
      <c r="T160" s="83" t="str">
        <f t="shared" si="6"/>
        <v>N/A</v>
      </c>
      <c r="U160" s="9" t="str">
        <f t="shared" si="7"/>
        <v/>
      </c>
      <c r="V160" s="20" t="str">
        <f>IFERROR(IF(VLOOKUP(H160,AgeCategories!$D$3:$J$32,7,FALSE)=I160,"","DNF"),"")</f>
        <v/>
      </c>
      <c r="W160" s="9"/>
      <c r="X160" s="9"/>
    </row>
    <row r="161" spans="1:24">
      <c r="A161" s="53">
        <f>IF(SortedDownload!A161 &lt; 1,"",SortedDownload!A161)</f>
        <v>133</v>
      </c>
      <c r="B161" s="55">
        <f>IF(V161&lt;&gt;"","DNF",COUNTIF($V$3:V161,V161))</f>
        <v>148</v>
      </c>
      <c r="C161" s="54">
        <f>IF(OR(B161="DNF",H161=""),"DNF",COUNTIF($H$3:H161,H161))</f>
        <v>10</v>
      </c>
      <c r="D161" s="90" t="str">
        <f>IFERROR(VLOOKUP($A161,EntryList!$A$3:$N$596,2,FALSE),"")</f>
        <v>Christiaan De Villiers Snr</v>
      </c>
      <c r="E161" s="54">
        <f>IFERROR(VLOOKUP($A161,EntryList!$A$3:$V$596,19,FALSE),"")</f>
        <v>0</v>
      </c>
      <c r="F161" s="176">
        <f>IFERROR(VLOOKUP($A161,EntryList!$A$3:$V$596,18,FALSE),"")</f>
        <v>0</v>
      </c>
      <c r="G161" s="90" t="str">
        <f>IFERROR(VLOOKUP($A161,EntryList!$A$3:$N$596,6,FALSE),"")</f>
        <v>M</v>
      </c>
      <c r="H161" s="90" t="str">
        <f>IFERROR(VLOOKUP($A161,EntryList!$A$3:$N$596,7,FALSE),"")</f>
        <v>Lite M</v>
      </c>
      <c r="I161" s="54">
        <f>IFERROR(VLOOKUP($A161,SortedDownload!$A$3:$Z657,4,FALSE),"")</f>
        <v>3</v>
      </c>
      <c r="J161" s="59" t="str">
        <f>IFERROR(VLOOKUP($A161,SortedDownload!$A$3:$BB$499,23,FALSE),"")</f>
        <v>DNS/DNF ()</v>
      </c>
      <c r="K161" s="59" t="str">
        <f>IFERROR(VLOOKUP($A161,SortedDownload!$A$3:$BB$499,24,FALSE),"")</f>
        <v>00:04:19.3 (110)</v>
      </c>
      <c r="L161" s="59" t="str">
        <f>IFERROR(VLOOKUP($A161,SortedDownload!$A$3:$BB$499,25,FALSE),"")</f>
        <v>00:02:40.2 (152)</v>
      </c>
      <c r="M161" s="59" t="str">
        <f>IFERROR(VLOOKUP($A161,SortedDownload!$A$3:$BB$499,26,FALSE),"")</f>
        <v>DNS/DNF ()</v>
      </c>
      <c r="N161" s="59" t="str">
        <f>IFERROR(VLOOKUP($A161,SortedDownload!$A$3:$BB$499,27,FALSE),"")</f>
        <v>00:05:40.0 (86)</v>
      </c>
      <c r="O161" s="59" t="str">
        <f>IFERROR(VLOOKUP($A161,SortedDownload!$A$3:$BB$499,28,FALSE),"")</f>
        <v>DNS/DNF ()</v>
      </c>
      <c r="P161" s="59" t="str">
        <f>IFERROR(VLOOKUP($A161,SortedDownload!$A$3:$BB$499,29,FALSE),"")</f>
        <v>DNS/DNF ()</v>
      </c>
      <c r="Q161" s="59" t="str">
        <f>IFERROR(VLOOKUP($A161,SortedDownload!$A$3:$BB$499,30,FALSE),"")</f>
        <v>DNS/DNF ()</v>
      </c>
      <c r="R161" s="62" t="str">
        <f>IFERROR(TEXT(VLOOKUP($A161,SortedDownload!$A$3:$Z$499,14,FALSE),"[hh]:mm:ss.000"),"")</f>
        <v>00:12:39.481</v>
      </c>
      <c r="S161" s="83" t="str">
        <f t="shared" si="8"/>
        <v>00:00</v>
      </c>
      <c r="T161" s="83" t="str">
        <f t="shared" si="6"/>
        <v>N/A</v>
      </c>
      <c r="U161" s="9" t="str">
        <f t="shared" si="7"/>
        <v/>
      </c>
      <c r="V161" s="20" t="str">
        <f>IFERROR(IF(VLOOKUP(H161,AgeCategories!$D$3:$J$32,7,FALSE)=I161,"","DNF"),"")</f>
        <v/>
      </c>
      <c r="W161" s="9"/>
      <c r="X161" s="9"/>
    </row>
    <row r="162" spans="1:24">
      <c r="A162" s="53">
        <f>IF(SortedDownload!A162 &lt; 1,"",SortedDownload!A162)</f>
        <v>189</v>
      </c>
      <c r="B162" s="55">
        <f>IF(V162&lt;&gt;"","DNF",COUNTIF($V$3:V162,V162))</f>
        <v>149</v>
      </c>
      <c r="C162" s="54">
        <f>IF(OR(B162="DNF",H162=""),"DNF",COUNTIF($H$3:H162,H162))</f>
        <v>11</v>
      </c>
      <c r="D162" s="90" t="str">
        <f>IFERROR(VLOOKUP($A162,EntryList!$A$3:$N$596,2,FALSE),"")</f>
        <v>Duncan Sephton</v>
      </c>
      <c r="E162" s="54">
        <f>IFERROR(VLOOKUP($A162,EntryList!$A$3:$V$596,19,FALSE),"")</f>
        <v>0</v>
      </c>
      <c r="F162" s="176">
        <f>IFERROR(VLOOKUP($A162,EntryList!$A$3:$V$596,18,FALSE),"")</f>
        <v>0</v>
      </c>
      <c r="G162" s="90" t="str">
        <f>IFERROR(VLOOKUP($A162,EntryList!$A$3:$N$596,6,FALSE),"")</f>
        <v>M</v>
      </c>
      <c r="H162" s="90" t="str">
        <f>IFERROR(VLOOKUP($A162,EntryList!$A$3:$N$596,7,FALSE),"")</f>
        <v>Lite M</v>
      </c>
      <c r="I162" s="54">
        <f>IFERROR(VLOOKUP($A162,SortedDownload!$A$3:$Z658,4,FALSE),"")</f>
        <v>3</v>
      </c>
      <c r="J162" s="59" t="str">
        <f>IFERROR(VLOOKUP($A162,SortedDownload!$A$3:$BB$499,23,FALSE),"")</f>
        <v>DNS/DNF ()</v>
      </c>
      <c r="K162" s="59" t="str">
        <f>IFERROR(VLOOKUP($A162,SortedDownload!$A$3:$BB$499,24,FALSE),"")</f>
        <v>00:04:19.1 (108)</v>
      </c>
      <c r="L162" s="59" t="str">
        <f>IFERROR(VLOOKUP($A162,SortedDownload!$A$3:$BB$499,25,FALSE),"")</f>
        <v>00:02:40.7 (157)</v>
      </c>
      <c r="M162" s="59" t="str">
        <f>IFERROR(VLOOKUP($A162,SortedDownload!$A$3:$BB$499,26,FALSE),"")</f>
        <v>DNS/DNF ()</v>
      </c>
      <c r="N162" s="59" t="str">
        <f>IFERROR(VLOOKUP($A162,SortedDownload!$A$3:$BB$499,27,FALSE),"")</f>
        <v>00:05:43.2 (94)</v>
      </c>
      <c r="O162" s="59" t="str">
        <f>IFERROR(VLOOKUP($A162,SortedDownload!$A$3:$BB$499,28,FALSE),"")</f>
        <v>DNS/DNF ()</v>
      </c>
      <c r="P162" s="59" t="str">
        <f>IFERROR(VLOOKUP($A162,SortedDownload!$A$3:$BB$499,29,FALSE),"")</f>
        <v>DNS/DNF ()</v>
      </c>
      <c r="Q162" s="59" t="str">
        <f>IFERROR(VLOOKUP($A162,SortedDownload!$A$3:$BB$499,30,FALSE),"")</f>
        <v>DNS/DNF ()</v>
      </c>
      <c r="R162" s="62" t="str">
        <f>IFERROR(TEXT(VLOOKUP($A162,SortedDownload!$A$3:$Z$499,14,FALSE),"[hh]:mm:ss.000"),"")</f>
        <v>00:12:43.009</v>
      </c>
      <c r="S162" s="83" t="str">
        <f t="shared" si="8"/>
        <v>00:04</v>
      </c>
      <c r="T162" s="83" t="str">
        <f t="shared" si="6"/>
        <v>N/A</v>
      </c>
      <c r="U162" s="9" t="str">
        <f t="shared" si="7"/>
        <v/>
      </c>
      <c r="V162" s="20" t="str">
        <f>IFERROR(IF(VLOOKUP(H162,AgeCategories!$D$3:$J$32,7,FALSE)=I162,"","DNF"),"")</f>
        <v/>
      </c>
      <c r="W162" s="9"/>
      <c r="X162" s="9"/>
    </row>
    <row r="163" spans="1:24">
      <c r="A163" s="53">
        <f>IF(SortedDownload!A163 &lt; 1,"",SortedDownload!A163)</f>
        <v>159</v>
      </c>
      <c r="B163" s="55">
        <f>IF(V163&lt;&gt;"","DNF",COUNTIF($V$3:V163,V163))</f>
        <v>150</v>
      </c>
      <c r="C163" s="54">
        <f>IF(OR(B163="DNF",H163=""),"DNF",COUNTIF($H$3:H163,H163))</f>
        <v>12</v>
      </c>
      <c r="D163" s="90" t="str">
        <f>IFERROR(VLOOKUP($A163,EntryList!$A$3:$N$596,2,FALSE),"")</f>
        <v>Ridha Davids</v>
      </c>
      <c r="E163" s="54">
        <f>IFERROR(VLOOKUP($A163,EntryList!$A$3:$V$596,19,FALSE),"")</f>
        <v>0</v>
      </c>
      <c r="F163" s="176">
        <f>IFERROR(VLOOKUP($A163,EntryList!$A$3:$V$596,18,FALSE),"")</f>
        <v>0</v>
      </c>
      <c r="G163" s="90" t="str">
        <f>IFERROR(VLOOKUP($A163,EntryList!$A$3:$N$596,6,FALSE),"")</f>
        <v>M</v>
      </c>
      <c r="H163" s="90" t="str">
        <f>IFERROR(VLOOKUP($A163,EntryList!$A$3:$N$596,7,FALSE),"")</f>
        <v>Lite M</v>
      </c>
      <c r="I163" s="54">
        <f>IFERROR(VLOOKUP($A163,SortedDownload!$A$3:$Z659,4,FALSE),"")</f>
        <v>3</v>
      </c>
      <c r="J163" s="59" t="str">
        <f>IFERROR(VLOOKUP($A163,SortedDownload!$A$3:$BB$499,23,FALSE),"")</f>
        <v>DNS/DNF ()</v>
      </c>
      <c r="K163" s="59" t="str">
        <f>IFERROR(VLOOKUP($A163,SortedDownload!$A$3:$BB$499,24,FALSE),"")</f>
        <v>00:04:28.4 (131)</v>
      </c>
      <c r="L163" s="59" t="str">
        <f>IFERROR(VLOOKUP($A163,SortedDownload!$A$3:$BB$499,25,FALSE),"")</f>
        <v>00:02:31.8 (117)</v>
      </c>
      <c r="M163" s="59" t="str">
        <f>IFERROR(VLOOKUP($A163,SortedDownload!$A$3:$BB$499,26,FALSE),"")</f>
        <v>DNS/DNF ()</v>
      </c>
      <c r="N163" s="59" t="str">
        <f>IFERROR(VLOOKUP($A163,SortedDownload!$A$3:$BB$499,27,FALSE),"")</f>
        <v>00:05:47.8 (101)</v>
      </c>
      <c r="O163" s="59" t="str">
        <f>IFERROR(VLOOKUP($A163,SortedDownload!$A$3:$BB$499,28,FALSE),"")</f>
        <v>DNS/DNF ()</v>
      </c>
      <c r="P163" s="59" t="str">
        <f>IFERROR(VLOOKUP($A163,SortedDownload!$A$3:$BB$499,29,FALSE),"")</f>
        <v>DNS/DNF ()</v>
      </c>
      <c r="Q163" s="59" t="str">
        <f>IFERROR(VLOOKUP($A163,SortedDownload!$A$3:$BB$499,30,FALSE),"")</f>
        <v>DNS/DNF ()</v>
      </c>
      <c r="R163" s="62" t="str">
        <f>IFERROR(TEXT(VLOOKUP($A163,SortedDownload!$A$3:$Z$499,14,FALSE),"[hh]:mm:ss.000"),"")</f>
        <v>00:12:47.984</v>
      </c>
      <c r="S163" s="83" t="str">
        <f t="shared" si="8"/>
        <v>00:05</v>
      </c>
      <c r="T163" s="83" t="str">
        <f t="shared" si="6"/>
        <v>N/A</v>
      </c>
      <c r="U163" s="9" t="str">
        <f t="shared" si="7"/>
        <v/>
      </c>
      <c r="V163" s="20" t="str">
        <f>IFERROR(IF(VLOOKUP(H163,AgeCategories!$D$3:$J$32,7,FALSE)=I163,"","DNF"),"")</f>
        <v/>
      </c>
      <c r="W163" s="9"/>
      <c r="X163" s="9"/>
    </row>
    <row r="164" spans="1:24">
      <c r="A164" s="53">
        <f>IF(SortedDownload!A164 &lt; 1,"",SortedDownload!A164)</f>
        <v>148</v>
      </c>
      <c r="B164" s="55">
        <f>IF(V164&lt;&gt;"","DNF",COUNTIF($V$3:V164,V164))</f>
        <v>151</v>
      </c>
      <c r="C164" s="54">
        <f>IF(OR(B164="DNF",H164=""),"DNF",COUNTIF($H$3:H164,H164))</f>
        <v>13</v>
      </c>
      <c r="D164" s="90" t="str">
        <f>IFERROR(VLOOKUP($A164,EntryList!$A$3:$N$596,2,FALSE),"")</f>
        <v>Thomas Kabalin</v>
      </c>
      <c r="E164" s="54">
        <f>IFERROR(VLOOKUP($A164,EntryList!$A$3:$V$596,19,FALSE),"")</f>
        <v>0</v>
      </c>
      <c r="F164" s="176">
        <f>IFERROR(VLOOKUP($A164,EntryList!$A$3:$V$596,18,FALSE),"")</f>
        <v>0</v>
      </c>
      <c r="G164" s="90" t="str">
        <f>IFERROR(VLOOKUP($A164,EntryList!$A$3:$N$596,6,FALSE),"")</f>
        <v>M</v>
      </c>
      <c r="H164" s="90" t="str">
        <f>IFERROR(VLOOKUP($A164,EntryList!$A$3:$N$596,7,FALSE),"")</f>
        <v>Lite M</v>
      </c>
      <c r="I164" s="54">
        <f>IFERROR(VLOOKUP($A164,SortedDownload!$A$3:$Z660,4,FALSE),"")</f>
        <v>3</v>
      </c>
      <c r="J164" s="59" t="str">
        <f>IFERROR(VLOOKUP($A164,SortedDownload!$A$3:$BB$499,23,FALSE),"")</f>
        <v>DNS/DNF ()</v>
      </c>
      <c r="K164" s="59" t="str">
        <f>IFERROR(VLOOKUP($A164,SortedDownload!$A$3:$BB$499,24,FALSE),"")</f>
        <v>00:04:22.7 (115)</v>
      </c>
      <c r="L164" s="59" t="str">
        <f>IFERROR(VLOOKUP($A164,SortedDownload!$A$3:$BB$499,25,FALSE),"")</f>
        <v>00:02:31.1 (112)</v>
      </c>
      <c r="M164" s="59" t="str">
        <f>IFERROR(VLOOKUP($A164,SortedDownload!$A$3:$BB$499,26,FALSE),"")</f>
        <v>DNS/DNF ()</v>
      </c>
      <c r="N164" s="59" t="str">
        <f>IFERROR(VLOOKUP($A164,SortedDownload!$A$3:$BB$499,27,FALSE),"")</f>
        <v>00:05:54.6 (126)</v>
      </c>
      <c r="O164" s="59" t="str">
        <f>IFERROR(VLOOKUP($A164,SortedDownload!$A$3:$BB$499,28,FALSE),"")</f>
        <v>DNS/DNF ()</v>
      </c>
      <c r="P164" s="59" t="str">
        <f>IFERROR(VLOOKUP($A164,SortedDownload!$A$3:$BB$499,29,FALSE),"")</f>
        <v>DNS/DNF ()</v>
      </c>
      <c r="Q164" s="59" t="str">
        <f>IFERROR(VLOOKUP($A164,SortedDownload!$A$3:$BB$499,30,FALSE),"")</f>
        <v>DNS/DNF ()</v>
      </c>
      <c r="R164" s="62" t="str">
        <f>IFERROR(TEXT(VLOOKUP($A164,SortedDownload!$A$3:$Z$499,14,FALSE),"[hh]:mm:ss.000"),"")</f>
        <v>00:12:48.373</v>
      </c>
      <c r="S164" s="83" t="str">
        <f t="shared" si="8"/>
        <v>00:00</v>
      </c>
      <c r="T164" s="83" t="str">
        <f t="shared" si="6"/>
        <v>N/A</v>
      </c>
      <c r="U164" s="9" t="str">
        <f t="shared" si="7"/>
        <v/>
      </c>
      <c r="V164" s="20" t="str">
        <f>IFERROR(IF(VLOOKUP(H164,AgeCategories!$D$3:$J$32,7,FALSE)=I164,"","DNF"),"")</f>
        <v/>
      </c>
      <c r="W164" s="9"/>
      <c r="X164" s="9"/>
    </row>
    <row r="165" spans="1:24">
      <c r="A165" s="53">
        <f>IF(SortedDownload!A165 &lt; 1,"",SortedDownload!A165)</f>
        <v>63</v>
      </c>
      <c r="B165" s="55">
        <f>IF(V165&lt;&gt;"","DNF",COUNTIF($V$3:V165,V165))</f>
        <v>152</v>
      </c>
      <c r="C165" s="54">
        <f>IF(OR(B165="DNF",H165=""),"DNF",COUNTIF($H$3:H165,H165))</f>
        <v>14</v>
      </c>
      <c r="D165" s="90" t="str">
        <f>IFERROR(VLOOKUP($A165,EntryList!$A$3:$N$596,2,FALSE),"")</f>
        <v>Joshua Baptie</v>
      </c>
      <c r="E165" s="54">
        <f>IFERROR(VLOOKUP($A165,EntryList!$A$3:$V$596,19,FALSE),"")</f>
        <v>0</v>
      </c>
      <c r="F165" s="176">
        <f>IFERROR(VLOOKUP($A165,EntryList!$A$3:$V$596,18,FALSE),"")</f>
        <v>0</v>
      </c>
      <c r="G165" s="90" t="str">
        <f>IFERROR(VLOOKUP($A165,EntryList!$A$3:$N$596,6,FALSE),"")</f>
        <v>M</v>
      </c>
      <c r="H165" s="90" t="str">
        <f>IFERROR(VLOOKUP($A165,EntryList!$A$3:$N$596,7,FALSE),"")</f>
        <v>Lite M</v>
      </c>
      <c r="I165" s="54">
        <f>IFERROR(VLOOKUP($A165,SortedDownload!$A$3:$Z661,4,FALSE),"")</f>
        <v>3</v>
      </c>
      <c r="J165" s="59" t="str">
        <f>IFERROR(VLOOKUP($A165,SortedDownload!$A$3:$BB$499,23,FALSE),"")</f>
        <v>DNS/DNF ()</v>
      </c>
      <c r="K165" s="59" t="str">
        <f>IFERROR(VLOOKUP($A165,SortedDownload!$A$3:$BB$499,24,FALSE),"")</f>
        <v>00:04:21.5 (114)</v>
      </c>
      <c r="L165" s="59" t="str">
        <f>IFERROR(VLOOKUP($A165,SortedDownload!$A$3:$BB$499,25,FALSE),"")</f>
        <v>00:02:26.3 (96)</v>
      </c>
      <c r="M165" s="59" t="str">
        <f>IFERROR(VLOOKUP($A165,SortedDownload!$A$3:$BB$499,26,FALSE),"")</f>
        <v>DNS/DNF ()</v>
      </c>
      <c r="N165" s="59" t="str">
        <f>IFERROR(VLOOKUP($A165,SortedDownload!$A$3:$BB$499,27,FALSE),"")</f>
        <v>00:06:05.1 (151)</v>
      </c>
      <c r="O165" s="59" t="str">
        <f>IFERROR(VLOOKUP($A165,SortedDownload!$A$3:$BB$499,28,FALSE),"")</f>
        <v>DNS/DNF ()</v>
      </c>
      <c r="P165" s="59" t="str">
        <f>IFERROR(VLOOKUP($A165,SortedDownload!$A$3:$BB$499,29,FALSE),"")</f>
        <v>DNS/DNF ()</v>
      </c>
      <c r="Q165" s="59" t="str">
        <f>IFERROR(VLOOKUP($A165,SortedDownload!$A$3:$BB$499,30,FALSE),"")</f>
        <v>DNS/DNF ()</v>
      </c>
      <c r="R165" s="62" t="str">
        <f>IFERROR(TEXT(VLOOKUP($A165,SortedDownload!$A$3:$Z$499,14,FALSE),"[hh]:mm:ss.000"),"")</f>
        <v>00:12:52.881</v>
      </c>
      <c r="S165" s="83" t="str">
        <f t="shared" si="8"/>
        <v>00:05</v>
      </c>
      <c r="T165" s="83" t="str">
        <f t="shared" si="6"/>
        <v>N/A</v>
      </c>
      <c r="U165" s="9" t="str">
        <f t="shared" si="7"/>
        <v/>
      </c>
      <c r="V165" s="20" t="str">
        <f>IFERROR(IF(VLOOKUP(H165,AgeCategories!$D$3:$J$32,7,FALSE)=I165,"","DNF"),"")</f>
        <v/>
      </c>
      <c r="W165" s="9"/>
      <c r="X165" s="9"/>
    </row>
    <row r="166" spans="1:24">
      <c r="A166" s="53">
        <f>IF(SortedDownload!A166 &lt; 1,"",SortedDownload!A166)</f>
        <v>82</v>
      </c>
      <c r="B166" s="55">
        <f>IF(V166&lt;&gt;"","DNF",COUNTIF($V$3:V166,V166))</f>
        <v>153</v>
      </c>
      <c r="C166" s="54">
        <f>IF(OR(B166="DNF",H166=""),"DNF",COUNTIF($H$3:H166,H166))</f>
        <v>15</v>
      </c>
      <c r="D166" s="90" t="str">
        <f>IFERROR(VLOOKUP($A166,EntryList!$A$3:$N$596,2,FALSE),"")</f>
        <v>Michael Collins</v>
      </c>
      <c r="E166" s="54">
        <f>IFERROR(VLOOKUP($A166,EntryList!$A$3:$V$596,19,FALSE),"")</f>
        <v>0</v>
      </c>
      <c r="F166" s="176">
        <f>IFERROR(VLOOKUP($A166,EntryList!$A$3:$V$596,18,FALSE),"")</f>
        <v>0</v>
      </c>
      <c r="G166" s="90" t="str">
        <f>IFERROR(VLOOKUP($A166,EntryList!$A$3:$N$596,6,FALSE),"")</f>
        <v>M</v>
      </c>
      <c r="H166" s="90" t="str">
        <f>IFERROR(VLOOKUP($A166,EntryList!$A$3:$N$596,7,FALSE),"")</f>
        <v>Lite M</v>
      </c>
      <c r="I166" s="54">
        <f>IFERROR(VLOOKUP($A166,SortedDownload!$A$3:$Z662,4,FALSE),"")</f>
        <v>3</v>
      </c>
      <c r="J166" s="59" t="str">
        <f>IFERROR(VLOOKUP($A166,SortedDownload!$A$3:$BB$499,23,FALSE),"")</f>
        <v>DNS/DNF ()</v>
      </c>
      <c r="K166" s="59" t="str">
        <f>IFERROR(VLOOKUP($A166,SortedDownload!$A$3:$BB$499,24,FALSE),"")</f>
        <v>00:04:25.6 (121)</v>
      </c>
      <c r="L166" s="59" t="str">
        <f>IFERROR(VLOOKUP($A166,SortedDownload!$A$3:$BB$499,25,FALSE),"")</f>
        <v>00:02:46.3 (179)</v>
      </c>
      <c r="M166" s="59" t="str">
        <f>IFERROR(VLOOKUP($A166,SortedDownload!$A$3:$BB$499,26,FALSE),"")</f>
        <v>DNS/DNF ()</v>
      </c>
      <c r="N166" s="59" t="str">
        <f>IFERROR(VLOOKUP($A166,SortedDownload!$A$3:$BB$499,27,FALSE),"")</f>
        <v>00:05:43.1 (93)</v>
      </c>
      <c r="O166" s="59" t="str">
        <f>IFERROR(VLOOKUP($A166,SortedDownload!$A$3:$BB$499,28,FALSE),"")</f>
        <v>DNS/DNF ()</v>
      </c>
      <c r="P166" s="59" t="str">
        <f>IFERROR(VLOOKUP($A166,SortedDownload!$A$3:$BB$499,29,FALSE),"")</f>
        <v>DNS/DNF ()</v>
      </c>
      <c r="Q166" s="59" t="str">
        <f>IFERROR(VLOOKUP($A166,SortedDownload!$A$3:$BB$499,30,FALSE),"")</f>
        <v>DNS/DNF ()</v>
      </c>
      <c r="R166" s="62" t="str">
        <f>IFERROR(TEXT(VLOOKUP($A166,SortedDownload!$A$3:$Z$499,14,FALSE),"[hh]:mm:ss.000"),"")</f>
        <v>00:12:54.963</v>
      </c>
      <c r="S166" s="83" t="str">
        <f t="shared" si="8"/>
        <v>00:02</v>
      </c>
      <c r="T166" s="83" t="str">
        <f t="shared" si="6"/>
        <v>N/A</v>
      </c>
      <c r="U166" s="9" t="str">
        <f t="shared" si="7"/>
        <v/>
      </c>
      <c r="V166" s="20" t="str">
        <f>IFERROR(IF(VLOOKUP(H166,AgeCategories!$D$3:$J$32,7,FALSE)=I166,"","DNF"),"")</f>
        <v/>
      </c>
      <c r="W166" s="9"/>
      <c r="X166" s="9"/>
    </row>
    <row r="167" spans="1:24">
      <c r="A167" s="53">
        <f>IF(SortedDownload!A167 &lt; 1,"",SortedDownload!A167)</f>
        <v>110</v>
      </c>
      <c r="B167" s="55">
        <f>IF(V167&lt;&gt;"","DNF",COUNTIF($V$3:V167,V167))</f>
        <v>154</v>
      </c>
      <c r="C167" s="54">
        <f>IF(OR(B167="DNF",H167=""),"DNF",COUNTIF($H$3:H167,H167))</f>
        <v>16</v>
      </c>
      <c r="D167" s="90" t="str">
        <f>IFERROR(VLOOKUP($A167,EntryList!$A$3:$N$596,2,FALSE),"")</f>
        <v>Carlo Stephens</v>
      </c>
      <c r="E167" s="54">
        <f>IFERROR(VLOOKUP($A167,EntryList!$A$3:$V$596,19,FALSE),"")</f>
        <v>0</v>
      </c>
      <c r="F167" s="176">
        <f>IFERROR(VLOOKUP($A167,EntryList!$A$3:$V$596,18,FALSE),"")</f>
        <v>0</v>
      </c>
      <c r="G167" s="90" t="str">
        <f>IFERROR(VLOOKUP($A167,EntryList!$A$3:$N$596,6,FALSE),"")</f>
        <v>M</v>
      </c>
      <c r="H167" s="90" t="str">
        <f>IFERROR(VLOOKUP($A167,EntryList!$A$3:$N$596,7,FALSE),"")</f>
        <v>Lite M</v>
      </c>
      <c r="I167" s="54">
        <f>IFERROR(VLOOKUP($A167,SortedDownload!$A$3:$Z663,4,FALSE),"")</f>
        <v>3</v>
      </c>
      <c r="J167" s="59" t="str">
        <f>IFERROR(VLOOKUP($A167,SortedDownload!$A$3:$BB$499,23,FALSE),"")</f>
        <v>DNS/DNF ()</v>
      </c>
      <c r="K167" s="59" t="str">
        <f>IFERROR(VLOOKUP($A167,SortedDownload!$A$3:$BB$499,24,FALSE),"")</f>
        <v>00:04:28.8 (133)</v>
      </c>
      <c r="L167" s="59" t="str">
        <f>IFERROR(VLOOKUP($A167,SortedDownload!$A$3:$BB$499,25,FALSE),"")</f>
        <v>00:02:40.8 (159)</v>
      </c>
      <c r="M167" s="59" t="str">
        <f>IFERROR(VLOOKUP($A167,SortedDownload!$A$3:$BB$499,26,FALSE),"")</f>
        <v>DNS/DNF ()</v>
      </c>
      <c r="N167" s="59" t="str">
        <f>IFERROR(VLOOKUP($A167,SortedDownload!$A$3:$BB$499,27,FALSE),"")</f>
        <v>00:05:48.8 (106)</v>
      </c>
      <c r="O167" s="59" t="str">
        <f>IFERROR(VLOOKUP($A167,SortedDownload!$A$3:$BB$499,28,FALSE),"")</f>
        <v>DNS/DNF ()</v>
      </c>
      <c r="P167" s="59" t="str">
        <f>IFERROR(VLOOKUP($A167,SortedDownload!$A$3:$BB$499,29,FALSE),"")</f>
        <v>DNS/DNF ()</v>
      </c>
      <c r="Q167" s="59" t="str">
        <f>IFERROR(VLOOKUP($A167,SortedDownload!$A$3:$BB$499,30,FALSE),"")</f>
        <v>DNS/DNF ()</v>
      </c>
      <c r="R167" s="62" t="str">
        <f>IFERROR(TEXT(VLOOKUP($A167,SortedDownload!$A$3:$Z$499,14,FALSE),"[hh]:mm:ss.000"),"")</f>
        <v>00:12:58.466</v>
      </c>
      <c r="S167" s="83" t="str">
        <f t="shared" si="8"/>
        <v>00:04</v>
      </c>
      <c r="T167" s="83" t="str">
        <f t="shared" si="6"/>
        <v>N/A</v>
      </c>
      <c r="U167" s="9" t="str">
        <f t="shared" si="7"/>
        <v/>
      </c>
      <c r="V167" s="20" t="str">
        <f>IFERROR(IF(VLOOKUP(H167,AgeCategories!$D$3:$J$32,7,FALSE)=I167,"","DNF"),"")</f>
        <v/>
      </c>
      <c r="W167" s="9"/>
      <c r="X167" s="9"/>
    </row>
    <row r="168" spans="1:24">
      <c r="A168" s="53">
        <f>IF(SortedDownload!A168 &lt; 1,"",SortedDownload!A168)</f>
        <v>79</v>
      </c>
      <c r="B168" s="55">
        <f>IF(V168&lt;&gt;"","DNF",COUNTIF($V$3:V168,V168))</f>
        <v>155</v>
      </c>
      <c r="C168" s="54">
        <f>IF(OR(B168="DNF",H168=""),"DNF",COUNTIF($H$3:H168,H168))</f>
        <v>5</v>
      </c>
      <c r="D168" s="90" t="str">
        <f>IFERROR(VLOOKUP($A168,EntryList!$A$3:$N$596,2,FALSE),"")</f>
        <v>Nico De Nysschen</v>
      </c>
      <c r="E168" s="54">
        <f>IFERROR(VLOOKUP($A168,EntryList!$A$3:$V$596,19,FALSE),"")</f>
        <v>0</v>
      </c>
      <c r="F168" s="176">
        <f>IFERROR(VLOOKUP($A168,EntryList!$A$3:$V$596,18,FALSE),"")</f>
        <v>0</v>
      </c>
      <c r="G168" s="90" t="str">
        <f>IFERROR(VLOOKUP($A168,EntryList!$A$3:$N$596,6,FALSE),"")</f>
        <v>M</v>
      </c>
      <c r="H168" s="90" t="str">
        <f>IFERROR(VLOOKUP($A168,EntryList!$A$3:$N$596,7,FALSE),"")</f>
        <v>Sub Junior Boys</v>
      </c>
      <c r="I168" s="54">
        <f>IFERROR(VLOOKUP($A168,SortedDownload!$A$3:$Z664,4,FALSE),"")</f>
        <v>3</v>
      </c>
      <c r="J168" s="59" t="str">
        <f>IFERROR(VLOOKUP($A168,SortedDownload!$A$3:$BB$499,23,FALSE),"")</f>
        <v>DNS/DNF ()</v>
      </c>
      <c r="K168" s="59" t="str">
        <f>IFERROR(VLOOKUP($A168,SortedDownload!$A$3:$BB$499,24,FALSE),"")</f>
        <v>00:04:36.1 (155)</v>
      </c>
      <c r="L168" s="59" t="str">
        <f>IFERROR(VLOOKUP($A168,SortedDownload!$A$3:$BB$499,25,FALSE),"")</f>
        <v>00:02:35.0 (133)</v>
      </c>
      <c r="M168" s="59" t="str">
        <f>IFERROR(VLOOKUP($A168,SortedDownload!$A$3:$BB$499,26,FALSE),"")</f>
        <v>DNS/DNF ()</v>
      </c>
      <c r="N168" s="59" t="str">
        <f>IFERROR(VLOOKUP($A168,SortedDownload!$A$3:$BB$499,27,FALSE),"")</f>
        <v>00:05:48.7 (104)</v>
      </c>
      <c r="O168" s="59" t="str">
        <f>IFERROR(VLOOKUP($A168,SortedDownload!$A$3:$BB$499,28,FALSE),"")</f>
        <v>DNS/DNF ()</v>
      </c>
      <c r="P168" s="59" t="str">
        <f>IFERROR(VLOOKUP($A168,SortedDownload!$A$3:$BB$499,29,FALSE),"")</f>
        <v>DNS/DNF ()</v>
      </c>
      <c r="Q168" s="59" t="str">
        <f>IFERROR(VLOOKUP($A168,SortedDownload!$A$3:$BB$499,30,FALSE),"")</f>
        <v>DNS/DNF ()</v>
      </c>
      <c r="R168" s="62" t="str">
        <f>IFERROR(TEXT(VLOOKUP($A168,SortedDownload!$A$3:$Z$499,14,FALSE),"[hh]:mm:ss.000"),"")</f>
        <v>00:12:59.827</v>
      </c>
      <c r="S168" s="83" t="str">
        <f t="shared" si="8"/>
        <v>00:01</v>
      </c>
      <c r="T168" s="83" t="str">
        <f t="shared" si="6"/>
        <v>N/A</v>
      </c>
      <c r="U168" s="9" t="str">
        <f t="shared" si="7"/>
        <v/>
      </c>
      <c r="V168" s="20" t="str">
        <f>IFERROR(IF(VLOOKUP(H168,AgeCategories!$D$3:$J$32,7,FALSE)=I168,"","DNF"),"")</f>
        <v/>
      </c>
      <c r="W168" s="9"/>
      <c r="X168" s="9"/>
    </row>
    <row r="169" spans="1:24">
      <c r="A169" s="53">
        <f>IF(SortedDownload!A169 &lt; 1,"",SortedDownload!A169)</f>
        <v>156</v>
      </c>
      <c r="B169" s="55">
        <f>IF(V169&lt;&gt;"","DNF",COUNTIF($V$3:V169,V169))</f>
        <v>156</v>
      </c>
      <c r="C169" s="54">
        <f>IF(OR(B169="DNF",H169=""),"DNF",COUNTIF($H$3:H169,H169))</f>
        <v>17</v>
      </c>
      <c r="D169" s="90" t="str">
        <f>IFERROR(VLOOKUP($A169,EntryList!$A$3:$N$596,2,FALSE),"")</f>
        <v>Gary Kroukamp</v>
      </c>
      <c r="E169" s="54">
        <f>IFERROR(VLOOKUP($A169,EntryList!$A$3:$V$596,19,FALSE),"")</f>
        <v>0</v>
      </c>
      <c r="F169" s="176">
        <f>IFERROR(VLOOKUP($A169,EntryList!$A$3:$V$596,18,FALSE),"")</f>
        <v>0</v>
      </c>
      <c r="G169" s="90" t="str">
        <f>IFERROR(VLOOKUP($A169,EntryList!$A$3:$N$596,6,FALSE),"")</f>
        <v>M</v>
      </c>
      <c r="H169" s="90" t="str">
        <f>IFERROR(VLOOKUP($A169,EntryList!$A$3:$N$596,7,FALSE),"")</f>
        <v>Lite M</v>
      </c>
      <c r="I169" s="54">
        <f>IFERROR(VLOOKUP($A169,SortedDownload!$A$3:$Z665,4,FALSE),"")</f>
        <v>3</v>
      </c>
      <c r="J169" s="59" t="str">
        <f>IFERROR(VLOOKUP($A169,SortedDownload!$A$3:$BB$499,23,FALSE),"")</f>
        <v>DNS/DNF ()</v>
      </c>
      <c r="K169" s="59" t="str">
        <f>IFERROR(VLOOKUP($A169,SortedDownload!$A$3:$BB$499,24,FALSE),"")</f>
        <v>00:04:32.6 (143)</v>
      </c>
      <c r="L169" s="59" t="str">
        <f>IFERROR(VLOOKUP($A169,SortedDownload!$A$3:$BB$499,25,FALSE),"")</f>
        <v>00:02:33.9 (126)</v>
      </c>
      <c r="M169" s="59" t="str">
        <f>IFERROR(VLOOKUP($A169,SortedDownload!$A$3:$BB$499,26,FALSE),"")</f>
        <v>DNS/DNF ()</v>
      </c>
      <c r="N169" s="59" t="str">
        <f>IFERROR(VLOOKUP($A169,SortedDownload!$A$3:$BB$499,27,FALSE),"")</f>
        <v>00:05:58.1 (134)</v>
      </c>
      <c r="O169" s="59" t="str">
        <f>IFERROR(VLOOKUP($A169,SortedDownload!$A$3:$BB$499,28,FALSE),"")</f>
        <v>DNS/DNF ()</v>
      </c>
      <c r="P169" s="59" t="str">
        <f>IFERROR(VLOOKUP($A169,SortedDownload!$A$3:$BB$499,29,FALSE),"")</f>
        <v>DNS/DNF ()</v>
      </c>
      <c r="Q169" s="59" t="str">
        <f>IFERROR(VLOOKUP($A169,SortedDownload!$A$3:$BB$499,30,FALSE),"")</f>
        <v>DNS/DNF ()</v>
      </c>
      <c r="R169" s="62" t="str">
        <f>IFERROR(TEXT(VLOOKUP($A169,SortedDownload!$A$3:$Z$499,14,FALSE),"[hh]:mm:ss.000"),"")</f>
        <v>00:13:04.605</v>
      </c>
      <c r="S169" s="83" t="str">
        <f t="shared" si="8"/>
        <v>00:05</v>
      </c>
      <c r="T169" s="83" t="str">
        <f t="shared" si="6"/>
        <v>N/A</v>
      </c>
      <c r="U169" s="9" t="str">
        <f t="shared" si="7"/>
        <v/>
      </c>
      <c r="V169" s="20" t="str">
        <f>IFERROR(IF(VLOOKUP(H169,AgeCategories!$D$3:$J$32,7,FALSE)=I169,"","DNF"),"")</f>
        <v/>
      </c>
      <c r="W169" s="9"/>
      <c r="X169" s="9"/>
    </row>
    <row r="170" spans="1:24">
      <c r="A170" s="53">
        <f>IF(SortedDownload!A170 &lt; 1,"",SortedDownload!A170)</f>
        <v>271</v>
      </c>
      <c r="B170" s="55">
        <f>IF(V170&lt;&gt;"","DNF",COUNTIF($V$3:V170,V170))</f>
        <v>157</v>
      </c>
      <c r="C170" s="54">
        <f>IF(OR(B170="DNF",H170=""),"DNF",COUNTIF($H$3:H170,H170))</f>
        <v>1</v>
      </c>
      <c r="D170" s="90" t="str">
        <f>IFERROR(VLOOKUP($A170,EntryList!$A$3:$N$596,2,FALSE),"")</f>
        <v>Kylie Hanekom</v>
      </c>
      <c r="E170" s="54">
        <f>IFERROR(VLOOKUP($A170,EntryList!$A$3:$V$596,19,FALSE),"")</f>
        <v>0</v>
      </c>
      <c r="F170" s="176">
        <f>IFERROR(VLOOKUP($A170,EntryList!$A$3:$V$596,18,FALSE),"")</f>
        <v>0</v>
      </c>
      <c r="G170" s="90" t="str">
        <f>IFERROR(VLOOKUP($A170,EntryList!$A$3:$N$596,6,FALSE),"")</f>
        <v>F</v>
      </c>
      <c r="H170" s="90" t="str">
        <f>IFERROR(VLOOKUP($A170,EntryList!$A$3:$N$596,7,FALSE),"")</f>
        <v>Lite F</v>
      </c>
      <c r="I170" s="54">
        <f>IFERROR(VLOOKUP($A170,SortedDownload!$A$3:$Z666,4,FALSE),"")</f>
        <v>3</v>
      </c>
      <c r="J170" s="59" t="str">
        <f>IFERROR(VLOOKUP($A170,SortedDownload!$A$3:$BB$499,23,FALSE),"")</f>
        <v>DNS/DNF ()</v>
      </c>
      <c r="K170" s="59" t="str">
        <f>IFERROR(VLOOKUP($A170,SortedDownload!$A$3:$BB$499,24,FALSE),"")</f>
        <v>00:04:23.0 (116)</v>
      </c>
      <c r="L170" s="59" t="str">
        <f>IFERROR(VLOOKUP($A170,SortedDownload!$A$3:$BB$499,25,FALSE),"")</f>
        <v>00:02:36.2 (137)</v>
      </c>
      <c r="M170" s="59" t="str">
        <f>IFERROR(VLOOKUP($A170,SortedDownload!$A$3:$BB$499,26,FALSE),"")</f>
        <v>DNS/DNF ()</v>
      </c>
      <c r="N170" s="59" t="str">
        <f>IFERROR(VLOOKUP($A170,SortedDownload!$A$3:$BB$499,27,FALSE),"")</f>
        <v>00:06:09.0 (160)</v>
      </c>
      <c r="O170" s="59" t="str">
        <f>IFERROR(VLOOKUP($A170,SortedDownload!$A$3:$BB$499,28,FALSE),"")</f>
        <v>DNS/DNF ()</v>
      </c>
      <c r="P170" s="59" t="str">
        <f>IFERROR(VLOOKUP($A170,SortedDownload!$A$3:$BB$499,29,FALSE),"")</f>
        <v>DNS/DNF ()</v>
      </c>
      <c r="Q170" s="59" t="str">
        <f>IFERROR(VLOOKUP($A170,SortedDownload!$A$3:$BB$499,30,FALSE),"")</f>
        <v>DNS/DNF ()</v>
      </c>
      <c r="R170" s="62" t="str">
        <f>IFERROR(TEXT(VLOOKUP($A170,SortedDownload!$A$3:$Z$499,14,FALSE),"[hh]:mm:ss.000"),"")</f>
        <v>00:13:08.212</v>
      </c>
      <c r="S170" s="83" t="str">
        <f t="shared" si="8"/>
        <v>00:04</v>
      </c>
      <c r="T170" s="83" t="str">
        <f t="shared" si="6"/>
        <v>N/A</v>
      </c>
      <c r="U170" s="9" t="str">
        <f t="shared" si="7"/>
        <v/>
      </c>
      <c r="V170" s="20" t="str">
        <f>IFERROR(IF(VLOOKUP(H170,AgeCategories!$D$3:$J$32,7,FALSE)=I170,"","DNF"),"")</f>
        <v/>
      </c>
      <c r="W170" s="9"/>
      <c r="X170" s="9"/>
    </row>
    <row r="171" spans="1:24">
      <c r="A171" s="53">
        <f>IF(SortedDownload!A171 &lt; 1,"",SortedDownload!A171)</f>
        <v>98</v>
      </c>
      <c r="B171" s="55">
        <f>IF(V171&lt;&gt;"","DNF",COUNTIF($V$3:V171,V171))</f>
        <v>158</v>
      </c>
      <c r="C171" s="54">
        <f>IF(OR(B171="DNF",H171=""),"DNF",COUNTIF($H$3:H171,H171))</f>
        <v>18</v>
      </c>
      <c r="D171" s="90" t="str">
        <f>IFERROR(VLOOKUP($A171,EntryList!$A$3:$N$596,2,FALSE),"")</f>
        <v>Chrisman De Jager</v>
      </c>
      <c r="E171" s="54">
        <f>IFERROR(VLOOKUP($A171,EntryList!$A$3:$V$596,19,FALSE),"")</f>
        <v>0</v>
      </c>
      <c r="F171" s="176">
        <f>IFERROR(VLOOKUP($A171,EntryList!$A$3:$V$596,18,FALSE),"")</f>
        <v>0</v>
      </c>
      <c r="G171" s="90" t="str">
        <f>IFERROR(VLOOKUP($A171,EntryList!$A$3:$N$596,6,FALSE),"")</f>
        <v>M</v>
      </c>
      <c r="H171" s="90" t="str">
        <f>IFERROR(VLOOKUP($A171,EntryList!$A$3:$N$596,7,FALSE),"")</f>
        <v>Lite M</v>
      </c>
      <c r="I171" s="54">
        <f>IFERROR(VLOOKUP($A171,SortedDownload!$A$3:$Z667,4,FALSE),"")</f>
        <v>3</v>
      </c>
      <c r="J171" s="59" t="str">
        <f>IFERROR(VLOOKUP($A171,SortedDownload!$A$3:$BB$499,23,FALSE),"")</f>
        <v>DNS/DNF ()</v>
      </c>
      <c r="K171" s="59" t="str">
        <f>IFERROR(VLOOKUP($A171,SortedDownload!$A$3:$BB$499,24,FALSE),"")</f>
        <v>00:04:32.3 (141)</v>
      </c>
      <c r="L171" s="59" t="str">
        <f>IFERROR(VLOOKUP($A171,SortedDownload!$A$3:$BB$499,25,FALSE),"")</f>
        <v>00:02:39.6 (147)</v>
      </c>
      <c r="M171" s="59" t="str">
        <f>IFERROR(VLOOKUP($A171,SortedDownload!$A$3:$BB$499,26,FALSE),"")</f>
        <v>DNS/DNF ()</v>
      </c>
      <c r="N171" s="59" t="str">
        <f>IFERROR(VLOOKUP($A171,SortedDownload!$A$3:$BB$499,27,FALSE),"")</f>
        <v>00:05:56.4 (129)</v>
      </c>
      <c r="O171" s="59" t="str">
        <f>IFERROR(VLOOKUP($A171,SortedDownload!$A$3:$BB$499,28,FALSE),"")</f>
        <v>DNS/DNF ()</v>
      </c>
      <c r="P171" s="59" t="str">
        <f>IFERROR(VLOOKUP($A171,SortedDownload!$A$3:$BB$499,29,FALSE),"")</f>
        <v>DNS/DNF ()</v>
      </c>
      <c r="Q171" s="59" t="str">
        <f>IFERROR(VLOOKUP($A171,SortedDownload!$A$3:$BB$499,30,FALSE),"")</f>
        <v>DNS/DNF ()</v>
      </c>
      <c r="R171" s="62" t="str">
        <f>IFERROR(TEXT(VLOOKUP($A171,SortedDownload!$A$3:$Z$499,14,FALSE),"[hh]:mm:ss.000"),"")</f>
        <v>00:13:08.299</v>
      </c>
      <c r="S171" s="83" t="str">
        <f t="shared" si="8"/>
        <v>00:00</v>
      </c>
      <c r="T171" s="83" t="str">
        <f t="shared" si="6"/>
        <v>N/A</v>
      </c>
      <c r="U171" s="9" t="str">
        <f t="shared" si="7"/>
        <v/>
      </c>
      <c r="V171" s="20" t="str">
        <f>IFERROR(IF(VLOOKUP(H171,AgeCategories!$D$3:$J$32,7,FALSE)=I171,"","DNF"),"")</f>
        <v/>
      </c>
      <c r="W171" s="9"/>
      <c r="X171" s="9"/>
    </row>
    <row r="172" spans="1:24">
      <c r="A172" s="53">
        <f>IF(SortedDownload!A172 &lt; 1,"",SortedDownload!A172)</f>
        <v>255</v>
      </c>
      <c r="B172" s="55">
        <f>IF(V172&lt;&gt;"","DNF",COUNTIF($V$3:V172,V172))</f>
        <v>159</v>
      </c>
      <c r="C172" s="54">
        <f>IF(OR(B172="DNF",H172=""),"DNF",COUNTIF($H$3:H172,H172))</f>
        <v>6</v>
      </c>
      <c r="D172" s="90" t="str">
        <f>IFERROR(VLOOKUP($A172,EntryList!$A$3:$N$596,2,FALSE),"")</f>
        <v>Jadon Hunter</v>
      </c>
      <c r="E172" s="54">
        <f>IFERROR(VLOOKUP($A172,EntryList!$A$3:$V$596,19,FALSE),"")</f>
        <v>0</v>
      </c>
      <c r="F172" s="176">
        <f>IFERROR(VLOOKUP($A172,EntryList!$A$3:$V$596,18,FALSE),"")</f>
        <v>0</v>
      </c>
      <c r="G172" s="90" t="str">
        <f>IFERROR(VLOOKUP($A172,EntryList!$A$3:$N$596,6,FALSE),"")</f>
        <v>M</v>
      </c>
      <c r="H172" s="90" t="str">
        <f>IFERROR(VLOOKUP($A172,EntryList!$A$3:$N$596,7,FALSE),"")</f>
        <v>Sub Junior Boys</v>
      </c>
      <c r="I172" s="54">
        <f>IFERROR(VLOOKUP($A172,SortedDownload!$A$3:$Z668,4,FALSE),"")</f>
        <v>3</v>
      </c>
      <c r="J172" s="59" t="str">
        <f>IFERROR(VLOOKUP($A172,SortedDownload!$A$3:$BB$499,23,FALSE),"")</f>
        <v>DNS/DNF ()</v>
      </c>
      <c r="K172" s="59" t="str">
        <f>IFERROR(VLOOKUP($A172,SortedDownload!$A$3:$BB$499,24,FALSE),"")</f>
        <v>00:04:33.2 (146)</v>
      </c>
      <c r="L172" s="59" t="str">
        <f>IFERROR(VLOOKUP($A172,SortedDownload!$A$3:$BB$499,25,FALSE),"")</f>
        <v>00:02:34.4 (129)</v>
      </c>
      <c r="M172" s="59" t="str">
        <f>IFERROR(VLOOKUP($A172,SortedDownload!$A$3:$BB$499,26,FALSE),"")</f>
        <v>DNS/DNF ()</v>
      </c>
      <c r="N172" s="59" t="str">
        <f>IFERROR(VLOOKUP($A172,SortedDownload!$A$3:$BB$499,27,FALSE),"")</f>
        <v>00:06:01.2 (145)</v>
      </c>
      <c r="O172" s="59" t="str">
        <f>IFERROR(VLOOKUP($A172,SortedDownload!$A$3:$BB$499,28,FALSE),"")</f>
        <v>DNS/DNF ()</v>
      </c>
      <c r="P172" s="59" t="str">
        <f>IFERROR(VLOOKUP($A172,SortedDownload!$A$3:$BB$499,29,FALSE),"")</f>
        <v>DNS/DNF ()</v>
      </c>
      <c r="Q172" s="59" t="str">
        <f>IFERROR(VLOOKUP($A172,SortedDownload!$A$3:$BB$499,30,FALSE),"")</f>
        <v>DNS/DNF ()</v>
      </c>
      <c r="R172" s="62" t="str">
        <f>IFERROR(TEXT(VLOOKUP($A172,SortedDownload!$A$3:$Z$499,14,FALSE),"[hh]:mm:ss.000"),"")</f>
        <v>00:13:08.781</v>
      </c>
      <c r="S172" s="83" t="str">
        <f t="shared" si="8"/>
        <v>00:00</v>
      </c>
      <c r="T172" s="83" t="str">
        <f t="shared" si="6"/>
        <v>N/A</v>
      </c>
      <c r="U172" s="9" t="str">
        <f t="shared" si="7"/>
        <v/>
      </c>
      <c r="V172" s="20" t="str">
        <f>IFERROR(IF(VLOOKUP(H172,AgeCategories!$D$3:$J$32,7,FALSE)=I172,"","DNF"),"")</f>
        <v/>
      </c>
      <c r="W172" s="9"/>
      <c r="X172" s="9"/>
    </row>
    <row r="173" spans="1:24">
      <c r="A173" s="53">
        <f>IF(SortedDownload!A173 &lt; 1,"",SortedDownload!A173)</f>
        <v>171</v>
      </c>
      <c r="B173" s="55">
        <f>IF(V173&lt;&gt;"","DNF",COUNTIF($V$3:V173,V173))</f>
        <v>160</v>
      </c>
      <c r="C173" s="54">
        <f>IF(OR(B173="DNF",H173=""),"DNF",COUNTIF($H$3:H173,H173))</f>
        <v>19</v>
      </c>
      <c r="D173" s="90" t="str">
        <f>IFERROR(VLOOKUP($A173,EntryList!$A$3:$N$596,2,FALSE),"")</f>
        <v>Ezra Evans</v>
      </c>
      <c r="E173" s="54" t="str">
        <f>IFERROR(VLOOKUP($A173,EntryList!$A$3:$V$596,19,FALSE),"")</f>
        <v/>
      </c>
      <c r="F173" s="176" t="str">
        <f>IFERROR(VLOOKUP($A173,EntryList!$A$3:$V$596,18,FALSE),"")</f>
        <v/>
      </c>
      <c r="G173" s="90" t="str">
        <f>IFERROR(VLOOKUP($A173,EntryList!$A$3:$N$596,6,FALSE),"")</f>
        <v>M</v>
      </c>
      <c r="H173" s="90" t="str">
        <f>IFERROR(VLOOKUP($A173,EntryList!$A$3:$N$596,7,FALSE),"")</f>
        <v>Lite M</v>
      </c>
      <c r="I173" s="54">
        <f>IFERROR(VLOOKUP($A173,SortedDownload!$A$3:$Z669,4,FALSE),"")</f>
        <v>3</v>
      </c>
      <c r="J173" s="59" t="str">
        <f>IFERROR(VLOOKUP($A173,SortedDownload!$A$3:$BB$499,23,FALSE),"")</f>
        <v>DNS/DNF ()</v>
      </c>
      <c r="K173" s="59" t="str">
        <f>IFERROR(VLOOKUP($A173,SortedDownload!$A$3:$BB$499,24,FALSE),"")</f>
        <v>00:04:33.1 (145)</v>
      </c>
      <c r="L173" s="59" t="str">
        <f>IFERROR(VLOOKUP($A173,SortedDownload!$A$3:$BB$499,25,FALSE),"")</f>
        <v>00:02:31.8 (118)</v>
      </c>
      <c r="M173" s="59" t="str">
        <f>IFERROR(VLOOKUP($A173,SortedDownload!$A$3:$BB$499,26,FALSE),"")</f>
        <v>DNS/DNF ()</v>
      </c>
      <c r="N173" s="59" t="str">
        <f>IFERROR(VLOOKUP($A173,SortedDownload!$A$3:$BB$499,27,FALSE),"")</f>
        <v>00:06:04.8 (150)</v>
      </c>
      <c r="O173" s="59" t="str">
        <f>IFERROR(VLOOKUP($A173,SortedDownload!$A$3:$BB$499,28,FALSE),"")</f>
        <v>DNS/DNF ()</v>
      </c>
      <c r="P173" s="59" t="str">
        <f>IFERROR(VLOOKUP($A173,SortedDownload!$A$3:$BB$499,29,FALSE),"")</f>
        <v>DNS/DNF ()</v>
      </c>
      <c r="Q173" s="59" t="str">
        <f>IFERROR(VLOOKUP($A173,SortedDownload!$A$3:$BB$499,30,FALSE),"")</f>
        <v>DNS/DNF ()</v>
      </c>
      <c r="R173" s="62" t="str">
        <f>IFERROR(TEXT(VLOOKUP($A173,SortedDownload!$A$3:$Z$499,14,FALSE),"[hh]:mm:ss.000"),"")</f>
        <v>00:13:09.694</v>
      </c>
      <c r="S173" s="83" t="str">
        <f t="shared" si="8"/>
        <v>00:01</v>
      </c>
      <c r="T173" s="83" t="str">
        <f t="shared" si="6"/>
        <v>N/A</v>
      </c>
      <c r="U173" s="9" t="str">
        <f t="shared" si="7"/>
        <v/>
      </c>
      <c r="V173" s="20" t="str">
        <f>IFERROR(IF(VLOOKUP(H173,AgeCategories!$D$3:$J$32,7,FALSE)=I173,"","DNF"),"")</f>
        <v/>
      </c>
      <c r="W173" s="9"/>
      <c r="X173" s="9"/>
    </row>
    <row r="174" spans="1:24">
      <c r="A174" s="53">
        <f>IF(SortedDownload!A174 &lt; 1,"",SortedDownload!A174)</f>
        <v>70</v>
      </c>
      <c r="B174" s="55">
        <f>IF(V174&lt;&gt;"","DNF",COUNTIF($V$3:V174,V174))</f>
        <v>161</v>
      </c>
      <c r="C174" s="54">
        <f>IF(OR(B174="DNF",H174=""),"DNF",COUNTIF($H$3:H174,H174))</f>
        <v>7</v>
      </c>
      <c r="D174" s="90" t="str">
        <f>IFERROR(VLOOKUP($A174,EntryList!$A$3:$N$596,2,FALSE),"")</f>
        <v>Adam Dawson</v>
      </c>
      <c r="E174" s="54">
        <f>IFERROR(VLOOKUP($A174,EntryList!$A$3:$V$596,19,FALSE),"")</f>
        <v>0</v>
      </c>
      <c r="F174" s="176">
        <f>IFERROR(VLOOKUP($A174,EntryList!$A$3:$V$596,18,FALSE),"")</f>
        <v>0</v>
      </c>
      <c r="G174" s="90" t="str">
        <f>IFERROR(VLOOKUP($A174,EntryList!$A$3:$N$596,6,FALSE),"")</f>
        <v>M</v>
      </c>
      <c r="H174" s="90" t="str">
        <f>IFERROR(VLOOKUP($A174,EntryList!$A$3:$N$596,7,FALSE),"")</f>
        <v>Sub Junior Boys</v>
      </c>
      <c r="I174" s="54">
        <f>IFERROR(VLOOKUP($A174,SortedDownload!$A$3:$Z670,4,FALSE),"")</f>
        <v>3</v>
      </c>
      <c r="J174" s="59" t="str">
        <f>IFERROR(VLOOKUP($A174,SortedDownload!$A$3:$BB$499,23,FALSE),"")</f>
        <v>DNS/DNF ()</v>
      </c>
      <c r="K174" s="59" t="str">
        <f>IFERROR(VLOOKUP($A174,SortedDownload!$A$3:$BB$499,24,FALSE),"")</f>
        <v>00:04:35.8 (154)</v>
      </c>
      <c r="L174" s="59" t="str">
        <f>IFERROR(VLOOKUP($A174,SortedDownload!$A$3:$BB$499,25,FALSE),"")</f>
        <v>00:02:42.9 (168)</v>
      </c>
      <c r="M174" s="59" t="str">
        <f>IFERROR(VLOOKUP($A174,SortedDownload!$A$3:$BB$499,26,FALSE),"")</f>
        <v>DNS/DNF ()</v>
      </c>
      <c r="N174" s="59" t="str">
        <f>IFERROR(VLOOKUP($A174,SortedDownload!$A$3:$BB$499,27,FALSE),"")</f>
        <v>00:05:52.3 (117)</v>
      </c>
      <c r="O174" s="59" t="str">
        <f>IFERROR(VLOOKUP($A174,SortedDownload!$A$3:$BB$499,28,FALSE),"")</f>
        <v>DNS/DNF ()</v>
      </c>
      <c r="P174" s="59" t="str">
        <f>IFERROR(VLOOKUP($A174,SortedDownload!$A$3:$BB$499,29,FALSE),"")</f>
        <v>DNS/DNF ()</v>
      </c>
      <c r="Q174" s="59" t="str">
        <f>IFERROR(VLOOKUP($A174,SortedDownload!$A$3:$BB$499,30,FALSE),"")</f>
        <v>DNS/DNF ()</v>
      </c>
      <c r="R174" s="62" t="str">
        <f>IFERROR(TEXT(VLOOKUP($A174,SortedDownload!$A$3:$Z$499,14,FALSE),"[hh]:mm:ss.000"),"")</f>
        <v>00:13:11.056</v>
      </c>
      <c r="S174" s="83" t="str">
        <f t="shared" si="8"/>
        <v>00:01</v>
      </c>
      <c r="T174" s="83" t="str">
        <f t="shared" si="6"/>
        <v>N/A</v>
      </c>
      <c r="U174" s="9" t="str">
        <f t="shared" si="7"/>
        <v/>
      </c>
      <c r="V174" s="20" t="str">
        <f>IFERROR(IF(VLOOKUP(H174,AgeCategories!$D$3:$J$32,7,FALSE)=I174,"","DNF"),"")</f>
        <v/>
      </c>
      <c r="W174" s="9"/>
      <c r="X174" s="9"/>
    </row>
    <row r="175" spans="1:24">
      <c r="A175" s="53">
        <f>IF(SortedDownload!A175 &lt; 1,"",SortedDownload!A175)</f>
        <v>7</v>
      </c>
      <c r="B175" s="55">
        <f>IF(V175&lt;&gt;"","DNF",COUNTIF($V$3:V175,V175))</f>
        <v>162</v>
      </c>
      <c r="C175" s="54">
        <f>IF(OR(B175="DNF",H175=""),"DNF",COUNTIF($H$3:H175,H175))</f>
        <v>20</v>
      </c>
      <c r="D175" s="90" t="str">
        <f>IFERROR(VLOOKUP($A175,EntryList!$A$3:$N$596,2,FALSE),"")</f>
        <v>Stéphen Du Toit</v>
      </c>
      <c r="E175" s="54">
        <f>IFERROR(VLOOKUP($A175,EntryList!$A$3:$V$596,19,FALSE),"")</f>
        <v>0</v>
      </c>
      <c r="F175" s="176">
        <f>IFERROR(VLOOKUP($A175,EntryList!$A$3:$V$596,18,FALSE),"")</f>
        <v>0</v>
      </c>
      <c r="G175" s="90" t="str">
        <f>IFERROR(VLOOKUP($A175,EntryList!$A$3:$N$596,6,FALSE),"")</f>
        <v>M</v>
      </c>
      <c r="H175" s="90" t="str">
        <f>IFERROR(VLOOKUP($A175,EntryList!$A$3:$N$596,7,FALSE),"")</f>
        <v>Lite M</v>
      </c>
      <c r="I175" s="54">
        <f>IFERROR(VLOOKUP($A175,SortedDownload!$A$3:$Z671,4,FALSE),"")</f>
        <v>3</v>
      </c>
      <c r="J175" s="59" t="str">
        <f>IFERROR(VLOOKUP($A175,SortedDownload!$A$3:$BB$499,23,FALSE),"")</f>
        <v>DNS/DNF ()</v>
      </c>
      <c r="K175" s="59" t="str">
        <f>IFERROR(VLOOKUP($A175,SortedDownload!$A$3:$BB$499,24,FALSE),"")</f>
        <v>00:04:33.5 (148)</v>
      </c>
      <c r="L175" s="59" t="str">
        <f>IFERROR(VLOOKUP($A175,SortedDownload!$A$3:$BB$499,25,FALSE),"")</f>
        <v>00:02:40.3 (153)</v>
      </c>
      <c r="M175" s="59" t="str">
        <f>IFERROR(VLOOKUP($A175,SortedDownload!$A$3:$BB$499,26,FALSE),"")</f>
        <v>DNS/DNF ()</v>
      </c>
      <c r="N175" s="59" t="str">
        <f>IFERROR(VLOOKUP($A175,SortedDownload!$A$3:$BB$499,27,FALSE),"")</f>
        <v>00:05:59.5 (138)</v>
      </c>
      <c r="O175" s="59" t="str">
        <f>IFERROR(VLOOKUP($A175,SortedDownload!$A$3:$BB$499,28,FALSE),"")</f>
        <v>DNS/DNF ()</v>
      </c>
      <c r="P175" s="59" t="str">
        <f>IFERROR(VLOOKUP($A175,SortedDownload!$A$3:$BB$499,29,FALSE),"")</f>
        <v>DNS/DNF ()</v>
      </c>
      <c r="Q175" s="59" t="str">
        <f>IFERROR(VLOOKUP($A175,SortedDownload!$A$3:$BB$499,30,FALSE),"")</f>
        <v>DNS/DNF ()</v>
      </c>
      <c r="R175" s="62" t="str">
        <f>IFERROR(TEXT(VLOOKUP($A175,SortedDownload!$A$3:$Z$499,14,FALSE),"[hh]:mm:ss.000"),"")</f>
        <v>00:13:13.332</v>
      </c>
      <c r="S175" s="83" t="str">
        <f t="shared" si="8"/>
        <v>00:02</v>
      </c>
      <c r="T175" s="83" t="str">
        <f t="shared" si="6"/>
        <v>N/A</v>
      </c>
      <c r="U175" s="9" t="str">
        <f t="shared" si="7"/>
        <v/>
      </c>
      <c r="V175" s="20" t="str">
        <f>IFERROR(IF(VLOOKUP(H175,AgeCategories!$D$3:$J$32,7,FALSE)=I175,"","DNF"),"")</f>
        <v/>
      </c>
      <c r="W175" s="9"/>
      <c r="X175" s="9"/>
    </row>
    <row r="176" spans="1:24">
      <c r="A176" s="53">
        <f>IF(SortedDownload!A176 &lt; 1,"",SortedDownload!A176)</f>
        <v>75</v>
      </c>
      <c r="B176" s="55">
        <f>IF(V176&lt;&gt;"","DNF",COUNTIF($V$3:V176,V176))</f>
        <v>163</v>
      </c>
      <c r="C176" s="54">
        <f>IF(OR(B176="DNF",H176=""),"DNF",COUNTIF($H$3:H176,H176))</f>
        <v>2</v>
      </c>
      <c r="D176" s="90" t="str">
        <f>IFERROR(VLOOKUP($A176,EntryList!$A$3:$N$596,2,FALSE),"")</f>
        <v>Michelle George</v>
      </c>
      <c r="E176" s="54" t="str">
        <f>IFERROR(VLOOKUP($A176,EntryList!$A$3:$V$596,19,FALSE),"")</f>
        <v/>
      </c>
      <c r="F176" s="176" t="str">
        <f>IFERROR(VLOOKUP($A176,EntryList!$A$3:$V$596,18,FALSE),"")</f>
        <v/>
      </c>
      <c r="G176" s="90" t="str">
        <f>IFERROR(VLOOKUP($A176,EntryList!$A$3:$N$596,6,FALSE),"")</f>
        <v>F</v>
      </c>
      <c r="H176" s="90" t="str">
        <f>IFERROR(VLOOKUP($A176,EntryList!$A$3:$N$596,7,FALSE),"")</f>
        <v>Lite F</v>
      </c>
      <c r="I176" s="54">
        <f>IFERROR(VLOOKUP($A176,SortedDownload!$A$3:$Z672,4,FALSE),"")</f>
        <v>3</v>
      </c>
      <c r="J176" s="59" t="str">
        <f>IFERROR(VLOOKUP($A176,SortedDownload!$A$3:$BB$499,23,FALSE),"")</f>
        <v>DNS/DNF ()</v>
      </c>
      <c r="K176" s="59" t="str">
        <f>IFERROR(VLOOKUP($A176,SortedDownload!$A$3:$BB$499,24,FALSE),"")</f>
        <v>00:04:33.5 (147)</v>
      </c>
      <c r="L176" s="59" t="str">
        <f>IFERROR(VLOOKUP($A176,SortedDownload!$A$3:$BB$499,25,FALSE),"")</f>
        <v>00:02:43.6 (170)</v>
      </c>
      <c r="M176" s="59" t="str">
        <f>IFERROR(VLOOKUP($A176,SortedDownload!$A$3:$BB$499,26,FALSE),"")</f>
        <v>DNS/DNF ()</v>
      </c>
      <c r="N176" s="59" t="str">
        <f>IFERROR(VLOOKUP($A176,SortedDownload!$A$3:$BB$499,27,FALSE),"")</f>
        <v>00:05:59.6 (139)</v>
      </c>
      <c r="O176" s="59" t="str">
        <f>IFERROR(VLOOKUP($A176,SortedDownload!$A$3:$BB$499,28,FALSE),"")</f>
        <v>DNS/DNF ()</v>
      </c>
      <c r="P176" s="59" t="str">
        <f>IFERROR(VLOOKUP($A176,SortedDownload!$A$3:$BB$499,29,FALSE),"")</f>
        <v>DNS/DNF ()</v>
      </c>
      <c r="Q176" s="59" t="str">
        <f>IFERROR(VLOOKUP($A176,SortedDownload!$A$3:$BB$499,30,FALSE),"")</f>
        <v>DNS/DNF ()</v>
      </c>
      <c r="R176" s="62" t="str">
        <f>IFERROR(TEXT(VLOOKUP($A176,SortedDownload!$A$3:$Z$499,14,FALSE),"[hh]:mm:ss.000"),"")</f>
        <v>00:13:16.804</v>
      </c>
      <c r="S176" s="83" t="str">
        <f t="shared" si="8"/>
        <v>00:03</v>
      </c>
      <c r="T176" s="83" t="str">
        <f t="shared" si="6"/>
        <v>N/A</v>
      </c>
      <c r="U176" s="9" t="str">
        <f t="shared" si="7"/>
        <v/>
      </c>
      <c r="V176" s="20" t="str">
        <f>IFERROR(IF(VLOOKUP(H176,AgeCategories!$D$3:$J$32,7,FALSE)=I176,"","DNF"),"")</f>
        <v/>
      </c>
      <c r="W176" s="9"/>
      <c r="X176" s="9"/>
    </row>
    <row r="177" spans="1:24">
      <c r="A177" s="53">
        <f>IF(SortedDownload!A177 &lt; 1,"",SortedDownload!A177)</f>
        <v>228</v>
      </c>
      <c r="B177" s="55">
        <f>IF(V177&lt;&gt;"","DNF",COUNTIF($V$3:V177,V177))</f>
        <v>164</v>
      </c>
      <c r="C177" s="54">
        <f>IF(OR(B177="DNF",H177=""),"DNF",COUNTIF($H$3:H177,H177))</f>
        <v>21</v>
      </c>
      <c r="D177" s="90" t="str">
        <f>IFERROR(VLOOKUP($A177,EntryList!$A$3:$N$596,2,FALSE),"")</f>
        <v>Fred Lowe</v>
      </c>
      <c r="E177" s="54">
        <f>IFERROR(VLOOKUP($A177,EntryList!$A$3:$V$596,19,FALSE),"")</f>
        <v>0</v>
      </c>
      <c r="F177" s="176">
        <f>IFERROR(VLOOKUP($A177,EntryList!$A$3:$V$596,18,FALSE),"")</f>
        <v>0</v>
      </c>
      <c r="G177" s="90" t="str">
        <f>IFERROR(VLOOKUP($A177,EntryList!$A$3:$N$596,6,FALSE),"")</f>
        <v>M</v>
      </c>
      <c r="H177" s="90" t="str">
        <f>IFERROR(VLOOKUP($A177,EntryList!$A$3:$N$596,7,FALSE),"")</f>
        <v>Lite M</v>
      </c>
      <c r="I177" s="54">
        <f>IFERROR(VLOOKUP($A177,SortedDownload!$A$3:$Z673,4,FALSE),"")</f>
        <v>3</v>
      </c>
      <c r="J177" s="59" t="str">
        <f>IFERROR(VLOOKUP($A177,SortedDownload!$A$3:$BB$499,23,FALSE),"")</f>
        <v>DNS/DNF ()</v>
      </c>
      <c r="K177" s="59" t="str">
        <f>IFERROR(VLOOKUP($A177,SortedDownload!$A$3:$BB$499,24,FALSE),"")</f>
        <v>00:04:44.5 (181)</v>
      </c>
      <c r="L177" s="59" t="str">
        <f>IFERROR(VLOOKUP($A177,SortedDownload!$A$3:$BB$499,25,FALSE),"")</f>
        <v>00:02:41.8 (165)</v>
      </c>
      <c r="M177" s="59" t="str">
        <f>IFERROR(VLOOKUP($A177,SortedDownload!$A$3:$BB$499,26,FALSE),"")</f>
        <v>DNS/DNF ()</v>
      </c>
      <c r="N177" s="59" t="str">
        <f>IFERROR(VLOOKUP($A177,SortedDownload!$A$3:$BB$499,27,FALSE),"")</f>
        <v>00:05:52.0 (115)</v>
      </c>
      <c r="O177" s="59" t="str">
        <f>IFERROR(VLOOKUP($A177,SortedDownload!$A$3:$BB$499,28,FALSE),"")</f>
        <v>DNS/DNF ()</v>
      </c>
      <c r="P177" s="59" t="str">
        <f>IFERROR(VLOOKUP($A177,SortedDownload!$A$3:$BB$499,29,FALSE),"")</f>
        <v>DNS/DNF ()</v>
      </c>
      <c r="Q177" s="59" t="str">
        <f>IFERROR(VLOOKUP($A177,SortedDownload!$A$3:$BB$499,30,FALSE),"")</f>
        <v>DNS/DNF ()</v>
      </c>
      <c r="R177" s="62" t="str">
        <f>IFERROR(TEXT(VLOOKUP($A177,SortedDownload!$A$3:$Z$499,14,FALSE),"[hh]:mm:ss.000"),"")</f>
        <v>00:13:18.259</v>
      </c>
      <c r="S177" s="83" t="str">
        <f t="shared" si="8"/>
        <v>00:01</v>
      </c>
      <c r="T177" s="83" t="str">
        <f t="shared" si="6"/>
        <v>N/A</v>
      </c>
      <c r="U177" s="9" t="str">
        <f t="shared" si="7"/>
        <v/>
      </c>
      <c r="V177" s="20" t="str">
        <f>IFERROR(IF(VLOOKUP(H177,AgeCategories!$D$3:$J$32,7,FALSE)=I177,"","DNF"),"")</f>
        <v/>
      </c>
      <c r="W177" s="9"/>
      <c r="X177" s="9"/>
    </row>
    <row r="178" spans="1:24">
      <c r="A178" s="53">
        <f>IF(SortedDownload!A178 &lt; 1,"",SortedDownload!A178)</f>
        <v>60</v>
      </c>
      <c r="B178" s="55">
        <f>IF(V178&lt;&gt;"","DNF",COUNTIF($V$3:V178,V178))</f>
        <v>165</v>
      </c>
      <c r="C178" s="54">
        <f>IF(OR(B178="DNF",H178=""),"DNF",COUNTIF($H$3:H178,H178))</f>
        <v>3</v>
      </c>
      <c r="D178" s="90" t="str">
        <f>IFERROR(VLOOKUP($A178,EntryList!$A$3:$N$596,2,FALSE),"")</f>
        <v>Christiaan Steffens</v>
      </c>
      <c r="E178" s="54">
        <f>IFERROR(VLOOKUP($A178,EntryList!$A$3:$V$596,19,FALSE),"")</f>
        <v>0</v>
      </c>
      <c r="F178" s="176">
        <f>IFERROR(VLOOKUP($A178,EntryList!$A$3:$V$596,18,FALSE),"")</f>
        <v>0</v>
      </c>
      <c r="G178" s="90" t="str">
        <f>IFERROR(VLOOKUP($A178,EntryList!$A$3:$N$596,6,FALSE),"")</f>
        <v>M</v>
      </c>
      <c r="H178" s="90" t="str">
        <f>IFERROR(VLOOKUP($A178,EntryList!$A$3:$N$596,7,FALSE),"")</f>
        <v>E-Bike Lite M</v>
      </c>
      <c r="I178" s="54">
        <f>IFERROR(VLOOKUP($A178,SortedDownload!$A$3:$Z674,4,FALSE),"")</f>
        <v>3</v>
      </c>
      <c r="J178" s="59" t="str">
        <f>IFERROR(VLOOKUP($A178,SortedDownload!$A$3:$BB$499,23,FALSE),"")</f>
        <v>DNS/DNF ()</v>
      </c>
      <c r="K178" s="59" t="str">
        <f>IFERROR(VLOOKUP($A178,SortedDownload!$A$3:$BB$499,24,FALSE),"")</f>
        <v>00:04:40.8 (174)</v>
      </c>
      <c r="L178" s="59" t="str">
        <f>IFERROR(VLOOKUP($A178,SortedDownload!$A$3:$BB$499,25,FALSE),"")</f>
        <v>00:02:41.6 (163)</v>
      </c>
      <c r="M178" s="59" t="str">
        <f>IFERROR(VLOOKUP($A178,SortedDownload!$A$3:$BB$499,26,FALSE),"")</f>
        <v>DNS/DNF ()</v>
      </c>
      <c r="N178" s="59" t="str">
        <f>IFERROR(VLOOKUP($A178,SortedDownload!$A$3:$BB$499,27,FALSE),"")</f>
        <v>00:05:56.4 (128)</v>
      </c>
      <c r="O178" s="59" t="str">
        <f>IFERROR(VLOOKUP($A178,SortedDownload!$A$3:$BB$499,28,FALSE),"")</f>
        <v>DNS/DNF ()</v>
      </c>
      <c r="P178" s="59" t="str">
        <f>IFERROR(VLOOKUP($A178,SortedDownload!$A$3:$BB$499,29,FALSE),"")</f>
        <v>DNS/DNF ()</v>
      </c>
      <c r="Q178" s="59" t="str">
        <f>IFERROR(VLOOKUP($A178,SortedDownload!$A$3:$BB$499,30,FALSE),"")</f>
        <v>DNS/DNF ()</v>
      </c>
      <c r="R178" s="62" t="str">
        <f>IFERROR(TEXT(VLOOKUP($A178,SortedDownload!$A$3:$Z$499,14,FALSE),"[hh]:mm:ss.000"),"")</f>
        <v>00:13:18.757</v>
      </c>
      <c r="S178" s="83" t="str">
        <f t="shared" si="8"/>
        <v>00:00</v>
      </c>
      <c r="T178" s="83" t="str">
        <f t="shared" si="6"/>
        <v>N/A</v>
      </c>
      <c r="U178" s="9" t="str">
        <f t="shared" si="7"/>
        <v/>
      </c>
      <c r="V178" s="20" t="str">
        <f>IFERROR(IF(VLOOKUP(H178,AgeCategories!$D$3:$J$32,7,FALSE)=I178,"","DNF"),"")</f>
        <v/>
      </c>
      <c r="W178" s="9"/>
      <c r="X178" s="9"/>
    </row>
    <row r="179" spans="1:24">
      <c r="A179" s="53">
        <f>IF(SortedDownload!A179 &lt; 1,"",SortedDownload!A179)</f>
        <v>275</v>
      </c>
      <c r="B179" s="55">
        <f>IF(V179&lt;&gt;"","DNF",COUNTIF($V$3:V179,V179))</f>
        <v>166</v>
      </c>
      <c r="C179" s="54">
        <f>IF(OR(B179="DNF",H179=""),"DNF",COUNTIF($H$3:H179,H179))</f>
        <v>8</v>
      </c>
      <c r="D179" s="90" t="str">
        <f>IFERROR(VLOOKUP($A179,EntryList!$A$3:$N$596,2,FALSE),"")</f>
        <v>Joshua Ord</v>
      </c>
      <c r="E179" s="54">
        <f>IFERROR(VLOOKUP($A179,EntryList!$A$3:$V$596,19,FALSE),"")</f>
        <v>0</v>
      </c>
      <c r="F179" s="176">
        <f>IFERROR(VLOOKUP($A179,EntryList!$A$3:$V$596,18,FALSE),"")</f>
        <v>0</v>
      </c>
      <c r="G179" s="90" t="str">
        <f>IFERROR(VLOOKUP($A179,EntryList!$A$3:$N$596,6,FALSE),"")</f>
        <v>M</v>
      </c>
      <c r="H179" s="90" t="str">
        <f>IFERROR(VLOOKUP($A179,EntryList!$A$3:$N$596,7,FALSE),"")</f>
        <v>Sub Junior Boys</v>
      </c>
      <c r="I179" s="54">
        <f>IFERROR(VLOOKUP($A179,SortedDownload!$A$3:$Z675,4,FALSE),"")</f>
        <v>3</v>
      </c>
      <c r="J179" s="59" t="str">
        <f>IFERROR(VLOOKUP($A179,SortedDownload!$A$3:$BB$499,23,FALSE),"")</f>
        <v>DNS/DNF ()</v>
      </c>
      <c r="K179" s="59" t="str">
        <f>IFERROR(VLOOKUP($A179,SortedDownload!$A$3:$BB$499,24,FALSE),"")</f>
        <v>00:04:42.7 (176)</v>
      </c>
      <c r="L179" s="59" t="str">
        <f>IFERROR(VLOOKUP($A179,SortedDownload!$A$3:$BB$499,25,FALSE),"")</f>
        <v>00:02:39.8 (150)</v>
      </c>
      <c r="M179" s="59" t="str">
        <f>IFERROR(VLOOKUP($A179,SortedDownload!$A$3:$BB$499,26,FALSE),"")</f>
        <v>DNS/DNF ()</v>
      </c>
      <c r="N179" s="59" t="str">
        <f>IFERROR(VLOOKUP($A179,SortedDownload!$A$3:$BB$499,27,FALSE),"")</f>
        <v>00:06:02.4 (146)</v>
      </c>
      <c r="O179" s="59" t="str">
        <f>IFERROR(VLOOKUP($A179,SortedDownload!$A$3:$BB$499,28,FALSE),"")</f>
        <v>DNS/DNF ()</v>
      </c>
      <c r="P179" s="59" t="str">
        <f>IFERROR(VLOOKUP($A179,SortedDownload!$A$3:$BB$499,29,FALSE),"")</f>
        <v>DNS/DNF ()</v>
      </c>
      <c r="Q179" s="59" t="str">
        <f>IFERROR(VLOOKUP($A179,SortedDownload!$A$3:$BB$499,30,FALSE),"")</f>
        <v>DNS/DNF ()</v>
      </c>
      <c r="R179" s="62" t="str">
        <f>IFERROR(TEXT(VLOOKUP($A179,SortedDownload!$A$3:$Z$499,14,FALSE),"[hh]:mm:ss.000"),"")</f>
        <v>00:13:24.921</v>
      </c>
      <c r="S179" s="83" t="str">
        <f t="shared" si="8"/>
        <v>00:06</v>
      </c>
      <c r="T179" s="83" t="str">
        <f t="shared" si="6"/>
        <v>N/A</v>
      </c>
      <c r="U179" s="9" t="str">
        <f t="shared" si="7"/>
        <v/>
      </c>
      <c r="V179" s="20" t="str">
        <f>IFERROR(IF(VLOOKUP(H179,AgeCategories!$D$3:$J$32,7,FALSE)=I179,"","DNF"),"")</f>
        <v/>
      </c>
      <c r="W179" s="9"/>
      <c r="X179" s="9"/>
    </row>
    <row r="180" spans="1:24">
      <c r="A180" s="53">
        <f>IF(SortedDownload!A180 &lt; 1,"",SortedDownload!A180)</f>
        <v>240</v>
      </c>
      <c r="B180" s="55">
        <f>IF(V180&lt;&gt;"","DNF",COUNTIF($V$3:V180,V180))</f>
        <v>167</v>
      </c>
      <c r="C180" s="54">
        <f>IF(OR(B180="DNF",H180=""),"DNF",COUNTIF($H$3:H180,H180))</f>
        <v>4</v>
      </c>
      <c r="D180" s="90" t="str">
        <f>IFERROR(VLOOKUP($A180,EntryList!$A$3:$N$596,2,FALSE),"")</f>
        <v>Robert Du Preez</v>
      </c>
      <c r="E180" s="54">
        <f>IFERROR(VLOOKUP($A180,EntryList!$A$3:$V$596,19,FALSE),"")</f>
        <v>0</v>
      </c>
      <c r="F180" s="176">
        <f>IFERROR(VLOOKUP($A180,EntryList!$A$3:$V$596,18,FALSE),"")</f>
        <v>0</v>
      </c>
      <c r="G180" s="90" t="str">
        <f>IFERROR(VLOOKUP($A180,EntryList!$A$3:$N$596,6,FALSE),"")</f>
        <v>M</v>
      </c>
      <c r="H180" s="90" t="str">
        <f>IFERROR(VLOOKUP($A180,EntryList!$A$3:$N$596,7,FALSE),"")</f>
        <v>E-Bike Lite M</v>
      </c>
      <c r="I180" s="54">
        <f>IFERROR(VLOOKUP($A180,SortedDownload!$A$3:$Z676,4,FALSE),"")</f>
        <v>3</v>
      </c>
      <c r="J180" s="59" t="str">
        <f>IFERROR(VLOOKUP($A180,SortedDownload!$A$3:$BB$499,23,FALSE),"")</f>
        <v>DNS/DNF ()</v>
      </c>
      <c r="K180" s="59" t="str">
        <f>IFERROR(VLOOKUP($A180,SortedDownload!$A$3:$BB$499,24,FALSE),"")</f>
        <v>00:04:26.8 (127)</v>
      </c>
      <c r="L180" s="59" t="str">
        <f>IFERROR(VLOOKUP($A180,SortedDownload!$A$3:$BB$499,25,FALSE),"")</f>
        <v>00:02:45.0 (176)</v>
      </c>
      <c r="M180" s="59" t="str">
        <f>IFERROR(VLOOKUP($A180,SortedDownload!$A$3:$BB$499,26,FALSE),"")</f>
        <v>DNS/DNF ()</v>
      </c>
      <c r="N180" s="59" t="str">
        <f>IFERROR(VLOOKUP($A180,SortedDownload!$A$3:$BB$499,27,FALSE),"")</f>
        <v>00:06:13.5 (166)</v>
      </c>
      <c r="O180" s="59" t="str">
        <f>IFERROR(VLOOKUP($A180,SortedDownload!$A$3:$BB$499,28,FALSE),"")</f>
        <v>DNS/DNF ()</v>
      </c>
      <c r="P180" s="59" t="str">
        <f>IFERROR(VLOOKUP($A180,SortedDownload!$A$3:$BB$499,29,FALSE),"")</f>
        <v>DNS/DNF ()</v>
      </c>
      <c r="Q180" s="59" t="str">
        <f>IFERROR(VLOOKUP($A180,SortedDownload!$A$3:$BB$499,30,FALSE),"")</f>
        <v>DNS/DNF ()</v>
      </c>
      <c r="R180" s="62" t="str">
        <f>IFERROR(TEXT(VLOOKUP($A180,SortedDownload!$A$3:$Z$499,14,FALSE),"[hh]:mm:ss.000"),"")</f>
        <v>00:13:25.340</v>
      </c>
      <c r="S180" s="83" t="str">
        <f t="shared" si="8"/>
        <v>00:00</v>
      </c>
      <c r="T180" s="83" t="str">
        <f t="shared" si="6"/>
        <v>N/A</v>
      </c>
      <c r="U180" s="9" t="str">
        <f t="shared" si="7"/>
        <v/>
      </c>
      <c r="V180" s="20" t="str">
        <f>IFERROR(IF(VLOOKUP(H180,AgeCategories!$D$3:$J$32,7,FALSE)=I180,"","DNF"),"")</f>
        <v/>
      </c>
      <c r="W180" s="9"/>
      <c r="X180" s="9"/>
    </row>
    <row r="181" spans="1:24">
      <c r="A181" s="53">
        <f>IF(SortedDownload!A181 &lt; 1,"",SortedDownload!A181)</f>
        <v>97</v>
      </c>
      <c r="B181" s="55">
        <f>IF(V181&lt;&gt;"","DNF",COUNTIF($V$3:V181,V181))</f>
        <v>168</v>
      </c>
      <c r="C181" s="54">
        <f>IF(OR(B181="DNF",H181=""),"DNF",COUNTIF($H$3:H181,H181))</f>
        <v>3</v>
      </c>
      <c r="D181" s="90" t="str">
        <f>IFERROR(VLOOKUP($A181,EntryList!$A$3:$N$596,2,FALSE),"")</f>
        <v>Amy Burton</v>
      </c>
      <c r="E181" s="54">
        <f>IFERROR(VLOOKUP($A181,EntryList!$A$3:$V$596,19,FALSE),"")</f>
        <v>0</v>
      </c>
      <c r="F181" s="176">
        <f>IFERROR(VLOOKUP($A181,EntryList!$A$3:$V$596,18,FALSE),"")</f>
        <v>0</v>
      </c>
      <c r="G181" s="90" t="str">
        <f>IFERROR(VLOOKUP($A181,EntryList!$A$3:$N$596,6,FALSE),"")</f>
        <v>F</v>
      </c>
      <c r="H181" s="90" t="str">
        <f>IFERROR(VLOOKUP($A181,EntryList!$A$3:$N$596,7,FALSE),"")</f>
        <v>Lite F</v>
      </c>
      <c r="I181" s="54">
        <f>IFERROR(VLOOKUP($A181,SortedDownload!$A$3:$Z677,4,FALSE),"")</f>
        <v>3</v>
      </c>
      <c r="J181" s="59" t="str">
        <f>IFERROR(VLOOKUP($A181,SortedDownload!$A$3:$BB$499,23,FALSE),"")</f>
        <v>DNS/DNF ()</v>
      </c>
      <c r="K181" s="59" t="str">
        <f>IFERROR(VLOOKUP($A181,SortedDownload!$A$3:$BB$499,24,FALSE),"")</f>
        <v>00:04:41.2 (175)</v>
      </c>
      <c r="L181" s="59" t="str">
        <f>IFERROR(VLOOKUP($A181,SortedDownload!$A$3:$BB$499,25,FALSE),"")</f>
        <v>00:02:43.9 (172)</v>
      </c>
      <c r="M181" s="59" t="str">
        <f>IFERROR(VLOOKUP($A181,SortedDownload!$A$3:$BB$499,26,FALSE),"")</f>
        <v>DNS/DNF ()</v>
      </c>
      <c r="N181" s="59" t="str">
        <f>IFERROR(VLOOKUP($A181,SortedDownload!$A$3:$BB$499,27,FALSE),"")</f>
        <v>00:06:00.6 (144)</v>
      </c>
      <c r="O181" s="59" t="str">
        <f>IFERROR(VLOOKUP($A181,SortedDownload!$A$3:$BB$499,28,FALSE),"")</f>
        <v>DNS/DNF ()</v>
      </c>
      <c r="P181" s="59" t="str">
        <f>IFERROR(VLOOKUP($A181,SortedDownload!$A$3:$BB$499,29,FALSE),"")</f>
        <v>DNS/DNF ()</v>
      </c>
      <c r="Q181" s="59" t="str">
        <f>IFERROR(VLOOKUP($A181,SortedDownload!$A$3:$BB$499,30,FALSE),"")</f>
        <v>DNS/DNF ()</v>
      </c>
      <c r="R181" s="62" t="str">
        <f>IFERROR(TEXT(VLOOKUP($A181,SortedDownload!$A$3:$Z$499,14,FALSE),"[hh]:mm:ss.000"),"")</f>
        <v>00:13:25.752</v>
      </c>
      <c r="S181" s="83" t="str">
        <f t="shared" si="8"/>
        <v>00:00</v>
      </c>
      <c r="T181" s="83" t="str">
        <f t="shared" si="6"/>
        <v>N/A</v>
      </c>
      <c r="U181" s="9" t="str">
        <f t="shared" si="7"/>
        <v/>
      </c>
      <c r="V181" s="20" t="str">
        <f>IFERROR(IF(VLOOKUP(H181,AgeCategories!$D$3:$J$32,7,FALSE)=I181,"","DNF"),"")</f>
        <v/>
      </c>
      <c r="W181" s="9"/>
      <c r="X181" s="9"/>
    </row>
    <row r="182" spans="1:24">
      <c r="A182" s="53">
        <f>IF(SortedDownload!A182 &lt; 1,"",SortedDownload!A182)</f>
        <v>223</v>
      </c>
      <c r="B182" s="55">
        <f>IF(V182&lt;&gt;"","DNF",COUNTIF($V$3:V182,V182))</f>
        <v>169</v>
      </c>
      <c r="C182" s="54">
        <f>IF(OR(B182="DNF",H182=""),"DNF",COUNTIF($H$3:H182,H182))</f>
        <v>4</v>
      </c>
      <c r="D182" s="90" t="str">
        <f>IFERROR(VLOOKUP($A182,EntryList!$A$3:$N$596,2,FALSE),"")</f>
        <v>Megan Van Der Helm</v>
      </c>
      <c r="E182" s="54">
        <f>IFERROR(VLOOKUP($A182,EntryList!$A$3:$V$596,19,FALSE),"")</f>
        <v>0</v>
      </c>
      <c r="F182" s="176">
        <f>IFERROR(VLOOKUP($A182,EntryList!$A$3:$V$596,18,FALSE),"")</f>
        <v>0</v>
      </c>
      <c r="G182" s="90" t="str">
        <f>IFERROR(VLOOKUP($A182,EntryList!$A$3:$N$596,6,FALSE),"")</f>
        <v>F</v>
      </c>
      <c r="H182" s="90" t="str">
        <f>IFERROR(VLOOKUP($A182,EntryList!$A$3:$N$596,7,FALSE),"")</f>
        <v>Lite F</v>
      </c>
      <c r="I182" s="54">
        <f>IFERROR(VLOOKUP($A182,SortedDownload!$A$3:$Z678,4,FALSE),"")</f>
        <v>3</v>
      </c>
      <c r="J182" s="59" t="str">
        <f>IFERROR(VLOOKUP($A182,SortedDownload!$A$3:$BB$499,23,FALSE),"")</f>
        <v>DNS/DNF ()</v>
      </c>
      <c r="K182" s="59" t="str">
        <f>IFERROR(VLOOKUP($A182,SortedDownload!$A$3:$BB$499,24,FALSE),"")</f>
        <v>00:04:40.3 (170)</v>
      </c>
      <c r="L182" s="59" t="str">
        <f>IFERROR(VLOOKUP($A182,SortedDownload!$A$3:$BB$499,25,FALSE),"")</f>
        <v>00:02:39.4 (145)</v>
      </c>
      <c r="M182" s="59" t="str">
        <f>IFERROR(VLOOKUP($A182,SortedDownload!$A$3:$BB$499,26,FALSE),"")</f>
        <v>DNS/DNF ()</v>
      </c>
      <c r="N182" s="59" t="str">
        <f>IFERROR(VLOOKUP($A182,SortedDownload!$A$3:$BB$499,27,FALSE),"")</f>
        <v>00:06:07.7 (155)</v>
      </c>
      <c r="O182" s="59" t="str">
        <f>IFERROR(VLOOKUP($A182,SortedDownload!$A$3:$BB$499,28,FALSE),"")</f>
        <v>DNS/DNF ()</v>
      </c>
      <c r="P182" s="59" t="str">
        <f>IFERROR(VLOOKUP($A182,SortedDownload!$A$3:$BB$499,29,FALSE),"")</f>
        <v>DNS/DNF ()</v>
      </c>
      <c r="Q182" s="59" t="str">
        <f>IFERROR(VLOOKUP($A182,SortedDownload!$A$3:$BB$499,30,FALSE),"")</f>
        <v>DNS/DNF ()</v>
      </c>
      <c r="R182" s="62" t="str">
        <f>IFERROR(TEXT(VLOOKUP($A182,SortedDownload!$A$3:$Z$499,14,FALSE),"[hh]:mm:ss.000"),"")</f>
        <v>00:13:27.391</v>
      </c>
      <c r="S182" s="83" t="str">
        <f t="shared" si="8"/>
        <v>00:02</v>
      </c>
      <c r="T182" s="83" t="str">
        <f t="shared" si="6"/>
        <v>N/A</v>
      </c>
      <c r="U182" s="9" t="str">
        <f t="shared" si="7"/>
        <v/>
      </c>
      <c r="V182" s="20" t="str">
        <f>IFERROR(IF(VLOOKUP(H182,AgeCategories!$D$3:$J$32,7,FALSE)=I182,"","DNF"),"")</f>
        <v/>
      </c>
      <c r="W182" s="9"/>
      <c r="X182" s="9"/>
    </row>
    <row r="183" spans="1:24">
      <c r="A183" s="53">
        <f>IF(SortedDownload!A183 &lt; 1,"",SortedDownload!A183)</f>
        <v>34</v>
      </c>
      <c r="B183" s="55">
        <f>IF(V183&lt;&gt;"","DNF",COUNTIF($V$3:V183,V183))</f>
        <v>170</v>
      </c>
      <c r="C183" s="54">
        <f>IF(OR(B183="DNF",H183=""),"DNF",COUNTIF($H$3:H183,H183))</f>
        <v>3</v>
      </c>
      <c r="D183" s="90" t="str">
        <f>IFERROR(VLOOKUP($A183,EntryList!$A$3:$N$596,2,FALSE),"")</f>
        <v>Luc Riley Rossouw</v>
      </c>
      <c r="E183" s="54">
        <f>IFERROR(VLOOKUP($A183,EntryList!$A$3:$V$596,19,FALSE),"")</f>
        <v>0</v>
      </c>
      <c r="F183" s="176">
        <f>IFERROR(VLOOKUP($A183,EntryList!$A$3:$V$596,18,FALSE),"")</f>
        <v>0</v>
      </c>
      <c r="G183" s="90" t="str">
        <f>IFERROR(VLOOKUP($A183,EntryList!$A$3:$N$596,6,FALSE),"")</f>
        <v>M</v>
      </c>
      <c r="H183" s="90" t="str">
        <f>IFERROR(VLOOKUP($A183,EntryList!$A$3:$N$596,7,FALSE),"")</f>
        <v>Sprog Boys</v>
      </c>
      <c r="I183" s="54">
        <f>IFERROR(VLOOKUP($A183,SortedDownload!$A$3:$Z679,4,FALSE),"")</f>
        <v>3</v>
      </c>
      <c r="J183" s="59" t="str">
        <f>IFERROR(VLOOKUP($A183,SortedDownload!$A$3:$BB$499,23,FALSE),"")</f>
        <v>DNS/DNF ()</v>
      </c>
      <c r="K183" s="59" t="str">
        <f>IFERROR(VLOOKUP($A183,SortedDownload!$A$3:$BB$499,24,FALSE),"")</f>
        <v>00:04:40.7 (173)</v>
      </c>
      <c r="L183" s="59" t="str">
        <f>IFERROR(VLOOKUP($A183,SortedDownload!$A$3:$BB$499,25,FALSE),"")</f>
        <v>00:02:36.1 (136)</v>
      </c>
      <c r="M183" s="59" t="str">
        <f>IFERROR(VLOOKUP($A183,SortedDownload!$A$3:$BB$499,26,FALSE),"")</f>
        <v>DNS/DNF ()</v>
      </c>
      <c r="N183" s="59" t="str">
        <f>IFERROR(VLOOKUP($A183,SortedDownload!$A$3:$BB$499,27,FALSE),"")</f>
        <v>00:06:11.9 (165)</v>
      </c>
      <c r="O183" s="59" t="str">
        <f>IFERROR(VLOOKUP($A183,SortedDownload!$A$3:$BB$499,28,FALSE),"")</f>
        <v>DNS/DNF ()</v>
      </c>
      <c r="P183" s="59" t="str">
        <f>IFERROR(VLOOKUP($A183,SortedDownload!$A$3:$BB$499,29,FALSE),"")</f>
        <v>DNS/DNF ()</v>
      </c>
      <c r="Q183" s="59" t="str">
        <f>IFERROR(VLOOKUP($A183,SortedDownload!$A$3:$BB$499,30,FALSE),"")</f>
        <v>DNS/DNF ()</v>
      </c>
      <c r="R183" s="62" t="str">
        <f>IFERROR(TEXT(VLOOKUP($A183,SortedDownload!$A$3:$Z$499,14,FALSE),"[hh]:mm:ss.000"),"")</f>
        <v>00:13:28.711</v>
      </c>
      <c r="S183" s="83" t="str">
        <f t="shared" si="8"/>
        <v>00:01</v>
      </c>
      <c r="T183" s="83" t="str">
        <f t="shared" si="6"/>
        <v>N/A</v>
      </c>
      <c r="U183" s="9" t="str">
        <f t="shared" si="7"/>
        <v/>
      </c>
      <c r="V183" s="20" t="str">
        <f>IFERROR(IF(VLOOKUP(H183,AgeCategories!$D$3:$J$32,7,FALSE)=I183,"","DNF"),"")</f>
        <v/>
      </c>
      <c r="W183" s="9"/>
      <c r="X183" s="9"/>
    </row>
    <row r="184" spans="1:24">
      <c r="A184" s="53">
        <f>IF(SortedDownload!A184 &lt; 1,"",SortedDownload!A184)</f>
        <v>164</v>
      </c>
      <c r="B184" s="55">
        <f>IF(V184&lt;&gt;"","DNF",COUNTIF($V$3:V184,V184))</f>
        <v>171</v>
      </c>
      <c r="C184" s="54">
        <f>IF(OR(B184="DNF",H184=""),"DNF",COUNTIF($H$3:H184,H184))</f>
        <v>22</v>
      </c>
      <c r="D184" s="90" t="str">
        <f>IFERROR(VLOOKUP($A184,EntryList!$A$3:$N$596,2,FALSE),"")</f>
        <v>Joffre Venter</v>
      </c>
      <c r="E184" s="54">
        <f>IFERROR(VLOOKUP($A184,EntryList!$A$3:$V$596,19,FALSE),"")</f>
        <v>0</v>
      </c>
      <c r="F184" s="176">
        <f>IFERROR(VLOOKUP($A184,EntryList!$A$3:$V$596,18,FALSE),"")</f>
        <v>0</v>
      </c>
      <c r="G184" s="90" t="str">
        <f>IFERROR(VLOOKUP($A184,EntryList!$A$3:$N$596,6,FALSE),"")</f>
        <v>M</v>
      </c>
      <c r="H184" s="90" t="str">
        <f>IFERROR(VLOOKUP($A184,EntryList!$A$3:$N$596,7,FALSE),"")</f>
        <v>Lite M</v>
      </c>
      <c r="I184" s="54">
        <f>IFERROR(VLOOKUP($A184,SortedDownload!$A$3:$Z680,4,FALSE),"")</f>
        <v>3</v>
      </c>
      <c r="J184" s="59" t="str">
        <f>IFERROR(VLOOKUP($A184,SortedDownload!$A$3:$BB$499,23,FALSE),"")</f>
        <v>DNS/DNF ()</v>
      </c>
      <c r="K184" s="59" t="str">
        <f>IFERROR(VLOOKUP($A184,SortedDownload!$A$3:$BB$499,24,FALSE),"")</f>
        <v>00:04:38.8 (165)</v>
      </c>
      <c r="L184" s="59" t="str">
        <f>IFERROR(VLOOKUP($A184,SortedDownload!$A$3:$BB$499,25,FALSE),"")</f>
        <v>00:02:55.0 (197)</v>
      </c>
      <c r="M184" s="59" t="str">
        <f>IFERROR(VLOOKUP($A184,SortedDownload!$A$3:$BB$499,26,FALSE),"")</f>
        <v>DNS/DNF ()</v>
      </c>
      <c r="N184" s="59" t="str">
        <f>IFERROR(VLOOKUP($A184,SortedDownload!$A$3:$BB$499,27,FALSE),"")</f>
        <v>00:05:59.4 (137)</v>
      </c>
      <c r="O184" s="59" t="str">
        <f>IFERROR(VLOOKUP($A184,SortedDownload!$A$3:$BB$499,28,FALSE),"")</f>
        <v>DNS/DNF ()</v>
      </c>
      <c r="P184" s="59" t="str">
        <f>IFERROR(VLOOKUP($A184,SortedDownload!$A$3:$BB$499,29,FALSE),"")</f>
        <v>DNS/DNF ()</v>
      </c>
      <c r="Q184" s="59" t="str">
        <f>IFERROR(VLOOKUP($A184,SortedDownload!$A$3:$BB$499,30,FALSE),"")</f>
        <v>DNS/DNF ()</v>
      </c>
      <c r="R184" s="62" t="str">
        <f>IFERROR(TEXT(VLOOKUP($A184,SortedDownload!$A$3:$Z$499,14,FALSE),"[hh]:mm:ss.000"),"")</f>
        <v>00:13:33.194</v>
      </c>
      <c r="S184" s="83" t="str">
        <f t="shared" si="8"/>
        <v>00:04</v>
      </c>
      <c r="T184" s="83" t="str">
        <f t="shared" si="6"/>
        <v>N/A</v>
      </c>
      <c r="U184" s="9" t="str">
        <f t="shared" si="7"/>
        <v/>
      </c>
      <c r="V184" s="20" t="str">
        <f>IFERROR(IF(VLOOKUP(H184,AgeCategories!$D$3:$J$32,7,FALSE)=I184,"","DNF"),"")</f>
        <v/>
      </c>
      <c r="W184" s="9"/>
      <c r="X184" s="9"/>
    </row>
    <row r="185" spans="1:24">
      <c r="A185" s="53">
        <f>IF(SortedDownload!A185 &lt; 1,"",SortedDownload!A185)</f>
        <v>67</v>
      </c>
      <c r="B185" s="55">
        <f>IF(V185&lt;&gt;"","DNF",COUNTIF($V$3:V185,V185))</f>
        <v>172</v>
      </c>
      <c r="C185" s="54">
        <f>IF(OR(B185="DNF",H185=""),"DNF",COUNTIF($H$3:H185,H185))</f>
        <v>23</v>
      </c>
      <c r="D185" s="90" t="str">
        <f>IFERROR(VLOOKUP($A185,EntryList!$A$3:$N$596,2,FALSE),"")</f>
        <v>Ebrahiem Van Der Schyff</v>
      </c>
      <c r="E185" s="54">
        <f>IFERROR(VLOOKUP($A185,EntryList!$A$3:$V$596,19,FALSE),"")</f>
        <v>0</v>
      </c>
      <c r="F185" s="176">
        <f>IFERROR(VLOOKUP($A185,EntryList!$A$3:$V$596,18,FALSE),"")</f>
        <v>0</v>
      </c>
      <c r="G185" s="90" t="str">
        <f>IFERROR(VLOOKUP($A185,EntryList!$A$3:$N$596,6,FALSE),"")</f>
        <v>M</v>
      </c>
      <c r="H185" s="90" t="str">
        <f>IFERROR(VLOOKUP($A185,EntryList!$A$3:$N$596,7,FALSE),"")</f>
        <v>Lite M</v>
      </c>
      <c r="I185" s="54">
        <f>IFERROR(VLOOKUP($A185,SortedDownload!$A$3:$Z681,4,FALSE),"")</f>
        <v>3</v>
      </c>
      <c r="J185" s="59" t="str">
        <f>IFERROR(VLOOKUP($A185,SortedDownload!$A$3:$BB$499,23,FALSE),"")</f>
        <v>DNS/DNF ()</v>
      </c>
      <c r="K185" s="59" t="str">
        <f>IFERROR(VLOOKUP($A185,SortedDownload!$A$3:$BB$499,24,FALSE),"")</f>
        <v>00:04:40.6 (172)</v>
      </c>
      <c r="L185" s="59" t="str">
        <f>IFERROR(VLOOKUP($A185,SortedDownload!$A$3:$BB$499,25,FALSE),"")</f>
        <v>00:02:51.2 (188)</v>
      </c>
      <c r="M185" s="59" t="str">
        <f>IFERROR(VLOOKUP($A185,SortedDownload!$A$3:$BB$499,26,FALSE),"")</f>
        <v>DNS/DNF ()</v>
      </c>
      <c r="N185" s="59" t="str">
        <f>IFERROR(VLOOKUP($A185,SortedDownload!$A$3:$BB$499,27,FALSE),"")</f>
        <v>00:06:04.3 (148)</v>
      </c>
      <c r="O185" s="59" t="str">
        <f>IFERROR(VLOOKUP($A185,SortedDownload!$A$3:$BB$499,28,FALSE),"")</f>
        <v>DNS/DNF ()</v>
      </c>
      <c r="P185" s="59" t="str">
        <f>IFERROR(VLOOKUP($A185,SortedDownload!$A$3:$BB$499,29,FALSE),"")</f>
        <v>DNS/DNF ()</v>
      </c>
      <c r="Q185" s="59" t="str">
        <f>IFERROR(VLOOKUP($A185,SortedDownload!$A$3:$BB$499,30,FALSE),"")</f>
        <v>DNS/DNF ()</v>
      </c>
      <c r="R185" s="62" t="str">
        <f>IFERROR(TEXT(VLOOKUP($A185,SortedDownload!$A$3:$Z$499,14,FALSE),"[hh]:mm:ss.000"),"")</f>
        <v>00:13:36.209</v>
      </c>
      <c r="S185" s="83" t="str">
        <f t="shared" si="8"/>
        <v>00:03</v>
      </c>
      <c r="T185" s="83" t="str">
        <f t="shared" si="6"/>
        <v>N/A</v>
      </c>
      <c r="U185" s="9" t="str">
        <f t="shared" si="7"/>
        <v/>
      </c>
      <c r="V185" s="20" t="str">
        <f>IFERROR(IF(VLOOKUP(H185,AgeCategories!$D$3:$J$32,7,FALSE)=I185,"","DNF"),"")</f>
        <v/>
      </c>
      <c r="W185" s="9"/>
      <c r="X185" s="9"/>
    </row>
    <row r="186" spans="1:24">
      <c r="A186" s="53">
        <f>IF(SortedDownload!A186 &lt; 1,"",SortedDownload!A186)</f>
        <v>251</v>
      </c>
      <c r="B186" s="55">
        <f>IF(V186&lt;&gt;"","DNF",COUNTIF($V$3:V186,V186))</f>
        <v>173</v>
      </c>
      <c r="C186" s="54">
        <f>IF(OR(B186="DNF",H186=""),"DNF",COUNTIF($H$3:H186,H186))</f>
        <v>5</v>
      </c>
      <c r="D186" s="90" t="str">
        <f>IFERROR(VLOOKUP($A186,EntryList!$A$3:$N$596,2,FALSE),"")</f>
        <v>Lineke Groenewald</v>
      </c>
      <c r="E186" s="54">
        <f>IFERROR(VLOOKUP($A186,EntryList!$A$3:$V$596,19,FALSE),"")</f>
        <v>0</v>
      </c>
      <c r="F186" s="176">
        <f>IFERROR(VLOOKUP($A186,EntryList!$A$3:$V$596,18,FALSE),"")</f>
        <v>0</v>
      </c>
      <c r="G186" s="90" t="str">
        <f>IFERROR(VLOOKUP($A186,EntryList!$A$3:$N$596,6,FALSE),"")</f>
        <v>F</v>
      </c>
      <c r="H186" s="90" t="str">
        <f>IFERROR(VLOOKUP($A186,EntryList!$A$3:$N$596,7,FALSE),"")</f>
        <v>Lite F</v>
      </c>
      <c r="I186" s="54">
        <f>IFERROR(VLOOKUP($A186,SortedDownload!$A$3:$Z682,4,FALSE),"")</f>
        <v>3</v>
      </c>
      <c r="J186" s="59" t="str">
        <f>IFERROR(VLOOKUP($A186,SortedDownload!$A$3:$BB$499,23,FALSE),"")</f>
        <v>DNS/DNF ()</v>
      </c>
      <c r="K186" s="59" t="str">
        <f>IFERROR(VLOOKUP($A186,SortedDownload!$A$3:$BB$499,24,FALSE),"")</f>
        <v>00:04:50.2 (189)</v>
      </c>
      <c r="L186" s="59" t="str">
        <f>IFERROR(VLOOKUP($A186,SortedDownload!$A$3:$BB$499,25,FALSE),"")</f>
        <v>00:02:43.5 (169)</v>
      </c>
      <c r="M186" s="59" t="str">
        <f>IFERROR(VLOOKUP($A186,SortedDownload!$A$3:$BB$499,26,FALSE),"")</f>
        <v>DNS/DNF ()</v>
      </c>
      <c r="N186" s="59" t="str">
        <f>IFERROR(VLOOKUP($A186,SortedDownload!$A$3:$BB$499,27,FALSE),"")</f>
        <v>00:06:06.3 (154)</v>
      </c>
      <c r="O186" s="59" t="str">
        <f>IFERROR(VLOOKUP($A186,SortedDownload!$A$3:$BB$499,28,FALSE),"")</f>
        <v>DNS/DNF ()</v>
      </c>
      <c r="P186" s="59" t="str">
        <f>IFERROR(VLOOKUP($A186,SortedDownload!$A$3:$BB$499,29,FALSE),"")</f>
        <v>DNS/DNF ()</v>
      </c>
      <c r="Q186" s="59" t="str">
        <f>IFERROR(VLOOKUP($A186,SortedDownload!$A$3:$BB$499,30,FALSE),"")</f>
        <v>DNS/DNF ()</v>
      </c>
      <c r="R186" s="62" t="str">
        <f>IFERROR(TEXT(VLOOKUP($A186,SortedDownload!$A$3:$Z$499,14,FALSE),"[hh]:mm:ss.000"),"")</f>
        <v>00:13:39.982</v>
      </c>
      <c r="S186" s="83" t="str">
        <f t="shared" si="8"/>
        <v>00:04</v>
      </c>
      <c r="T186" s="83" t="str">
        <f t="shared" si="6"/>
        <v>N/A</v>
      </c>
      <c r="U186" s="9" t="str">
        <f t="shared" si="7"/>
        <v/>
      </c>
      <c r="V186" s="20" t="str">
        <f>IFERROR(IF(VLOOKUP(H186,AgeCategories!$D$3:$J$32,7,FALSE)=I186,"","DNF"),"")</f>
        <v/>
      </c>
      <c r="W186" s="9"/>
      <c r="X186" s="9"/>
    </row>
    <row r="187" spans="1:24">
      <c r="A187" s="53">
        <f>IF(SortedDownload!A187 &lt; 1,"",SortedDownload!A187)</f>
        <v>5</v>
      </c>
      <c r="B187" s="55">
        <f>IF(V187&lt;&gt;"","DNF",COUNTIF($V$3:V187,V187))</f>
        <v>174</v>
      </c>
      <c r="C187" s="54">
        <f>IF(OR(B187="DNF",H187=""),"DNF",COUNTIF($H$3:H187,H187))</f>
        <v>5</v>
      </c>
      <c r="D187" s="90" t="str">
        <f>IFERROR(VLOOKUP($A187,EntryList!$A$3:$N$596,2,FALSE),"")</f>
        <v>Charl Du Plessis</v>
      </c>
      <c r="E187" s="54">
        <f>IFERROR(VLOOKUP($A187,EntryList!$A$3:$V$596,19,FALSE),"")</f>
        <v>0</v>
      </c>
      <c r="F187" s="176">
        <f>IFERROR(VLOOKUP($A187,EntryList!$A$3:$V$596,18,FALSE),"")</f>
        <v>0</v>
      </c>
      <c r="G187" s="90" t="str">
        <f>IFERROR(VLOOKUP($A187,EntryList!$A$3:$N$596,6,FALSE),"")</f>
        <v>M</v>
      </c>
      <c r="H187" s="90" t="str">
        <f>IFERROR(VLOOKUP($A187,EntryList!$A$3:$N$596,7,FALSE),"")</f>
        <v>E-Bike Lite M</v>
      </c>
      <c r="I187" s="54">
        <f>IFERROR(VLOOKUP($A187,SortedDownload!$A$3:$Z683,4,FALSE),"")</f>
        <v>3</v>
      </c>
      <c r="J187" s="59" t="str">
        <f>IFERROR(VLOOKUP($A187,SortedDownload!$A$3:$BB$499,23,FALSE),"")</f>
        <v>DNS/DNF ()</v>
      </c>
      <c r="K187" s="59" t="str">
        <f>IFERROR(VLOOKUP($A187,SortedDownload!$A$3:$BB$499,24,FALSE),"")</f>
        <v>00:04:37.7 (162)</v>
      </c>
      <c r="L187" s="59" t="str">
        <f>IFERROR(VLOOKUP($A187,SortedDownload!$A$3:$BB$499,25,FALSE),"")</f>
        <v>00:02:48.9 (184)</v>
      </c>
      <c r="M187" s="59" t="str">
        <f>IFERROR(VLOOKUP($A187,SortedDownload!$A$3:$BB$499,26,FALSE),"")</f>
        <v>DNS/DNF ()</v>
      </c>
      <c r="N187" s="59" t="str">
        <f>IFERROR(VLOOKUP($A187,SortedDownload!$A$3:$BB$499,27,FALSE),"")</f>
        <v>00:06:14.9 (168)</v>
      </c>
      <c r="O187" s="59" t="str">
        <f>IFERROR(VLOOKUP($A187,SortedDownload!$A$3:$BB$499,28,FALSE),"")</f>
        <v>DNS/DNF ()</v>
      </c>
      <c r="P187" s="59" t="str">
        <f>IFERROR(VLOOKUP($A187,SortedDownload!$A$3:$BB$499,29,FALSE),"")</f>
        <v>DNS/DNF ()</v>
      </c>
      <c r="Q187" s="59" t="str">
        <f>IFERROR(VLOOKUP($A187,SortedDownload!$A$3:$BB$499,30,FALSE),"")</f>
        <v>DNS/DNF ()</v>
      </c>
      <c r="R187" s="62" t="str">
        <f>IFERROR(TEXT(VLOOKUP($A187,SortedDownload!$A$3:$Z$499,14,FALSE),"[hh]:mm:ss.000"),"")</f>
        <v>00:13:41.574</v>
      </c>
      <c r="S187" s="83" t="str">
        <f t="shared" si="8"/>
        <v>00:02</v>
      </c>
      <c r="T187" s="83" t="str">
        <f t="shared" si="6"/>
        <v>N/A</v>
      </c>
      <c r="U187" s="9" t="str">
        <f t="shared" si="7"/>
        <v/>
      </c>
      <c r="V187" s="20" t="str">
        <f>IFERROR(IF(VLOOKUP(H187,AgeCategories!$D$3:$J$32,7,FALSE)=I187,"","DNF"),"")</f>
        <v/>
      </c>
      <c r="W187" s="9"/>
      <c r="X187" s="9"/>
    </row>
    <row r="188" spans="1:24">
      <c r="A188" s="53">
        <f>IF(SortedDownload!A188 &lt; 1,"",SortedDownload!A188)</f>
        <v>194</v>
      </c>
      <c r="B188" s="55">
        <f>IF(V188&lt;&gt;"","DNF",COUNTIF($V$3:V188,V188))</f>
        <v>175</v>
      </c>
      <c r="C188" s="54">
        <f>IF(OR(B188="DNF",H188=""),"DNF",COUNTIF($H$3:H188,H188))</f>
        <v>9</v>
      </c>
      <c r="D188" s="90" t="str">
        <f>IFERROR(VLOOKUP($A188,EntryList!$A$3:$N$596,2,FALSE),"")</f>
        <v>Hanru Van Heyningen</v>
      </c>
      <c r="E188" s="54">
        <f>IFERROR(VLOOKUP($A188,EntryList!$A$3:$V$596,19,FALSE),"")</f>
        <v>0</v>
      </c>
      <c r="F188" s="176">
        <f>IFERROR(VLOOKUP($A188,EntryList!$A$3:$V$596,18,FALSE),"")</f>
        <v>0</v>
      </c>
      <c r="G188" s="90" t="str">
        <f>IFERROR(VLOOKUP($A188,EntryList!$A$3:$N$596,6,FALSE),"")</f>
        <v>M</v>
      </c>
      <c r="H188" s="90" t="str">
        <f>IFERROR(VLOOKUP($A188,EntryList!$A$3:$N$596,7,FALSE),"")</f>
        <v>Sub Junior Boys</v>
      </c>
      <c r="I188" s="54">
        <f>IFERROR(VLOOKUP($A188,SortedDownload!$A$3:$Z684,4,FALSE),"")</f>
        <v>3</v>
      </c>
      <c r="J188" s="59" t="str">
        <f>IFERROR(VLOOKUP($A188,SortedDownload!$A$3:$BB$499,23,FALSE),"")</f>
        <v>DNS/DNF ()</v>
      </c>
      <c r="K188" s="59" t="str">
        <f>IFERROR(VLOOKUP($A188,SortedDownload!$A$3:$BB$499,24,FALSE),"")</f>
        <v>00:04:54.0 (194)</v>
      </c>
      <c r="L188" s="59" t="str">
        <f>IFERROR(VLOOKUP($A188,SortedDownload!$A$3:$BB$499,25,FALSE),"")</f>
        <v>00:02:42.0 (166)</v>
      </c>
      <c r="M188" s="59" t="str">
        <f>IFERROR(VLOOKUP($A188,SortedDownload!$A$3:$BB$499,26,FALSE),"")</f>
        <v>DNS/DNF ()</v>
      </c>
      <c r="N188" s="59" t="str">
        <f>IFERROR(VLOOKUP($A188,SortedDownload!$A$3:$BB$499,27,FALSE),"")</f>
        <v>00:06:11.0 (164)</v>
      </c>
      <c r="O188" s="59" t="str">
        <f>IFERROR(VLOOKUP($A188,SortedDownload!$A$3:$BB$499,28,FALSE),"")</f>
        <v>DNS/DNF ()</v>
      </c>
      <c r="P188" s="59" t="str">
        <f>IFERROR(VLOOKUP($A188,SortedDownload!$A$3:$BB$499,29,FALSE),"")</f>
        <v>DNS/DNF ()</v>
      </c>
      <c r="Q188" s="59" t="str">
        <f>IFERROR(VLOOKUP($A188,SortedDownload!$A$3:$BB$499,30,FALSE),"")</f>
        <v>DNS/DNF ()</v>
      </c>
      <c r="R188" s="62" t="str">
        <f>IFERROR(TEXT(VLOOKUP($A188,SortedDownload!$A$3:$Z$499,14,FALSE),"[hh]:mm:ss.000"),"")</f>
        <v>00:13:47.057</v>
      </c>
      <c r="S188" s="83" t="str">
        <f t="shared" si="8"/>
        <v>00:05</v>
      </c>
      <c r="T188" s="83" t="str">
        <f t="shared" si="6"/>
        <v>N/A</v>
      </c>
      <c r="U188" s="9" t="str">
        <f t="shared" si="7"/>
        <v/>
      </c>
      <c r="V188" s="20" t="str">
        <f>IFERROR(IF(VLOOKUP(H188,AgeCategories!$D$3:$J$32,7,FALSE)=I188,"","DNF"),"")</f>
        <v/>
      </c>
      <c r="W188" s="9"/>
      <c r="X188" s="9"/>
    </row>
    <row r="189" spans="1:24">
      <c r="A189" s="53">
        <f>IF(SortedDownload!A189 &lt; 1,"",SortedDownload!A189)</f>
        <v>207</v>
      </c>
      <c r="B189" s="55" t="str">
        <f>IF(V189&lt;&gt;"","DNF",COUNTIF($V$3:V189,V189))</f>
        <v>DNF</v>
      </c>
      <c r="C189" s="54" t="str">
        <f>IF(OR(B189="DNF",H189=""),"DNF",COUNTIF($H$3:H189,H189))</f>
        <v>DNF</v>
      </c>
      <c r="D189" s="90" t="str">
        <f>IFERROR(VLOOKUP($A189,EntryList!$A$3:$N$596,2,FALSE),"")</f>
        <v>Roxy Baynes</v>
      </c>
      <c r="E189" s="54">
        <f>IFERROR(VLOOKUP($A189,EntryList!$A$3:$V$596,19,FALSE),"")</f>
        <v>0</v>
      </c>
      <c r="F189" s="176">
        <f>IFERROR(VLOOKUP($A189,EntryList!$A$3:$V$596,18,FALSE),"")</f>
        <v>0</v>
      </c>
      <c r="G189" s="90" t="str">
        <f>IFERROR(VLOOKUP($A189,EntryList!$A$3:$N$596,6,FALSE),"")</f>
        <v>F</v>
      </c>
      <c r="H189" s="90" t="str">
        <f>IFERROR(VLOOKUP($A189,EntryList!$A$3:$N$596,7,FALSE),"")</f>
        <v>Master Women</v>
      </c>
      <c r="I189" s="54">
        <f>IFERROR(VLOOKUP($A189,SortedDownload!$A$3:$Z685,4,FALSE),"")</f>
        <v>3</v>
      </c>
      <c r="J189" s="59" t="str">
        <f>IFERROR(VLOOKUP($A189,SortedDownload!$A$3:$BB$499,23,FALSE),"")</f>
        <v>DNS/DNF ()</v>
      </c>
      <c r="K189" s="59" t="str">
        <f>IFERROR(VLOOKUP($A189,SortedDownload!$A$3:$BB$499,24,FALSE),"")</f>
        <v>00:04:37.7 (161)</v>
      </c>
      <c r="L189" s="59" t="str">
        <f>IFERROR(VLOOKUP($A189,SortedDownload!$A$3:$BB$499,25,FALSE),"")</f>
        <v>00:02:40.1 (151)</v>
      </c>
      <c r="M189" s="59" t="str">
        <f>IFERROR(VLOOKUP($A189,SortedDownload!$A$3:$BB$499,26,FALSE),"")</f>
        <v>DNS/DNF ()</v>
      </c>
      <c r="N189" s="59" t="str">
        <f>IFERROR(VLOOKUP($A189,SortedDownload!$A$3:$BB$499,27,FALSE),"")</f>
        <v>00:06:29.4 (186)</v>
      </c>
      <c r="O189" s="59" t="str">
        <f>IFERROR(VLOOKUP($A189,SortedDownload!$A$3:$BB$499,28,FALSE),"")</f>
        <v>DNS/DNF ()</v>
      </c>
      <c r="P189" s="59" t="str">
        <f>IFERROR(VLOOKUP($A189,SortedDownload!$A$3:$BB$499,29,FALSE),"")</f>
        <v>DNS/DNF ()</v>
      </c>
      <c r="Q189" s="59" t="str">
        <f>IFERROR(VLOOKUP($A189,SortedDownload!$A$3:$BB$499,30,FALSE),"")</f>
        <v>DNS/DNF ()</v>
      </c>
      <c r="R189" s="62" t="str">
        <f>IFERROR(TEXT(VLOOKUP($A189,SortedDownload!$A$3:$Z$499,14,FALSE),"[hh]:mm:ss.000"),"")</f>
        <v>00:13:47.143</v>
      </c>
      <c r="S189" s="83" t="str">
        <f t="shared" si="8"/>
        <v>00:00</v>
      </c>
      <c r="T189" s="83" t="str">
        <f t="shared" si="6"/>
        <v>N/A</v>
      </c>
      <c r="U189" s="9" t="str">
        <f t="shared" si="7"/>
        <v/>
      </c>
      <c r="V189" s="20" t="str">
        <f>IFERROR(IF(VLOOKUP(H189,AgeCategories!$D$3:$J$32,7,FALSE)=I189,"","DNF"),"")</f>
        <v>DNF</v>
      </c>
      <c r="W189" s="9"/>
      <c r="X189" s="9"/>
    </row>
    <row r="190" spans="1:24">
      <c r="A190" s="53">
        <f>IF(SortedDownload!A190 &lt; 1,"",SortedDownload!A190)</f>
        <v>268</v>
      </c>
      <c r="B190" s="55" t="str">
        <f>IF(V190&lt;&gt;"","DNF",COUNTIF($V$3:V190,V190))</f>
        <v>DNF</v>
      </c>
      <c r="C190" s="54" t="str">
        <f>IF(OR(B190="DNF",H190=""),"DNF",COUNTIF($H$3:H190,H190))</f>
        <v>DNF</v>
      </c>
      <c r="D190" s="90" t="str">
        <f>IFERROR(VLOOKUP($A190,EntryList!$A$3:$N$596,2,FALSE),"")</f>
        <v>Boetie Van Niekerk</v>
      </c>
      <c r="E190" s="54">
        <f>IFERROR(VLOOKUP($A190,EntryList!$A$3:$V$596,19,FALSE),"")</f>
        <v>0</v>
      </c>
      <c r="F190" s="176">
        <f>IFERROR(VLOOKUP($A190,EntryList!$A$3:$V$596,18,FALSE),"")</f>
        <v>0</v>
      </c>
      <c r="G190" s="90" t="str">
        <f>IFERROR(VLOOKUP($A190,EntryList!$A$3:$N$596,6,FALSE),"")</f>
        <v>M</v>
      </c>
      <c r="H190" s="90" t="str">
        <f>IFERROR(VLOOKUP($A190,EntryList!$A$3:$N$596,7,FALSE),"")</f>
        <v>Master Men</v>
      </c>
      <c r="I190" s="54">
        <f>IFERROR(VLOOKUP($A190,SortedDownload!$A$3:$Z686,4,FALSE),"")</f>
        <v>3</v>
      </c>
      <c r="J190" s="59" t="str">
        <f>IFERROR(VLOOKUP($A190,SortedDownload!$A$3:$BB$499,23,FALSE),"")</f>
        <v>DNS/DNF ()</v>
      </c>
      <c r="K190" s="59" t="str">
        <f>IFERROR(VLOOKUP($A190,SortedDownload!$A$3:$BB$499,24,FALSE),"")</f>
        <v>00:04:44.0 (177)</v>
      </c>
      <c r="L190" s="59" t="str">
        <f>IFERROR(VLOOKUP($A190,SortedDownload!$A$3:$BB$499,25,FALSE),"")</f>
        <v>00:02:46.0 (177)</v>
      </c>
      <c r="M190" s="59" t="str">
        <f>IFERROR(VLOOKUP($A190,SortedDownload!$A$3:$BB$499,26,FALSE),"")</f>
        <v>DNS/DNF ()</v>
      </c>
      <c r="N190" s="59" t="str">
        <f>IFERROR(VLOOKUP($A190,SortedDownload!$A$3:$BB$499,27,FALSE),"")</f>
        <v>00:06:22.0 (177)</v>
      </c>
      <c r="O190" s="59" t="str">
        <f>IFERROR(VLOOKUP($A190,SortedDownload!$A$3:$BB$499,28,FALSE),"")</f>
        <v>DNS/DNF ()</v>
      </c>
      <c r="P190" s="59" t="str">
        <f>IFERROR(VLOOKUP($A190,SortedDownload!$A$3:$BB$499,29,FALSE),"")</f>
        <v>DNS/DNF ()</v>
      </c>
      <c r="Q190" s="59" t="str">
        <f>IFERROR(VLOOKUP($A190,SortedDownload!$A$3:$BB$499,30,FALSE),"")</f>
        <v>DNS/DNF ()</v>
      </c>
      <c r="R190" s="62" t="str">
        <f>IFERROR(TEXT(VLOOKUP($A190,SortedDownload!$A$3:$Z$499,14,FALSE),"[hh]:mm:ss.000"),"")</f>
        <v>00:13:51.918</v>
      </c>
      <c r="S190" s="83" t="str">
        <f t="shared" si="8"/>
        <v>00:05</v>
      </c>
      <c r="T190" s="83" t="str">
        <f t="shared" si="6"/>
        <v>N/A</v>
      </c>
      <c r="U190" s="9" t="str">
        <f t="shared" si="7"/>
        <v/>
      </c>
      <c r="V190" s="20" t="str">
        <f>IFERROR(IF(VLOOKUP(H190,AgeCategories!$D$3:$J$32,7,FALSE)=I190,"","DNF"),"")</f>
        <v>DNF</v>
      </c>
      <c r="W190" s="9"/>
      <c r="X190" s="9"/>
    </row>
    <row r="191" spans="1:24">
      <c r="A191" s="53">
        <f>IF(SortedDownload!A191 &lt; 1,"",SortedDownload!A191)</f>
        <v>254</v>
      </c>
      <c r="B191" s="55">
        <f>IF(V191&lt;&gt;"","DNF",COUNTIF($V$3:V191,V191))</f>
        <v>176</v>
      </c>
      <c r="C191" s="54">
        <f>IF(OR(B191="DNF",H191=""),"DNF",COUNTIF($H$3:H191,H191))</f>
        <v>24</v>
      </c>
      <c r="D191" s="90" t="str">
        <f>IFERROR(VLOOKUP($A191,EntryList!$A$3:$N$596,2,FALSE),"")</f>
        <v>Andrew Hunter</v>
      </c>
      <c r="E191" s="54">
        <f>IFERROR(VLOOKUP($A191,EntryList!$A$3:$V$596,19,FALSE),"")</f>
        <v>0</v>
      </c>
      <c r="F191" s="176">
        <f>IFERROR(VLOOKUP($A191,EntryList!$A$3:$V$596,18,FALSE),"")</f>
        <v>0</v>
      </c>
      <c r="G191" s="90" t="str">
        <f>IFERROR(VLOOKUP($A191,EntryList!$A$3:$N$596,6,FALSE),"")</f>
        <v>M</v>
      </c>
      <c r="H191" s="90" t="str">
        <f>IFERROR(VLOOKUP($A191,EntryList!$A$3:$N$596,7,FALSE),"")</f>
        <v>Lite M</v>
      </c>
      <c r="I191" s="54">
        <f>IFERROR(VLOOKUP($A191,SortedDownload!$A$3:$Z687,4,FALSE),"")</f>
        <v>3</v>
      </c>
      <c r="J191" s="59" t="str">
        <f>IFERROR(VLOOKUP($A191,SortedDownload!$A$3:$BB$499,23,FALSE),"")</f>
        <v>DNS/DNF ()</v>
      </c>
      <c r="K191" s="59" t="str">
        <f>IFERROR(VLOOKUP($A191,SortedDownload!$A$3:$BB$499,24,FALSE),"")</f>
        <v>00:04:49.0 (187)</v>
      </c>
      <c r="L191" s="59" t="str">
        <f>IFERROR(VLOOKUP($A191,SortedDownload!$A$3:$BB$499,25,FALSE),"")</f>
        <v>00:02:51.2 (189)</v>
      </c>
      <c r="M191" s="59" t="str">
        <f>IFERROR(VLOOKUP($A191,SortedDownload!$A$3:$BB$499,26,FALSE),"")</f>
        <v>DNS/DNF ()</v>
      </c>
      <c r="N191" s="59" t="str">
        <f>IFERROR(VLOOKUP($A191,SortedDownload!$A$3:$BB$499,27,FALSE),"")</f>
        <v>00:06:14.1 (167)</v>
      </c>
      <c r="O191" s="59" t="str">
        <f>IFERROR(VLOOKUP($A191,SortedDownload!$A$3:$BB$499,28,FALSE),"")</f>
        <v>DNS/DNF ()</v>
      </c>
      <c r="P191" s="59" t="str">
        <f>IFERROR(VLOOKUP($A191,SortedDownload!$A$3:$BB$499,29,FALSE),"")</f>
        <v>DNS/DNF ()</v>
      </c>
      <c r="Q191" s="59" t="str">
        <f>IFERROR(VLOOKUP($A191,SortedDownload!$A$3:$BB$499,30,FALSE),"")</f>
        <v>DNS/DNF ()</v>
      </c>
      <c r="R191" s="62" t="str">
        <f>IFERROR(TEXT(VLOOKUP($A191,SortedDownload!$A$3:$Z$499,14,FALSE),"[hh]:mm:ss.000"),"")</f>
        <v>00:13:54.295</v>
      </c>
      <c r="S191" s="83" t="str">
        <f t="shared" si="8"/>
        <v>00:02</v>
      </c>
      <c r="T191" s="83" t="str">
        <f t="shared" si="6"/>
        <v>N/A</v>
      </c>
      <c r="U191" s="9" t="str">
        <f t="shared" si="7"/>
        <v/>
      </c>
      <c r="V191" s="20" t="str">
        <f>IFERROR(IF(VLOOKUP(H191,AgeCategories!$D$3:$J$32,7,FALSE)=I191,"","DNF"),"")</f>
        <v/>
      </c>
      <c r="W191" s="9"/>
      <c r="X191" s="9"/>
    </row>
    <row r="192" spans="1:24">
      <c r="A192" s="53">
        <f>IF(SortedDownload!A192 &lt; 1,"",SortedDownload!A192)</f>
        <v>38</v>
      </c>
      <c r="B192" s="55">
        <f>IF(V192&lt;&gt;"","DNF",COUNTIF($V$3:V192,V192))</f>
        <v>177</v>
      </c>
      <c r="C192" s="54">
        <f>IF(OR(B192="DNF",H192=""),"DNF",COUNTIF($H$3:H192,H192))</f>
        <v>1</v>
      </c>
      <c r="D192" s="90" t="str">
        <f>IFERROR(VLOOKUP($A192,EntryList!$A$3:$N$596,2,FALSE),"")</f>
        <v>James Marais</v>
      </c>
      <c r="E192" s="54">
        <f>IFERROR(VLOOKUP($A192,EntryList!$A$3:$V$596,19,FALSE),"")</f>
        <v>0</v>
      </c>
      <c r="F192" s="176">
        <f>IFERROR(VLOOKUP($A192,EntryList!$A$3:$V$596,18,FALSE),"")</f>
        <v>0</v>
      </c>
      <c r="G192" s="90" t="str">
        <f>IFERROR(VLOOKUP($A192,EntryList!$A$3:$N$596,6,FALSE),"")</f>
        <v>M</v>
      </c>
      <c r="H192" s="90" t="str">
        <f>IFERROR(VLOOKUP($A192,EntryList!$A$3:$N$596,7,FALSE),"")</f>
        <v>Nipper Boys</v>
      </c>
      <c r="I192" s="54">
        <f>IFERROR(VLOOKUP($A192,SortedDownload!$A$3:$Z688,4,FALSE),"")</f>
        <v>3</v>
      </c>
      <c r="J192" s="59" t="str">
        <f>IFERROR(VLOOKUP($A192,SortedDownload!$A$3:$BB$499,23,FALSE),"")</f>
        <v>DNS/DNF ()</v>
      </c>
      <c r="K192" s="59" t="str">
        <f>IFERROR(VLOOKUP($A192,SortedDownload!$A$3:$BB$499,24,FALSE),"")</f>
        <v>00:04:36.9 (159)</v>
      </c>
      <c r="L192" s="59" t="str">
        <f>IFERROR(VLOOKUP($A192,SortedDownload!$A$3:$BB$499,25,FALSE),"")</f>
        <v>00:02:55.7 (201)</v>
      </c>
      <c r="M192" s="59" t="str">
        <f>IFERROR(VLOOKUP($A192,SortedDownload!$A$3:$BB$499,26,FALSE),"")</f>
        <v>DNS/DNF ()</v>
      </c>
      <c r="N192" s="59" t="str">
        <f>IFERROR(VLOOKUP($A192,SortedDownload!$A$3:$BB$499,27,FALSE),"")</f>
        <v>00:06:22.4 (178)</v>
      </c>
      <c r="O192" s="59" t="str">
        <f>IFERROR(VLOOKUP($A192,SortedDownload!$A$3:$BB$499,28,FALSE),"")</f>
        <v>DNS/DNF ()</v>
      </c>
      <c r="P192" s="59" t="str">
        <f>IFERROR(VLOOKUP($A192,SortedDownload!$A$3:$BB$499,29,FALSE),"")</f>
        <v>DNS/DNF ()</v>
      </c>
      <c r="Q192" s="59" t="str">
        <f>IFERROR(VLOOKUP($A192,SortedDownload!$A$3:$BB$499,30,FALSE),"")</f>
        <v>DNS/DNF ()</v>
      </c>
      <c r="R192" s="62" t="str">
        <f>IFERROR(TEXT(VLOOKUP($A192,SortedDownload!$A$3:$Z$499,14,FALSE),"[hh]:mm:ss.000"),"")</f>
        <v>00:13:54.993</v>
      </c>
      <c r="S192" s="83" t="str">
        <f t="shared" si="8"/>
        <v>00:01</v>
      </c>
      <c r="T192" s="83" t="str">
        <f t="shared" si="6"/>
        <v>N/A</v>
      </c>
      <c r="U192" s="9" t="str">
        <f t="shared" si="7"/>
        <v/>
      </c>
      <c r="V192" s="20" t="str">
        <f>IFERROR(IF(VLOOKUP(H192,AgeCategories!$D$3:$J$32,7,FALSE)=I192,"","DNF"),"")</f>
        <v/>
      </c>
      <c r="W192" s="9"/>
      <c r="X192" s="9"/>
    </row>
    <row r="193" spans="1:24">
      <c r="A193" s="53">
        <f>IF(SortedDownload!A193 &lt; 1,"",SortedDownload!A193)</f>
        <v>71</v>
      </c>
      <c r="B193" s="55">
        <f>IF(V193&lt;&gt;"","DNF",COUNTIF($V$3:V193,V193))</f>
        <v>178</v>
      </c>
      <c r="C193" s="54">
        <f>IF(OR(B193="DNF",H193=""),"DNF",COUNTIF($H$3:H193,H193))</f>
        <v>25</v>
      </c>
      <c r="D193" s="90" t="str">
        <f>IFERROR(VLOOKUP($A193,EntryList!$A$3:$N$596,2,FALSE),"")</f>
        <v>Marc Dawson</v>
      </c>
      <c r="E193" s="54">
        <f>IFERROR(VLOOKUP($A193,EntryList!$A$3:$V$596,19,FALSE),"")</f>
        <v>0</v>
      </c>
      <c r="F193" s="176">
        <f>IFERROR(VLOOKUP($A193,EntryList!$A$3:$V$596,18,FALSE),"")</f>
        <v>0</v>
      </c>
      <c r="G193" s="90" t="str">
        <f>IFERROR(VLOOKUP($A193,EntryList!$A$3:$N$596,6,FALSE),"")</f>
        <v>M</v>
      </c>
      <c r="H193" s="90" t="str">
        <f>IFERROR(VLOOKUP($A193,EntryList!$A$3:$N$596,7,FALSE),"")</f>
        <v>Lite M</v>
      </c>
      <c r="I193" s="54">
        <f>IFERROR(VLOOKUP($A193,SortedDownload!$A$3:$Z689,4,FALSE),"")</f>
        <v>3</v>
      </c>
      <c r="J193" s="59" t="str">
        <f>IFERROR(VLOOKUP($A193,SortedDownload!$A$3:$BB$499,23,FALSE),"")</f>
        <v>DNS/DNF ()</v>
      </c>
      <c r="K193" s="59" t="str">
        <f>IFERROR(VLOOKUP($A193,SortedDownload!$A$3:$BB$499,24,FALSE),"")</f>
        <v>00:04:44.4 (179)</v>
      </c>
      <c r="L193" s="59" t="str">
        <f>IFERROR(VLOOKUP($A193,SortedDownload!$A$3:$BB$499,25,FALSE),"")</f>
        <v>00:02:57.0 (203)</v>
      </c>
      <c r="M193" s="59" t="str">
        <f>IFERROR(VLOOKUP($A193,SortedDownload!$A$3:$BB$499,26,FALSE),"")</f>
        <v>DNS/DNF ()</v>
      </c>
      <c r="N193" s="59" t="str">
        <f>IFERROR(VLOOKUP($A193,SortedDownload!$A$3:$BB$499,27,FALSE),"")</f>
        <v>00:06:17.8 (173)</v>
      </c>
      <c r="O193" s="59" t="str">
        <f>IFERROR(VLOOKUP($A193,SortedDownload!$A$3:$BB$499,28,FALSE),"")</f>
        <v>DNS/DNF ()</v>
      </c>
      <c r="P193" s="59" t="str">
        <f>IFERROR(VLOOKUP($A193,SortedDownload!$A$3:$BB$499,29,FALSE),"")</f>
        <v>DNS/DNF ()</v>
      </c>
      <c r="Q193" s="59" t="str">
        <f>IFERROR(VLOOKUP($A193,SortedDownload!$A$3:$BB$499,30,FALSE),"")</f>
        <v>DNS/DNF ()</v>
      </c>
      <c r="R193" s="62" t="str">
        <f>IFERROR(TEXT(VLOOKUP($A193,SortedDownload!$A$3:$Z$499,14,FALSE),"[hh]:mm:ss.000"),"")</f>
        <v>00:13:59.273</v>
      </c>
      <c r="S193" s="83" t="str">
        <f t="shared" si="8"/>
        <v>00:04</v>
      </c>
      <c r="T193" s="83" t="str">
        <f t="shared" si="6"/>
        <v>N/A</v>
      </c>
      <c r="U193" s="9" t="str">
        <f t="shared" si="7"/>
        <v/>
      </c>
      <c r="V193" s="20" t="str">
        <f>IFERROR(IF(VLOOKUP(H193,AgeCategories!$D$3:$J$32,7,FALSE)=I193,"","DNF"),"")</f>
        <v/>
      </c>
      <c r="W193" s="9"/>
      <c r="X193" s="9"/>
    </row>
    <row r="194" spans="1:24">
      <c r="A194" s="53">
        <f>IF(SortedDownload!A194 &lt; 1,"",SortedDownload!A194)</f>
        <v>106</v>
      </c>
      <c r="B194" s="55">
        <f>IF(V194&lt;&gt;"","DNF",COUNTIF($V$3:V194,V194))</f>
        <v>179</v>
      </c>
      <c r="C194" s="54">
        <f>IF(OR(B194="DNF",H194=""),"DNF",COUNTIF($H$3:H194,H194))</f>
        <v>26</v>
      </c>
      <c r="D194" s="90" t="str">
        <f>IFERROR(VLOOKUP($A194,EntryList!$A$3:$N$596,2,FALSE),"")</f>
        <v>Rezah Levy</v>
      </c>
      <c r="E194" s="54">
        <f>IFERROR(VLOOKUP($A194,EntryList!$A$3:$V$596,19,FALSE),"")</f>
        <v>0</v>
      </c>
      <c r="F194" s="176">
        <f>IFERROR(VLOOKUP($A194,EntryList!$A$3:$V$596,18,FALSE),"")</f>
        <v>0</v>
      </c>
      <c r="G194" s="90" t="str">
        <f>IFERROR(VLOOKUP($A194,EntryList!$A$3:$N$596,6,FALSE),"")</f>
        <v>M</v>
      </c>
      <c r="H194" s="90" t="str">
        <f>IFERROR(VLOOKUP($A194,EntryList!$A$3:$N$596,7,FALSE),"")</f>
        <v>Lite M</v>
      </c>
      <c r="I194" s="54">
        <f>IFERROR(VLOOKUP($A194,SortedDownload!$A$3:$Z690,4,FALSE),"")</f>
        <v>3</v>
      </c>
      <c r="J194" s="59" t="str">
        <f>IFERROR(VLOOKUP($A194,SortedDownload!$A$3:$BB$499,23,FALSE),"")</f>
        <v>DNS/DNF ()</v>
      </c>
      <c r="K194" s="59" t="str">
        <f>IFERROR(VLOOKUP($A194,SortedDownload!$A$3:$BB$499,24,FALSE),"")</f>
        <v>00:04:45.6 (184)</v>
      </c>
      <c r="L194" s="59" t="str">
        <f>IFERROR(VLOOKUP($A194,SortedDownload!$A$3:$BB$499,25,FALSE),"")</f>
        <v>00:02:48.2 (181)</v>
      </c>
      <c r="M194" s="59" t="str">
        <f>IFERROR(VLOOKUP($A194,SortedDownload!$A$3:$BB$499,26,FALSE),"")</f>
        <v>DNS/DNF ()</v>
      </c>
      <c r="N194" s="59" t="str">
        <f>IFERROR(VLOOKUP($A194,SortedDownload!$A$3:$BB$499,27,FALSE),"")</f>
        <v>00:06:28.2 (184)</v>
      </c>
      <c r="O194" s="59" t="str">
        <f>IFERROR(VLOOKUP($A194,SortedDownload!$A$3:$BB$499,28,FALSE),"")</f>
        <v>DNS/DNF ()</v>
      </c>
      <c r="P194" s="59" t="str">
        <f>IFERROR(VLOOKUP($A194,SortedDownload!$A$3:$BB$499,29,FALSE),"")</f>
        <v>DNS/DNF ()</v>
      </c>
      <c r="Q194" s="59" t="str">
        <f>IFERROR(VLOOKUP($A194,SortedDownload!$A$3:$BB$499,30,FALSE),"")</f>
        <v>DNS/DNF ()</v>
      </c>
      <c r="R194" s="62" t="str">
        <f>IFERROR(TEXT(VLOOKUP($A194,SortedDownload!$A$3:$Z$499,14,FALSE),"[hh]:mm:ss.000"),"")</f>
        <v>00:14:02.035</v>
      </c>
      <c r="S194" s="83" t="str">
        <f t="shared" si="8"/>
        <v>00:03</v>
      </c>
      <c r="T194" s="83" t="str">
        <f t="shared" si="6"/>
        <v>N/A</v>
      </c>
      <c r="U194" s="9" t="str">
        <f t="shared" si="7"/>
        <v/>
      </c>
      <c r="V194" s="20" t="str">
        <f>IFERROR(IF(VLOOKUP(H194,AgeCategories!$D$3:$J$32,7,FALSE)=I194,"","DNF"),"")</f>
        <v/>
      </c>
      <c r="W194" s="9"/>
      <c r="X194" s="9"/>
    </row>
    <row r="195" spans="1:24">
      <c r="A195" s="53">
        <f>IF(SortedDownload!A195 &lt; 1,"",SortedDownload!A195)</f>
        <v>161</v>
      </c>
      <c r="B195" s="55">
        <f>IF(V195&lt;&gt;"","DNF",COUNTIF($V$3:V195,V195))</f>
        <v>180</v>
      </c>
      <c r="C195" s="54">
        <f>IF(OR(B195="DNF",H195=""),"DNF",COUNTIF($H$3:H195,H195))</f>
        <v>27</v>
      </c>
      <c r="D195" s="90" t="str">
        <f>IFERROR(VLOOKUP($A195,EntryList!$A$3:$N$596,2,FALSE),"")</f>
        <v>Henk De Kock</v>
      </c>
      <c r="E195" s="54">
        <f>IFERROR(VLOOKUP($A195,EntryList!$A$3:$V$596,19,FALSE),"")</f>
        <v>0</v>
      </c>
      <c r="F195" s="176">
        <f>IFERROR(VLOOKUP($A195,EntryList!$A$3:$V$596,18,FALSE),"")</f>
        <v>0</v>
      </c>
      <c r="G195" s="90" t="str">
        <f>IFERROR(VLOOKUP($A195,EntryList!$A$3:$N$596,6,FALSE),"")</f>
        <v>M</v>
      </c>
      <c r="H195" s="90" t="str">
        <f>IFERROR(VLOOKUP($A195,EntryList!$A$3:$N$596,7,FALSE),"")</f>
        <v>Lite M</v>
      </c>
      <c r="I195" s="54">
        <f>IFERROR(VLOOKUP($A195,SortedDownload!$A$3:$Z691,4,FALSE),"")</f>
        <v>3</v>
      </c>
      <c r="J195" s="59" t="str">
        <f>IFERROR(VLOOKUP($A195,SortedDownload!$A$3:$BB$499,23,FALSE),"")</f>
        <v>DNS/DNF ()</v>
      </c>
      <c r="K195" s="59" t="str">
        <f>IFERROR(VLOOKUP($A195,SortedDownload!$A$3:$BB$499,24,FALSE),"")</f>
        <v>00:04:51.0 (190)</v>
      </c>
      <c r="L195" s="59" t="str">
        <f>IFERROR(VLOOKUP($A195,SortedDownload!$A$3:$BB$499,25,FALSE),"")</f>
        <v>00:02:46.2 (178)</v>
      </c>
      <c r="M195" s="59" t="str">
        <f>IFERROR(VLOOKUP($A195,SortedDownload!$A$3:$BB$499,26,FALSE),"")</f>
        <v>DNS/DNF ()</v>
      </c>
      <c r="N195" s="59" t="str">
        <f>IFERROR(VLOOKUP($A195,SortedDownload!$A$3:$BB$499,27,FALSE),"")</f>
        <v>00:06:27.9 (183)</v>
      </c>
      <c r="O195" s="59" t="str">
        <f>IFERROR(VLOOKUP($A195,SortedDownload!$A$3:$BB$499,28,FALSE),"")</f>
        <v>DNS/DNF ()</v>
      </c>
      <c r="P195" s="59" t="str">
        <f>IFERROR(VLOOKUP($A195,SortedDownload!$A$3:$BB$499,29,FALSE),"")</f>
        <v>DNS/DNF ()</v>
      </c>
      <c r="Q195" s="59" t="str">
        <f>IFERROR(VLOOKUP($A195,SortedDownload!$A$3:$BB$499,30,FALSE),"")</f>
        <v>DNS/DNF ()</v>
      </c>
      <c r="R195" s="62" t="str">
        <f>IFERROR(TEXT(VLOOKUP($A195,SortedDownload!$A$3:$Z$499,14,FALSE),"[hh]:mm:ss.000"),"")</f>
        <v>00:14:05.150</v>
      </c>
      <c r="S195" s="83" t="str">
        <f t="shared" si="8"/>
        <v>00:03</v>
      </c>
      <c r="T195" s="83" t="str">
        <f t="shared" si="6"/>
        <v>N/A</v>
      </c>
      <c r="U195" s="9" t="str">
        <f t="shared" si="7"/>
        <v/>
      </c>
      <c r="V195" s="20" t="str">
        <f>IFERROR(IF(VLOOKUP(H195,AgeCategories!$D$3:$J$32,7,FALSE)=I195,"","DNF"),"")</f>
        <v/>
      </c>
      <c r="W195" s="9"/>
      <c r="X195" s="9"/>
    </row>
    <row r="196" spans="1:24">
      <c r="A196" s="53">
        <f>IF(SortedDownload!A196 &lt; 1,"",SortedDownload!A196)</f>
        <v>83</v>
      </c>
      <c r="B196" s="55">
        <f>IF(V196&lt;&gt;"","DNF",COUNTIF($V$3:V196,V196))</f>
        <v>181</v>
      </c>
      <c r="C196" s="54">
        <f>IF(OR(B196="DNF",H196=""),"DNF",COUNTIF($H$3:H196,H196))</f>
        <v>28</v>
      </c>
      <c r="D196" s="90" t="str">
        <f>IFERROR(VLOOKUP($A196,EntryList!$A$3:$N$596,2,FALSE),"")</f>
        <v>Jean Ehlers</v>
      </c>
      <c r="E196" s="54">
        <f>IFERROR(VLOOKUP($A196,EntryList!$A$3:$V$596,19,FALSE),"")</f>
        <v>0</v>
      </c>
      <c r="F196" s="176">
        <f>IFERROR(VLOOKUP($A196,EntryList!$A$3:$V$596,18,FALSE),"")</f>
        <v>0</v>
      </c>
      <c r="G196" s="90" t="str">
        <f>IFERROR(VLOOKUP($A196,EntryList!$A$3:$N$596,6,FALSE),"")</f>
        <v>M</v>
      </c>
      <c r="H196" s="90" t="str">
        <f>IFERROR(VLOOKUP($A196,EntryList!$A$3:$N$596,7,FALSE),"")</f>
        <v>Lite M</v>
      </c>
      <c r="I196" s="54">
        <f>IFERROR(VLOOKUP($A196,SortedDownload!$A$3:$Z692,4,FALSE),"")</f>
        <v>3</v>
      </c>
      <c r="J196" s="59" t="str">
        <f>IFERROR(VLOOKUP($A196,SortedDownload!$A$3:$BB$499,23,FALSE),"")</f>
        <v>DNS/DNF ()</v>
      </c>
      <c r="K196" s="59" t="str">
        <f>IFERROR(VLOOKUP($A196,SortedDownload!$A$3:$BB$499,24,FALSE),"")</f>
        <v>00:05:01.3 (203)</v>
      </c>
      <c r="L196" s="59" t="str">
        <f>IFERROR(VLOOKUP($A196,SortedDownload!$A$3:$BB$499,25,FALSE),"")</f>
        <v>00:03:14.3 (220)</v>
      </c>
      <c r="M196" s="59" t="str">
        <f>IFERROR(VLOOKUP($A196,SortedDownload!$A$3:$BB$499,26,FALSE),"")</f>
        <v>DNS/DNF ()</v>
      </c>
      <c r="N196" s="59" t="str">
        <f>IFERROR(VLOOKUP($A196,SortedDownload!$A$3:$BB$499,27,FALSE),"")</f>
        <v>00:05:51.2 (109)</v>
      </c>
      <c r="O196" s="59" t="str">
        <f>IFERROR(VLOOKUP($A196,SortedDownload!$A$3:$BB$499,28,FALSE),"")</f>
        <v>DNS/DNF ()</v>
      </c>
      <c r="P196" s="59" t="str">
        <f>IFERROR(VLOOKUP($A196,SortedDownload!$A$3:$BB$499,29,FALSE),"")</f>
        <v>DNS/DNF ()</v>
      </c>
      <c r="Q196" s="59" t="str">
        <f>IFERROR(VLOOKUP($A196,SortedDownload!$A$3:$BB$499,30,FALSE),"")</f>
        <v>DNS/DNF ()</v>
      </c>
      <c r="R196" s="62" t="str">
        <f>IFERROR(TEXT(VLOOKUP($A196,SortedDownload!$A$3:$Z$499,14,FALSE),"[hh]:mm:ss.000"),"")</f>
        <v>00:14:06.894</v>
      </c>
      <c r="S196" s="83" t="str">
        <f t="shared" si="8"/>
        <v>00:02</v>
      </c>
      <c r="T196" s="83" t="str">
        <f t="shared" ref="T196:T259" si="9">IF($I196-$I195&lt;0,"N/A",IFERROR(TEXT(($R196-$R$3),"mm:ss"),"N/A"))</f>
        <v>N/A</v>
      </c>
      <c r="U196" s="9" t="str">
        <f t="shared" ref="U196:U259" si="10">IF($A196="","",IF(COUNTIF($A$3:$A$500,$A196)&gt;1,"Duplicate",""))</f>
        <v/>
      </c>
      <c r="V196" s="20" t="str">
        <f>IFERROR(IF(VLOOKUP(H196,AgeCategories!$D$3:$J$32,7,FALSE)=I196,"","DNF"),"")</f>
        <v/>
      </c>
      <c r="W196" s="9"/>
      <c r="X196" s="9"/>
    </row>
    <row r="197" spans="1:24">
      <c r="A197" s="53">
        <f>IF(SortedDownload!A197 &lt; 1,"",SortedDownload!A197)</f>
        <v>6</v>
      </c>
      <c r="B197" s="55">
        <f>IF(V197&lt;&gt;"","DNF",COUNTIF($V$3:V197,V197))</f>
        <v>182</v>
      </c>
      <c r="C197" s="54">
        <f>IF(OR(B197="DNF",H197=""),"DNF",COUNTIF($H$3:H197,H197))</f>
        <v>29</v>
      </c>
      <c r="D197" s="90" t="str">
        <f>IFERROR(VLOOKUP($A197,EntryList!$A$3:$N$596,2,FALSE),"")</f>
        <v>James Collins</v>
      </c>
      <c r="E197" s="54">
        <f>IFERROR(VLOOKUP($A197,EntryList!$A$3:$V$596,19,FALSE),"")</f>
        <v>0</v>
      </c>
      <c r="F197" s="176">
        <f>IFERROR(VLOOKUP($A197,EntryList!$A$3:$V$596,18,FALSE),"")</f>
        <v>0</v>
      </c>
      <c r="G197" s="90" t="str">
        <f>IFERROR(VLOOKUP($A197,EntryList!$A$3:$N$596,6,FALSE),"")</f>
        <v>M</v>
      </c>
      <c r="H197" s="90" t="str">
        <f>IFERROR(VLOOKUP($A197,EntryList!$A$3:$N$596,7,FALSE),"")</f>
        <v>Lite M</v>
      </c>
      <c r="I197" s="54">
        <f>IFERROR(VLOOKUP($A197,SortedDownload!$A$3:$Z693,4,FALSE),"")</f>
        <v>3</v>
      </c>
      <c r="J197" s="59" t="str">
        <f>IFERROR(VLOOKUP($A197,SortedDownload!$A$3:$BB$499,23,FALSE),"")</f>
        <v>DNS/DNF ()</v>
      </c>
      <c r="K197" s="59" t="str">
        <f>IFERROR(VLOOKUP($A197,SortedDownload!$A$3:$BB$499,24,FALSE),"")</f>
        <v>00:04:44.6 (183)</v>
      </c>
      <c r="L197" s="59" t="str">
        <f>IFERROR(VLOOKUP($A197,SortedDownload!$A$3:$BB$499,25,FALSE),"")</f>
        <v>00:02:40.8 (158)</v>
      </c>
      <c r="M197" s="59" t="str">
        <f>IFERROR(VLOOKUP($A197,SortedDownload!$A$3:$BB$499,26,FALSE),"")</f>
        <v>DNS/DNF ()</v>
      </c>
      <c r="N197" s="59" t="str">
        <f>IFERROR(VLOOKUP($A197,SortedDownload!$A$3:$BB$499,27,FALSE),"")</f>
        <v>00:06:44.6 (206)</v>
      </c>
      <c r="O197" s="59" t="str">
        <f>IFERROR(VLOOKUP($A197,SortedDownload!$A$3:$BB$499,28,FALSE),"")</f>
        <v>DNS/DNF ()</v>
      </c>
      <c r="P197" s="59" t="str">
        <f>IFERROR(VLOOKUP($A197,SortedDownload!$A$3:$BB$499,29,FALSE),"")</f>
        <v>DNS/DNF ()</v>
      </c>
      <c r="Q197" s="59" t="str">
        <f>IFERROR(VLOOKUP($A197,SortedDownload!$A$3:$BB$499,30,FALSE),"")</f>
        <v>DNS/DNF ()</v>
      </c>
      <c r="R197" s="62" t="str">
        <f>IFERROR(TEXT(VLOOKUP($A197,SortedDownload!$A$3:$Z$499,14,FALSE),"[hh]:mm:ss.000"),"")</f>
        <v>00:14:09.993</v>
      </c>
      <c r="S197" s="83" t="str">
        <f t="shared" ref="S197:S260" si="11">IFERROR(TEXT(($R197-$R196),"mm:ss"),"N/A")</f>
        <v>00:03</v>
      </c>
      <c r="T197" s="83" t="str">
        <f t="shared" si="9"/>
        <v>N/A</v>
      </c>
      <c r="U197" s="9" t="str">
        <f t="shared" si="10"/>
        <v/>
      </c>
      <c r="V197" s="20" t="str">
        <f>IFERROR(IF(VLOOKUP(H197,AgeCategories!$D$3:$J$32,7,FALSE)=I197,"","DNF"),"")</f>
        <v/>
      </c>
      <c r="W197" s="9"/>
      <c r="X197" s="9"/>
    </row>
    <row r="198" spans="1:24">
      <c r="A198" s="53">
        <f>IF(SortedDownload!A198 &lt; 1,"",SortedDownload!A198)</f>
        <v>263</v>
      </c>
      <c r="B198" s="55">
        <f>IF(V198&lt;&gt;"","DNF",COUNTIF($V$3:V198,V198))</f>
        <v>183</v>
      </c>
      <c r="C198" s="54">
        <f>IF(OR(B198="DNF",H198=""),"DNF",COUNTIF($H$3:H198,H198))</f>
        <v>10</v>
      </c>
      <c r="D198" s="90" t="str">
        <f>IFERROR(VLOOKUP($A198,EntryList!$A$3:$N$596,2,FALSE),"")</f>
        <v>Julian Robin Oosthuizen</v>
      </c>
      <c r="E198" s="54">
        <f>IFERROR(VLOOKUP($A198,EntryList!$A$3:$V$596,19,FALSE),"")</f>
        <v>0</v>
      </c>
      <c r="F198" s="176">
        <f>IFERROR(VLOOKUP($A198,EntryList!$A$3:$V$596,18,FALSE),"")</f>
        <v>0</v>
      </c>
      <c r="G198" s="90" t="str">
        <f>IFERROR(VLOOKUP($A198,EntryList!$A$3:$N$596,6,FALSE),"")</f>
        <v>M</v>
      </c>
      <c r="H198" s="90" t="str">
        <f>IFERROR(VLOOKUP($A198,EntryList!$A$3:$N$596,7,FALSE),"")</f>
        <v>Sub Junior Boys</v>
      </c>
      <c r="I198" s="54">
        <f>IFERROR(VLOOKUP($A198,SortedDownload!$A$3:$Z694,4,FALSE),"")</f>
        <v>3</v>
      </c>
      <c r="J198" s="59" t="str">
        <f>IFERROR(VLOOKUP($A198,SortedDownload!$A$3:$BB$499,23,FALSE),"")</f>
        <v>DNS/DNF ()</v>
      </c>
      <c r="K198" s="59" t="str">
        <f>IFERROR(VLOOKUP($A198,SortedDownload!$A$3:$BB$499,24,FALSE),"")</f>
        <v>00:04:51.2 (191)</v>
      </c>
      <c r="L198" s="59" t="str">
        <f>IFERROR(VLOOKUP($A198,SortedDownload!$A$3:$BB$499,25,FALSE),"")</f>
        <v>00:03:24.6 (230)</v>
      </c>
      <c r="M198" s="59" t="str">
        <f>IFERROR(VLOOKUP($A198,SortedDownload!$A$3:$BB$499,26,FALSE),"")</f>
        <v>00:06:00.0 (129)</v>
      </c>
      <c r="N198" s="59" t="str">
        <f>IFERROR(VLOOKUP($A198,SortedDownload!$A$3:$BB$499,27,FALSE),"")</f>
        <v>DNS/DNF ()</v>
      </c>
      <c r="O198" s="59" t="str">
        <f>IFERROR(VLOOKUP($A198,SortedDownload!$A$3:$BB$499,28,FALSE),"")</f>
        <v>DNS/DNF ()</v>
      </c>
      <c r="P198" s="59" t="str">
        <f>IFERROR(VLOOKUP($A198,SortedDownload!$A$3:$BB$499,29,FALSE),"")</f>
        <v>DNS/DNF ()</v>
      </c>
      <c r="Q198" s="59" t="str">
        <f>IFERROR(VLOOKUP($A198,SortedDownload!$A$3:$BB$499,30,FALSE),"")</f>
        <v>DNS/DNF ()</v>
      </c>
      <c r="R198" s="62" t="str">
        <f>IFERROR(TEXT(VLOOKUP($A198,SortedDownload!$A$3:$Z$499,14,FALSE),"[hh]:mm:ss.000"),"")</f>
        <v>00:14:15.868</v>
      </c>
      <c r="S198" s="83" t="str">
        <f t="shared" si="11"/>
        <v>00:06</v>
      </c>
      <c r="T198" s="83" t="str">
        <f t="shared" si="9"/>
        <v>N/A</v>
      </c>
      <c r="U198" s="9" t="str">
        <f t="shared" si="10"/>
        <v/>
      </c>
      <c r="V198" s="20" t="str">
        <f>IFERROR(IF(VLOOKUP(H198,AgeCategories!$D$3:$J$32,7,FALSE)=I198,"","DNF"),"")</f>
        <v/>
      </c>
      <c r="W198" s="9"/>
      <c r="X198" s="9"/>
    </row>
    <row r="199" spans="1:24">
      <c r="A199" s="53">
        <f>IF(SortedDownload!A199 &lt; 1,"",SortedDownload!A199)</f>
        <v>269</v>
      </c>
      <c r="B199" s="55" t="str">
        <f>IF(V199&lt;&gt;"","DNF",COUNTIF($V$3:V199,V199))</f>
        <v>DNF</v>
      </c>
      <c r="C199" s="54" t="str">
        <f>IF(OR(B199="DNF",H199=""),"DNF",COUNTIF($H$3:H199,H199))</f>
        <v>DNF</v>
      </c>
      <c r="D199" s="90" t="str">
        <f>IFERROR(VLOOKUP($A199,EntryList!$A$3:$N$596,2,FALSE),"")</f>
        <v>Dean Van Niekerk Van Niekerk</v>
      </c>
      <c r="E199" s="54">
        <f>IFERROR(VLOOKUP($A199,EntryList!$A$3:$V$596,19,FALSE),"")</f>
        <v>0</v>
      </c>
      <c r="F199" s="176">
        <f>IFERROR(VLOOKUP($A199,EntryList!$A$3:$V$596,18,FALSE),"")</f>
        <v>0</v>
      </c>
      <c r="G199" s="90" t="str">
        <f>IFERROR(VLOOKUP($A199,EntryList!$A$3:$N$596,6,FALSE),"")</f>
        <v>M</v>
      </c>
      <c r="H199" s="90" t="str">
        <f>IFERROR(VLOOKUP($A199,EntryList!$A$3:$N$596,7,FALSE),"")</f>
        <v>Youth Men</v>
      </c>
      <c r="I199" s="54">
        <f>IFERROR(VLOOKUP($A199,SortedDownload!$A$3:$Z695,4,FALSE),"")</f>
        <v>3</v>
      </c>
      <c r="J199" s="59" t="str">
        <f>IFERROR(VLOOKUP($A199,SortedDownload!$A$3:$BB$499,23,FALSE),"")</f>
        <v>DNS/DNF ()</v>
      </c>
      <c r="K199" s="59" t="str">
        <f>IFERROR(VLOOKUP($A199,SortedDownload!$A$3:$BB$499,24,FALSE),"")</f>
        <v>00:04:58.3 (200)</v>
      </c>
      <c r="L199" s="59" t="str">
        <f>IFERROR(VLOOKUP($A199,SortedDownload!$A$3:$BB$499,25,FALSE),"")</f>
        <v>00:02:43.8 (171)</v>
      </c>
      <c r="M199" s="59" t="str">
        <f>IFERROR(VLOOKUP($A199,SortedDownload!$A$3:$BB$499,26,FALSE),"")</f>
        <v>DNS/DNF ()</v>
      </c>
      <c r="N199" s="59" t="str">
        <f>IFERROR(VLOOKUP($A199,SortedDownload!$A$3:$BB$499,27,FALSE),"")</f>
        <v>00:06:35.6 (197)</v>
      </c>
      <c r="O199" s="59" t="str">
        <f>IFERROR(VLOOKUP($A199,SortedDownload!$A$3:$BB$499,28,FALSE),"")</f>
        <v>DNS/DNF ()</v>
      </c>
      <c r="P199" s="59" t="str">
        <f>IFERROR(VLOOKUP($A199,SortedDownload!$A$3:$BB$499,29,FALSE),"")</f>
        <v>DNS/DNF ()</v>
      </c>
      <c r="Q199" s="59" t="str">
        <f>IFERROR(VLOOKUP($A199,SortedDownload!$A$3:$BB$499,30,FALSE),"")</f>
        <v>DNS/DNF ()</v>
      </c>
      <c r="R199" s="62" t="str">
        <f>IFERROR(TEXT(VLOOKUP($A199,SortedDownload!$A$3:$Z$499,14,FALSE),"[hh]:mm:ss.000"),"")</f>
        <v>00:14:17.707</v>
      </c>
      <c r="S199" s="83" t="str">
        <f t="shared" si="11"/>
        <v>00:02</v>
      </c>
      <c r="T199" s="83" t="str">
        <f t="shared" si="9"/>
        <v>N/A</v>
      </c>
      <c r="U199" s="9" t="str">
        <f t="shared" si="10"/>
        <v/>
      </c>
      <c r="V199" s="20" t="str">
        <f>IFERROR(IF(VLOOKUP(H199,AgeCategories!$D$3:$J$32,7,FALSE)=I199,"","DNF"),"")</f>
        <v>DNF</v>
      </c>
      <c r="W199" s="9"/>
      <c r="X199" s="9"/>
    </row>
    <row r="200" spans="1:24">
      <c r="A200" s="53">
        <f>IF(SortedDownload!A200 &lt; 1,"",SortedDownload!A200)</f>
        <v>137</v>
      </c>
      <c r="B200" s="55">
        <f>IF(V200&lt;&gt;"","DNF",COUNTIF($V$3:V200,V200))</f>
        <v>184</v>
      </c>
      <c r="C200" s="54">
        <f>IF(OR(B200="DNF",H200=""),"DNF",COUNTIF($H$3:H200,H200))</f>
        <v>4</v>
      </c>
      <c r="D200" s="90" t="str">
        <f>IFERROR(VLOOKUP($A200,EntryList!$A$3:$N$596,2,FALSE),"")</f>
        <v>Lombard Rousseau</v>
      </c>
      <c r="E200" s="54">
        <f>IFERROR(VLOOKUP($A200,EntryList!$A$3:$V$596,19,FALSE),"")</f>
        <v>0</v>
      </c>
      <c r="F200" s="176">
        <f>IFERROR(VLOOKUP($A200,EntryList!$A$3:$V$596,18,FALSE),"")</f>
        <v>0</v>
      </c>
      <c r="G200" s="90" t="str">
        <f>IFERROR(VLOOKUP($A200,EntryList!$A$3:$N$596,6,FALSE),"")</f>
        <v>M</v>
      </c>
      <c r="H200" s="90" t="str">
        <f>IFERROR(VLOOKUP($A200,EntryList!$A$3:$N$596,7,FALSE),"")</f>
        <v>Sprog Boys</v>
      </c>
      <c r="I200" s="54">
        <f>IFERROR(VLOOKUP($A200,SortedDownload!$A$3:$Z696,4,FALSE),"")</f>
        <v>3</v>
      </c>
      <c r="J200" s="59" t="str">
        <f>IFERROR(VLOOKUP($A200,SortedDownload!$A$3:$BB$499,23,FALSE),"")</f>
        <v>DNS/DNF ()</v>
      </c>
      <c r="K200" s="59" t="str">
        <f>IFERROR(VLOOKUP($A200,SortedDownload!$A$3:$BB$499,24,FALSE),"")</f>
        <v>00:04:57.2 (199)</v>
      </c>
      <c r="L200" s="59" t="str">
        <f>IFERROR(VLOOKUP($A200,SortedDownload!$A$3:$BB$499,25,FALSE),"")</f>
        <v>00:02:46.5 (180)</v>
      </c>
      <c r="M200" s="59" t="str">
        <f>IFERROR(VLOOKUP($A200,SortedDownload!$A$3:$BB$499,26,FALSE),"")</f>
        <v>DNS/DNF ()</v>
      </c>
      <c r="N200" s="59" t="str">
        <f>IFERROR(VLOOKUP($A200,SortedDownload!$A$3:$BB$499,27,FALSE),"")</f>
        <v>00:06:42.6 (204)</v>
      </c>
      <c r="O200" s="59" t="str">
        <f>IFERROR(VLOOKUP($A200,SortedDownload!$A$3:$BB$499,28,FALSE),"")</f>
        <v>DNS/DNF ()</v>
      </c>
      <c r="P200" s="59" t="str">
        <f>IFERROR(VLOOKUP($A200,SortedDownload!$A$3:$BB$499,29,FALSE),"")</f>
        <v>DNS/DNF ()</v>
      </c>
      <c r="Q200" s="59" t="str">
        <f>IFERROR(VLOOKUP($A200,SortedDownload!$A$3:$BB$499,30,FALSE),"")</f>
        <v>DNS/DNF ()</v>
      </c>
      <c r="R200" s="62" t="str">
        <f>IFERROR(TEXT(VLOOKUP($A200,SortedDownload!$A$3:$Z$499,14,FALSE),"[hh]:mm:ss.000"),"")</f>
        <v>00:14:26.293</v>
      </c>
      <c r="S200" s="83" t="str">
        <f t="shared" si="11"/>
        <v>00:09</v>
      </c>
      <c r="T200" s="83" t="str">
        <f t="shared" si="9"/>
        <v>N/A</v>
      </c>
      <c r="U200" s="9" t="str">
        <f t="shared" si="10"/>
        <v/>
      </c>
      <c r="V200" s="20" t="str">
        <f>IFERROR(IF(VLOOKUP(H200,AgeCategories!$D$3:$J$32,7,FALSE)=I200,"","DNF"),"")</f>
        <v/>
      </c>
      <c r="W200" s="9"/>
      <c r="X200" s="9"/>
    </row>
    <row r="201" spans="1:24">
      <c r="A201" s="53">
        <f>IF(SortedDownload!A201 &lt; 1,"",SortedDownload!A201)</f>
        <v>138</v>
      </c>
      <c r="B201" s="55">
        <f>IF(V201&lt;&gt;"","DNF",COUNTIF($V$3:V201,V201))</f>
        <v>185</v>
      </c>
      <c r="C201" s="54">
        <f>IF(OR(B201="DNF",H201=""),"DNF",COUNTIF($H$3:H201,H201))</f>
        <v>11</v>
      </c>
      <c r="D201" s="90" t="str">
        <f>IFERROR(VLOOKUP($A201,EntryList!$A$3:$N$596,2,FALSE),"")</f>
        <v>Ben Kroukamp</v>
      </c>
      <c r="E201" s="54">
        <f>IFERROR(VLOOKUP($A201,EntryList!$A$3:$V$596,19,FALSE),"")</f>
        <v>0</v>
      </c>
      <c r="F201" s="176">
        <f>IFERROR(VLOOKUP($A201,EntryList!$A$3:$V$596,18,FALSE),"")</f>
        <v>0</v>
      </c>
      <c r="G201" s="90" t="str">
        <f>IFERROR(VLOOKUP($A201,EntryList!$A$3:$N$596,6,FALSE),"")</f>
        <v>M</v>
      </c>
      <c r="H201" s="90" t="str">
        <f>IFERROR(VLOOKUP($A201,EntryList!$A$3:$N$596,7,FALSE),"")</f>
        <v>Sub Junior Boys</v>
      </c>
      <c r="I201" s="54">
        <f>IFERROR(VLOOKUP($A201,SortedDownload!$A$3:$Z697,4,FALSE),"")</f>
        <v>3</v>
      </c>
      <c r="J201" s="59" t="str">
        <f>IFERROR(VLOOKUP($A201,SortedDownload!$A$3:$BB$499,23,FALSE),"")</f>
        <v>DNS/DNF ()</v>
      </c>
      <c r="K201" s="59" t="str">
        <f>IFERROR(VLOOKUP($A201,SortedDownload!$A$3:$BB$499,24,FALSE),"")</f>
        <v>00:05:08.1 (210)</v>
      </c>
      <c r="L201" s="59" t="str">
        <f>IFERROR(VLOOKUP($A201,SortedDownload!$A$3:$BB$499,25,FALSE),"")</f>
        <v>00:02:52.8 (192)</v>
      </c>
      <c r="M201" s="59" t="str">
        <f>IFERROR(VLOOKUP($A201,SortedDownload!$A$3:$BB$499,26,FALSE),"")</f>
        <v>DNS/DNF ()</v>
      </c>
      <c r="N201" s="59" t="str">
        <f>IFERROR(VLOOKUP($A201,SortedDownload!$A$3:$BB$499,27,FALSE),"")</f>
        <v>00:06:28.5 (185)</v>
      </c>
      <c r="O201" s="59" t="str">
        <f>IFERROR(VLOOKUP($A201,SortedDownload!$A$3:$BB$499,28,FALSE),"")</f>
        <v>DNS/DNF ()</v>
      </c>
      <c r="P201" s="59" t="str">
        <f>IFERROR(VLOOKUP($A201,SortedDownload!$A$3:$BB$499,29,FALSE),"")</f>
        <v>DNS/DNF ()</v>
      </c>
      <c r="Q201" s="59" t="str">
        <f>IFERROR(VLOOKUP($A201,SortedDownload!$A$3:$BB$499,30,FALSE),"")</f>
        <v>DNS/DNF ()</v>
      </c>
      <c r="R201" s="62" t="str">
        <f>IFERROR(TEXT(VLOOKUP($A201,SortedDownload!$A$3:$Z$499,14,FALSE),"[hh]:mm:ss.000"),"")</f>
        <v>00:14:29.379</v>
      </c>
      <c r="S201" s="83" t="str">
        <f t="shared" si="11"/>
        <v>00:03</v>
      </c>
      <c r="T201" s="83" t="str">
        <f t="shared" si="9"/>
        <v>N/A</v>
      </c>
      <c r="U201" s="9" t="str">
        <f t="shared" si="10"/>
        <v/>
      </c>
      <c r="V201" s="20" t="str">
        <f>IFERROR(IF(VLOOKUP(H201,AgeCategories!$D$3:$J$32,7,FALSE)=I201,"","DNF"),"")</f>
        <v/>
      </c>
      <c r="W201" s="9"/>
      <c r="X201" s="9"/>
    </row>
    <row r="202" spans="1:24">
      <c r="A202" s="53">
        <f>IF(SortedDownload!A202 &lt; 1,"",SortedDownload!A202)</f>
        <v>85</v>
      </c>
      <c r="B202" s="55">
        <f>IF(V202&lt;&gt;"","DNF",COUNTIF($V$3:V202,V202))</f>
        <v>186</v>
      </c>
      <c r="C202" s="54">
        <f>IF(OR(B202="DNF",H202=""),"DNF",COUNTIF($H$3:H202,H202))</f>
        <v>12</v>
      </c>
      <c r="D202" s="90" t="str">
        <f>IFERROR(VLOOKUP($A202,EntryList!$A$3:$N$596,2,FALSE),"")</f>
        <v>Alec Retief</v>
      </c>
      <c r="E202" s="54">
        <f>IFERROR(VLOOKUP($A202,EntryList!$A$3:$V$596,19,FALSE),"")</f>
        <v>0</v>
      </c>
      <c r="F202" s="176">
        <f>IFERROR(VLOOKUP($A202,EntryList!$A$3:$V$596,18,FALSE),"")</f>
        <v>0</v>
      </c>
      <c r="G202" s="90" t="str">
        <f>IFERROR(VLOOKUP($A202,EntryList!$A$3:$N$596,6,FALSE),"")</f>
        <v>M</v>
      </c>
      <c r="H202" s="90" t="str">
        <f>IFERROR(VLOOKUP($A202,EntryList!$A$3:$N$596,7,FALSE),"")</f>
        <v>Sub Junior Boys</v>
      </c>
      <c r="I202" s="54">
        <f>IFERROR(VLOOKUP($A202,SortedDownload!$A$3:$Z698,4,FALSE),"")</f>
        <v>3</v>
      </c>
      <c r="J202" s="59" t="str">
        <f>IFERROR(VLOOKUP($A202,SortedDownload!$A$3:$BB$499,23,FALSE),"")</f>
        <v>DNS/DNF ()</v>
      </c>
      <c r="K202" s="59" t="str">
        <f>IFERROR(VLOOKUP($A202,SortedDownload!$A$3:$BB$499,24,FALSE),"")</f>
        <v>00:05:20.3 (219)</v>
      </c>
      <c r="L202" s="59" t="str">
        <f>IFERROR(VLOOKUP($A202,SortedDownload!$A$3:$BB$499,25,FALSE),"")</f>
        <v>00:02:45.0 (175)</v>
      </c>
      <c r="M202" s="59" t="str">
        <f>IFERROR(VLOOKUP($A202,SortedDownload!$A$3:$BB$499,26,FALSE),"")</f>
        <v>DNS/DNF ()</v>
      </c>
      <c r="N202" s="59" t="str">
        <f>IFERROR(VLOOKUP($A202,SortedDownload!$A$3:$BB$499,27,FALSE),"")</f>
        <v>00:06:24.8 (180)</v>
      </c>
      <c r="O202" s="59" t="str">
        <f>IFERROR(VLOOKUP($A202,SortedDownload!$A$3:$BB$499,28,FALSE),"")</f>
        <v>DNS/DNF ()</v>
      </c>
      <c r="P202" s="59" t="str">
        <f>IFERROR(VLOOKUP($A202,SortedDownload!$A$3:$BB$499,29,FALSE),"")</f>
        <v>DNS/DNF ()</v>
      </c>
      <c r="Q202" s="59" t="str">
        <f>IFERROR(VLOOKUP($A202,SortedDownload!$A$3:$BB$499,30,FALSE),"")</f>
        <v>DNS/DNF ()</v>
      </c>
      <c r="R202" s="62" t="str">
        <f>IFERROR(TEXT(VLOOKUP($A202,SortedDownload!$A$3:$Z$499,14,FALSE),"[hh]:mm:ss.000"),"")</f>
        <v>00:14:30.039</v>
      </c>
      <c r="S202" s="83" t="str">
        <f t="shared" si="11"/>
        <v>00:01</v>
      </c>
      <c r="T202" s="83" t="str">
        <f t="shared" si="9"/>
        <v>N/A</v>
      </c>
      <c r="U202" s="9" t="str">
        <f t="shared" si="10"/>
        <v/>
      </c>
      <c r="V202" s="20" t="str">
        <f>IFERROR(IF(VLOOKUP(H202,AgeCategories!$D$3:$J$32,7,FALSE)=I202,"","DNF"),"")</f>
        <v/>
      </c>
      <c r="W202" s="9"/>
      <c r="X202" s="9"/>
    </row>
    <row r="203" spans="1:24">
      <c r="A203" s="53">
        <f>IF(SortedDownload!A203 &lt; 1,"",SortedDownload!A203)</f>
        <v>270</v>
      </c>
      <c r="B203" s="55">
        <f>IF(V203&lt;&gt;"","DNF",COUNTIF($V$3:V203,V203))</f>
        <v>187</v>
      </c>
      <c r="C203" s="54">
        <f>IF(OR(B203="DNF",H203=""),"DNF",COUNTIF($H$3:H203,H203))</f>
        <v>30</v>
      </c>
      <c r="D203" s="90" t="str">
        <f>IFERROR(VLOOKUP($A203,EntryList!$A$3:$N$596,2,FALSE),"")</f>
        <v>Taegan Felton</v>
      </c>
      <c r="E203" s="54">
        <f>IFERROR(VLOOKUP($A203,EntryList!$A$3:$V$596,19,FALSE),"")</f>
        <v>0</v>
      </c>
      <c r="F203" s="176">
        <f>IFERROR(VLOOKUP($A203,EntryList!$A$3:$V$596,18,FALSE),"")</f>
        <v>0</v>
      </c>
      <c r="G203" s="90" t="str">
        <f>IFERROR(VLOOKUP($A203,EntryList!$A$3:$N$596,6,FALSE),"")</f>
        <v>M</v>
      </c>
      <c r="H203" s="90" t="str">
        <f>IFERROR(VLOOKUP($A203,EntryList!$A$3:$N$596,7,FALSE),"")</f>
        <v>Lite M</v>
      </c>
      <c r="I203" s="54">
        <f>IFERROR(VLOOKUP($A203,SortedDownload!$A$3:$Z699,4,FALSE),"")</f>
        <v>3</v>
      </c>
      <c r="J203" s="59" t="str">
        <f>IFERROR(VLOOKUP($A203,SortedDownload!$A$3:$BB$499,23,FALSE),"")</f>
        <v>DNS/DNF ()</v>
      </c>
      <c r="K203" s="59" t="str">
        <f>IFERROR(VLOOKUP($A203,SortedDownload!$A$3:$BB$499,24,FALSE),"")</f>
        <v>00:05:04.3 (206)</v>
      </c>
      <c r="L203" s="59" t="str">
        <f>IFERROR(VLOOKUP($A203,SortedDownload!$A$3:$BB$499,25,FALSE),"")</f>
        <v>00:02:56.1 (202)</v>
      </c>
      <c r="M203" s="59" t="str">
        <f>IFERROR(VLOOKUP($A203,SortedDownload!$A$3:$BB$499,26,FALSE),"")</f>
        <v>DNS/DNF ()</v>
      </c>
      <c r="N203" s="59" t="str">
        <f>IFERROR(VLOOKUP($A203,SortedDownload!$A$3:$BB$499,27,FALSE),"")</f>
        <v>00:06:31.4 (189)</v>
      </c>
      <c r="O203" s="59" t="str">
        <f>IFERROR(VLOOKUP($A203,SortedDownload!$A$3:$BB$499,28,FALSE),"")</f>
        <v>DNS/DNF ()</v>
      </c>
      <c r="P203" s="59" t="str">
        <f>IFERROR(VLOOKUP($A203,SortedDownload!$A$3:$BB$499,29,FALSE),"")</f>
        <v>DNS/DNF ()</v>
      </c>
      <c r="Q203" s="59" t="str">
        <f>IFERROR(VLOOKUP($A203,SortedDownload!$A$3:$BB$499,30,FALSE),"")</f>
        <v>DNS/DNF ()</v>
      </c>
      <c r="R203" s="62" t="str">
        <f>IFERROR(TEXT(VLOOKUP($A203,SortedDownload!$A$3:$Z$499,14,FALSE),"[hh]:mm:ss.000"),"")</f>
        <v>00:14:31.681</v>
      </c>
      <c r="S203" s="83" t="str">
        <f t="shared" si="11"/>
        <v>00:02</v>
      </c>
      <c r="T203" s="83" t="str">
        <f t="shared" si="9"/>
        <v>N/A</v>
      </c>
      <c r="U203" s="9" t="str">
        <f t="shared" si="10"/>
        <v/>
      </c>
      <c r="V203" s="20" t="str">
        <f>IFERROR(IF(VLOOKUP(H203,AgeCategories!$D$3:$J$32,7,FALSE)=I203,"","DNF"),"")</f>
        <v/>
      </c>
      <c r="W203" s="9"/>
      <c r="X203" s="9"/>
    </row>
    <row r="204" spans="1:24">
      <c r="A204" s="53">
        <f>IF(SortedDownload!A204 &lt; 1,"",SortedDownload!A204)</f>
        <v>175</v>
      </c>
      <c r="B204" s="55">
        <f>IF(V204&lt;&gt;"","DNF",COUNTIF($V$3:V204,V204))</f>
        <v>188</v>
      </c>
      <c r="C204" s="54">
        <f>IF(OR(B204="DNF",H204=""),"DNF",COUNTIF($H$3:H204,H204))</f>
        <v>31</v>
      </c>
      <c r="D204" s="90" t="str">
        <f>IFERROR(VLOOKUP($A204,EntryList!$A$3:$N$596,2,FALSE),"")</f>
        <v>Shane Robert</v>
      </c>
      <c r="E204" s="54">
        <f>IFERROR(VLOOKUP($A204,EntryList!$A$3:$V$596,19,FALSE),"")</f>
        <v>0</v>
      </c>
      <c r="F204" s="176">
        <f>IFERROR(VLOOKUP($A204,EntryList!$A$3:$V$596,18,FALSE),"")</f>
        <v>0</v>
      </c>
      <c r="G204" s="90" t="str">
        <f>IFERROR(VLOOKUP($A204,EntryList!$A$3:$N$596,6,FALSE),"")</f>
        <v>M</v>
      </c>
      <c r="H204" s="90" t="str">
        <f>IFERROR(VLOOKUP($A204,EntryList!$A$3:$N$596,7,FALSE),"")</f>
        <v>Lite M</v>
      </c>
      <c r="I204" s="54">
        <f>IFERROR(VLOOKUP($A204,SortedDownload!$A$3:$Z700,4,FALSE),"")</f>
        <v>3</v>
      </c>
      <c r="J204" s="59" t="str">
        <f>IFERROR(VLOOKUP($A204,SortedDownload!$A$3:$BB$499,23,FALSE),"")</f>
        <v>DNS/DNF ()</v>
      </c>
      <c r="K204" s="59" t="str">
        <f>IFERROR(VLOOKUP($A204,SortedDownload!$A$3:$BB$499,24,FALSE),"")</f>
        <v>00:04:55.1 (195)</v>
      </c>
      <c r="L204" s="59" t="str">
        <f>IFERROR(VLOOKUP($A204,SortedDownload!$A$3:$BB$499,25,FALSE),"")</f>
        <v>00:03:02.6 (210)</v>
      </c>
      <c r="M204" s="59" t="str">
        <f>IFERROR(VLOOKUP($A204,SortedDownload!$A$3:$BB$499,26,FALSE),"")</f>
        <v>DNS/DNF ()</v>
      </c>
      <c r="N204" s="59" t="str">
        <f>IFERROR(VLOOKUP($A204,SortedDownload!$A$3:$BB$499,27,FALSE),"")</f>
        <v>00:06:35.6 (196)</v>
      </c>
      <c r="O204" s="59" t="str">
        <f>IFERROR(VLOOKUP($A204,SortedDownload!$A$3:$BB$499,28,FALSE),"")</f>
        <v>DNS/DNF ()</v>
      </c>
      <c r="P204" s="59" t="str">
        <f>IFERROR(VLOOKUP($A204,SortedDownload!$A$3:$BB$499,29,FALSE),"")</f>
        <v>DNS/DNF ()</v>
      </c>
      <c r="Q204" s="59" t="str">
        <f>IFERROR(VLOOKUP($A204,SortedDownload!$A$3:$BB$499,30,FALSE),"")</f>
        <v>DNS/DNF ()</v>
      </c>
      <c r="R204" s="62" t="str">
        <f>IFERROR(TEXT(VLOOKUP($A204,SortedDownload!$A$3:$Z$499,14,FALSE),"[hh]:mm:ss.000"),"")</f>
        <v>00:14:33.268</v>
      </c>
      <c r="S204" s="83" t="str">
        <f t="shared" si="11"/>
        <v>00:02</v>
      </c>
      <c r="T204" s="83" t="str">
        <f t="shared" si="9"/>
        <v>N/A</v>
      </c>
      <c r="U204" s="9" t="str">
        <f t="shared" si="10"/>
        <v/>
      </c>
      <c r="V204" s="20" t="str">
        <f>IFERROR(IF(VLOOKUP(H204,AgeCategories!$D$3:$J$32,7,FALSE)=I204,"","DNF"),"")</f>
        <v/>
      </c>
      <c r="W204" s="9"/>
      <c r="X204" s="9"/>
    </row>
    <row r="205" spans="1:24">
      <c r="A205" s="53">
        <f>IF(SortedDownload!A205 &lt; 1,"",SortedDownload!A205)</f>
        <v>76</v>
      </c>
      <c r="B205" s="55">
        <f>IF(V205&lt;&gt;"","DNF",COUNTIF($V$3:V205,V205))</f>
        <v>189</v>
      </c>
      <c r="C205" s="54">
        <f>IF(OR(B205="DNF",H205=""),"DNF",COUNTIF($H$3:H205,H205))</f>
        <v>13</v>
      </c>
      <c r="D205" s="90" t="str">
        <f>IFERROR(VLOOKUP($A205,EntryList!$A$3:$N$596,2,FALSE),"")</f>
        <v>Carter Spolander</v>
      </c>
      <c r="E205" s="54">
        <f>IFERROR(VLOOKUP($A205,EntryList!$A$3:$V$596,19,FALSE),"")</f>
        <v>0</v>
      </c>
      <c r="F205" s="176">
        <f>IFERROR(VLOOKUP($A205,EntryList!$A$3:$V$596,18,FALSE),"")</f>
        <v>0</v>
      </c>
      <c r="G205" s="90" t="str">
        <f>IFERROR(VLOOKUP($A205,EntryList!$A$3:$N$596,6,FALSE),"")</f>
        <v>M</v>
      </c>
      <c r="H205" s="90" t="str">
        <f>IFERROR(VLOOKUP($A205,EntryList!$A$3:$N$596,7,FALSE),"")</f>
        <v>Sub Junior Boys</v>
      </c>
      <c r="I205" s="54">
        <f>IFERROR(VLOOKUP($A205,SortedDownload!$A$3:$Z701,4,FALSE),"")</f>
        <v>3</v>
      </c>
      <c r="J205" s="59" t="str">
        <f>IFERROR(VLOOKUP($A205,SortedDownload!$A$3:$BB$499,23,FALSE),"")</f>
        <v>DNS/DNF ()</v>
      </c>
      <c r="K205" s="59" t="str">
        <f>IFERROR(VLOOKUP($A205,SortedDownload!$A$3:$BB$499,24,FALSE),"")</f>
        <v>00:04:59.8 (202)</v>
      </c>
      <c r="L205" s="59" t="str">
        <f>IFERROR(VLOOKUP($A205,SortedDownload!$A$3:$BB$499,25,FALSE),"")</f>
        <v>00:02:54.2 (195)</v>
      </c>
      <c r="M205" s="59" t="str">
        <f>IFERROR(VLOOKUP($A205,SortedDownload!$A$3:$BB$499,26,FALSE),"")</f>
        <v>DNS/DNF ()</v>
      </c>
      <c r="N205" s="59" t="str">
        <f>IFERROR(VLOOKUP($A205,SortedDownload!$A$3:$BB$499,27,FALSE),"")</f>
        <v>00:06:41.8 (203)</v>
      </c>
      <c r="O205" s="59" t="str">
        <f>IFERROR(VLOOKUP($A205,SortedDownload!$A$3:$BB$499,28,FALSE),"")</f>
        <v>DNS/DNF ()</v>
      </c>
      <c r="P205" s="59" t="str">
        <f>IFERROR(VLOOKUP($A205,SortedDownload!$A$3:$BB$499,29,FALSE),"")</f>
        <v>DNS/DNF ()</v>
      </c>
      <c r="Q205" s="59" t="str">
        <f>IFERROR(VLOOKUP($A205,SortedDownload!$A$3:$BB$499,30,FALSE),"")</f>
        <v>DNS/DNF ()</v>
      </c>
      <c r="R205" s="62" t="str">
        <f>IFERROR(TEXT(VLOOKUP($A205,SortedDownload!$A$3:$Z$499,14,FALSE),"[hh]:mm:ss.000"),"")</f>
        <v>00:14:35.848</v>
      </c>
      <c r="S205" s="83" t="str">
        <f t="shared" si="11"/>
        <v>00:03</v>
      </c>
      <c r="T205" s="83" t="str">
        <f t="shared" si="9"/>
        <v>N/A</v>
      </c>
      <c r="U205" s="9" t="str">
        <f t="shared" si="10"/>
        <v/>
      </c>
      <c r="V205" s="20" t="str">
        <f>IFERROR(IF(VLOOKUP(H205,AgeCategories!$D$3:$J$32,7,FALSE)=I205,"","DNF"),"")</f>
        <v/>
      </c>
      <c r="W205" s="9"/>
      <c r="X205" s="9"/>
    </row>
    <row r="206" spans="1:24">
      <c r="A206" s="53">
        <f>IF(SortedDownload!A206 &lt; 1,"",SortedDownload!A206)</f>
        <v>147</v>
      </c>
      <c r="B206" s="55" t="str">
        <f>IF(V206&lt;&gt;"","DNF",COUNTIF($V$3:V206,V206))</f>
        <v>DNF</v>
      </c>
      <c r="C206" s="54" t="str">
        <f>IF(OR(B206="DNF",H206=""),"DNF",COUNTIF($H$3:H206,H206))</f>
        <v>DNF</v>
      </c>
      <c r="D206" s="90" t="str">
        <f>IFERROR(VLOOKUP($A206,EntryList!$A$3:$N$596,2,FALSE),"")</f>
        <v>Coenie Van Niekerk</v>
      </c>
      <c r="E206" s="54">
        <f>IFERROR(VLOOKUP($A206,EntryList!$A$3:$V$596,19,FALSE),"")</f>
        <v>0</v>
      </c>
      <c r="F206" s="176">
        <f>IFERROR(VLOOKUP($A206,EntryList!$A$3:$V$596,18,FALSE),"")</f>
        <v>0</v>
      </c>
      <c r="G206" s="90" t="str">
        <f>IFERROR(VLOOKUP($A206,EntryList!$A$3:$N$596,6,FALSE),"")</f>
        <v>M</v>
      </c>
      <c r="H206" s="90" t="str">
        <f>IFERROR(VLOOKUP($A206,EntryList!$A$3:$N$596,7,FALSE),"")</f>
        <v>Master Men</v>
      </c>
      <c r="I206" s="54">
        <f>IFERROR(VLOOKUP($A206,SortedDownload!$A$3:$Z702,4,FALSE),"")</f>
        <v>3</v>
      </c>
      <c r="J206" s="59" t="str">
        <f>IFERROR(VLOOKUP($A206,SortedDownload!$A$3:$BB$499,23,FALSE),"")</f>
        <v>00:04:24.4 (83)</v>
      </c>
      <c r="K206" s="59" t="str">
        <f>IFERROR(VLOOKUP($A206,SortedDownload!$A$3:$BB$499,24,FALSE),"")</f>
        <v>DNS/DNF ()</v>
      </c>
      <c r="L206" s="59" t="str">
        <f>IFERROR(VLOOKUP($A206,SortedDownload!$A$3:$BB$499,25,FALSE),"")</f>
        <v>00:02:19.6 (76)</v>
      </c>
      <c r="M206" s="59" t="str">
        <f>IFERROR(VLOOKUP($A206,SortedDownload!$A$3:$BB$499,26,FALSE),"")</f>
        <v>00:07:54.1 (136)</v>
      </c>
      <c r="N206" s="59" t="str">
        <f>IFERROR(VLOOKUP($A206,SortedDownload!$A$3:$BB$499,27,FALSE),"")</f>
        <v>DNS/DNF ()</v>
      </c>
      <c r="O206" s="59" t="str">
        <f>IFERROR(VLOOKUP($A206,SortedDownload!$A$3:$BB$499,28,FALSE),"")</f>
        <v>DNS/DNF ()</v>
      </c>
      <c r="P206" s="59" t="str">
        <f>IFERROR(VLOOKUP($A206,SortedDownload!$A$3:$BB$499,29,FALSE),"")</f>
        <v>DNS/DNF ()</v>
      </c>
      <c r="Q206" s="59" t="str">
        <f>IFERROR(VLOOKUP($A206,SortedDownload!$A$3:$BB$499,30,FALSE),"")</f>
        <v>DNS/DNF ()</v>
      </c>
      <c r="R206" s="62" t="str">
        <f>IFERROR(TEXT(VLOOKUP($A206,SortedDownload!$A$3:$Z$499,14,FALSE),"[hh]:mm:ss.000"),"")</f>
        <v>00:14:38.023</v>
      </c>
      <c r="S206" s="83" t="str">
        <f t="shared" si="11"/>
        <v>00:02</v>
      </c>
      <c r="T206" s="83" t="str">
        <f t="shared" si="9"/>
        <v>N/A</v>
      </c>
      <c r="U206" s="9" t="str">
        <f t="shared" si="10"/>
        <v/>
      </c>
      <c r="V206" s="20" t="str">
        <f>IFERROR(IF(VLOOKUP(H206,AgeCategories!$D$3:$J$32,7,FALSE)=I206,"","DNF"),"")</f>
        <v>DNF</v>
      </c>
      <c r="W206" s="9"/>
      <c r="X206" s="9"/>
    </row>
    <row r="207" spans="1:24">
      <c r="A207" s="53">
        <f>IF(SortedDownload!A207 &lt; 1,"",SortedDownload!A207)</f>
        <v>87</v>
      </c>
      <c r="B207" s="55">
        <f>IF(V207&lt;&gt;"","DNF",COUNTIF($V$3:V207,V207))</f>
        <v>190</v>
      </c>
      <c r="C207" s="54">
        <f>IF(OR(B207="DNF",H207=""),"DNF",COUNTIF($H$3:H207,H207))</f>
        <v>32</v>
      </c>
      <c r="D207" s="90" t="str">
        <f>IFERROR(VLOOKUP($A207,EntryList!$A$3:$N$596,2,FALSE),"")</f>
        <v>Schalk Duvenage</v>
      </c>
      <c r="E207" s="54">
        <f>IFERROR(VLOOKUP($A207,EntryList!$A$3:$V$596,19,FALSE),"")</f>
        <v>0</v>
      </c>
      <c r="F207" s="176">
        <f>IFERROR(VLOOKUP($A207,EntryList!$A$3:$V$596,18,FALSE),"")</f>
        <v>0</v>
      </c>
      <c r="G207" s="90" t="str">
        <f>IFERROR(VLOOKUP($A207,EntryList!$A$3:$N$596,6,FALSE),"")</f>
        <v>M</v>
      </c>
      <c r="H207" s="90" t="str">
        <f>IFERROR(VLOOKUP($A207,EntryList!$A$3:$N$596,7,FALSE),"")</f>
        <v>Lite M</v>
      </c>
      <c r="I207" s="54">
        <f>IFERROR(VLOOKUP($A207,SortedDownload!$A$3:$Z703,4,FALSE),"")</f>
        <v>3</v>
      </c>
      <c r="J207" s="59" t="str">
        <f>IFERROR(VLOOKUP($A207,SortedDownload!$A$3:$BB$499,23,FALSE),"")</f>
        <v>DNS/DNF ()</v>
      </c>
      <c r="K207" s="59" t="str">
        <f>IFERROR(VLOOKUP($A207,SortedDownload!$A$3:$BB$499,24,FALSE),"")</f>
        <v>00:05:13.4 (213)</v>
      </c>
      <c r="L207" s="59" t="str">
        <f>IFERROR(VLOOKUP($A207,SortedDownload!$A$3:$BB$499,25,FALSE),"")</f>
        <v>00:02:55.6 (199)</v>
      </c>
      <c r="M207" s="59" t="str">
        <f>IFERROR(VLOOKUP($A207,SortedDownload!$A$3:$BB$499,26,FALSE),"")</f>
        <v>DNS/DNF ()</v>
      </c>
      <c r="N207" s="59" t="str">
        <f>IFERROR(VLOOKUP($A207,SortedDownload!$A$3:$BB$499,27,FALSE),"")</f>
        <v>00:06:34.2 (194)</v>
      </c>
      <c r="O207" s="59" t="str">
        <f>IFERROR(VLOOKUP($A207,SortedDownload!$A$3:$BB$499,28,FALSE),"")</f>
        <v>DNS/DNF ()</v>
      </c>
      <c r="P207" s="59" t="str">
        <f>IFERROR(VLOOKUP($A207,SortedDownload!$A$3:$BB$499,29,FALSE),"")</f>
        <v>DNS/DNF ()</v>
      </c>
      <c r="Q207" s="59" t="str">
        <f>IFERROR(VLOOKUP($A207,SortedDownload!$A$3:$BB$499,30,FALSE),"")</f>
        <v>DNS/DNF ()</v>
      </c>
      <c r="R207" s="62" t="str">
        <f>IFERROR(TEXT(VLOOKUP($A207,SortedDownload!$A$3:$Z$499,14,FALSE),"[hh]:mm:ss.000"),"")</f>
        <v>00:14:43.111</v>
      </c>
      <c r="S207" s="83" t="str">
        <f t="shared" si="11"/>
        <v>00:05</v>
      </c>
      <c r="T207" s="83" t="str">
        <f t="shared" si="9"/>
        <v>N/A</v>
      </c>
      <c r="U207" s="9" t="str">
        <f t="shared" si="10"/>
        <v/>
      </c>
      <c r="V207" s="20" t="str">
        <f>IFERROR(IF(VLOOKUP(H207,AgeCategories!$D$3:$J$32,7,FALSE)=I207,"","DNF"),"")</f>
        <v/>
      </c>
      <c r="W207" s="9"/>
      <c r="X207" s="9"/>
    </row>
    <row r="208" spans="1:24">
      <c r="A208" s="53">
        <f>IF(SortedDownload!A208 &lt; 1,"",SortedDownload!A208)</f>
        <v>264</v>
      </c>
      <c r="B208" s="55">
        <f>IF(V208&lt;&gt;"","DNF",COUNTIF($V$3:V208,V208))</f>
        <v>191</v>
      </c>
      <c r="C208" s="54">
        <f>IF(OR(B208="DNF",H208=""),"DNF",COUNTIF($H$3:H208,H208))</f>
        <v>6</v>
      </c>
      <c r="D208" s="90" t="str">
        <f>IFERROR(VLOOKUP($A208,EntryList!$A$3:$N$596,2,FALSE),"")</f>
        <v>Jeanie De Villiers</v>
      </c>
      <c r="E208" s="54">
        <f>IFERROR(VLOOKUP($A208,EntryList!$A$3:$V$596,19,FALSE),"")</f>
        <v>0</v>
      </c>
      <c r="F208" s="176">
        <f>IFERROR(VLOOKUP($A208,EntryList!$A$3:$V$596,18,FALSE),"")</f>
        <v>0</v>
      </c>
      <c r="G208" s="90" t="str">
        <f>IFERROR(VLOOKUP($A208,EntryList!$A$3:$N$596,6,FALSE),"")</f>
        <v>F</v>
      </c>
      <c r="H208" s="90" t="str">
        <f>IFERROR(VLOOKUP($A208,EntryList!$A$3:$N$596,7,FALSE),"")</f>
        <v>Lite F</v>
      </c>
      <c r="I208" s="54">
        <f>IFERROR(VLOOKUP($A208,SortedDownload!$A$3:$Z704,4,FALSE),"")</f>
        <v>3</v>
      </c>
      <c r="J208" s="59" t="str">
        <f>IFERROR(VLOOKUP($A208,SortedDownload!$A$3:$BB$499,23,FALSE),"")</f>
        <v>DNS/DNF ()</v>
      </c>
      <c r="K208" s="59" t="str">
        <f>IFERROR(VLOOKUP($A208,SortedDownload!$A$3:$BB$499,24,FALSE),"")</f>
        <v>00:05:15.6 (216)</v>
      </c>
      <c r="L208" s="59" t="str">
        <f>IFERROR(VLOOKUP($A208,SortedDownload!$A$3:$BB$499,25,FALSE),"")</f>
        <v>00:02:58.2 (204)</v>
      </c>
      <c r="M208" s="59" t="str">
        <f>IFERROR(VLOOKUP($A208,SortedDownload!$A$3:$BB$499,26,FALSE),"")</f>
        <v>DNS/DNF ()</v>
      </c>
      <c r="N208" s="59" t="str">
        <f>IFERROR(VLOOKUP($A208,SortedDownload!$A$3:$BB$499,27,FALSE),"")</f>
        <v>00:06:29.8 (187)</v>
      </c>
      <c r="O208" s="59" t="str">
        <f>IFERROR(VLOOKUP($A208,SortedDownload!$A$3:$BB$499,28,FALSE),"")</f>
        <v>DNS/DNF ()</v>
      </c>
      <c r="P208" s="59" t="str">
        <f>IFERROR(VLOOKUP($A208,SortedDownload!$A$3:$BB$499,29,FALSE),"")</f>
        <v>DNS/DNF ()</v>
      </c>
      <c r="Q208" s="59" t="str">
        <f>IFERROR(VLOOKUP($A208,SortedDownload!$A$3:$BB$499,30,FALSE),"")</f>
        <v>DNS/DNF ()</v>
      </c>
      <c r="R208" s="62" t="str">
        <f>IFERROR(TEXT(VLOOKUP($A208,SortedDownload!$A$3:$Z$499,14,FALSE),"[hh]:mm:ss.000"),"")</f>
        <v>00:14:43.566</v>
      </c>
      <c r="S208" s="83" t="str">
        <f t="shared" si="11"/>
        <v>00:00</v>
      </c>
      <c r="T208" s="83" t="str">
        <f t="shared" si="9"/>
        <v>N/A</v>
      </c>
      <c r="U208" s="9" t="str">
        <f t="shared" si="10"/>
        <v/>
      </c>
      <c r="V208" s="20" t="str">
        <f>IFERROR(IF(VLOOKUP(H208,AgeCategories!$D$3:$J$32,7,FALSE)=I208,"","DNF"),"")</f>
        <v/>
      </c>
      <c r="W208" s="9"/>
      <c r="X208" s="9"/>
    </row>
    <row r="209" spans="1:24">
      <c r="A209" s="53">
        <f>IF(SortedDownload!A209 &lt; 1,"",SortedDownload!A209)</f>
        <v>29</v>
      </c>
      <c r="B209" s="55">
        <f>IF(V209&lt;&gt;"","DNF",COUNTIF($V$3:V209,V209))</f>
        <v>192</v>
      </c>
      <c r="C209" s="54">
        <f>IF(OR(B209="DNF",H209=""),"DNF",COUNTIF($H$3:H209,H209))</f>
        <v>33</v>
      </c>
      <c r="D209" s="90" t="str">
        <f>IFERROR(VLOOKUP($A209,EntryList!$A$3:$N$596,2,FALSE),"")</f>
        <v>Adeeb Said</v>
      </c>
      <c r="E209" s="54">
        <f>IFERROR(VLOOKUP($A209,EntryList!$A$3:$V$596,19,FALSE),"")</f>
        <v>0</v>
      </c>
      <c r="F209" s="176">
        <f>IFERROR(VLOOKUP($A209,EntryList!$A$3:$V$596,18,FALSE),"")</f>
        <v>0</v>
      </c>
      <c r="G209" s="90" t="str">
        <f>IFERROR(VLOOKUP($A209,EntryList!$A$3:$N$596,6,FALSE),"")</f>
        <v>M</v>
      </c>
      <c r="H209" s="90" t="str">
        <f>IFERROR(VLOOKUP($A209,EntryList!$A$3:$N$596,7,FALSE),"")</f>
        <v>Lite M</v>
      </c>
      <c r="I209" s="54">
        <f>IFERROR(VLOOKUP($A209,SortedDownload!$A$3:$Z705,4,FALSE),"")</f>
        <v>3</v>
      </c>
      <c r="J209" s="59" t="str">
        <f>IFERROR(VLOOKUP($A209,SortedDownload!$A$3:$BB$499,23,FALSE),"")</f>
        <v>DNS/DNF ()</v>
      </c>
      <c r="K209" s="59" t="str">
        <f>IFERROR(VLOOKUP($A209,SortedDownload!$A$3:$BB$499,24,FALSE),"")</f>
        <v>00:05:11.3 (211)</v>
      </c>
      <c r="L209" s="59" t="str">
        <f>IFERROR(VLOOKUP($A209,SortedDownload!$A$3:$BB$499,25,FALSE),"")</f>
        <v>00:02:52.7 (191)</v>
      </c>
      <c r="M209" s="59" t="str">
        <f>IFERROR(VLOOKUP($A209,SortedDownload!$A$3:$BB$499,26,FALSE),"")</f>
        <v>DNS/DNF ()</v>
      </c>
      <c r="N209" s="59" t="str">
        <f>IFERROR(VLOOKUP($A209,SortedDownload!$A$3:$BB$499,27,FALSE),"")</f>
        <v>00:06:41.2 (202)</v>
      </c>
      <c r="O209" s="59" t="str">
        <f>IFERROR(VLOOKUP($A209,SortedDownload!$A$3:$BB$499,28,FALSE),"")</f>
        <v>DNS/DNF ()</v>
      </c>
      <c r="P209" s="59" t="str">
        <f>IFERROR(VLOOKUP($A209,SortedDownload!$A$3:$BB$499,29,FALSE),"")</f>
        <v>DNS/DNF ()</v>
      </c>
      <c r="Q209" s="59" t="str">
        <f>IFERROR(VLOOKUP($A209,SortedDownload!$A$3:$BB$499,30,FALSE),"")</f>
        <v>DNS/DNF ()</v>
      </c>
      <c r="R209" s="62" t="str">
        <f>IFERROR(TEXT(VLOOKUP($A209,SortedDownload!$A$3:$Z$499,14,FALSE),"[hh]:mm:ss.000"),"")</f>
        <v>00:14:45.292</v>
      </c>
      <c r="S209" s="83" t="str">
        <f t="shared" si="11"/>
        <v>00:02</v>
      </c>
      <c r="T209" s="83" t="str">
        <f t="shared" si="9"/>
        <v>N/A</v>
      </c>
      <c r="U209" s="9" t="str">
        <f t="shared" si="10"/>
        <v/>
      </c>
      <c r="V209" s="20" t="str">
        <f>IFERROR(IF(VLOOKUP(H209,AgeCategories!$D$3:$J$32,7,FALSE)=I209,"","DNF"),"")</f>
        <v/>
      </c>
      <c r="W209" s="9"/>
      <c r="X209" s="9"/>
    </row>
    <row r="210" spans="1:24">
      <c r="A210" s="53">
        <f>IF(SortedDownload!A210 &lt; 1,"",SortedDownload!A210)</f>
        <v>1</v>
      </c>
      <c r="B210" s="55">
        <f>IF(V210&lt;&gt;"","DNF",COUNTIF($V$3:V210,V210))</f>
        <v>193</v>
      </c>
      <c r="C210" s="54">
        <f>IF(OR(B210="DNF",H210=""),"DNF",COUNTIF($H$3:H210,H210))</f>
        <v>6</v>
      </c>
      <c r="D210" s="90" t="str">
        <f>IFERROR(VLOOKUP($A210,EntryList!$A$3:$N$596,2,FALSE),"")</f>
        <v>Warren Lawrence</v>
      </c>
      <c r="E210" s="54">
        <f>IFERROR(VLOOKUP($A210,EntryList!$A$3:$V$596,19,FALSE),"")</f>
        <v>0</v>
      </c>
      <c r="F210" s="176">
        <f>IFERROR(VLOOKUP($A210,EntryList!$A$3:$V$596,18,FALSE),"")</f>
        <v>0</v>
      </c>
      <c r="G210" s="90" t="str">
        <f>IFERROR(VLOOKUP($A210,EntryList!$A$3:$N$596,6,FALSE),"")</f>
        <v>M</v>
      </c>
      <c r="H210" s="90" t="str">
        <f>IFERROR(VLOOKUP($A210,EntryList!$A$3:$N$596,7,FALSE),"")</f>
        <v>E-Bike Lite M</v>
      </c>
      <c r="I210" s="54">
        <f>IFERROR(VLOOKUP($A210,SortedDownload!$A$3:$Z706,4,FALSE),"")</f>
        <v>3</v>
      </c>
      <c r="J210" s="59" t="str">
        <f>IFERROR(VLOOKUP($A210,SortedDownload!$A$3:$BB$499,23,FALSE),"")</f>
        <v>DNS/DNF ()</v>
      </c>
      <c r="K210" s="59" t="str">
        <f>IFERROR(VLOOKUP($A210,SortedDownload!$A$3:$BB$499,24,FALSE),"")</f>
        <v>00:05:03.0 (204)</v>
      </c>
      <c r="L210" s="59" t="str">
        <f>IFERROR(VLOOKUP($A210,SortedDownload!$A$3:$BB$499,25,FALSE),"")</f>
        <v>00:02:55.6 (200)</v>
      </c>
      <c r="M210" s="59" t="str">
        <f>IFERROR(VLOOKUP($A210,SortedDownload!$A$3:$BB$499,26,FALSE),"")</f>
        <v>DNS/DNF ()</v>
      </c>
      <c r="N210" s="59" t="str">
        <f>IFERROR(VLOOKUP($A210,SortedDownload!$A$3:$BB$499,27,FALSE),"")</f>
        <v>00:06:48.1 (209)</v>
      </c>
      <c r="O210" s="59" t="str">
        <f>IFERROR(VLOOKUP($A210,SortedDownload!$A$3:$BB$499,28,FALSE),"")</f>
        <v>DNS/DNF ()</v>
      </c>
      <c r="P210" s="59" t="str">
        <f>IFERROR(VLOOKUP($A210,SortedDownload!$A$3:$BB$499,29,FALSE),"")</f>
        <v>DNS/DNF ()</v>
      </c>
      <c r="Q210" s="59" t="str">
        <f>IFERROR(VLOOKUP($A210,SortedDownload!$A$3:$BB$499,30,FALSE),"")</f>
        <v>DNS/DNF ()</v>
      </c>
      <c r="R210" s="62" t="str">
        <f>IFERROR(TEXT(VLOOKUP($A210,SortedDownload!$A$3:$Z$499,14,FALSE),"[hh]:mm:ss.000"),"")</f>
        <v>00:14:46.656</v>
      </c>
      <c r="S210" s="83" t="str">
        <f t="shared" si="11"/>
        <v>00:01</v>
      </c>
      <c r="T210" s="83" t="str">
        <f t="shared" si="9"/>
        <v>N/A</v>
      </c>
      <c r="U210" s="9" t="str">
        <f t="shared" si="10"/>
        <v/>
      </c>
      <c r="V210" s="20" t="str">
        <f>IFERROR(IF(VLOOKUP(H210,AgeCategories!$D$3:$J$32,7,FALSE)=I210,"","DNF"),"")</f>
        <v/>
      </c>
      <c r="W210" s="9"/>
      <c r="X210" s="9"/>
    </row>
    <row r="211" spans="1:24">
      <c r="A211" s="53">
        <f>IF(SortedDownload!A211 &lt; 1,"",SortedDownload!A211)</f>
        <v>176</v>
      </c>
      <c r="B211" s="55">
        <f>IF(V211&lt;&gt;"","DNF",COUNTIF($V$3:V211,V211))</f>
        <v>194</v>
      </c>
      <c r="C211" s="54">
        <f>IF(OR(B211="DNF",H211=""),"DNF",COUNTIF($H$3:H211,H211))</f>
        <v>34</v>
      </c>
      <c r="D211" s="90" t="str">
        <f>IFERROR(VLOOKUP($A211,EntryList!$A$3:$N$596,2,FALSE),"")</f>
        <v>Mike Fairbrother</v>
      </c>
      <c r="E211" s="54">
        <f>IFERROR(VLOOKUP($A211,EntryList!$A$3:$V$596,19,FALSE),"")</f>
        <v>0</v>
      </c>
      <c r="F211" s="176">
        <f>IFERROR(VLOOKUP($A211,EntryList!$A$3:$V$596,18,FALSE),"")</f>
        <v>0</v>
      </c>
      <c r="G211" s="90" t="str">
        <f>IFERROR(VLOOKUP($A211,EntryList!$A$3:$N$596,6,FALSE),"")</f>
        <v>M</v>
      </c>
      <c r="H211" s="90" t="str">
        <f>IFERROR(VLOOKUP($A211,EntryList!$A$3:$N$596,7,FALSE),"")</f>
        <v>Lite M</v>
      </c>
      <c r="I211" s="54">
        <f>IFERROR(VLOOKUP($A211,SortedDownload!$A$3:$Z707,4,FALSE),"")</f>
        <v>3</v>
      </c>
      <c r="J211" s="59" t="str">
        <f>IFERROR(VLOOKUP($A211,SortedDownload!$A$3:$BB$499,23,FALSE),"")</f>
        <v>DNS/DNF ()</v>
      </c>
      <c r="K211" s="59" t="str">
        <f>IFERROR(VLOOKUP($A211,SortedDownload!$A$3:$BB$499,24,FALSE),"")</f>
        <v>00:05:07.5 (209)</v>
      </c>
      <c r="L211" s="59" t="str">
        <f>IFERROR(VLOOKUP($A211,SortedDownload!$A$3:$BB$499,25,FALSE),"")</f>
        <v>00:03:10.9 (216)</v>
      </c>
      <c r="M211" s="59" t="str">
        <f>IFERROR(VLOOKUP($A211,SortedDownload!$A$3:$BB$499,26,FALSE),"")</f>
        <v>DNS/DNF ()</v>
      </c>
      <c r="N211" s="59" t="str">
        <f>IFERROR(VLOOKUP($A211,SortedDownload!$A$3:$BB$499,27,FALSE),"")</f>
        <v>00:06:32.7 (192)</v>
      </c>
      <c r="O211" s="59" t="str">
        <f>IFERROR(VLOOKUP($A211,SortedDownload!$A$3:$BB$499,28,FALSE),"")</f>
        <v>DNS/DNF ()</v>
      </c>
      <c r="P211" s="59" t="str">
        <f>IFERROR(VLOOKUP($A211,SortedDownload!$A$3:$BB$499,29,FALSE),"")</f>
        <v>DNS/DNF ()</v>
      </c>
      <c r="Q211" s="59" t="str">
        <f>IFERROR(VLOOKUP($A211,SortedDownload!$A$3:$BB$499,30,FALSE),"")</f>
        <v>DNS/DNF ()</v>
      </c>
      <c r="R211" s="62" t="str">
        <f>IFERROR(TEXT(VLOOKUP($A211,SortedDownload!$A$3:$Z$499,14,FALSE),"[hh]:mm:ss.000"),"")</f>
        <v>00:14:51.062</v>
      </c>
      <c r="S211" s="83" t="str">
        <f t="shared" si="11"/>
        <v>00:04</v>
      </c>
      <c r="T211" s="83" t="str">
        <f t="shared" si="9"/>
        <v>N/A</v>
      </c>
      <c r="U211" s="9" t="str">
        <f t="shared" si="10"/>
        <v/>
      </c>
      <c r="V211" s="20" t="str">
        <f>IFERROR(IF(VLOOKUP(H211,AgeCategories!$D$3:$J$32,7,FALSE)=I211,"","DNF"),"")</f>
        <v/>
      </c>
      <c r="W211" s="9"/>
      <c r="X211" s="9"/>
    </row>
    <row r="212" spans="1:24">
      <c r="A212" s="53">
        <f>IF(SortedDownload!A212 &lt; 1,"",SortedDownload!A212)</f>
        <v>221</v>
      </c>
      <c r="B212" s="55">
        <f>IF(V212&lt;&gt;"","DNF",COUNTIF($V$3:V212,V212))</f>
        <v>195</v>
      </c>
      <c r="C212" s="54">
        <f>IF(OR(B212="DNF",H212=""),"DNF",COUNTIF($H$3:H212,H212))</f>
        <v>14</v>
      </c>
      <c r="D212" s="90" t="str">
        <f>IFERROR(VLOOKUP($A212,EntryList!$A$3:$N$596,2,FALSE),"")</f>
        <v>Chris Groeneveld</v>
      </c>
      <c r="E212" s="54">
        <f>IFERROR(VLOOKUP($A212,EntryList!$A$3:$V$596,19,FALSE),"")</f>
        <v>0</v>
      </c>
      <c r="F212" s="176">
        <f>IFERROR(VLOOKUP($A212,EntryList!$A$3:$V$596,18,FALSE),"")</f>
        <v>0</v>
      </c>
      <c r="G212" s="90" t="str">
        <f>IFERROR(VLOOKUP($A212,EntryList!$A$3:$N$596,6,FALSE),"")</f>
        <v>M</v>
      </c>
      <c r="H212" s="90" t="str">
        <f>IFERROR(VLOOKUP($A212,EntryList!$A$3:$N$596,7,FALSE),"")</f>
        <v>Sub Junior Boys</v>
      </c>
      <c r="I212" s="54">
        <f>IFERROR(VLOOKUP($A212,SortedDownload!$A$3:$Z708,4,FALSE),"")</f>
        <v>3</v>
      </c>
      <c r="J212" s="59" t="str">
        <f>IFERROR(VLOOKUP($A212,SortedDownload!$A$3:$BB$499,23,FALSE),"")</f>
        <v>DNS/DNF ()</v>
      </c>
      <c r="K212" s="59" t="str">
        <f>IFERROR(VLOOKUP($A212,SortedDownload!$A$3:$BB$499,24,FALSE),"")</f>
        <v>00:05:22.4 (220)</v>
      </c>
      <c r="L212" s="59" t="str">
        <f>IFERROR(VLOOKUP($A212,SortedDownload!$A$3:$BB$499,25,FALSE),"")</f>
        <v>00:02:54.5 (196)</v>
      </c>
      <c r="M212" s="59" t="str">
        <f>IFERROR(VLOOKUP($A212,SortedDownload!$A$3:$BB$499,26,FALSE),"")</f>
        <v>DNS/DNF ()</v>
      </c>
      <c r="N212" s="59" t="str">
        <f>IFERROR(VLOOKUP($A212,SortedDownload!$A$3:$BB$499,27,FALSE),"")</f>
        <v>00:06:34.9 (195)</v>
      </c>
      <c r="O212" s="59" t="str">
        <f>IFERROR(VLOOKUP($A212,SortedDownload!$A$3:$BB$499,28,FALSE),"")</f>
        <v>DNS/DNF ()</v>
      </c>
      <c r="P212" s="59" t="str">
        <f>IFERROR(VLOOKUP($A212,SortedDownload!$A$3:$BB$499,29,FALSE),"")</f>
        <v>DNS/DNF ()</v>
      </c>
      <c r="Q212" s="59" t="str">
        <f>IFERROR(VLOOKUP($A212,SortedDownload!$A$3:$BB$499,30,FALSE),"")</f>
        <v>DNS/DNF ()</v>
      </c>
      <c r="R212" s="62" t="str">
        <f>IFERROR(TEXT(VLOOKUP($A212,SortedDownload!$A$3:$Z$499,14,FALSE),"[hh]:mm:ss.000"),"")</f>
        <v>00:14:51.880</v>
      </c>
      <c r="S212" s="83" t="str">
        <f t="shared" si="11"/>
        <v>00:01</v>
      </c>
      <c r="T212" s="83" t="str">
        <f t="shared" si="9"/>
        <v>N/A</v>
      </c>
      <c r="U212" s="9" t="str">
        <f t="shared" si="10"/>
        <v/>
      </c>
      <c r="V212" s="20" t="str">
        <f>IFERROR(IF(VLOOKUP(H212,AgeCategories!$D$3:$J$32,7,FALSE)=I212,"","DNF"),"")</f>
        <v/>
      </c>
      <c r="W212" s="9"/>
      <c r="X212" s="9"/>
    </row>
    <row r="213" spans="1:24">
      <c r="A213" s="53">
        <f>IF(SortedDownload!A213 &lt; 1,"",SortedDownload!A213)</f>
        <v>222</v>
      </c>
      <c r="B213" s="55">
        <f>IF(V213&lt;&gt;"","DNF",COUNTIF($V$3:V213,V213))</f>
        <v>196</v>
      </c>
      <c r="C213" s="54">
        <f>IF(OR(B213="DNF",H213=""),"DNF",COUNTIF($H$3:H213,H213))</f>
        <v>7</v>
      </c>
      <c r="D213" s="90" t="str">
        <f>IFERROR(VLOOKUP($A213,EntryList!$A$3:$N$596,2,FALSE),"")</f>
        <v>Shandri Erasmus</v>
      </c>
      <c r="E213" s="54">
        <f>IFERROR(VLOOKUP($A213,EntryList!$A$3:$V$596,19,FALSE),"")</f>
        <v>0</v>
      </c>
      <c r="F213" s="176">
        <f>IFERROR(VLOOKUP($A213,EntryList!$A$3:$V$596,18,FALSE),"")</f>
        <v>0</v>
      </c>
      <c r="G213" s="90" t="str">
        <f>IFERROR(VLOOKUP($A213,EntryList!$A$3:$N$596,6,FALSE),"")</f>
        <v>F</v>
      </c>
      <c r="H213" s="90" t="str">
        <f>IFERROR(VLOOKUP($A213,EntryList!$A$3:$N$596,7,FALSE),"")</f>
        <v>Lite F</v>
      </c>
      <c r="I213" s="54">
        <f>IFERROR(VLOOKUP($A213,SortedDownload!$A$3:$Z709,4,FALSE),"")</f>
        <v>3</v>
      </c>
      <c r="J213" s="59" t="str">
        <f>IFERROR(VLOOKUP($A213,SortedDownload!$A$3:$BB$499,23,FALSE),"")</f>
        <v>DNS/DNF ()</v>
      </c>
      <c r="K213" s="59" t="str">
        <f>IFERROR(VLOOKUP($A213,SortedDownload!$A$3:$BB$499,24,FALSE),"")</f>
        <v>00:05:07.5 (208)</v>
      </c>
      <c r="L213" s="59" t="str">
        <f>IFERROR(VLOOKUP($A213,SortedDownload!$A$3:$BB$499,25,FALSE),"")</f>
        <v>00:03:15.9 (222)</v>
      </c>
      <c r="M213" s="59" t="str">
        <f>IFERROR(VLOOKUP($A213,SortedDownload!$A$3:$BB$499,26,FALSE),"")</f>
        <v>DNS/DNF ()</v>
      </c>
      <c r="N213" s="59" t="str">
        <f>IFERROR(VLOOKUP($A213,SortedDownload!$A$3:$BB$499,27,FALSE),"")</f>
        <v>00:06:31.0 (188)</v>
      </c>
      <c r="O213" s="59" t="str">
        <f>IFERROR(VLOOKUP($A213,SortedDownload!$A$3:$BB$499,28,FALSE),"")</f>
        <v>DNS/DNF ()</v>
      </c>
      <c r="P213" s="59" t="str">
        <f>IFERROR(VLOOKUP($A213,SortedDownload!$A$3:$BB$499,29,FALSE),"")</f>
        <v>DNS/DNF ()</v>
      </c>
      <c r="Q213" s="59" t="str">
        <f>IFERROR(VLOOKUP($A213,SortedDownload!$A$3:$BB$499,30,FALSE),"")</f>
        <v>DNS/DNF ()</v>
      </c>
      <c r="R213" s="62" t="str">
        <f>IFERROR(TEXT(VLOOKUP($A213,SortedDownload!$A$3:$Z$499,14,FALSE),"[hh]:mm:ss.000"),"")</f>
        <v>00:14:54.398</v>
      </c>
      <c r="S213" s="83" t="str">
        <f t="shared" si="11"/>
        <v>00:03</v>
      </c>
      <c r="T213" s="83" t="str">
        <f t="shared" si="9"/>
        <v>N/A</v>
      </c>
      <c r="U213" s="9" t="str">
        <f t="shared" si="10"/>
        <v/>
      </c>
      <c r="V213" s="20" t="str">
        <f>IFERROR(IF(VLOOKUP(H213,AgeCategories!$D$3:$J$32,7,FALSE)=I213,"","DNF"),"")</f>
        <v/>
      </c>
      <c r="W213" s="9"/>
      <c r="X213" s="9"/>
    </row>
    <row r="214" spans="1:24">
      <c r="A214" s="53">
        <f>IF(SortedDownload!A214 &lt; 1,"",SortedDownload!A214)</f>
        <v>120</v>
      </c>
      <c r="B214" s="55">
        <f>IF(V214&lt;&gt;"","DNF",COUNTIF($V$3:V214,V214))</f>
        <v>197</v>
      </c>
      <c r="C214" s="54">
        <f>IF(OR(B214="DNF",H214=""),"DNF",COUNTIF($H$3:H214,H214))</f>
        <v>35</v>
      </c>
      <c r="D214" s="90" t="str">
        <f>IFERROR(VLOOKUP($A214,EntryList!$A$3:$N$596,2,FALSE),"")</f>
        <v>Gregg Blomeyer</v>
      </c>
      <c r="E214" s="54">
        <f>IFERROR(VLOOKUP($A214,EntryList!$A$3:$V$596,19,FALSE),"")</f>
        <v>0</v>
      </c>
      <c r="F214" s="176">
        <f>IFERROR(VLOOKUP($A214,EntryList!$A$3:$V$596,18,FALSE),"")</f>
        <v>0</v>
      </c>
      <c r="G214" s="90" t="str">
        <f>IFERROR(VLOOKUP($A214,EntryList!$A$3:$N$596,6,FALSE),"")</f>
        <v>M</v>
      </c>
      <c r="H214" s="90" t="str">
        <f>IFERROR(VLOOKUP($A214,EntryList!$A$3:$N$596,7,FALSE),"")</f>
        <v>Lite M</v>
      </c>
      <c r="I214" s="54">
        <f>IFERROR(VLOOKUP($A214,SortedDownload!$A$3:$Z710,4,FALSE),"")</f>
        <v>3</v>
      </c>
      <c r="J214" s="59" t="str">
        <f>IFERROR(VLOOKUP($A214,SortedDownload!$A$3:$BB$499,23,FALSE),"")</f>
        <v>DNS/DNF ()</v>
      </c>
      <c r="K214" s="59" t="str">
        <f>IFERROR(VLOOKUP($A214,SortedDownload!$A$3:$BB$499,24,FALSE),"")</f>
        <v>00:04:55.6 (196)</v>
      </c>
      <c r="L214" s="59" t="str">
        <f>IFERROR(VLOOKUP($A214,SortedDownload!$A$3:$BB$499,25,FALSE),"")</f>
        <v>00:02:59.2 (205)</v>
      </c>
      <c r="M214" s="59" t="str">
        <f>IFERROR(VLOOKUP($A214,SortedDownload!$A$3:$BB$499,26,FALSE),"")</f>
        <v>DNS/DNF ()</v>
      </c>
      <c r="N214" s="59" t="str">
        <f>IFERROR(VLOOKUP($A214,SortedDownload!$A$3:$BB$499,27,FALSE),"")</f>
        <v>00:07:00.7 (216)</v>
      </c>
      <c r="O214" s="59" t="str">
        <f>IFERROR(VLOOKUP($A214,SortedDownload!$A$3:$BB$499,28,FALSE),"")</f>
        <v>DNS/DNF ()</v>
      </c>
      <c r="P214" s="59" t="str">
        <f>IFERROR(VLOOKUP($A214,SortedDownload!$A$3:$BB$499,29,FALSE),"")</f>
        <v>DNS/DNF ()</v>
      </c>
      <c r="Q214" s="59" t="str">
        <f>IFERROR(VLOOKUP($A214,SortedDownload!$A$3:$BB$499,30,FALSE),"")</f>
        <v>DNS/DNF ()</v>
      </c>
      <c r="R214" s="62" t="str">
        <f>IFERROR(TEXT(VLOOKUP($A214,SortedDownload!$A$3:$Z$499,14,FALSE),"[hh]:mm:ss.000"),"")</f>
        <v>00:14:55.483</v>
      </c>
      <c r="S214" s="83" t="str">
        <f t="shared" si="11"/>
        <v>00:01</v>
      </c>
      <c r="T214" s="83" t="str">
        <f t="shared" si="9"/>
        <v>N/A</v>
      </c>
      <c r="U214" s="9" t="str">
        <f t="shared" si="10"/>
        <v/>
      </c>
      <c r="V214" s="20" t="str">
        <f>IFERROR(IF(VLOOKUP(H214,AgeCategories!$D$3:$J$32,7,FALSE)=I214,"","DNF"),"")</f>
        <v/>
      </c>
      <c r="W214" s="9"/>
      <c r="X214" s="9"/>
    </row>
    <row r="215" spans="1:24">
      <c r="A215" s="53">
        <f>IF(SortedDownload!A215 &lt; 1,"",SortedDownload!A215)</f>
        <v>93</v>
      </c>
      <c r="B215" s="55">
        <f>IF(V215&lt;&gt;"","DNF",COUNTIF($V$3:V215,V215))</f>
        <v>198</v>
      </c>
      <c r="C215" s="54">
        <f>IF(OR(B215="DNF",H215=""),"DNF",COUNTIF($H$3:H215,H215))</f>
        <v>36</v>
      </c>
      <c r="D215" s="90" t="str">
        <f>IFERROR(VLOOKUP($A215,EntryList!$A$3:$N$596,2,FALSE),"")</f>
        <v>Michael Morgan</v>
      </c>
      <c r="E215" s="54">
        <f>IFERROR(VLOOKUP($A215,EntryList!$A$3:$V$596,19,FALSE),"")</f>
        <v>0</v>
      </c>
      <c r="F215" s="176">
        <f>IFERROR(VLOOKUP($A215,EntryList!$A$3:$V$596,18,FALSE),"")</f>
        <v>0</v>
      </c>
      <c r="G215" s="90" t="str">
        <f>IFERROR(VLOOKUP($A215,EntryList!$A$3:$N$596,6,FALSE),"")</f>
        <v>M</v>
      </c>
      <c r="H215" s="90" t="str">
        <f>IFERROR(VLOOKUP($A215,EntryList!$A$3:$N$596,7,FALSE),"")</f>
        <v>Lite M</v>
      </c>
      <c r="I215" s="54">
        <f>IFERROR(VLOOKUP($A215,SortedDownload!$A$3:$Z711,4,FALSE),"")</f>
        <v>3</v>
      </c>
      <c r="J215" s="59" t="str">
        <f>IFERROR(VLOOKUP($A215,SortedDownload!$A$3:$BB$499,23,FALSE),"")</f>
        <v>DNS/DNF ()</v>
      </c>
      <c r="K215" s="59" t="str">
        <f>IFERROR(VLOOKUP($A215,SortedDownload!$A$3:$BB$499,24,FALSE),"")</f>
        <v>00:05:13.6 (214)</v>
      </c>
      <c r="L215" s="59" t="str">
        <f>IFERROR(VLOOKUP($A215,SortedDownload!$A$3:$BB$499,25,FALSE),"")</f>
        <v>00:03:01.7 (209)</v>
      </c>
      <c r="M215" s="59" t="str">
        <f>IFERROR(VLOOKUP($A215,SortedDownload!$A$3:$BB$499,26,FALSE),"")</f>
        <v>DNS/DNF ()</v>
      </c>
      <c r="N215" s="59" t="str">
        <f>IFERROR(VLOOKUP($A215,SortedDownload!$A$3:$BB$499,27,FALSE),"")</f>
        <v>00:06:47.0 (208)</v>
      </c>
      <c r="O215" s="59" t="str">
        <f>IFERROR(VLOOKUP($A215,SortedDownload!$A$3:$BB$499,28,FALSE),"")</f>
        <v>DNS/DNF ()</v>
      </c>
      <c r="P215" s="59" t="str">
        <f>IFERROR(VLOOKUP($A215,SortedDownload!$A$3:$BB$499,29,FALSE),"")</f>
        <v>DNS/DNF ()</v>
      </c>
      <c r="Q215" s="59" t="str">
        <f>IFERROR(VLOOKUP($A215,SortedDownload!$A$3:$BB$499,30,FALSE),"")</f>
        <v>DNS/DNF ()</v>
      </c>
      <c r="R215" s="62" t="str">
        <f>IFERROR(TEXT(VLOOKUP($A215,SortedDownload!$A$3:$Z$499,14,FALSE),"[hh]:mm:ss.000"),"")</f>
        <v>00:15:02.331</v>
      </c>
      <c r="S215" s="83" t="str">
        <f t="shared" si="11"/>
        <v>00:07</v>
      </c>
      <c r="T215" s="83" t="str">
        <f t="shared" si="9"/>
        <v>N/A</v>
      </c>
      <c r="U215" s="9" t="str">
        <f t="shared" si="10"/>
        <v/>
      </c>
      <c r="V215" s="20" t="str">
        <f>IFERROR(IF(VLOOKUP(H215,AgeCategories!$D$3:$J$32,7,FALSE)=I215,"","DNF"),"")</f>
        <v/>
      </c>
      <c r="W215" s="9"/>
      <c r="X215" s="9"/>
    </row>
    <row r="216" spans="1:24">
      <c r="A216" s="53">
        <f>IF(SortedDownload!A216 &lt; 1,"",SortedDownload!A216)</f>
        <v>224</v>
      </c>
      <c r="B216" s="55">
        <f>IF(V216&lt;&gt;"","DNF",COUNTIF($V$3:V216,V216))</f>
        <v>199</v>
      </c>
      <c r="C216" s="54">
        <f>IF(OR(B216="DNF",H216=""),"DNF",COUNTIF($H$3:H216,H216))</f>
        <v>37</v>
      </c>
      <c r="D216" s="90" t="str">
        <f>IFERROR(VLOOKUP($A216,EntryList!$A$3:$N$596,2,FALSE),"")</f>
        <v>Dj Oosthuizen</v>
      </c>
      <c r="E216" s="54">
        <f>IFERROR(VLOOKUP($A216,EntryList!$A$3:$V$596,19,FALSE),"")</f>
        <v>0</v>
      </c>
      <c r="F216" s="176">
        <f>IFERROR(VLOOKUP($A216,EntryList!$A$3:$V$596,18,FALSE),"")</f>
        <v>0</v>
      </c>
      <c r="G216" s="90" t="str">
        <f>IFERROR(VLOOKUP($A216,EntryList!$A$3:$N$596,6,FALSE),"")</f>
        <v>M</v>
      </c>
      <c r="H216" s="90" t="str">
        <f>IFERROR(VLOOKUP($A216,EntryList!$A$3:$N$596,7,FALSE),"")</f>
        <v>Lite M</v>
      </c>
      <c r="I216" s="54">
        <f>IFERROR(VLOOKUP($A216,SortedDownload!$A$3:$Z712,4,FALSE),"")</f>
        <v>3</v>
      </c>
      <c r="J216" s="59" t="str">
        <f>IFERROR(VLOOKUP($A216,SortedDownload!$A$3:$BB$499,23,FALSE),"")</f>
        <v>DNS/DNF ()</v>
      </c>
      <c r="K216" s="59" t="str">
        <f>IFERROR(VLOOKUP($A216,SortedDownload!$A$3:$BB$499,24,FALSE),"")</f>
        <v>00:04:56.1 (197)</v>
      </c>
      <c r="L216" s="59" t="str">
        <f>IFERROR(VLOOKUP($A216,SortedDownload!$A$3:$BB$499,25,FALSE),"")</f>
        <v>00:02:59.9 (207)</v>
      </c>
      <c r="M216" s="59" t="str">
        <f>IFERROR(VLOOKUP($A216,SortedDownload!$A$3:$BB$499,26,FALSE),"")</f>
        <v>DNS/DNF ()</v>
      </c>
      <c r="N216" s="59" t="str">
        <f>IFERROR(VLOOKUP($A216,SortedDownload!$A$3:$BB$499,27,FALSE),"")</f>
        <v>00:07:09.7 (221)</v>
      </c>
      <c r="O216" s="59" t="str">
        <f>IFERROR(VLOOKUP($A216,SortedDownload!$A$3:$BB$499,28,FALSE),"")</f>
        <v>DNS/DNF ()</v>
      </c>
      <c r="P216" s="59" t="str">
        <f>IFERROR(VLOOKUP($A216,SortedDownload!$A$3:$BB$499,29,FALSE),"")</f>
        <v>DNS/DNF ()</v>
      </c>
      <c r="Q216" s="59" t="str">
        <f>IFERROR(VLOOKUP($A216,SortedDownload!$A$3:$BB$499,30,FALSE),"")</f>
        <v>DNS/DNF ()</v>
      </c>
      <c r="R216" s="62" t="str">
        <f>IFERROR(TEXT(VLOOKUP($A216,SortedDownload!$A$3:$Z$499,14,FALSE),"[hh]:mm:ss.000"),"")</f>
        <v>00:15:05.763</v>
      </c>
      <c r="S216" s="83" t="str">
        <f t="shared" si="11"/>
        <v>00:03</v>
      </c>
      <c r="T216" s="83" t="str">
        <f t="shared" si="9"/>
        <v>N/A</v>
      </c>
      <c r="U216" s="9" t="str">
        <f t="shared" si="10"/>
        <v/>
      </c>
      <c r="V216" s="20" t="str">
        <f>IFERROR(IF(VLOOKUP(H216,AgeCategories!$D$3:$J$32,7,FALSE)=I216,"","DNF"),"")</f>
        <v/>
      </c>
      <c r="W216" s="9"/>
      <c r="X216" s="9"/>
    </row>
    <row r="217" spans="1:24">
      <c r="A217" s="53">
        <f>IF(SortedDownload!A217 &lt; 1,"",SortedDownload!A217)</f>
        <v>37</v>
      </c>
      <c r="B217" s="55">
        <f>IF(V217&lt;&gt;"","DNF",COUNTIF($V$3:V217,V217))</f>
        <v>200</v>
      </c>
      <c r="C217" s="54">
        <f>IF(OR(B217="DNF",H217=""),"DNF",COUNTIF($H$3:H217,H217))</f>
        <v>38</v>
      </c>
      <c r="D217" s="90" t="str">
        <f>IFERROR(VLOOKUP($A217,EntryList!$A$3:$N$596,2,FALSE),"")</f>
        <v>Bradley Stow</v>
      </c>
      <c r="E217" s="54">
        <f>IFERROR(VLOOKUP($A217,EntryList!$A$3:$V$596,19,FALSE),"")</f>
        <v>0</v>
      </c>
      <c r="F217" s="176">
        <f>IFERROR(VLOOKUP($A217,EntryList!$A$3:$V$596,18,FALSE),"")</f>
        <v>0</v>
      </c>
      <c r="G217" s="90" t="str">
        <f>IFERROR(VLOOKUP($A217,EntryList!$A$3:$N$596,6,FALSE),"")</f>
        <v>M</v>
      </c>
      <c r="H217" s="90" t="str">
        <f>IFERROR(VLOOKUP($A217,EntryList!$A$3:$N$596,7,FALSE),"")</f>
        <v>Lite M</v>
      </c>
      <c r="I217" s="54">
        <f>IFERROR(VLOOKUP($A217,SortedDownload!$A$3:$Z713,4,FALSE),"")</f>
        <v>3</v>
      </c>
      <c r="J217" s="59" t="str">
        <f>IFERROR(VLOOKUP($A217,SortedDownload!$A$3:$BB$499,23,FALSE),"")</f>
        <v>DNS/DNF ()</v>
      </c>
      <c r="K217" s="59" t="str">
        <f>IFERROR(VLOOKUP($A217,SortedDownload!$A$3:$BB$499,24,FALSE),"")</f>
        <v>00:04:23.5 (117)</v>
      </c>
      <c r="L217" s="59" t="str">
        <f>IFERROR(VLOOKUP($A217,SortedDownload!$A$3:$BB$499,25,FALSE),"")</f>
        <v>00:02:54.1 (194)</v>
      </c>
      <c r="M217" s="59" t="str">
        <f>IFERROR(VLOOKUP($A217,SortedDownload!$A$3:$BB$499,26,FALSE),"")</f>
        <v>DNS/DNF ()</v>
      </c>
      <c r="N217" s="59" t="str">
        <f>IFERROR(VLOOKUP($A217,SortedDownload!$A$3:$BB$499,27,FALSE),"")</f>
        <v>00:07:54.0 (238)</v>
      </c>
      <c r="O217" s="59" t="str">
        <f>IFERROR(VLOOKUP($A217,SortedDownload!$A$3:$BB$499,28,FALSE),"")</f>
        <v>DNS/DNF ()</v>
      </c>
      <c r="P217" s="59" t="str">
        <f>IFERROR(VLOOKUP($A217,SortedDownload!$A$3:$BB$499,29,FALSE),"")</f>
        <v>DNS/DNF ()</v>
      </c>
      <c r="Q217" s="59" t="str">
        <f>IFERROR(VLOOKUP($A217,SortedDownload!$A$3:$BB$499,30,FALSE),"")</f>
        <v>DNS/DNF ()</v>
      </c>
      <c r="R217" s="62" t="str">
        <f>IFERROR(TEXT(VLOOKUP($A217,SortedDownload!$A$3:$Z$499,14,FALSE),"[hh]:mm:ss.000"),"")</f>
        <v>00:15:11.688</v>
      </c>
      <c r="S217" s="83" t="str">
        <f t="shared" si="11"/>
        <v>00:06</v>
      </c>
      <c r="T217" s="83" t="str">
        <f t="shared" si="9"/>
        <v>N/A</v>
      </c>
      <c r="U217" s="9" t="str">
        <f t="shared" si="10"/>
        <v/>
      </c>
      <c r="V217" s="20" t="str">
        <f>IFERROR(IF(VLOOKUP(H217,AgeCategories!$D$3:$J$32,7,FALSE)=I217,"","DNF"),"")</f>
        <v/>
      </c>
      <c r="W217" s="9"/>
      <c r="X217" s="9"/>
    </row>
    <row r="218" spans="1:24">
      <c r="A218" s="53">
        <f>IF(SortedDownload!A218 &lt; 1,"",SortedDownload!A218)</f>
        <v>112</v>
      </c>
      <c r="B218" s="55">
        <f>IF(V218&lt;&gt;"","DNF",COUNTIF($V$3:V218,V218))</f>
        <v>201</v>
      </c>
      <c r="C218" s="54">
        <f>IF(OR(B218="DNF",H218=""),"DNF",COUNTIF($H$3:H218,H218))</f>
        <v>39</v>
      </c>
      <c r="D218" s="90" t="str">
        <f>IFERROR(VLOOKUP($A218,EntryList!$A$3:$N$596,2,FALSE),"")</f>
        <v>Yaseen Enos</v>
      </c>
      <c r="E218" s="54">
        <f>IFERROR(VLOOKUP($A218,EntryList!$A$3:$V$596,19,FALSE),"")</f>
        <v>0</v>
      </c>
      <c r="F218" s="176">
        <f>IFERROR(VLOOKUP($A218,EntryList!$A$3:$V$596,18,FALSE),"")</f>
        <v>0</v>
      </c>
      <c r="G218" s="90" t="str">
        <f>IFERROR(VLOOKUP($A218,EntryList!$A$3:$N$596,6,FALSE),"")</f>
        <v>M</v>
      </c>
      <c r="H218" s="90" t="str">
        <f>IFERROR(VLOOKUP($A218,EntryList!$A$3:$N$596,7,FALSE),"")</f>
        <v>Lite M</v>
      </c>
      <c r="I218" s="54">
        <f>IFERROR(VLOOKUP($A218,SortedDownload!$A$3:$Z714,4,FALSE),"")</f>
        <v>3</v>
      </c>
      <c r="J218" s="59" t="str">
        <f>IFERROR(VLOOKUP($A218,SortedDownload!$A$3:$BB$499,23,FALSE),"")</f>
        <v>DNS/DNF ()</v>
      </c>
      <c r="K218" s="59" t="str">
        <f>IFERROR(VLOOKUP($A218,SortedDownload!$A$3:$BB$499,24,FALSE),"")</f>
        <v>00:05:30.6 (230)</v>
      </c>
      <c r="L218" s="59" t="str">
        <f>IFERROR(VLOOKUP($A218,SortedDownload!$A$3:$BB$499,25,FALSE),"")</f>
        <v>00:03:03.4 (212)</v>
      </c>
      <c r="M218" s="59" t="str">
        <f>IFERROR(VLOOKUP($A218,SortedDownload!$A$3:$BB$499,26,FALSE),"")</f>
        <v>DNS/DNF ()</v>
      </c>
      <c r="N218" s="59" t="str">
        <f>IFERROR(VLOOKUP($A218,SortedDownload!$A$3:$BB$499,27,FALSE),"")</f>
        <v>00:06:38.0 (199)</v>
      </c>
      <c r="O218" s="59" t="str">
        <f>IFERROR(VLOOKUP($A218,SortedDownload!$A$3:$BB$499,28,FALSE),"")</f>
        <v>DNS/DNF ()</v>
      </c>
      <c r="P218" s="59" t="str">
        <f>IFERROR(VLOOKUP($A218,SortedDownload!$A$3:$BB$499,29,FALSE),"")</f>
        <v>DNS/DNF ()</v>
      </c>
      <c r="Q218" s="59" t="str">
        <f>IFERROR(VLOOKUP($A218,SortedDownload!$A$3:$BB$499,30,FALSE),"")</f>
        <v>DNS/DNF ()</v>
      </c>
      <c r="R218" s="62" t="str">
        <f>IFERROR(TEXT(VLOOKUP($A218,SortedDownload!$A$3:$Z$499,14,FALSE),"[hh]:mm:ss.000"),"")</f>
        <v>00:15:12.016</v>
      </c>
      <c r="S218" s="83" t="str">
        <f t="shared" si="11"/>
        <v>00:00</v>
      </c>
      <c r="T218" s="83" t="str">
        <f t="shared" si="9"/>
        <v>N/A</v>
      </c>
      <c r="U218" s="9" t="str">
        <f t="shared" si="10"/>
        <v/>
      </c>
      <c r="V218" s="20" t="str">
        <f>IFERROR(IF(VLOOKUP(H218,AgeCategories!$D$3:$J$32,7,FALSE)=I218,"","DNF"),"")</f>
        <v/>
      </c>
      <c r="W218" s="9"/>
      <c r="X218" s="9"/>
    </row>
    <row r="219" spans="1:24">
      <c r="A219" s="53">
        <f>IF(SortedDownload!A219 &lt; 1,"",SortedDownload!A219)</f>
        <v>65</v>
      </c>
      <c r="B219" s="55">
        <f>IF(V219&lt;&gt;"","DNF",COUNTIF($V$3:V219,V219))</f>
        <v>202</v>
      </c>
      <c r="C219" s="54">
        <f>IF(OR(B219="DNF",H219=""),"DNF",COUNTIF($H$3:H219,H219))</f>
        <v>7</v>
      </c>
      <c r="D219" s="90" t="str">
        <f>IFERROR(VLOOKUP($A219,EntryList!$A$3:$N$596,2,FALSE),"")</f>
        <v>Matt Nicholson</v>
      </c>
      <c r="E219" s="54">
        <f>IFERROR(VLOOKUP($A219,EntryList!$A$3:$V$596,19,FALSE),"")</f>
        <v>0</v>
      </c>
      <c r="F219" s="176">
        <f>IFERROR(VLOOKUP($A219,EntryList!$A$3:$V$596,18,FALSE),"")</f>
        <v>0</v>
      </c>
      <c r="G219" s="90" t="str">
        <f>IFERROR(VLOOKUP($A219,EntryList!$A$3:$N$596,6,FALSE),"")</f>
        <v>M</v>
      </c>
      <c r="H219" s="90" t="str">
        <f>IFERROR(VLOOKUP($A219,EntryList!$A$3:$N$596,7,FALSE),"")</f>
        <v>E-Bike Lite M</v>
      </c>
      <c r="I219" s="54">
        <f>IFERROR(VLOOKUP($A219,SortedDownload!$A$3:$Z715,4,FALSE),"")</f>
        <v>3</v>
      </c>
      <c r="J219" s="59" t="str">
        <f>IFERROR(VLOOKUP($A219,SortedDownload!$A$3:$BB$499,23,FALSE),"")</f>
        <v>DNS/DNF ()</v>
      </c>
      <c r="K219" s="59" t="str">
        <f>IFERROR(VLOOKUP($A219,SortedDownload!$A$3:$BB$499,24,FALSE),"")</f>
        <v>00:05:32.7 (233)</v>
      </c>
      <c r="L219" s="59" t="str">
        <f>IFERROR(VLOOKUP($A219,SortedDownload!$A$3:$BB$499,25,FALSE),"")</f>
        <v>00:03:07.1 (214)</v>
      </c>
      <c r="M219" s="59" t="str">
        <f>IFERROR(VLOOKUP($A219,SortedDownload!$A$3:$BB$499,26,FALSE),"")</f>
        <v>DNS/DNF ()</v>
      </c>
      <c r="N219" s="59" t="str">
        <f>IFERROR(VLOOKUP($A219,SortedDownload!$A$3:$BB$499,27,FALSE),"")</f>
        <v>00:06:32.5 (191)</v>
      </c>
      <c r="O219" s="59" t="str">
        <f>IFERROR(VLOOKUP($A219,SortedDownload!$A$3:$BB$499,28,FALSE),"")</f>
        <v>DNS/DNF ()</v>
      </c>
      <c r="P219" s="59" t="str">
        <f>IFERROR(VLOOKUP($A219,SortedDownload!$A$3:$BB$499,29,FALSE),"")</f>
        <v>DNS/DNF ()</v>
      </c>
      <c r="Q219" s="59" t="str">
        <f>IFERROR(VLOOKUP($A219,SortedDownload!$A$3:$BB$499,30,FALSE),"")</f>
        <v>DNS/DNF ()</v>
      </c>
      <c r="R219" s="62" t="str">
        <f>IFERROR(TEXT(VLOOKUP($A219,SortedDownload!$A$3:$Z$499,14,FALSE),"[hh]:mm:ss.000"),"")</f>
        <v>00:15:12.296</v>
      </c>
      <c r="S219" s="83" t="str">
        <f t="shared" si="11"/>
        <v>00:00</v>
      </c>
      <c r="T219" s="83" t="str">
        <f t="shared" si="9"/>
        <v>N/A</v>
      </c>
      <c r="U219" s="9" t="str">
        <f t="shared" si="10"/>
        <v/>
      </c>
      <c r="V219" s="20" t="str">
        <f>IFERROR(IF(VLOOKUP(H219,AgeCategories!$D$3:$J$32,7,FALSE)=I219,"","DNF"),"")</f>
        <v/>
      </c>
      <c r="W219" s="9"/>
      <c r="X219" s="9"/>
    </row>
    <row r="220" spans="1:24">
      <c r="A220" s="53">
        <f>IF(SortedDownload!A220 &lt; 1,"",SortedDownload!A220)</f>
        <v>12</v>
      </c>
      <c r="B220" s="55">
        <f>IF(V220&lt;&gt;"","DNF",COUNTIF($V$3:V220,V220))</f>
        <v>203</v>
      </c>
      <c r="C220" s="54">
        <f>IF(OR(B220="DNF",H220=""),"DNF",COUNTIF($H$3:H220,H220))</f>
        <v>5</v>
      </c>
      <c r="D220" s="90" t="str">
        <f>IFERROR(VLOOKUP($A220,EntryList!$A$3:$N$596,2,FALSE),"")</f>
        <v>Dylan Wiggill</v>
      </c>
      <c r="E220" s="54">
        <f>IFERROR(VLOOKUP($A220,EntryList!$A$3:$V$596,19,FALSE),"")</f>
        <v>0</v>
      </c>
      <c r="F220" s="176">
        <f>IFERROR(VLOOKUP($A220,EntryList!$A$3:$V$596,18,FALSE),"")</f>
        <v>0</v>
      </c>
      <c r="G220" s="90" t="str">
        <f>IFERROR(VLOOKUP($A220,EntryList!$A$3:$N$596,6,FALSE),"")</f>
        <v>M</v>
      </c>
      <c r="H220" s="90" t="str">
        <f>IFERROR(VLOOKUP($A220,EntryList!$A$3:$N$596,7,FALSE),"")</f>
        <v>Sprog Boys</v>
      </c>
      <c r="I220" s="54">
        <f>IFERROR(VLOOKUP($A220,SortedDownload!$A$3:$Z716,4,FALSE),"")</f>
        <v>3</v>
      </c>
      <c r="J220" s="59" t="str">
        <f>IFERROR(VLOOKUP($A220,SortedDownload!$A$3:$BB$499,23,FALSE),"")</f>
        <v>DNS/DNF ()</v>
      </c>
      <c r="K220" s="59" t="str">
        <f>IFERROR(VLOOKUP($A220,SortedDownload!$A$3:$BB$499,24,FALSE),"")</f>
        <v>00:05:16.5 (217)</v>
      </c>
      <c r="L220" s="59" t="str">
        <f>IFERROR(VLOOKUP($A220,SortedDownload!$A$3:$BB$499,25,FALSE),"")</f>
        <v>00:03:28.0 (232)</v>
      </c>
      <c r="M220" s="59" t="str">
        <f>IFERROR(VLOOKUP($A220,SortedDownload!$A$3:$BB$499,26,FALSE),"")</f>
        <v>DNS/DNF ()</v>
      </c>
      <c r="N220" s="59" t="str">
        <f>IFERROR(VLOOKUP($A220,SortedDownload!$A$3:$BB$499,27,FALSE),"")</f>
        <v>00:06:38.4 (200)</v>
      </c>
      <c r="O220" s="59" t="str">
        <f>IFERROR(VLOOKUP($A220,SortedDownload!$A$3:$BB$499,28,FALSE),"")</f>
        <v>DNS/DNF ()</v>
      </c>
      <c r="P220" s="59" t="str">
        <f>IFERROR(VLOOKUP($A220,SortedDownload!$A$3:$BB$499,29,FALSE),"")</f>
        <v>DNS/DNF ()</v>
      </c>
      <c r="Q220" s="59" t="str">
        <f>IFERROR(VLOOKUP($A220,SortedDownload!$A$3:$BB$499,30,FALSE),"")</f>
        <v>DNS/DNF ()</v>
      </c>
      <c r="R220" s="62" t="str">
        <f>IFERROR(TEXT(VLOOKUP($A220,SortedDownload!$A$3:$Z$499,14,FALSE),"[hh]:mm:ss.000"),"")</f>
        <v>00:15:22.967</v>
      </c>
      <c r="S220" s="83" t="str">
        <f t="shared" si="11"/>
        <v>00:11</v>
      </c>
      <c r="T220" s="83" t="str">
        <f t="shared" si="9"/>
        <v>N/A</v>
      </c>
      <c r="U220" s="9" t="str">
        <f t="shared" si="10"/>
        <v/>
      </c>
      <c r="V220" s="20" t="str">
        <f>IFERROR(IF(VLOOKUP(H220,AgeCategories!$D$3:$J$32,7,FALSE)=I220,"","DNF"),"")</f>
        <v/>
      </c>
      <c r="W220" s="9"/>
      <c r="X220" s="9"/>
    </row>
    <row r="221" spans="1:24">
      <c r="A221" s="53">
        <f>IF(SortedDownload!A221 &lt; 1,"",SortedDownload!A221)</f>
        <v>217</v>
      </c>
      <c r="B221" s="55">
        <f>IF(V221&lt;&gt;"","DNF",COUNTIF($V$3:V221,V221))</f>
        <v>204</v>
      </c>
      <c r="C221" s="54">
        <f>IF(OR(B221="DNF",H221=""),"DNF",COUNTIF($H$3:H221,H221))</f>
        <v>40</v>
      </c>
      <c r="D221" s="90" t="str">
        <f>IFERROR(VLOOKUP($A221,EntryList!$A$3:$N$596,2,FALSE),"")</f>
        <v>Frans Smit</v>
      </c>
      <c r="E221" s="54">
        <f>IFERROR(VLOOKUP($A221,EntryList!$A$3:$V$596,19,FALSE),"")</f>
        <v>0</v>
      </c>
      <c r="F221" s="176">
        <f>IFERROR(VLOOKUP($A221,EntryList!$A$3:$V$596,18,FALSE),"")</f>
        <v>0</v>
      </c>
      <c r="G221" s="90" t="str">
        <f>IFERROR(VLOOKUP($A221,EntryList!$A$3:$N$596,6,FALSE),"")</f>
        <v>M</v>
      </c>
      <c r="H221" s="90" t="str">
        <f>IFERROR(VLOOKUP($A221,EntryList!$A$3:$N$596,7,FALSE),"")</f>
        <v>Lite M</v>
      </c>
      <c r="I221" s="54">
        <f>IFERROR(VLOOKUP($A221,SortedDownload!$A$3:$Z717,4,FALSE),"")</f>
        <v>3</v>
      </c>
      <c r="J221" s="59" t="str">
        <f>IFERROR(VLOOKUP($A221,SortedDownload!$A$3:$BB$499,23,FALSE),"")</f>
        <v>DNS/DNF ()</v>
      </c>
      <c r="K221" s="59" t="str">
        <f>IFERROR(VLOOKUP($A221,SortedDownload!$A$3:$BB$499,24,FALSE),"")</f>
        <v>00:06:04.9 (241)</v>
      </c>
      <c r="L221" s="59" t="str">
        <f>IFERROR(VLOOKUP($A221,SortedDownload!$A$3:$BB$499,25,FALSE),"")</f>
        <v>00:02:55.4 (198)</v>
      </c>
      <c r="M221" s="59" t="str">
        <f>IFERROR(VLOOKUP($A221,SortedDownload!$A$3:$BB$499,26,FALSE),"")</f>
        <v>DNS/DNF ()</v>
      </c>
      <c r="N221" s="59" t="str">
        <f>IFERROR(VLOOKUP($A221,SortedDownload!$A$3:$BB$499,27,FALSE),"")</f>
        <v>00:06:24.2 (179)</v>
      </c>
      <c r="O221" s="59" t="str">
        <f>IFERROR(VLOOKUP($A221,SortedDownload!$A$3:$BB$499,28,FALSE),"")</f>
        <v>DNS/DNF ()</v>
      </c>
      <c r="P221" s="59" t="str">
        <f>IFERROR(VLOOKUP($A221,SortedDownload!$A$3:$BB$499,29,FALSE),"")</f>
        <v>DNS/DNF ()</v>
      </c>
      <c r="Q221" s="59" t="str">
        <f>IFERROR(VLOOKUP($A221,SortedDownload!$A$3:$BB$499,30,FALSE),"")</f>
        <v>DNS/DNF ()</v>
      </c>
      <c r="R221" s="62" t="str">
        <f>IFERROR(TEXT(VLOOKUP($A221,SortedDownload!$A$3:$Z$499,14,FALSE),"[hh]:mm:ss.000"),"")</f>
        <v>00:15:24.502</v>
      </c>
      <c r="S221" s="83" t="str">
        <f t="shared" si="11"/>
        <v>00:02</v>
      </c>
      <c r="T221" s="83" t="str">
        <f t="shared" si="9"/>
        <v>N/A</v>
      </c>
      <c r="U221" s="9" t="str">
        <f t="shared" si="10"/>
        <v/>
      </c>
      <c r="V221" s="20" t="str">
        <f>IFERROR(IF(VLOOKUP(H221,AgeCategories!$D$3:$J$32,7,FALSE)=I221,"","DNF"),"")</f>
        <v/>
      </c>
      <c r="W221" s="9"/>
      <c r="X221" s="9"/>
    </row>
    <row r="222" spans="1:24">
      <c r="A222" s="53">
        <f>IF(SortedDownload!A222 &lt; 1,"",SortedDownload!A222)</f>
        <v>272</v>
      </c>
      <c r="B222" s="55">
        <f>IF(V222&lt;&gt;"","DNF",COUNTIF($V$3:V222,V222))</f>
        <v>205</v>
      </c>
      <c r="C222" s="54">
        <f>IF(OR(B222="DNF",H222=""),"DNF",COUNTIF($H$3:H222,H222))</f>
        <v>8</v>
      </c>
      <c r="D222" s="90" t="str">
        <f>IFERROR(VLOOKUP($A222,EntryList!$A$3:$N$596,2,FALSE),"")</f>
        <v>Alisha Myers</v>
      </c>
      <c r="E222" s="54">
        <f>IFERROR(VLOOKUP($A222,EntryList!$A$3:$V$596,19,FALSE),"")</f>
        <v>0</v>
      </c>
      <c r="F222" s="176">
        <f>IFERROR(VLOOKUP($A222,EntryList!$A$3:$V$596,18,FALSE),"")</f>
        <v>0</v>
      </c>
      <c r="G222" s="90" t="str">
        <f>IFERROR(VLOOKUP($A222,EntryList!$A$3:$N$596,6,FALSE),"")</f>
        <v>F</v>
      </c>
      <c r="H222" s="90" t="str">
        <f>IFERROR(VLOOKUP($A222,EntryList!$A$3:$N$596,7,FALSE),"")</f>
        <v>Lite F</v>
      </c>
      <c r="I222" s="54">
        <f>IFERROR(VLOOKUP($A222,SortedDownload!$A$3:$Z718,4,FALSE),"")</f>
        <v>3</v>
      </c>
      <c r="J222" s="59" t="str">
        <f>IFERROR(VLOOKUP($A222,SortedDownload!$A$3:$BB$499,23,FALSE),"")</f>
        <v>DNS/DNF ()</v>
      </c>
      <c r="K222" s="59" t="str">
        <f>IFERROR(VLOOKUP($A222,SortedDownload!$A$3:$BB$499,24,FALSE),"")</f>
        <v>00:05:23.1 (222)</v>
      </c>
      <c r="L222" s="59" t="str">
        <f>IFERROR(VLOOKUP($A222,SortedDownload!$A$3:$BB$499,25,FALSE),"")</f>
        <v>00:03:03.9 (213)</v>
      </c>
      <c r="M222" s="59" t="str">
        <f>IFERROR(VLOOKUP($A222,SortedDownload!$A$3:$BB$499,26,FALSE),"")</f>
        <v>DNS/DNF ()</v>
      </c>
      <c r="N222" s="59" t="str">
        <f>IFERROR(VLOOKUP($A222,SortedDownload!$A$3:$BB$499,27,FALSE),"")</f>
        <v>00:06:57.9 (214)</v>
      </c>
      <c r="O222" s="59" t="str">
        <f>IFERROR(VLOOKUP($A222,SortedDownload!$A$3:$BB$499,28,FALSE),"")</f>
        <v>DNS/DNF ()</v>
      </c>
      <c r="P222" s="59" t="str">
        <f>IFERROR(VLOOKUP($A222,SortedDownload!$A$3:$BB$499,29,FALSE),"")</f>
        <v>DNS/DNF ()</v>
      </c>
      <c r="Q222" s="59" t="str">
        <f>IFERROR(VLOOKUP($A222,SortedDownload!$A$3:$BB$499,30,FALSE),"")</f>
        <v>DNS/DNF ()</v>
      </c>
      <c r="R222" s="62" t="str">
        <f>IFERROR(TEXT(VLOOKUP($A222,SortedDownload!$A$3:$Z$499,14,FALSE),"[hh]:mm:ss.000"),"")</f>
        <v>00:15:24.902</v>
      </c>
      <c r="S222" s="83" t="str">
        <f t="shared" si="11"/>
        <v>00:00</v>
      </c>
      <c r="T222" s="83" t="str">
        <f t="shared" si="9"/>
        <v>N/A</v>
      </c>
      <c r="U222" s="9" t="str">
        <f t="shared" si="10"/>
        <v/>
      </c>
      <c r="V222" s="20" t="str">
        <f>IFERROR(IF(VLOOKUP(H222,AgeCategories!$D$3:$J$32,7,FALSE)=I222,"","DNF"),"")</f>
        <v/>
      </c>
      <c r="W222" s="9"/>
      <c r="X222" s="9"/>
    </row>
    <row r="223" spans="1:24">
      <c r="A223" s="53">
        <f>IF(SortedDownload!A223 &lt; 1,"",SortedDownload!A223)</f>
        <v>21</v>
      </c>
      <c r="B223" s="55">
        <f>IF(V223&lt;&gt;"","DNF",COUNTIF($V$3:V223,V223))</f>
        <v>206</v>
      </c>
      <c r="C223" s="54">
        <f>IF(OR(B223="DNF",H223=""),"DNF",COUNTIF($H$3:H223,H223))</f>
        <v>41</v>
      </c>
      <c r="D223" s="90" t="str">
        <f>IFERROR(VLOOKUP($A223,EntryList!$A$3:$N$596,2,FALSE),"")</f>
        <v>Adam Bethlehem</v>
      </c>
      <c r="E223" s="54">
        <f>IFERROR(VLOOKUP($A223,EntryList!$A$3:$V$596,19,FALSE),"")</f>
        <v>0</v>
      </c>
      <c r="F223" s="176">
        <f>IFERROR(VLOOKUP($A223,EntryList!$A$3:$V$596,18,FALSE),"")</f>
        <v>0</v>
      </c>
      <c r="G223" s="90" t="str">
        <f>IFERROR(VLOOKUP($A223,EntryList!$A$3:$N$596,6,FALSE),"")</f>
        <v>M</v>
      </c>
      <c r="H223" s="90" t="str">
        <f>IFERROR(VLOOKUP($A223,EntryList!$A$3:$N$596,7,FALSE),"")</f>
        <v>Lite M</v>
      </c>
      <c r="I223" s="54">
        <f>IFERROR(VLOOKUP($A223,SortedDownload!$A$3:$Z719,4,FALSE),"")</f>
        <v>3</v>
      </c>
      <c r="J223" s="59" t="str">
        <f>IFERROR(VLOOKUP($A223,SortedDownload!$A$3:$BB$499,23,FALSE),"")</f>
        <v>DNS/DNF ()</v>
      </c>
      <c r="K223" s="59" t="str">
        <f>IFERROR(VLOOKUP($A223,SortedDownload!$A$3:$BB$499,24,FALSE),"")</f>
        <v>00:05:30.2 (229)</v>
      </c>
      <c r="L223" s="59" t="str">
        <f>IFERROR(VLOOKUP($A223,SortedDownload!$A$3:$BB$499,25,FALSE),"")</f>
        <v>00:03:18.2 (225)</v>
      </c>
      <c r="M223" s="59" t="str">
        <f>IFERROR(VLOOKUP($A223,SortedDownload!$A$3:$BB$499,26,FALSE),"")</f>
        <v>DNS/DNF ()</v>
      </c>
      <c r="N223" s="59" t="str">
        <f>IFERROR(VLOOKUP($A223,SortedDownload!$A$3:$BB$499,27,FALSE),"")</f>
        <v>00:06:36.7 (198)</v>
      </c>
      <c r="O223" s="59" t="str">
        <f>IFERROR(VLOOKUP($A223,SortedDownload!$A$3:$BB$499,28,FALSE),"")</f>
        <v>DNS/DNF ()</v>
      </c>
      <c r="P223" s="59" t="str">
        <f>IFERROR(VLOOKUP($A223,SortedDownload!$A$3:$BB$499,29,FALSE),"")</f>
        <v>DNS/DNF ()</v>
      </c>
      <c r="Q223" s="59" t="str">
        <f>IFERROR(VLOOKUP($A223,SortedDownload!$A$3:$BB$499,30,FALSE),"")</f>
        <v>DNS/DNF ()</v>
      </c>
      <c r="R223" s="62" t="str">
        <f>IFERROR(TEXT(VLOOKUP($A223,SortedDownload!$A$3:$Z$499,14,FALSE),"[hh]:mm:ss.000"),"")</f>
        <v>00:15:25.181</v>
      </c>
      <c r="S223" s="83" t="str">
        <f t="shared" si="11"/>
        <v>00:00</v>
      </c>
      <c r="T223" s="83" t="str">
        <f t="shared" si="9"/>
        <v>N/A</v>
      </c>
      <c r="U223" s="9" t="str">
        <f t="shared" si="10"/>
        <v/>
      </c>
      <c r="V223" s="20" t="str">
        <f>IFERROR(IF(VLOOKUP(H223,AgeCategories!$D$3:$J$32,7,FALSE)=I223,"","DNF"),"")</f>
        <v/>
      </c>
      <c r="W223" s="9"/>
      <c r="X223" s="9"/>
    </row>
    <row r="224" spans="1:24">
      <c r="A224" s="53">
        <f>IF(SortedDownload!A224 &lt; 1,"",SortedDownload!A224)</f>
        <v>121</v>
      </c>
      <c r="B224" s="55">
        <f>IF(V224&lt;&gt;"","DNF",COUNTIF($V$3:V224,V224))</f>
        <v>207</v>
      </c>
      <c r="C224" s="54">
        <f>IF(OR(B224="DNF",H224=""),"DNF",COUNTIF($H$3:H224,H224))</f>
        <v>15</v>
      </c>
      <c r="D224" s="90" t="str">
        <f>IFERROR(VLOOKUP($A224,EntryList!$A$3:$N$596,2,FALSE),"")</f>
        <v>Gabriel Cohn</v>
      </c>
      <c r="E224" s="54">
        <f>IFERROR(VLOOKUP($A224,EntryList!$A$3:$V$596,19,FALSE),"")</f>
        <v>0</v>
      </c>
      <c r="F224" s="176">
        <f>IFERROR(VLOOKUP($A224,EntryList!$A$3:$V$596,18,FALSE),"")</f>
        <v>0</v>
      </c>
      <c r="G224" s="90" t="str">
        <f>IFERROR(VLOOKUP($A224,EntryList!$A$3:$N$596,6,FALSE),"")</f>
        <v>M</v>
      </c>
      <c r="H224" s="90" t="str">
        <f>IFERROR(VLOOKUP($A224,EntryList!$A$3:$N$596,7,FALSE),"")</f>
        <v>Sub Junior Boys</v>
      </c>
      <c r="I224" s="54">
        <f>IFERROR(VLOOKUP($A224,SortedDownload!$A$3:$Z720,4,FALSE),"")</f>
        <v>3</v>
      </c>
      <c r="J224" s="59" t="str">
        <f>IFERROR(VLOOKUP($A224,SortedDownload!$A$3:$BB$499,23,FALSE),"")</f>
        <v>DNS/DNF ()</v>
      </c>
      <c r="K224" s="59" t="str">
        <f>IFERROR(VLOOKUP($A224,SortedDownload!$A$3:$BB$499,24,FALSE),"")</f>
        <v>00:05:32.2 (232)</v>
      </c>
      <c r="L224" s="59" t="str">
        <f>IFERROR(VLOOKUP($A224,SortedDownload!$A$3:$BB$499,25,FALSE),"")</f>
        <v>00:03:21.7 (227)</v>
      </c>
      <c r="M224" s="59" t="str">
        <f>IFERROR(VLOOKUP($A224,SortedDownload!$A$3:$BB$499,26,FALSE),"")</f>
        <v>DNS/DNF ()</v>
      </c>
      <c r="N224" s="59" t="str">
        <f>IFERROR(VLOOKUP($A224,SortedDownload!$A$3:$BB$499,27,FALSE),"")</f>
        <v>00:06:40.6 (201)</v>
      </c>
      <c r="O224" s="59" t="str">
        <f>IFERROR(VLOOKUP($A224,SortedDownload!$A$3:$BB$499,28,FALSE),"")</f>
        <v>DNS/DNF ()</v>
      </c>
      <c r="P224" s="59" t="str">
        <f>IFERROR(VLOOKUP($A224,SortedDownload!$A$3:$BB$499,29,FALSE),"")</f>
        <v>DNS/DNF ()</v>
      </c>
      <c r="Q224" s="59" t="str">
        <f>IFERROR(VLOOKUP($A224,SortedDownload!$A$3:$BB$499,30,FALSE),"")</f>
        <v>DNS/DNF ()</v>
      </c>
      <c r="R224" s="62" t="str">
        <f>IFERROR(TEXT(VLOOKUP($A224,SortedDownload!$A$3:$Z$499,14,FALSE),"[hh]:mm:ss.000"),"")</f>
        <v>00:15:34.511</v>
      </c>
      <c r="S224" s="83" t="str">
        <f t="shared" si="11"/>
        <v>00:09</v>
      </c>
      <c r="T224" s="83" t="str">
        <f t="shared" si="9"/>
        <v>N/A</v>
      </c>
      <c r="U224" s="9" t="str">
        <f t="shared" si="10"/>
        <v/>
      </c>
      <c r="V224" s="20" t="str">
        <f>IFERROR(IF(VLOOKUP(H224,AgeCategories!$D$3:$J$32,7,FALSE)=I224,"","DNF"),"")</f>
        <v/>
      </c>
      <c r="W224" s="9"/>
      <c r="X224" s="9"/>
    </row>
    <row r="225" spans="1:24">
      <c r="A225" s="53">
        <f>IF(SortedDownload!A225 &lt; 1,"",SortedDownload!A225)</f>
        <v>28</v>
      </c>
      <c r="B225" s="55">
        <f>IF(V225&lt;&gt;"","DNF",COUNTIF($V$3:V225,V225))</f>
        <v>208</v>
      </c>
      <c r="C225" s="54">
        <f>IF(OR(B225="DNF",H225=""),"DNF",COUNTIF($H$3:H225,H225))</f>
        <v>42</v>
      </c>
      <c r="D225" s="90" t="str">
        <f>IFERROR(VLOOKUP($A225,EntryList!$A$3:$N$596,2,FALSE),"")</f>
        <v>Ridoh Gamildien</v>
      </c>
      <c r="E225" s="54">
        <f>IFERROR(VLOOKUP($A225,EntryList!$A$3:$V$596,19,FALSE),"")</f>
        <v>0</v>
      </c>
      <c r="F225" s="176">
        <f>IFERROR(VLOOKUP($A225,EntryList!$A$3:$V$596,18,FALSE),"")</f>
        <v>0</v>
      </c>
      <c r="G225" s="90" t="str">
        <f>IFERROR(VLOOKUP($A225,EntryList!$A$3:$N$596,6,FALSE),"")</f>
        <v>M</v>
      </c>
      <c r="H225" s="90" t="str">
        <f>IFERROR(VLOOKUP($A225,EntryList!$A$3:$N$596,7,FALSE),"")</f>
        <v>Lite M</v>
      </c>
      <c r="I225" s="54">
        <f>IFERROR(VLOOKUP($A225,SortedDownload!$A$3:$Z721,4,FALSE),"")</f>
        <v>3</v>
      </c>
      <c r="J225" s="59" t="str">
        <f>IFERROR(VLOOKUP($A225,SortedDownload!$A$3:$BB$499,23,FALSE),"")</f>
        <v>DNS/DNF ()</v>
      </c>
      <c r="K225" s="59" t="str">
        <f>IFERROR(VLOOKUP($A225,SortedDownload!$A$3:$BB$499,24,FALSE),"")</f>
        <v>00:05:26.2 (225)</v>
      </c>
      <c r="L225" s="59" t="str">
        <f>IFERROR(VLOOKUP($A225,SortedDownload!$A$3:$BB$499,25,FALSE),"")</f>
        <v>00:03:22.4 (229)</v>
      </c>
      <c r="M225" s="59" t="str">
        <f>IFERROR(VLOOKUP($A225,SortedDownload!$A$3:$BB$499,26,FALSE),"")</f>
        <v>DNS/DNF ()</v>
      </c>
      <c r="N225" s="59" t="str">
        <f>IFERROR(VLOOKUP($A225,SortedDownload!$A$3:$BB$499,27,FALSE),"")</f>
        <v>00:06:46.8 (207)</v>
      </c>
      <c r="O225" s="59" t="str">
        <f>IFERROR(VLOOKUP($A225,SortedDownload!$A$3:$BB$499,28,FALSE),"")</f>
        <v>DNS/DNF ()</v>
      </c>
      <c r="P225" s="59" t="str">
        <f>IFERROR(VLOOKUP($A225,SortedDownload!$A$3:$BB$499,29,FALSE),"")</f>
        <v>DNS/DNF ()</v>
      </c>
      <c r="Q225" s="59" t="str">
        <f>IFERROR(VLOOKUP($A225,SortedDownload!$A$3:$BB$499,30,FALSE),"")</f>
        <v>DNS/DNF ()</v>
      </c>
      <c r="R225" s="62" t="str">
        <f>IFERROR(TEXT(VLOOKUP($A225,SortedDownload!$A$3:$Z$499,14,FALSE),"[hh]:mm:ss.000"),"")</f>
        <v>00:15:35.406</v>
      </c>
      <c r="S225" s="83" t="str">
        <f t="shared" si="11"/>
        <v>00:01</v>
      </c>
      <c r="T225" s="83" t="str">
        <f t="shared" si="9"/>
        <v>N/A</v>
      </c>
      <c r="U225" s="9" t="str">
        <f t="shared" si="10"/>
        <v/>
      </c>
      <c r="V225" s="20" t="str">
        <f>IFERROR(IF(VLOOKUP(H225,AgeCategories!$D$3:$J$32,7,FALSE)=I225,"","DNF"),"")</f>
        <v/>
      </c>
      <c r="W225" s="9"/>
      <c r="X225" s="9"/>
    </row>
    <row r="226" spans="1:24">
      <c r="A226" s="53">
        <f>IF(SortedDownload!A226 &lt; 1,"",SortedDownload!A226)</f>
        <v>181</v>
      </c>
      <c r="B226" s="55">
        <f>IF(V226&lt;&gt;"","DNF",COUNTIF($V$3:V226,V226))</f>
        <v>209</v>
      </c>
      <c r="C226" s="54">
        <f>IF(OR(B226="DNF",H226=""),"DNF",COUNTIF($H$3:H226,H226))</f>
        <v>2</v>
      </c>
      <c r="D226" s="90" t="str">
        <f>IFERROR(VLOOKUP($A226,EntryList!$A$3:$N$596,2,FALSE),"")</f>
        <v>Robert-John Behan</v>
      </c>
      <c r="E226" s="54" t="str">
        <f>IFERROR(VLOOKUP($A226,EntryList!$A$3:$V$596,19,FALSE),"")</f>
        <v/>
      </c>
      <c r="F226" s="176" t="str">
        <f>IFERROR(VLOOKUP($A226,EntryList!$A$3:$V$596,18,FALSE),"")</f>
        <v/>
      </c>
      <c r="G226" s="90" t="str">
        <f>IFERROR(VLOOKUP($A226,EntryList!$A$3:$N$596,6,FALSE),"")</f>
        <v>M</v>
      </c>
      <c r="H226" s="90" t="str">
        <f>IFERROR(VLOOKUP($A226,EntryList!$A$3:$N$596,7,FALSE),"")</f>
        <v>Nipper Boys</v>
      </c>
      <c r="I226" s="54">
        <f>IFERROR(VLOOKUP($A226,SortedDownload!$A$3:$Z722,4,FALSE),"")</f>
        <v>3</v>
      </c>
      <c r="J226" s="59" t="str">
        <f>IFERROR(VLOOKUP($A226,SortedDownload!$A$3:$BB$499,23,FALSE),"")</f>
        <v>DNS/DNF ()</v>
      </c>
      <c r="K226" s="59" t="str">
        <f>IFERROR(VLOOKUP($A226,SortedDownload!$A$3:$BB$499,24,FALSE),"")</f>
        <v>00:05:18.1 (218)</v>
      </c>
      <c r="L226" s="59" t="str">
        <f>IFERROR(VLOOKUP($A226,SortedDownload!$A$3:$BB$499,25,FALSE),"")</f>
        <v>00:03:21.5 (226)</v>
      </c>
      <c r="M226" s="59" t="str">
        <f>IFERROR(VLOOKUP($A226,SortedDownload!$A$3:$BB$499,26,FALSE),"")</f>
        <v>DNS/DNF ()</v>
      </c>
      <c r="N226" s="59" t="str">
        <f>IFERROR(VLOOKUP($A226,SortedDownload!$A$3:$BB$499,27,FALSE),"")</f>
        <v>00:06:58.3 (215)</v>
      </c>
      <c r="O226" s="59" t="str">
        <f>IFERROR(VLOOKUP($A226,SortedDownload!$A$3:$BB$499,28,FALSE),"")</f>
        <v>DNS/DNF ()</v>
      </c>
      <c r="P226" s="59" t="str">
        <f>IFERROR(VLOOKUP($A226,SortedDownload!$A$3:$BB$499,29,FALSE),"")</f>
        <v>DNS/DNF ()</v>
      </c>
      <c r="Q226" s="59" t="str">
        <f>IFERROR(VLOOKUP($A226,SortedDownload!$A$3:$BB$499,30,FALSE),"")</f>
        <v>DNS/DNF ()</v>
      </c>
      <c r="R226" s="62" t="str">
        <f>IFERROR(TEXT(VLOOKUP($A226,SortedDownload!$A$3:$Z$499,14,FALSE),"[hh]:mm:ss.000"),"")</f>
        <v>00:15:37.932</v>
      </c>
      <c r="S226" s="83" t="str">
        <f t="shared" si="11"/>
        <v>00:03</v>
      </c>
      <c r="T226" s="83" t="str">
        <f t="shared" si="9"/>
        <v>N/A</v>
      </c>
      <c r="U226" s="9" t="str">
        <f t="shared" si="10"/>
        <v/>
      </c>
      <c r="V226" s="20" t="str">
        <f>IFERROR(IF(VLOOKUP(H226,AgeCategories!$D$3:$J$32,7,FALSE)=I226,"","DNF"),"")</f>
        <v/>
      </c>
      <c r="W226" s="9"/>
      <c r="X226" s="9"/>
    </row>
    <row r="227" spans="1:24">
      <c r="A227" s="53">
        <f>IF(SortedDownload!A227 &lt; 1,"",SortedDownload!A227)</f>
        <v>282</v>
      </c>
      <c r="B227" s="55">
        <f>IF(V227&lt;&gt;"","DNF",COUNTIF($V$3:V227,V227))</f>
        <v>210</v>
      </c>
      <c r="C227" s="54">
        <f>IF(OR(B227="DNF",H227=""),"DNF",COUNTIF($H$3:H227,H227))</f>
        <v>43</v>
      </c>
      <c r="D227" s="90" t="str">
        <f>IFERROR(VLOOKUP($A227,EntryList!$A$3:$N$596,2,FALSE),"")</f>
        <v>John Kabalin</v>
      </c>
      <c r="E227" s="54">
        <f>IFERROR(VLOOKUP($A227,EntryList!$A$3:$V$596,19,FALSE),"")</f>
        <v>0</v>
      </c>
      <c r="F227" s="176">
        <f>IFERROR(VLOOKUP($A227,EntryList!$A$3:$V$596,18,FALSE),"")</f>
        <v>0</v>
      </c>
      <c r="G227" s="90" t="str">
        <f>IFERROR(VLOOKUP($A227,EntryList!$A$3:$N$596,6,FALSE),"")</f>
        <v>M</v>
      </c>
      <c r="H227" s="90" t="str">
        <f>IFERROR(VLOOKUP($A227,EntryList!$A$3:$N$596,7,FALSE),"")</f>
        <v>Lite M</v>
      </c>
      <c r="I227" s="54">
        <f>IFERROR(VLOOKUP($A227,SortedDownload!$A$3:$Z723,4,FALSE),"")</f>
        <v>3</v>
      </c>
      <c r="J227" s="59" t="str">
        <f>IFERROR(VLOOKUP($A227,SortedDownload!$A$3:$BB$499,23,FALSE),"")</f>
        <v>DNS/DNF ()</v>
      </c>
      <c r="K227" s="59" t="str">
        <f>IFERROR(VLOOKUP($A227,SortedDownload!$A$3:$BB$499,24,FALSE),"")</f>
        <v>00:05:40.2 (237)</v>
      </c>
      <c r="L227" s="59" t="str">
        <f>IFERROR(VLOOKUP($A227,SortedDownload!$A$3:$BB$499,25,FALSE),"")</f>
        <v>00:03:13.0 (219)</v>
      </c>
      <c r="M227" s="59" t="str">
        <f>IFERROR(VLOOKUP($A227,SortedDownload!$A$3:$BB$499,26,FALSE),"")</f>
        <v>DNS/DNF ()</v>
      </c>
      <c r="N227" s="59" t="str">
        <f>IFERROR(VLOOKUP($A227,SortedDownload!$A$3:$BB$499,27,FALSE),"")</f>
        <v>00:06:48.1 (210)</v>
      </c>
      <c r="O227" s="59" t="str">
        <f>IFERROR(VLOOKUP($A227,SortedDownload!$A$3:$BB$499,28,FALSE),"")</f>
        <v>DNS/DNF ()</v>
      </c>
      <c r="P227" s="59" t="str">
        <f>IFERROR(VLOOKUP($A227,SortedDownload!$A$3:$BB$499,29,FALSE),"")</f>
        <v>DNS/DNF ()</v>
      </c>
      <c r="Q227" s="59" t="str">
        <f>IFERROR(VLOOKUP($A227,SortedDownload!$A$3:$BB$499,30,FALSE),"")</f>
        <v>DNS/DNF ()</v>
      </c>
      <c r="R227" s="62" t="str">
        <f>IFERROR(TEXT(VLOOKUP($A227,SortedDownload!$A$3:$Z$499,14,FALSE),"[hh]:mm:ss.000"),"")</f>
        <v>00:15:41.359</v>
      </c>
      <c r="S227" s="83" t="str">
        <f t="shared" si="11"/>
        <v>00:03</v>
      </c>
      <c r="T227" s="83" t="str">
        <f t="shared" si="9"/>
        <v>N/A</v>
      </c>
      <c r="U227" s="9" t="str">
        <f t="shared" si="10"/>
        <v/>
      </c>
      <c r="V227" s="20" t="str">
        <f>IFERROR(IF(VLOOKUP(H227,AgeCategories!$D$3:$J$32,7,FALSE)=I227,"","DNF"),"")</f>
        <v/>
      </c>
      <c r="W227" s="9"/>
      <c r="X227" s="9"/>
    </row>
    <row r="228" spans="1:24">
      <c r="A228" s="53">
        <f>IF(SortedDownload!A228 &lt; 1,"",SortedDownload!A228)</f>
        <v>116</v>
      </c>
      <c r="B228" s="55">
        <f>IF(V228&lt;&gt;"","DNF",COUNTIF($V$3:V228,V228))</f>
        <v>211</v>
      </c>
      <c r="C228" s="54">
        <f>IF(OR(B228="DNF",H228=""),"DNF",COUNTIF($H$3:H228,H228))</f>
        <v>44</v>
      </c>
      <c r="D228" s="90" t="str">
        <f>IFERROR(VLOOKUP($A228,EntryList!$A$3:$N$596,2,FALSE),"")</f>
        <v>Dean Du Plooy</v>
      </c>
      <c r="E228" s="54">
        <f>IFERROR(VLOOKUP($A228,EntryList!$A$3:$V$596,19,FALSE),"")</f>
        <v>0</v>
      </c>
      <c r="F228" s="176">
        <f>IFERROR(VLOOKUP($A228,EntryList!$A$3:$V$596,18,FALSE),"")</f>
        <v>0</v>
      </c>
      <c r="G228" s="90" t="str">
        <f>IFERROR(VLOOKUP($A228,EntryList!$A$3:$N$596,6,FALSE),"")</f>
        <v>M</v>
      </c>
      <c r="H228" s="90" t="str">
        <f>IFERROR(VLOOKUP($A228,EntryList!$A$3:$N$596,7,FALSE),"")</f>
        <v>Lite M</v>
      </c>
      <c r="I228" s="54">
        <f>IFERROR(VLOOKUP($A228,SortedDownload!$A$3:$Z724,4,FALSE),"")</f>
        <v>3</v>
      </c>
      <c r="J228" s="59" t="str">
        <f>IFERROR(VLOOKUP($A228,SortedDownload!$A$3:$BB$499,23,FALSE),"")</f>
        <v>DNS/DNF ()</v>
      </c>
      <c r="K228" s="59" t="str">
        <f>IFERROR(VLOOKUP($A228,SortedDownload!$A$3:$BB$499,24,FALSE),"")</f>
        <v>00:05:24.2 (223)</v>
      </c>
      <c r="L228" s="59" t="str">
        <f>IFERROR(VLOOKUP($A228,SortedDownload!$A$3:$BB$499,25,FALSE),"")</f>
        <v>00:03:21.9 (228)</v>
      </c>
      <c r="M228" s="59" t="str">
        <f>IFERROR(VLOOKUP($A228,SortedDownload!$A$3:$BB$499,26,FALSE),"")</f>
        <v>DNS/DNF ()</v>
      </c>
      <c r="N228" s="59" t="str">
        <f>IFERROR(VLOOKUP($A228,SortedDownload!$A$3:$BB$499,27,FALSE),"")</f>
        <v>00:07:01.4 (217)</v>
      </c>
      <c r="O228" s="59" t="str">
        <f>IFERROR(VLOOKUP($A228,SortedDownload!$A$3:$BB$499,28,FALSE),"")</f>
        <v>DNS/DNF ()</v>
      </c>
      <c r="P228" s="59" t="str">
        <f>IFERROR(VLOOKUP($A228,SortedDownload!$A$3:$BB$499,29,FALSE),"")</f>
        <v>DNS/DNF ()</v>
      </c>
      <c r="Q228" s="59" t="str">
        <f>IFERROR(VLOOKUP($A228,SortedDownload!$A$3:$BB$499,30,FALSE),"")</f>
        <v>DNS/DNF ()</v>
      </c>
      <c r="R228" s="62" t="str">
        <f>IFERROR(TEXT(VLOOKUP($A228,SortedDownload!$A$3:$Z$499,14,FALSE),"[hh]:mm:ss.000"),"")</f>
        <v>00:15:47.514</v>
      </c>
      <c r="S228" s="83" t="str">
        <f t="shared" si="11"/>
        <v>00:06</v>
      </c>
      <c r="T228" s="83" t="str">
        <f t="shared" si="9"/>
        <v>N/A</v>
      </c>
      <c r="U228" s="9" t="str">
        <f t="shared" si="10"/>
        <v/>
      </c>
      <c r="V228" s="20" t="str">
        <f>IFERROR(IF(VLOOKUP(H228,AgeCategories!$D$3:$J$32,7,FALSE)=I228,"","DNF"),"")</f>
        <v/>
      </c>
      <c r="W228" s="9"/>
      <c r="X228" s="9"/>
    </row>
    <row r="229" spans="1:24">
      <c r="A229" s="53">
        <f>IF(SortedDownload!A229 &lt; 1,"",SortedDownload!A229)</f>
        <v>50</v>
      </c>
      <c r="B229" s="55">
        <f>IF(V229&lt;&gt;"","DNF",COUNTIF($V$3:V229,V229))</f>
        <v>212</v>
      </c>
      <c r="C229" s="54">
        <f>IF(OR(B229="DNF",H229=""),"DNF",COUNTIF($H$3:H229,H229))</f>
        <v>45</v>
      </c>
      <c r="D229" s="90" t="str">
        <f>IFERROR(VLOOKUP($A229,EntryList!$A$3:$N$596,2,FALSE),"")</f>
        <v>Alan Chait</v>
      </c>
      <c r="E229" s="54">
        <f>IFERROR(VLOOKUP($A229,EntryList!$A$3:$V$596,19,FALSE),"")</f>
        <v>0</v>
      </c>
      <c r="F229" s="176">
        <f>IFERROR(VLOOKUP($A229,EntryList!$A$3:$V$596,18,FALSE),"")</f>
        <v>0</v>
      </c>
      <c r="G229" s="90" t="str">
        <f>IFERROR(VLOOKUP($A229,EntryList!$A$3:$N$596,6,FALSE),"")</f>
        <v>M</v>
      </c>
      <c r="H229" s="90" t="str">
        <f>IFERROR(VLOOKUP($A229,EntryList!$A$3:$N$596,7,FALSE),"")</f>
        <v>Lite M</v>
      </c>
      <c r="I229" s="54">
        <f>IFERROR(VLOOKUP($A229,SortedDownload!$A$3:$Z725,4,FALSE),"")</f>
        <v>3</v>
      </c>
      <c r="J229" s="59" t="str">
        <f>IFERROR(VLOOKUP($A229,SortedDownload!$A$3:$BB$499,23,FALSE),"")</f>
        <v>DNS/DNF ()</v>
      </c>
      <c r="K229" s="59" t="str">
        <f>IFERROR(VLOOKUP($A229,SortedDownload!$A$3:$BB$499,24,FALSE),"")</f>
        <v>00:05:57.3 (240)</v>
      </c>
      <c r="L229" s="59" t="str">
        <f>IFERROR(VLOOKUP($A229,SortedDownload!$A$3:$BB$499,25,FALSE),"")</f>
        <v>00:03:30.4 (235)</v>
      </c>
      <c r="M229" s="59" t="str">
        <f>IFERROR(VLOOKUP($A229,SortedDownload!$A$3:$BB$499,26,FALSE),"")</f>
        <v>DNS/DNF ()</v>
      </c>
      <c r="N229" s="59" t="str">
        <f>IFERROR(VLOOKUP($A229,SortedDownload!$A$3:$BB$499,27,FALSE),"")</f>
        <v>00:06:21.7 (176)</v>
      </c>
      <c r="O229" s="59" t="str">
        <f>IFERROR(VLOOKUP($A229,SortedDownload!$A$3:$BB$499,28,FALSE),"")</f>
        <v>DNS/DNF ()</v>
      </c>
      <c r="P229" s="59" t="str">
        <f>IFERROR(VLOOKUP($A229,SortedDownload!$A$3:$BB$499,29,FALSE),"")</f>
        <v>DNS/DNF ()</v>
      </c>
      <c r="Q229" s="59" t="str">
        <f>IFERROR(VLOOKUP($A229,SortedDownload!$A$3:$BB$499,30,FALSE),"")</f>
        <v>DNS/DNF ()</v>
      </c>
      <c r="R229" s="62" t="str">
        <f>IFERROR(TEXT(VLOOKUP($A229,SortedDownload!$A$3:$Z$499,14,FALSE),"[hh]:mm:ss.000"),"")</f>
        <v>00:15:49.377</v>
      </c>
      <c r="S229" s="83" t="str">
        <f t="shared" si="11"/>
        <v>00:02</v>
      </c>
      <c r="T229" s="83" t="str">
        <f t="shared" si="9"/>
        <v>N/A</v>
      </c>
      <c r="U229" s="9" t="str">
        <f t="shared" si="10"/>
        <v/>
      </c>
      <c r="V229" s="20" t="str">
        <f>IFERROR(IF(VLOOKUP(H229,AgeCategories!$D$3:$J$32,7,FALSE)=I229,"","DNF"),"")</f>
        <v/>
      </c>
      <c r="W229" s="9"/>
      <c r="X229" s="9"/>
    </row>
    <row r="230" spans="1:24">
      <c r="A230" s="53">
        <f>IF(SortedDownload!A230 &lt; 1,"",SortedDownload!A230)</f>
        <v>195</v>
      </c>
      <c r="B230" s="55">
        <f>IF(V230&lt;&gt;"","DNF",COUNTIF($V$3:V230,V230))</f>
        <v>213</v>
      </c>
      <c r="C230" s="54">
        <f>IF(OR(B230="DNF",H230=""),"DNF",COUNTIF($H$3:H230,H230))</f>
        <v>46</v>
      </c>
      <c r="D230" s="90" t="str">
        <f>IFERROR(VLOOKUP($A230,EntryList!$A$3:$N$596,2,FALSE),"")</f>
        <v>Karl Van Niekerk</v>
      </c>
      <c r="E230" s="54">
        <f>IFERROR(VLOOKUP($A230,EntryList!$A$3:$V$596,19,FALSE),"")</f>
        <v>0</v>
      </c>
      <c r="F230" s="176">
        <f>IFERROR(VLOOKUP($A230,EntryList!$A$3:$V$596,18,FALSE),"")</f>
        <v>0</v>
      </c>
      <c r="G230" s="90" t="str">
        <f>IFERROR(VLOOKUP($A230,EntryList!$A$3:$N$596,6,FALSE),"")</f>
        <v>M</v>
      </c>
      <c r="H230" s="90" t="str">
        <f>IFERROR(VLOOKUP($A230,EntryList!$A$3:$N$596,7,FALSE),"")</f>
        <v>Lite M</v>
      </c>
      <c r="I230" s="54">
        <f>IFERROR(VLOOKUP($A230,SortedDownload!$A$3:$Z726,4,FALSE),"")</f>
        <v>3</v>
      </c>
      <c r="J230" s="59" t="str">
        <f>IFERROR(VLOOKUP($A230,SortedDownload!$A$3:$BB$499,23,FALSE),"")</f>
        <v>DNS/DNF ()</v>
      </c>
      <c r="K230" s="59" t="str">
        <f>IFERROR(VLOOKUP($A230,SortedDownload!$A$3:$BB$499,24,FALSE),"")</f>
        <v>00:05:14.3 (215)</v>
      </c>
      <c r="L230" s="59" t="str">
        <f>IFERROR(VLOOKUP($A230,SortedDownload!$A$3:$BB$499,25,FALSE),"")</f>
        <v>00:03:00.7 (208)</v>
      </c>
      <c r="M230" s="59" t="str">
        <f>IFERROR(VLOOKUP($A230,SortedDownload!$A$3:$BB$499,26,FALSE),"")</f>
        <v>DNS/DNF ()</v>
      </c>
      <c r="N230" s="59" t="str">
        <f>IFERROR(VLOOKUP($A230,SortedDownload!$A$3:$BB$499,27,FALSE),"")</f>
        <v>00:07:36.3 (231)</v>
      </c>
      <c r="O230" s="59" t="str">
        <f>IFERROR(VLOOKUP($A230,SortedDownload!$A$3:$BB$499,28,FALSE),"")</f>
        <v>DNS/DNF ()</v>
      </c>
      <c r="P230" s="59" t="str">
        <f>IFERROR(VLOOKUP($A230,SortedDownload!$A$3:$BB$499,29,FALSE),"")</f>
        <v>DNS/DNF ()</v>
      </c>
      <c r="Q230" s="59" t="str">
        <f>IFERROR(VLOOKUP($A230,SortedDownload!$A$3:$BB$499,30,FALSE),"")</f>
        <v>DNS/DNF ()</v>
      </c>
      <c r="R230" s="62" t="str">
        <f>IFERROR(TEXT(VLOOKUP($A230,SortedDownload!$A$3:$Z$499,14,FALSE),"[hh]:mm:ss.000"),"")</f>
        <v>00:15:51.309</v>
      </c>
      <c r="S230" s="83" t="str">
        <f t="shared" si="11"/>
        <v>00:02</v>
      </c>
      <c r="T230" s="83" t="str">
        <f t="shared" si="9"/>
        <v>N/A</v>
      </c>
      <c r="U230" s="9" t="str">
        <f t="shared" si="10"/>
        <v/>
      </c>
      <c r="V230" s="20" t="str">
        <f>IFERROR(IF(VLOOKUP(H230,AgeCategories!$D$3:$J$32,7,FALSE)=I230,"","DNF"),"")</f>
        <v/>
      </c>
      <c r="W230" s="9"/>
      <c r="X230" s="9"/>
    </row>
    <row r="231" spans="1:24">
      <c r="A231" s="53">
        <f>IF(SortedDownload!A231 &lt; 1,"",SortedDownload!A231)</f>
        <v>64</v>
      </c>
      <c r="B231" s="55">
        <f>IF(V231&lt;&gt;"","DNF",COUNTIF($V$3:V231,V231))</f>
        <v>214</v>
      </c>
      <c r="C231" s="54">
        <f>IF(OR(B231="DNF",H231=""),"DNF",COUNTIF($H$3:H231,H231))</f>
        <v>9</v>
      </c>
      <c r="D231" s="90" t="str">
        <f>IFERROR(VLOOKUP($A231,EntryList!$A$3:$N$596,2,FALSE),"")</f>
        <v>Samantha Sharp</v>
      </c>
      <c r="E231" s="54">
        <f>IFERROR(VLOOKUP($A231,EntryList!$A$3:$V$596,19,FALSE),"")</f>
        <v>0</v>
      </c>
      <c r="F231" s="176">
        <f>IFERROR(VLOOKUP($A231,EntryList!$A$3:$V$596,18,FALSE),"")</f>
        <v>0</v>
      </c>
      <c r="G231" s="90" t="str">
        <f>IFERROR(VLOOKUP($A231,EntryList!$A$3:$N$596,6,FALSE),"")</f>
        <v>F</v>
      </c>
      <c r="H231" s="90" t="str">
        <f>IFERROR(VLOOKUP($A231,EntryList!$A$3:$N$596,7,FALSE),"")</f>
        <v>Lite F</v>
      </c>
      <c r="I231" s="54">
        <f>IFERROR(VLOOKUP($A231,SortedDownload!$A$3:$Z727,4,FALSE),"")</f>
        <v>3</v>
      </c>
      <c r="J231" s="59" t="str">
        <f>IFERROR(VLOOKUP($A231,SortedDownload!$A$3:$BB$499,23,FALSE),"")</f>
        <v>DNS/DNF ()</v>
      </c>
      <c r="K231" s="59" t="str">
        <f>IFERROR(VLOOKUP($A231,SortedDownload!$A$3:$BB$499,24,FALSE),"")</f>
        <v>00:05:35.2 (235)</v>
      </c>
      <c r="L231" s="59" t="str">
        <f>IFERROR(VLOOKUP($A231,SortedDownload!$A$3:$BB$499,25,FALSE),"")</f>
        <v>00:03:12.7 (218)</v>
      </c>
      <c r="M231" s="59" t="str">
        <f>IFERROR(VLOOKUP($A231,SortedDownload!$A$3:$BB$499,26,FALSE),"")</f>
        <v>DNS/DNF ()</v>
      </c>
      <c r="N231" s="59" t="str">
        <f>IFERROR(VLOOKUP($A231,SortedDownload!$A$3:$BB$499,27,FALSE),"")</f>
        <v>00:07:09.3 (220)</v>
      </c>
      <c r="O231" s="59" t="str">
        <f>IFERROR(VLOOKUP($A231,SortedDownload!$A$3:$BB$499,28,FALSE),"")</f>
        <v>DNS/DNF ()</v>
      </c>
      <c r="P231" s="59" t="str">
        <f>IFERROR(VLOOKUP($A231,SortedDownload!$A$3:$BB$499,29,FALSE),"")</f>
        <v>DNS/DNF ()</v>
      </c>
      <c r="Q231" s="59" t="str">
        <f>IFERROR(VLOOKUP($A231,SortedDownload!$A$3:$BB$499,30,FALSE),"")</f>
        <v>DNS/DNF ()</v>
      </c>
      <c r="R231" s="62" t="str">
        <f>IFERROR(TEXT(VLOOKUP($A231,SortedDownload!$A$3:$Z$499,14,FALSE),"[hh]:mm:ss.000"),"")</f>
        <v>00:15:57.169</v>
      </c>
      <c r="S231" s="83" t="str">
        <f t="shared" si="11"/>
        <v>00:06</v>
      </c>
      <c r="T231" s="83" t="str">
        <f t="shared" si="9"/>
        <v>N/A</v>
      </c>
      <c r="U231" s="9" t="str">
        <f t="shared" si="10"/>
        <v/>
      </c>
      <c r="V231" s="20" t="str">
        <f>IFERROR(IF(VLOOKUP(H231,AgeCategories!$D$3:$J$32,7,FALSE)=I231,"","DNF"),"")</f>
        <v/>
      </c>
      <c r="W231" s="9"/>
      <c r="X231" s="9"/>
    </row>
    <row r="232" spans="1:24">
      <c r="A232" s="53">
        <f>IF(SortedDownload!A232 &lt; 1,"",SortedDownload!A232)</f>
        <v>78</v>
      </c>
      <c r="B232" s="55">
        <f>IF(V232&lt;&gt;"","DNF",COUNTIF($V$3:V232,V232))</f>
        <v>215</v>
      </c>
      <c r="C232" s="54">
        <f>IF(OR(B232="DNF",H232=""),"DNF",COUNTIF($H$3:H232,H232))</f>
        <v>47</v>
      </c>
      <c r="D232" s="90" t="str">
        <f>IFERROR(VLOOKUP($A232,EntryList!$A$3:$N$596,2,FALSE),"")</f>
        <v>Dacre Ewan</v>
      </c>
      <c r="E232" s="54">
        <f>IFERROR(VLOOKUP($A232,EntryList!$A$3:$V$596,19,FALSE),"")</f>
        <v>0</v>
      </c>
      <c r="F232" s="176">
        <f>IFERROR(VLOOKUP($A232,EntryList!$A$3:$V$596,18,FALSE),"")</f>
        <v>0</v>
      </c>
      <c r="G232" s="90" t="str">
        <f>IFERROR(VLOOKUP($A232,EntryList!$A$3:$N$596,6,FALSE),"")</f>
        <v>M</v>
      </c>
      <c r="H232" s="90" t="str">
        <f>IFERROR(VLOOKUP($A232,EntryList!$A$3:$N$596,7,FALSE),"")</f>
        <v>Lite M</v>
      </c>
      <c r="I232" s="54">
        <f>IFERROR(VLOOKUP($A232,SortedDownload!$A$3:$Z728,4,FALSE),"")</f>
        <v>3</v>
      </c>
      <c r="J232" s="59" t="str">
        <f>IFERROR(VLOOKUP($A232,SortedDownload!$A$3:$BB$499,23,FALSE),"")</f>
        <v>DNS/DNF ()</v>
      </c>
      <c r="K232" s="59" t="str">
        <f>IFERROR(VLOOKUP($A232,SortedDownload!$A$3:$BB$499,24,FALSE),"")</f>
        <v>00:05:29.0 (227)</v>
      </c>
      <c r="L232" s="59" t="str">
        <f>IFERROR(VLOOKUP($A232,SortedDownload!$A$3:$BB$499,25,FALSE),"")</f>
        <v>00:03:27.4 (231)</v>
      </c>
      <c r="M232" s="59" t="str">
        <f>IFERROR(VLOOKUP($A232,SortedDownload!$A$3:$BB$499,26,FALSE),"")</f>
        <v>DNS/DNF ()</v>
      </c>
      <c r="N232" s="59" t="str">
        <f>IFERROR(VLOOKUP($A232,SortedDownload!$A$3:$BB$499,27,FALSE),"")</f>
        <v>00:07:06.7 (219)</v>
      </c>
      <c r="O232" s="59" t="str">
        <f>IFERROR(VLOOKUP($A232,SortedDownload!$A$3:$BB$499,28,FALSE),"")</f>
        <v>DNS/DNF ()</v>
      </c>
      <c r="P232" s="59" t="str">
        <f>IFERROR(VLOOKUP($A232,SortedDownload!$A$3:$BB$499,29,FALSE),"")</f>
        <v>DNS/DNF ()</v>
      </c>
      <c r="Q232" s="59" t="str">
        <f>IFERROR(VLOOKUP($A232,SortedDownload!$A$3:$BB$499,30,FALSE),"")</f>
        <v>DNS/DNF ()</v>
      </c>
      <c r="R232" s="62" t="str">
        <f>IFERROR(TEXT(VLOOKUP($A232,SortedDownload!$A$3:$Z$499,14,FALSE),"[hh]:mm:ss.000"),"")</f>
        <v>00:16:03.132</v>
      </c>
      <c r="S232" s="83" t="str">
        <f t="shared" si="11"/>
        <v>00:06</v>
      </c>
      <c r="T232" s="83" t="str">
        <f t="shared" si="9"/>
        <v>N/A</v>
      </c>
      <c r="U232" s="9" t="str">
        <f t="shared" si="10"/>
        <v/>
      </c>
      <c r="V232" s="20" t="str">
        <f>IFERROR(IF(VLOOKUP(H232,AgeCategories!$D$3:$J$32,7,FALSE)=I232,"","DNF"),"")</f>
        <v/>
      </c>
      <c r="W232" s="9"/>
      <c r="X232" s="9"/>
    </row>
    <row r="233" spans="1:24">
      <c r="A233" s="53">
        <f>IF(SortedDownload!A233 &lt; 1,"",SortedDownload!A233)</f>
        <v>203</v>
      </c>
      <c r="B233" s="55">
        <f>IF(V233&lt;&gt;"","DNF",COUNTIF($V$3:V233,V233))</f>
        <v>216</v>
      </c>
      <c r="C233" s="54">
        <f>IF(OR(B233="DNF",H233=""),"DNF",COUNTIF($H$3:H233,H233))</f>
        <v>16</v>
      </c>
      <c r="D233" s="90" t="str">
        <f>IFERROR(VLOOKUP($A233,EntryList!$A$3:$N$596,2,FALSE),"")</f>
        <v>Gean Boegman</v>
      </c>
      <c r="E233" s="54">
        <f>IFERROR(VLOOKUP($A233,EntryList!$A$3:$V$596,19,FALSE),"")</f>
        <v>0</v>
      </c>
      <c r="F233" s="176">
        <f>IFERROR(VLOOKUP($A233,EntryList!$A$3:$V$596,18,FALSE),"")</f>
        <v>0</v>
      </c>
      <c r="G233" s="90" t="str">
        <f>IFERROR(VLOOKUP($A233,EntryList!$A$3:$N$596,6,FALSE),"")</f>
        <v>M</v>
      </c>
      <c r="H233" s="90" t="str">
        <f>IFERROR(VLOOKUP($A233,EntryList!$A$3:$N$596,7,FALSE),"")</f>
        <v>Sub Junior Boys</v>
      </c>
      <c r="I233" s="54">
        <f>IFERROR(VLOOKUP($A233,SortedDownload!$A$3:$Z729,4,FALSE),"")</f>
        <v>3</v>
      </c>
      <c r="J233" s="59" t="str">
        <f>IFERROR(VLOOKUP($A233,SortedDownload!$A$3:$BB$499,23,FALSE),"")</f>
        <v>DNS/DNF ()</v>
      </c>
      <c r="K233" s="59" t="str">
        <f>IFERROR(VLOOKUP($A233,SortedDownload!$A$3:$BB$499,24,FALSE),"")</f>
        <v>00:05:53.6 (239)</v>
      </c>
      <c r="L233" s="59" t="str">
        <f>IFERROR(VLOOKUP($A233,SortedDownload!$A$3:$BB$499,25,FALSE),"")</f>
        <v>00:03:35.1 (237)</v>
      </c>
      <c r="M233" s="59" t="str">
        <f>IFERROR(VLOOKUP($A233,SortedDownload!$A$3:$BB$499,26,FALSE),"")</f>
        <v>DNS/DNF ()</v>
      </c>
      <c r="N233" s="59" t="str">
        <f>IFERROR(VLOOKUP($A233,SortedDownload!$A$3:$BB$499,27,FALSE),"")</f>
        <v>00:07:09.8 (222)</v>
      </c>
      <c r="O233" s="59" t="str">
        <f>IFERROR(VLOOKUP($A233,SortedDownload!$A$3:$BB$499,28,FALSE),"")</f>
        <v>DNS/DNF ()</v>
      </c>
      <c r="P233" s="59" t="str">
        <f>IFERROR(VLOOKUP($A233,SortedDownload!$A$3:$BB$499,29,FALSE),"")</f>
        <v>DNS/DNF ()</v>
      </c>
      <c r="Q233" s="59" t="str">
        <f>IFERROR(VLOOKUP($A233,SortedDownload!$A$3:$BB$499,30,FALSE),"")</f>
        <v>DNS/DNF ()</v>
      </c>
      <c r="R233" s="62" t="str">
        <f>IFERROR(TEXT(VLOOKUP($A233,SortedDownload!$A$3:$Z$499,14,FALSE),"[hh]:mm:ss.000"),"")</f>
        <v>00:16:38.453</v>
      </c>
      <c r="S233" s="83" t="str">
        <f t="shared" si="11"/>
        <v>00:35</v>
      </c>
      <c r="T233" s="83" t="str">
        <f t="shared" si="9"/>
        <v>N/A</v>
      </c>
      <c r="U233" s="9" t="str">
        <f t="shared" si="10"/>
        <v/>
      </c>
      <c r="V233" s="20" t="str">
        <f>IFERROR(IF(VLOOKUP(H233,AgeCategories!$D$3:$J$32,7,FALSE)=I233,"","DNF"),"")</f>
        <v/>
      </c>
      <c r="W233" s="9"/>
      <c r="X233" s="9"/>
    </row>
    <row r="234" spans="1:24">
      <c r="A234" s="53">
        <f>IF(SortedDownload!A234 &lt; 1,"",SortedDownload!A234)</f>
        <v>196</v>
      </c>
      <c r="B234" s="55">
        <f>IF(V234&lt;&gt;"","DNF",COUNTIF($V$3:V234,V234))</f>
        <v>217</v>
      </c>
      <c r="C234" s="54">
        <f>IF(OR(B234="DNF",H234=""),"DNF",COUNTIF($H$3:H234,H234))</f>
        <v>48</v>
      </c>
      <c r="D234" s="90" t="str">
        <f>IFERROR(VLOOKUP($A234,EntryList!$A$3:$N$596,2,FALSE),"")</f>
        <v>Daryn Clark</v>
      </c>
      <c r="E234" s="54" t="str">
        <f>IFERROR(VLOOKUP($A234,EntryList!$A$3:$V$596,19,FALSE),"")</f>
        <v/>
      </c>
      <c r="F234" s="176" t="str">
        <f>IFERROR(VLOOKUP($A234,EntryList!$A$3:$V$596,18,FALSE),"")</f>
        <v/>
      </c>
      <c r="G234" s="90" t="str">
        <f>IFERROR(VLOOKUP($A234,EntryList!$A$3:$N$596,6,FALSE),"")</f>
        <v>M</v>
      </c>
      <c r="H234" s="90" t="str">
        <f>IFERROR(VLOOKUP($A234,EntryList!$A$3:$N$596,7,FALSE),"")</f>
        <v>Lite M</v>
      </c>
      <c r="I234" s="54">
        <f>IFERROR(VLOOKUP($A234,SortedDownload!$A$3:$Z730,4,FALSE),"")</f>
        <v>3</v>
      </c>
      <c r="J234" s="59" t="str">
        <f>IFERROR(VLOOKUP($A234,SortedDownload!$A$3:$BB$499,23,FALSE),"")</f>
        <v>00:08:00.7 (138)</v>
      </c>
      <c r="K234" s="59" t="str">
        <f>IFERROR(VLOOKUP($A234,SortedDownload!$A$3:$BB$499,24,FALSE),"")</f>
        <v>00:05:31.5 (231)</v>
      </c>
      <c r="L234" s="59" t="str">
        <f>IFERROR(VLOOKUP($A234,SortedDownload!$A$3:$BB$499,25,FALSE),"")</f>
        <v>00:03:11.7 (217)</v>
      </c>
      <c r="M234" s="59" t="str">
        <f>IFERROR(VLOOKUP($A234,SortedDownload!$A$3:$BB$499,26,FALSE),"")</f>
        <v>DNS/DNF ()</v>
      </c>
      <c r="N234" s="59" t="str">
        <f>IFERROR(VLOOKUP($A234,SortedDownload!$A$3:$BB$499,27,FALSE),"")</f>
        <v>DNS/DNF ()</v>
      </c>
      <c r="O234" s="59" t="str">
        <f>IFERROR(VLOOKUP($A234,SortedDownload!$A$3:$BB$499,28,FALSE),"")</f>
        <v>DNS/DNF ()</v>
      </c>
      <c r="P234" s="59" t="str">
        <f>IFERROR(VLOOKUP($A234,SortedDownload!$A$3:$BB$499,29,FALSE),"")</f>
        <v>DNS/DNF ()</v>
      </c>
      <c r="Q234" s="59" t="str">
        <f>IFERROR(VLOOKUP($A234,SortedDownload!$A$3:$BB$499,30,FALSE),"")</f>
        <v>DNS/DNF ()</v>
      </c>
      <c r="R234" s="62" t="str">
        <f>IFERROR(TEXT(VLOOKUP($A234,SortedDownload!$A$3:$Z$499,14,FALSE),"[hh]:mm:ss.000"),"")</f>
        <v>00:16:43.938</v>
      </c>
      <c r="S234" s="83" t="str">
        <f t="shared" si="11"/>
        <v>00:05</v>
      </c>
      <c r="T234" s="83" t="str">
        <f t="shared" si="9"/>
        <v>N/A</v>
      </c>
      <c r="U234" s="9" t="str">
        <f t="shared" si="10"/>
        <v/>
      </c>
      <c r="V234" s="20" t="str">
        <f>IFERROR(IF(VLOOKUP(H234,AgeCategories!$D$3:$J$32,7,FALSE)=I234,"","DNF"),"")</f>
        <v/>
      </c>
      <c r="W234" s="9"/>
      <c r="X234" s="9"/>
    </row>
    <row r="235" spans="1:24">
      <c r="A235" s="53">
        <f>IF(SortedDownload!A235 &lt; 1,"",SortedDownload!A235)</f>
        <v>47</v>
      </c>
      <c r="B235" s="55">
        <f>IF(V235&lt;&gt;"","DNF",COUNTIF($V$3:V235,V235))</f>
        <v>218</v>
      </c>
      <c r="C235" s="54">
        <f>IF(OR(B235="DNF",H235=""),"DNF",COUNTIF($H$3:H235,H235))</f>
        <v>49</v>
      </c>
      <c r="D235" s="90" t="str">
        <f>IFERROR(VLOOKUP($A235,EntryList!$A$3:$N$596,2,FALSE),"")</f>
        <v>Ozair Hanware</v>
      </c>
      <c r="E235" s="54">
        <f>IFERROR(VLOOKUP($A235,EntryList!$A$3:$V$596,19,FALSE),"")</f>
        <v>0</v>
      </c>
      <c r="F235" s="176">
        <f>IFERROR(VLOOKUP($A235,EntryList!$A$3:$V$596,18,FALSE),"")</f>
        <v>0</v>
      </c>
      <c r="H235" s="90" t="str">
        <f>IFERROR(VLOOKUP($A235,EntryList!$A$3:$N$596,7,FALSE),"")</f>
        <v>Lite M</v>
      </c>
      <c r="I235" s="54">
        <f>IFERROR(VLOOKUP($A235,SortedDownload!$A$3:$Z731,4,FALSE),"")</f>
        <v>3</v>
      </c>
      <c r="J235" s="59" t="str">
        <f>IFERROR(VLOOKUP($A235,SortedDownload!$A$3:$BB$499,23,FALSE),"")</f>
        <v>DNS/DNF ()</v>
      </c>
      <c r="K235" s="59" t="str">
        <f>IFERROR(VLOOKUP($A235,SortedDownload!$A$3:$BB$499,24,FALSE),"")</f>
        <v>00:05:27.0 (226)</v>
      </c>
      <c r="L235" s="59" t="str">
        <f>IFERROR(VLOOKUP($A235,SortedDownload!$A$3:$BB$499,25,FALSE),"")</f>
        <v>00:04:05.3 (242)</v>
      </c>
      <c r="M235" s="59" t="str">
        <f>IFERROR(VLOOKUP($A235,SortedDownload!$A$3:$BB$499,26,FALSE),"")</f>
        <v>DNS/DNF ()</v>
      </c>
      <c r="N235" s="59" t="str">
        <f>IFERROR(VLOOKUP($A235,SortedDownload!$A$3:$BB$499,27,FALSE),"")</f>
        <v>00:07:19.3 (225)</v>
      </c>
      <c r="O235" s="59" t="str">
        <f>IFERROR(VLOOKUP($A235,SortedDownload!$A$3:$BB$499,28,FALSE),"")</f>
        <v>DNS/DNF ()</v>
      </c>
      <c r="P235" s="59" t="str">
        <f>IFERROR(VLOOKUP($A235,SortedDownload!$A$3:$BB$499,29,FALSE),"")</f>
        <v>DNS/DNF ()</v>
      </c>
      <c r="Q235" s="59" t="str">
        <f>IFERROR(VLOOKUP($A235,SortedDownload!$A$3:$BB$499,30,FALSE),"")</f>
        <v>DNS/DNF ()</v>
      </c>
      <c r="R235" s="62" t="str">
        <f>IFERROR(TEXT(VLOOKUP($A235,SortedDownload!$A$3:$Z$499,14,FALSE),"[hh]:mm:ss.000"),"")</f>
        <v>00:16:51.654</v>
      </c>
      <c r="S235" s="83" t="str">
        <f t="shared" si="11"/>
        <v>00:08</v>
      </c>
      <c r="T235" s="83" t="str">
        <f t="shared" si="9"/>
        <v>00:02</v>
      </c>
      <c r="U235" s="9" t="str">
        <f t="shared" si="10"/>
        <v/>
      </c>
      <c r="V235" s="20" t="str">
        <f>IFERROR(IF(VLOOKUP(H235,AgeCategories!$D$3:$J$32,7,FALSE)=I235,"","DNF"),"")</f>
        <v/>
      </c>
    </row>
    <row r="236" spans="1:24">
      <c r="A236" s="53">
        <f>IF(SortedDownload!A236 &lt; 1,"",SortedDownload!A236)</f>
        <v>117</v>
      </c>
      <c r="B236" s="55">
        <f>IF(V236&lt;&gt;"","DNF",COUNTIF($V$3:V236,V236))</f>
        <v>219</v>
      </c>
      <c r="C236" s="54">
        <f>IF(OR(B236="DNF",H236=""),"DNF",COUNTIF($H$3:H236,H236))</f>
        <v>50</v>
      </c>
      <c r="D236" s="90" t="str">
        <f>IFERROR(VLOOKUP($A236,EntryList!$A$3:$N$596,2,FALSE),"")</f>
        <v>Mario Abrahams</v>
      </c>
      <c r="E236" s="54">
        <f>IFERROR(VLOOKUP($A236,EntryList!$A$3:$V$596,19,FALSE),"")</f>
        <v>0</v>
      </c>
      <c r="F236" s="176">
        <f>IFERROR(VLOOKUP($A236,EntryList!$A$3:$V$596,18,FALSE),"")</f>
        <v>0</v>
      </c>
      <c r="H236" s="90" t="str">
        <f>IFERROR(VLOOKUP($A236,EntryList!$A$3:$N$596,7,FALSE),"")</f>
        <v>Lite M</v>
      </c>
      <c r="I236" s="54">
        <f>IFERROR(VLOOKUP($A236,SortedDownload!$A$3:$Z732,4,FALSE),"")</f>
        <v>3</v>
      </c>
      <c r="J236" s="59" t="str">
        <f>IFERROR(VLOOKUP($A236,SortedDownload!$A$3:$BB$499,23,FALSE),"")</f>
        <v>DNS/DNF ()</v>
      </c>
      <c r="K236" s="59" t="str">
        <f>IFERROR(VLOOKUP($A236,SortedDownload!$A$3:$BB$499,24,FALSE),"")</f>
        <v>00:05:45.4 (238)</v>
      </c>
      <c r="L236" s="59" t="str">
        <f>IFERROR(VLOOKUP($A236,SortedDownload!$A$3:$BB$499,25,FALSE),"")</f>
        <v>00:03:37.8 (239)</v>
      </c>
      <c r="M236" s="59" t="str">
        <f>IFERROR(VLOOKUP($A236,SortedDownload!$A$3:$BB$499,26,FALSE),"")</f>
        <v>DNS/DNF ()</v>
      </c>
      <c r="N236" s="59" t="str">
        <f>IFERROR(VLOOKUP($A236,SortedDownload!$A$3:$BB$499,27,FALSE),"")</f>
        <v>00:07:42.0 (232)</v>
      </c>
      <c r="O236" s="59" t="str">
        <f>IFERROR(VLOOKUP($A236,SortedDownload!$A$3:$BB$499,28,FALSE),"")</f>
        <v>DNS/DNF ()</v>
      </c>
      <c r="P236" s="59" t="str">
        <f>IFERROR(VLOOKUP($A236,SortedDownload!$A$3:$BB$499,29,FALSE),"")</f>
        <v>DNS/DNF ()</v>
      </c>
      <c r="Q236" s="59" t="str">
        <f>IFERROR(VLOOKUP($A236,SortedDownload!$A$3:$BB$499,30,FALSE),"")</f>
        <v>DNS/DNF ()</v>
      </c>
      <c r="R236" s="62" t="str">
        <f>IFERROR(TEXT(VLOOKUP($A236,SortedDownload!$A$3:$Z$499,14,FALSE),"[hh]:mm:ss.000"),"")</f>
        <v>00:17:05.235</v>
      </c>
      <c r="S236" s="83" t="str">
        <f t="shared" si="11"/>
        <v>00:14</v>
      </c>
      <c r="T236" s="83" t="str">
        <f t="shared" si="9"/>
        <v>00:15</v>
      </c>
      <c r="U236" s="9" t="str">
        <f t="shared" si="10"/>
        <v/>
      </c>
      <c r="V236" s="20" t="str">
        <f>IFERROR(IF(VLOOKUP(H236,AgeCategories!$D$3:$J$32,7,FALSE)=I236,"","DNF"),"")</f>
        <v/>
      </c>
    </row>
    <row r="237" spans="1:24">
      <c r="A237" s="53">
        <f>IF(SortedDownload!A237 &lt; 1,"",SortedDownload!A237)</f>
        <v>257</v>
      </c>
      <c r="B237" s="55">
        <f>IF(V237&lt;&gt;"","DNF",COUNTIF($V$3:V237,V237))</f>
        <v>220</v>
      </c>
      <c r="C237" s="54">
        <f>IF(OR(B237="DNF",H237=""),"DNF",COUNTIF($H$3:H237,H237))</f>
        <v>17</v>
      </c>
      <c r="D237" s="90" t="str">
        <f>IFERROR(VLOOKUP($A237,EntryList!$A$3:$N$596,2,FALSE),"")</f>
        <v>Michael Yeates</v>
      </c>
      <c r="E237" s="54">
        <f>IFERROR(VLOOKUP($A237,EntryList!$A$3:$V$596,19,FALSE),"")</f>
        <v>0</v>
      </c>
      <c r="F237" s="176">
        <f>IFERROR(VLOOKUP($A237,EntryList!$A$3:$V$596,18,FALSE),"")</f>
        <v>0</v>
      </c>
      <c r="H237" s="90" t="str">
        <f>IFERROR(VLOOKUP($A237,EntryList!$A$3:$N$596,7,FALSE),"")</f>
        <v>Sub Junior Boys</v>
      </c>
      <c r="I237" s="54">
        <f>IFERROR(VLOOKUP($A237,SortedDownload!$A$3:$Z733,4,FALSE),"")</f>
        <v>3</v>
      </c>
      <c r="J237" s="59" t="str">
        <f>IFERROR(VLOOKUP($A237,SortedDownload!$A$3:$BB$499,23,FALSE),"")</f>
        <v>DNS/DNF ()</v>
      </c>
      <c r="K237" s="59" t="str">
        <f>IFERROR(VLOOKUP($A237,SortedDownload!$A$3:$BB$499,24,FALSE),"")</f>
        <v>00:06:12.2 (244)</v>
      </c>
      <c r="L237" s="59" t="str">
        <f>IFERROR(VLOOKUP($A237,SortedDownload!$A$3:$BB$499,25,FALSE),"")</f>
        <v>00:03:28.4 (233)</v>
      </c>
      <c r="M237" s="59" t="str">
        <f>IFERROR(VLOOKUP($A237,SortedDownload!$A$3:$BB$499,26,FALSE),"")</f>
        <v>DNS/DNF ()</v>
      </c>
      <c r="N237" s="59" t="str">
        <f>IFERROR(VLOOKUP($A237,SortedDownload!$A$3:$BB$499,27,FALSE),"")</f>
        <v>00:07:29.4 (230)</v>
      </c>
      <c r="O237" s="59" t="str">
        <f>IFERROR(VLOOKUP($A237,SortedDownload!$A$3:$BB$499,28,FALSE),"")</f>
        <v>DNS/DNF ()</v>
      </c>
      <c r="P237" s="59" t="str">
        <f>IFERROR(VLOOKUP($A237,SortedDownload!$A$3:$BB$499,29,FALSE),"")</f>
        <v>DNS/DNF ()</v>
      </c>
      <c r="Q237" s="59" t="str">
        <f>IFERROR(VLOOKUP($A237,SortedDownload!$A$3:$BB$499,30,FALSE),"")</f>
        <v>DNS/DNF ()</v>
      </c>
      <c r="R237" s="62" t="str">
        <f>IFERROR(TEXT(VLOOKUP($A237,SortedDownload!$A$3:$Z$499,14,FALSE),"[hh]:mm:ss.000"),"")</f>
        <v>00:17:09.960</v>
      </c>
      <c r="S237" s="83" t="str">
        <f t="shared" si="11"/>
        <v>00:05</v>
      </c>
      <c r="T237" s="83" t="str">
        <f t="shared" si="9"/>
        <v>00:20</v>
      </c>
      <c r="U237" s="9" t="str">
        <f t="shared" si="10"/>
        <v/>
      </c>
      <c r="V237" s="20" t="str">
        <f>IFERROR(IF(VLOOKUP(H237,AgeCategories!$D$3:$J$32,7,FALSE)=I237,"","DNF"),"")</f>
        <v/>
      </c>
    </row>
    <row r="238" spans="1:24">
      <c r="A238" s="53">
        <f>IF(SortedDownload!A238 &lt; 1,"",SortedDownload!A238)</f>
        <v>43</v>
      </c>
      <c r="B238" s="55">
        <f>IF(V238&lt;&gt;"","DNF",COUNTIF($V$3:V238,V238))</f>
        <v>221</v>
      </c>
      <c r="C238" s="54">
        <f>IF(OR(B238="DNF",H238=""),"DNF",COUNTIF($H$3:H238,H238))</f>
        <v>8</v>
      </c>
      <c r="D238" s="90" t="str">
        <f>IFERROR(VLOOKUP($A238,EntryList!$A$3:$N$596,2,FALSE),"")</f>
        <v>Thaabit Toefy</v>
      </c>
      <c r="E238" s="54">
        <f>IFERROR(VLOOKUP($A238,EntryList!$A$3:$V$596,19,FALSE),"")</f>
        <v>0</v>
      </c>
      <c r="F238" s="176">
        <f>IFERROR(VLOOKUP($A238,EntryList!$A$3:$V$596,18,FALSE),"")</f>
        <v>0</v>
      </c>
      <c r="H238" s="90" t="str">
        <f>IFERROR(VLOOKUP($A238,EntryList!$A$3:$N$596,7,FALSE),"")</f>
        <v>E-Bike Lite M</v>
      </c>
      <c r="I238" s="54">
        <f>IFERROR(VLOOKUP($A238,SortedDownload!$A$3:$Z734,4,FALSE),"")</f>
        <v>3</v>
      </c>
      <c r="J238" s="59" t="str">
        <f>IFERROR(VLOOKUP($A238,SortedDownload!$A$3:$BB$499,23,FALSE),"")</f>
        <v>DNS/DNF ()</v>
      </c>
      <c r="K238" s="59" t="str">
        <f>IFERROR(VLOOKUP($A238,SortedDownload!$A$3:$BB$499,24,FALSE),"")</f>
        <v>00:06:28.3 (249)</v>
      </c>
      <c r="L238" s="59" t="str">
        <f>IFERROR(VLOOKUP($A238,SortedDownload!$A$3:$BB$499,25,FALSE),"")</f>
        <v>00:03:16.9 (224)</v>
      </c>
      <c r="M238" s="59" t="str">
        <f>IFERROR(VLOOKUP($A238,SortedDownload!$A$3:$BB$499,26,FALSE),"")</f>
        <v>DNS/DNF ()</v>
      </c>
      <c r="N238" s="59" t="str">
        <f>IFERROR(VLOOKUP($A238,SortedDownload!$A$3:$BB$499,27,FALSE),"")</f>
        <v>00:07:25.5 (228)</v>
      </c>
      <c r="O238" s="59" t="str">
        <f>IFERROR(VLOOKUP($A238,SortedDownload!$A$3:$BB$499,28,FALSE),"")</f>
        <v>DNS/DNF ()</v>
      </c>
      <c r="P238" s="59" t="str">
        <f>IFERROR(VLOOKUP($A238,SortedDownload!$A$3:$BB$499,29,FALSE),"")</f>
        <v>DNS/DNF ()</v>
      </c>
      <c r="Q238" s="59" t="str">
        <f>IFERROR(VLOOKUP($A238,SortedDownload!$A$3:$BB$499,30,FALSE),"")</f>
        <v>DNS/DNF ()</v>
      </c>
      <c r="R238" s="62" t="str">
        <f>IFERROR(TEXT(VLOOKUP($A238,SortedDownload!$A$3:$Z$499,14,FALSE),"[hh]:mm:ss.000"),"")</f>
        <v>00:17:10.740</v>
      </c>
      <c r="S238" s="83" t="str">
        <f t="shared" si="11"/>
        <v>00:01</v>
      </c>
      <c r="T238" s="83" t="str">
        <f t="shared" si="9"/>
        <v>00:21</v>
      </c>
      <c r="U238" s="9" t="str">
        <f t="shared" si="10"/>
        <v/>
      </c>
      <c r="V238" s="20" t="str">
        <f>IFERROR(IF(VLOOKUP(H238,AgeCategories!$D$3:$J$32,7,FALSE)=I238,"","DNF"),"")</f>
        <v/>
      </c>
    </row>
    <row r="239" spans="1:24">
      <c r="A239" s="53">
        <f>IF(SortedDownload!A239 &lt; 1,"",SortedDownload!A239)</f>
        <v>111</v>
      </c>
      <c r="B239" s="55">
        <f>IF(V239&lt;&gt;"","DNF",COUNTIF($V$3:V239,V239))</f>
        <v>222</v>
      </c>
      <c r="C239" s="54">
        <f>IF(OR(B239="DNF",H239=""),"DNF",COUNTIF($H$3:H239,H239))</f>
        <v>51</v>
      </c>
      <c r="D239" s="90" t="str">
        <f>IFERROR(VLOOKUP($A239,EntryList!$A$3:$N$596,2,FALSE),"")</f>
        <v>Brian America</v>
      </c>
      <c r="E239" s="54">
        <f>IFERROR(VLOOKUP($A239,EntryList!$A$3:$V$596,19,FALSE),"")</f>
        <v>0</v>
      </c>
      <c r="F239" s="176">
        <f>IFERROR(VLOOKUP($A239,EntryList!$A$3:$V$596,18,FALSE),"")</f>
        <v>0</v>
      </c>
      <c r="H239" s="90" t="str">
        <f>IFERROR(VLOOKUP($A239,EntryList!$A$3:$N$596,7,FALSE),"")</f>
        <v>Lite M</v>
      </c>
      <c r="I239" s="54">
        <f>IFERROR(VLOOKUP($A239,SortedDownload!$A$3:$Z735,4,FALSE),"")</f>
        <v>3</v>
      </c>
      <c r="J239" s="59" t="str">
        <f>IFERROR(VLOOKUP($A239,SortedDownload!$A$3:$BB$499,23,FALSE),"")</f>
        <v>DNS/DNF ()</v>
      </c>
      <c r="K239" s="59" t="str">
        <f>IFERROR(VLOOKUP($A239,SortedDownload!$A$3:$BB$499,24,FALSE),"")</f>
        <v>00:06:50.8 (250)</v>
      </c>
      <c r="L239" s="59" t="str">
        <f>IFERROR(VLOOKUP($A239,SortedDownload!$A$3:$BB$499,25,FALSE),"")</f>
        <v>00:03:35.2 (238)</v>
      </c>
      <c r="M239" s="59" t="str">
        <f>IFERROR(VLOOKUP($A239,SortedDownload!$A$3:$BB$499,26,FALSE),"")</f>
        <v>DNS/DNF ()</v>
      </c>
      <c r="N239" s="59" t="str">
        <f>IFERROR(VLOOKUP($A239,SortedDownload!$A$3:$BB$499,27,FALSE),"")</f>
        <v>00:07:24.4 (227)</v>
      </c>
      <c r="O239" s="59" t="str">
        <f>IFERROR(VLOOKUP($A239,SortedDownload!$A$3:$BB$499,28,FALSE),"")</f>
        <v>DNS/DNF ()</v>
      </c>
      <c r="P239" s="59" t="str">
        <f>IFERROR(VLOOKUP($A239,SortedDownload!$A$3:$BB$499,29,FALSE),"")</f>
        <v>DNS/DNF ()</v>
      </c>
      <c r="Q239" s="59" t="str">
        <f>IFERROR(VLOOKUP($A239,SortedDownload!$A$3:$BB$499,30,FALSE),"")</f>
        <v>DNS/DNF ()</v>
      </c>
      <c r="R239" s="62" t="str">
        <f>IFERROR(TEXT(VLOOKUP($A239,SortedDownload!$A$3:$Z$499,14,FALSE),"[hh]:mm:ss.000"),"")</f>
        <v>00:17:50.408</v>
      </c>
      <c r="S239" s="83" t="str">
        <f t="shared" si="11"/>
        <v>00:40</v>
      </c>
      <c r="T239" s="83" t="str">
        <f t="shared" si="9"/>
        <v>01:00</v>
      </c>
      <c r="U239" s="9" t="str">
        <f t="shared" si="10"/>
        <v/>
      </c>
      <c r="V239" s="20" t="str">
        <f>IFERROR(IF(VLOOKUP(H239,AgeCategories!$D$3:$J$32,7,FALSE)=I239,"","DNF"),"")</f>
        <v/>
      </c>
    </row>
    <row r="240" spans="1:24">
      <c r="A240" s="53">
        <f>IF(SortedDownload!A240 &lt; 1,"",SortedDownload!A240)</f>
        <v>151</v>
      </c>
      <c r="B240" s="55">
        <f>IF(V240&lt;&gt;"","DNF",COUNTIF($V$3:V240,V240))</f>
        <v>223</v>
      </c>
      <c r="C240" s="54">
        <f>IF(OR(B240="DNF",H240=""),"DNF",COUNTIF($H$3:H240,H240))</f>
        <v>52</v>
      </c>
      <c r="D240" s="90" t="str">
        <f>IFERROR(VLOOKUP($A240,EntryList!$A$3:$N$596,2,FALSE),"")</f>
        <v>Geoff Dye</v>
      </c>
      <c r="E240" s="54">
        <f>IFERROR(VLOOKUP($A240,EntryList!$A$3:$V$596,19,FALSE),"")</f>
        <v>0</v>
      </c>
      <c r="F240" s="176">
        <f>IFERROR(VLOOKUP($A240,EntryList!$A$3:$V$596,18,FALSE),"")</f>
        <v>0</v>
      </c>
      <c r="H240" s="90" t="str">
        <f>IFERROR(VLOOKUP($A240,EntryList!$A$3:$N$596,7,FALSE),"")</f>
        <v>Lite M</v>
      </c>
      <c r="I240" s="54">
        <f>IFERROR(VLOOKUP($A240,SortedDownload!$A$3:$Z736,4,FALSE),"")</f>
        <v>3</v>
      </c>
      <c r="J240" s="59" t="str">
        <f>IFERROR(VLOOKUP($A240,SortedDownload!$A$3:$BB$499,23,FALSE),"")</f>
        <v>DNS/DNF ()</v>
      </c>
      <c r="K240" s="59" t="str">
        <f>IFERROR(VLOOKUP($A240,SortedDownload!$A$3:$BB$499,24,FALSE),"")</f>
        <v>00:06:10.6 (243)</v>
      </c>
      <c r="L240" s="59" t="str">
        <f>IFERROR(VLOOKUP($A240,SortedDownload!$A$3:$BB$499,25,FALSE),"")</f>
        <v>00:04:31.3 (244)</v>
      </c>
      <c r="M240" s="59" t="str">
        <f>IFERROR(VLOOKUP($A240,SortedDownload!$A$3:$BB$499,26,FALSE),"")</f>
        <v>DNS/DNF ()</v>
      </c>
      <c r="N240" s="59" t="str">
        <f>IFERROR(VLOOKUP($A240,SortedDownload!$A$3:$BB$499,27,FALSE),"")</f>
        <v>00:07:27.1 (229)</v>
      </c>
      <c r="O240" s="59" t="str">
        <f>IFERROR(VLOOKUP($A240,SortedDownload!$A$3:$BB$499,28,FALSE),"")</f>
        <v>DNS/DNF ()</v>
      </c>
      <c r="P240" s="59" t="str">
        <f>IFERROR(VLOOKUP($A240,SortedDownload!$A$3:$BB$499,29,FALSE),"")</f>
        <v>DNS/DNF ()</v>
      </c>
      <c r="Q240" s="59" t="str">
        <f>IFERROR(VLOOKUP($A240,SortedDownload!$A$3:$BB$499,30,FALSE),"")</f>
        <v>DNS/DNF ()</v>
      </c>
      <c r="R240" s="62" t="str">
        <f>IFERROR(TEXT(VLOOKUP($A240,SortedDownload!$A$3:$Z$499,14,FALSE),"[hh]:mm:ss.000"),"")</f>
        <v>00:18:08.986</v>
      </c>
      <c r="S240" s="83" t="str">
        <f t="shared" si="11"/>
        <v>00:19</v>
      </c>
      <c r="T240" s="83" t="str">
        <f t="shared" si="9"/>
        <v>01:19</v>
      </c>
      <c r="U240" s="9" t="str">
        <f t="shared" si="10"/>
        <v/>
      </c>
      <c r="V240" s="20" t="str">
        <f>IFERROR(IF(VLOOKUP(H240,AgeCategories!$D$3:$J$32,7,FALSE)=I240,"","DNF"),"")</f>
        <v/>
      </c>
    </row>
    <row r="241" spans="1:22">
      <c r="A241" s="53">
        <f>IF(SortedDownload!A241 &lt; 1,"",SortedDownload!A241)</f>
        <v>11</v>
      </c>
      <c r="B241" s="55">
        <f>IF(V241&lt;&gt;"","DNF",COUNTIF($V$3:V241,V241))</f>
        <v>224</v>
      </c>
      <c r="C241" s="54">
        <f>IF(OR(B241="DNF",H241=""),"DNF",COUNTIF($H$3:H241,H241))</f>
        <v>3</v>
      </c>
      <c r="D241" s="90" t="str">
        <f>IFERROR(VLOOKUP($A241,EntryList!$A$3:$N$596,2,FALSE),"")</f>
        <v>Spencer Van Zyl</v>
      </c>
      <c r="E241" s="54">
        <f>IFERROR(VLOOKUP($A241,EntryList!$A$3:$V$596,19,FALSE),"")</f>
        <v>0</v>
      </c>
      <c r="F241" s="176">
        <f>IFERROR(VLOOKUP($A241,EntryList!$A$3:$V$596,18,FALSE),"")</f>
        <v>0</v>
      </c>
      <c r="H241" s="90" t="str">
        <f>IFERROR(VLOOKUP($A241,EntryList!$A$3:$N$596,7,FALSE),"")</f>
        <v>Nipper Boys</v>
      </c>
      <c r="I241" s="54">
        <f>IFERROR(VLOOKUP($A241,SortedDownload!$A$3:$Z737,4,FALSE),"")</f>
        <v>3</v>
      </c>
      <c r="J241" s="59" t="str">
        <f>IFERROR(VLOOKUP($A241,SortedDownload!$A$3:$BB$499,23,FALSE),"")</f>
        <v>DNS/DNF ()</v>
      </c>
      <c r="K241" s="59" t="str">
        <f>IFERROR(VLOOKUP($A241,SortedDownload!$A$3:$BB$499,24,FALSE),"")</f>
        <v>00:07:29.0 (253)</v>
      </c>
      <c r="L241" s="59" t="str">
        <f>IFERROR(VLOOKUP($A241,SortedDownload!$A$3:$BB$499,25,FALSE),"")</f>
        <v>00:03:31.6 (236)</v>
      </c>
      <c r="M241" s="59" t="str">
        <f>IFERROR(VLOOKUP($A241,SortedDownload!$A$3:$BB$499,26,FALSE),"")</f>
        <v>DNS/DNF ()</v>
      </c>
      <c r="N241" s="59" t="str">
        <f>IFERROR(VLOOKUP($A241,SortedDownload!$A$3:$BB$499,27,FALSE),"")</f>
        <v>00:07:10.2 (223)</v>
      </c>
      <c r="O241" s="59" t="str">
        <f>IFERROR(VLOOKUP($A241,SortedDownload!$A$3:$BB$499,28,FALSE),"")</f>
        <v>DNS/DNF ()</v>
      </c>
      <c r="P241" s="59" t="str">
        <f>IFERROR(VLOOKUP($A241,SortedDownload!$A$3:$BB$499,29,FALSE),"")</f>
        <v>DNS/DNF ()</v>
      </c>
      <c r="Q241" s="59" t="str">
        <f>IFERROR(VLOOKUP($A241,SortedDownload!$A$3:$BB$499,30,FALSE),"")</f>
        <v>DNS/DNF ()</v>
      </c>
      <c r="R241" s="62" t="str">
        <f>IFERROR(TEXT(VLOOKUP($A241,SortedDownload!$A$3:$Z$499,14,FALSE),"[hh]:mm:ss.000"),"")</f>
        <v>00:18:10.858</v>
      </c>
      <c r="S241" s="83" t="str">
        <f t="shared" si="11"/>
        <v>00:02</v>
      </c>
      <c r="T241" s="83" t="str">
        <f t="shared" si="9"/>
        <v>01:21</v>
      </c>
      <c r="U241" s="9" t="str">
        <f t="shared" si="10"/>
        <v/>
      </c>
      <c r="V241" s="20" t="str">
        <f>IFERROR(IF(VLOOKUP(H241,AgeCategories!$D$3:$J$32,7,FALSE)=I241,"","DNF"),"")</f>
        <v/>
      </c>
    </row>
    <row r="242" spans="1:22">
      <c r="A242" s="53">
        <f>IF(SortedDownload!A242 &lt; 1,"",SortedDownload!A242)</f>
        <v>19</v>
      </c>
      <c r="B242" s="55">
        <f>IF(V242&lt;&gt;"","DNF",COUNTIF($V$3:V242,V242))</f>
        <v>225</v>
      </c>
      <c r="C242" s="54">
        <f>IF(OR(B242="DNF",H242=""),"DNF",COUNTIF($H$3:H242,H242))</f>
        <v>1</v>
      </c>
      <c r="D242" s="90" t="str">
        <f>IFERROR(VLOOKUP($A242,EntryList!$A$3:$N$596,2,FALSE),"")</f>
        <v>Isabella Stermin</v>
      </c>
      <c r="E242" s="54">
        <f>IFERROR(VLOOKUP($A242,EntryList!$A$3:$V$596,19,FALSE),"")</f>
        <v>0</v>
      </c>
      <c r="F242" s="176">
        <f>IFERROR(VLOOKUP($A242,EntryList!$A$3:$V$596,18,FALSE),"")</f>
        <v>0</v>
      </c>
      <c r="H242" s="90" t="str">
        <f>IFERROR(VLOOKUP($A242,EntryList!$A$3:$N$596,7,FALSE),"")</f>
        <v>Nipper Girls</v>
      </c>
      <c r="I242" s="54">
        <f>IFERROR(VLOOKUP($A242,SortedDownload!$A$3:$Z738,4,FALSE),"")</f>
        <v>3</v>
      </c>
      <c r="J242" s="59" t="str">
        <f>IFERROR(VLOOKUP($A242,SortedDownload!$A$3:$BB$499,23,FALSE),"")</f>
        <v>DNS/DNF ()</v>
      </c>
      <c r="K242" s="59" t="str">
        <f>IFERROR(VLOOKUP($A242,SortedDownload!$A$3:$BB$499,24,FALSE),"")</f>
        <v>00:06:16.4 (246)</v>
      </c>
      <c r="L242" s="59" t="str">
        <f>IFERROR(VLOOKUP($A242,SortedDownload!$A$3:$BB$499,25,FALSE),"")</f>
        <v>00:04:09.7 (243)</v>
      </c>
      <c r="M242" s="59" t="str">
        <f>IFERROR(VLOOKUP($A242,SortedDownload!$A$3:$BB$499,26,FALSE),"")</f>
        <v>DNS/DNF ()</v>
      </c>
      <c r="N242" s="59" t="str">
        <f>IFERROR(VLOOKUP($A242,SortedDownload!$A$3:$BB$499,27,FALSE),"")</f>
        <v>00:07:55.5 (239)</v>
      </c>
      <c r="O242" s="59" t="str">
        <f>IFERROR(VLOOKUP($A242,SortedDownload!$A$3:$BB$499,28,FALSE),"")</f>
        <v>DNS/DNF ()</v>
      </c>
      <c r="P242" s="59" t="str">
        <f>IFERROR(VLOOKUP($A242,SortedDownload!$A$3:$BB$499,29,FALSE),"")</f>
        <v>DNS/DNF ()</v>
      </c>
      <c r="Q242" s="59" t="str">
        <f>IFERROR(VLOOKUP($A242,SortedDownload!$A$3:$BB$499,30,FALSE),"")</f>
        <v>DNS/DNF ()</v>
      </c>
      <c r="R242" s="62" t="str">
        <f>IFERROR(TEXT(VLOOKUP($A242,SortedDownload!$A$3:$Z$499,14,FALSE),"[hh]:mm:ss.000"),"")</f>
        <v>00:18:21.563</v>
      </c>
      <c r="S242" s="83" t="str">
        <f t="shared" si="11"/>
        <v>00:11</v>
      </c>
      <c r="T242" s="83" t="str">
        <f t="shared" si="9"/>
        <v>01:32</v>
      </c>
      <c r="U242" s="9" t="str">
        <f t="shared" si="10"/>
        <v/>
      </c>
      <c r="V242" s="20" t="str">
        <f>IFERROR(IF(VLOOKUP(H242,AgeCategories!$D$3:$J$32,7,FALSE)=I242,"","DNF"),"")</f>
        <v/>
      </c>
    </row>
    <row r="243" spans="1:22">
      <c r="A243" s="53">
        <f>IF(SortedDownload!A243 &lt; 1,"",SortedDownload!A243)</f>
        <v>158</v>
      </c>
      <c r="B243" s="55">
        <f>IF(V243&lt;&gt;"","DNF",COUNTIF($V$3:V243,V243))</f>
        <v>226</v>
      </c>
      <c r="C243" s="54">
        <f>IF(OR(B243="DNF",H243=""),"DNF",COUNTIF($H$3:H243,H243))</f>
        <v>53</v>
      </c>
      <c r="D243" s="90" t="str">
        <f>IFERROR(VLOOKUP($A243,EntryList!$A$3:$N$596,2,FALSE),"")</f>
        <v>Morne Share</v>
      </c>
      <c r="E243" s="54">
        <f>IFERROR(VLOOKUP($A243,EntryList!$A$3:$V$596,19,FALSE),"")</f>
        <v>0</v>
      </c>
      <c r="F243" s="176">
        <f>IFERROR(VLOOKUP($A243,EntryList!$A$3:$V$596,18,FALSE),"")</f>
        <v>0</v>
      </c>
      <c r="H243" s="90" t="str">
        <f>IFERROR(VLOOKUP($A243,EntryList!$A$3:$N$596,7,FALSE),"")</f>
        <v>Lite M</v>
      </c>
      <c r="I243" s="54">
        <f>IFERROR(VLOOKUP($A243,SortedDownload!$A$3:$Z739,4,FALSE),"")</f>
        <v>3</v>
      </c>
      <c r="J243" s="59" t="str">
        <f>IFERROR(VLOOKUP($A243,SortedDownload!$A$3:$BB$499,23,FALSE),"")</f>
        <v>DNS/DNF ()</v>
      </c>
      <c r="K243" s="59" t="str">
        <f>IFERROR(VLOOKUP($A243,SortedDownload!$A$3:$BB$499,24,FALSE),"")</f>
        <v>00:06:22.7 (247)</v>
      </c>
      <c r="L243" s="59" t="str">
        <f>IFERROR(VLOOKUP($A243,SortedDownload!$A$3:$BB$499,25,FALSE),"")</f>
        <v>00:04:46.0 (247)</v>
      </c>
      <c r="M243" s="59" t="str">
        <f>IFERROR(VLOOKUP($A243,SortedDownload!$A$3:$BB$499,26,FALSE),"")</f>
        <v>DNS/DNF ()</v>
      </c>
      <c r="N243" s="59" t="str">
        <f>IFERROR(VLOOKUP($A243,SortedDownload!$A$3:$BB$499,27,FALSE),"")</f>
        <v>00:07:42.8 (234)</v>
      </c>
      <c r="O243" s="59" t="str">
        <f>IFERROR(VLOOKUP($A243,SortedDownload!$A$3:$BB$499,28,FALSE),"")</f>
        <v>DNS/DNF ()</v>
      </c>
      <c r="P243" s="59" t="str">
        <f>IFERROR(VLOOKUP($A243,SortedDownload!$A$3:$BB$499,29,FALSE),"")</f>
        <v>DNS/DNF ()</v>
      </c>
      <c r="Q243" s="59" t="str">
        <f>IFERROR(VLOOKUP($A243,SortedDownload!$A$3:$BB$499,30,FALSE),"")</f>
        <v>DNS/DNF ()</v>
      </c>
      <c r="R243" s="62" t="str">
        <f>IFERROR(TEXT(VLOOKUP($A243,SortedDownload!$A$3:$Z$499,14,FALSE),"[hh]:mm:ss.000"),"")</f>
        <v>00:18:51.476</v>
      </c>
      <c r="S243" s="83" t="str">
        <f t="shared" si="11"/>
        <v>00:30</v>
      </c>
      <c r="T243" s="83" t="str">
        <f t="shared" si="9"/>
        <v>02:01</v>
      </c>
      <c r="U243" s="9" t="str">
        <f t="shared" si="10"/>
        <v/>
      </c>
      <c r="V243" s="20" t="str">
        <f>IFERROR(IF(VLOOKUP(H243,AgeCategories!$D$3:$J$32,7,FALSE)=I243,"","DNF"),"")</f>
        <v/>
      </c>
    </row>
    <row r="244" spans="1:22">
      <c r="A244" s="53">
        <f>IF(SortedDownload!A244 &lt; 1,"",SortedDownload!A244)</f>
        <v>48</v>
      </c>
      <c r="B244" s="55">
        <f>IF(V244&lt;&gt;"","DNF",COUNTIF($V$3:V244,V244))</f>
        <v>227</v>
      </c>
      <c r="C244" s="54">
        <f>IF(OR(B244="DNF",H244=""),"DNF",COUNTIF($H$3:H244,H244))</f>
        <v>54</v>
      </c>
      <c r="D244" s="90" t="str">
        <f>IFERROR(VLOOKUP($A244,EntryList!$A$3:$N$596,2,FALSE),"")</f>
        <v>Rushdie Lagardien</v>
      </c>
      <c r="E244" s="54">
        <f>IFERROR(VLOOKUP($A244,EntryList!$A$3:$V$596,19,FALSE),"")</f>
        <v>0</v>
      </c>
      <c r="F244" s="176">
        <f>IFERROR(VLOOKUP($A244,EntryList!$A$3:$V$596,18,FALSE),"")</f>
        <v>0</v>
      </c>
      <c r="H244" s="90" t="str">
        <f>IFERROR(VLOOKUP($A244,EntryList!$A$3:$N$596,7,FALSE),"")</f>
        <v>Lite M</v>
      </c>
      <c r="I244" s="54">
        <f>IFERROR(VLOOKUP($A244,SortedDownload!$A$3:$Z740,4,FALSE),"")</f>
        <v>3</v>
      </c>
      <c r="J244" s="59" t="str">
        <f>IFERROR(VLOOKUP($A244,SortedDownload!$A$3:$BB$499,23,FALSE),"")</f>
        <v>DNS/DNF ()</v>
      </c>
      <c r="K244" s="59" t="str">
        <f>IFERROR(VLOOKUP($A244,SortedDownload!$A$3:$BB$499,24,FALSE),"")</f>
        <v>00:06:52.7 (251)</v>
      </c>
      <c r="L244" s="59" t="str">
        <f>IFERROR(VLOOKUP($A244,SortedDownload!$A$3:$BB$499,25,FALSE),"")</f>
        <v>00:03:47.7 (240)</v>
      </c>
      <c r="M244" s="59" t="str">
        <f>IFERROR(VLOOKUP($A244,SortedDownload!$A$3:$BB$499,26,FALSE),"")</f>
        <v>DNS/DNF ()</v>
      </c>
      <c r="N244" s="59" t="str">
        <f>IFERROR(VLOOKUP($A244,SortedDownload!$A$3:$BB$499,27,FALSE),"")</f>
        <v>00:09:25.3 (241)</v>
      </c>
      <c r="O244" s="59" t="str">
        <f>IFERROR(VLOOKUP($A244,SortedDownload!$A$3:$BB$499,28,FALSE),"")</f>
        <v>DNS/DNF ()</v>
      </c>
      <c r="P244" s="59" t="str">
        <f>IFERROR(VLOOKUP($A244,SortedDownload!$A$3:$BB$499,29,FALSE),"")</f>
        <v>DNS/DNF ()</v>
      </c>
      <c r="Q244" s="59" t="str">
        <f>IFERROR(VLOOKUP($A244,SortedDownload!$A$3:$BB$499,30,FALSE),"")</f>
        <v>DNS/DNF ()</v>
      </c>
      <c r="R244" s="62" t="str">
        <f>IFERROR(TEXT(VLOOKUP($A244,SortedDownload!$A$3:$Z$499,14,FALSE),"[hh]:mm:ss.000"),"")</f>
        <v>00:20:05.747</v>
      </c>
      <c r="S244" s="83" t="str">
        <f t="shared" si="11"/>
        <v>01:14</v>
      </c>
      <c r="T244" s="83" t="str">
        <f t="shared" si="9"/>
        <v>03:16</v>
      </c>
      <c r="U244" s="9" t="str">
        <f t="shared" si="10"/>
        <v/>
      </c>
      <c r="V244" s="20" t="str">
        <f>IFERROR(IF(VLOOKUP(H244,AgeCategories!$D$3:$J$32,7,FALSE)=I244,"","DNF"),"")</f>
        <v/>
      </c>
    </row>
    <row r="245" spans="1:22">
      <c r="A245" s="53">
        <f>IF(SortedDownload!A245 &lt; 1,"",SortedDownload!A245)</f>
        <v>153</v>
      </c>
      <c r="B245" s="55" t="str">
        <f>IF(V245&lt;&gt;"","DNF",COUNTIF($V$3:V245,V245))</f>
        <v>DNF</v>
      </c>
      <c r="C245" s="54" t="str">
        <f>IF(OR(B245="DNF",H245=""),"DNF",COUNTIF($H$3:H245,H245))</f>
        <v>DNF</v>
      </c>
      <c r="D245" s="90" t="str">
        <f>IFERROR(VLOOKUP($A245,EntryList!$A$3:$N$596,2,FALSE),"")</f>
        <v>Harry Millar</v>
      </c>
      <c r="E245" s="54">
        <f>IFERROR(VLOOKUP($A245,EntryList!$A$3:$V$596,19,FALSE),"")</f>
        <v>0</v>
      </c>
      <c r="F245" s="176">
        <f>IFERROR(VLOOKUP($A245,EntryList!$A$3:$V$596,18,FALSE),"")</f>
        <v>0</v>
      </c>
      <c r="H245" s="90" t="str">
        <f>IFERROR(VLOOKUP($A245,EntryList!$A$3:$N$596,7,FALSE),"")</f>
        <v>Master Men</v>
      </c>
      <c r="I245" s="54">
        <f>IFERROR(VLOOKUP($A245,SortedDownload!$A$3:$Z741,4,FALSE),"")</f>
        <v>2</v>
      </c>
      <c r="J245" s="59" t="str">
        <f>IFERROR(VLOOKUP($A245,SortedDownload!$A$3:$BB$499,23,FALSE),"")</f>
        <v>DNS/DNF ()</v>
      </c>
      <c r="K245" s="59" t="str">
        <f>IFERROR(VLOOKUP($A245,SortedDownload!$A$3:$BB$499,24,FALSE),"")</f>
        <v>00:04:01.6 (63)</v>
      </c>
      <c r="L245" s="59" t="str">
        <f>IFERROR(VLOOKUP($A245,SortedDownload!$A$3:$BB$499,25,FALSE),"")</f>
        <v>00:02:31.6 (115)</v>
      </c>
      <c r="M245" s="59" t="str">
        <f>IFERROR(VLOOKUP($A245,SortedDownload!$A$3:$BB$499,26,FALSE),"")</f>
        <v>DNS/DNF ()</v>
      </c>
      <c r="N245" s="59" t="str">
        <f>IFERROR(VLOOKUP($A245,SortedDownload!$A$3:$BB$499,27,FALSE),"")</f>
        <v>DNS/DNF ()</v>
      </c>
      <c r="O245" s="59" t="str">
        <f>IFERROR(VLOOKUP($A245,SortedDownload!$A$3:$BB$499,28,FALSE),"")</f>
        <v>DNS/DNF ()</v>
      </c>
      <c r="P245" s="59" t="str">
        <f>IFERROR(VLOOKUP($A245,SortedDownload!$A$3:$BB$499,29,FALSE),"")</f>
        <v>DNS/DNF ()</v>
      </c>
      <c r="Q245" s="59" t="str">
        <f>IFERROR(VLOOKUP($A245,SortedDownload!$A$3:$BB$499,30,FALSE),"")</f>
        <v>DNS/DNF ()</v>
      </c>
      <c r="R245" s="62" t="str">
        <f>IFERROR(TEXT(VLOOKUP($A245,SortedDownload!$A$3:$Z$499,14,FALSE),"[hh]:mm:ss.000"),"")</f>
        <v>00:06:33.165</v>
      </c>
      <c r="S245" s="83" t="str">
        <f t="shared" si="11"/>
        <v>N/A</v>
      </c>
      <c r="T245" s="83" t="str">
        <f t="shared" si="9"/>
        <v>N/A</v>
      </c>
      <c r="U245" s="9" t="str">
        <f t="shared" si="10"/>
        <v/>
      </c>
      <c r="V245" s="20" t="str">
        <f>IFERROR(IF(VLOOKUP(H245,AgeCategories!$D$3:$J$32,7,FALSE)=I245,"","DNF"),"")</f>
        <v>DNF</v>
      </c>
    </row>
    <row r="246" spans="1:22">
      <c r="A246" s="53">
        <f>IF(SortedDownload!A246 &lt; 1,"",SortedDownload!A246)</f>
        <v>237</v>
      </c>
      <c r="B246" s="55" t="str">
        <f>IF(V246&lt;&gt;"","DNF",COUNTIF($V$3:V246,V246))</f>
        <v>DNF</v>
      </c>
      <c r="C246" s="54" t="str">
        <f>IF(OR(B246="DNF",H246=""),"DNF",COUNTIF($H$3:H246,H246))</f>
        <v>DNF</v>
      </c>
      <c r="D246" s="90" t="str">
        <f>IFERROR(VLOOKUP($A246,EntryList!$A$3:$N$596,2,FALSE),"")</f>
        <v>Eryn Marais</v>
      </c>
      <c r="E246" s="54">
        <f>IFERROR(VLOOKUP($A246,EntryList!$A$3:$V$596,19,FALSE),"")</f>
        <v>0</v>
      </c>
      <c r="F246" s="176">
        <f>IFERROR(VLOOKUP($A246,EntryList!$A$3:$V$596,18,FALSE),"")</f>
        <v>0</v>
      </c>
      <c r="H246" s="90" t="str">
        <f>IFERROR(VLOOKUP($A246,EntryList!$A$3:$N$596,7,FALSE),"")</f>
        <v>Sub Junior Girls</v>
      </c>
      <c r="I246" s="54">
        <f>IFERROR(VLOOKUP($A246,SortedDownload!$A$3:$Z742,4,FALSE),"")</f>
        <v>2</v>
      </c>
      <c r="J246" s="59" t="str">
        <f>IFERROR(VLOOKUP($A246,SortedDownload!$A$3:$BB$499,23,FALSE),"")</f>
        <v>DNS/DNF ()</v>
      </c>
      <c r="K246" s="59" t="str">
        <f>IFERROR(VLOOKUP($A246,SortedDownload!$A$3:$BB$499,24,FALSE),"")</f>
        <v>00:04:16.9 (102)</v>
      </c>
      <c r="L246" s="59" t="str">
        <f>IFERROR(VLOOKUP($A246,SortedDownload!$A$3:$BB$499,25,FALSE),"")</f>
        <v>00:02:31.9 (119)</v>
      </c>
      <c r="M246" s="59" t="str">
        <f>IFERROR(VLOOKUP($A246,SortedDownload!$A$3:$BB$499,26,FALSE),"")</f>
        <v>DNS/DNF ()</v>
      </c>
      <c r="N246" s="59" t="str">
        <f>IFERROR(VLOOKUP($A246,SortedDownload!$A$3:$BB$499,27,FALSE),"")</f>
        <v>DNS/DNF ()</v>
      </c>
      <c r="O246" s="59" t="str">
        <f>IFERROR(VLOOKUP($A246,SortedDownload!$A$3:$BB$499,28,FALSE),"")</f>
        <v>DNS/DNF ()</v>
      </c>
      <c r="P246" s="59" t="str">
        <f>IFERROR(VLOOKUP($A246,SortedDownload!$A$3:$BB$499,29,FALSE),"")</f>
        <v>DNS/DNF ()</v>
      </c>
      <c r="Q246" s="59" t="str">
        <f>IFERROR(VLOOKUP($A246,SortedDownload!$A$3:$BB$499,30,FALSE),"")</f>
        <v>DNS/DNF ()</v>
      </c>
      <c r="R246" s="62" t="str">
        <f>IFERROR(TEXT(VLOOKUP($A246,SortedDownload!$A$3:$Z$499,14,FALSE),"[hh]:mm:ss.000"),"")</f>
        <v>00:06:48.768</v>
      </c>
      <c r="S246" s="83" t="str">
        <f t="shared" si="11"/>
        <v>00:16</v>
      </c>
      <c r="T246" s="83" t="str">
        <f t="shared" si="9"/>
        <v>N/A</v>
      </c>
      <c r="U246" s="9" t="str">
        <f t="shared" si="10"/>
        <v/>
      </c>
      <c r="V246" s="20" t="str">
        <f>IFERROR(IF(VLOOKUP(H246,AgeCategories!$D$3:$J$32,7,FALSE)=I246,"","DNF"),"")</f>
        <v>DNF</v>
      </c>
    </row>
    <row r="247" spans="1:22">
      <c r="A247" s="53">
        <f>IF(SortedDownload!A247 &lt; 1,"",SortedDownload!A247)</f>
        <v>46</v>
      </c>
      <c r="B247" s="55" t="str">
        <f>IF(V247&lt;&gt;"","DNF",COUNTIF($V$3:V247,V247))</f>
        <v>DNF</v>
      </c>
      <c r="C247" s="54" t="str">
        <f>IF(OR(B247="DNF",H247=""),"DNF",COUNTIF($H$3:H247,H247))</f>
        <v>DNF</v>
      </c>
      <c r="D247" s="90" t="str">
        <f>IFERROR(VLOOKUP($A247,EntryList!$A$3:$N$596,2,FALSE),"")</f>
        <v>Freddie Tomlinson</v>
      </c>
      <c r="E247" s="54">
        <f>IFERROR(VLOOKUP($A247,EntryList!$A$3:$V$596,19,FALSE),"")</f>
        <v>0</v>
      </c>
      <c r="F247" s="176">
        <f>IFERROR(VLOOKUP($A247,EntryList!$A$3:$V$596,18,FALSE),"")</f>
        <v>0</v>
      </c>
      <c r="H247" s="90" t="str">
        <f>IFERROR(VLOOKUP($A247,EntryList!$A$3:$N$596,7,FALSE),"")</f>
        <v>Sub Junior Boys</v>
      </c>
      <c r="I247" s="54">
        <f>IFERROR(VLOOKUP($A247,SortedDownload!$A$3:$Z743,4,FALSE),"")</f>
        <v>2</v>
      </c>
      <c r="J247" s="59" t="str">
        <f>IFERROR(VLOOKUP($A247,SortedDownload!$A$3:$BB$499,23,FALSE),"")</f>
        <v>DNS/DNF ()</v>
      </c>
      <c r="K247" s="59" t="str">
        <f>IFERROR(VLOOKUP($A247,SortedDownload!$A$3:$BB$499,24,FALSE),"")</f>
        <v>00:04:34.8 (152)</v>
      </c>
      <c r="L247" s="59" t="str">
        <f>IFERROR(VLOOKUP($A247,SortedDownload!$A$3:$BB$499,25,FALSE),"")</f>
        <v>00:02:41.3 (161)</v>
      </c>
      <c r="M247" s="59" t="str">
        <f>IFERROR(VLOOKUP($A247,SortedDownload!$A$3:$BB$499,26,FALSE),"")</f>
        <v>DNS/DNF ()</v>
      </c>
      <c r="N247" s="59" t="str">
        <f>IFERROR(VLOOKUP($A247,SortedDownload!$A$3:$BB$499,27,FALSE),"")</f>
        <v>DNS/DNF ()</v>
      </c>
      <c r="O247" s="59" t="str">
        <f>IFERROR(VLOOKUP($A247,SortedDownload!$A$3:$BB$499,28,FALSE),"")</f>
        <v>DNS/DNF ()</v>
      </c>
      <c r="P247" s="59" t="str">
        <f>IFERROR(VLOOKUP($A247,SortedDownload!$A$3:$BB$499,29,FALSE),"")</f>
        <v>DNS/DNF ()</v>
      </c>
      <c r="Q247" s="59" t="str">
        <f>IFERROR(VLOOKUP($A247,SortedDownload!$A$3:$BB$499,30,FALSE),"")</f>
        <v>DNS/DNF ()</v>
      </c>
      <c r="R247" s="62" t="str">
        <f>IFERROR(TEXT(VLOOKUP($A247,SortedDownload!$A$3:$Z$499,14,FALSE),"[hh]:mm:ss.000"),"")</f>
        <v>00:07:16.130</v>
      </c>
      <c r="S247" s="83" t="str">
        <f t="shared" si="11"/>
        <v>00:27</v>
      </c>
      <c r="T247" s="83" t="str">
        <f t="shared" si="9"/>
        <v>N/A</v>
      </c>
      <c r="U247" s="9" t="str">
        <f t="shared" si="10"/>
        <v/>
      </c>
      <c r="V247" s="20" t="str">
        <f>IFERROR(IF(VLOOKUP(H247,AgeCategories!$D$3:$J$32,7,FALSE)=I247,"","DNF"),"")</f>
        <v>DNF</v>
      </c>
    </row>
    <row r="248" spans="1:22">
      <c r="A248" s="53">
        <f>IF(SortedDownload!A248 &lt; 1,"",SortedDownload!A248)</f>
        <v>167</v>
      </c>
      <c r="B248" s="55" t="str">
        <f>IF(V248&lt;&gt;"","DNF",COUNTIF($V$3:V248,V248))</f>
        <v>DNF</v>
      </c>
      <c r="C248" s="54" t="str">
        <f>IF(OR(B248="DNF",H248=""),"DNF",COUNTIF($H$3:H248,H248))</f>
        <v>DNF</v>
      </c>
      <c r="D248" s="90" t="str">
        <f>IFERROR(VLOOKUP($A248,EntryList!$A$3:$N$596,2,FALSE),"")</f>
        <v>Stephan Terblanche</v>
      </c>
      <c r="E248" s="54">
        <f>IFERROR(VLOOKUP($A248,EntryList!$A$3:$V$596,19,FALSE),"")</f>
        <v>0</v>
      </c>
      <c r="F248" s="176">
        <f>IFERROR(VLOOKUP($A248,EntryList!$A$3:$V$596,18,FALSE),"")</f>
        <v>0</v>
      </c>
      <c r="H248" s="90" t="str">
        <f>IFERROR(VLOOKUP($A248,EntryList!$A$3:$N$596,7,FALSE),"")</f>
        <v>Sub Junior Boys</v>
      </c>
      <c r="I248" s="54">
        <f>IFERROR(VLOOKUP($A248,SortedDownload!$A$3:$Z744,4,FALSE),"")</f>
        <v>2</v>
      </c>
      <c r="J248" s="59" t="str">
        <f>IFERROR(VLOOKUP($A248,SortedDownload!$A$3:$BB$499,23,FALSE),"")</f>
        <v>DNS/DNF ()</v>
      </c>
      <c r="K248" s="59" t="str">
        <f>IFERROR(VLOOKUP($A248,SortedDownload!$A$3:$BB$499,24,FALSE),"")</f>
        <v>00:05:37.8 (236)</v>
      </c>
      <c r="L248" s="59" t="str">
        <f>IFERROR(VLOOKUP($A248,SortedDownload!$A$3:$BB$499,25,FALSE),"")</f>
        <v>00:02:48.9 (183)</v>
      </c>
      <c r="M248" s="59" t="str">
        <f>IFERROR(VLOOKUP($A248,SortedDownload!$A$3:$BB$499,26,FALSE),"")</f>
        <v>DNS/DNF ()</v>
      </c>
      <c r="N248" s="59" t="str">
        <f>IFERROR(VLOOKUP($A248,SortedDownload!$A$3:$BB$499,27,FALSE),"")</f>
        <v>DNS/DNF ()</v>
      </c>
      <c r="O248" s="59" t="str">
        <f>IFERROR(VLOOKUP($A248,SortedDownload!$A$3:$BB$499,28,FALSE),"")</f>
        <v>DNS/DNF ()</v>
      </c>
      <c r="P248" s="59" t="str">
        <f>IFERROR(VLOOKUP($A248,SortedDownload!$A$3:$BB$499,29,FALSE),"")</f>
        <v>DNS/DNF ()</v>
      </c>
      <c r="Q248" s="59" t="str">
        <f>IFERROR(VLOOKUP($A248,SortedDownload!$A$3:$BB$499,30,FALSE),"")</f>
        <v>DNS/DNF ()</v>
      </c>
      <c r="R248" s="62" t="str">
        <f>IFERROR(TEXT(VLOOKUP($A248,SortedDownload!$A$3:$Z$499,14,FALSE),"[hh]:mm:ss.000"),"")</f>
        <v>00:08:26.756</v>
      </c>
      <c r="S248" s="83" t="str">
        <f t="shared" si="11"/>
        <v>01:11</v>
      </c>
      <c r="T248" s="83" t="str">
        <f t="shared" si="9"/>
        <v>N/A</v>
      </c>
      <c r="U248" s="9" t="str">
        <f t="shared" si="10"/>
        <v/>
      </c>
      <c r="V248" s="20" t="str">
        <f>IFERROR(IF(VLOOKUP(H248,AgeCategories!$D$3:$J$32,7,FALSE)=I248,"","DNF"),"")</f>
        <v>DNF</v>
      </c>
    </row>
    <row r="249" spans="1:22">
      <c r="A249" s="53">
        <f>IF(SortedDownload!A249 &lt; 1,"",SortedDownload!A249)</f>
        <v>18</v>
      </c>
      <c r="B249" s="55" t="str">
        <f>IF(V249&lt;&gt;"","DNF",COUNTIF($V$3:V249,V249))</f>
        <v>DNF</v>
      </c>
      <c r="C249" s="54" t="str">
        <f>IF(OR(B249="DNF",H249=""),"DNF",COUNTIF($H$3:H249,H249))</f>
        <v>DNF</v>
      </c>
      <c r="D249" s="90" t="str">
        <f>IFERROR(VLOOKUP($A249,EntryList!$A$3:$N$596,2,FALSE),"")</f>
        <v>Jayden Lang</v>
      </c>
      <c r="E249" s="54">
        <f>IFERROR(VLOOKUP($A249,EntryList!$A$3:$V$596,19,FALSE),"")</f>
        <v>0</v>
      </c>
      <c r="F249" s="176">
        <f>IFERROR(VLOOKUP($A249,EntryList!$A$3:$V$596,18,FALSE),"")</f>
        <v>0</v>
      </c>
      <c r="H249" s="90" t="str">
        <f>IFERROR(VLOOKUP($A249,EntryList!$A$3:$N$596,7,FALSE),"")</f>
        <v>Elite Men</v>
      </c>
      <c r="I249" s="54">
        <f>IFERROR(VLOOKUP($A249,SortedDownload!$A$3:$Z745,4,FALSE),"")</f>
        <v>2</v>
      </c>
      <c r="J249" s="59" t="str">
        <f>IFERROR(VLOOKUP($A249,SortedDownload!$A$3:$BB$499,23,FALSE),"")</f>
        <v>00:04:18.1 (80)</v>
      </c>
      <c r="K249" s="59" t="str">
        <f>IFERROR(VLOOKUP($A249,SortedDownload!$A$3:$BB$499,24,FALSE),"")</f>
        <v>00:04:31.4 (139)</v>
      </c>
      <c r="L249" s="59" t="str">
        <f>IFERROR(VLOOKUP($A249,SortedDownload!$A$3:$BB$499,25,FALSE),"")</f>
        <v>DNS/DNF ()</v>
      </c>
      <c r="M249" s="59" t="str">
        <f>IFERROR(VLOOKUP($A249,SortedDownload!$A$3:$BB$499,26,FALSE),"")</f>
        <v>DNS/DNF ()</v>
      </c>
      <c r="N249" s="59" t="str">
        <f>IFERROR(VLOOKUP($A249,SortedDownload!$A$3:$BB$499,27,FALSE),"")</f>
        <v>DNS/DNF ()</v>
      </c>
      <c r="O249" s="59" t="str">
        <f>IFERROR(VLOOKUP($A249,SortedDownload!$A$3:$BB$499,28,FALSE),"")</f>
        <v>DNS/DNF ()</v>
      </c>
      <c r="P249" s="59" t="str">
        <f>IFERROR(VLOOKUP($A249,SortedDownload!$A$3:$BB$499,29,FALSE),"")</f>
        <v>DNS/DNF ()</v>
      </c>
      <c r="Q249" s="59" t="str">
        <f>IFERROR(VLOOKUP($A249,SortedDownload!$A$3:$BB$499,30,FALSE),"")</f>
        <v>DNS/DNF ()</v>
      </c>
      <c r="R249" s="62" t="str">
        <f>IFERROR(TEXT(VLOOKUP($A249,SortedDownload!$A$3:$Z$499,14,FALSE),"[hh]:mm:ss.000"),"")</f>
        <v>00:08:49.551</v>
      </c>
      <c r="S249" s="83" t="str">
        <f t="shared" si="11"/>
        <v>00:23</v>
      </c>
      <c r="T249" s="83" t="str">
        <f t="shared" si="9"/>
        <v>N/A</v>
      </c>
      <c r="U249" s="9" t="str">
        <f t="shared" si="10"/>
        <v/>
      </c>
      <c r="V249" s="20" t="str">
        <f>IFERROR(IF(VLOOKUP(H249,AgeCategories!$D$3:$J$32,7,FALSE)=I249,"","DNF"),"")</f>
        <v>DNF</v>
      </c>
    </row>
    <row r="250" spans="1:22">
      <c r="A250" s="53">
        <f>IF(SortedDownload!A250 &lt; 1,"",SortedDownload!A250)</f>
        <v>150</v>
      </c>
      <c r="B250" s="55" t="str">
        <f>IF(V250&lt;&gt;"","DNF",COUNTIF($V$3:V250,V250))</f>
        <v>DNF</v>
      </c>
      <c r="C250" s="54" t="str">
        <f>IF(OR(B250="DNF",H250=""),"DNF",COUNTIF($H$3:H250,H250))</f>
        <v>DNF</v>
      </c>
      <c r="D250" s="90" t="str">
        <f>IFERROR(VLOOKUP($A250,EntryList!$A$3:$N$596,2,FALSE),"")</f>
        <v>Jacques Van Zyl</v>
      </c>
      <c r="E250" s="54">
        <f>IFERROR(VLOOKUP($A250,EntryList!$A$3:$V$596,19,FALSE),"")</f>
        <v>0</v>
      </c>
      <c r="F250" s="176">
        <f>IFERROR(VLOOKUP($A250,EntryList!$A$3:$V$596,18,FALSE),"")</f>
        <v>0</v>
      </c>
      <c r="H250" s="90" t="str">
        <f>IFERROR(VLOOKUP($A250,EntryList!$A$3:$N$596,7,FALSE),"")</f>
        <v>Master Men</v>
      </c>
      <c r="I250" s="54">
        <f>IFERROR(VLOOKUP($A250,SortedDownload!$A$3:$Z746,4,FALSE),"")</f>
        <v>2</v>
      </c>
      <c r="J250" s="59" t="str">
        <f>IFERROR(VLOOKUP($A250,SortedDownload!$A$3:$BB$499,23,FALSE),"")</f>
        <v>00:04:56.7 (107)</v>
      </c>
      <c r="K250" s="59" t="str">
        <f>IFERROR(VLOOKUP($A250,SortedDownload!$A$3:$BB$499,24,FALSE),"")</f>
        <v>00:04:17.6 (103)</v>
      </c>
      <c r="L250" s="59" t="str">
        <f>IFERROR(VLOOKUP($A250,SortedDownload!$A$3:$BB$499,25,FALSE),"")</f>
        <v>DNS/DNF ()</v>
      </c>
      <c r="M250" s="59" t="str">
        <f>IFERROR(VLOOKUP($A250,SortedDownload!$A$3:$BB$499,26,FALSE),"")</f>
        <v>DNS/DNF ()</v>
      </c>
      <c r="N250" s="59" t="str">
        <f>IFERROR(VLOOKUP($A250,SortedDownload!$A$3:$BB$499,27,FALSE),"")</f>
        <v>DNS/DNF ()</v>
      </c>
      <c r="O250" s="59" t="str">
        <f>IFERROR(VLOOKUP($A250,SortedDownload!$A$3:$BB$499,28,FALSE),"")</f>
        <v>DNS/DNF ()</v>
      </c>
      <c r="P250" s="59" t="str">
        <f>IFERROR(VLOOKUP($A250,SortedDownload!$A$3:$BB$499,29,FALSE),"")</f>
        <v>DNS/DNF ()</v>
      </c>
      <c r="Q250" s="59" t="str">
        <f>IFERROR(VLOOKUP($A250,SortedDownload!$A$3:$BB$499,30,FALSE),"")</f>
        <v>DNS/DNF ()</v>
      </c>
      <c r="R250" s="62" t="str">
        <f>IFERROR(TEXT(VLOOKUP($A250,SortedDownload!$A$3:$Z$499,14,FALSE),"[hh]:mm:ss.000"),"")</f>
        <v>00:09:14.292</v>
      </c>
      <c r="S250" s="83" t="str">
        <f t="shared" si="11"/>
        <v>00:25</v>
      </c>
      <c r="T250" s="83" t="str">
        <f t="shared" si="9"/>
        <v>N/A</v>
      </c>
      <c r="U250" s="9" t="str">
        <f t="shared" si="10"/>
        <v/>
      </c>
      <c r="V250" s="20" t="str">
        <f>IFERROR(IF(VLOOKUP(H250,AgeCategories!$D$3:$J$32,7,FALSE)=I250,"","DNF"),"")</f>
        <v>DNF</v>
      </c>
    </row>
    <row r="251" spans="1:22">
      <c r="A251" s="53">
        <f>IF(SortedDownload!A251 &lt; 1,"",SortedDownload!A251)</f>
        <v>227</v>
      </c>
      <c r="B251" s="55" t="str">
        <f>IF(V251&lt;&gt;"","DNF",COUNTIF($V$3:V251,V251))</f>
        <v>DNF</v>
      </c>
      <c r="C251" s="54" t="str">
        <f>IF(OR(B251="DNF",H251=""),"DNF",COUNTIF($H$3:H251,H251))</f>
        <v>DNF</v>
      </c>
      <c r="D251" s="90" t="str">
        <f>IFERROR(VLOOKUP($A251,EntryList!$A$3:$N$596,2,FALSE),"")</f>
        <v>Rigardt Griessel</v>
      </c>
      <c r="E251" s="54">
        <f>IFERROR(VLOOKUP($A251,EntryList!$A$3:$V$596,19,FALSE),"")</f>
        <v>0</v>
      </c>
      <c r="F251" s="176">
        <f>IFERROR(VLOOKUP($A251,EntryList!$A$3:$V$596,18,FALSE),"")</f>
        <v>0</v>
      </c>
      <c r="H251" s="90" t="str">
        <f>IFERROR(VLOOKUP($A251,EntryList!$A$3:$N$596,7,FALSE),"")</f>
        <v>Master Men</v>
      </c>
      <c r="I251" s="54">
        <f>IFERROR(VLOOKUP($A251,SortedDownload!$A$3:$Z747,4,FALSE),"")</f>
        <v>2</v>
      </c>
      <c r="J251" s="59" t="str">
        <f>IFERROR(VLOOKUP($A251,SortedDownload!$A$3:$BB$499,23,FALSE),"")</f>
        <v>DNS/DNF ()</v>
      </c>
      <c r="K251" s="59" t="str">
        <f>IFERROR(VLOOKUP($A251,SortedDownload!$A$3:$BB$499,24,FALSE),"")</f>
        <v>00:04:31.8 (140)</v>
      </c>
      <c r="L251" s="59" t="str">
        <f>IFERROR(VLOOKUP($A251,SortedDownload!$A$3:$BB$499,25,FALSE),"")</f>
        <v>DNS/DNF ()</v>
      </c>
      <c r="M251" s="59" t="str">
        <f>IFERROR(VLOOKUP($A251,SortedDownload!$A$3:$BB$499,26,FALSE),"")</f>
        <v>DNS/DNF ()</v>
      </c>
      <c r="N251" s="59" t="str">
        <f>IFERROR(VLOOKUP($A251,SortedDownload!$A$3:$BB$499,27,FALSE),"")</f>
        <v>00:06:07.7 (156)</v>
      </c>
      <c r="O251" s="59" t="str">
        <f>IFERROR(VLOOKUP($A251,SortedDownload!$A$3:$BB$499,28,FALSE),"")</f>
        <v>DNS/DNF ()</v>
      </c>
      <c r="P251" s="59" t="str">
        <f>IFERROR(VLOOKUP($A251,SortedDownload!$A$3:$BB$499,29,FALSE),"")</f>
        <v>DNS/DNF ()</v>
      </c>
      <c r="Q251" s="59" t="str">
        <f>IFERROR(VLOOKUP($A251,SortedDownload!$A$3:$BB$499,30,FALSE),"")</f>
        <v>DNS/DNF ()</v>
      </c>
      <c r="R251" s="62" t="str">
        <f>IFERROR(TEXT(VLOOKUP($A251,SortedDownload!$A$3:$Z$499,14,FALSE),"[hh]:mm:ss.000"),"")</f>
        <v>00:10:39.506</v>
      </c>
      <c r="S251" s="83" t="str">
        <f t="shared" si="11"/>
        <v>01:25</v>
      </c>
      <c r="T251" s="83" t="str">
        <f t="shared" si="9"/>
        <v>N/A</v>
      </c>
      <c r="U251" s="9" t="str">
        <f t="shared" si="10"/>
        <v/>
      </c>
      <c r="V251" s="20" t="str">
        <f>IFERROR(IF(VLOOKUP(H251,AgeCategories!$D$3:$J$32,7,FALSE)=I251,"","DNF"),"")</f>
        <v>DNF</v>
      </c>
    </row>
    <row r="252" spans="1:22">
      <c r="A252" s="53">
        <f>IF(SortedDownload!A252 &lt; 1,"",SortedDownload!A252)</f>
        <v>241</v>
      </c>
      <c r="B252" s="55" t="str">
        <f>IF(V252&lt;&gt;"","DNF",COUNTIF($V$3:V252,V252))</f>
        <v>DNF</v>
      </c>
      <c r="C252" s="54" t="str">
        <f>IF(OR(B252="DNF",H252=""),"DNF",COUNTIF($H$3:H252,H252))</f>
        <v>DNF</v>
      </c>
      <c r="D252" s="90" t="str">
        <f>IFERROR(VLOOKUP($A252,EntryList!$A$3:$N$596,2,FALSE),"")</f>
        <v>Samuel De Villiers</v>
      </c>
      <c r="E252" s="54">
        <f>IFERROR(VLOOKUP($A252,EntryList!$A$3:$V$596,19,FALSE),"")</f>
        <v>0</v>
      </c>
      <c r="F252" s="176">
        <f>IFERROR(VLOOKUP($A252,EntryList!$A$3:$V$596,18,FALSE),"")</f>
        <v>0</v>
      </c>
      <c r="H252" s="90" t="str">
        <f>IFERROR(VLOOKUP($A252,EntryList!$A$3:$N$596,7,FALSE),"")</f>
        <v>Sub Junior Boys</v>
      </c>
      <c r="I252" s="54">
        <f>IFERROR(VLOOKUP($A252,SortedDownload!$A$3:$Z748,4,FALSE),"")</f>
        <v>2</v>
      </c>
      <c r="J252" s="59" t="str">
        <f>IFERROR(VLOOKUP($A252,SortedDownload!$A$3:$BB$499,23,FALSE),"")</f>
        <v>DNS/DNF ()</v>
      </c>
      <c r="K252" s="59" t="str">
        <f>IFERROR(VLOOKUP($A252,SortedDownload!$A$3:$BB$499,24,FALSE),"")</f>
        <v>00:05:06.3 (207)</v>
      </c>
      <c r="L252" s="59" t="str">
        <f>IFERROR(VLOOKUP($A252,SortedDownload!$A$3:$BB$499,25,FALSE),"")</f>
        <v>DNS/DNF ()</v>
      </c>
      <c r="M252" s="59" t="str">
        <f>IFERROR(VLOOKUP($A252,SortedDownload!$A$3:$BB$499,26,FALSE),"")</f>
        <v>DNS/DNF ()</v>
      </c>
      <c r="N252" s="59" t="str">
        <f>IFERROR(VLOOKUP($A252,SortedDownload!$A$3:$BB$499,27,FALSE),"")</f>
        <v>00:06:54.0 (213)</v>
      </c>
      <c r="O252" s="59" t="str">
        <f>IFERROR(VLOOKUP($A252,SortedDownload!$A$3:$BB$499,28,FALSE),"")</f>
        <v>DNS/DNF ()</v>
      </c>
      <c r="P252" s="59" t="str">
        <f>IFERROR(VLOOKUP($A252,SortedDownload!$A$3:$BB$499,29,FALSE),"")</f>
        <v>DNS/DNF ()</v>
      </c>
      <c r="Q252" s="59" t="str">
        <f>IFERROR(VLOOKUP($A252,SortedDownload!$A$3:$BB$499,30,FALSE),"")</f>
        <v>DNS/DNF ()</v>
      </c>
      <c r="R252" s="62" t="str">
        <f>IFERROR(TEXT(VLOOKUP($A252,SortedDownload!$A$3:$Z$499,14,FALSE),"[hh]:mm:ss.000"),"")</f>
        <v>00:12:00.218</v>
      </c>
      <c r="S252" s="83" t="str">
        <f t="shared" si="11"/>
        <v>01:21</v>
      </c>
      <c r="T252" s="83" t="str">
        <f t="shared" si="9"/>
        <v>N/A</v>
      </c>
      <c r="U252" s="9" t="str">
        <f t="shared" si="10"/>
        <v/>
      </c>
      <c r="V252" s="20" t="str">
        <f>IFERROR(IF(VLOOKUP(H252,AgeCategories!$D$3:$J$32,7,FALSE)=I252,"","DNF"),"")</f>
        <v>DNF</v>
      </c>
    </row>
    <row r="253" spans="1:22">
      <c r="A253" s="53">
        <f>IF(SortedDownload!A253 &lt; 1,"",SortedDownload!A253)</f>
        <v>232</v>
      </c>
      <c r="B253" s="55" t="str">
        <f>IF(V253&lt;&gt;"","DNF",COUNTIF($V$3:V253,V253))</f>
        <v>DNF</v>
      </c>
      <c r="C253" s="54" t="str">
        <f>IF(OR(B253="DNF",H253=""),"DNF",COUNTIF($H$3:H253,H253))</f>
        <v>DNF</v>
      </c>
      <c r="D253" s="90" t="str">
        <f>IFERROR(VLOOKUP($A253,EntryList!$A$3:$N$596,2,FALSE),"")</f>
        <v>Pierre Evard</v>
      </c>
      <c r="E253" s="54">
        <f>IFERROR(VLOOKUP($A253,EntryList!$A$3:$V$596,19,FALSE),"")</f>
        <v>0</v>
      </c>
      <c r="F253" s="176">
        <f>IFERROR(VLOOKUP($A253,EntryList!$A$3:$V$596,18,FALSE),"")</f>
        <v>0</v>
      </c>
      <c r="H253" s="90" t="str">
        <f>IFERROR(VLOOKUP($A253,EntryList!$A$3:$N$596,7,FALSE),"")</f>
        <v>Lite M</v>
      </c>
      <c r="I253" s="54">
        <f>IFERROR(VLOOKUP($A253,SortedDownload!$A$3:$Z749,4,FALSE),"")</f>
        <v>2</v>
      </c>
      <c r="J253" s="59" t="str">
        <f>IFERROR(VLOOKUP($A253,SortedDownload!$A$3:$BB$499,23,FALSE),"")</f>
        <v>DNS/DNF ()</v>
      </c>
      <c r="K253" s="59" t="str">
        <f>IFERROR(VLOOKUP($A253,SortedDownload!$A$3:$BB$499,24,FALSE),"")</f>
        <v>00:04:58.5 (201)</v>
      </c>
      <c r="L253" s="59" t="str">
        <f>IFERROR(VLOOKUP($A253,SortedDownload!$A$3:$BB$499,25,FALSE),"")</f>
        <v>DNS/DNF ()</v>
      </c>
      <c r="M253" s="59" t="str">
        <f>IFERROR(VLOOKUP($A253,SortedDownload!$A$3:$BB$499,26,FALSE),"")</f>
        <v>DNS/DNF ()</v>
      </c>
      <c r="N253" s="59" t="str">
        <f>IFERROR(VLOOKUP($A253,SortedDownload!$A$3:$BB$499,27,FALSE),"")</f>
        <v>00:07:42.2 (233)</v>
      </c>
      <c r="O253" s="59" t="str">
        <f>IFERROR(VLOOKUP($A253,SortedDownload!$A$3:$BB$499,28,FALSE),"")</f>
        <v>DNS/DNF ()</v>
      </c>
      <c r="P253" s="59" t="str">
        <f>IFERROR(VLOOKUP($A253,SortedDownload!$A$3:$BB$499,29,FALSE),"")</f>
        <v>DNS/DNF ()</v>
      </c>
      <c r="Q253" s="59" t="str">
        <f>IFERROR(VLOOKUP($A253,SortedDownload!$A$3:$BB$499,30,FALSE),"")</f>
        <v>DNS/DNF ()</v>
      </c>
      <c r="R253" s="62" t="str">
        <f>IFERROR(TEXT(VLOOKUP($A253,SortedDownload!$A$3:$Z$499,14,FALSE),"[hh]:mm:ss.000"),"")</f>
        <v>00:12:40.670</v>
      </c>
      <c r="S253" s="83" t="str">
        <f t="shared" si="11"/>
        <v>00:40</v>
      </c>
      <c r="T253" s="83" t="str">
        <f t="shared" si="9"/>
        <v>N/A</v>
      </c>
      <c r="U253" s="9" t="str">
        <f t="shared" si="10"/>
        <v/>
      </c>
      <c r="V253" s="20" t="str">
        <f>IFERROR(IF(VLOOKUP(H253,AgeCategories!$D$3:$J$32,7,FALSE)=I253,"","DNF"),"")</f>
        <v>DNF</v>
      </c>
    </row>
    <row r="254" spans="1:22">
      <c r="A254" s="53">
        <f>IF(SortedDownload!A254 &lt; 1,"",SortedDownload!A254)</f>
        <v>197</v>
      </c>
      <c r="B254" s="55" t="str">
        <f>IF(V254&lt;&gt;"","DNF",COUNTIF($V$3:V254,V254))</f>
        <v>DNF</v>
      </c>
      <c r="C254" s="54" t="str">
        <f>IF(OR(B254="DNF",H254=""),"DNF",COUNTIF($H$3:H254,H254))</f>
        <v>DNF</v>
      </c>
      <c r="D254" s="90" t="str">
        <f>IFERROR(VLOOKUP($A254,EntryList!$A$3:$N$596,2,FALSE),"")</f>
        <v>Ruan Van Den Berg</v>
      </c>
      <c r="E254" s="54">
        <f>IFERROR(VLOOKUP($A254,EntryList!$A$3:$V$596,19,FALSE),"")</f>
        <v>0</v>
      </c>
      <c r="F254" s="176">
        <f>IFERROR(VLOOKUP($A254,EntryList!$A$3:$V$596,18,FALSE),"")</f>
        <v>0</v>
      </c>
      <c r="H254" s="90" t="str">
        <f>IFERROR(VLOOKUP($A254,EntryList!$A$3:$N$596,7,FALSE),"")</f>
        <v>Sub Junior Boys</v>
      </c>
      <c r="I254" s="54">
        <f>IFERROR(VLOOKUP($A254,SortedDownload!$A$3:$Z750,4,FALSE),"")</f>
        <v>2</v>
      </c>
      <c r="J254" s="59" t="str">
        <f>IFERROR(VLOOKUP($A254,SortedDownload!$A$3:$BB$499,23,FALSE),"")</f>
        <v>DNS/DNF ()</v>
      </c>
      <c r="K254" s="59" t="str">
        <f>IFERROR(VLOOKUP($A254,SortedDownload!$A$3:$BB$499,24,FALSE),"")</f>
        <v>00:06:07.4 (242)</v>
      </c>
      <c r="L254" s="59" t="str">
        <f>IFERROR(VLOOKUP($A254,SortedDownload!$A$3:$BB$499,25,FALSE),"")</f>
        <v>DNS/DNF ()</v>
      </c>
      <c r="M254" s="59" t="str">
        <f>IFERROR(VLOOKUP($A254,SortedDownload!$A$3:$BB$499,26,FALSE),"")</f>
        <v>DNS/DNF ()</v>
      </c>
      <c r="N254" s="59" t="str">
        <f>IFERROR(VLOOKUP($A254,SortedDownload!$A$3:$BB$499,27,FALSE),"")</f>
        <v>00:07:15.0 (224)</v>
      </c>
      <c r="O254" s="59" t="str">
        <f>IFERROR(VLOOKUP($A254,SortedDownload!$A$3:$BB$499,28,FALSE),"")</f>
        <v>DNS/DNF ()</v>
      </c>
      <c r="P254" s="59" t="str">
        <f>IFERROR(VLOOKUP($A254,SortedDownload!$A$3:$BB$499,29,FALSE),"")</f>
        <v>DNS/DNF ()</v>
      </c>
      <c r="Q254" s="59" t="str">
        <f>IFERROR(VLOOKUP($A254,SortedDownload!$A$3:$BB$499,30,FALSE),"")</f>
        <v>DNS/DNF ()</v>
      </c>
      <c r="R254" s="62" t="str">
        <f>IFERROR(TEXT(VLOOKUP($A254,SortedDownload!$A$3:$Z$499,14,FALSE),"[hh]:mm:ss.000"),"")</f>
        <v>00:13:22.426</v>
      </c>
      <c r="S254" s="83" t="str">
        <f t="shared" si="11"/>
        <v>00:42</v>
      </c>
      <c r="T254" s="83" t="str">
        <f t="shared" si="9"/>
        <v>N/A</v>
      </c>
      <c r="U254" s="9" t="str">
        <f t="shared" si="10"/>
        <v/>
      </c>
      <c r="V254" s="20" t="str">
        <f>IFERROR(IF(VLOOKUP(H254,AgeCategories!$D$3:$J$32,7,FALSE)=I254,"","DNF"),"")</f>
        <v>DNF</v>
      </c>
    </row>
    <row r="255" spans="1:22">
      <c r="A255" s="53">
        <f>IF(SortedDownload!A255 &lt; 1,"",SortedDownload!A255)</f>
        <v>279</v>
      </c>
      <c r="B255" s="55" t="str">
        <f>IF(V255&lt;&gt;"","DNF",COUNTIF($V$3:V255,V255))</f>
        <v>DNF</v>
      </c>
      <c r="C255" s="54" t="str">
        <f>IF(OR(B255="DNF",H255=""),"DNF",COUNTIF($H$3:H255,H255))</f>
        <v>DNF</v>
      </c>
      <c r="D255" s="90" t="str">
        <f>IFERROR(VLOOKUP($A255,EntryList!$A$3:$N$596,2,FALSE),"")</f>
        <v>Michelle Witteven</v>
      </c>
      <c r="E255" s="54">
        <f>IFERROR(VLOOKUP($A255,EntryList!$A$3:$V$596,19,FALSE),"")</f>
        <v>0</v>
      </c>
      <c r="F255" s="176">
        <f>IFERROR(VLOOKUP($A255,EntryList!$A$3:$V$596,18,FALSE),"")</f>
        <v>0</v>
      </c>
      <c r="H255" s="90" t="str">
        <f>IFERROR(VLOOKUP($A255,EntryList!$A$3:$N$596,7,FALSE),"")</f>
        <v>Master Women</v>
      </c>
      <c r="I255" s="54">
        <f>IFERROR(VLOOKUP($A255,SortedDownload!$A$3:$Z751,4,FALSE),"")</f>
        <v>2</v>
      </c>
      <c r="J255" s="59" t="str">
        <f>IFERROR(VLOOKUP($A255,SortedDownload!$A$3:$BB$499,23,FALSE),"")</f>
        <v>DNS/DNF ()</v>
      </c>
      <c r="K255" s="59" t="str">
        <f>IFERROR(VLOOKUP($A255,SortedDownload!$A$3:$BB$499,24,FALSE),"")</f>
        <v>00:06:15.5 (245)</v>
      </c>
      <c r="L255" s="59" t="str">
        <f>IFERROR(VLOOKUP($A255,SortedDownload!$A$3:$BB$499,25,FALSE),"")</f>
        <v>DNS/DNF ()</v>
      </c>
      <c r="M255" s="59" t="str">
        <f>IFERROR(VLOOKUP($A255,SortedDownload!$A$3:$BB$499,26,FALSE),"")</f>
        <v>DNS/DNF ()</v>
      </c>
      <c r="N255" s="59" t="str">
        <f>IFERROR(VLOOKUP($A255,SortedDownload!$A$3:$BB$499,27,FALSE),"")</f>
        <v>00:07:43.5 (235)</v>
      </c>
      <c r="O255" s="59" t="str">
        <f>IFERROR(VLOOKUP($A255,SortedDownload!$A$3:$BB$499,28,FALSE),"")</f>
        <v>DNS/DNF ()</v>
      </c>
      <c r="P255" s="59" t="str">
        <f>IFERROR(VLOOKUP($A255,SortedDownload!$A$3:$BB$499,29,FALSE),"")</f>
        <v>DNS/DNF ()</v>
      </c>
      <c r="Q255" s="59" t="str">
        <f>IFERROR(VLOOKUP($A255,SortedDownload!$A$3:$BB$499,30,FALSE),"")</f>
        <v>DNS/DNF ()</v>
      </c>
      <c r="R255" s="62" t="str">
        <f>IFERROR(TEXT(VLOOKUP($A255,SortedDownload!$A$3:$Z$499,14,FALSE),"[hh]:mm:ss.000"),"")</f>
        <v>00:13:59.046</v>
      </c>
      <c r="S255" s="83" t="str">
        <f t="shared" si="11"/>
        <v>00:37</v>
      </c>
      <c r="T255" s="83" t="str">
        <f t="shared" si="9"/>
        <v>N/A</v>
      </c>
      <c r="U255" s="9" t="str">
        <f t="shared" si="10"/>
        <v/>
      </c>
      <c r="V255" s="20" t="str">
        <f>IFERROR(IF(VLOOKUP(H255,AgeCategories!$D$3:$J$32,7,FALSE)=I255,"","DNF"),"")</f>
        <v>DNF</v>
      </c>
    </row>
    <row r="256" spans="1:22">
      <c r="A256" s="53">
        <f>IF(SortedDownload!A256 &lt; 1,"",SortedDownload!A256)</f>
        <v>39</v>
      </c>
      <c r="B256" s="55" t="str">
        <f>IF(V256&lt;&gt;"","DNF",COUNTIF($V$3:V256,V256))</f>
        <v>DNF</v>
      </c>
      <c r="C256" s="54" t="str">
        <f>IF(OR(B256="DNF",H256=""),"DNF",COUNTIF($H$3:H256,H256))</f>
        <v>DNF</v>
      </c>
      <c r="D256" s="90" t="str">
        <f>IFERROR(VLOOKUP($A256,EntryList!$A$3:$N$596,2,FALSE),"")</f>
        <v>Rupert Taljaard</v>
      </c>
      <c r="E256" s="54">
        <f>IFERROR(VLOOKUP($A256,EntryList!$A$3:$V$596,19,FALSE),"")</f>
        <v>0</v>
      </c>
      <c r="F256" s="176">
        <f>IFERROR(VLOOKUP($A256,EntryList!$A$3:$V$596,18,FALSE),"")</f>
        <v>0</v>
      </c>
      <c r="H256" s="90" t="str">
        <f>IFERROR(VLOOKUP($A256,EntryList!$A$3:$N$596,7,FALSE),"")</f>
        <v>Youth Men</v>
      </c>
      <c r="I256" s="54">
        <f>IFERROR(VLOOKUP($A256,SortedDownload!$A$3:$Z752,4,FALSE),"")</f>
        <v>2</v>
      </c>
      <c r="J256" s="59" t="str">
        <f>IFERROR(VLOOKUP($A256,SortedDownload!$A$3:$BB$499,23,FALSE),"")</f>
        <v>00:03:51.1 (48)</v>
      </c>
      <c r="K256" s="59" t="str">
        <f>IFERROR(VLOOKUP($A256,SortedDownload!$A$3:$BB$499,24,FALSE),"")</f>
        <v>00:12:31.3 (255)</v>
      </c>
      <c r="L256" s="59" t="str">
        <f>IFERROR(VLOOKUP($A256,SortedDownload!$A$3:$BB$499,25,FALSE),"")</f>
        <v>DNS/DNF ()</v>
      </c>
      <c r="M256" s="59" t="str">
        <f>IFERROR(VLOOKUP($A256,SortedDownload!$A$3:$BB$499,26,FALSE),"")</f>
        <v>DNS/DNF ()</v>
      </c>
      <c r="N256" s="59" t="str">
        <f>IFERROR(VLOOKUP($A256,SortedDownload!$A$3:$BB$499,27,FALSE),"")</f>
        <v>DNS/DNF ()</v>
      </c>
      <c r="O256" s="59" t="str">
        <f>IFERROR(VLOOKUP($A256,SortedDownload!$A$3:$BB$499,28,FALSE),"")</f>
        <v>DNS/DNF ()</v>
      </c>
      <c r="P256" s="59" t="str">
        <f>IFERROR(VLOOKUP($A256,SortedDownload!$A$3:$BB$499,29,FALSE),"")</f>
        <v>DNS/DNF ()</v>
      </c>
      <c r="Q256" s="59" t="str">
        <f>IFERROR(VLOOKUP($A256,SortedDownload!$A$3:$BB$499,30,FALSE),"")</f>
        <v>DNS/DNF ()</v>
      </c>
      <c r="R256" s="62" t="str">
        <f>IFERROR(TEXT(VLOOKUP($A256,SortedDownload!$A$3:$Z$499,14,FALSE),"[hh]:mm:ss.000"),"")</f>
        <v>00:16:22.448</v>
      </c>
      <c r="S256" s="83" t="str">
        <f t="shared" si="11"/>
        <v>02:23</v>
      </c>
      <c r="T256" s="83" t="str">
        <f t="shared" si="9"/>
        <v>N/A</v>
      </c>
      <c r="U256" s="9" t="str">
        <f t="shared" si="10"/>
        <v/>
      </c>
      <c r="V256" s="20" t="str">
        <f>IFERROR(IF(VLOOKUP(H256,AgeCategories!$D$3:$J$32,7,FALSE)=I256,"","DNF"),"")</f>
        <v>DNF</v>
      </c>
    </row>
    <row r="257" spans="1:22">
      <c r="A257" s="53">
        <f>IF(SortedDownload!A257 &lt; 1,"",SortedDownload!A257)</f>
        <v>213</v>
      </c>
      <c r="B257" s="55" t="str">
        <f>IF(V257&lt;&gt;"","DNF",COUNTIF($V$3:V257,V257))</f>
        <v>DNF</v>
      </c>
      <c r="C257" s="54" t="str">
        <f>IF(OR(B257="DNF",H257=""),"DNF",COUNTIF($H$3:H257,H257))</f>
        <v>DNF</v>
      </c>
      <c r="D257" s="90" t="str">
        <f>IFERROR(VLOOKUP($A257,EntryList!$A$3:$N$596,2,FALSE),"")</f>
        <v>Ettienne Van Biljon</v>
      </c>
      <c r="E257" s="54">
        <f>IFERROR(VLOOKUP($A257,EntryList!$A$3:$V$596,19,FALSE),"")</f>
        <v>0</v>
      </c>
      <c r="F257" s="176">
        <f>IFERROR(VLOOKUP($A257,EntryList!$A$3:$V$596,18,FALSE),"")</f>
        <v>0</v>
      </c>
      <c r="H257" s="90" t="str">
        <f>IFERROR(VLOOKUP($A257,EntryList!$A$3:$N$596,7,FALSE),"")</f>
        <v>Lite M</v>
      </c>
      <c r="I257" s="54">
        <f>IFERROR(VLOOKUP($A257,SortedDownload!$A$3:$Z753,4,FALSE),"")</f>
        <v>2</v>
      </c>
      <c r="J257" s="59" t="str">
        <f>IFERROR(VLOOKUP($A257,SortedDownload!$A$3:$BB$499,23,FALSE),"")</f>
        <v>DNS/DNF ()</v>
      </c>
      <c r="K257" s="59" t="str">
        <f>IFERROR(VLOOKUP($A257,SortedDownload!$A$3:$BB$499,24,FALSE),"")</f>
        <v>00:04:24.6 (120)</v>
      </c>
      <c r="L257" s="59" t="str">
        <f>IFERROR(VLOOKUP($A257,SortedDownload!$A$3:$BB$499,25,FALSE),"")</f>
        <v>00:13:15.3 (248)</v>
      </c>
      <c r="M257" s="59" t="str">
        <f>IFERROR(VLOOKUP($A257,SortedDownload!$A$3:$BB$499,26,FALSE),"")</f>
        <v>DNS/DNF ()</v>
      </c>
      <c r="N257" s="59" t="str">
        <f>IFERROR(VLOOKUP($A257,SortedDownload!$A$3:$BB$499,27,FALSE),"")</f>
        <v>DNS/DNF ()</v>
      </c>
      <c r="O257" s="59" t="str">
        <f>IFERROR(VLOOKUP($A257,SortedDownload!$A$3:$BB$499,28,FALSE),"")</f>
        <v>DNS/DNF ()</v>
      </c>
      <c r="P257" s="59" t="str">
        <f>IFERROR(VLOOKUP($A257,SortedDownload!$A$3:$BB$499,29,FALSE),"")</f>
        <v>DNS/DNF ()</v>
      </c>
      <c r="Q257" s="59" t="str">
        <f>IFERROR(VLOOKUP($A257,SortedDownload!$A$3:$BB$499,30,FALSE),"")</f>
        <v>DNS/DNF ()</v>
      </c>
      <c r="R257" s="62" t="str">
        <f>IFERROR(TEXT(VLOOKUP($A257,SortedDownload!$A$3:$Z$499,14,FALSE),"[hh]:mm:ss.000"),"")</f>
        <v>00:17:39.963</v>
      </c>
      <c r="S257" s="83" t="str">
        <f t="shared" si="11"/>
        <v>01:18</v>
      </c>
      <c r="T257" s="83" t="str">
        <f t="shared" si="9"/>
        <v>00:50</v>
      </c>
      <c r="U257" s="9" t="str">
        <f t="shared" si="10"/>
        <v/>
      </c>
      <c r="V257" s="20" t="str">
        <f>IFERROR(IF(VLOOKUP(H257,AgeCategories!$D$3:$J$32,7,FALSE)=I257,"","DNF"),"")</f>
        <v>DNF</v>
      </c>
    </row>
    <row r="258" spans="1:22">
      <c r="A258" s="53">
        <f>IF(SortedDownload!A258 &lt; 1,"",SortedDownload!A258)</f>
        <v>183</v>
      </c>
      <c r="B258" s="55" t="str">
        <f>IF(V258&lt;&gt;"","DNF",COUNTIF($V$3:V258,V258))</f>
        <v>DNF</v>
      </c>
      <c r="C258" s="54" t="str">
        <f>IF(OR(B258="DNF",H258=""),"DNF",COUNTIF($H$3:H258,H258))</f>
        <v>DNF</v>
      </c>
      <c r="D258" s="90" t="str">
        <f>IFERROR(VLOOKUP($A258,EntryList!$A$3:$N$596,2,FALSE),"")</f>
        <v>Michael Sutton</v>
      </c>
      <c r="E258" s="54">
        <f>IFERROR(VLOOKUP($A258,EntryList!$A$3:$V$596,19,FALSE),"")</f>
        <v>0</v>
      </c>
      <c r="F258" s="176">
        <f>IFERROR(VLOOKUP($A258,EntryList!$A$3:$V$596,18,FALSE),"")</f>
        <v>0</v>
      </c>
      <c r="H258" s="90" t="str">
        <f>IFERROR(VLOOKUP($A258,EntryList!$A$3:$N$596,7,FALSE),"")</f>
        <v>Lite M</v>
      </c>
      <c r="I258" s="54">
        <f>IFERROR(VLOOKUP($A258,SortedDownload!$A$3:$Z754,4,FALSE),"")</f>
        <v>1</v>
      </c>
      <c r="J258" s="59" t="str">
        <f>IFERROR(VLOOKUP($A258,SortedDownload!$A$3:$BB$499,23,FALSE),"")</f>
        <v>DNS/DNF ()</v>
      </c>
      <c r="K258" s="59" t="str">
        <f>IFERROR(VLOOKUP($A258,SortedDownload!$A$3:$BB$499,24,FALSE),"")</f>
        <v>DNS/DNF ()</v>
      </c>
      <c r="L258" s="59" t="str">
        <f>IFERROR(VLOOKUP($A258,SortedDownload!$A$3:$BB$499,25,FALSE),"")</f>
        <v>00:02:33.2 (124)</v>
      </c>
      <c r="M258" s="59" t="str">
        <f>IFERROR(VLOOKUP($A258,SortedDownload!$A$3:$BB$499,26,FALSE),"")</f>
        <v>DNS/DNF ()</v>
      </c>
      <c r="N258" s="59" t="str">
        <f>IFERROR(VLOOKUP($A258,SortedDownload!$A$3:$BB$499,27,FALSE),"")</f>
        <v>DNS/DNF ()</v>
      </c>
      <c r="O258" s="59" t="str">
        <f>IFERROR(VLOOKUP($A258,SortedDownload!$A$3:$BB$499,28,FALSE),"")</f>
        <v>DNS/DNF ()</v>
      </c>
      <c r="P258" s="59" t="str">
        <f>IFERROR(VLOOKUP($A258,SortedDownload!$A$3:$BB$499,29,FALSE),"")</f>
        <v>DNS/DNF ()</v>
      </c>
      <c r="Q258" s="59" t="str">
        <f>IFERROR(VLOOKUP($A258,SortedDownload!$A$3:$BB$499,30,FALSE),"")</f>
        <v>DNS/DNF ()</v>
      </c>
      <c r="R258" s="62" t="str">
        <f>IFERROR(TEXT(VLOOKUP($A258,SortedDownload!$A$3:$Z$499,14,FALSE),"[hh]:mm:ss.000"),"")</f>
        <v>00:02:33.196</v>
      </c>
      <c r="S258" s="83" t="str">
        <f t="shared" si="11"/>
        <v>N/A</v>
      </c>
      <c r="T258" s="83" t="str">
        <f t="shared" si="9"/>
        <v>N/A</v>
      </c>
      <c r="U258" s="9" t="str">
        <f t="shared" si="10"/>
        <v/>
      </c>
      <c r="V258" s="20" t="str">
        <f>IFERROR(IF(VLOOKUP(H258,AgeCategories!$D$3:$J$32,7,FALSE)=I258,"","DNF"),"")</f>
        <v>DNF</v>
      </c>
    </row>
    <row r="259" spans="1:22">
      <c r="A259" s="53">
        <f>IF(SortedDownload!A259 &lt; 1,"",SortedDownload!A259)</f>
        <v>51</v>
      </c>
      <c r="B259" s="55" t="str">
        <f>IF(V259&lt;&gt;"","DNF",COUNTIF($V$3:V259,V259))</f>
        <v>DNF</v>
      </c>
      <c r="C259" s="54" t="str">
        <f>IF(OR(B259="DNF",H259=""),"DNF",COUNTIF($H$3:H259,H259))</f>
        <v>DNF</v>
      </c>
      <c r="D259" s="90" t="str">
        <f>IFERROR(VLOOKUP($A259,EntryList!$A$3:$N$596,2,FALSE),"")</f>
        <v>Edwin De Swardt</v>
      </c>
      <c r="E259" s="54">
        <f>IFERROR(VLOOKUP($A259,EntryList!$A$3:$V$596,19,FALSE),"")</f>
        <v>0</v>
      </c>
      <c r="F259" s="176">
        <f>IFERROR(VLOOKUP($A259,EntryList!$A$3:$V$596,18,FALSE),"")</f>
        <v>0</v>
      </c>
      <c r="H259" s="90" t="str">
        <f>IFERROR(VLOOKUP($A259,EntryList!$A$3:$N$596,7,FALSE),"")</f>
        <v>Master Men</v>
      </c>
      <c r="I259" s="54">
        <f>IFERROR(VLOOKUP($A259,SortedDownload!$A$3:$Z755,4,FALSE),"")</f>
        <v>1</v>
      </c>
      <c r="J259" s="59" t="str">
        <f>IFERROR(VLOOKUP($A259,SortedDownload!$A$3:$BB$499,23,FALSE),"")</f>
        <v>00:04:41.0 (98)</v>
      </c>
      <c r="K259" s="59" t="str">
        <f>IFERROR(VLOOKUP($A259,SortedDownload!$A$3:$BB$499,24,FALSE),"")</f>
        <v>DNS/DNF ()</v>
      </c>
      <c r="L259" s="59" t="str">
        <f>IFERROR(VLOOKUP($A259,SortedDownload!$A$3:$BB$499,25,FALSE),"")</f>
        <v>DNS/DNF ()</v>
      </c>
      <c r="M259" s="59" t="str">
        <f>IFERROR(VLOOKUP($A259,SortedDownload!$A$3:$BB$499,26,FALSE),"")</f>
        <v>DNS/DNF ()</v>
      </c>
      <c r="N259" s="59" t="str">
        <f>IFERROR(VLOOKUP($A259,SortedDownload!$A$3:$BB$499,27,FALSE),"")</f>
        <v>DNS/DNF ()</v>
      </c>
      <c r="O259" s="59" t="str">
        <f>IFERROR(VLOOKUP($A259,SortedDownload!$A$3:$BB$499,28,FALSE),"")</f>
        <v>DNS/DNF ()</v>
      </c>
      <c r="P259" s="59" t="str">
        <f>IFERROR(VLOOKUP($A259,SortedDownload!$A$3:$BB$499,29,FALSE),"")</f>
        <v>DNS/DNF ()</v>
      </c>
      <c r="Q259" s="59" t="str">
        <f>IFERROR(VLOOKUP($A259,SortedDownload!$A$3:$BB$499,30,FALSE),"")</f>
        <v>DNS/DNF ()</v>
      </c>
      <c r="R259" s="62" t="str">
        <f>IFERROR(TEXT(VLOOKUP($A259,SortedDownload!$A$3:$Z$499,14,FALSE),"[hh]:mm:ss.000"),"")</f>
        <v>00:04:40.995</v>
      </c>
      <c r="S259" s="83" t="str">
        <f t="shared" si="11"/>
        <v>02:08</v>
      </c>
      <c r="T259" s="83" t="str">
        <f t="shared" si="9"/>
        <v>N/A</v>
      </c>
      <c r="U259" s="9" t="str">
        <f t="shared" si="10"/>
        <v/>
      </c>
      <c r="V259" s="20" t="str">
        <f>IFERROR(IF(VLOOKUP(H259,AgeCategories!$D$3:$J$32,7,FALSE)=I259,"","DNF"),"")</f>
        <v>DNF</v>
      </c>
    </row>
    <row r="260" spans="1:22">
      <c r="A260" s="53">
        <f>IF(SortedDownload!A260 &lt; 1,"",SortedDownload!A260)</f>
        <v>49</v>
      </c>
      <c r="B260" s="55" t="str">
        <f>IF(V260&lt;&gt;"","DNF",COUNTIF($V$3:V260,V260))</f>
        <v>DNF</v>
      </c>
      <c r="C260" s="54" t="str">
        <f>IF(OR(B260="DNF",H260=""),"DNF",COUNTIF($H$3:H260,H260))</f>
        <v>DNF</v>
      </c>
      <c r="D260" s="90" t="str">
        <f>IFERROR(VLOOKUP($A260,EntryList!$A$3:$N$596,2,FALSE),"")</f>
        <v>Francois Dreyer</v>
      </c>
      <c r="E260" s="54">
        <f>IFERROR(VLOOKUP($A260,EntryList!$A$3:$V$596,19,FALSE),"")</f>
        <v>0</v>
      </c>
      <c r="F260" s="176">
        <f>IFERROR(VLOOKUP($A260,EntryList!$A$3:$V$596,18,FALSE),"")</f>
        <v>0</v>
      </c>
      <c r="H260" s="90" t="str">
        <f>IFERROR(VLOOKUP($A260,EntryList!$A$3:$N$596,7,FALSE),"")</f>
        <v>Lite M</v>
      </c>
      <c r="I260" s="54">
        <f>IFERROR(VLOOKUP($A260,SortedDownload!$A$3:$Z756,4,FALSE),"")</f>
        <v>1</v>
      </c>
      <c r="J260" s="59" t="str">
        <f>IFERROR(VLOOKUP($A260,SortedDownload!$A$3:$BB$499,23,FALSE),"")</f>
        <v>DNS/DNF ()</v>
      </c>
      <c r="K260" s="59" t="str">
        <f>IFERROR(VLOOKUP($A260,SortedDownload!$A$3:$BB$499,24,FALSE),"")</f>
        <v>00:06:22.9 (248)</v>
      </c>
      <c r="L260" s="59" t="str">
        <f>IFERROR(VLOOKUP($A260,SortedDownload!$A$3:$BB$499,25,FALSE),"")</f>
        <v>DNS/DNF ()</v>
      </c>
      <c r="M260" s="59" t="str">
        <f>IFERROR(VLOOKUP($A260,SortedDownload!$A$3:$BB$499,26,FALSE),"")</f>
        <v>DNS/DNF ()</v>
      </c>
      <c r="N260" s="59" t="str">
        <f>IFERROR(VLOOKUP($A260,SortedDownload!$A$3:$BB$499,27,FALSE),"")</f>
        <v>DNS/DNF ()</v>
      </c>
      <c r="O260" s="59" t="str">
        <f>IFERROR(VLOOKUP($A260,SortedDownload!$A$3:$BB$499,28,FALSE),"")</f>
        <v>DNS/DNF ()</v>
      </c>
      <c r="P260" s="59" t="str">
        <f>IFERROR(VLOOKUP($A260,SortedDownload!$A$3:$BB$499,29,FALSE),"")</f>
        <v>DNS/DNF ()</v>
      </c>
      <c r="Q260" s="59" t="str">
        <f>IFERROR(VLOOKUP($A260,SortedDownload!$A$3:$BB$499,30,FALSE),"")</f>
        <v>DNS/DNF ()</v>
      </c>
      <c r="R260" s="62" t="str">
        <f>IFERROR(TEXT(VLOOKUP($A260,SortedDownload!$A$3:$Z$499,14,FALSE),"[hh]:mm:ss.000"),"")</f>
        <v>00:06:22.935</v>
      </c>
      <c r="S260" s="83" t="str">
        <f t="shared" si="11"/>
        <v>01:42</v>
      </c>
      <c r="T260" s="83" t="str">
        <f t="shared" ref="T260:T323" si="12">IF($I260-$I259&lt;0,"N/A",IFERROR(TEXT(($R260-$R$3),"mm:ss"),"N/A"))</f>
        <v>N/A</v>
      </c>
      <c r="U260" s="9" t="str">
        <f t="shared" ref="U260:U323" si="13">IF($A260="","",IF(COUNTIF($A$3:$A$500,$A260)&gt;1,"Duplicate",""))</f>
        <v/>
      </c>
      <c r="V260" s="20" t="str">
        <f>IFERROR(IF(VLOOKUP(H260,AgeCategories!$D$3:$J$32,7,FALSE)=I260,"","DNF"),"")</f>
        <v>DNF</v>
      </c>
    </row>
    <row r="261" spans="1:22">
      <c r="A261" s="53">
        <f>IF(SortedDownload!A261 &lt; 1,"",SortedDownload!A261)</f>
        <v>108</v>
      </c>
      <c r="B261" s="55" t="str">
        <f>IF(V261&lt;&gt;"","DNF",COUNTIF($V$3:V261,V261))</f>
        <v>DNF</v>
      </c>
      <c r="C261" s="54" t="str">
        <f>IF(OR(B261="DNF",H261=""),"DNF",COUNTIF($H$3:H261,H261))</f>
        <v>DNF</v>
      </c>
      <c r="D261" s="90" t="str">
        <f>IFERROR(VLOOKUP($A261,EntryList!$A$3:$N$596,2,FALSE),"")</f>
        <v>Schalk Willem Vorster</v>
      </c>
      <c r="E261" s="54">
        <f>IFERROR(VLOOKUP($A261,EntryList!$A$3:$V$596,19,FALSE),"")</f>
        <v>0</v>
      </c>
      <c r="F261" s="176">
        <f>IFERROR(VLOOKUP($A261,EntryList!$A$3:$V$596,18,FALSE),"")</f>
        <v>0</v>
      </c>
      <c r="H261" s="90" t="str">
        <f>IFERROR(VLOOKUP($A261,EntryList!$A$3:$N$596,7,FALSE),"")</f>
        <v>Sub Junior Boys</v>
      </c>
      <c r="I261" s="54">
        <f>IFERROR(VLOOKUP($A261,SortedDownload!$A$3:$Z757,4,FALSE),"")</f>
        <v>1</v>
      </c>
      <c r="J261" s="59" t="str">
        <f>IFERROR(VLOOKUP($A261,SortedDownload!$A$3:$BB$499,23,FALSE),"")</f>
        <v>DNS/DNF ()</v>
      </c>
      <c r="K261" s="59" t="str">
        <f>IFERROR(VLOOKUP($A261,SortedDownload!$A$3:$BB$499,24,FALSE),"")</f>
        <v>00:09:07.5 (254)</v>
      </c>
      <c r="L261" s="59" t="str">
        <f>IFERROR(VLOOKUP($A261,SortedDownload!$A$3:$BB$499,25,FALSE),"")</f>
        <v>DNS/DNF ()</v>
      </c>
      <c r="M261" s="59" t="str">
        <f>IFERROR(VLOOKUP($A261,SortedDownload!$A$3:$BB$499,26,FALSE),"")</f>
        <v>DNS/DNF ()</v>
      </c>
      <c r="N261" s="59" t="str">
        <f>IFERROR(VLOOKUP($A261,SortedDownload!$A$3:$BB$499,27,FALSE),"")</f>
        <v>DNS/DNF ()</v>
      </c>
      <c r="O261" s="59" t="str">
        <f>IFERROR(VLOOKUP($A261,SortedDownload!$A$3:$BB$499,28,FALSE),"")</f>
        <v>DNS/DNF ()</v>
      </c>
      <c r="P261" s="59" t="str">
        <f>IFERROR(VLOOKUP($A261,SortedDownload!$A$3:$BB$499,29,FALSE),"")</f>
        <v>DNS/DNF ()</v>
      </c>
      <c r="Q261" s="59" t="str">
        <f>IFERROR(VLOOKUP($A261,SortedDownload!$A$3:$BB$499,30,FALSE),"")</f>
        <v>DNS/DNF ()</v>
      </c>
      <c r="R261" s="62" t="str">
        <f>IFERROR(TEXT(VLOOKUP($A261,SortedDownload!$A$3:$Z$499,14,FALSE),"[hh]:mm:ss.000"),"")</f>
        <v>00:09:07.535</v>
      </c>
      <c r="S261" s="83" t="str">
        <f t="shared" ref="S261:S324" si="14">IFERROR(TEXT(($R261-$R260),"mm:ss"),"N/A")</f>
        <v>02:45</v>
      </c>
      <c r="T261" s="83" t="str">
        <f t="shared" si="12"/>
        <v>N/A</v>
      </c>
      <c r="U261" s="9" t="str">
        <f t="shared" si="13"/>
        <v/>
      </c>
      <c r="V261" s="20" t="str">
        <f>IFERROR(IF(VLOOKUP(H261,AgeCategories!$D$3:$J$32,7,FALSE)=I261,"","DNF"),"")</f>
        <v>DNF</v>
      </c>
    </row>
    <row r="262" spans="1:22">
      <c r="A262" s="53">
        <f>IF(SortedDownload!A262 &lt; 1,"",SortedDownload!A262)</f>
        <v>107</v>
      </c>
      <c r="B262" s="55" t="str">
        <f>IF(V262&lt;&gt;"","DNF",COUNTIF($V$3:V262,V262))</f>
        <v>DNF</v>
      </c>
      <c r="C262" s="54" t="str">
        <f>IF(OR(B262="DNF",H262=""),"DNF",COUNTIF($H$3:H262,H262))</f>
        <v>DNF</v>
      </c>
      <c r="D262" s="90" t="str">
        <f>IFERROR(VLOOKUP($A262,EntryList!$A$3:$N$596,2,FALSE),"")</f>
        <v>Shaun Fuller</v>
      </c>
      <c r="E262" s="54">
        <f>IFERROR(VLOOKUP($A262,EntryList!$A$3:$V$596,19,FALSE),"")</f>
        <v>0</v>
      </c>
      <c r="F262" s="176">
        <f>IFERROR(VLOOKUP($A262,EntryList!$A$3:$V$596,18,FALSE),"")</f>
        <v>0</v>
      </c>
      <c r="H262" s="90" t="str">
        <f>IFERROR(VLOOKUP($A262,EntryList!$A$3:$N$596,7,FALSE),"")</f>
        <v>Master Men</v>
      </c>
      <c r="I262" s="54">
        <f>IFERROR(VLOOKUP($A262,SortedDownload!$A$3:$Z758,4,FALSE),"")</f>
        <v>1</v>
      </c>
      <c r="J262" s="59" t="str">
        <f>IFERROR(VLOOKUP($A262,SortedDownload!$A$3:$BB$499,23,FALSE),"")</f>
        <v>00:19:11.2 (142)</v>
      </c>
      <c r="K262" s="59" t="str">
        <f>IFERROR(VLOOKUP($A262,SortedDownload!$A$3:$BB$499,24,FALSE),"")</f>
        <v>DNS/DNF ()</v>
      </c>
      <c r="L262" s="59" t="str">
        <f>IFERROR(VLOOKUP($A262,SortedDownload!$A$3:$BB$499,25,FALSE),"")</f>
        <v>DNS/DNF ()</v>
      </c>
      <c r="M262" s="59" t="str">
        <f>IFERROR(VLOOKUP($A262,SortedDownload!$A$3:$BB$499,26,FALSE),"")</f>
        <v>DNS/DNF ()</v>
      </c>
      <c r="N262" s="59" t="str">
        <f>IFERROR(VLOOKUP($A262,SortedDownload!$A$3:$BB$499,27,FALSE),"")</f>
        <v>DNS/DNF ()</v>
      </c>
      <c r="O262" s="59" t="str">
        <f>IFERROR(VLOOKUP($A262,SortedDownload!$A$3:$BB$499,28,FALSE),"")</f>
        <v>DNS/DNF ()</v>
      </c>
      <c r="P262" s="59" t="str">
        <f>IFERROR(VLOOKUP($A262,SortedDownload!$A$3:$BB$499,29,FALSE),"")</f>
        <v>DNS/DNF ()</v>
      </c>
      <c r="Q262" s="59" t="str">
        <f>IFERROR(VLOOKUP($A262,SortedDownload!$A$3:$BB$499,30,FALSE),"")</f>
        <v>DNS/DNF ()</v>
      </c>
      <c r="R262" s="62" t="str">
        <f>IFERROR(TEXT(VLOOKUP($A262,SortedDownload!$A$3:$Z$499,14,FALSE),"[hh]:mm:ss.000"),"")</f>
        <v>00:19:11.197</v>
      </c>
      <c r="S262" s="83" t="str">
        <f t="shared" si="14"/>
        <v>10:04</v>
      </c>
      <c r="T262" s="83" t="str">
        <f t="shared" si="12"/>
        <v>02:21</v>
      </c>
      <c r="U262" s="9" t="str">
        <f t="shared" si="13"/>
        <v/>
      </c>
      <c r="V262" s="20" t="str">
        <f>IFERROR(IF(VLOOKUP(H262,AgeCategories!$D$3:$J$32,7,FALSE)=I262,"","DNF"),"")</f>
        <v>DNF</v>
      </c>
    </row>
    <row r="263" spans="1:22">
      <c r="A263" s="53" t="str">
        <f>IF(SortedDownload!A263 &lt; 1,"",SortedDownload!A263)</f>
        <v/>
      </c>
      <c r="B263" s="55">
        <f>IF(V263&lt;&gt;"","DNF",COUNTIF($V$3:V263,V263))</f>
        <v>228</v>
      </c>
      <c r="C263" s="54" t="str">
        <f>IF(OR(B263="DNF",H263=""),"DNF",COUNTIF($H$3:H263,H263))</f>
        <v>DNF</v>
      </c>
      <c r="D263" s="90" t="str">
        <f>IFERROR(VLOOKUP($A263,EntryList!$A$3:$N$596,2,FALSE),"")</f>
        <v/>
      </c>
      <c r="E263" s="54" t="str">
        <f>IFERROR(VLOOKUP($A263,EntryList!$A$3:$V$596,19,FALSE),"")</f>
        <v/>
      </c>
      <c r="F263" s="176" t="str">
        <f>IFERROR(VLOOKUP($A263,EntryList!$A$3:$V$596,18,FALSE),"")</f>
        <v/>
      </c>
      <c r="H263" s="90" t="str">
        <f>IFERROR(VLOOKUP($A263,EntryList!$A$3:$N$596,7,FALSE),"")</f>
        <v/>
      </c>
      <c r="I263" s="54" t="str">
        <f>IFERROR(VLOOKUP($A263,SortedDownload!$A$3:$Z759,4,FALSE),"")</f>
        <v/>
      </c>
      <c r="J263" s="59" t="str">
        <f>IFERROR(VLOOKUP($A263,SortedDownload!$A$3:$BB$499,23,FALSE),"")</f>
        <v/>
      </c>
      <c r="K263" s="59" t="str">
        <f>IFERROR(VLOOKUP($A263,SortedDownload!$A$3:$BB$499,24,FALSE),"")</f>
        <v/>
      </c>
      <c r="L263" s="59" t="str">
        <f>IFERROR(VLOOKUP($A263,SortedDownload!$A$3:$BB$499,25,FALSE),"")</f>
        <v/>
      </c>
      <c r="M263" s="59" t="str">
        <f>IFERROR(VLOOKUP($A263,SortedDownload!$A$3:$BB$499,26,FALSE),"")</f>
        <v/>
      </c>
      <c r="N263" s="59" t="str">
        <f>IFERROR(VLOOKUP($A263,SortedDownload!$A$3:$BB$499,27,FALSE),"")</f>
        <v/>
      </c>
      <c r="O263" s="59" t="str">
        <f>IFERROR(VLOOKUP($A263,SortedDownload!$A$3:$BB$499,28,FALSE),"")</f>
        <v/>
      </c>
      <c r="P263" s="59" t="str">
        <f>IFERROR(VLOOKUP($A263,SortedDownload!$A$3:$BB$499,29,FALSE),"")</f>
        <v/>
      </c>
      <c r="Q263" s="59" t="str">
        <f>IFERROR(VLOOKUP($A263,SortedDownload!$A$3:$BB$499,30,FALSE),"")</f>
        <v/>
      </c>
      <c r="R263" s="62" t="str">
        <f>IFERROR(TEXT(VLOOKUP($A263,SortedDownload!$A$3:$Z$499,14,FALSE),"[hh]:mm:ss.000"),"")</f>
        <v/>
      </c>
      <c r="S263" s="83" t="str">
        <f t="shared" si="14"/>
        <v>N/A</v>
      </c>
      <c r="T263" s="83" t="e">
        <f t="shared" si="12"/>
        <v>#VALUE!</v>
      </c>
      <c r="U263" s="9" t="str">
        <f t="shared" si="13"/>
        <v/>
      </c>
      <c r="V263" s="20" t="str">
        <f>IFERROR(IF(VLOOKUP(H263,AgeCategories!$D$3:$J$32,7,FALSE)=I263,"","DNF"),"")</f>
        <v/>
      </c>
    </row>
    <row r="264" spans="1:22">
      <c r="A264" s="53" t="str">
        <f>IF(SortedDownload!A264 &lt; 1,"",SortedDownload!A264)</f>
        <v/>
      </c>
      <c r="B264" s="55">
        <f>IF(V264&lt;&gt;"","DNF",COUNTIF($V$3:V264,V264))</f>
        <v>229</v>
      </c>
      <c r="C264" s="54" t="str">
        <f>IF(OR(B264="DNF",H264=""),"DNF",COUNTIF($H$3:H264,H264))</f>
        <v>DNF</v>
      </c>
      <c r="D264" s="90" t="str">
        <f>IFERROR(VLOOKUP($A264,EntryList!$A$3:$N$596,2,FALSE),"")</f>
        <v/>
      </c>
      <c r="E264" s="54" t="str">
        <f>IFERROR(VLOOKUP($A264,EntryList!$A$3:$V$596,19,FALSE),"")</f>
        <v/>
      </c>
      <c r="F264" s="176" t="str">
        <f>IFERROR(VLOOKUP($A264,EntryList!$A$3:$V$596,18,FALSE),"")</f>
        <v/>
      </c>
      <c r="H264" s="90" t="str">
        <f>IFERROR(VLOOKUP($A264,EntryList!$A$3:$N$596,7,FALSE),"")</f>
        <v/>
      </c>
      <c r="I264" s="54" t="str">
        <f>IFERROR(VLOOKUP($A264,SortedDownload!$A$3:$Z760,4,FALSE),"")</f>
        <v/>
      </c>
      <c r="J264" s="59" t="str">
        <f>IFERROR(VLOOKUP($A264,SortedDownload!$A$3:$BB$499,23,FALSE),"")</f>
        <v/>
      </c>
      <c r="K264" s="59" t="str">
        <f>IFERROR(VLOOKUP($A264,SortedDownload!$A$3:$BB$499,24,FALSE),"")</f>
        <v/>
      </c>
      <c r="L264" s="59" t="str">
        <f>IFERROR(VLOOKUP($A264,SortedDownload!$A$3:$BB$499,25,FALSE),"")</f>
        <v/>
      </c>
      <c r="M264" s="59" t="str">
        <f>IFERROR(VLOOKUP($A264,SortedDownload!$A$3:$BB$499,26,FALSE),"")</f>
        <v/>
      </c>
      <c r="N264" s="59" t="str">
        <f>IFERROR(VLOOKUP($A264,SortedDownload!$A$3:$BB$499,27,FALSE),"")</f>
        <v/>
      </c>
      <c r="O264" s="59" t="str">
        <f>IFERROR(VLOOKUP($A264,SortedDownload!$A$3:$BB$499,28,FALSE),"")</f>
        <v/>
      </c>
      <c r="P264" s="59" t="str">
        <f>IFERROR(VLOOKUP($A264,SortedDownload!$A$3:$BB$499,29,FALSE),"")</f>
        <v/>
      </c>
      <c r="Q264" s="59" t="str">
        <f>IFERROR(VLOOKUP($A264,SortedDownload!$A$3:$BB$499,30,FALSE),"")</f>
        <v/>
      </c>
      <c r="R264" s="62" t="str">
        <f>IFERROR(TEXT(VLOOKUP($A264,SortedDownload!$A$3:$Z$499,14,FALSE),"[hh]:mm:ss.000"),"")</f>
        <v/>
      </c>
      <c r="S264" s="83" t="str">
        <f t="shared" si="14"/>
        <v>N/A</v>
      </c>
      <c r="T264" s="83" t="e">
        <f t="shared" si="12"/>
        <v>#VALUE!</v>
      </c>
      <c r="U264" s="9" t="str">
        <f t="shared" si="13"/>
        <v/>
      </c>
      <c r="V264" s="20" t="str">
        <f>IFERROR(IF(VLOOKUP(H264,AgeCategories!$D$3:$J$32,7,FALSE)=I264,"","DNF"),"")</f>
        <v/>
      </c>
    </row>
    <row r="265" spans="1:22">
      <c r="A265" s="53" t="str">
        <f>IF(SortedDownload!A265 &lt; 1,"",SortedDownload!A265)</f>
        <v/>
      </c>
      <c r="B265" s="55">
        <f>IF(V265&lt;&gt;"","DNF",COUNTIF($V$3:V265,V265))</f>
        <v>230</v>
      </c>
      <c r="C265" s="54" t="str">
        <f>IF(OR(B265="DNF",H265=""),"DNF",COUNTIF($H$3:H265,H265))</f>
        <v>DNF</v>
      </c>
      <c r="D265" s="90" t="str">
        <f>IFERROR(VLOOKUP($A265,EntryList!$A$3:$N$596,2,FALSE),"")</f>
        <v/>
      </c>
      <c r="E265" s="54" t="str">
        <f>IFERROR(VLOOKUP($A265,EntryList!$A$3:$V$596,19,FALSE),"")</f>
        <v/>
      </c>
      <c r="F265" s="176" t="str">
        <f>IFERROR(VLOOKUP($A265,EntryList!$A$3:$V$596,18,FALSE),"")</f>
        <v/>
      </c>
      <c r="H265" s="90" t="str">
        <f>IFERROR(VLOOKUP($A265,EntryList!$A$3:$N$596,7,FALSE),"")</f>
        <v/>
      </c>
      <c r="I265" s="54" t="str">
        <f>IFERROR(VLOOKUP($A265,SortedDownload!$A$3:$Z761,4,FALSE),"")</f>
        <v/>
      </c>
      <c r="J265" s="59" t="str">
        <f>IFERROR(VLOOKUP($A265,SortedDownload!$A$3:$BB$499,23,FALSE),"")</f>
        <v/>
      </c>
      <c r="K265" s="59" t="str">
        <f>IFERROR(VLOOKUP($A265,SortedDownload!$A$3:$BB$499,24,FALSE),"")</f>
        <v/>
      </c>
      <c r="L265" s="59" t="str">
        <f>IFERROR(VLOOKUP($A265,SortedDownload!$A$3:$BB$499,25,FALSE),"")</f>
        <v/>
      </c>
      <c r="M265" s="59" t="str">
        <f>IFERROR(VLOOKUP($A265,SortedDownload!$A$3:$BB$499,26,FALSE),"")</f>
        <v/>
      </c>
      <c r="N265" s="59" t="str">
        <f>IFERROR(VLOOKUP($A265,SortedDownload!$A$3:$BB$499,27,FALSE),"")</f>
        <v/>
      </c>
      <c r="O265" s="59" t="str">
        <f>IFERROR(VLOOKUP($A265,SortedDownload!$A$3:$BB$499,28,FALSE),"")</f>
        <v/>
      </c>
      <c r="P265" s="59" t="str">
        <f>IFERROR(VLOOKUP($A265,SortedDownload!$A$3:$BB$499,29,FALSE),"")</f>
        <v/>
      </c>
      <c r="Q265" s="59" t="str">
        <f>IFERROR(VLOOKUP($A265,SortedDownload!$A$3:$BB$499,30,FALSE),"")</f>
        <v/>
      </c>
      <c r="R265" s="62" t="str">
        <f>IFERROR(TEXT(VLOOKUP($A265,SortedDownload!$A$3:$Z$499,14,FALSE),"[hh]:mm:ss.000"),"")</f>
        <v/>
      </c>
      <c r="S265" s="83" t="str">
        <f t="shared" si="14"/>
        <v>N/A</v>
      </c>
      <c r="T265" s="83" t="e">
        <f t="shared" si="12"/>
        <v>#VALUE!</v>
      </c>
      <c r="U265" s="9" t="str">
        <f t="shared" si="13"/>
        <v/>
      </c>
      <c r="V265" s="20" t="str">
        <f>IFERROR(IF(VLOOKUP(H265,AgeCategories!$D$3:$J$32,7,FALSE)=I265,"","DNF"),"")</f>
        <v/>
      </c>
    </row>
    <row r="266" spans="1:22">
      <c r="A266" s="53" t="str">
        <f>IF(SortedDownload!A266 &lt; 1,"",SortedDownload!A266)</f>
        <v/>
      </c>
      <c r="B266" s="55">
        <f>IF(V266&lt;&gt;"","DNF",COUNTIF($V$3:V266,V266))</f>
        <v>231</v>
      </c>
      <c r="C266" s="54" t="str">
        <f>IF(OR(B266="DNF",H266=""),"DNF",COUNTIF($H$3:H266,H266))</f>
        <v>DNF</v>
      </c>
      <c r="D266" s="90" t="str">
        <f>IFERROR(VLOOKUP($A266,EntryList!$A$3:$N$596,2,FALSE),"")</f>
        <v/>
      </c>
      <c r="E266" s="54" t="str">
        <f>IFERROR(VLOOKUP($A266,EntryList!$A$3:$V$596,19,FALSE),"")</f>
        <v/>
      </c>
      <c r="F266" s="176" t="str">
        <f>IFERROR(VLOOKUP($A266,EntryList!$A$3:$V$596,18,FALSE),"")</f>
        <v/>
      </c>
      <c r="H266" s="90" t="str">
        <f>IFERROR(VLOOKUP($A266,EntryList!$A$3:$N$596,7,FALSE),"")</f>
        <v/>
      </c>
      <c r="I266" s="54" t="str">
        <f>IFERROR(VLOOKUP($A266,SortedDownload!$A$3:$Z762,4,FALSE),"")</f>
        <v/>
      </c>
      <c r="J266" s="59" t="str">
        <f>IFERROR(VLOOKUP($A266,SortedDownload!$A$3:$BB$499,23,FALSE),"")</f>
        <v/>
      </c>
      <c r="K266" s="59" t="str">
        <f>IFERROR(VLOOKUP($A266,SortedDownload!$A$3:$BB$499,24,FALSE),"")</f>
        <v/>
      </c>
      <c r="L266" s="59" t="str">
        <f>IFERROR(VLOOKUP($A266,SortedDownload!$A$3:$BB$499,25,FALSE),"")</f>
        <v/>
      </c>
      <c r="M266" s="59" t="str">
        <f>IFERROR(VLOOKUP($A266,SortedDownload!$A$3:$BB$499,26,FALSE),"")</f>
        <v/>
      </c>
      <c r="N266" s="59" t="str">
        <f>IFERROR(VLOOKUP($A266,SortedDownload!$A$3:$BB$499,27,FALSE),"")</f>
        <v/>
      </c>
      <c r="O266" s="59" t="str">
        <f>IFERROR(VLOOKUP($A266,SortedDownload!$A$3:$BB$499,28,FALSE),"")</f>
        <v/>
      </c>
      <c r="P266" s="59" t="str">
        <f>IFERROR(VLOOKUP($A266,SortedDownload!$A$3:$BB$499,29,FALSE),"")</f>
        <v/>
      </c>
      <c r="Q266" s="59" t="str">
        <f>IFERROR(VLOOKUP($A266,SortedDownload!$A$3:$BB$499,30,FALSE),"")</f>
        <v/>
      </c>
      <c r="R266" s="62" t="str">
        <f>IFERROR(TEXT(VLOOKUP($A266,SortedDownload!$A$3:$Z$499,14,FALSE),"[hh]:mm:ss.000"),"")</f>
        <v/>
      </c>
      <c r="S266" s="83" t="str">
        <f t="shared" si="14"/>
        <v>N/A</v>
      </c>
      <c r="T266" s="83" t="e">
        <f t="shared" si="12"/>
        <v>#VALUE!</v>
      </c>
      <c r="U266" s="9" t="str">
        <f t="shared" si="13"/>
        <v/>
      </c>
      <c r="V266" s="20" t="str">
        <f>IFERROR(IF(VLOOKUP(H266,AgeCategories!$D$3:$J$32,7,FALSE)=I266,"","DNF"),"")</f>
        <v/>
      </c>
    </row>
    <row r="267" spans="1:22">
      <c r="A267" s="53" t="str">
        <f>IF(SortedDownload!A267 &lt; 1,"",SortedDownload!A267)</f>
        <v/>
      </c>
      <c r="B267" s="55">
        <f>IF(V267&lt;&gt;"","DNF",COUNTIF($V$3:V267,V267))</f>
        <v>232</v>
      </c>
      <c r="C267" s="54" t="str">
        <f>IF(OR(B267="DNF",H267=""),"DNF",COUNTIF($H$3:H267,H267))</f>
        <v>DNF</v>
      </c>
      <c r="D267" s="90" t="str">
        <f>IFERROR(VLOOKUP($A267,EntryList!$A$3:$N$596,2,FALSE),"")</f>
        <v/>
      </c>
      <c r="E267" s="54" t="str">
        <f>IFERROR(VLOOKUP($A267,EntryList!$A$3:$V$596,19,FALSE),"")</f>
        <v/>
      </c>
      <c r="F267" s="176" t="str">
        <f>IFERROR(VLOOKUP($A267,EntryList!$A$3:$V$596,18,FALSE),"")</f>
        <v/>
      </c>
      <c r="H267" s="90" t="str">
        <f>IFERROR(VLOOKUP($A267,EntryList!$A$3:$N$596,7,FALSE),"")</f>
        <v/>
      </c>
      <c r="I267" s="54" t="str">
        <f>IFERROR(VLOOKUP($A267,SortedDownload!$A$3:$Z763,4,FALSE),"")</f>
        <v/>
      </c>
      <c r="J267" s="59" t="str">
        <f>IFERROR(VLOOKUP($A267,SortedDownload!$A$3:$BB$499,23,FALSE),"")</f>
        <v/>
      </c>
      <c r="K267" s="59" t="str">
        <f>IFERROR(VLOOKUP($A267,SortedDownload!$A$3:$BB$499,24,FALSE),"")</f>
        <v/>
      </c>
      <c r="L267" s="59" t="str">
        <f>IFERROR(VLOOKUP($A267,SortedDownload!$A$3:$BB$499,25,FALSE),"")</f>
        <v/>
      </c>
      <c r="M267" s="59" t="str">
        <f>IFERROR(VLOOKUP($A267,SortedDownload!$A$3:$BB$499,26,FALSE),"")</f>
        <v/>
      </c>
      <c r="N267" s="59" t="str">
        <f>IFERROR(VLOOKUP($A267,SortedDownload!$A$3:$BB$499,27,FALSE),"")</f>
        <v/>
      </c>
      <c r="O267" s="59" t="str">
        <f>IFERROR(VLOOKUP($A267,SortedDownload!$A$3:$BB$499,28,FALSE),"")</f>
        <v/>
      </c>
      <c r="P267" s="59" t="str">
        <f>IFERROR(VLOOKUP($A267,SortedDownload!$A$3:$BB$499,29,FALSE),"")</f>
        <v/>
      </c>
      <c r="Q267" s="59" t="str">
        <f>IFERROR(VLOOKUP($A267,SortedDownload!$A$3:$BB$499,30,FALSE),"")</f>
        <v/>
      </c>
      <c r="R267" s="62" t="str">
        <f>IFERROR(TEXT(VLOOKUP($A267,SortedDownload!$A$3:$Z$499,14,FALSE),"[hh]:mm:ss.000"),"")</f>
        <v/>
      </c>
      <c r="S267" s="83" t="str">
        <f t="shared" si="14"/>
        <v>N/A</v>
      </c>
      <c r="T267" s="83" t="e">
        <f t="shared" si="12"/>
        <v>#VALUE!</v>
      </c>
      <c r="U267" s="9" t="str">
        <f t="shared" si="13"/>
        <v/>
      </c>
      <c r="V267" s="20" t="str">
        <f>IFERROR(IF(VLOOKUP(H267,AgeCategories!$D$3:$J$32,7,FALSE)=I267,"","DNF"),"")</f>
        <v/>
      </c>
    </row>
    <row r="268" spans="1:22">
      <c r="A268" s="53" t="str">
        <f>IF(SortedDownload!A268 &lt; 1,"",SortedDownload!A268)</f>
        <v/>
      </c>
      <c r="B268" s="55">
        <f>IF(V268&lt;&gt;"","DNF",COUNTIF($V$3:V268,V268))</f>
        <v>233</v>
      </c>
      <c r="C268" s="54" t="str">
        <f>IF(OR(B268="DNF",H268=""),"DNF",COUNTIF($H$3:H268,H268))</f>
        <v>DNF</v>
      </c>
      <c r="D268" s="90" t="str">
        <f>IFERROR(VLOOKUP($A268,EntryList!$A$3:$N$596,2,FALSE),"")</f>
        <v/>
      </c>
      <c r="E268" s="54" t="str">
        <f>IFERROR(VLOOKUP($A268,EntryList!$A$3:$V$596,19,FALSE),"")</f>
        <v/>
      </c>
      <c r="F268" s="176" t="str">
        <f>IFERROR(VLOOKUP($A268,EntryList!$A$3:$V$596,18,FALSE),"")</f>
        <v/>
      </c>
      <c r="H268" s="90" t="str">
        <f>IFERROR(VLOOKUP($A268,EntryList!$A$3:$N$596,7,FALSE),"")</f>
        <v/>
      </c>
      <c r="I268" s="54" t="str">
        <f>IFERROR(VLOOKUP($A268,SortedDownload!$A$3:$Z764,4,FALSE),"")</f>
        <v/>
      </c>
      <c r="J268" s="59" t="str">
        <f>IFERROR(VLOOKUP($A268,SortedDownload!$A$3:$BB$499,23,FALSE),"")</f>
        <v/>
      </c>
      <c r="K268" s="59" t="str">
        <f>IFERROR(VLOOKUP($A268,SortedDownload!$A$3:$BB$499,24,FALSE),"")</f>
        <v/>
      </c>
      <c r="L268" s="59" t="str">
        <f>IFERROR(VLOOKUP($A268,SortedDownload!$A$3:$BB$499,25,FALSE),"")</f>
        <v/>
      </c>
      <c r="M268" s="59" t="str">
        <f>IFERROR(VLOOKUP($A268,SortedDownload!$A$3:$BB$499,26,FALSE),"")</f>
        <v/>
      </c>
      <c r="N268" s="59" t="str">
        <f>IFERROR(VLOOKUP($A268,SortedDownload!$A$3:$BB$499,27,FALSE),"")</f>
        <v/>
      </c>
      <c r="O268" s="59" t="str">
        <f>IFERROR(VLOOKUP($A268,SortedDownload!$A$3:$BB$499,28,FALSE),"")</f>
        <v/>
      </c>
      <c r="P268" s="59" t="str">
        <f>IFERROR(VLOOKUP($A268,SortedDownload!$A$3:$BB$499,29,FALSE),"")</f>
        <v/>
      </c>
      <c r="Q268" s="59" t="str">
        <f>IFERROR(VLOOKUP($A268,SortedDownload!$A$3:$BB$499,30,FALSE),"")</f>
        <v/>
      </c>
      <c r="R268" s="62" t="str">
        <f>IFERROR(TEXT(VLOOKUP($A268,SortedDownload!$A$3:$Z$499,14,FALSE),"[hh]:mm:ss.000"),"")</f>
        <v/>
      </c>
      <c r="S268" s="83" t="str">
        <f t="shared" si="14"/>
        <v>N/A</v>
      </c>
      <c r="T268" s="83" t="e">
        <f t="shared" si="12"/>
        <v>#VALUE!</v>
      </c>
      <c r="U268" s="9" t="str">
        <f t="shared" si="13"/>
        <v/>
      </c>
      <c r="V268" s="20" t="str">
        <f>IFERROR(IF(VLOOKUP(H268,AgeCategories!$D$3:$J$32,7,FALSE)=I268,"","DNF"),"")</f>
        <v/>
      </c>
    </row>
    <row r="269" spans="1:22">
      <c r="A269" s="53" t="str">
        <f>IF(SortedDownload!A269 &lt; 1,"",SortedDownload!A269)</f>
        <v/>
      </c>
      <c r="B269" s="55">
        <f>IF(V269&lt;&gt;"","DNF",COUNTIF($V$3:V269,V269))</f>
        <v>234</v>
      </c>
      <c r="C269" s="54" t="str">
        <f>IF(OR(B269="DNF",H269=""),"DNF",COUNTIF($H$3:H269,H269))</f>
        <v>DNF</v>
      </c>
      <c r="D269" s="90" t="str">
        <f>IFERROR(VLOOKUP($A269,EntryList!$A$3:$N$596,2,FALSE),"")</f>
        <v/>
      </c>
      <c r="E269" s="54" t="str">
        <f>IFERROR(VLOOKUP($A269,EntryList!$A$3:$V$596,19,FALSE),"")</f>
        <v/>
      </c>
      <c r="F269" s="176" t="str">
        <f>IFERROR(VLOOKUP($A269,EntryList!$A$3:$V$596,18,FALSE),"")</f>
        <v/>
      </c>
      <c r="H269" s="90" t="str">
        <f>IFERROR(VLOOKUP($A269,EntryList!$A$3:$N$596,7,FALSE),"")</f>
        <v/>
      </c>
      <c r="I269" s="54" t="str">
        <f>IFERROR(VLOOKUP($A269,SortedDownload!$A$3:$Z765,4,FALSE),"")</f>
        <v/>
      </c>
      <c r="J269" s="59" t="str">
        <f>IFERROR(VLOOKUP($A269,SortedDownload!$A$3:$BB$499,23,FALSE),"")</f>
        <v/>
      </c>
      <c r="K269" s="59" t="str">
        <f>IFERROR(VLOOKUP($A269,SortedDownload!$A$3:$BB$499,24,FALSE),"")</f>
        <v/>
      </c>
      <c r="L269" s="59" t="str">
        <f>IFERROR(VLOOKUP($A269,SortedDownload!$A$3:$BB$499,25,FALSE),"")</f>
        <v/>
      </c>
      <c r="M269" s="59" t="str">
        <f>IFERROR(VLOOKUP($A269,SortedDownload!$A$3:$BB$499,26,FALSE),"")</f>
        <v/>
      </c>
      <c r="N269" s="59" t="str">
        <f>IFERROR(VLOOKUP($A269,SortedDownload!$A$3:$BB$499,27,FALSE),"")</f>
        <v/>
      </c>
      <c r="O269" s="59" t="str">
        <f>IFERROR(VLOOKUP($A269,SortedDownload!$A$3:$BB$499,28,FALSE),"")</f>
        <v/>
      </c>
      <c r="P269" s="59" t="str">
        <f>IFERROR(VLOOKUP($A269,SortedDownload!$A$3:$BB$499,29,FALSE),"")</f>
        <v/>
      </c>
      <c r="Q269" s="59" t="str">
        <f>IFERROR(VLOOKUP($A269,SortedDownload!$A$3:$BB$499,30,FALSE),"")</f>
        <v/>
      </c>
      <c r="R269" s="62" t="str">
        <f>IFERROR(TEXT(VLOOKUP($A269,SortedDownload!$A$3:$Z$499,14,FALSE),"[hh]:mm:ss.000"),"")</f>
        <v/>
      </c>
      <c r="S269" s="83" t="str">
        <f t="shared" si="14"/>
        <v>N/A</v>
      </c>
      <c r="T269" s="83" t="e">
        <f t="shared" si="12"/>
        <v>#VALUE!</v>
      </c>
      <c r="U269" s="9" t="str">
        <f t="shared" si="13"/>
        <v/>
      </c>
      <c r="V269" s="20" t="str">
        <f>IFERROR(IF(VLOOKUP(H269,AgeCategories!$D$3:$J$32,7,FALSE)=I269,"","DNF"),"")</f>
        <v/>
      </c>
    </row>
    <row r="270" spans="1:22">
      <c r="A270" s="53" t="str">
        <f>IF(SortedDownload!A270 &lt; 1,"",SortedDownload!A270)</f>
        <v/>
      </c>
      <c r="B270" s="55">
        <f>IF(V270&lt;&gt;"","DNF",COUNTIF($V$3:V270,V270))</f>
        <v>235</v>
      </c>
      <c r="C270" s="54" t="str">
        <f>IF(OR(B270="DNF",H270=""),"DNF",COUNTIF($H$3:H270,H270))</f>
        <v>DNF</v>
      </c>
      <c r="D270" s="90" t="str">
        <f>IFERROR(VLOOKUP($A270,EntryList!$A$3:$N$596,2,FALSE),"")</f>
        <v/>
      </c>
      <c r="E270" s="54" t="str">
        <f>IFERROR(VLOOKUP($A270,EntryList!$A$3:$V$596,19,FALSE),"")</f>
        <v/>
      </c>
      <c r="F270" s="176" t="str">
        <f>IFERROR(VLOOKUP($A270,EntryList!$A$3:$V$596,18,FALSE),"")</f>
        <v/>
      </c>
      <c r="H270" s="90" t="str">
        <f>IFERROR(VLOOKUP($A270,EntryList!$A$3:$N$596,7,FALSE),"")</f>
        <v/>
      </c>
      <c r="I270" s="54" t="str">
        <f>IFERROR(VLOOKUP($A270,SortedDownload!$A$3:$Z766,4,FALSE),"")</f>
        <v/>
      </c>
      <c r="J270" s="59" t="str">
        <f>IFERROR(VLOOKUP($A270,SortedDownload!$A$3:$BB$499,23,FALSE),"")</f>
        <v/>
      </c>
      <c r="K270" s="59" t="str">
        <f>IFERROR(VLOOKUP($A270,SortedDownload!$A$3:$BB$499,24,FALSE),"")</f>
        <v/>
      </c>
      <c r="L270" s="59" t="str">
        <f>IFERROR(VLOOKUP($A270,SortedDownload!$A$3:$BB$499,25,FALSE),"")</f>
        <v/>
      </c>
      <c r="M270" s="59" t="str">
        <f>IFERROR(VLOOKUP($A270,SortedDownload!$A$3:$BB$499,26,FALSE),"")</f>
        <v/>
      </c>
      <c r="N270" s="59" t="str">
        <f>IFERROR(VLOOKUP($A270,SortedDownload!$A$3:$BB$499,27,FALSE),"")</f>
        <v/>
      </c>
      <c r="O270" s="59" t="str">
        <f>IFERROR(VLOOKUP($A270,SortedDownload!$A$3:$BB$499,28,FALSE),"")</f>
        <v/>
      </c>
      <c r="P270" s="59" t="str">
        <f>IFERROR(VLOOKUP($A270,SortedDownload!$A$3:$BB$499,29,FALSE),"")</f>
        <v/>
      </c>
      <c r="Q270" s="59" t="str">
        <f>IFERROR(VLOOKUP($A270,SortedDownload!$A$3:$BB$499,30,FALSE),"")</f>
        <v/>
      </c>
      <c r="R270" s="62" t="str">
        <f>IFERROR(TEXT(VLOOKUP($A270,SortedDownload!$A$3:$Z$499,14,FALSE),"[hh]:mm:ss.000"),"")</f>
        <v/>
      </c>
      <c r="S270" s="83" t="str">
        <f t="shared" si="14"/>
        <v>N/A</v>
      </c>
      <c r="T270" s="83" t="e">
        <f t="shared" si="12"/>
        <v>#VALUE!</v>
      </c>
      <c r="U270" s="9" t="str">
        <f t="shared" si="13"/>
        <v/>
      </c>
      <c r="V270" s="20" t="str">
        <f>IFERROR(IF(VLOOKUP(H270,AgeCategories!$D$3:$J$32,7,FALSE)=I270,"","DNF"),"")</f>
        <v/>
      </c>
    </row>
    <row r="271" spans="1:22">
      <c r="A271" s="53" t="str">
        <f>IF(SortedDownload!A271 &lt; 1,"",SortedDownload!A271)</f>
        <v/>
      </c>
      <c r="B271" s="55">
        <f>IF(V271&lt;&gt;"","DNF",COUNTIF($V$3:V271,V271))</f>
        <v>236</v>
      </c>
      <c r="C271" s="54" t="str">
        <f>IF(OR(B271="DNF",H271=""),"DNF",COUNTIF($H$3:H271,H271))</f>
        <v>DNF</v>
      </c>
      <c r="D271" s="90" t="str">
        <f>IFERROR(VLOOKUP($A271,EntryList!$A$3:$N$596,2,FALSE),"")</f>
        <v/>
      </c>
      <c r="E271" s="54" t="str">
        <f>IFERROR(VLOOKUP($A271,EntryList!$A$3:$V$596,19,FALSE),"")</f>
        <v/>
      </c>
      <c r="F271" s="176" t="str">
        <f>IFERROR(VLOOKUP($A271,EntryList!$A$3:$V$596,18,FALSE),"")</f>
        <v/>
      </c>
      <c r="H271" s="90" t="str">
        <f>IFERROR(VLOOKUP($A271,EntryList!$A$3:$N$596,7,FALSE),"")</f>
        <v/>
      </c>
      <c r="I271" s="54" t="str">
        <f>IFERROR(VLOOKUP($A271,SortedDownload!$A$3:$Z767,4,FALSE),"")</f>
        <v/>
      </c>
      <c r="J271" s="59" t="str">
        <f>IFERROR(VLOOKUP($A271,SortedDownload!$A$3:$BB$499,23,FALSE),"")</f>
        <v/>
      </c>
      <c r="K271" s="59" t="str">
        <f>IFERROR(VLOOKUP($A271,SortedDownload!$A$3:$BB$499,24,FALSE),"")</f>
        <v/>
      </c>
      <c r="L271" s="59" t="str">
        <f>IFERROR(VLOOKUP($A271,SortedDownload!$A$3:$BB$499,25,FALSE),"")</f>
        <v/>
      </c>
      <c r="M271" s="59" t="str">
        <f>IFERROR(VLOOKUP($A271,SortedDownload!$A$3:$BB$499,26,FALSE),"")</f>
        <v/>
      </c>
      <c r="N271" s="59" t="str">
        <f>IFERROR(VLOOKUP($A271,SortedDownload!$A$3:$BB$499,27,FALSE),"")</f>
        <v/>
      </c>
      <c r="O271" s="59" t="str">
        <f>IFERROR(VLOOKUP($A271,SortedDownload!$A$3:$BB$499,28,FALSE),"")</f>
        <v/>
      </c>
      <c r="P271" s="59" t="str">
        <f>IFERROR(VLOOKUP($A271,SortedDownload!$A$3:$BB$499,29,FALSE),"")</f>
        <v/>
      </c>
      <c r="Q271" s="59" t="str">
        <f>IFERROR(VLOOKUP($A271,SortedDownload!$A$3:$BB$499,30,FALSE),"")</f>
        <v/>
      </c>
      <c r="R271" s="62" t="str">
        <f>IFERROR(TEXT(VLOOKUP($A271,SortedDownload!$A$3:$Z$499,14,FALSE),"[hh]:mm:ss.000"),"")</f>
        <v/>
      </c>
      <c r="S271" s="83" t="str">
        <f t="shared" si="14"/>
        <v>N/A</v>
      </c>
      <c r="T271" s="83" t="e">
        <f t="shared" si="12"/>
        <v>#VALUE!</v>
      </c>
      <c r="U271" s="9" t="str">
        <f t="shared" si="13"/>
        <v/>
      </c>
      <c r="V271" s="20" t="str">
        <f>IFERROR(IF(VLOOKUP(H271,AgeCategories!$D$3:$J$32,7,FALSE)=I271,"","DNF"),"")</f>
        <v/>
      </c>
    </row>
    <row r="272" spans="1:22">
      <c r="A272" s="53" t="str">
        <f>IF(SortedDownload!A272 &lt; 1,"",SortedDownload!A272)</f>
        <v/>
      </c>
      <c r="B272" s="55">
        <f>IF(V272&lt;&gt;"","DNF",COUNTIF($V$3:V272,V272))</f>
        <v>237</v>
      </c>
      <c r="C272" s="54" t="str">
        <f>IF(OR(B272="DNF",H272=""),"DNF",COUNTIF($H$3:H272,H272))</f>
        <v>DNF</v>
      </c>
      <c r="D272" s="90" t="str">
        <f>IFERROR(VLOOKUP($A272,EntryList!$A$3:$N$596,2,FALSE),"")</f>
        <v/>
      </c>
      <c r="E272" s="54" t="str">
        <f>IFERROR(VLOOKUP($A272,EntryList!$A$3:$V$596,19,FALSE),"")</f>
        <v/>
      </c>
      <c r="F272" s="176" t="str">
        <f>IFERROR(VLOOKUP($A272,EntryList!$A$3:$V$596,18,FALSE),"")</f>
        <v/>
      </c>
      <c r="H272" s="90" t="str">
        <f>IFERROR(VLOOKUP($A272,EntryList!$A$3:$N$596,7,FALSE),"")</f>
        <v/>
      </c>
      <c r="I272" s="54" t="str">
        <f>IFERROR(VLOOKUP($A272,SortedDownload!$A$3:$Z768,4,FALSE),"")</f>
        <v/>
      </c>
      <c r="J272" s="59" t="str">
        <f>IFERROR(VLOOKUP($A272,SortedDownload!$A$3:$BB$499,23,FALSE),"")</f>
        <v/>
      </c>
      <c r="K272" s="59" t="str">
        <f>IFERROR(VLOOKUP($A272,SortedDownload!$A$3:$BB$499,24,FALSE),"")</f>
        <v/>
      </c>
      <c r="L272" s="59" t="str">
        <f>IFERROR(VLOOKUP($A272,SortedDownload!$A$3:$BB$499,25,FALSE),"")</f>
        <v/>
      </c>
      <c r="M272" s="59" t="str">
        <f>IFERROR(VLOOKUP($A272,SortedDownload!$A$3:$BB$499,26,FALSE),"")</f>
        <v/>
      </c>
      <c r="N272" s="59" t="str">
        <f>IFERROR(VLOOKUP($A272,SortedDownload!$A$3:$BB$499,27,FALSE),"")</f>
        <v/>
      </c>
      <c r="O272" s="59" t="str">
        <f>IFERROR(VLOOKUP($A272,SortedDownload!$A$3:$BB$499,28,FALSE),"")</f>
        <v/>
      </c>
      <c r="P272" s="59" t="str">
        <f>IFERROR(VLOOKUP($A272,SortedDownload!$A$3:$BB$499,29,FALSE),"")</f>
        <v/>
      </c>
      <c r="Q272" s="59" t="str">
        <f>IFERROR(VLOOKUP($A272,SortedDownload!$A$3:$BB$499,30,FALSE),"")</f>
        <v/>
      </c>
      <c r="R272" s="62" t="str">
        <f>IFERROR(TEXT(VLOOKUP($A272,SortedDownload!$A$3:$Z$499,14,FALSE),"[hh]:mm:ss.000"),"")</f>
        <v/>
      </c>
      <c r="S272" s="83" t="str">
        <f t="shared" si="14"/>
        <v>N/A</v>
      </c>
      <c r="T272" s="83" t="e">
        <f t="shared" si="12"/>
        <v>#VALUE!</v>
      </c>
      <c r="U272" s="9" t="str">
        <f t="shared" si="13"/>
        <v/>
      </c>
      <c r="V272" s="20" t="str">
        <f>IFERROR(IF(VLOOKUP(H272,AgeCategories!$D$3:$J$32,7,FALSE)=I272,"","DNF"),"")</f>
        <v/>
      </c>
    </row>
    <row r="273" spans="1:22">
      <c r="A273" s="53" t="str">
        <f>IF(SortedDownload!A273 &lt; 1,"",SortedDownload!A273)</f>
        <v/>
      </c>
      <c r="B273" s="55">
        <f>IF(V273&lt;&gt;"","DNF",COUNTIF($V$3:V273,V273))</f>
        <v>238</v>
      </c>
      <c r="C273" s="54" t="str">
        <f>IF(OR(B273="DNF",H273=""),"DNF",COUNTIF($H$3:H273,H273))</f>
        <v>DNF</v>
      </c>
      <c r="D273" s="90" t="str">
        <f>IFERROR(VLOOKUP($A273,EntryList!$A$3:$N$596,2,FALSE),"")</f>
        <v/>
      </c>
      <c r="E273" s="54" t="str">
        <f>IFERROR(VLOOKUP($A273,EntryList!$A$3:$V$596,19,FALSE),"")</f>
        <v/>
      </c>
      <c r="F273" s="176" t="str">
        <f>IFERROR(VLOOKUP($A273,EntryList!$A$3:$V$596,18,FALSE),"")</f>
        <v/>
      </c>
      <c r="H273" s="90" t="str">
        <f>IFERROR(VLOOKUP($A273,EntryList!$A$3:$N$596,7,FALSE),"")</f>
        <v/>
      </c>
      <c r="I273" s="54" t="str">
        <f>IFERROR(VLOOKUP($A273,SortedDownload!$A$3:$Z769,4,FALSE),"")</f>
        <v/>
      </c>
      <c r="J273" s="59" t="str">
        <f>IFERROR(VLOOKUP($A273,SortedDownload!$A$3:$BB$499,23,FALSE),"")</f>
        <v/>
      </c>
      <c r="K273" s="59" t="str">
        <f>IFERROR(VLOOKUP($A273,SortedDownload!$A$3:$BB$499,24,FALSE),"")</f>
        <v/>
      </c>
      <c r="L273" s="59" t="str">
        <f>IFERROR(VLOOKUP($A273,SortedDownload!$A$3:$BB$499,25,FALSE),"")</f>
        <v/>
      </c>
      <c r="M273" s="59" t="str">
        <f>IFERROR(VLOOKUP($A273,SortedDownload!$A$3:$BB$499,26,FALSE),"")</f>
        <v/>
      </c>
      <c r="N273" s="59" t="str">
        <f>IFERROR(VLOOKUP($A273,SortedDownload!$A$3:$BB$499,27,FALSE),"")</f>
        <v/>
      </c>
      <c r="O273" s="59" t="str">
        <f>IFERROR(VLOOKUP($A273,SortedDownload!$A$3:$BB$499,28,FALSE),"")</f>
        <v/>
      </c>
      <c r="P273" s="59" t="str">
        <f>IFERROR(VLOOKUP($A273,SortedDownload!$A$3:$BB$499,29,FALSE),"")</f>
        <v/>
      </c>
      <c r="Q273" s="59" t="str">
        <f>IFERROR(VLOOKUP($A273,SortedDownload!$A$3:$BB$499,30,FALSE),"")</f>
        <v/>
      </c>
      <c r="R273" s="62" t="str">
        <f>IFERROR(TEXT(VLOOKUP($A273,SortedDownload!$A$3:$Z$499,14,FALSE),"[hh]:mm:ss.000"),"")</f>
        <v/>
      </c>
      <c r="S273" s="83" t="str">
        <f t="shared" si="14"/>
        <v>N/A</v>
      </c>
      <c r="T273" s="83" t="e">
        <f t="shared" si="12"/>
        <v>#VALUE!</v>
      </c>
      <c r="U273" s="9" t="str">
        <f t="shared" si="13"/>
        <v/>
      </c>
      <c r="V273" s="20" t="str">
        <f>IFERROR(IF(VLOOKUP(H273,AgeCategories!$D$3:$J$32,7,FALSE)=I273,"","DNF"),"")</f>
        <v/>
      </c>
    </row>
    <row r="274" spans="1:22">
      <c r="A274" s="53" t="str">
        <f>IF(SortedDownload!A274 &lt; 1,"",SortedDownload!A274)</f>
        <v/>
      </c>
      <c r="B274" s="55">
        <f>IF(V274&lt;&gt;"","DNF",COUNTIF($V$3:V274,V274))</f>
        <v>239</v>
      </c>
      <c r="C274" s="54" t="str">
        <f>IF(OR(B274="DNF",H274=""),"DNF",COUNTIF($H$3:H274,H274))</f>
        <v>DNF</v>
      </c>
      <c r="D274" s="90" t="str">
        <f>IFERROR(VLOOKUP($A274,EntryList!$A$3:$N$596,2,FALSE),"")</f>
        <v/>
      </c>
      <c r="E274" s="54" t="str">
        <f>IFERROR(VLOOKUP($A274,EntryList!$A$3:$V$596,19,FALSE),"")</f>
        <v/>
      </c>
      <c r="F274" s="176" t="str">
        <f>IFERROR(VLOOKUP($A274,EntryList!$A$3:$V$596,18,FALSE),"")</f>
        <v/>
      </c>
      <c r="H274" s="90" t="str">
        <f>IFERROR(VLOOKUP($A274,EntryList!$A$3:$N$596,7,FALSE),"")</f>
        <v/>
      </c>
      <c r="I274" s="54" t="str">
        <f>IFERROR(VLOOKUP($A274,SortedDownload!$A$3:$Z770,4,FALSE),"")</f>
        <v/>
      </c>
      <c r="J274" s="59" t="str">
        <f>IFERROR(VLOOKUP($A274,SortedDownload!$A$3:$BB$499,23,FALSE),"")</f>
        <v/>
      </c>
      <c r="K274" s="59" t="str">
        <f>IFERROR(VLOOKUP($A274,SortedDownload!$A$3:$BB$499,24,FALSE),"")</f>
        <v/>
      </c>
      <c r="L274" s="59" t="str">
        <f>IFERROR(VLOOKUP($A274,SortedDownload!$A$3:$BB$499,25,FALSE),"")</f>
        <v/>
      </c>
      <c r="M274" s="59" t="str">
        <f>IFERROR(VLOOKUP($A274,SortedDownload!$A$3:$BB$499,26,FALSE),"")</f>
        <v/>
      </c>
      <c r="N274" s="59" t="str">
        <f>IFERROR(VLOOKUP($A274,SortedDownload!$A$3:$BB$499,27,FALSE),"")</f>
        <v/>
      </c>
      <c r="O274" s="59" t="str">
        <f>IFERROR(VLOOKUP($A274,SortedDownload!$A$3:$BB$499,28,FALSE),"")</f>
        <v/>
      </c>
      <c r="P274" s="59" t="str">
        <f>IFERROR(VLOOKUP($A274,SortedDownload!$A$3:$BB$499,29,FALSE),"")</f>
        <v/>
      </c>
      <c r="Q274" s="59" t="str">
        <f>IFERROR(VLOOKUP($A274,SortedDownload!$A$3:$BB$499,30,FALSE),"")</f>
        <v/>
      </c>
      <c r="R274" s="62" t="str">
        <f>IFERROR(TEXT(VLOOKUP($A274,SortedDownload!$A$3:$Z$499,14,FALSE),"[hh]:mm:ss.000"),"")</f>
        <v/>
      </c>
      <c r="S274" s="83" t="str">
        <f t="shared" si="14"/>
        <v>N/A</v>
      </c>
      <c r="T274" s="83" t="e">
        <f t="shared" si="12"/>
        <v>#VALUE!</v>
      </c>
      <c r="U274" s="9" t="str">
        <f t="shared" si="13"/>
        <v/>
      </c>
      <c r="V274" s="20" t="str">
        <f>IFERROR(IF(VLOOKUP(H274,AgeCategories!$D$3:$J$32,7,FALSE)=I274,"","DNF"),"")</f>
        <v/>
      </c>
    </row>
    <row r="275" spans="1:22">
      <c r="A275" s="53" t="str">
        <f>IF(SortedDownload!A275 &lt; 1,"",SortedDownload!A275)</f>
        <v/>
      </c>
      <c r="B275" s="55">
        <f>IF(V275&lt;&gt;"","DNF",COUNTIF($V$3:V275,V275))</f>
        <v>240</v>
      </c>
      <c r="C275" s="54" t="str">
        <f>IF(OR(B275="DNF",H275=""),"DNF",COUNTIF($H$3:H275,H275))</f>
        <v>DNF</v>
      </c>
      <c r="D275" s="90" t="str">
        <f>IFERROR(VLOOKUP($A275,EntryList!$A$3:$N$596,2,FALSE),"")</f>
        <v/>
      </c>
      <c r="E275" s="54" t="str">
        <f>IFERROR(VLOOKUP($A275,EntryList!$A$3:$V$596,19,FALSE),"")</f>
        <v/>
      </c>
      <c r="F275" s="176" t="str">
        <f>IFERROR(VLOOKUP($A275,EntryList!$A$3:$V$596,18,FALSE),"")</f>
        <v/>
      </c>
      <c r="H275" s="90" t="str">
        <f>IFERROR(VLOOKUP($A275,EntryList!$A$3:$N$596,7,FALSE),"")</f>
        <v/>
      </c>
      <c r="I275" s="54" t="str">
        <f>IFERROR(VLOOKUP($A275,SortedDownload!$A$3:$Z771,4,FALSE),"")</f>
        <v/>
      </c>
      <c r="J275" s="59" t="str">
        <f>IFERROR(VLOOKUP($A275,SortedDownload!$A$3:$BB$499,23,FALSE),"")</f>
        <v/>
      </c>
      <c r="K275" s="59" t="str">
        <f>IFERROR(VLOOKUP($A275,SortedDownload!$A$3:$BB$499,24,FALSE),"")</f>
        <v/>
      </c>
      <c r="L275" s="59" t="str">
        <f>IFERROR(VLOOKUP($A275,SortedDownload!$A$3:$BB$499,25,FALSE),"")</f>
        <v/>
      </c>
      <c r="M275" s="59" t="str">
        <f>IFERROR(VLOOKUP($A275,SortedDownload!$A$3:$BB$499,26,FALSE),"")</f>
        <v/>
      </c>
      <c r="N275" s="59" t="str">
        <f>IFERROR(VLOOKUP($A275,SortedDownload!$A$3:$BB$499,27,FALSE),"")</f>
        <v/>
      </c>
      <c r="O275" s="59" t="str">
        <f>IFERROR(VLOOKUP($A275,SortedDownload!$A$3:$BB$499,28,FALSE),"")</f>
        <v/>
      </c>
      <c r="P275" s="59" t="str">
        <f>IFERROR(VLOOKUP($A275,SortedDownload!$A$3:$BB$499,29,FALSE),"")</f>
        <v/>
      </c>
      <c r="Q275" s="59" t="str">
        <f>IFERROR(VLOOKUP($A275,SortedDownload!$A$3:$BB$499,30,FALSE),"")</f>
        <v/>
      </c>
      <c r="R275" s="62" t="str">
        <f>IFERROR(TEXT(VLOOKUP($A275,SortedDownload!$A$3:$Z$499,14,FALSE),"[hh]:mm:ss.000"),"")</f>
        <v/>
      </c>
      <c r="S275" s="83" t="str">
        <f t="shared" si="14"/>
        <v>N/A</v>
      </c>
      <c r="T275" s="83" t="e">
        <f t="shared" si="12"/>
        <v>#VALUE!</v>
      </c>
      <c r="U275" s="9" t="str">
        <f t="shared" si="13"/>
        <v/>
      </c>
      <c r="V275" s="20" t="str">
        <f>IFERROR(IF(VLOOKUP(H275,AgeCategories!$D$3:$J$32,7,FALSE)=I275,"","DNF"),"")</f>
        <v/>
      </c>
    </row>
    <row r="276" spans="1:22">
      <c r="A276" s="53" t="str">
        <f>IF(SortedDownload!A276 &lt; 1,"",SortedDownload!A276)</f>
        <v/>
      </c>
      <c r="B276" s="55">
        <f>IF(V276&lt;&gt;"","DNF",COUNTIF($V$3:V276,V276))</f>
        <v>241</v>
      </c>
      <c r="C276" s="54" t="str">
        <f>IF(OR(B276="DNF",H276=""),"DNF",COUNTIF($H$3:H276,H276))</f>
        <v>DNF</v>
      </c>
      <c r="D276" s="90" t="str">
        <f>IFERROR(VLOOKUP($A276,EntryList!$A$3:$N$596,2,FALSE),"")</f>
        <v/>
      </c>
      <c r="E276" s="54" t="str">
        <f>IFERROR(VLOOKUP($A276,EntryList!$A$3:$V$596,19,FALSE),"")</f>
        <v/>
      </c>
      <c r="F276" s="176" t="str">
        <f>IFERROR(VLOOKUP($A276,EntryList!$A$3:$V$596,18,FALSE),"")</f>
        <v/>
      </c>
      <c r="H276" s="90" t="str">
        <f>IFERROR(VLOOKUP($A276,EntryList!$A$3:$N$596,7,FALSE),"")</f>
        <v/>
      </c>
      <c r="I276" s="54" t="str">
        <f>IFERROR(VLOOKUP($A276,SortedDownload!$A$3:$Z772,4,FALSE),"")</f>
        <v/>
      </c>
      <c r="J276" s="59" t="str">
        <f>IFERROR(VLOOKUP($A276,SortedDownload!$A$3:$BB$499,23,FALSE),"")</f>
        <v/>
      </c>
      <c r="K276" s="59" t="str">
        <f>IFERROR(VLOOKUP($A276,SortedDownload!$A$3:$BB$499,24,FALSE),"")</f>
        <v/>
      </c>
      <c r="L276" s="59" t="str">
        <f>IFERROR(VLOOKUP($A276,SortedDownload!$A$3:$BB$499,25,FALSE),"")</f>
        <v/>
      </c>
      <c r="M276" s="59" t="str">
        <f>IFERROR(VLOOKUP($A276,SortedDownload!$A$3:$BB$499,26,FALSE),"")</f>
        <v/>
      </c>
      <c r="N276" s="59" t="str">
        <f>IFERROR(VLOOKUP($A276,SortedDownload!$A$3:$BB$499,27,FALSE),"")</f>
        <v/>
      </c>
      <c r="O276" s="59" t="str">
        <f>IFERROR(VLOOKUP($A276,SortedDownload!$A$3:$BB$499,28,FALSE),"")</f>
        <v/>
      </c>
      <c r="P276" s="59" t="str">
        <f>IFERROR(VLOOKUP($A276,SortedDownload!$A$3:$BB$499,29,FALSE),"")</f>
        <v/>
      </c>
      <c r="Q276" s="59" t="str">
        <f>IFERROR(VLOOKUP($A276,SortedDownload!$A$3:$BB$499,30,FALSE),"")</f>
        <v/>
      </c>
      <c r="R276" s="62" t="str">
        <f>IFERROR(TEXT(VLOOKUP($A276,SortedDownload!$A$3:$Z$499,14,FALSE),"[hh]:mm:ss.000"),"")</f>
        <v/>
      </c>
      <c r="S276" s="83" t="str">
        <f t="shared" si="14"/>
        <v>N/A</v>
      </c>
      <c r="T276" s="83" t="e">
        <f t="shared" si="12"/>
        <v>#VALUE!</v>
      </c>
      <c r="U276" s="9" t="str">
        <f t="shared" si="13"/>
        <v/>
      </c>
      <c r="V276" s="20" t="str">
        <f>IFERROR(IF(VLOOKUP(H276,AgeCategories!$D$3:$J$32,7,FALSE)=I276,"","DNF"),"")</f>
        <v/>
      </c>
    </row>
    <row r="277" spans="1:22">
      <c r="A277" s="53" t="str">
        <f>IF(SortedDownload!A277 &lt; 1,"",SortedDownload!A277)</f>
        <v/>
      </c>
      <c r="B277" s="55">
        <f>IF(V277&lt;&gt;"","DNF",COUNTIF($V$3:V277,V277))</f>
        <v>242</v>
      </c>
      <c r="C277" s="54" t="str">
        <f>IF(OR(B277="DNF",H277=""),"DNF",COUNTIF($H$3:H277,H277))</f>
        <v>DNF</v>
      </c>
      <c r="D277" s="90" t="str">
        <f>IFERROR(VLOOKUP($A277,EntryList!$A$3:$N$596,2,FALSE),"")</f>
        <v/>
      </c>
      <c r="E277" s="54" t="str">
        <f>IFERROR(VLOOKUP($A277,EntryList!$A$3:$V$596,19,FALSE),"")</f>
        <v/>
      </c>
      <c r="F277" s="176" t="str">
        <f>IFERROR(VLOOKUP($A277,EntryList!$A$3:$V$596,18,FALSE),"")</f>
        <v/>
      </c>
      <c r="H277" s="90" t="str">
        <f>IFERROR(VLOOKUP($A277,EntryList!$A$3:$N$596,7,FALSE),"")</f>
        <v/>
      </c>
      <c r="I277" s="54" t="str">
        <f>IFERROR(VLOOKUP($A277,SortedDownload!$A$3:$Z773,4,FALSE),"")</f>
        <v/>
      </c>
      <c r="J277" s="59" t="str">
        <f>IFERROR(VLOOKUP($A277,SortedDownload!$A$3:$BB$499,23,FALSE),"")</f>
        <v/>
      </c>
      <c r="K277" s="59" t="str">
        <f>IFERROR(VLOOKUP($A277,SortedDownload!$A$3:$BB$499,24,FALSE),"")</f>
        <v/>
      </c>
      <c r="L277" s="59" t="str">
        <f>IFERROR(VLOOKUP($A277,SortedDownload!$A$3:$BB$499,25,FALSE),"")</f>
        <v/>
      </c>
      <c r="M277" s="59" t="str">
        <f>IFERROR(VLOOKUP($A277,SortedDownload!$A$3:$BB$499,26,FALSE),"")</f>
        <v/>
      </c>
      <c r="N277" s="59" t="str">
        <f>IFERROR(VLOOKUP($A277,SortedDownload!$A$3:$BB$499,27,FALSE),"")</f>
        <v/>
      </c>
      <c r="O277" s="59" t="str">
        <f>IFERROR(VLOOKUP($A277,SortedDownload!$A$3:$BB$499,28,FALSE),"")</f>
        <v/>
      </c>
      <c r="P277" s="59" t="str">
        <f>IFERROR(VLOOKUP($A277,SortedDownload!$A$3:$BB$499,29,FALSE),"")</f>
        <v/>
      </c>
      <c r="Q277" s="59" t="str">
        <f>IFERROR(VLOOKUP($A277,SortedDownload!$A$3:$BB$499,30,FALSE),"")</f>
        <v/>
      </c>
      <c r="R277" s="62" t="str">
        <f>IFERROR(TEXT(VLOOKUP($A277,SortedDownload!$A$3:$Z$499,14,FALSE),"[hh]:mm:ss.000"),"")</f>
        <v/>
      </c>
      <c r="S277" s="83" t="str">
        <f t="shared" si="14"/>
        <v>N/A</v>
      </c>
      <c r="T277" s="83" t="e">
        <f t="shared" si="12"/>
        <v>#VALUE!</v>
      </c>
      <c r="U277" s="9" t="str">
        <f t="shared" si="13"/>
        <v/>
      </c>
      <c r="V277" s="20" t="str">
        <f>IFERROR(IF(VLOOKUP(H277,AgeCategories!$D$3:$J$32,7,FALSE)=I277,"","DNF"),"")</f>
        <v/>
      </c>
    </row>
    <row r="278" spans="1:22">
      <c r="A278" s="53" t="str">
        <f>IF(SortedDownload!A278 &lt; 1,"",SortedDownload!A278)</f>
        <v/>
      </c>
      <c r="B278" s="55">
        <f>IF(V278&lt;&gt;"","DNF",COUNTIF($V$3:V278,V278))</f>
        <v>243</v>
      </c>
      <c r="C278" s="54" t="str">
        <f>IF(OR(B278="DNF",H278=""),"DNF",COUNTIF($H$3:H278,H278))</f>
        <v>DNF</v>
      </c>
      <c r="D278" s="90" t="str">
        <f>IFERROR(VLOOKUP($A278,EntryList!$A$3:$N$596,2,FALSE),"")</f>
        <v/>
      </c>
      <c r="E278" s="54" t="str">
        <f>IFERROR(VLOOKUP($A278,EntryList!$A$3:$V$596,19,FALSE),"")</f>
        <v/>
      </c>
      <c r="F278" s="176" t="str">
        <f>IFERROR(VLOOKUP($A278,EntryList!$A$3:$V$596,18,FALSE),"")</f>
        <v/>
      </c>
      <c r="H278" s="90" t="str">
        <f>IFERROR(VLOOKUP($A278,EntryList!$A$3:$N$596,7,FALSE),"")</f>
        <v/>
      </c>
      <c r="I278" s="54" t="str">
        <f>IFERROR(VLOOKUP($A278,SortedDownload!$A$3:$Z774,4,FALSE),"")</f>
        <v/>
      </c>
      <c r="J278" s="59" t="str">
        <f>IFERROR(VLOOKUP($A278,SortedDownload!$A$3:$BB$499,23,FALSE),"")</f>
        <v/>
      </c>
      <c r="K278" s="59" t="str">
        <f>IFERROR(VLOOKUP($A278,SortedDownload!$A$3:$BB$499,24,FALSE),"")</f>
        <v/>
      </c>
      <c r="L278" s="59" t="str">
        <f>IFERROR(VLOOKUP($A278,SortedDownload!$A$3:$BB$499,25,FALSE),"")</f>
        <v/>
      </c>
      <c r="M278" s="59" t="str">
        <f>IFERROR(VLOOKUP($A278,SortedDownload!$A$3:$BB$499,26,FALSE),"")</f>
        <v/>
      </c>
      <c r="N278" s="59" t="str">
        <f>IFERROR(VLOOKUP($A278,SortedDownload!$A$3:$BB$499,27,FALSE),"")</f>
        <v/>
      </c>
      <c r="O278" s="59" t="str">
        <f>IFERROR(VLOOKUP($A278,SortedDownload!$A$3:$BB$499,28,FALSE),"")</f>
        <v/>
      </c>
      <c r="P278" s="59" t="str">
        <f>IFERROR(VLOOKUP($A278,SortedDownload!$A$3:$BB$499,29,FALSE),"")</f>
        <v/>
      </c>
      <c r="Q278" s="59" t="str">
        <f>IFERROR(VLOOKUP($A278,SortedDownload!$A$3:$BB$499,30,FALSE),"")</f>
        <v/>
      </c>
      <c r="R278" s="62" t="str">
        <f>IFERROR(TEXT(VLOOKUP($A278,SortedDownload!$A$3:$Z$499,14,FALSE),"[hh]:mm:ss.000"),"")</f>
        <v/>
      </c>
      <c r="S278" s="83" t="str">
        <f t="shared" si="14"/>
        <v>N/A</v>
      </c>
      <c r="T278" s="83" t="e">
        <f t="shared" si="12"/>
        <v>#VALUE!</v>
      </c>
      <c r="U278" s="9" t="str">
        <f t="shared" si="13"/>
        <v/>
      </c>
      <c r="V278" s="20" t="str">
        <f>IFERROR(IF(VLOOKUP(H278,AgeCategories!$D$3:$J$32,7,FALSE)=I278,"","DNF"),"")</f>
        <v/>
      </c>
    </row>
    <row r="279" spans="1:22">
      <c r="A279" s="53" t="str">
        <f>IF(SortedDownload!A279 &lt; 1,"",SortedDownload!A279)</f>
        <v/>
      </c>
      <c r="B279" s="55">
        <f>IF(V279&lt;&gt;"","DNF",COUNTIF($V$3:V279,V279))</f>
        <v>244</v>
      </c>
      <c r="C279" s="54" t="str">
        <f>IF(OR(B279="DNF",H279=""),"DNF",COUNTIF($H$3:H279,H279))</f>
        <v>DNF</v>
      </c>
      <c r="D279" s="90" t="str">
        <f>IFERROR(VLOOKUP($A279,EntryList!$A$3:$N$596,2,FALSE),"")</f>
        <v/>
      </c>
      <c r="E279" s="54" t="str">
        <f>IFERROR(VLOOKUP($A279,EntryList!$A$3:$V$596,19,FALSE),"")</f>
        <v/>
      </c>
      <c r="F279" s="176" t="str">
        <f>IFERROR(VLOOKUP($A279,EntryList!$A$3:$V$596,18,FALSE),"")</f>
        <v/>
      </c>
      <c r="H279" s="90" t="str">
        <f>IFERROR(VLOOKUP($A279,EntryList!$A$3:$N$596,7,FALSE),"")</f>
        <v/>
      </c>
      <c r="I279" s="54" t="str">
        <f>IFERROR(VLOOKUP($A279,SortedDownload!$A$3:$Z775,4,FALSE),"")</f>
        <v/>
      </c>
      <c r="J279" s="59" t="str">
        <f>IFERROR(VLOOKUP($A279,SortedDownload!$A$3:$BB$499,23,FALSE),"")</f>
        <v/>
      </c>
      <c r="K279" s="59" t="str">
        <f>IFERROR(VLOOKUP($A279,SortedDownload!$A$3:$BB$499,24,FALSE),"")</f>
        <v/>
      </c>
      <c r="L279" s="59" t="str">
        <f>IFERROR(VLOOKUP($A279,SortedDownload!$A$3:$BB$499,25,FALSE),"")</f>
        <v/>
      </c>
      <c r="M279" s="59" t="str">
        <f>IFERROR(VLOOKUP($A279,SortedDownload!$A$3:$BB$499,26,FALSE),"")</f>
        <v/>
      </c>
      <c r="N279" s="59" t="str">
        <f>IFERROR(VLOOKUP($A279,SortedDownload!$A$3:$BB$499,27,FALSE),"")</f>
        <v/>
      </c>
      <c r="O279" s="59" t="str">
        <f>IFERROR(VLOOKUP($A279,SortedDownload!$A$3:$BB$499,28,FALSE),"")</f>
        <v/>
      </c>
      <c r="P279" s="59" t="str">
        <f>IFERROR(VLOOKUP($A279,SortedDownload!$A$3:$BB$499,29,FALSE),"")</f>
        <v/>
      </c>
      <c r="Q279" s="59" t="str">
        <f>IFERROR(VLOOKUP($A279,SortedDownload!$A$3:$BB$499,30,FALSE),"")</f>
        <v/>
      </c>
      <c r="R279" s="62" t="str">
        <f>IFERROR(TEXT(VLOOKUP($A279,SortedDownload!$A$3:$Z$499,14,FALSE),"[hh]:mm:ss.000"),"")</f>
        <v/>
      </c>
      <c r="S279" s="83" t="str">
        <f t="shared" si="14"/>
        <v>N/A</v>
      </c>
      <c r="T279" s="83" t="e">
        <f t="shared" si="12"/>
        <v>#VALUE!</v>
      </c>
      <c r="U279" s="9" t="str">
        <f t="shared" si="13"/>
        <v/>
      </c>
      <c r="V279" s="20" t="str">
        <f>IFERROR(IF(VLOOKUP(H279,AgeCategories!$D$3:$J$32,7,FALSE)=I279,"","DNF"),"")</f>
        <v/>
      </c>
    </row>
    <row r="280" spans="1:22">
      <c r="A280" s="53" t="str">
        <f>IF(SortedDownload!A280 &lt; 1,"",SortedDownload!A280)</f>
        <v/>
      </c>
      <c r="B280" s="55">
        <f>IF(V280&lt;&gt;"","DNF",COUNTIF($V$3:V280,V280))</f>
        <v>245</v>
      </c>
      <c r="C280" s="54" t="str">
        <f>IF(OR(B280="DNF",H280=""),"DNF",COUNTIF($H$3:H280,H280))</f>
        <v>DNF</v>
      </c>
      <c r="D280" s="90" t="str">
        <f>IFERROR(VLOOKUP($A280,EntryList!$A$3:$N$596,2,FALSE),"")</f>
        <v/>
      </c>
      <c r="E280" s="54" t="str">
        <f>IFERROR(VLOOKUP($A280,EntryList!$A$3:$V$596,19,FALSE),"")</f>
        <v/>
      </c>
      <c r="F280" s="176" t="str">
        <f>IFERROR(VLOOKUP($A280,EntryList!$A$3:$V$596,18,FALSE),"")</f>
        <v/>
      </c>
      <c r="H280" s="90" t="str">
        <f>IFERROR(VLOOKUP($A280,EntryList!$A$3:$N$596,7,FALSE),"")</f>
        <v/>
      </c>
      <c r="I280" s="54" t="str">
        <f>IFERROR(VLOOKUP($A280,SortedDownload!$A$3:$Z776,4,FALSE),"")</f>
        <v/>
      </c>
      <c r="J280" s="59" t="str">
        <f>IFERROR(VLOOKUP($A280,SortedDownload!$A$3:$BB$499,23,FALSE),"")</f>
        <v/>
      </c>
      <c r="K280" s="59" t="str">
        <f>IFERROR(VLOOKUP($A280,SortedDownload!$A$3:$BB$499,24,FALSE),"")</f>
        <v/>
      </c>
      <c r="L280" s="59" t="str">
        <f>IFERROR(VLOOKUP($A280,SortedDownload!$A$3:$BB$499,25,FALSE),"")</f>
        <v/>
      </c>
      <c r="M280" s="59" t="str">
        <f>IFERROR(VLOOKUP($A280,SortedDownload!$A$3:$BB$499,26,FALSE),"")</f>
        <v/>
      </c>
      <c r="N280" s="59" t="str">
        <f>IFERROR(VLOOKUP($A280,SortedDownload!$A$3:$BB$499,27,FALSE),"")</f>
        <v/>
      </c>
      <c r="O280" s="59" t="str">
        <f>IFERROR(VLOOKUP($A280,SortedDownload!$A$3:$BB$499,28,FALSE),"")</f>
        <v/>
      </c>
      <c r="P280" s="59" t="str">
        <f>IFERROR(VLOOKUP($A280,SortedDownload!$A$3:$BB$499,29,FALSE),"")</f>
        <v/>
      </c>
      <c r="Q280" s="59" t="str">
        <f>IFERROR(VLOOKUP($A280,SortedDownload!$A$3:$BB$499,30,FALSE),"")</f>
        <v/>
      </c>
      <c r="R280" s="62" t="str">
        <f>IFERROR(TEXT(VLOOKUP($A280,SortedDownload!$A$3:$Z$499,14,FALSE),"[hh]:mm:ss.000"),"")</f>
        <v/>
      </c>
      <c r="S280" s="83" t="str">
        <f t="shared" si="14"/>
        <v>N/A</v>
      </c>
      <c r="T280" s="83" t="e">
        <f t="shared" si="12"/>
        <v>#VALUE!</v>
      </c>
      <c r="U280" s="9" t="str">
        <f t="shared" si="13"/>
        <v/>
      </c>
      <c r="V280" s="20" t="str">
        <f>IFERROR(IF(VLOOKUP(H280,AgeCategories!$D$3:$J$32,7,FALSE)=I280,"","DNF"),"")</f>
        <v/>
      </c>
    </row>
    <row r="281" spans="1:22">
      <c r="A281" s="53" t="str">
        <f>IF(SortedDownload!A281 &lt; 1,"",SortedDownload!A281)</f>
        <v/>
      </c>
      <c r="B281" s="55">
        <f>IF(V281&lt;&gt;"","DNF",COUNTIF($V$3:V281,V281))</f>
        <v>246</v>
      </c>
      <c r="C281" s="54" t="str">
        <f>IF(OR(B281="DNF",H281=""),"DNF",COUNTIF($H$3:H281,H281))</f>
        <v>DNF</v>
      </c>
      <c r="D281" s="90" t="str">
        <f>IFERROR(VLOOKUP($A281,EntryList!$A$3:$N$596,2,FALSE),"")</f>
        <v/>
      </c>
      <c r="E281" s="54" t="str">
        <f>IFERROR(VLOOKUP($A281,EntryList!$A$3:$V$596,19,FALSE),"")</f>
        <v/>
      </c>
      <c r="F281" s="176" t="str">
        <f>IFERROR(VLOOKUP($A281,EntryList!$A$3:$V$596,18,FALSE),"")</f>
        <v/>
      </c>
      <c r="H281" s="90" t="str">
        <f>IFERROR(VLOOKUP($A281,EntryList!$A$3:$N$596,7,FALSE),"")</f>
        <v/>
      </c>
      <c r="I281" s="54" t="str">
        <f>IFERROR(VLOOKUP($A281,SortedDownload!$A$3:$Z777,4,FALSE),"")</f>
        <v/>
      </c>
      <c r="J281" s="59" t="str">
        <f>IFERROR(VLOOKUP($A281,SortedDownload!$A$3:$BB$499,23,FALSE),"")</f>
        <v/>
      </c>
      <c r="K281" s="59" t="str">
        <f>IFERROR(VLOOKUP($A281,SortedDownload!$A$3:$BB$499,24,FALSE),"")</f>
        <v/>
      </c>
      <c r="L281" s="59" t="str">
        <f>IFERROR(VLOOKUP($A281,SortedDownload!$A$3:$BB$499,25,FALSE),"")</f>
        <v/>
      </c>
      <c r="M281" s="59" t="str">
        <f>IFERROR(VLOOKUP($A281,SortedDownload!$A$3:$BB$499,26,FALSE),"")</f>
        <v/>
      </c>
      <c r="N281" s="59" t="str">
        <f>IFERROR(VLOOKUP($A281,SortedDownload!$A$3:$BB$499,27,FALSE),"")</f>
        <v/>
      </c>
      <c r="O281" s="59" t="str">
        <f>IFERROR(VLOOKUP($A281,SortedDownload!$A$3:$BB$499,28,FALSE),"")</f>
        <v/>
      </c>
      <c r="P281" s="59" t="str">
        <f>IFERROR(VLOOKUP($A281,SortedDownload!$A$3:$BB$499,29,FALSE),"")</f>
        <v/>
      </c>
      <c r="Q281" s="59" t="str">
        <f>IFERROR(VLOOKUP($A281,SortedDownload!$A$3:$BB$499,30,FALSE),"")</f>
        <v/>
      </c>
      <c r="R281" s="62" t="str">
        <f>IFERROR(TEXT(VLOOKUP($A281,SortedDownload!$A$3:$Z$499,14,FALSE),"[hh]:mm:ss.000"),"")</f>
        <v/>
      </c>
      <c r="S281" s="83" t="str">
        <f t="shared" si="14"/>
        <v>N/A</v>
      </c>
      <c r="T281" s="83" t="e">
        <f t="shared" si="12"/>
        <v>#VALUE!</v>
      </c>
      <c r="U281" s="9" t="str">
        <f t="shared" si="13"/>
        <v/>
      </c>
      <c r="V281" s="20" t="str">
        <f>IFERROR(IF(VLOOKUP(H281,AgeCategories!$D$3:$J$32,7,FALSE)=I281,"","DNF"),"")</f>
        <v/>
      </c>
    </row>
    <row r="282" spans="1:22">
      <c r="A282" s="53" t="str">
        <f>IF(SortedDownload!A282 &lt; 1,"",SortedDownload!A282)</f>
        <v/>
      </c>
      <c r="B282" s="55">
        <f>IF(V282&lt;&gt;"","DNF",COUNTIF($V$3:V282,V282))</f>
        <v>247</v>
      </c>
      <c r="C282" s="54" t="str">
        <f>IF(OR(B282="DNF",H282=""),"DNF",COUNTIF($H$3:H282,H282))</f>
        <v>DNF</v>
      </c>
      <c r="D282" s="90" t="str">
        <f>IFERROR(VLOOKUP($A282,EntryList!$A$3:$N$596,2,FALSE),"")</f>
        <v/>
      </c>
      <c r="E282" s="54" t="str">
        <f>IFERROR(VLOOKUP($A282,EntryList!$A$3:$V$596,19,FALSE),"")</f>
        <v/>
      </c>
      <c r="F282" s="176" t="str">
        <f>IFERROR(VLOOKUP($A282,EntryList!$A$3:$V$596,18,FALSE),"")</f>
        <v/>
      </c>
      <c r="H282" s="90" t="str">
        <f>IFERROR(VLOOKUP($A282,EntryList!$A$3:$N$596,7,FALSE),"")</f>
        <v/>
      </c>
      <c r="I282" s="54" t="str">
        <f>IFERROR(VLOOKUP($A282,SortedDownload!$A$3:$Z778,4,FALSE),"")</f>
        <v/>
      </c>
      <c r="J282" s="59" t="str">
        <f>IFERROR(VLOOKUP($A282,SortedDownload!$A$3:$BB$499,23,FALSE),"")</f>
        <v/>
      </c>
      <c r="K282" s="59" t="str">
        <f>IFERROR(VLOOKUP($A282,SortedDownload!$A$3:$BB$499,24,FALSE),"")</f>
        <v/>
      </c>
      <c r="L282" s="59" t="str">
        <f>IFERROR(VLOOKUP($A282,SortedDownload!$A$3:$BB$499,25,FALSE),"")</f>
        <v/>
      </c>
      <c r="M282" s="59" t="str">
        <f>IFERROR(VLOOKUP($A282,SortedDownload!$A$3:$BB$499,26,FALSE),"")</f>
        <v/>
      </c>
      <c r="N282" s="59" t="str">
        <f>IFERROR(VLOOKUP($A282,SortedDownload!$A$3:$BB$499,27,FALSE),"")</f>
        <v/>
      </c>
      <c r="O282" s="59" t="str">
        <f>IFERROR(VLOOKUP($A282,SortedDownload!$A$3:$BB$499,28,FALSE),"")</f>
        <v/>
      </c>
      <c r="P282" s="59" t="str">
        <f>IFERROR(VLOOKUP($A282,SortedDownload!$A$3:$BB$499,29,FALSE),"")</f>
        <v/>
      </c>
      <c r="Q282" s="59" t="str">
        <f>IFERROR(VLOOKUP($A282,SortedDownload!$A$3:$BB$499,30,FALSE),"")</f>
        <v/>
      </c>
      <c r="R282" s="62" t="str">
        <f>IFERROR(TEXT(VLOOKUP($A282,SortedDownload!$A$3:$Z$499,14,FALSE),"[hh]:mm:ss.000"),"")</f>
        <v/>
      </c>
      <c r="S282" s="83" t="str">
        <f t="shared" si="14"/>
        <v>N/A</v>
      </c>
      <c r="T282" s="83" t="e">
        <f t="shared" si="12"/>
        <v>#VALUE!</v>
      </c>
      <c r="U282" s="9" t="str">
        <f t="shared" si="13"/>
        <v/>
      </c>
      <c r="V282" s="20" t="str">
        <f>IFERROR(IF(VLOOKUP(H282,AgeCategories!$D$3:$J$32,7,FALSE)=I282,"","DNF"),"")</f>
        <v/>
      </c>
    </row>
    <row r="283" spans="1:22">
      <c r="A283" s="53" t="str">
        <f>IF(SortedDownload!A283 &lt; 1,"",SortedDownload!A283)</f>
        <v/>
      </c>
      <c r="B283" s="55">
        <f>IF(V283&lt;&gt;"","DNF",COUNTIF($V$3:V283,V283))</f>
        <v>248</v>
      </c>
      <c r="C283" s="54" t="str">
        <f>IF(OR(B283="DNF",H283=""),"DNF",COUNTIF($H$3:H283,H283))</f>
        <v>DNF</v>
      </c>
      <c r="D283" s="90" t="str">
        <f>IFERROR(VLOOKUP($A283,EntryList!$A$3:$N$596,2,FALSE),"")</f>
        <v/>
      </c>
      <c r="E283" s="54" t="str">
        <f>IFERROR(VLOOKUP($A283,EntryList!$A$3:$V$596,19,FALSE),"")</f>
        <v/>
      </c>
      <c r="F283" s="176" t="str">
        <f>IFERROR(VLOOKUP($A283,EntryList!$A$3:$V$596,18,FALSE),"")</f>
        <v/>
      </c>
      <c r="H283" s="90" t="str">
        <f>IFERROR(VLOOKUP($A283,EntryList!$A$3:$N$596,7,FALSE),"")</f>
        <v/>
      </c>
      <c r="I283" s="54" t="str">
        <f>IFERROR(VLOOKUP($A283,SortedDownload!$A$3:$Z779,4,FALSE),"")</f>
        <v/>
      </c>
      <c r="J283" s="59" t="str">
        <f>IFERROR(VLOOKUP($A283,SortedDownload!$A$3:$BB$499,23,FALSE),"")</f>
        <v/>
      </c>
      <c r="K283" s="59" t="str">
        <f>IFERROR(VLOOKUP($A283,SortedDownload!$A$3:$BB$499,24,FALSE),"")</f>
        <v/>
      </c>
      <c r="L283" s="59" t="str">
        <f>IFERROR(VLOOKUP($A283,SortedDownload!$A$3:$BB$499,25,FALSE),"")</f>
        <v/>
      </c>
      <c r="M283" s="59" t="str">
        <f>IFERROR(VLOOKUP($A283,SortedDownload!$A$3:$BB$499,26,FALSE),"")</f>
        <v/>
      </c>
      <c r="N283" s="59" t="str">
        <f>IFERROR(VLOOKUP($A283,SortedDownload!$A$3:$BB$499,27,FALSE),"")</f>
        <v/>
      </c>
      <c r="O283" s="59" t="str">
        <f>IFERROR(VLOOKUP($A283,SortedDownload!$A$3:$BB$499,28,FALSE),"")</f>
        <v/>
      </c>
      <c r="P283" s="59" t="str">
        <f>IFERROR(VLOOKUP($A283,SortedDownload!$A$3:$BB$499,29,FALSE),"")</f>
        <v/>
      </c>
      <c r="Q283" s="59" t="str">
        <f>IFERROR(VLOOKUP($A283,SortedDownload!$A$3:$BB$499,30,FALSE),"")</f>
        <v/>
      </c>
      <c r="R283" s="62" t="str">
        <f>IFERROR(TEXT(VLOOKUP($A283,SortedDownload!$A$3:$Z$499,14,FALSE),"[hh]:mm:ss.000"),"")</f>
        <v/>
      </c>
      <c r="S283" s="83" t="str">
        <f t="shared" si="14"/>
        <v>N/A</v>
      </c>
      <c r="T283" s="83" t="e">
        <f t="shared" si="12"/>
        <v>#VALUE!</v>
      </c>
      <c r="U283" s="9" t="str">
        <f t="shared" si="13"/>
        <v/>
      </c>
      <c r="V283" s="20" t="str">
        <f>IFERROR(IF(VLOOKUP(H283,AgeCategories!$D$3:$J$32,7,FALSE)=I283,"","DNF"),"")</f>
        <v/>
      </c>
    </row>
    <row r="284" spans="1:22">
      <c r="A284" s="53" t="str">
        <f>IF(SortedDownload!A284 &lt; 1,"",SortedDownload!A284)</f>
        <v/>
      </c>
      <c r="B284" s="55">
        <f>IF(V284&lt;&gt;"","DNF",COUNTIF($V$3:V284,V284))</f>
        <v>249</v>
      </c>
      <c r="C284" s="54" t="str">
        <f>IF(OR(B284="DNF",H284=""),"DNF",COUNTIF($H$3:H284,H284))</f>
        <v>DNF</v>
      </c>
      <c r="D284" s="90" t="str">
        <f>IFERROR(VLOOKUP($A284,EntryList!$A$3:$N$596,2,FALSE),"")</f>
        <v/>
      </c>
      <c r="E284" s="54" t="str">
        <f>IFERROR(VLOOKUP($A284,EntryList!$A$3:$V$596,19,FALSE),"")</f>
        <v/>
      </c>
      <c r="F284" s="176" t="str">
        <f>IFERROR(VLOOKUP($A284,EntryList!$A$3:$V$596,18,FALSE),"")</f>
        <v/>
      </c>
      <c r="H284" s="90" t="str">
        <f>IFERROR(VLOOKUP($A284,EntryList!$A$3:$N$596,7,FALSE),"")</f>
        <v/>
      </c>
      <c r="I284" s="54" t="str">
        <f>IFERROR(VLOOKUP($A284,SortedDownload!$A$3:$Z780,4,FALSE),"")</f>
        <v/>
      </c>
      <c r="J284" s="59" t="str">
        <f>IFERROR(VLOOKUP($A284,SortedDownload!$A$3:$BB$499,23,FALSE),"")</f>
        <v/>
      </c>
      <c r="K284" s="59" t="str">
        <f>IFERROR(VLOOKUP($A284,SortedDownload!$A$3:$BB$499,24,FALSE),"")</f>
        <v/>
      </c>
      <c r="L284" s="59" t="str">
        <f>IFERROR(VLOOKUP($A284,SortedDownload!$A$3:$BB$499,25,FALSE),"")</f>
        <v/>
      </c>
      <c r="M284" s="59" t="str">
        <f>IFERROR(VLOOKUP($A284,SortedDownload!$A$3:$BB$499,26,FALSE),"")</f>
        <v/>
      </c>
      <c r="N284" s="59" t="str">
        <f>IFERROR(VLOOKUP($A284,SortedDownload!$A$3:$BB$499,27,FALSE),"")</f>
        <v/>
      </c>
      <c r="O284" s="59" t="str">
        <f>IFERROR(VLOOKUP($A284,SortedDownload!$A$3:$BB$499,28,FALSE),"")</f>
        <v/>
      </c>
      <c r="P284" s="59" t="str">
        <f>IFERROR(VLOOKUP($A284,SortedDownload!$A$3:$BB$499,29,FALSE),"")</f>
        <v/>
      </c>
      <c r="Q284" s="59" t="str">
        <f>IFERROR(VLOOKUP($A284,SortedDownload!$A$3:$BB$499,30,FALSE),"")</f>
        <v/>
      </c>
      <c r="R284" s="62" t="str">
        <f>IFERROR(TEXT(VLOOKUP($A284,SortedDownload!$A$3:$Z$499,14,FALSE),"[hh]:mm:ss.000"),"")</f>
        <v/>
      </c>
      <c r="S284" s="83" t="str">
        <f t="shared" si="14"/>
        <v>N/A</v>
      </c>
      <c r="T284" s="83" t="e">
        <f t="shared" si="12"/>
        <v>#VALUE!</v>
      </c>
      <c r="U284" s="9" t="str">
        <f t="shared" si="13"/>
        <v/>
      </c>
      <c r="V284" s="20" t="str">
        <f>IFERROR(IF(VLOOKUP(H284,AgeCategories!$D$3:$J$32,7,FALSE)=I284,"","DNF"),"")</f>
        <v/>
      </c>
    </row>
    <row r="285" spans="1:22">
      <c r="A285" s="53" t="str">
        <f>IF(SortedDownload!A285 &lt; 1,"",SortedDownload!A285)</f>
        <v/>
      </c>
      <c r="B285" s="55">
        <f>IF(V285&lt;&gt;"","DNF",COUNTIF($V$3:V285,V285))</f>
        <v>250</v>
      </c>
      <c r="C285" s="54" t="str">
        <f>IF(OR(B285="DNF",H285=""),"DNF",COUNTIF($H$3:H285,H285))</f>
        <v>DNF</v>
      </c>
      <c r="D285" s="90" t="str">
        <f>IFERROR(VLOOKUP($A285,EntryList!$A$3:$N$596,2,FALSE),"")</f>
        <v/>
      </c>
      <c r="E285" s="54" t="str">
        <f>IFERROR(VLOOKUP($A285,EntryList!$A$3:$V$596,19,FALSE),"")</f>
        <v/>
      </c>
      <c r="F285" s="176" t="str">
        <f>IFERROR(VLOOKUP($A285,EntryList!$A$3:$V$596,18,FALSE),"")</f>
        <v/>
      </c>
      <c r="H285" s="90" t="str">
        <f>IFERROR(VLOOKUP($A285,EntryList!$A$3:$N$596,7,FALSE),"")</f>
        <v/>
      </c>
      <c r="I285" s="54" t="str">
        <f>IFERROR(VLOOKUP($A285,SortedDownload!$A$3:$Z781,4,FALSE),"")</f>
        <v/>
      </c>
      <c r="J285" s="59" t="str">
        <f>IFERROR(VLOOKUP($A285,SortedDownload!$A$3:$BB$499,23,FALSE),"")</f>
        <v/>
      </c>
      <c r="K285" s="59" t="str">
        <f>IFERROR(VLOOKUP($A285,SortedDownload!$A$3:$BB$499,24,FALSE),"")</f>
        <v/>
      </c>
      <c r="L285" s="59" t="str">
        <f>IFERROR(VLOOKUP($A285,SortedDownload!$A$3:$BB$499,25,FALSE),"")</f>
        <v/>
      </c>
      <c r="M285" s="59" t="str">
        <f>IFERROR(VLOOKUP($A285,SortedDownload!$A$3:$BB$499,26,FALSE),"")</f>
        <v/>
      </c>
      <c r="N285" s="59" t="str">
        <f>IFERROR(VLOOKUP($A285,SortedDownload!$A$3:$BB$499,27,FALSE),"")</f>
        <v/>
      </c>
      <c r="O285" s="59" t="str">
        <f>IFERROR(VLOOKUP($A285,SortedDownload!$A$3:$BB$499,28,FALSE),"")</f>
        <v/>
      </c>
      <c r="P285" s="59" t="str">
        <f>IFERROR(VLOOKUP($A285,SortedDownload!$A$3:$BB$499,29,FALSE),"")</f>
        <v/>
      </c>
      <c r="Q285" s="59" t="str">
        <f>IFERROR(VLOOKUP($A285,SortedDownload!$A$3:$BB$499,30,FALSE),"")</f>
        <v/>
      </c>
      <c r="R285" s="62" t="str">
        <f>IFERROR(TEXT(VLOOKUP($A285,SortedDownload!$A$3:$Z$499,14,FALSE),"[hh]:mm:ss.000"),"")</f>
        <v/>
      </c>
      <c r="S285" s="83" t="str">
        <f t="shared" si="14"/>
        <v>N/A</v>
      </c>
      <c r="T285" s="83" t="e">
        <f t="shared" si="12"/>
        <v>#VALUE!</v>
      </c>
      <c r="U285" s="9" t="str">
        <f t="shared" si="13"/>
        <v/>
      </c>
      <c r="V285" s="20" t="str">
        <f>IFERROR(IF(VLOOKUP(H285,AgeCategories!$D$3:$J$32,7,FALSE)=I285,"","DNF"),"")</f>
        <v/>
      </c>
    </row>
    <row r="286" spans="1:22">
      <c r="A286" s="53" t="str">
        <f>IF(SortedDownload!A286 &lt; 1,"",SortedDownload!A286)</f>
        <v/>
      </c>
      <c r="B286" s="55">
        <f>IF(V286&lt;&gt;"","DNF",COUNTIF($V$3:V286,V286))</f>
        <v>251</v>
      </c>
      <c r="C286" s="54" t="str">
        <f>IF(OR(B286="DNF",H286=""),"DNF",COUNTIF($H$3:H286,H286))</f>
        <v>DNF</v>
      </c>
      <c r="D286" s="90" t="str">
        <f>IFERROR(VLOOKUP($A286,EntryList!$A$3:$N$596,2,FALSE),"")</f>
        <v/>
      </c>
      <c r="E286" s="54" t="str">
        <f>IFERROR(VLOOKUP($A286,EntryList!$A$3:$V$596,19,FALSE),"")</f>
        <v/>
      </c>
      <c r="F286" s="176" t="str">
        <f>IFERROR(VLOOKUP($A286,EntryList!$A$3:$V$596,18,FALSE),"")</f>
        <v/>
      </c>
      <c r="H286" s="90" t="str">
        <f>IFERROR(VLOOKUP($A286,EntryList!$A$3:$N$596,7,FALSE),"")</f>
        <v/>
      </c>
      <c r="I286" s="54" t="str">
        <f>IFERROR(VLOOKUP($A286,SortedDownload!$A$3:$Z782,4,FALSE),"")</f>
        <v/>
      </c>
      <c r="J286" s="59" t="str">
        <f>IFERROR(VLOOKUP($A286,SortedDownload!$A$3:$BB$499,23,FALSE),"")</f>
        <v/>
      </c>
      <c r="K286" s="59" t="str">
        <f>IFERROR(VLOOKUP($A286,SortedDownload!$A$3:$BB$499,24,FALSE),"")</f>
        <v/>
      </c>
      <c r="L286" s="59" t="str">
        <f>IFERROR(VLOOKUP($A286,SortedDownload!$A$3:$BB$499,25,FALSE),"")</f>
        <v/>
      </c>
      <c r="M286" s="59" t="str">
        <f>IFERROR(VLOOKUP($A286,SortedDownload!$A$3:$BB$499,26,FALSE),"")</f>
        <v/>
      </c>
      <c r="N286" s="59" t="str">
        <f>IFERROR(VLOOKUP($A286,SortedDownload!$A$3:$BB$499,27,FALSE),"")</f>
        <v/>
      </c>
      <c r="O286" s="59" t="str">
        <f>IFERROR(VLOOKUP($A286,SortedDownload!$A$3:$BB$499,28,FALSE),"")</f>
        <v/>
      </c>
      <c r="P286" s="59" t="str">
        <f>IFERROR(VLOOKUP($A286,SortedDownload!$A$3:$BB$499,29,FALSE),"")</f>
        <v/>
      </c>
      <c r="Q286" s="59" t="str">
        <f>IFERROR(VLOOKUP($A286,SortedDownload!$A$3:$BB$499,30,FALSE),"")</f>
        <v/>
      </c>
      <c r="R286" s="62" t="str">
        <f>IFERROR(TEXT(VLOOKUP($A286,SortedDownload!$A$3:$Z$499,14,FALSE),"[hh]:mm:ss.000"),"")</f>
        <v/>
      </c>
      <c r="S286" s="83" t="str">
        <f t="shared" si="14"/>
        <v>N/A</v>
      </c>
      <c r="T286" s="83" t="e">
        <f t="shared" si="12"/>
        <v>#VALUE!</v>
      </c>
      <c r="U286" s="9" t="str">
        <f t="shared" si="13"/>
        <v/>
      </c>
      <c r="V286" s="20" t="str">
        <f>IFERROR(IF(VLOOKUP(H286,AgeCategories!$D$3:$J$32,7,FALSE)=I286,"","DNF"),"")</f>
        <v/>
      </c>
    </row>
    <row r="287" spans="1:22">
      <c r="A287" s="53" t="str">
        <f>IF(SortedDownload!A287 &lt; 1,"",SortedDownload!A287)</f>
        <v/>
      </c>
      <c r="B287" s="55">
        <f>IF(V287&lt;&gt;"","DNF",COUNTIF($V$3:V287,V287))</f>
        <v>252</v>
      </c>
      <c r="C287" s="54" t="str">
        <f>IF(OR(B287="DNF",H287=""),"DNF",COUNTIF($H$3:H287,H287))</f>
        <v>DNF</v>
      </c>
      <c r="D287" s="90" t="str">
        <f>IFERROR(VLOOKUP($A287,EntryList!$A$3:$N$596,2,FALSE),"")</f>
        <v/>
      </c>
      <c r="E287" s="54" t="str">
        <f>IFERROR(VLOOKUP($A287,EntryList!$A$3:$V$596,19,FALSE),"")</f>
        <v/>
      </c>
      <c r="F287" s="176" t="str">
        <f>IFERROR(VLOOKUP($A287,EntryList!$A$3:$V$596,18,FALSE),"")</f>
        <v/>
      </c>
      <c r="H287" s="90" t="str">
        <f>IFERROR(VLOOKUP($A287,EntryList!$A$3:$N$596,7,FALSE),"")</f>
        <v/>
      </c>
      <c r="I287" s="54" t="str">
        <f>IFERROR(VLOOKUP($A287,SortedDownload!$A$3:$Z783,4,FALSE),"")</f>
        <v/>
      </c>
      <c r="J287" s="59" t="str">
        <f>IFERROR(VLOOKUP($A287,SortedDownload!$A$3:$BB$499,23,FALSE),"")</f>
        <v/>
      </c>
      <c r="K287" s="59" t="str">
        <f>IFERROR(VLOOKUP($A287,SortedDownload!$A$3:$BB$499,24,FALSE),"")</f>
        <v/>
      </c>
      <c r="L287" s="59" t="str">
        <f>IFERROR(VLOOKUP($A287,SortedDownload!$A$3:$BB$499,25,FALSE),"")</f>
        <v/>
      </c>
      <c r="M287" s="59" t="str">
        <f>IFERROR(VLOOKUP($A287,SortedDownload!$A$3:$BB$499,26,FALSE),"")</f>
        <v/>
      </c>
      <c r="N287" s="59" t="str">
        <f>IFERROR(VLOOKUP($A287,SortedDownload!$A$3:$BB$499,27,FALSE),"")</f>
        <v/>
      </c>
      <c r="O287" s="59" t="str">
        <f>IFERROR(VLOOKUP($A287,SortedDownload!$A$3:$BB$499,28,FALSE),"")</f>
        <v/>
      </c>
      <c r="P287" s="59" t="str">
        <f>IFERROR(VLOOKUP($A287,SortedDownload!$A$3:$BB$499,29,FALSE),"")</f>
        <v/>
      </c>
      <c r="Q287" s="59" t="str">
        <f>IFERROR(VLOOKUP($A287,SortedDownload!$A$3:$BB$499,30,FALSE),"")</f>
        <v/>
      </c>
      <c r="R287" s="62" t="str">
        <f>IFERROR(TEXT(VLOOKUP($A287,SortedDownload!$A$3:$Z$499,14,FALSE),"[hh]:mm:ss.000"),"")</f>
        <v/>
      </c>
      <c r="S287" s="83" t="str">
        <f t="shared" si="14"/>
        <v>N/A</v>
      </c>
      <c r="T287" s="83" t="e">
        <f t="shared" si="12"/>
        <v>#VALUE!</v>
      </c>
      <c r="U287" s="9" t="str">
        <f t="shared" si="13"/>
        <v/>
      </c>
      <c r="V287" s="20" t="str">
        <f>IFERROR(IF(VLOOKUP(H287,AgeCategories!$D$3:$J$32,7,FALSE)=I287,"","DNF"),"")</f>
        <v/>
      </c>
    </row>
    <row r="288" spans="1:22">
      <c r="A288" s="53" t="str">
        <f>IF(SortedDownload!A288 &lt; 1,"",SortedDownload!A288)</f>
        <v/>
      </c>
      <c r="B288" s="55">
        <f>IF(V288&lt;&gt;"","DNF",COUNTIF($V$3:V288,V288))</f>
        <v>253</v>
      </c>
      <c r="C288" s="54" t="str">
        <f>IF(OR(B288="DNF",H288=""),"DNF",COUNTIF($H$3:H288,H288))</f>
        <v>DNF</v>
      </c>
      <c r="D288" s="90" t="str">
        <f>IFERROR(VLOOKUP($A288,EntryList!$A$3:$N$596,2,FALSE),"")</f>
        <v/>
      </c>
      <c r="E288" s="54" t="str">
        <f>IFERROR(VLOOKUP($A288,EntryList!$A$3:$V$596,19,FALSE),"")</f>
        <v/>
      </c>
      <c r="F288" s="176" t="str">
        <f>IFERROR(VLOOKUP($A288,EntryList!$A$3:$V$596,18,FALSE),"")</f>
        <v/>
      </c>
      <c r="H288" s="90" t="str">
        <f>IFERROR(VLOOKUP($A288,EntryList!$A$3:$N$596,7,FALSE),"")</f>
        <v/>
      </c>
      <c r="I288" s="54" t="str">
        <f>IFERROR(VLOOKUP($A288,SortedDownload!$A$3:$Z784,4,FALSE),"")</f>
        <v/>
      </c>
      <c r="J288" s="59" t="str">
        <f>IFERROR(VLOOKUP($A288,SortedDownload!$A$3:$BB$499,23,FALSE),"")</f>
        <v/>
      </c>
      <c r="K288" s="59" t="str">
        <f>IFERROR(VLOOKUP($A288,SortedDownload!$A$3:$BB$499,24,FALSE),"")</f>
        <v/>
      </c>
      <c r="L288" s="59" t="str">
        <f>IFERROR(VLOOKUP($A288,SortedDownload!$A$3:$BB$499,25,FALSE),"")</f>
        <v/>
      </c>
      <c r="M288" s="59" t="str">
        <f>IFERROR(VLOOKUP($A288,SortedDownload!$A$3:$BB$499,26,FALSE),"")</f>
        <v/>
      </c>
      <c r="N288" s="59" t="str">
        <f>IFERROR(VLOOKUP($A288,SortedDownload!$A$3:$BB$499,27,FALSE),"")</f>
        <v/>
      </c>
      <c r="O288" s="59" t="str">
        <f>IFERROR(VLOOKUP($A288,SortedDownload!$A$3:$BB$499,28,FALSE),"")</f>
        <v/>
      </c>
      <c r="P288" s="59" t="str">
        <f>IFERROR(VLOOKUP($A288,SortedDownload!$A$3:$BB$499,29,FALSE),"")</f>
        <v/>
      </c>
      <c r="Q288" s="59" t="str">
        <f>IFERROR(VLOOKUP($A288,SortedDownload!$A$3:$BB$499,30,FALSE),"")</f>
        <v/>
      </c>
      <c r="R288" s="62" t="str">
        <f>IFERROR(TEXT(VLOOKUP($A288,SortedDownload!$A$3:$Z$499,14,FALSE),"[hh]:mm:ss.000"),"")</f>
        <v/>
      </c>
      <c r="S288" s="83" t="str">
        <f t="shared" si="14"/>
        <v>N/A</v>
      </c>
      <c r="T288" s="83" t="e">
        <f t="shared" si="12"/>
        <v>#VALUE!</v>
      </c>
      <c r="U288" s="9" t="str">
        <f t="shared" si="13"/>
        <v/>
      </c>
      <c r="V288" s="20" t="str">
        <f>IFERROR(IF(VLOOKUP(H288,AgeCategories!$D$3:$J$32,7,FALSE)=I288,"","DNF"),"")</f>
        <v/>
      </c>
    </row>
    <row r="289" spans="1:22">
      <c r="A289" s="53" t="str">
        <f>IF(SortedDownload!A289 &lt; 1,"",SortedDownload!A289)</f>
        <v/>
      </c>
      <c r="B289" s="55">
        <f>IF(V289&lt;&gt;"","DNF",COUNTIF($V$3:V289,V289))</f>
        <v>254</v>
      </c>
      <c r="C289" s="54" t="str">
        <f>IF(OR(B289="DNF",H289=""),"DNF",COUNTIF($H$3:H289,H289))</f>
        <v>DNF</v>
      </c>
      <c r="D289" s="90" t="str">
        <f>IFERROR(VLOOKUP($A289,EntryList!$A$3:$N$596,2,FALSE),"")</f>
        <v/>
      </c>
      <c r="E289" s="54" t="str">
        <f>IFERROR(VLOOKUP($A289,EntryList!$A$3:$V$596,19,FALSE),"")</f>
        <v/>
      </c>
      <c r="F289" s="176" t="str">
        <f>IFERROR(VLOOKUP($A289,EntryList!$A$3:$V$596,18,FALSE),"")</f>
        <v/>
      </c>
      <c r="H289" s="90" t="str">
        <f>IFERROR(VLOOKUP($A289,EntryList!$A$3:$N$596,7,FALSE),"")</f>
        <v/>
      </c>
      <c r="I289" s="54" t="str">
        <f>IFERROR(VLOOKUP($A289,SortedDownload!$A$3:$Z785,4,FALSE),"")</f>
        <v/>
      </c>
      <c r="J289" s="59" t="str">
        <f>IFERROR(VLOOKUP($A289,SortedDownload!$A$3:$BB$499,23,FALSE),"")</f>
        <v/>
      </c>
      <c r="K289" s="59" t="str">
        <f>IFERROR(VLOOKUP($A289,SortedDownload!$A$3:$BB$499,24,FALSE),"")</f>
        <v/>
      </c>
      <c r="L289" s="59" t="str">
        <f>IFERROR(VLOOKUP($A289,SortedDownload!$A$3:$BB$499,25,FALSE),"")</f>
        <v/>
      </c>
      <c r="M289" s="59" t="str">
        <f>IFERROR(VLOOKUP($A289,SortedDownload!$A$3:$BB$499,26,FALSE),"")</f>
        <v/>
      </c>
      <c r="N289" s="59" t="str">
        <f>IFERROR(VLOOKUP($A289,SortedDownload!$A$3:$BB$499,27,FALSE),"")</f>
        <v/>
      </c>
      <c r="O289" s="59" t="str">
        <f>IFERROR(VLOOKUP($A289,SortedDownload!$A$3:$BB$499,28,FALSE),"")</f>
        <v/>
      </c>
      <c r="P289" s="59" t="str">
        <f>IFERROR(VLOOKUP($A289,SortedDownload!$A$3:$BB$499,29,FALSE),"")</f>
        <v/>
      </c>
      <c r="Q289" s="59" t="str">
        <f>IFERROR(VLOOKUP($A289,SortedDownload!$A$3:$BB$499,30,FALSE),"")</f>
        <v/>
      </c>
      <c r="R289" s="62" t="str">
        <f>IFERROR(TEXT(VLOOKUP($A289,SortedDownload!$A$3:$Z$499,14,FALSE),"[hh]:mm:ss.000"),"")</f>
        <v/>
      </c>
      <c r="S289" s="83" t="str">
        <f t="shared" si="14"/>
        <v>N/A</v>
      </c>
      <c r="T289" s="83" t="e">
        <f t="shared" si="12"/>
        <v>#VALUE!</v>
      </c>
      <c r="U289" s="9" t="str">
        <f t="shared" si="13"/>
        <v/>
      </c>
      <c r="V289" s="20" t="str">
        <f>IFERROR(IF(VLOOKUP(H289,AgeCategories!$D$3:$J$32,7,FALSE)=I289,"","DNF"),"")</f>
        <v/>
      </c>
    </row>
    <row r="290" spans="1:22">
      <c r="A290" s="53" t="str">
        <f>IF(SortedDownload!A290 &lt; 1,"",SortedDownload!A290)</f>
        <v/>
      </c>
      <c r="B290" s="55">
        <f>IF(V290&lt;&gt;"","DNF",COUNTIF($V$3:V290,V290))</f>
        <v>255</v>
      </c>
      <c r="C290" s="54" t="str">
        <f>IF(OR(B290="DNF",H290=""),"DNF",COUNTIF($H$3:H290,H290))</f>
        <v>DNF</v>
      </c>
      <c r="D290" s="90" t="str">
        <f>IFERROR(VLOOKUP($A290,EntryList!$A$3:$N$596,2,FALSE),"")</f>
        <v/>
      </c>
      <c r="E290" s="54" t="str">
        <f>IFERROR(VLOOKUP($A290,EntryList!$A$3:$V$596,19,FALSE),"")</f>
        <v/>
      </c>
      <c r="F290" s="176" t="str">
        <f>IFERROR(VLOOKUP($A290,EntryList!$A$3:$V$596,18,FALSE),"")</f>
        <v/>
      </c>
      <c r="H290" s="90" t="str">
        <f>IFERROR(VLOOKUP($A290,EntryList!$A$3:$N$596,7,FALSE),"")</f>
        <v/>
      </c>
      <c r="I290" s="54" t="str">
        <f>IFERROR(VLOOKUP($A290,SortedDownload!$A$3:$Z786,4,FALSE),"")</f>
        <v/>
      </c>
      <c r="J290" s="59" t="str">
        <f>IFERROR(VLOOKUP($A290,SortedDownload!$A$3:$BB$499,23,FALSE),"")</f>
        <v/>
      </c>
      <c r="K290" s="59" t="str">
        <f>IFERROR(VLOOKUP($A290,SortedDownload!$A$3:$BB$499,24,FALSE),"")</f>
        <v/>
      </c>
      <c r="L290" s="59" t="str">
        <f>IFERROR(VLOOKUP($A290,SortedDownload!$A$3:$BB$499,25,FALSE),"")</f>
        <v/>
      </c>
      <c r="M290" s="59" t="str">
        <f>IFERROR(VLOOKUP($A290,SortedDownload!$A$3:$BB$499,26,FALSE),"")</f>
        <v/>
      </c>
      <c r="N290" s="59" t="str">
        <f>IFERROR(VLOOKUP($A290,SortedDownload!$A$3:$BB$499,27,FALSE),"")</f>
        <v/>
      </c>
      <c r="O290" s="59" t="str">
        <f>IFERROR(VLOOKUP($A290,SortedDownload!$A$3:$BB$499,28,FALSE),"")</f>
        <v/>
      </c>
      <c r="P290" s="59" t="str">
        <f>IFERROR(VLOOKUP($A290,SortedDownload!$A$3:$BB$499,29,FALSE),"")</f>
        <v/>
      </c>
      <c r="Q290" s="59" t="str">
        <f>IFERROR(VLOOKUP($A290,SortedDownload!$A$3:$BB$499,30,FALSE),"")</f>
        <v/>
      </c>
      <c r="R290" s="62" t="str">
        <f>IFERROR(TEXT(VLOOKUP($A290,SortedDownload!$A$3:$Z$499,14,FALSE),"[hh]:mm:ss.000"),"")</f>
        <v/>
      </c>
      <c r="S290" s="83" t="str">
        <f t="shared" si="14"/>
        <v>N/A</v>
      </c>
      <c r="T290" s="83" t="e">
        <f t="shared" si="12"/>
        <v>#VALUE!</v>
      </c>
      <c r="U290" s="9" t="str">
        <f t="shared" si="13"/>
        <v/>
      </c>
      <c r="V290" s="20" t="str">
        <f>IFERROR(IF(VLOOKUP(H290,AgeCategories!$D$3:$J$32,7,FALSE)=I290,"","DNF"),"")</f>
        <v/>
      </c>
    </row>
    <row r="291" spans="1:22">
      <c r="A291" s="53" t="str">
        <f>IF(SortedDownload!A291 &lt; 1,"",SortedDownload!A291)</f>
        <v/>
      </c>
      <c r="B291" s="55">
        <f>IF(V291&lt;&gt;"","DNF",COUNTIF($V$3:V291,V291))</f>
        <v>256</v>
      </c>
      <c r="C291" s="54" t="str">
        <f>IF(OR(B291="DNF",H291=""),"DNF",COUNTIF($H$3:H291,H291))</f>
        <v>DNF</v>
      </c>
      <c r="D291" s="90" t="str">
        <f>IFERROR(VLOOKUP($A291,EntryList!$A$3:$N$596,2,FALSE),"")</f>
        <v/>
      </c>
      <c r="E291" s="54" t="str">
        <f>IFERROR(VLOOKUP($A291,EntryList!$A$3:$V$596,19,FALSE),"")</f>
        <v/>
      </c>
      <c r="F291" s="176" t="str">
        <f>IFERROR(VLOOKUP($A291,EntryList!$A$3:$V$596,18,FALSE),"")</f>
        <v/>
      </c>
      <c r="H291" s="90" t="str">
        <f>IFERROR(VLOOKUP($A291,EntryList!$A$3:$N$596,7,FALSE),"")</f>
        <v/>
      </c>
      <c r="I291" s="54" t="str">
        <f>IFERROR(VLOOKUP($A291,SortedDownload!$A$3:$Z787,4,FALSE),"")</f>
        <v/>
      </c>
      <c r="J291" s="59" t="str">
        <f>IFERROR(VLOOKUP($A291,SortedDownload!$A$3:$BB$499,23,FALSE),"")</f>
        <v/>
      </c>
      <c r="K291" s="59" t="str">
        <f>IFERROR(VLOOKUP($A291,SortedDownload!$A$3:$BB$499,24,FALSE),"")</f>
        <v/>
      </c>
      <c r="L291" s="59" t="str">
        <f>IFERROR(VLOOKUP($A291,SortedDownload!$A$3:$BB$499,25,FALSE),"")</f>
        <v/>
      </c>
      <c r="M291" s="59" t="str">
        <f>IFERROR(VLOOKUP($A291,SortedDownload!$A$3:$BB$499,26,FALSE),"")</f>
        <v/>
      </c>
      <c r="N291" s="59" t="str">
        <f>IFERROR(VLOOKUP($A291,SortedDownload!$A$3:$BB$499,27,FALSE),"")</f>
        <v/>
      </c>
      <c r="O291" s="59" t="str">
        <f>IFERROR(VLOOKUP($A291,SortedDownload!$A$3:$BB$499,28,FALSE),"")</f>
        <v/>
      </c>
      <c r="P291" s="59" t="str">
        <f>IFERROR(VLOOKUP($A291,SortedDownload!$A$3:$BB$499,29,FALSE),"")</f>
        <v/>
      </c>
      <c r="Q291" s="59" t="str">
        <f>IFERROR(VLOOKUP($A291,SortedDownload!$A$3:$BB$499,30,FALSE),"")</f>
        <v/>
      </c>
      <c r="R291" s="62" t="str">
        <f>IFERROR(TEXT(VLOOKUP($A291,SortedDownload!$A$3:$Z$499,14,FALSE),"[hh]:mm:ss.000"),"")</f>
        <v/>
      </c>
      <c r="S291" s="83" t="str">
        <f t="shared" si="14"/>
        <v>N/A</v>
      </c>
      <c r="T291" s="83" t="e">
        <f t="shared" si="12"/>
        <v>#VALUE!</v>
      </c>
      <c r="U291" s="9" t="str">
        <f t="shared" si="13"/>
        <v/>
      </c>
      <c r="V291" s="20" t="str">
        <f>IFERROR(IF(VLOOKUP(H291,AgeCategories!$D$3:$J$32,7,FALSE)=I291,"","DNF"),"")</f>
        <v/>
      </c>
    </row>
    <row r="292" spans="1:22">
      <c r="A292" s="53" t="str">
        <f>IF(SortedDownload!A292 &lt; 1,"",SortedDownload!A292)</f>
        <v/>
      </c>
      <c r="B292" s="55">
        <f>IF(V292&lt;&gt;"","DNF",COUNTIF($V$3:V292,V292))</f>
        <v>257</v>
      </c>
      <c r="C292" s="54" t="str">
        <f>IF(OR(B292="DNF",H292=""),"DNF",COUNTIF($H$3:H292,H292))</f>
        <v>DNF</v>
      </c>
      <c r="D292" s="90" t="str">
        <f>IFERROR(VLOOKUP($A292,EntryList!$A$3:$N$596,2,FALSE),"")</f>
        <v/>
      </c>
      <c r="E292" s="54" t="str">
        <f>IFERROR(VLOOKUP($A292,EntryList!$A$3:$V$596,19,FALSE),"")</f>
        <v/>
      </c>
      <c r="F292" s="176" t="str">
        <f>IFERROR(VLOOKUP($A292,EntryList!$A$3:$V$596,18,FALSE),"")</f>
        <v/>
      </c>
      <c r="H292" s="90" t="str">
        <f>IFERROR(VLOOKUP($A292,EntryList!$A$3:$N$596,7,FALSE),"")</f>
        <v/>
      </c>
      <c r="I292" s="54" t="str">
        <f>IFERROR(VLOOKUP($A292,SortedDownload!$A$3:$Z788,4,FALSE),"")</f>
        <v/>
      </c>
      <c r="J292" s="59" t="str">
        <f>IFERROR(VLOOKUP($A292,SortedDownload!$A$3:$BB$499,23,FALSE),"")</f>
        <v/>
      </c>
      <c r="K292" s="59" t="str">
        <f>IFERROR(VLOOKUP($A292,SortedDownload!$A$3:$BB$499,24,FALSE),"")</f>
        <v/>
      </c>
      <c r="L292" s="59" t="str">
        <f>IFERROR(VLOOKUP($A292,SortedDownload!$A$3:$BB$499,25,FALSE),"")</f>
        <v/>
      </c>
      <c r="M292" s="59" t="str">
        <f>IFERROR(VLOOKUP($A292,SortedDownload!$A$3:$BB$499,26,FALSE),"")</f>
        <v/>
      </c>
      <c r="N292" s="59" t="str">
        <f>IFERROR(VLOOKUP($A292,SortedDownload!$A$3:$BB$499,27,FALSE),"")</f>
        <v/>
      </c>
      <c r="O292" s="59" t="str">
        <f>IFERROR(VLOOKUP($A292,SortedDownload!$A$3:$BB$499,28,FALSE),"")</f>
        <v/>
      </c>
      <c r="P292" s="59" t="str">
        <f>IFERROR(VLOOKUP($A292,SortedDownload!$A$3:$BB$499,29,FALSE),"")</f>
        <v/>
      </c>
      <c r="Q292" s="59" t="str">
        <f>IFERROR(VLOOKUP($A292,SortedDownload!$A$3:$BB$499,30,FALSE),"")</f>
        <v/>
      </c>
      <c r="R292" s="62" t="str">
        <f>IFERROR(TEXT(VLOOKUP($A292,SortedDownload!$A$3:$Z$499,14,FALSE),"[hh]:mm:ss.000"),"")</f>
        <v/>
      </c>
      <c r="S292" s="83" t="str">
        <f t="shared" si="14"/>
        <v>N/A</v>
      </c>
      <c r="T292" s="83" t="e">
        <f t="shared" si="12"/>
        <v>#VALUE!</v>
      </c>
      <c r="U292" s="9" t="str">
        <f t="shared" si="13"/>
        <v/>
      </c>
      <c r="V292" s="20" t="str">
        <f>IFERROR(IF(VLOOKUP(H292,AgeCategories!$D$3:$J$32,7,FALSE)=I292,"","DNF"),"")</f>
        <v/>
      </c>
    </row>
    <row r="293" spans="1:22">
      <c r="A293" s="53" t="str">
        <f>IF(SortedDownload!A293 &lt; 1,"",SortedDownload!A293)</f>
        <v/>
      </c>
      <c r="B293" s="55">
        <f>IF(V293&lt;&gt;"","DNF",COUNTIF($V$3:V293,V293))</f>
        <v>258</v>
      </c>
      <c r="C293" s="54" t="str">
        <f>IF(OR(B293="DNF",H293=""),"DNF",COUNTIF($H$3:H293,H293))</f>
        <v>DNF</v>
      </c>
      <c r="D293" s="90" t="str">
        <f>IFERROR(VLOOKUP($A293,EntryList!$A$3:$N$596,2,FALSE),"")</f>
        <v/>
      </c>
      <c r="E293" s="54" t="str">
        <f>IFERROR(VLOOKUP($A293,EntryList!$A$3:$V$596,19,FALSE),"")</f>
        <v/>
      </c>
      <c r="F293" s="176" t="str">
        <f>IFERROR(VLOOKUP($A293,EntryList!$A$3:$V$596,18,FALSE),"")</f>
        <v/>
      </c>
      <c r="H293" s="90" t="str">
        <f>IFERROR(VLOOKUP($A293,EntryList!$A$3:$N$596,7,FALSE),"")</f>
        <v/>
      </c>
      <c r="I293" s="54" t="str">
        <f>IFERROR(VLOOKUP($A293,SortedDownload!$A$3:$Z789,4,FALSE),"")</f>
        <v/>
      </c>
      <c r="J293" s="59" t="str">
        <f>IFERROR(VLOOKUP($A293,SortedDownload!$A$3:$BB$499,23,FALSE),"")</f>
        <v/>
      </c>
      <c r="K293" s="59" t="str">
        <f>IFERROR(VLOOKUP($A293,SortedDownload!$A$3:$BB$499,24,FALSE),"")</f>
        <v/>
      </c>
      <c r="L293" s="59" t="str">
        <f>IFERROR(VLOOKUP($A293,SortedDownload!$A$3:$BB$499,25,FALSE),"")</f>
        <v/>
      </c>
      <c r="M293" s="59" t="str">
        <f>IFERROR(VLOOKUP($A293,SortedDownload!$A$3:$BB$499,26,FALSE),"")</f>
        <v/>
      </c>
      <c r="N293" s="59" t="str">
        <f>IFERROR(VLOOKUP($A293,SortedDownload!$A$3:$BB$499,27,FALSE),"")</f>
        <v/>
      </c>
      <c r="O293" s="59" t="str">
        <f>IFERROR(VLOOKUP($A293,SortedDownload!$A$3:$BB$499,28,FALSE),"")</f>
        <v/>
      </c>
      <c r="P293" s="59" t="str">
        <f>IFERROR(VLOOKUP($A293,SortedDownload!$A$3:$BB$499,29,FALSE),"")</f>
        <v/>
      </c>
      <c r="Q293" s="59" t="str">
        <f>IFERROR(VLOOKUP($A293,SortedDownload!$A$3:$BB$499,30,FALSE),"")</f>
        <v/>
      </c>
      <c r="R293" s="62" t="str">
        <f>IFERROR(TEXT(VLOOKUP($A293,SortedDownload!$A$3:$Z$499,14,FALSE),"[hh]:mm:ss.000"),"")</f>
        <v/>
      </c>
      <c r="S293" s="83" t="str">
        <f t="shared" si="14"/>
        <v>N/A</v>
      </c>
      <c r="T293" s="83" t="e">
        <f t="shared" si="12"/>
        <v>#VALUE!</v>
      </c>
      <c r="U293" s="9" t="str">
        <f t="shared" si="13"/>
        <v/>
      </c>
      <c r="V293" s="20" t="str">
        <f>IFERROR(IF(VLOOKUP(H293,AgeCategories!$D$3:$J$32,7,FALSE)=I293,"","DNF"),"")</f>
        <v/>
      </c>
    </row>
    <row r="294" spans="1:22">
      <c r="A294" s="53" t="str">
        <f>IF(SortedDownload!A294 &lt; 1,"",SortedDownload!A294)</f>
        <v/>
      </c>
      <c r="B294" s="55">
        <f>IF(V294&lt;&gt;"","DNF",COUNTIF($V$3:V294,V294))</f>
        <v>259</v>
      </c>
      <c r="C294" s="54" t="str">
        <f>IF(OR(B294="DNF",H294=""),"DNF",COUNTIF($H$3:H294,H294))</f>
        <v>DNF</v>
      </c>
      <c r="D294" s="90" t="str">
        <f>IFERROR(VLOOKUP($A294,EntryList!$A$3:$N$596,2,FALSE),"")</f>
        <v/>
      </c>
      <c r="E294" s="54" t="str">
        <f>IFERROR(VLOOKUP($A294,EntryList!$A$3:$V$596,19,FALSE),"")</f>
        <v/>
      </c>
      <c r="F294" s="176" t="str">
        <f>IFERROR(VLOOKUP($A294,EntryList!$A$3:$V$596,18,FALSE),"")</f>
        <v/>
      </c>
      <c r="H294" s="90" t="str">
        <f>IFERROR(VLOOKUP($A294,EntryList!$A$3:$N$596,7,FALSE),"")</f>
        <v/>
      </c>
      <c r="I294" s="54" t="str">
        <f>IFERROR(VLOOKUP($A294,SortedDownload!$A$3:$Z790,4,FALSE),"")</f>
        <v/>
      </c>
      <c r="J294" s="59" t="str">
        <f>IFERROR(VLOOKUP($A294,SortedDownload!$A$3:$BB$499,23,FALSE),"")</f>
        <v/>
      </c>
      <c r="K294" s="59" t="str">
        <f>IFERROR(VLOOKUP($A294,SortedDownload!$A$3:$BB$499,24,FALSE),"")</f>
        <v/>
      </c>
      <c r="L294" s="59" t="str">
        <f>IFERROR(VLOOKUP($A294,SortedDownload!$A$3:$BB$499,25,FALSE),"")</f>
        <v/>
      </c>
      <c r="M294" s="59" t="str">
        <f>IFERROR(VLOOKUP($A294,SortedDownload!$A$3:$BB$499,26,FALSE),"")</f>
        <v/>
      </c>
      <c r="N294" s="59" t="str">
        <f>IFERROR(VLOOKUP($A294,SortedDownload!$A$3:$BB$499,27,FALSE),"")</f>
        <v/>
      </c>
      <c r="O294" s="59" t="str">
        <f>IFERROR(VLOOKUP($A294,SortedDownload!$A$3:$BB$499,28,FALSE),"")</f>
        <v/>
      </c>
      <c r="P294" s="59" t="str">
        <f>IFERROR(VLOOKUP($A294,SortedDownload!$A$3:$BB$499,29,FALSE),"")</f>
        <v/>
      </c>
      <c r="Q294" s="59" t="str">
        <f>IFERROR(VLOOKUP($A294,SortedDownload!$A$3:$BB$499,30,FALSE),"")</f>
        <v/>
      </c>
      <c r="R294" s="62" t="str">
        <f>IFERROR(TEXT(VLOOKUP($A294,SortedDownload!$A$3:$Z$499,14,FALSE),"[hh]:mm:ss.000"),"")</f>
        <v/>
      </c>
      <c r="S294" s="83" t="str">
        <f t="shared" si="14"/>
        <v>N/A</v>
      </c>
      <c r="T294" s="83" t="e">
        <f t="shared" si="12"/>
        <v>#VALUE!</v>
      </c>
      <c r="U294" s="9" t="str">
        <f t="shared" si="13"/>
        <v/>
      </c>
      <c r="V294" s="20" t="str">
        <f>IFERROR(IF(VLOOKUP(H294,AgeCategories!$D$3:$J$32,7,FALSE)=I294,"","DNF"),"")</f>
        <v/>
      </c>
    </row>
    <row r="295" spans="1:22">
      <c r="A295" s="53" t="str">
        <f>IF(SortedDownload!A295 &lt; 1,"",SortedDownload!A295)</f>
        <v/>
      </c>
      <c r="B295" s="55">
        <f>IF(V295&lt;&gt;"","DNF",COUNTIF($V$3:V295,V295))</f>
        <v>260</v>
      </c>
      <c r="C295" s="54" t="str">
        <f>IF(OR(B295="DNF",H295=""),"DNF",COUNTIF($H$3:H295,H295))</f>
        <v>DNF</v>
      </c>
      <c r="D295" s="90" t="str">
        <f>IFERROR(VLOOKUP($A295,EntryList!$A$3:$N$596,2,FALSE),"")</f>
        <v/>
      </c>
      <c r="E295" s="54" t="str">
        <f>IFERROR(VLOOKUP($A295,EntryList!$A$3:$V$596,19,FALSE),"")</f>
        <v/>
      </c>
      <c r="F295" s="176" t="str">
        <f>IFERROR(VLOOKUP($A295,EntryList!$A$3:$V$596,18,FALSE),"")</f>
        <v/>
      </c>
      <c r="H295" s="90" t="str">
        <f>IFERROR(VLOOKUP($A295,EntryList!$A$3:$N$596,7,FALSE),"")</f>
        <v/>
      </c>
      <c r="I295" s="54" t="str">
        <f>IFERROR(VLOOKUP($A295,SortedDownload!$A$3:$Z791,4,FALSE),"")</f>
        <v/>
      </c>
      <c r="J295" s="59" t="str">
        <f>IFERROR(VLOOKUP($A295,SortedDownload!$A$3:$BB$499,23,FALSE),"")</f>
        <v/>
      </c>
      <c r="K295" s="59" t="str">
        <f>IFERROR(VLOOKUP($A295,SortedDownload!$A$3:$BB$499,24,FALSE),"")</f>
        <v/>
      </c>
      <c r="L295" s="59" t="str">
        <f>IFERROR(VLOOKUP($A295,SortedDownload!$A$3:$BB$499,25,FALSE),"")</f>
        <v/>
      </c>
      <c r="M295" s="59" t="str">
        <f>IFERROR(VLOOKUP($A295,SortedDownload!$A$3:$BB$499,26,FALSE),"")</f>
        <v/>
      </c>
      <c r="N295" s="59" t="str">
        <f>IFERROR(VLOOKUP($A295,SortedDownload!$A$3:$BB$499,27,FALSE),"")</f>
        <v/>
      </c>
      <c r="O295" s="59" t="str">
        <f>IFERROR(VLOOKUP($A295,SortedDownload!$A$3:$BB$499,28,FALSE),"")</f>
        <v/>
      </c>
      <c r="P295" s="59" t="str">
        <f>IFERROR(VLOOKUP($A295,SortedDownload!$A$3:$BB$499,29,FALSE),"")</f>
        <v/>
      </c>
      <c r="Q295" s="59" t="str">
        <f>IFERROR(VLOOKUP($A295,SortedDownload!$A$3:$BB$499,30,FALSE),"")</f>
        <v/>
      </c>
      <c r="R295" s="62" t="str">
        <f>IFERROR(TEXT(VLOOKUP($A295,SortedDownload!$A$3:$Z$499,14,FALSE),"[hh]:mm:ss.000"),"")</f>
        <v/>
      </c>
      <c r="S295" s="83" t="str">
        <f t="shared" si="14"/>
        <v>N/A</v>
      </c>
      <c r="T295" s="83" t="e">
        <f t="shared" si="12"/>
        <v>#VALUE!</v>
      </c>
      <c r="U295" s="9" t="str">
        <f t="shared" si="13"/>
        <v/>
      </c>
      <c r="V295" s="20" t="str">
        <f>IFERROR(IF(VLOOKUP(H295,AgeCategories!$D$3:$J$32,7,FALSE)=I295,"","DNF"),"")</f>
        <v/>
      </c>
    </row>
    <row r="296" spans="1:22">
      <c r="A296" s="53" t="str">
        <f>IF(SortedDownload!A296 &lt; 1,"",SortedDownload!A296)</f>
        <v/>
      </c>
      <c r="B296" s="55">
        <f>IF(V296&lt;&gt;"","DNF",COUNTIF($V$3:V296,V296))</f>
        <v>261</v>
      </c>
      <c r="C296" s="54" t="str">
        <f>IF(OR(B296="DNF",H296=""),"DNF",COUNTIF($H$3:H296,H296))</f>
        <v>DNF</v>
      </c>
      <c r="D296" s="90" t="str">
        <f>IFERROR(VLOOKUP($A296,EntryList!$A$3:$N$596,2,FALSE),"")</f>
        <v/>
      </c>
      <c r="E296" s="54" t="str">
        <f>IFERROR(VLOOKUP($A296,EntryList!$A$3:$V$596,19,FALSE),"")</f>
        <v/>
      </c>
      <c r="F296" s="176" t="str">
        <f>IFERROR(VLOOKUP($A296,EntryList!$A$3:$V$596,18,FALSE),"")</f>
        <v/>
      </c>
      <c r="H296" s="90" t="str">
        <f>IFERROR(VLOOKUP($A296,EntryList!$A$3:$N$596,7,FALSE),"")</f>
        <v/>
      </c>
      <c r="I296" s="54" t="str">
        <f>IFERROR(VLOOKUP($A296,SortedDownload!$A$3:$Z792,4,FALSE),"")</f>
        <v/>
      </c>
      <c r="J296" s="59" t="str">
        <f>IFERROR(VLOOKUP($A296,SortedDownload!$A$3:$BB$499,23,FALSE),"")</f>
        <v/>
      </c>
      <c r="K296" s="59" t="str">
        <f>IFERROR(VLOOKUP($A296,SortedDownload!$A$3:$BB$499,24,FALSE),"")</f>
        <v/>
      </c>
      <c r="L296" s="59" t="str">
        <f>IFERROR(VLOOKUP($A296,SortedDownload!$A$3:$BB$499,25,FALSE),"")</f>
        <v/>
      </c>
      <c r="M296" s="59" t="str">
        <f>IFERROR(VLOOKUP($A296,SortedDownload!$A$3:$BB$499,26,FALSE),"")</f>
        <v/>
      </c>
      <c r="N296" s="59" t="str">
        <f>IFERROR(VLOOKUP($A296,SortedDownload!$A$3:$BB$499,27,FALSE),"")</f>
        <v/>
      </c>
      <c r="O296" s="59" t="str">
        <f>IFERROR(VLOOKUP($A296,SortedDownload!$A$3:$BB$499,28,FALSE),"")</f>
        <v/>
      </c>
      <c r="P296" s="59" t="str">
        <f>IFERROR(VLOOKUP($A296,SortedDownload!$A$3:$BB$499,29,FALSE),"")</f>
        <v/>
      </c>
      <c r="Q296" s="59" t="str">
        <f>IFERROR(VLOOKUP($A296,SortedDownload!$A$3:$BB$499,30,FALSE),"")</f>
        <v/>
      </c>
      <c r="R296" s="62" t="str">
        <f>IFERROR(TEXT(VLOOKUP($A296,SortedDownload!$A$3:$Z$499,14,FALSE),"[hh]:mm:ss.000"),"")</f>
        <v/>
      </c>
      <c r="S296" s="83" t="str">
        <f t="shared" si="14"/>
        <v>N/A</v>
      </c>
      <c r="T296" s="83" t="e">
        <f t="shared" si="12"/>
        <v>#VALUE!</v>
      </c>
      <c r="U296" s="9" t="str">
        <f t="shared" si="13"/>
        <v/>
      </c>
      <c r="V296" s="20" t="str">
        <f>IFERROR(IF(VLOOKUP(H296,AgeCategories!$D$3:$J$32,7,FALSE)=I296,"","DNF"),"")</f>
        <v/>
      </c>
    </row>
    <row r="297" spans="1:22">
      <c r="A297" s="53" t="str">
        <f>IF(SortedDownload!A297 &lt; 1,"",SortedDownload!A297)</f>
        <v/>
      </c>
      <c r="B297" s="55">
        <f>IF(V297&lt;&gt;"","DNF",COUNTIF($V$3:V297,V297))</f>
        <v>262</v>
      </c>
      <c r="C297" s="54" t="str">
        <f>IF(OR(B297="DNF",H297=""),"DNF",COUNTIF($H$3:H297,H297))</f>
        <v>DNF</v>
      </c>
      <c r="D297" s="90" t="str">
        <f>IFERROR(VLOOKUP($A297,EntryList!$A$3:$N$596,2,FALSE),"")</f>
        <v/>
      </c>
      <c r="E297" s="54" t="str">
        <f>IFERROR(VLOOKUP($A297,EntryList!$A$3:$V$596,19,FALSE),"")</f>
        <v/>
      </c>
      <c r="F297" s="176" t="str">
        <f>IFERROR(VLOOKUP($A297,EntryList!$A$3:$V$596,18,FALSE),"")</f>
        <v/>
      </c>
      <c r="H297" s="90" t="str">
        <f>IFERROR(VLOOKUP($A297,EntryList!$A$3:$N$596,7,FALSE),"")</f>
        <v/>
      </c>
      <c r="I297" s="54" t="str">
        <f>IFERROR(VLOOKUP($A297,SortedDownload!$A$3:$Z793,4,FALSE),"")</f>
        <v/>
      </c>
      <c r="J297" s="59" t="str">
        <f>IFERROR(VLOOKUP($A297,SortedDownload!$A$3:$BB$499,23,FALSE),"")</f>
        <v/>
      </c>
      <c r="K297" s="59" t="str">
        <f>IFERROR(VLOOKUP($A297,SortedDownload!$A$3:$BB$499,24,FALSE),"")</f>
        <v/>
      </c>
      <c r="L297" s="59" t="str">
        <f>IFERROR(VLOOKUP($A297,SortedDownload!$A$3:$BB$499,25,FALSE),"")</f>
        <v/>
      </c>
      <c r="M297" s="59" t="str">
        <f>IFERROR(VLOOKUP($A297,SortedDownload!$A$3:$BB$499,26,FALSE),"")</f>
        <v/>
      </c>
      <c r="N297" s="59" t="str">
        <f>IFERROR(VLOOKUP($A297,SortedDownload!$A$3:$BB$499,27,FALSE),"")</f>
        <v/>
      </c>
      <c r="O297" s="59" t="str">
        <f>IFERROR(VLOOKUP($A297,SortedDownload!$A$3:$BB$499,28,FALSE),"")</f>
        <v/>
      </c>
      <c r="P297" s="59" t="str">
        <f>IFERROR(VLOOKUP($A297,SortedDownload!$A$3:$BB$499,29,FALSE),"")</f>
        <v/>
      </c>
      <c r="Q297" s="59" t="str">
        <f>IFERROR(VLOOKUP($A297,SortedDownload!$A$3:$BB$499,30,FALSE),"")</f>
        <v/>
      </c>
      <c r="R297" s="62" t="str">
        <f>IFERROR(TEXT(VLOOKUP($A297,SortedDownload!$A$3:$Z$499,14,FALSE),"[hh]:mm:ss.000"),"")</f>
        <v/>
      </c>
      <c r="S297" s="83" t="str">
        <f t="shared" si="14"/>
        <v>N/A</v>
      </c>
      <c r="T297" s="83" t="e">
        <f t="shared" si="12"/>
        <v>#VALUE!</v>
      </c>
      <c r="U297" s="9" t="str">
        <f t="shared" si="13"/>
        <v/>
      </c>
      <c r="V297" s="20" t="str">
        <f>IFERROR(IF(VLOOKUP(H297,AgeCategories!$D$3:$J$32,7,FALSE)=I297,"","DNF"),"")</f>
        <v/>
      </c>
    </row>
    <row r="298" spans="1:22">
      <c r="A298" s="53" t="str">
        <f>IF(SortedDownload!A298 &lt; 1,"",SortedDownload!A298)</f>
        <v/>
      </c>
      <c r="B298" s="55">
        <f>IF(V298&lt;&gt;"","DNF",COUNTIF($V$3:V298,V298))</f>
        <v>263</v>
      </c>
      <c r="C298" s="54" t="str">
        <f>IF(OR(B298="DNF",H298=""),"DNF",COUNTIF($H$3:H298,H298))</f>
        <v>DNF</v>
      </c>
      <c r="D298" s="90" t="str">
        <f>IFERROR(VLOOKUP($A298,EntryList!$A$3:$N$596,2,FALSE),"")</f>
        <v/>
      </c>
      <c r="E298" s="54" t="str">
        <f>IFERROR(VLOOKUP($A298,EntryList!$A$3:$V$596,19,FALSE),"")</f>
        <v/>
      </c>
      <c r="F298" s="176" t="str">
        <f>IFERROR(VLOOKUP($A298,EntryList!$A$3:$V$596,18,FALSE),"")</f>
        <v/>
      </c>
      <c r="H298" s="90" t="str">
        <f>IFERROR(VLOOKUP($A298,EntryList!$A$3:$N$596,7,FALSE),"")</f>
        <v/>
      </c>
      <c r="I298" s="54" t="str">
        <f>IFERROR(VLOOKUP($A298,SortedDownload!$A$3:$Z794,4,FALSE),"")</f>
        <v/>
      </c>
      <c r="J298" s="59" t="str">
        <f>IFERROR(VLOOKUP($A298,SortedDownload!$A$3:$BB$499,23,FALSE),"")</f>
        <v/>
      </c>
      <c r="K298" s="59" t="str">
        <f>IFERROR(VLOOKUP($A298,SortedDownload!$A$3:$BB$499,24,FALSE),"")</f>
        <v/>
      </c>
      <c r="L298" s="59" t="str">
        <f>IFERROR(VLOOKUP($A298,SortedDownload!$A$3:$BB$499,25,FALSE),"")</f>
        <v/>
      </c>
      <c r="M298" s="59" t="str">
        <f>IFERROR(VLOOKUP($A298,SortedDownload!$A$3:$BB$499,26,FALSE),"")</f>
        <v/>
      </c>
      <c r="N298" s="59" t="str">
        <f>IFERROR(VLOOKUP($A298,SortedDownload!$A$3:$BB$499,27,FALSE),"")</f>
        <v/>
      </c>
      <c r="O298" s="59" t="str">
        <f>IFERROR(VLOOKUP($A298,SortedDownload!$A$3:$BB$499,28,FALSE),"")</f>
        <v/>
      </c>
      <c r="P298" s="59" t="str">
        <f>IFERROR(VLOOKUP($A298,SortedDownload!$A$3:$BB$499,29,FALSE),"")</f>
        <v/>
      </c>
      <c r="Q298" s="59" t="str">
        <f>IFERROR(VLOOKUP($A298,SortedDownload!$A$3:$BB$499,30,FALSE),"")</f>
        <v/>
      </c>
      <c r="R298" s="62" t="str">
        <f>IFERROR(TEXT(VLOOKUP($A298,SortedDownload!$A$3:$Z$499,14,FALSE),"[hh]:mm:ss.000"),"")</f>
        <v/>
      </c>
      <c r="S298" s="83" t="str">
        <f t="shared" si="14"/>
        <v>N/A</v>
      </c>
      <c r="T298" s="83" t="e">
        <f t="shared" si="12"/>
        <v>#VALUE!</v>
      </c>
      <c r="U298" s="9" t="str">
        <f t="shared" si="13"/>
        <v/>
      </c>
      <c r="V298" s="20" t="str">
        <f>IFERROR(IF(VLOOKUP(H298,AgeCategories!$D$3:$J$32,7,FALSE)=I298,"","DNF"),"")</f>
        <v/>
      </c>
    </row>
    <row r="299" spans="1:22">
      <c r="A299" s="53" t="str">
        <f>IF(SortedDownload!A299 &lt; 1,"",SortedDownload!A299)</f>
        <v/>
      </c>
      <c r="B299" s="55">
        <f>IF(V299&lt;&gt;"","DNF",COUNTIF($V$3:V299,V299))</f>
        <v>264</v>
      </c>
      <c r="C299" s="54" t="str">
        <f>IF(OR(B299="DNF",H299=""),"DNF",COUNTIF($H$3:H299,H299))</f>
        <v>DNF</v>
      </c>
      <c r="D299" s="90" t="str">
        <f>IFERROR(VLOOKUP($A299,EntryList!$A$3:$N$596,2,FALSE),"")</f>
        <v/>
      </c>
      <c r="E299" s="54" t="str">
        <f>IFERROR(VLOOKUP($A299,EntryList!$A$3:$V$596,19,FALSE),"")</f>
        <v/>
      </c>
      <c r="F299" s="176" t="str">
        <f>IFERROR(VLOOKUP($A299,EntryList!$A$3:$V$596,18,FALSE),"")</f>
        <v/>
      </c>
      <c r="H299" s="90" t="str">
        <f>IFERROR(VLOOKUP($A299,EntryList!$A$3:$N$596,7,FALSE),"")</f>
        <v/>
      </c>
      <c r="I299" s="54" t="str">
        <f>IFERROR(VLOOKUP($A299,SortedDownload!$A$3:$Z795,4,FALSE),"")</f>
        <v/>
      </c>
      <c r="J299" s="59" t="str">
        <f>IFERROR(VLOOKUP($A299,SortedDownload!$A$3:$BB$499,23,FALSE),"")</f>
        <v/>
      </c>
      <c r="K299" s="59" t="str">
        <f>IFERROR(VLOOKUP($A299,SortedDownload!$A$3:$BB$499,24,FALSE),"")</f>
        <v/>
      </c>
      <c r="L299" s="59" t="str">
        <f>IFERROR(VLOOKUP($A299,SortedDownload!$A$3:$BB$499,25,FALSE),"")</f>
        <v/>
      </c>
      <c r="M299" s="59" t="str">
        <f>IFERROR(VLOOKUP($A299,SortedDownload!$A$3:$BB$499,26,FALSE),"")</f>
        <v/>
      </c>
      <c r="N299" s="59" t="str">
        <f>IFERROR(VLOOKUP($A299,SortedDownload!$A$3:$BB$499,27,FALSE),"")</f>
        <v/>
      </c>
      <c r="O299" s="59" t="str">
        <f>IFERROR(VLOOKUP($A299,SortedDownload!$A$3:$BB$499,28,FALSE),"")</f>
        <v/>
      </c>
      <c r="P299" s="59" t="str">
        <f>IFERROR(VLOOKUP($A299,SortedDownload!$A$3:$BB$499,29,FALSE),"")</f>
        <v/>
      </c>
      <c r="Q299" s="59" t="str">
        <f>IFERROR(VLOOKUP($A299,SortedDownload!$A$3:$BB$499,30,FALSE),"")</f>
        <v/>
      </c>
      <c r="R299" s="62" t="str">
        <f>IFERROR(TEXT(VLOOKUP($A299,SortedDownload!$A$3:$Z$499,14,FALSE),"[hh]:mm:ss.000"),"")</f>
        <v/>
      </c>
      <c r="S299" s="83" t="str">
        <f t="shared" si="14"/>
        <v>N/A</v>
      </c>
      <c r="T299" s="83" t="e">
        <f t="shared" si="12"/>
        <v>#VALUE!</v>
      </c>
      <c r="U299" s="9" t="str">
        <f t="shared" si="13"/>
        <v/>
      </c>
      <c r="V299" s="20" t="str">
        <f>IFERROR(IF(VLOOKUP(H299,AgeCategories!$D$3:$J$32,7,FALSE)=I299,"","DNF"),"")</f>
        <v/>
      </c>
    </row>
    <row r="300" spans="1:22">
      <c r="A300" s="53" t="str">
        <f>IF(SortedDownload!A300 &lt; 1,"",SortedDownload!A300)</f>
        <v/>
      </c>
      <c r="B300" s="55">
        <f>IF(V300&lt;&gt;"","DNF",COUNTIF($V$3:V300,V300))</f>
        <v>265</v>
      </c>
      <c r="C300" s="54" t="str">
        <f>IF(OR(B300="DNF",H300=""),"DNF",COUNTIF($H$3:H300,H300))</f>
        <v>DNF</v>
      </c>
      <c r="D300" s="90" t="str">
        <f>IFERROR(VLOOKUP($A300,EntryList!$A$3:$N$596,2,FALSE),"")</f>
        <v/>
      </c>
      <c r="E300" s="54" t="str">
        <f>IFERROR(VLOOKUP($A300,EntryList!$A$3:$V$596,19,FALSE),"")</f>
        <v/>
      </c>
      <c r="F300" s="176" t="str">
        <f>IFERROR(VLOOKUP($A300,EntryList!$A$3:$V$596,18,FALSE),"")</f>
        <v/>
      </c>
      <c r="H300" s="90" t="str">
        <f>IFERROR(VLOOKUP($A300,EntryList!$A$3:$N$596,7,FALSE),"")</f>
        <v/>
      </c>
      <c r="I300" s="54" t="str">
        <f>IFERROR(VLOOKUP($A300,SortedDownload!$A$3:$Z796,4,FALSE),"")</f>
        <v/>
      </c>
      <c r="J300" s="59" t="str">
        <f>IFERROR(VLOOKUP($A300,SortedDownload!$A$3:$BB$499,23,FALSE),"")</f>
        <v/>
      </c>
      <c r="K300" s="59" t="str">
        <f>IFERROR(VLOOKUP($A300,SortedDownload!$A$3:$BB$499,24,FALSE),"")</f>
        <v/>
      </c>
      <c r="L300" s="59" t="str">
        <f>IFERROR(VLOOKUP($A300,SortedDownload!$A$3:$BB$499,25,FALSE),"")</f>
        <v/>
      </c>
      <c r="M300" s="59" t="str">
        <f>IFERROR(VLOOKUP($A300,SortedDownload!$A$3:$BB$499,26,FALSE),"")</f>
        <v/>
      </c>
      <c r="N300" s="59" t="str">
        <f>IFERROR(VLOOKUP($A300,SortedDownload!$A$3:$BB$499,27,FALSE),"")</f>
        <v/>
      </c>
      <c r="O300" s="59" t="str">
        <f>IFERROR(VLOOKUP($A300,SortedDownload!$A$3:$BB$499,28,FALSE),"")</f>
        <v/>
      </c>
      <c r="P300" s="59" t="str">
        <f>IFERROR(VLOOKUP($A300,SortedDownload!$A$3:$BB$499,29,FALSE),"")</f>
        <v/>
      </c>
      <c r="Q300" s="59" t="str">
        <f>IFERROR(VLOOKUP($A300,SortedDownload!$A$3:$BB$499,30,FALSE),"")</f>
        <v/>
      </c>
      <c r="R300" s="62" t="str">
        <f>IFERROR(TEXT(VLOOKUP($A300,SortedDownload!$A$3:$Z$499,14,FALSE),"[hh]:mm:ss.000"),"")</f>
        <v/>
      </c>
      <c r="S300" s="83" t="str">
        <f t="shared" si="14"/>
        <v>N/A</v>
      </c>
      <c r="T300" s="83" t="e">
        <f t="shared" si="12"/>
        <v>#VALUE!</v>
      </c>
      <c r="U300" s="9" t="str">
        <f t="shared" si="13"/>
        <v/>
      </c>
      <c r="V300" s="20" t="str">
        <f>IFERROR(IF(VLOOKUP(H300,AgeCategories!$D$3:$J$32,7,FALSE)=I300,"","DNF"),"")</f>
        <v/>
      </c>
    </row>
    <row r="301" spans="1:22">
      <c r="A301" s="53" t="str">
        <f>IF(SortedDownload!A301 &lt; 1,"",SortedDownload!A301)</f>
        <v/>
      </c>
      <c r="B301" s="55">
        <f>IF(V301&lt;&gt;"","DNF",COUNTIF($V$3:V301,V301))</f>
        <v>266</v>
      </c>
      <c r="C301" s="54" t="str">
        <f>IF(OR(B301="DNF",H301=""),"DNF",COUNTIF($H$3:H301,H301))</f>
        <v>DNF</v>
      </c>
      <c r="D301" s="90" t="str">
        <f>IFERROR(VLOOKUP($A301,EntryList!$A$3:$N$596,2,FALSE),"")</f>
        <v/>
      </c>
      <c r="E301" s="54" t="str">
        <f>IFERROR(VLOOKUP($A301,EntryList!$A$3:$V$596,19,FALSE),"")</f>
        <v/>
      </c>
      <c r="F301" s="176" t="str">
        <f>IFERROR(VLOOKUP($A301,EntryList!$A$3:$V$596,18,FALSE),"")</f>
        <v/>
      </c>
      <c r="H301" s="90" t="str">
        <f>IFERROR(VLOOKUP($A301,EntryList!$A$3:$N$596,7,FALSE),"")</f>
        <v/>
      </c>
      <c r="I301" s="54" t="str">
        <f>IFERROR(VLOOKUP($A301,SortedDownload!$A$3:$Z797,4,FALSE),"")</f>
        <v/>
      </c>
      <c r="J301" s="59" t="str">
        <f>IFERROR(VLOOKUP($A301,SortedDownload!$A$3:$BB$499,23,FALSE),"")</f>
        <v/>
      </c>
      <c r="K301" s="59" t="str">
        <f>IFERROR(VLOOKUP($A301,SortedDownload!$A$3:$BB$499,24,FALSE),"")</f>
        <v/>
      </c>
      <c r="L301" s="59" t="str">
        <f>IFERROR(VLOOKUP($A301,SortedDownload!$A$3:$BB$499,25,FALSE),"")</f>
        <v/>
      </c>
      <c r="M301" s="59" t="str">
        <f>IFERROR(VLOOKUP($A301,SortedDownload!$A$3:$BB$499,26,FALSE),"")</f>
        <v/>
      </c>
      <c r="N301" s="59" t="str">
        <f>IFERROR(VLOOKUP($A301,SortedDownload!$A$3:$BB$499,27,FALSE),"")</f>
        <v/>
      </c>
      <c r="O301" s="59" t="str">
        <f>IFERROR(VLOOKUP($A301,SortedDownload!$A$3:$BB$499,28,FALSE),"")</f>
        <v/>
      </c>
      <c r="P301" s="59" t="str">
        <f>IFERROR(VLOOKUP($A301,SortedDownload!$A$3:$BB$499,29,FALSE),"")</f>
        <v/>
      </c>
      <c r="Q301" s="59" t="str">
        <f>IFERROR(VLOOKUP($A301,SortedDownload!$A$3:$BB$499,30,FALSE),"")</f>
        <v/>
      </c>
      <c r="R301" s="62" t="str">
        <f>IFERROR(TEXT(VLOOKUP($A301,SortedDownload!$A$3:$Z$499,14,FALSE),"[hh]:mm:ss.000"),"")</f>
        <v/>
      </c>
      <c r="S301" s="83" t="str">
        <f t="shared" si="14"/>
        <v>N/A</v>
      </c>
      <c r="T301" s="83" t="e">
        <f t="shared" si="12"/>
        <v>#VALUE!</v>
      </c>
      <c r="U301" s="9" t="str">
        <f t="shared" si="13"/>
        <v/>
      </c>
      <c r="V301" s="20" t="str">
        <f>IFERROR(IF(VLOOKUP(H301,AgeCategories!$D$3:$J$32,7,FALSE)=I301,"","DNF"),"")</f>
        <v/>
      </c>
    </row>
    <row r="302" spans="1:22">
      <c r="A302" s="53" t="str">
        <f>IF(SortedDownload!A302 &lt; 1,"",SortedDownload!A302)</f>
        <v/>
      </c>
      <c r="B302" s="55">
        <f>IF(V302&lt;&gt;"","DNF",COUNTIF($V$3:V302,V302))</f>
        <v>267</v>
      </c>
      <c r="C302" s="54" t="str">
        <f>IF(OR(B302="DNF",H302=""),"DNF",COUNTIF($H$3:H302,H302))</f>
        <v>DNF</v>
      </c>
      <c r="D302" s="90" t="str">
        <f>IFERROR(VLOOKUP($A302,EntryList!$A$3:$N$596,2,FALSE),"")</f>
        <v/>
      </c>
      <c r="E302" s="54" t="str">
        <f>IFERROR(VLOOKUP($A302,EntryList!$A$3:$V$596,19,FALSE),"")</f>
        <v/>
      </c>
      <c r="F302" s="176" t="str">
        <f>IFERROR(VLOOKUP($A302,EntryList!$A$3:$V$596,18,FALSE),"")</f>
        <v/>
      </c>
      <c r="H302" s="90" t="str">
        <f>IFERROR(VLOOKUP($A302,EntryList!$A$3:$N$596,7,FALSE),"")</f>
        <v/>
      </c>
      <c r="I302" s="54" t="str">
        <f>IFERROR(VLOOKUP($A302,SortedDownload!$A$3:$Z798,4,FALSE),"")</f>
        <v/>
      </c>
      <c r="J302" s="59" t="str">
        <f>IFERROR(VLOOKUP($A302,SortedDownload!$A$3:$BB$499,23,FALSE),"")</f>
        <v/>
      </c>
      <c r="K302" s="59" t="str">
        <f>IFERROR(VLOOKUP($A302,SortedDownload!$A$3:$BB$499,24,FALSE),"")</f>
        <v/>
      </c>
      <c r="L302" s="59" t="str">
        <f>IFERROR(VLOOKUP($A302,SortedDownload!$A$3:$BB$499,25,FALSE),"")</f>
        <v/>
      </c>
      <c r="M302" s="59" t="str">
        <f>IFERROR(VLOOKUP($A302,SortedDownload!$A$3:$BB$499,26,FALSE),"")</f>
        <v/>
      </c>
      <c r="N302" s="59" t="str">
        <f>IFERROR(VLOOKUP($A302,SortedDownload!$A$3:$BB$499,27,FALSE),"")</f>
        <v/>
      </c>
      <c r="O302" s="59" t="str">
        <f>IFERROR(VLOOKUP($A302,SortedDownload!$A$3:$BB$499,28,FALSE),"")</f>
        <v/>
      </c>
      <c r="P302" s="59" t="str">
        <f>IFERROR(VLOOKUP($A302,SortedDownload!$A$3:$BB$499,29,FALSE),"")</f>
        <v/>
      </c>
      <c r="Q302" s="59" t="str">
        <f>IFERROR(VLOOKUP($A302,SortedDownload!$A$3:$BB$499,30,FALSE),"")</f>
        <v/>
      </c>
      <c r="R302" s="62" t="str">
        <f>IFERROR(TEXT(VLOOKUP($A302,SortedDownload!$A$3:$Z$499,14,FALSE),"[hh]:mm:ss.000"),"")</f>
        <v/>
      </c>
      <c r="S302" s="83" t="str">
        <f t="shared" si="14"/>
        <v>N/A</v>
      </c>
      <c r="T302" s="83" t="e">
        <f t="shared" si="12"/>
        <v>#VALUE!</v>
      </c>
      <c r="U302" s="9" t="str">
        <f t="shared" si="13"/>
        <v/>
      </c>
      <c r="V302" s="20" t="str">
        <f>IFERROR(IF(VLOOKUP(H302,AgeCategories!$D$3:$J$32,7,FALSE)=I302,"","DNF"),"")</f>
        <v/>
      </c>
    </row>
    <row r="303" spans="1:22">
      <c r="A303" s="53" t="str">
        <f>IF(SortedDownload!A303 &lt; 1,"",SortedDownload!A303)</f>
        <v/>
      </c>
      <c r="B303" s="55">
        <f>IF(V303&lt;&gt;"","DNF",COUNTIF($V$3:V303,V303))</f>
        <v>268</v>
      </c>
      <c r="C303" s="54" t="str">
        <f>IF(OR(B303="DNF",H303=""),"DNF",COUNTIF($H$3:H303,H303))</f>
        <v>DNF</v>
      </c>
      <c r="D303" s="90" t="str">
        <f>IFERROR(VLOOKUP($A303,EntryList!$A$3:$N$596,2,FALSE),"")</f>
        <v/>
      </c>
      <c r="E303" s="54" t="str">
        <f>IFERROR(VLOOKUP($A303,EntryList!$A$3:$V$596,19,FALSE),"")</f>
        <v/>
      </c>
      <c r="F303" s="176" t="str">
        <f>IFERROR(VLOOKUP($A303,EntryList!$A$3:$V$596,18,FALSE),"")</f>
        <v/>
      </c>
      <c r="H303" s="90" t="str">
        <f>IFERROR(VLOOKUP($A303,EntryList!$A$3:$N$596,7,FALSE),"")</f>
        <v/>
      </c>
      <c r="I303" s="54" t="str">
        <f>IFERROR(VLOOKUP($A303,SortedDownload!$A$3:$Z799,4,FALSE),"")</f>
        <v/>
      </c>
      <c r="J303" s="59" t="str">
        <f>IFERROR(VLOOKUP($A303,SortedDownload!$A$3:$BB$499,23,FALSE),"")</f>
        <v/>
      </c>
      <c r="K303" s="59" t="str">
        <f>IFERROR(VLOOKUP($A303,SortedDownload!$A$3:$BB$499,24,FALSE),"")</f>
        <v/>
      </c>
      <c r="L303" s="59" t="str">
        <f>IFERROR(VLOOKUP($A303,SortedDownload!$A$3:$BB$499,25,FALSE),"")</f>
        <v/>
      </c>
      <c r="M303" s="59" t="str">
        <f>IFERROR(VLOOKUP($A303,SortedDownload!$A$3:$BB$499,26,FALSE),"")</f>
        <v/>
      </c>
      <c r="N303" s="59" t="str">
        <f>IFERROR(VLOOKUP($A303,SortedDownload!$A$3:$BB$499,27,FALSE),"")</f>
        <v/>
      </c>
      <c r="O303" s="59" t="str">
        <f>IFERROR(VLOOKUP($A303,SortedDownload!$A$3:$BB$499,28,FALSE),"")</f>
        <v/>
      </c>
      <c r="P303" s="59" t="str">
        <f>IFERROR(VLOOKUP($A303,SortedDownload!$A$3:$BB$499,29,FALSE),"")</f>
        <v/>
      </c>
      <c r="Q303" s="59" t="str">
        <f>IFERROR(VLOOKUP($A303,SortedDownload!$A$3:$BB$499,30,FALSE),"")</f>
        <v/>
      </c>
      <c r="R303" s="62" t="str">
        <f>IFERROR(TEXT(VLOOKUP($A303,SortedDownload!$A$3:$Z$499,14,FALSE),"[hh]:mm:ss.000"),"")</f>
        <v/>
      </c>
      <c r="S303" s="83" t="str">
        <f t="shared" si="14"/>
        <v>N/A</v>
      </c>
      <c r="T303" s="83" t="e">
        <f t="shared" si="12"/>
        <v>#VALUE!</v>
      </c>
      <c r="U303" s="9" t="str">
        <f t="shared" si="13"/>
        <v/>
      </c>
      <c r="V303" s="20" t="str">
        <f>IFERROR(IF(VLOOKUP(H303,AgeCategories!$D$3:$J$32,7,FALSE)=I303,"","DNF"),"")</f>
        <v/>
      </c>
    </row>
    <row r="304" spans="1:22">
      <c r="A304" s="53" t="str">
        <f>IF(SortedDownload!A304 &lt; 1,"",SortedDownload!A304)</f>
        <v/>
      </c>
      <c r="B304" s="55">
        <f>IF(V304&lt;&gt;"","DNF",COUNTIF($V$3:V304,V304))</f>
        <v>269</v>
      </c>
      <c r="C304" s="54" t="str">
        <f>IF(OR(B304="DNF",H304=""),"DNF",COUNTIF($H$3:H304,H304))</f>
        <v>DNF</v>
      </c>
      <c r="D304" s="90" t="str">
        <f>IFERROR(VLOOKUP($A304,EntryList!$A$3:$N$596,2,FALSE),"")</f>
        <v/>
      </c>
      <c r="E304" s="54" t="str">
        <f>IFERROR(VLOOKUP($A304,EntryList!$A$3:$V$596,19,FALSE),"")</f>
        <v/>
      </c>
      <c r="F304" s="176" t="str">
        <f>IFERROR(VLOOKUP($A304,EntryList!$A$3:$V$596,18,FALSE),"")</f>
        <v/>
      </c>
      <c r="H304" s="90" t="str">
        <f>IFERROR(VLOOKUP($A304,EntryList!$A$3:$N$596,7,FALSE),"")</f>
        <v/>
      </c>
      <c r="I304" s="54" t="str">
        <f>IFERROR(VLOOKUP($A304,SortedDownload!$A$3:$Z800,4,FALSE),"")</f>
        <v/>
      </c>
      <c r="J304" s="59" t="str">
        <f>IFERROR(VLOOKUP($A304,SortedDownload!$A$3:$BB$499,23,FALSE),"")</f>
        <v/>
      </c>
      <c r="K304" s="59" t="str">
        <f>IFERROR(VLOOKUP($A304,SortedDownload!$A$3:$BB$499,24,FALSE),"")</f>
        <v/>
      </c>
      <c r="L304" s="59" t="str">
        <f>IFERROR(VLOOKUP($A304,SortedDownload!$A$3:$BB$499,25,FALSE),"")</f>
        <v/>
      </c>
      <c r="M304" s="59" t="str">
        <f>IFERROR(VLOOKUP($A304,SortedDownload!$A$3:$BB$499,26,FALSE),"")</f>
        <v/>
      </c>
      <c r="N304" s="59" t="str">
        <f>IFERROR(VLOOKUP($A304,SortedDownload!$A$3:$BB$499,27,FALSE),"")</f>
        <v/>
      </c>
      <c r="O304" s="59" t="str">
        <f>IFERROR(VLOOKUP($A304,SortedDownload!$A$3:$BB$499,28,FALSE),"")</f>
        <v/>
      </c>
      <c r="P304" s="59" t="str">
        <f>IFERROR(VLOOKUP($A304,SortedDownload!$A$3:$BB$499,29,FALSE),"")</f>
        <v/>
      </c>
      <c r="Q304" s="59" t="str">
        <f>IFERROR(VLOOKUP($A304,SortedDownload!$A$3:$BB$499,30,FALSE),"")</f>
        <v/>
      </c>
      <c r="R304" s="62" t="str">
        <f>IFERROR(TEXT(VLOOKUP($A304,SortedDownload!$A$3:$Z$499,14,FALSE),"[hh]:mm:ss.000"),"")</f>
        <v/>
      </c>
      <c r="S304" s="83" t="str">
        <f t="shared" si="14"/>
        <v>N/A</v>
      </c>
      <c r="T304" s="83" t="e">
        <f t="shared" si="12"/>
        <v>#VALUE!</v>
      </c>
      <c r="U304" s="9" t="str">
        <f t="shared" si="13"/>
        <v/>
      </c>
      <c r="V304" s="20" t="str">
        <f>IFERROR(IF(VLOOKUP(H304,AgeCategories!$D$3:$J$32,7,FALSE)=I304,"","DNF"),"")</f>
        <v/>
      </c>
    </row>
    <row r="305" spans="1:22">
      <c r="A305" s="53" t="str">
        <f>IF(SortedDownload!A305 &lt; 1,"",SortedDownload!A305)</f>
        <v/>
      </c>
      <c r="B305" s="55">
        <f>IF(V305&lt;&gt;"","DNF",COUNTIF($V$3:V305,V305))</f>
        <v>270</v>
      </c>
      <c r="C305" s="54" t="str">
        <f>IF(OR(B305="DNF",H305=""),"DNF",COUNTIF($H$3:H305,H305))</f>
        <v>DNF</v>
      </c>
      <c r="D305" s="90" t="str">
        <f>IFERROR(VLOOKUP($A305,EntryList!$A$3:$N$596,2,FALSE),"")</f>
        <v/>
      </c>
      <c r="E305" s="54" t="str">
        <f>IFERROR(VLOOKUP($A305,EntryList!$A$3:$V$596,19,FALSE),"")</f>
        <v/>
      </c>
      <c r="F305" s="176" t="str">
        <f>IFERROR(VLOOKUP($A305,EntryList!$A$3:$V$596,18,FALSE),"")</f>
        <v/>
      </c>
      <c r="H305" s="90" t="str">
        <f>IFERROR(VLOOKUP($A305,EntryList!$A$3:$N$596,7,FALSE),"")</f>
        <v/>
      </c>
      <c r="I305" s="54" t="str">
        <f>IFERROR(VLOOKUP($A305,SortedDownload!$A$3:$Z801,4,FALSE),"")</f>
        <v/>
      </c>
      <c r="J305" s="59" t="str">
        <f>IFERROR(VLOOKUP($A305,SortedDownload!$A$3:$BB$499,23,FALSE),"")</f>
        <v/>
      </c>
      <c r="K305" s="59" t="str">
        <f>IFERROR(VLOOKUP($A305,SortedDownload!$A$3:$BB$499,24,FALSE),"")</f>
        <v/>
      </c>
      <c r="L305" s="59" t="str">
        <f>IFERROR(VLOOKUP($A305,SortedDownload!$A$3:$BB$499,25,FALSE),"")</f>
        <v/>
      </c>
      <c r="M305" s="59" t="str">
        <f>IFERROR(VLOOKUP($A305,SortedDownload!$A$3:$BB$499,26,FALSE),"")</f>
        <v/>
      </c>
      <c r="N305" s="59" t="str">
        <f>IFERROR(VLOOKUP($A305,SortedDownload!$A$3:$BB$499,27,FALSE),"")</f>
        <v/>
      </c>
      <c r="O305" s="59" t="str">
        <f>IFERROR(VLOOKUP($A305,SortedDownload!$A$3:$BB$499,28,FALSE),"")</f>
        <v/>
      </c>
      <c r="P305" s="59" t="str">
        <f>IFERROR(VLOOKUP($A305,SortedDownload!$A$3:$BB$499,29,FALSE),"")</f>
        <v/>
      </c>
      <c r="Q305" s="59" t="str">
        <f>IFERROR(VLOOKUP($A305,SortedDownload!$A$3:$BB$499,30,FALSE),"")</f>
        <v/>
      </c>
      <c r="R305" s="62" t="str">
        <f>IFERROR(TEXT(VLOOKUP($A305,SortedDownload!$A$3:$Z$499,14,FALSE),"[hh]:mm:ss.000"),"")</f>
        <v/>
      </c>
      <c r="S305" s="83" t="str">
        <f t="shared" si="14"/>
        <v>N/A</v>
      </c>
      <c r="T305" s="83" t="e">
        <f t="shared" si="12"/>
        <v>#VALUE!</v>
      </c>
      <c r="U305" s="9" t="str">
        <f t="shared" si="13"/>
        <v/>
      </c>
      <c r="V305" s="20" t="str">
        <f>IFERROR(IF(VLOOKUP(H305,AgeCategories!$D$3:$J$32,7,FALSE)=I305,"","DNF"),"")</f>
        <v/>
      </c>
    </row>
    <row r="306" spans="1:22">
      <c r="A306" s="53" t="str">
        <f>IF(SortedDownload!A306 &lt; 1,"",SortedDownload!A306)</f>
        <v/>
      </c>
      <c r="B306" s="55">
        <f>IF(V306&lt;&gt;"","DNF",COUNTIF($V$3:V306,V306))</f>
        <v>271</v>
      </c>
      <c r="C306" s="54" t="str">
        <f>IF(OR(B306="DNF",H306=""),"DNF",COUNTIF($H$3:H306,H306))</f>
        <v>DNF</v>
      </c>
      <c r="D306" s="90" t="str">
        <f>IFERROR(VLOOKUP($A306,EntryList!$A$3:$N$596,2,FALSE),"")</f>
        <v/>
      </c>
      <c r="E306" s="54" t="str">
        <f>IFERROR(VLOOKUP($A306,EntryList!$A$3:$V$596,19,FALSE),"")</f>
        <v/>
      </c>
      <c r="F306" s="176" t="str">
        <f>IFERROR(VLOOKUP($A306,EntryList!$A$3:$V$596,18,FALSE),"")</f>
        <v/>
      </c>
      <c r="H306" s="90" t="str">
        <f>IFERROR(VLOOKUP($A306,EntryList!$A$3:$N$596,7,FALSE),"")</f>
        <v/>
      </c>
      <c r="I306" s="54" t="str">
        <f>IFERROR(VLOOKUP($A306,SortedDownload!$A$3:$Z802,4,FALSE),"")</f>
        <v/>
      </c>
      <c r="J306" s="59" t="str">
        <f>IFERROR(VLOOKUP($A306,SortedDownload!$A$3:$BB$499,23,FALSE),"")</f>
        <v/>
      </c>
      <c r="K306" s="59" t="str">
        <f>IFERROR(VLOOKUP($A306,SortedDownload!$A$3:$BB$499,24,FALSE),"")</f>
        <v/>
      </c>
      <c r="L306" s="59" t="str">
        <f>IFERROR(VLOOKUP($A306,SortedDownload!$A$3:$BB$499,25,FALSE),"")</f>
        <v/>
      </c>
      <c r="M306" s="59" t="str">
        <f>IFERROR(VLOOKUP($A306,SortedDownload!$A$3:$BB$499,26,FALSE),"")</f>
        <v/>
      </c>
      <c r="N306" s="59" t="str">
        <f>IFERROR(VLOOKUP($A306,SortedDownload!$A$3:$BB$499,27,FALSE),"")</f>
        <v/>
      </c>
      <c r="O306" s="59" t="str">
        <f>IFERROR(VLOOKUP($A306,SortedDownload!$A$3:$BB$499,28,FALSE),"")</f>
        <v/>
      </c>
      <c r="P306" s="59" t="str">
        <f>IFERROR(VLOOKUP($A306,SortedDownload!$A$3:$BB$499,29,FALSE),"")</f>
        <v/>
      </c>
      <c r="Q306" s="59" t="str">
        <f>IFERROR(VLOOKUP($A306,SortedDownload!$A$3:$BB$499,30,FALSE),"")</f>
        <v/>
      </c>
      <c r="R306" s="62" t="str">
        <f>IFERROR(TEXT(VLOOKUP($A306,SortedDownload!$A$3:$Z$499,14,FALSE),"[hh]:mm:ss.000"),"")</f>
        <v/>
      </c>
      <c r="S306" s="83" t="str">
        <f t="shared" si="14"/>
        <v>N/A</v>
      </c>
      <c r="T306" s="83" t="e">
        <f t="shared" si="12"/>
        <v>#VALUE!</v>
      </c>
      <c r="U306" s="9" t="str">
        <f t="shared" si="13"/>
        <v/>
      </c>
      <c r="V306" s="20" t="str">
        <f>IFERROR(IF(VLOOKUP(H306,AgeCategories!$D$3:$J$32,7,FALSE)=I306,"","DNF"),"")</f>
        <v/>
      </c>
    </row>
    <row r="307" spans="1:22">
      <c r="A307" s="53" t="str">
        <f>IF(SortedDownload!A307 &lt; 1,"",SortedDownload!A307)</f>
        <v/>
      </c>
      <c r="B307" s="55">
        <f>IF(V307&lt;&gt;"","DNF",COUNTIF($V$3:V307,V307))</f>
        <v>272</v>
      </c>
      <c r="C307" s="54" t="str">
        <f>IF(OR(B307="DNF",H307=""),"DNF",COUNTIF($H$3:H307,H307))</f>
        <v>DNF</v>
      </c>
      <c r="D307" s="90" t="str">
        <f>IFERROR(VLOOKUP($A307,EntryList!$A$3:$N$596,2,FALSE),"")</f>
        <v/>
      </c>
      <c r="E307" s="54" t="str">
        <f>IFERROR(VLOOKUP($A307,EntryList!$A$3:$V$596,19,FALSE),"")</f>
        <v/>
      </c>
      <c r="F307" s="176" t="str">
        <f>IFERROR(VLOOKUP($A307,EntryList!$A$3:$V$596,18,FALSE),"")</f>
        <v/>
      </c>
      <c r="H307" s="90" t="str">
        <f>IFERROR(VLOOKUP($A307,EntryList!$A$3:$N$596,7,FALSE),"")</f>
        <v/>
      </c>
      <c r="I307" s="54" t="str">
        <f>IFERROR(VLOOKUP($A307,SortedDownload!$A$3:$Z803,4,FALSE),"")</f>
        <v/>
      </c>
      <c r="J307" s="59" t="str">
        <f>IFERROR(VLOOKUP($A307,SortedDownload!$A$3:$BB$499,23,FALSE),"")</f>
        <v/>
      </c>
      <c r="K307" s="59" t="str">
        <f>IFERROR(VLOOKUP($A307,SortedDownload!$A$3:$BB$499,24,FALSE),"")</f>
        <v/>
      </c>
      <c r="L307" s="59" t="str">
        <f>IFERROR(VLOOKUP($A307,SortedDownload!$A$3:$BB$499,25,FALSE),"")</f>
        <v/>
      </c>
      <c r="M307" s="59" t="str">
        <f>IFERROR(VLOOKUP($A307,SortedDownload!$A$3:$BB$499,26,FALSE),"")</f>
        <v/>
      </c>
      <c r="N307" s="59" t="str">
        <f>IFERROR(VLOOKUP($A307,SortedDownload!$A$3:$BB$499,27,FALSE),"")</f>
        <v/>
      </c>
      <c r="O307" s="59" t="str">
        <f>IFERROR(VLOOKUP($A307,SortedDownload!$A$3:$BB$499,28,FALSE),"")</f>
        <v/>
      </c>
      <c r="P307" s="59" t="str">
        <f>IFERROR(VLOOKUP($A307,SortedDownload!$A$3:$BB$499,29,FALSE),"")</f>
        <v/>
      </c>
      <c r="Q307" s="59" t="str">
        <f>IFERROR(VLOOKUP($A307,SortedDownload!$A$3:$BB$499,30,FALSE),"")</f>
        <v/>
      </c>
      <c r="R307" s="62" t="str">
        <f>IFERROR(TEXT(VLOOKUP($A307,SortedDownload!$A$3:$Z$499,14,FALSE),"[hh]:mm:ss.000"),"")</f>
        <v/>
      </c>
      <c r="S307" s="83" t="str">
        <f t="shared" si="14"/>
        <v>N/A</v>
      </c>
      <c r="T307" s="83" t="e">
        <f t="shared" si="12"/>
        <v>#VALUE!</v>
      </c>
      <c r="U307" s="9" t="str">
        <f t="shared" si="13"/>
        <v/>
      </c>
      <c r="V307" s="20" t="str">
        <f>IFERROR(IF(VLOOKUP(H307,AgeCategories!$D$3:$J$32,7,FALSE)=I307,"","DNF"),"")</f>
        <v/>
      </c>
    </row>
    <row r="308" spans="1:22">
      <c r="A308" s="53" t="str">
        <f>IF(SortedDownload!A308 &lt; 1,"",SortedDownload!A308)</f>
        <v/>
      </c>
      <c r="B308" s="55">
        <f>IF(V308&lt;&gt;"","DNF",COUNTIF($V$3:V308,V308))</f>
        <v>273</v>
      </c>
      <c r="C308" s="54" t="str">
        <f>IF(OR(B308="DNF",H308=""),"DNF",COUNTIF($H$3:H308,H308))</f>
        <v>DNF</v>
      </c>
      <c r="D308" s="90" t="str">
        <f>IFERROR(VLOOKUP($A308,EntryList!$A$3:$N$596,2,FALSE),"")</f>
        <v/>
      </c>
      <c r="E308" s="54" t="str">
        <f>IFERROR(VLOOKUP($A308,EntryList!$A$3:$V$596,19,FALSE),"")</f>
        <v/>
      </c>
      <c r="F308" s="176" t="str">
        <f>IFERROR(VLOOKUP($A308,EntryList!$A$3:$V$596,18,FALSE),"")</f>
        <v/>
      </c>
      <c r="H308" s="90" t="str">
        <f>IFERROR(VLOOKUP($A308,EntryList!$A$3:$N$596,7,FALSE),"")</f>
        <v/>
      </c>
      <c r="I308" s="54" t="str">
        <f>IFERROR(VLOOKUP($A308,SortedDownload!$A$3:$Z804,4,FALSE),"")</f>
        <v/>
      </c>
      <c r="J308" s="59" t="str">
        <f>IFERROR(VLOOKUP($A308,SortedDownload!$A$3:$BB$499,23,FALSE),"")</f>
        <v/>
      </c>
      <c r="K308" s="59" t="str">
        <f>IFERROR(VLOOKUP($A308,SortedDownload!$A$3:$BB$499,24,FALSE),"")</f>
        <v/>
      </c>
      <c r="L308" s="59" t="str">
        <f>IFERROR(VLOOKUP($A308,SortedDownload!$A$3:$BB$499,25,FALSE),"")</f>
        <v/>
      </c>
      <c r="M308" s="59" t="str">
        <f>IFERROR(VLOOKUP($A308,SortedDownload!$A$3:$BB$499,26,FALSE),"")</f>
        <v/>
      </c>
      <c r="N308" s="59" t="str">
        <f>IFERROR(VLOOKUP($A308,SortedDownload!$A$3:$BB$499,27,FALSE),"")</f>
        <v/>
      </c>
      <c r="O308" s="59" t="str">
        <f>IFERROR(VLOOKUP($A308,SortedDownload!$A$3:$BB$499,28,FALSE),"")</f>
        <v/>
      </c>
      <c r="P308" s="59" t="str">
        <f>IFERROR(VLOOKUP($A308,SortedDownload!$A$3:$BB$499,29,FALSE),"")</f>
        <v/>
      </c>
      <c r="Q308" s="59" t="str">
        <f>IFERROR(VLOOKUP($A308,SortedDownload!$A$3:$BB$499,30,FALSE),"")</f>
        <v/>
      </c>
      <c r="R308" s="62" t="str">
        <f>IFERROR(TEXT(VLOOKUP($A308,SortedDownload!$A$3:$Z$499,14,FALSE),"[hh]:mm:ss.000"),"")</f>
        <v/>
      </c>
      <c r="S308" s="83" t="str">
        <f t="shared" si="14"/>
        <v>N/A</v>
      </c>
      <c r="T308" s="83" t="e">
        <f t="shared" si="12"/>
        <v>#VALUE!</v>
      </c>
      <c r="U308" s="9" t="str">
        <f t="shared" si="13"/>
        <v/>
      </c>
      <c r="V308" s="20" t="str">
        <f>IFERROR(IF(VLOOKUP(H308,AgeCategories!$D$3:$J$32,7,FALSE)=I308,"","DNF"),"")</f>
        <v/>
      </c>
    </row>
    <row r="309" spans="1:22">
      <c r="A309" s="53" t="str">
        <f>IF(SortedDownload!A309 &lt; 1,"",SortedDownload!A309)</f>
        <v/>
      </c>
      <c r="B309" s="55">
        <f>IF(V309&lt;&gt;"","DNF",COUNTIF($V$3:V309,V309))</f>
        <v>274</v>
      </c>
      <c r="C309" s="54" t="str">
        <f>IF(OR(B309="DNF",H309=""),"DNF",COUNTIF($H$3:H309,H309))</f>
        <v>DNF</v>
      </c>
      <c r="D309" s="90" t="str">
        <f>IFERROR(VLOOKUP($A309,EntryList!$A$3:$N$596,2,FALSE),"")</f>
        <v/>
      </c>
      <c r="E309" s="54" t="str">
        <f>IFERROR(VLOOKUP($A309,EntryList!$A$3:$V$596,19,FALSE),"")</f>
        <v/>
      </c>
      <c r="F309" s="176" t="str">
        <f>IFERROR(VLOOKUP($A309,EntryList!$A$3:$V$596,18,FALSE),"")</f>
        <v/>
      </c>
      <c r="H309" s="90" t="str">
        <f>IFERROR(VLOOKUP($A309,EntryList!$A$3:$N$596,7,FALSE),"")</f>
        <v/>
      </c>
      <c r="I309" s="54" t="str">
        <f>IFERROR(VLOOKUP($A309,SortedDownload!$A$3:$Z805,4,FALSE),"")</f>
        <v/>
      </c>
      <c r="J309" s="59" t="str">
        <f>IFERROR(VLOOKUP($A309,SortedDownload!$A$3:$BB$499,23,FALSE),"")</f>
        <v/>
      </c>
      <c r="K309" s="59" t="str">
        <f>IFERROR(VLOOKUP($A309,SortedDownload!$A$3:$BB$499,24,FALSE),"")</f>
        <v/>
      </c>
      <c r="L309" s="59" t="str">
        <f>IFERROR(VLOOKUP($A309,SortedDownload!$A$3:$BB$499,25,FALSE),"")</f>
        <v/>
      </c>
      <c r="M309" s="59" t="str">
        <f>IFERROR(VLOOKUP($A309,SortedDownload!$A$3:$BB$499,26,FALSE),"")</f>
        <v/>
      </c>
      <c r="N309" s="59" t="str">
        <f>IFERROR(VLOOKUP($A309,SortedDownload!$A$3:$BB$499,27,FALSE),"")</f>
        <v/>
      </c>
      <c r="O309" s="59" t="str">
        <f>IFERROR(VLOOKUP($A309,SortedDownload!$A$3:$BB$499,28,FALSE),"")</f>
        <v/>
      </c>
      <c r="P309" s="59" t="str">
        <f>IFERROR(VLOOKUP($A309,SortedDownload!$A$3:$BB$499,29,FALSE),"")</f>
        <v/>
      </c>
      <c r="Q309" s="59" t="str">
        <f>IFERROR(VLOOKUP($A309,SortedDownload!$A$3:$BB$499,30,FALSE),"")</f>
        <v/>
      </c>
      <c r="R309" s="62" t="str">
        <f>IFERROR(TEXT(VLOOKUP($A309,SortedDownload!$A$3:$Z$499,14,FALSE),"[hh]:mm:ss.000"),"")</f>
        <v/>
      </c>
      <c r="S309" s="83" t="str">
        <f t="shared" si="14"/>
        <v>N/A</v>
      </c>
      <c r="T309" s="83" t="e">
        <f t="shared" si="12"/>
        <v>#VALUE!</v>
      </c>
      <c r="U309" s="9" t="str">
        <f t="shared" si="13"/>
        <v/>
      </c>
      <c r="V309" s="20" t="str">
        <f>IFERROR(IF(VLOOKUP(H309,AgeCategories!$D$3:$J$32,7,FALSE)=I309,"","DNF"),"")</f>
        <v/>
      </c>
    </row>
    <row r="310" spans="1:22">
      <c r="A310" s="53" t="str">
        <f>IF(SortedDownload!A310 &lt; 1,"",SortedDownload!A310)</f>
        <v/>
      </c>
      <c r="B310" s="55">
        <f>IF(V310&lt;&gt;"","DNF",COUNTIF($V$3:V310,V310))</f>
        <v>275</v>
      </c>
      <c r="C310" s="54" t="str">
        <f>IF(OR(B310="DNF",H310=""),"DNF",COUNTIF($H$3:H310,H310))</f>
        <v>DNF</v>
      </c>
      <c r="D310" s="90" t="str">
        <f>IFERROR(VLOOKUP($A310,EntryList!$A$3:$N$596,2,FALSE),"")</f>
        <v/>
      </c>
      <c r="E310" s="54" t="str">
        <f>IFERROR(VLOOKUP($A310,EntryList!$A$3:$V$596,19,FALSE),"")</f>
        <v/>
      </c>
      <c r="F310" s="176" t="str">
        <f>IFERROR(VLOOKUP($A310,EntryList!$A$3:$V$596,18,FALSE),"")</f>
        <v/>
      </c>
      <c r="H310" s="90" t="str">
        <f>IFERROR(VLOOKUP($A310,EntryList!$A$3:$N$596,7,FALSE),"")</f>
        <v/>
      </c>
      <c r="I310" s="54" t="str">
        <f>IFERROR(VLOOKUP($A310,SortedDownload!$A$3:$Z806,4,FALSE),"")</f>
        <v/>
      </c>
      <c r="J310" s="59" t="str">
        <f>IFERROR(VLOOKUP($A310,SortedDownload!$A$3:$BB$499,23,FALSE),"")</f>
        <v/>
      </c>
      <c r="K310" s="59" t="str">
        <f>IFERROR(VLOOKUP($A310,SortedDownload!$A$3:$BB$499,24,FALSE),"")</f>
        <v/>
      </c>
      <c r="L310" s="59" t="str">
        <f>IFERROR(VLOOKUP($A310,SortedDownload!$A$3:$BB$499,25,FALSE),"")</f>
        <v/>
      </c>
      <c r="M310" s="59" t="str">
        <f>IFERROR(VLOOKUP($A310,SortedDownload!$A$3:$BB$499,26,FALSE),"")</f>
        <v/>
      </c>
      <c r="N310" s="59" t="str">
        <f>IFERROR(VLOOKUP($A310,SortedDownload!$A$3:$BB$499,27,FALSE),"")</f>
        <v/>
      </c>
      <c r="O310" s="59" t="str">
        <f>IFERROR(VLOOKUP($A310,SortedDownload!$A$3:$BB$499,28,FALSE),"")</f>
        <v/>
      </c>
      <c r="P310" s="59" t="str">
        <f>IFERROR(VLOOKUP($A310,SortedDownload!$A$3:$BB$499,29,FALSE),"")</f>
        <v/>
      </c>
      <c r="Q310" s="59" t="str">
        <f>IFERROR(VLOOKUP($A310,SortedDownload!$A$3:$BB$499,30,FALSE),"")</f>
        <v/>
      </c>
      <c r="R310" s="62" t="str">
        <f>IFERROR(TEXT(VLOOKUP($A310,SortedDownload!$A$3:$Z$499,14,FALSE),"[hh]:mm:ss.000"),"")</f>
        <v/>
      </c>
      <c r="S310" s="83" t="str">
        <f t="shared" si="14"/>
        <v>N/A</v>
      </c>
      <c r="T310" s="83" t="e">
        <f t="shared" si="12"/>
        <v>#VALUE!</v>
      </c>
      <c r="U310" s="9" t="str">
        <f t="shared" si="13"/>
        <v/>
      </c>
      <c r="V310" s="20" t="str">
        <f>IFERROR(IF(VLOOKUP(H310,AgeCategories!$D$3:$J$32,7,FALSE)=I310,"","DNF"),"")</f>
        <v/>
      </c>
    </row>
    <row r="311" spans="1:22">
      <c r="A311" s="53" t="str">
        <f>IF(SortedDownload!A311 &lt; 1,"",SortedDownload!A311)</f>
        <v/>
      </c>
      <c r="B311" s="55">
        <f>IF(V311&lt;&gt;"","DNF",COUNTIF($V$3:V311,V311))</f>
        <v>276</v>
      </c>
      <c r="C311" s="54" t="str">
        <f>IF(OR(B311="DNF",H311=""),"DNF",COUNTIF($H$3:H311,H311))</f>
        <v>DNF</v>
      </c>
      <c r="D311" s="90" t="str">
        <f>IFERROR(VLOOKUP($A311,EntryList!$A$3:$N$596,2,FALSE),"")</f>
        <v/>
      </c>
      <c r="E311" s="54" t="str">
        <f>IFERROR(VLOOKUP($A311,EntryList!$A$3:$V$596,19,FALSE),"")</f>
        <v/>
      </c>
      <c r="F311" s="176" t="str">
        <f>IFERROR(VLOOKUP($A311,EntryList!$A$3:$V$596,18,FALSE),"")</f>
        <v/>
      </c>
      <c r="H311" s="90" t="str">
        <f>IFERROR(VLOOKUP($A311,EntryList!$A$3:$N$596,7,FALSE),"")</f>
        <v/>
      </c>
      <c r="I311" s="54" t="str">
        <f>IFERROR(VLOOKUP($A311,SortedDownload!$A$3:$Z807,4,FALSE),"")</f>
        <v/>
      </c>
      <c r="J311" s="59" t="str">
        <f>IFERROR(VLOOKUP($A311,SortedDownload!$A$3:$BB$499,23,FALSE),"")</f>
        <v/>
      </c>
      <c r="K311" s="59" t="str">
        <f>IFERROR(VLOOKUP($A311,SortedDownload!$A$3:$BB$499,24,FALSE),"")</f>
        <v/>
      </c>
      <c r="L311" s="59" t="str">
        <f>IFERROR(VLOOKUP($A311,SortedDownload!$A$3:$BB$499,25,FALSE),"")</f>
        <v/>
      </c>
      <c r="M311" s="59" t="str">
        <f>IFERROR(VLOOKUP($A311,SortedDownload!$A$3:$BB$499,26,FALSE),"")</f>
        <v/>
      </c>
      <c r="N311" s="59" t="str">
        <f>IFERROR(VLOOKUP($A311,SortedDownload!$A$3:$BB$499,27,FALSE),"")</f>
        <v/>
      </c>
      <c r="O311" s="59" t="str">
        <f>IFERROR(VLOOKUP($A311,SortedDownload!$A$3:$BB$499,28,FALSE),"")</f>
        <v/>
      </c>
      <c r="P311" s="59" t="str">
        <f>IFERROR(VLOOKUP($A311,SortedDownload!$A$3:$BB$499,29,FALSE),"")</f>
        <v/>
      </c>
      <c r="Q311" s="59" t="str">
        <f>IFERROR(VLOOKUP($A311,SortedDownload!$A$3:$BB$499,30,FALSE),"")</f>
        <v/>
      </c>
      <c r="R311" s="62" t="str">
        <f>IFERROR(TEXT(VLOOKUP($A311,SortedDownload!$A$3:$Z$499,14,FALSE),"[hh]:mm:ss.000"),"")</f>
        <v/>
      </c>
      <c r="S311" s="83" t="str">
        <f t="shared" si="14"/>
        <v>N/A</v>
      </c>
      <c r="T311" s="83" t="e">
        <f t="shared" si="12"/>
        <v>#VALUE!</v>
      </c>
      <c r="U311" s="9" t="str">
        <f t="shared" si="13"/>
        <v/>
      </c>
      <c r="V311" s="20" t="str">
        <f>IFERROR(IF(VLOOKUP(H311,AgeCategories!$D$3:$J$32,7,FALSE)=I311,"","DNF"),"")</f>
        <v/>
      </c>
    </row>
    <row r="312" spans="1:22">
      <c r="A312" s="53" t="str">
        <f>IF(SortedDownload!A312 &lt; 1,"",SortedDownload!A312)</f>
        <v/>
      </c>
      <c r="B312" s="55">
        <f>IF(V312&lt;&gt;"","DNF",COUNTIF($V$3:V312,V312))</f>
        <v>277</v>
      </c>
      <c r="C312" s="54" t="str">
        <f>IF(OR(B312="DNF",H312=""),"DNF",COUNTIF($H$3:H312,H312))</f>
        <v>DNF</v>
      </c>
      <c r="D312" s="90" t="str">
        <f>IFERROR(VLOOKUP($A312,EntryList!$A$3:$N$596,2,FALSE),"")</f>
        <v/>
      </c>
      <c r="E312" s="54" t="str">
        <f>IFERROR(VLOOKUP($A312,EntryList!$A$3:$V$596,19,FALSE),"")</f>
        <v/>
      </c>
      <c r="F312" s="176" t="str">
        <f>IFERROR(VLOOKUP($A312,EntryList!$A$3:$V$596,18,FALSE),"")</f>
        <v/>
      </c>
      <c r="H312" s="90" t="str">
        <f>IFERROR(VLOOKUP($A312,EntryList!$A$3:$N$596,7,FALSE),"")</f>
        <v/>
      </c>
      <c r="I312" s="54" t="str">
        <f>IFERROR(VLOOKUP($A312,SortedDownload!$A$3:$Z808,4,FALSE),"")</f>
        <v/>
      </c>
      <c r="J312" s="59" t="str">
        <f>IFERROR(VLOOKUP($A312,SortedDownload!$A$3:$BB$499,23,FALSE),"")</f>
        <v/>
      </c>
      <c r="K312" s="59" t="str">
        <f>IFERROR(VLOOKUP($A312,SortedDownload!$A$3:$BB$499,24,FALSE),"")</f>
        <v/>
      </c>
      <c r="L312" s="59" t="str">
        <f>IFERROR(VLOOKUP($A312,SortedDownload!$A$3:$BB$499,25,FALSE),"")</f>
        <v/>
      </c>
      <c r="M312" s="59" t="str">
        <f>IFERROR(VLOOKUP($A312,SortedDownload!$A$3:$BB$499,26,FALSE),"")</f>
        <v/>
      </c>
      <c r="N312" s="59" t="str">
        <f>IFERROR(VLOOKUP($A312,SortedDownload!$A$3:$BB$499,27,FALSE),"")</f>
        <v/>
      </c>
      <c r="O312" s="59" t="str">
        <f>IFERROR(VLOOKUP($A312,SortedDownload!$A$3:$BB$499,28,FALSE),"")</f>
        <v/>
      </c>
      <c r="P312" s="59" t="str">
        <f>IFERROR(VLOOKUP($A312,SortedDownload!$A$3:$BB$499,29,FALSE),"")</f>
        <v/>
      </c>
      <c r="Q312" s="59" t="str">
        <f>IFERROR(VLOOKUP($A312,SortedDownload!$A$3:$BB$499,30,FALSE),"")</f>
        <v/>
      </c>
      <c r="R312" s="62" t="str">
        <f>IFERROR(TEXT(VLOOKUP($A312,SortedDownload!$A$3:$Z$499,14,FALSE),"[hh]:mm:ss.000"),"")</f>
        <v/>
      </c>
      <c r="S312" s="83" t="str">
        <f t="shared" si="14"/>
        <v>N/A</v>
      </c>
      <c r="T312" s="83" t="e">
        <f t="shared" si="12"/>
        <v>#VALUE!</v>
      </c>
      <c r="U312" s="9" t="str">
        <f t="shared" si="13"/>
        <v/>
      </c>
      <c r="V312" s="20" t="str">
        <f>IFERROR(IF(VLOOKUP(H312,AgeCategories!$D$3:$J$32,7,FALSE)=I312,"","DNF"),"")</f>
        <v/>
      </c>
    </row>
    <row r="313" spans="1:22">
      <c r="A313" s="53" t="str">
        <f>IF(SortedDownload!A313 &lt; 1,"",SortedDownload!A313)</f>
        <v/>
      </c>
      <c r="B313" s="55">
        <f>IF(V313&lt;&gt;"","DNF",COUNTIF($V$3:V313,V313))</f>
        <v>278</v>
      </c>
      <c r="C313" s="54" t="str">
        <f>IF(OR(B313="DNF",H313=""),"DNF",COUNTIF($H$3:H313,H313))</f>
        <v>DNF</v>
      </c>
      <c r="D313" s="90" t="str">
        <f>IFERROR(VLOOKUP($A313,EntryList!$A$3:$N$596,2,FALSE),"")</f>
        <v/>
      </c>
      <c r="E313" s="54" t="str">
        <f>IFERROR(VLOOKUP($A313,EntryList!$A$3:$V$596,19,FALSE),"")</f>
        <v/>
      </c>
      <c r="F313" s="176" t="str">
        <f>IFERROR(VLOOKUP($A313,EntryList!$A$3:$V$596,18,FALSE),"")</f>
        <v/>
      </c>
      <c r="H313" s="90" t="str">
        <f>IFERROR(VLOOKUP($A313,EntryList!$A$3:$N$596,7,FALSE),"")</f>
        <v/>
      </c>
      <c r="I313" s="54" t="str">
        <f>IFERROR(VLOOKUP($A313,SortedDownload!$A$3:$Z809,4,FALSE),"")</f>
        <v/>
      </c>
      <c r="J313" s="59" t="str">
        <f>IFERROR(VLOOKUP($A313,SortedDownload!$A$3:$BB$499,23,FALSE),"")</f>
        <v/>
      </c>
      <c r="K313" s="59" t="str">
        <f>IFERROR(VLOOKUP($A313,SortedDownload!$A$3:$BB$499,24,FALSE),"")</f>
        <v/>
      </c>
      <c r="L313" s="59" t="str">
        <f>IFERROR(VLOOKUP($A313,SortedDownload!$A$3:$BB$499,25,FALSE),"")</f>
        <v/>
      </c>
      <c r="M313" s="59" t="str">
        <f>IFERROR(VLOOKUP($A313,SortedDownload!$A$3:$BB$499,26,FALSE),"")</f>
        <v/>
      </c>
      <c r="N313" s="59" t="str">
        <f>IFERROR(VLOOKUP($A313,SortedDownload!$A$3:$BB$499,27,FALSE),"")</f>
        <v/>
      </c>
      <c r="O313" s="59" t="str">
        <f>IFERROR(VLOOKUP($A313,SortedDownload!$A$3:$BB$499,28,FALSE),"")</f>
        <v/>
      </c>
      <c r="P313" s="59" t="str">
        <f>IFERROR(VLOOKUP($A313,SortedDownload!$A$3:$BB$499,29,FALSE),"")</f>
        <v/>
      </c>
      <c r="Q313" s="59" t="str">
        <f>IFERROR(VLOOKUP($A313,SortedDownload!$A$3:$BB$499,30,FALSE),"")</f>
        <v/>
      </c>
      <c r="R313" s="62" t="str">
        <f>IFERROR(TEXT(VLOOKUP($A313,SortedDownload!$A$3:$Z$499,14,FALSE),"[hh]:mm:ss.000"),"")</f>
        <v/>
      </c>
      <c r="S313" s="83" t="str">
        <f t="shared" si="14"/>
        <v>N/A</v>
      </c>
      <c r="T313" s="83" t="e">
        <f t="shared" si="12"/>
        <v>#VALUE!</v>
      </c>
      <c r="U313" s="9" t="str">
        <f t="shared" si="13"/>
        <v/>
      </c>
      <c r="V313" s="20" t="str">
        <f>IFERROR(IF(VLOOKUP(H313,AgeCategories!$D$3:$J$32,7,FALSE)=I313,"","DNF"),"")</f>
        <v/>
      </c>
    </row>
    <row r="314" spans="1:22">
      <c r="A314" s="53" t="str">
        <f>IF(SortedDownload!A314 &lt; 1,"",SortedDownload!A314)</f>
        <v/>
      </c>
      <c r="B314" s="55">
        <f>IF(V314&lt;&gt;"","DNF",COUNTIF($V$3:V314,V314))</f>
        <v>279</v>
      </c>
      <c r="C314" s="54" t="str">
        <f>IF(OR(B314="DNF",H314=""),"DNF",COUNTIF($H$3:H314,H314))</f>
        <v>DNF</v>
      </c>
      <c r="D314" s="90" t="str">
        <f>IFERROR(VLOOKUP($A314,EntryList!$A$3:$N$596,2,FALSE),"")</f>
        <v/>
      </c>
      <c r="E314" s="54" t="str">
        <f>IFERROR(VLOOKUP($A314,EntryList!$A$3:$V$596,19,FALSE),"")</f>
        <v/>
      </c>
      <c r="F314" s="176" t="str">
        <f>IFERROR(VLOOKUP($A314,EntryList!$A$3:$V$596,18,FALSE),"")</f>
        <v/>
      </c>
      <c r="H314" s="90" t="str">
        <f>IFERROR(VLOOKUP($A314,EntryList!$A$3:$N$596,7,FALSE),"")</f>
        <v/>
      </c>
      <c r="I314" s="54" t="str">
        <f>IFERROR(VLOOKUP($A314,SortedDownload!$A$3:$Z810,4,FALSE),"")</f>
        <v/>
      </c>
      <c r="J314" s="59" t="str">
        <f>IFERROR(VLOOKUP($A314,SortedDownload!$A$3:$BB$499,23,FALSE),"")</f>
        <v/>
      </c>
      <c r="K314" s="59" t="str">
        <f>IFERROR(VLOOKUP($A314,SortedDownload!$A$3:$BB$499,24,FALSE),"")</f>
        <v/>
      </c>
      <c r="L314" s="59" t="str">
        <f>IFERROR(VLOOKUP($A314,SortedDownload!$A$3:$BB$499,25,FALSE),"")</f>
        <v/>
      </c>
      <c r="M314" s="59" t="str">
        <f>IFERROR(VLOOKUP($A314,SortedDownload!$A$3:$BB$499,26,FALSE),"")</f>
        <v/>
      </c>
      <c r="N314" s="59" t="str">
        <f>IFERROR(VLOOKUP($A314,SortedDownload!$A$3:$BB$499,27,FALSE),"")</f>
        <v/>
      </c>
      <c r="O314" s="59" t="str">
        <f>IFERROR(VLOOKUP($A314,SortedDownload!$A$3:$BB$499,28,FALSE),"")</f>
        <v/>
      </c>
      <c r="P314" s="59" t="str">
        <f>IFERROR(VLOOKUP($A314,SortedDownload!$A$3:$BB$499,29,FALSE),"")</f>
        <v/>
      </c>
      <c r="Q314" s="59" t="str">
        <f>IFERROR(VLOOKUP($A314,SortedDownload!$A$3:$BB$499,30,FALSE),"")</f>
        <v/>
      </c>
      <c r="R314" s="62" t="str">
        <f>IFERROR(TEXT(VLOOKUP($A314,SortedDownload!$A$3:$Z$499,14,FALSE),"[hh]:mm:ss.000"),"")</f>
        <v/>
      </c>
      <c r="S314" s="83" t="str">
        <f t="shared" si="14"/>
        <v>N/A</v>
      </c>
      <c r="T314" s="83" t="e">
        <f t="shared" si="12"/>
        <v>#VALUE!</v>
      </c>
      <c r="U314" s="9" t="str">
        <f t="shared" si="13"/>
        <v/>
      </c>
      <c r="V314" s="20" t="str">
        <f>IFERROR(IF(VLOOKUP(H314,AgeCategories!$D$3:$J$32,7,FALSE)=I314,"","DNF"),"")</f>
        <v/>
      </c>
    </row>
    <row r="315" spans="1:22">
      <c r="A315" s="53" t="str">
        <f>IF(SortedDownload!A315 &lt; 1,"",SortedDownload!A315)</f>
        <v/>
      </c>
      <c r="B315" s="55">
        <f>IF(V315&lt;&gt;"","DNF",COUNTIF($V$3:V315,V315))</f>
        <v>280</v>
      </c>
      <c r="C315" s="54" t="str">
        <f>IF(OR(B315="DNF",H315=""),"DNF",COUNTIF($H$3:H315,H315))</f>
        <v>DNF</v>
      </c>
      <c r="D315" s="90" t="str">
        <f>IFERROR(VLOOKUP($A315,EntryList!$A$3:$N$596,2,FALSE),"")</f>
        <v/>
      </c>
      <c r="E315" s="54" t="str">
        <f>IFERROR(VLOOKUP($A315,EntryList!$A$3:$V$596,19,FALSE),"")</f>
        <v/>
      </c>
      <c r="F315" s="176" t="str">
        <f>IFERROR(VLOOKUP($A315,EntryList!$A$3:$V$596,18,FALSE),"")</f>
        <v/>
      </c>
      <c r="H315" s="90" t="str">
        <f>IFERROR(VLOOKUP($A315,EntryList!$A$3:$N$596,7,FALSE),"")</f>
        <v/>
      </c>
      <c r="I315" s="54" t="str">
        <f>IFERROR(VLOOKUP($A315,SortedDownload!$A$3:$Z811,4,FALSE),"")</f>
        <v/>
      </c>
      <c r="J315" s="59" t="str">
        <f>IFERROR(VLOOKUP($A315,SortedDownload!$A$3:$BB$499,23,FALSE),"")</f>
        <v/>
      </c>
      <c r="K315" s="59" t="str">
        <f>IFERROR(VLOOKUP($A315,SortedDownload!$A$3:$BB$499,24,FALSE),"")</f>
        <v/>
      </c>
      <c r="L315" s="59" t="str">
        <f>IFERROR(VLOOKUP($A315,SortedDownload!$A$3:$BB$499,25,FALSE),"")</f>
        <v/>
      </c>
      <c r="M315" s="59" t="str">
        <f>IFERROR(VLOOKUP($A315,SortedDownload!$A$3:$BB$499,26,FALSE),"")</f>
        <v/>
      </c>
      <c r="N315" s="59" t="str">
        <f>IFERROR(VLOOKUP($A315,SortedDownload!$A$3:$BB$499,27,FALSE),"")</f>
        <v/>
      </c>
      <c r="O315" s="59" t="str">
        <f>IFERROR(VLOOKUP($A315,SortedDownload!$A$3:$BB$499,28,FALSE),"")</f>
        <v/>
      </c>
      <c r="P315" s="59" t="str">
        <f>IFERROR(VLOOKUP($A315,SortedDownload!$A$3:$BB$499,29,FALSE),"")</f>
        <v/>
      </c>
      <c r="Q315" s="59" t="str">
        <f>IFERROR(VLOOKUP($A315,SortedDownload!$A$3:$BB$499,30,FALSE),"")</f>
        <v/>
      </c>
      <c r="R315" s="62" t="str">
        <f>IFERROR(TEXT(VLOOKUP($A315,SortedDownload!$A$3:$Z$499,14,FALSE),"[hh]:mm:ss.000"),"")</f>
        <v/>
      </c>
      <c r="S315" s="83" t="str">
        <f t="shared" si="14"/>
        <v>N/A</v>
      </c>
      <c r="T315" s="83" t="e">
        <f t="shared" si="12"/>
        <v>#VALUE!</v>
      </c>
      <c r="U315" s="9" t="str">
        <f t="shared" si="13"/>
        <v/>
      </c>
      <c r="V315" s="20" t="str">
        <f>IFERROR(IF(VLOOKUP(H315,AgeCategories!$D$3:$J$32,7,FALSE)=I315,"","DNF"),"")</f>
        <v/>
      </c>
    </row>
    <row r="316" spans="1:22">
      <c r="A316" s="53" t="str">
        <f>IF(SortedDownload!A316 &lt; 1,"",SortedDownload!A316)</f>
        <v/>
      </c>
      <c r="B316" s="55">
        <f>IF(V316&lt;&gt;"","DNF",COUNTIF($V$3:V316,V316))</f>
        <v>281</v>
      </c>
      <c r="C316" s="54" t="str">
        <f>IF(OR(B316="DNF",H316=""),"DNF",COUNTIF($H$3:H316,H316))</f>
        <v>DNF</v>
      </c>
      <c r="D316" s="90" t="str">
        <f>IFERROR(VLOOKUP($A316,EntryList!$A$3:$N$596,2,FALSE),"")</f>
        <v/>
      </c>
      <c r="E316" s="54" t="str">
        <f>IFERROR(VLOOKUP($A316,EntryList!$A$3:$V$596,19,FALSE),"")</f>
        <v/>
      </c>
      <c r="F316" s="176" t="str">
        <f>IFERROR(VLOOKUP($A316,EntryList!$A$3:$V$596,18,FALSE),"")</f>
        <v/>
      </c>
      <c r="H316" s="90" t="str">
        <f>IFERROR(VLOOKUP($A316,EntryList!$A$3:$N$596,7,FALSE),"")</f>
        <v/>
      </c>
      <c r="I316" s="54" t="str">
        <f>IFERROR(VLOOKUP($A316,SortedDownload!$A$3:$Z812,4,FALSE),"")</f>
        <v/>
      </c>
      <c r="J316" s="59" t="str">
        <f>IFERROR(VLOOKUP($A316,SortedDownload!$A$3:$BB$499,23,FALSE),"")</f>
        <v/>
      </c>
      <c r="K316" s="59" t="str">
        <f>IFERROR(VLOOKUP($A316,SortedDownload!$A$3:$BB$499,24,FALSE),"")</f>
        <v/>
      </c>
      <c r="L316" s="59" t="str">
        <f>IFERROR(VLOOKUP($A316,SortedDownload!$A$3:$BB$499,25,FALSE),"")</f>
        <v/>
      </c>
      <c r="M316" s="59" t="str">
        <f>IFERROR(VLOOKUP($A316,SortedDownload!$A$3:$BB$499,26,FALSE),"")</f>
        <v/>
      </c>
      <c r="N316" s="59" t="str">
        <f>IFERROR(VLOOKUP($A316,SortedDownload!$A$3:$BB$499,27,FALSE),"")</f>
        <v/>
      </c>
      <c r="O316" s="59" t="str">
        <f>IFERROR(VLOOKUP($A316,SortedDownload!$A$3:$BB$499,28,FALSE),"")</f>
        <v/>
      </c>
      <c r="P316" s="59" t="str">
        <f>IFERROR(VLOOKUP($A316,SortedDownload!$A$3:$BB$499,29,FALSE),"")</f>
        <v/>
      </c>
      <c r="Q316" s="59" t="str">
        <f>IFERROR(VLOOKUP($A316,SortedDownload!$A$3:$BB$499,30,FALSE),"")</f>
        <v/>
      </c>
      <c r="R316" s="62" t="str">
        <f>IFERROR(TEXT(VLOOKUP($A316,SortedDownload!$A$3:$Z$499,14,FALSE),"[hh]:mm:ss.000"),"")</f>
        <v/>
      </c>
      <c r="S316" s="83" t="str">
        <f t="shared" si="14"/>
        <v>N/A</v>
      </c>
      <c r="T316" s="83" t="e">
        <f t="shared" si="12"/>
        <v>#VALUE!</v>
      </c>
      <c r="U316" s="9" t="str">
        <f t="shared" si="13"/>
        <v/>
      </c>
      <c r="V316" s="20" t="str">
        <f>IFERROR(IF(VLOOKUP(H316,AgeCategories!$D$3:$J$32,7,FALSE)=I316,"","DNF"),"")</f>
        <v/>
      </c>
    </row>
    <row r="317" spans="1:22">
      <c r="A317" s="53" t="str">
        <f>IF(SortedDownload!A317 &lt; 1,"",SortedDownload!A317)</f>
        <v/>
      </c>
      <c r="B317" s="55">
        <f>IF(V317&lt;&gt;"","DNF",COUNTIF($V$3:V317,V317))</f>
        <v>282</v>
      </c>
      <c r="C317" s="54" t="str">
        <f>IF(OR(B317="DNF",H317=""),"DNF",COUNTIF($H$3:H317,H317))</f>
        <v>DNF</v>
      </c>
      <c r="D317" s="90" t="str">
        <f>IFERROR(VLOOKUP($A317,EntryList!$A$3:$N$596,2,FALSE),"")</f>
        <v/>
      </c>
      <c r="E317" s="54" t="str">
        <f>IFERROR(VLOOKUP($A317,EntryList!$A$3:$V$596,19,FALSE),"")</f>
        <v/>
      </c>
      <c r="F317" s="176" t="str">
        <f>IFERROR(VLOOKUP($A317,EntryList!$A$3:$V$596,18,FALSE),"")</f>
        <v/>
      </c>
      <c r="H317" s="90" t="str">
        <f>IFERROR(VLOOKUP($A317,EntryList!$A$3:$N$596,7,FALSE),"")</f>
        <v/>
      </c>
      <c r="I317" s="54" t="str">
        <f>IFERROR(VLOOKUP($A317,SortedDownload!$A$3:$Z813,4,FALSE),"")</f>
        <v/>
      </c>
      <c r="J317" s="59" t="str">
        <f>IFERROR(VLOOKUP($A317,SortedDownload!$A$3:$BB$499,23,FALSE),"")</f>
        <v/>
      </c>
      <c r="K317" s="59" t="str">
        <f>IFERROR(VLOOKUP($A317,SortedDownload!$A$3:$BB$499,24,FALSE),"")</f>
        <v/>
      </c>
      <c r="L317" s="59" t="str">
        <f>IFERROR(VLOOKUP($A317,SortedDownload!$A$3:$BB$499,25,FALSE),"")</f>
        <v/>
      </c>
      <c r="M317" s="59" t="str">
        <f>IFERROR(VLOOKUP($A317,SortedDownload!$A$3:$BB$499,26,FALSE),"")</f>
        <v/>
      </c>
      <c r="N317" s="59" t="str">
        <f>IFERROR(VLOOKUP($A317,SortedDownload!$A$3:$BB$499,27,FALSE),"")</f>
        <v/>
      </c>
      <c r="O317" s="59" t="str">
        <f>IFERROR(VLOOKUP($A317,SortedDownload!$A$3:$BB$499,28,FALSE),"")</f>
        <v/>
      </c>
      <c r="P317" s="59" t="str">
        <f>IFERROR(VLOOKUP($A317,SortedDownload!$A$3:$BB$499,29,FALSE),"")</f>
        <v/>
      </c>
      <c r="Q317" s="59" t="str">
        <f>IFERROR(VLOOKUP($A317,SortedDownload!$A$3:$BB$499,30,FALSE),"")</f>
        <v/>
      </c>
      <c r="R317" s="62" t="str">
        <f>IFERROR(TEXT(VLOOKUP($A317,SortedDownload!$A$3:$Z$499,14,FALSE),"[hh]:mm:ss.000"),"")</f>
        <v/>
      </c>
      <c r="S317" s="83" t="str">
        <f t="shared" si="14"/>
        <v>N/A</v>
      </c>
      <c r="T317" s="83" t="e">
        <f t="shared" si="12"/>
        <v>#VALUE!</v>
      </c>
      <c r="U317" s="9" t="str">
        <f t="shared" si="13"/>
        <v/>
      </c>
      <c r="V317" s="20" t="str">
        <f>IFERROR(IF(VLOOKUP(H317,AgeCategories!$D$3:$J$32,7,FALSE)=I317,"","DNF"),"")</f>
        <v/>
      </c>
    </row>
    <row r="318" spans="1:22">
      <c r="A318" s="53" t="str">
        <f>IF(SortedDownload!A318 &lt; 1,"",SortedDownload!A318)</f>
        <v/>
      </c>
      <c r="B318" s="55">
        <f>IF(V318&lt;&gt;"","DNF",COUNTIF($V$3:V318,V318))</f>
        <v>283</v>
      </c>
      <c r="C318" s="54" t="str">
        <f>IF(OR(B318="DNF",H318=""),"DNF",COUNTIF($H$3:H318,H318))</f>
        <v>DNF</v>
      </c>
      <c r="D318" s="90" t="str">
        <f>IFERROR(VLOOKUP($A318,EntryList!$A$3:$N$596,2,FALSE),"")</f>
        <v/>
      </c>
      <c r="E318" s="54" t="str">
        <f>IFERROR(VLOOKUP($A318,EntryList!$A$3:$V$596,19,FALSE),"")</f>
        <v/>
      </c>
      <c r="F318" s="176" t="str">
        <f>IFERROR(VLOOKUP($A318,EntryList!$A$3:$V$596,18,FALSE),"")</f>
        <v/>
      </c>
      <c r="H318" s="90" t="str">
        <f>IFERROR(VLOOKUP($A318,EntryList!$A$3:$N$596,7,FALSE),"")</f>
        <v/>
      </c>
      <c r="I318" s="54" t="str">
        <f>IFERROR(VLOOKUP($A318,SortedDownload!$A$3:$Z814,4,FALSE),"")</f>
        <v/>
      </c>
      <c r="J318" s="59" t="str">
        <f>IFERROR(VLOOKUP($A318,SortedDownload!$A$3:$BB$499,23,FALSE),"")</f>
        <v/>
      </c>
      <c r="K318" s="59" t="str">
        <f>IFERROR(VLOOKUP($A318,SortedDownload!$A$3:$BB$499,24,FALSE),"")</f>
        <v/>
      </c>
      <c r="L318" s="59" t="str">
        <f>IFERROR(VLOOKUP($A318,SortedDownload!$A$3:$BB$499,25,FALSE),"")</f>
        <v/>
      </c>
      <c r="M318" s="59" t="str">
        <f>IFERROR(VLOOKUP($A318,SortedDownload!$A$3:$BB$499,26,FALSE),"")</f>
        <v/>
      </c>
      <c r="N318" s="59" t="str">
        <f>IFERROR(VLOOKUP($A318,SortedDownload!$A$3:$BB$499,27,FALSE),"")</f>
        <v/>
      </c>
      <c r="O318" s="59" t="str">
        <f>IFERROR(VLOOKUP($A318,SortedDownload!$A$3:$BB$499,28,FALSE),"")</f>
        <v/>
      </c>
      <c r="P318" s="59" t="str">
        <f>IFERROR(VLOOKUP($A318,SortedDownload!$A$3:$BB$499,29,FALSE),"")</f>
        <v/>
      </c>
      <c r="Q318" s="59" t="str">
        <f>IFERROR(VLOOKUP($A318,SortedDownload!$A$3:$BB$499,30,FALSE),"")</f>
        <v/>
      </c>
      <c r="R318" s="62" t="str">
        <f>IFERROR(TEXT(VLOOKUP($A318,SortedDownload!$A$3:$Z$499,14,FALSE),"[hh]:mm:ss.000"),"")</f>
        <v/>
      </c>
      <c r="S318" s="83" t="str">
        <f t="shared" si="14"/>
        <v>N/A</v>
      </c>
      <c r="T318" s="83" t="e">
        <f t="shared" si="12"/>
        <v>#VALUE!</v>
      </c>
      <c r="U318" s="9" t="str">
        <f t="shared" si="13"/>
        <v/>
      </c>
      <c r="V318" s="20" t="str">
        <f>IFERROR(IF(VLOOKUP(H318,AgeCategories!$D$3:$J$32,7,FALSE)=I318,"","DNF"),"")</f>
        <v/>
      </c>
    </row>
    <row r="319" spans="1:22">
      <c r="A319" s="53" t="str">
        <f>IF(SortedDownload!A319 &lt; 1,"",SortedDownload!A319)</f>
        <v/>
      </c>
      <c r="B319" s="55">
        <f>IF(V319&lt;&gt;"","DNF",COUNTIF($V$3:V319,V319))</f>
        <v>284</v>
      </c>
      <c r="C319" s="54" t="str">
        <f>IF(OR(B319="DNF",H319=""),"DNF",COUNTIF($H$3:H319,H319))</f>
        <v>DNF</v>
      </c>
      <c r="D319" s="90" t="str">
        <f>IFERROR(VLOOKUP($A319,EntryList!$A$3:$N$596,2,FALSE),"")</f>
        <v/>
      </c>
      <c r="E319" s="54" t="str">
        <f>IFERROR(VLOOKUP($A319,EntryList!$A$3:$V$596,19,FALSE),"")</f>
        <v/>
      </c>
      <c r="F319" s="176" t="str">
        <f>IFERROR(VLOOKUP($A319,EntryList!$A$3:$V$596,18,FALSE),"")</f>
        <v/>
      </c>
      <c r="H319" s="90" t="str">
        <f>IFERROR(VLOOKUP($A319,EntryList!$A$3:$N$596,7,FALSE),"")</f>
        <v/>
      </c>
      <c r="I319" s="54" t="str">
        <f>IFERROR(VLOOKUP($A319,SortedDownload!$A$3:$Z815,4,FALSE),"")</f>
        <v/>
      </c>
      <c r="J319" s="59" t="str">
        <f>IFERROR(VLOOKUP($A319,SortedDownload!$A$3:$BB$499,23,FALSE),"")</f>
        <v/>
      </c>
      <c r="K319" s="59" t="str">
        <f>IFERROR(VLOOKUP($A319,SortedDownload!$A$3:$BB$499,24,FALSE),"")</f>
        <v/>
      </c>
      <c r="L319" s="59" t="str">
        <f>IFERROR(VLOOKUP($A319,SortedDownload!$A$3:$BB$499,25,FALSE),"")</f>
        <v/>
      </c>
      <c r="M319" s="59" t="str">
        <f>IFERROR(VLOOKUP($A319,SortedDownload!$A$3:$BB$499,26,FALSE),"")</f>
        <v/>
      </c>
      <c r="N319" s="59" t="str">
        <f>IFERROR(VLOOKUP($A319,SortedDownload!$A$3:$BB$499,27,FALSE),"")</f>
        <v/>
      </c>
      <c r="O319" s="59" t="str">
        <f>IFERROR(VLOOKUP($A319,SortedDownload!$A$3:$BB$499,28,FALSE),"")</f>
        <v/>
      </c>
      <c r="P319" s="59" t="str">
        <f>IFERROR(VLOOKUP($A319,SortedDownload!$A$3:$BB$499,29,FALSE),"")</f>
        <v/>
      </c>
      <c r="Q319" s="59" t="str">
        <f>IFERROR(VLOOKUP($A319,SortedDownload!$A$3:$BB$499,30,FALSE),"")</f>
        <v/>
      </c>
      <c r="R319" s="62" t="str">
        <f>IFERROR(TEXT(VLOOKUP($A319,SortedDownload!$A$3:$Z$499,14,FALSE),"[hh]:mm:ss.000"),"")</f>
        <v/>
      </c>
      <c r="S319" s="83" t="str">
        <f t="shared" si="14"/>
        <v>N/A</v>
      </c>
      <c r="T319" s="83" t="e">
        <f t="shared" si="12"/>
        <v>#VALUE!</v>
      </c>
      <c r="U319" s="9" t="str">
        <f t="shared" si="13"/>
        <v/>
      </c>
      <c r="V319" s="20" t="str">
        <f>IFERROR(IF(VLOOKUP(H319,AgeCategories!$D$3:$J$32,7,FALSE)=I319,"","DNF"),"")</f>
        <v/>
      </c>
    </row>
    <row r="320" spans="1:22">
      <c r="A320" s="53" t="str">
        <f>IF(SortedDownload!A320 &lt; 1,"",SortedDownload!A320)</f>
        <v/>
      </c>
      <c r="B320" s="55">
        <f>IF(V320&lt;&gt;"","DNF",COUNTIF($V$3:V320,V320))</f>
        <v>285</v>
      </c>
      <c r="C320" s="54" t="str">
        <f>IF(OR(B320="DNF",H320=""),"DNF",COUNTIF($H$3:H320,H320))</f>
        <v>DNF</v>
      </c>
      <c r="D320" s="90" t="str">
        <f>IFERROR(VLOOKUP($A320,EntryList!$A$3:$N$596,2,FALSE),"")</f>
        <v/>
      </c>
      <c r="E320" s="54" t="str">
        <f>IFERROR(VLOOKUP($A320,EntryList!$A$3:$V$596,19,FALSE),"")</f>
        <v/>
      </c>
      <c r="F320" s="176" t="str">
        <f>IFERROR(VLOOKUP($A320,EntryList!$A$3:$V$596,18,FALSE),"")</f>
        <v/>
      </c>
      <c r="H320" s="90" t="str">
        <f>IFERROR(VLOOKUP($A320,EntryList!$A$3:$N$596,7,FALSE),"")</f>
        <v/>
      </c>
      <c r="I320" s="54" t="str">
        <f>IFERROR(VLOOKUP($A320,SortedDownload!$A$3:$Z816,4,FALSE),"")</f>
        <v/>
      </c>
      <c r="J320" s="59" t="str">
        <f>IFERROR(VLOOKUP($A320,SortedDownload!$A$3:$BB$499,23,FALSE),"")</f>
        <v/>
      </c>
      <c r="K320" s="59" t="str">
        <f>IFERROR(VLOOKUP($A320,SortedDownload!$A$3:$BB$499,24,FALSE),"")</f>
        <v/>
      </c>
      <c r="L320" s="59" t="str">
        <f>IFERROR(VLOOKUP($A320,SortedDownload!$A$3:$BB$499,25,FALSE),"")</f>
        <v/>
      </c>
      <c r="M320" s="59" t="str">
        <f>IFERROR(VLOOKUP($A320,SortedDownload!$A$3:$BB$499,26,FALSE),"")</f>
        <v/>
      </c>
      <c r="N320" s="59" t="str">
        <f>IFERROR(VLOOKUP($A320,SortedDownload!$A$3:$BB$499,27,FALSE),"")</f>
        <v/>
      </c>
      <c r="O320" s="59" t="str">
        <f>IFERROR(VLOOKUP($A320,SortedDownload!$A$3:$BB$499,28,FALSE),"")</f>
        <v/>
      </c>
      <c r="P320" s="59" t="str">
        <f>IFERROR(VLOOKUP($A320,SortedDownload!$A$3:$BB$499,29,FALSE),"")</f>
        <v/>
      </c>
      <c r="Q320" s="59" t="str">
        <f>IFERROR(VLOOKUP($A320,SortedDownload!$A$3:$BB$499,30,FALSE),"")</f>
        <v/>
      </c>
      <c r="R320" s="62" t="str">
        <f>IFERROR(TEXT(VLOOKUP($A320,SortedDownload!$A$3:$Z$499,14,FALSE),"[hh]:mm:ss.000"),"")</f>
        <v/>
      </c>
      <c r="S320" s="83" t="str">
        <f t="shared" si="14"/>
        <v>N/A</v>
      </c>
      <c r="T320" s="83" t="e">
        <f t="shared" si="12"/>
        <v>#VALUE!</v>
      </c>
      <c r="U320" s="9" t="str">
        <f t="shared" si="13"/>
        <v/>
      </c>
      <c r="V320" s="20" t="str">
        <f>IFERROR(IF(VLOOKUP(H320,AgeCategories!$D$3:$J$32,7,FALSE)=I320,"","DNF"),"")</f>
        <v/>
      </c>
    </row>
    <row r="321" spans="1:22">
      <c r="A321" s="53" t="str">
        <f>IF(SortedDownload!A321 &lt; 1,"",SortedDownload!A321)</f>
        <v/>
      </c>
      <c r="B321" s="55">
        <f>IF(V321&lt;&gt;"","DNF",COUNTIF($V$3:V321,V321))</f>
        <v>286</v>
      </c>
      <c r="C321" s="54" t="str">
        <f>IF(OR(B321="DNF",H321=""),"DNF",COUNTIF($H$3:H321,H321))</f>
        <v>DNF</v>
      </c>
      <c r="D321" s="90" t="str">
        <f>IFERROR(VLOOKUP($A321,EntryList!$A$3:$N$596,2,FALSE),"")</f>
        <v/>
      </c>
      <c r="E321" s="54" t="str">
        <f>IFERROR(VLOOKUP($A321,EntryList!$A$3:$V$596,19,FALSE),"")</f>
        <v/>
      </c>
      <c r="F321" s="176" t="str">
        <f>IFERROR(VLOOKUP($A321,EntryList!$A$3:$V$596,18,FALSE),"")</f>
        <v/>
      </c>
      <c r="H321" s="90" t="str">
        <f>IFERROR(VLOOKUP($A321,EntryList!$A$3:$N$596,7,FALSE),"")</f>
        <v/>
      </c>
      <c r="I321" s="54" t="str">
        <f>IFERROR(VLOOKUP($A321,SortedDownload!$A$3:$Z817,4,FALSE),"")</f>
        <v/>
      </c>
      <c r="J321" s="59" t="str">
        <f>IFERROR(VLOOKUP($A321,SortedDownload!$A$3:$BB$499,23,FALSE),"")</f>
        <v/>
      </c>
      <c r="K321" s="59" t="str">
        <f>IFERROR(VLOOKUP($A321,SortedDownload!$A$3:$BB$499,24,FALSE),"")</f>
        <v/>
      </c>
      <c r="L321" s="59" t="str">
        <f>IFERROR(VLOOKUP($A321,SortedDownload!$A$3:$BB$499,25,FALSE),"")</f>
        <v/>
      </c>
      <c r="M321" s="59" t="str">
        <f>IFERROR(VLOOKUP($A321,SortedDownload!$A$3:$BB$499,26,FALSE),"")</f>
        <v/>
      </c>
      <c r="N321" s="59" t="str">
        <f>IFERROR(VLOOKUP($A321,SortedDownload!$A$3:$BB$499,27,FALSE),"")</f>
        <v/>
      </c>
      <c r="O321" s="59" t="str">
        <f>IFERROR(VLOOKUP($A321,SortedDownload!$A$3:$BB$499,28,FALSE),"")</f>
        <v/>
      </c>
      <c r="P321" s="59" t="str">
        <f>IFERROR(VLOOKUP($A321,SortedDownload!$A$3:$BB$499,29,FALSE),"")</f>
        <v/>
      </c>
      <c r="Q321" s="59" t="str">
        <f>IFERROR(VLOOKUP($A321,SortedDownload!$A$3:$BB$499,30,FALSE),"")</f>
        <v/>
      </c>
      <c r="R321" s="62" t="str">
        <f>IFERROR(TEXT(VLOOKUP($A321,SortedDownload!$A$3:$Z$499,14,FALSE),"[hh]:mm:ss.000"),"")</f>
        <v/>
      </c>
      <c r="S321" s="83" t="str">
        <f t="shared" si="14"/>
        <v>N/A</v>
      </c>
      <c r="T321" s="83" t="e">
        <f t="shared" si="12"/>
        <v>#VALUE!</v>
      </c>
      <c r="U321" s="9" t="str">
        <f t="shared" si="13"/>
        <v/>
      </c>
      <c r="V321" s="20" t="str">
        <f>IFERROR(IF(VLOOKUP(H321,AgeCategories!$D$3:$J$32,7,FALSE)=I321,"","DNF"),"")</f>
        <v/>
      </c>
    </row>
    <row r="322" spans="1:22">
      <c r="A322" s="53" t="str">
        <f>IF(SortedDownload!A322 &lt; 1,"",SortedDownload!A322)</f>
        <v/>
      </c>
      <c r="B322" s="55">
        <f>IF(V322&lt;&gt;"","DNF",COUNTIF($V$3:V322,V322))</f>
        <v>287</v>
      </c>
      <c r="C322" s="54" t="str">
        <f>IF(OR(B322="DNF",H322=""),"DNF",COUNTIF($H$3:H322,H322))</f>
        <v>DNF</v>
      </c>
      <c r="D322" s="90" t="str">
        <f>IFERROR(VLOOKUP($A322,EntryList!$A$3:$N$596,2,FALSE),"")</f>
        <v/>
      </c>
      <c r="E322" s="54" t="str">
        <f>IFERROR(VLOOKUP($A322,EntryList!$A$3:$V$596,19,FALSE),"")</f>
        <v/>
      </c>
      <c r="F322" s="176" t="str">
        <f>IFERROR(VLOOKUP($A322,EntryList!$A$3:$V$596,18,FALSE),"")</f>
        <v/>
      </c>
      <c r="H322" s="90" t="str">
        <f>IFERROR(VLOOKUP($A322,EntryList!$A$3:$N$596,7,FALSE),"")</f>
        <v/>
      </c>
      <c r="I322" s="54" t="str">
        <f>IFERROR(VLOOKUP($A322,SortedDownload!$A$3:$Z818,4,FALSE),"")</f>
        <v/>
      </c>
      <c r="J322" s="59" t="str">
        <f>IFERROR(VLOOKUP($A322,SortedDownload!$A$3:$BB$499,23,FALSE),"")</f>
        <v/>
      </c>
      <c r="K322" s="59" t="str">
        <f>IFERROR(VLOOKUP($A322,SortedDownload!$A$3:$BB$499,24,FALSE),"")</f>
        <v/>
      </c>
      <c r="L322" s="59" t="str">
        <f>IFERROR(VLOOKUP($A322,SortedDownload!$A$3:$BB$499,25,FALSE),"")</f>
        <v/>
      </c>
      <c r="M322" s="59" t="str">
        <f>IFERROR(VLOOKUP($A322,SortedDownload!$A$3:$BB$499,26,FALSE),"")</f>
        <v/>
      </c>
      <c r="N322" s="59" t="str">
        <f>IFERROR(VLOOKUP($A322,SortedDownload!$A$3:$BB$499,27,FALSE),"")</f>
        <v/>
      </c>
      <c r="O322" s="59" t="str">
        <f>IFERROR(VLOOKUP($A322,SortedDownload!$A$3:$BB$499,28,FALSE),"")</f>
        <v/>
      </c>
      <c r="P322" s="59" t="str">
        <f>IFERROR(VLOOKUP($A322,SortedDownload!$A$3:$BB$499,29,FALSE),"")</f>
        <v/>
      </c>
      <c r="Q322" s="59" t="str">
        <f>IFERROR(VLOOKUP($A322,SortedDownload!$A$3:$BB$499,30,FALSE),"")</f>
        <v/>
      </c>
      <c r="R322" s="62" t="str">
        <f>IFERROR(TEXT(VLOOKUP($A322,SortedDownload!$A$3:$Z$499,14,FALSE),"[hh]:mm:ss.000"),"")</f>
        <v/>
      </c>
      <c r="S322" s="83" t="str">
        <f t="shared" si="14"/>
        <v>N/A</v>
      </c>
      <c r="T322" s="83" t="e">
        <f t="shared" si="12"/>
        <v>#VALUE!</v>
      </c>
      <c r="U322" s="9" t="str">
        <f t="shared" si="13"/>
        <v/>
      </c>
      <c r="V322" s="20" t="str">
        <f>IFERROR(IF(VLOOKUP(H322,AgeCategories!$D$3:$J$32,7,FALSE)=I322,"","DNF"),"")</f>
        <v/>
      </c>
    </row>
    <row r="323" spans="1:22">
      <c r="A323" s="53" t="str">
        <f>IF(SortedDownload!A323 &lt; 1,"",SortedDownload!A323)</f>
        <v/>
      </c>
      <c r="B323" s="55">
        <f>IF(V323&lt;&gt;"","DNF",COUNTIF($V$3:V323,V323))</f>
        <v>288</v>
      </c>
      <c r="C323" s="54" t="str">
        <f>IF(OR(B323="DNF",H323=""),"DNF",COUNTIF($H$3:H323,H323))</f>
        <v>DNF</v>
      </c>
      <c r="D323" s="90" t="str">
        <f>IFERROR(VLOOKUP($A323,EntryList!$A$3:$N$596,2,FALSE),"")</f>
        <v/>
      </c>
      <c r="E323" s="54" t="str">
        <f>IFERROR(VLOOKUP($A323,EntryList!$A$3:$V$596,19,FALSE),"")</f>
        <v/>
      </c>
      <c r="F323" s="176" t="str">
        <f>IFERROR(VLOOKUP($A323,EntryList!$A$3:$V$596,18,FALSE),"")</f>
        <v/>
      </c>
      <c r="H323" s="90" t="str">
        <f>IFERROR(VLOOKUP($A323,EntryList!$A$3:$N$596,7,FALSE),"")</f>
        <v/>
      </c>
      <c r="I323" s="54" t="str">
        <f>IFERROR(VLOOKUP($A323,SortedDownload!$A$3:$Z819,4,FALSE),"")</f>
        <v/>
      </c>
      <c r="J323" s="59" t="str">
        <f>IFERROR(VLOOKUP($A323,SortedDownload!$A$3:$BB$499,23,FALSE),"")</f>
        <v/>
      </c>
      <c r="K323" s="59" t="str">
        <f>IFERROR(VLOOKUP($A323,SortedDownload!$A$3:$BB$499,24,FALSE),"")</f>
        <v/>
      </c>
      <c r="L323" s="59" t="str">
        <f>IFERROR(VLOOKUP($A323,SortedDownload!$A$3:$BB$499,25,FALSE),"")</f>
        <v/>
      </c>
      <c r="M323" s="59" t="str">
        <f>IFERROR(VLOOKUP($A323,SortedDownload!$A$3:$BB$499,26,FALSE),"")</f>
        <v/>
      </c>
      <c r="N323" s="59" t="str">
        <f>IFERROR(VLOOKUP($A323,SortedDownload!$A$3:$BB$499,27,FALSE),"")</f>
        <v/>
      </c>
      <c r="O323" s="59" t="str">
        <f>IFERROR(VLOOKUP($A323,SortedDownload!$A$3:$BB$499,28,FALSE),"")</f>
        <v/>
      </c>
      <c r="P323" s="59" t="str">
        <f>IFERROR(VLOOKUP($A323,SortedDownload!$A$3:$BB$499,29,FALSE),"")</f>
        <v/>
      </c>
      <c r="Q323" s="59" t="str">
        <f>IFERROR(VLOOKUP($A323,SortedDownload!$A$3:$BB$499,30,FALSE),"")</f>
        <v/>
      </c>
      <c r="R323" s="62" t="str">
        <f>IFERROR(TEXT(VLOOKUP($A323,SortedDownload!$A$3:$Z$499,14,FALSE),"[hh]:mm:ss.000"),"")</f>
        <v/>
      </c>
      <c r="S323" s="83" t="str">
        <f t="shared" si="14"/>
        <v>N/A</v>
      </c>
      <c r="T323" s="83" t="e">
        <f t="shared" si="12"/>
        <v>#VALUE!</v>
      </c>
      <c r="U323" s="9" t="str">
        <f t="shared" si="13"/>
        <v/>
      </c>
      <c r="V323" s="20" t="str">
        <f>IFERROR(IF(VLOOKUP(H323,AgeCategories!$D$3:$J$32,7,FALSE)=I323,"","DNF"),"")</f>
        <v/>
      </c>
    </row>
    <row r="324" spans="1:22">
      <c r="A324" s="53" t="str">
        <f>IF(SortedDownload!A324 &lt; 1,"",SortedDownload!A324)</f>
        <v/>
      </c>
      <c r="B324" s="55">
        <f>IF(V324&lt;&gt;"","DNF",COUNTIF($V$3:V324,V324))</f>
        <v>289</v>
      </c>
      <c r="C324" s="54" t="str">
        <f>IF(OR(B324="DNF",H324=""),"DNF",COUNTIF($H$3:H324,H324))</f>
        <v>DNF</v>
      </c>
      <c r="D324" s="90" t="str">
        <f>IFERROR(VLOOKUP($A324,EntryList!$A$3:$N$596,2,FALSE),"")</f>
        <v/>
      </c>
      <c r="E324" s="54" t="str">
        <f>IFERROR(VLOOKUP($A324,EntryList!$A$3:$V$596,19,FALSE),"")</f>
        <v/>
      </c>
      <c r="F324" s="176" t="str">
        <f>IFERROR(VLOOKUP($A324,EntryList!$A$3:$V$596,18,FALSE),"")</f>
        <v/>
      </c>
      <c r="H324" s="90" t="str">
        <f>IFERROR(VLOOKUP($A324,EntryList!$A$3:$N$596,7,FALSE),"")</f>
        <v/>
      </c>
      <c r="I324" s="54" t="str">
        <f>IFERROR(VLOOKUP($A324,SortedDownload!$A$3:$Z820,4,FALSE),"")</f>
        <v/>
      </c>
      <c r="J324" s="59" t="str">
        <f>IFERROR(VLOOKUP($A324,SortedDownload!$A$3:$BB$499,23,FALSE),"")</f>
        <v/>
      </c>
      <c r="K324" s="59" t="str">
        <f>IFERROR(VLOOKUP($A324,SortedDownload!$A$3:$BB$499,24,FALSE),"")</f>
        <v/>
      </c>
      <c r="L324" s="59" t="str">
        <f>IFERROR(VLOOKUP($A324,SortedDownload!$A$3:$BB$499,25,FALSE),"")</f>
        <v/>
      </c>
      <c r="M324" s="59" t="str">
        <f>IFERROR(VLOOKUP($A324,SortedDownload!$A$3:$BB$499,26,FALSE),"")</f>
        <v/>
      </c>
      <c r="N324" s="59" t="str">
        <f>IFERROR(VLOOKUP($A324,SortedDownload!$A$3:$BB$499,27,FALSE),"")</f>
        <v/>
      </c>
      <c r="O324" s="59" t="str">
        <f>IFERROR(VLOOKUP($A324,SortedDownload!$A$3:$BB$499,28,FALSE),"")</f>
        <v/>
      </c>
      <c r="P324" s="59" t="str">
        <f>IFERROR(VLOOKUP($A324,SortedDownload!$A$3:$BB$499,29,FALSE),"")</f>
        <v/>
      </c>
      <c r="Q324" s="59" t="str">
        <f>IFERROR(VLOOKUP($A324,SortedDownload!$A$3:$BB$499,30,FALSE),"")</f>
        <v/>
      </c>
      <c r="R324" s="62" t="str">
        <f>IFERROR(TEXT(VLOOKUP($A324,SortedDownload!$A$3:$Z$499,14,FALSE),"[hh]:mm:ss.000"),"")</f>
        <v/>
      </c>
      <c r="S324" s="83" t="str">
        <f t="shared" si="14"/>
        <v>N/A</v>
      </c>
      <c r="T324" s="83" t="e">
        <f t="shared" ref="T324:T387" si="15">IF($I324-$I323&lt;0,"N/A",IFERROR(TEXT(($R324-$R$3),"mm:ss"),"N/A"))</f>
        <v>#VALUE!</v>
      </c>
      <c r="U324" s="9" t="str">
        <f t="shared" ref="U324:U387" si="16">IF($A324="","",IF(COUNTIF($A$3:$A$500,$A324)&gt;1,"Duplicate",""))</f>
        <v/>
      </c>
      <c r="V324" s="20" t="str">
        <f>IFERROR(IF(VLOOKUP(H324,AgeCategories!$D$3:$J$32,7,FALSE)=I324,"","DNF"),"")</f>
        <v/>
      </c>
    </row>
    <row r="325" spans="1:22">
      <c r="A325" s="53" t="str">
        <f>IF(SortedDownload!A325 &lt; 1,"",SortedDownload!A325)</f>
        <v/>
      </c>
      <c r="B325" s="55">
        <f>IF(V325&lt;&gt;"","DNF",COUNTIF($V$3:V325,V325))</f>
        <v>290</v>
      </c>
      <c r="C325" s="54" t="str">
        <f>IF(OR(B325="DNF",H325=""),"DNF",COUNTIF($H$3:H325,H325))</f>
        <v>DNF</v>
      </c>
      <c r="D325" s="90" t="str">
        <f>IFERROR(VLOOKUP($A325,EntryList!$A$3:$N$596,2,FALSE),"")</f>
        <v/>
      </c>
      <c r="E325" s="54" t="str">
        <f>IFERROR(VLOOKUP($A325,EntryList!$A$3:$V$596,19,FALSE),"")</f>
        <v/>
      </c>
      <c r="F325" s="176" t="str">
        <f>IFERROR(VLOOKUP($A325,EntryList!$A$3:$V$596,18,FALSE),"")</f>
        <v/>
      </c>
      <c r="H325" s="90" t="str">
        <f>IFERROR(VLOOKUP($A325,EntryList!$A$3:$N$596,7,FALSE),"")</f>
        <v/>
      </c>
      <c r="I325" s="54" t="str">
        <f>IFERROR(VLOOKUP($A325,SortedDownload!$A$3:$Z821,4,FALSE),"")</f>
        <v/>
      </c>
      <c r="J325" s="59" t="str">
        <f>IFERROR(VLOOKUP($A325,SortedDownload!$A$3:$BB$499,23,FALSE),"")</f>
        <v/>
      </c>
      <c r="K325" s="59" t="str">
        <f>IFERROR(VLOOKUP($A325,SortedDownload!$A$3:$BB$499,24,FALSE),"")</f>
        <v/>
      </c>
      <c r="L325" s="59" t="str">
        <f>IFERROR(VLOOKUP($A325,SortedDownload!$A$3:$BB$499,25,FALSE),"")</f>
        <v/>
      </c>
      <c r="M325" s="59" t="str">
        <f>IFERROR(VLOOKUP($A325,SortedDownload!$A$3:$BB$499,26,FALSE),"")</f>
        <v/>
      </c>
      <c r="N325" s="59" t="str">
        <f>IFERROR(VLOOKUP($A325,SortedDownload!$A$3:$BB$499,27,FALSE),"")</f>
        <v/>
      </c>
      <c r="O325" s="59" t="str">
        <f>IFERROR(VLOOKUP($A325,SortedDownload!$A$3:$BB$499,28,FALSE),"")</f>
        <v/>
      </c>
      <c r="P325" s="59" t="str">
        <f>IFERROR(VLOOKUP($A325,SortedDownload!$A$3:$BB$499,29,FALSE),"")</f>
        <v/>
      </c>
      <c r="Q325" s="59" t="str">
        <f>IFERROR(VLOOKUP($A325,SortedDownload!$A$3:$BB$499,30,FALSE),"")</f>
        <v/>
      </c>
      <c r="R325" s="62" t="str">
        <f>IFERROR(TEXT(VLOOKUP($A325,SortedDownload!$A$3:$Z$499,14,FALSE),"[hh]:mm:ss.000"),"")</f>
        <v/>
      </c>
      <c r="S325" s="83" t="str">
        <f t="shared" ref="S325:S388" si="17">IFERROR(TEXT(($R325-$R324),"mm:ss"),"N/A")</f>
        <v>N/A</v>
      </c>
      <c r="T325" s="83" t="e">
        <f t="shared" si="15"/>
        <v>#VALUE!</v>
      </c>
      <c r="U325" s="9" t="str">
        <f t="shared" si="16"/>
        <v/>
      </c>
      <c r="V325" s="20" t="str">
        <f>IFERROR(IF(VLOOKUP(H325,AgeCategories!$D$3:$J$32,7,FALSE)=I325,"","DNF"),"")</f>
        <v/>
      </c>
    </row>
    <row r="326" spans="1:22">
      <c r="A326" s="53" t="str">
        <f>IF(SortedDownload!A326 &lt; 1,"",SortedDownload!A326)</f>
        <v/>
      </c>
      <c r="B326" s="55">
        <f>IF(V326&lt;&gt;"","DNF",COUNTIF($V$3:V326,V326))</f>
        <v>291</v>
      </c>
      <c r="C326" s="54" t="str">
        <f>IF(OR(B326="DNF",H326=""),"DNF",COUNTIF($H$3:H326,H326))</f>
        <v>DNF</v>
      </c>
      <c r="D326" s="90" t="str">
        <f>IFERROR(VLOOKUP($A326,EntryList!$A$3:$N$596,2,FALSE),"")</f>
        <v/>
      </c>
      <c r="E326" s="54" t="str">
        <f>IFERROR(VLOOKUP($A326,EntryList!$A$3:$V$596,19,FALSE),"")</f>
        <v/>
      </c>
      <c r="F326" s="176" t="str">
        <f>IFERROR(VLOOKUP($A326,EntryList!$A$3:$V$596,18,FALSE),"")</f>
        <v/>
      </c>
      <c r="H326" s="90" t="str">
        <f>IFERROR(VLOOKUP($A326,EntryList!$A$3:$N$596,7,FALSE),"")</f>
        <v/>
      </c>
      <c r="I326" s="54" t="str">
        <f>IFERROR(VLOOKUP($A326,SortedDownload!$A$3:$Z822,4,FALSE),"")</f>
        <v/>
      </c>
      <c r="J326" s="59" t="str">
        <f>IFERROR(VLOOKUP($A326,SortedDownload!$A$3:$BB$499,23,FALSE),"")</f>
        <v/>
      </c>
      <c r="K326" s="59" t="str">
        <f>IFERROR(VLOOKUP($A326,SortedDownload!$A$3:$BB$499,24,FALSE),"")</f>
        <v/>
      </c>
      <c r="L326" s="59" t="str">
        <f>IFERROR(VLOOKUP($A326,SortedDownload!$A$3:$BB$499,25,FALSE),"")</f>
        <v/>
      </c>
      <c r="M326" s="59" t="str">
        <f>IFERROR(VLOOKUP($A326,SortedDownload!$A$3:$BB$499,26,FALSE),"")</f>
        <v/>
      </c>
      <c r="N326" s="59" t="str">
        <f>IFERROR(VLOOKUP($A326,SortedDownload!$A$3:$BB$499,27,FALSE),"")</f>
        <v/>
      </c>
      <c r="O326" s="59" t="str">
        <f>IFERROR(VLOOKUP($A326,SortedDownload!$A$3:$BB$499,28,FALSE),"")</f>
        <v/>
      </c>
      <c r="P326" s="59" t="str">
        <f>IFERROR(VLOOKUP($A326,SortedDownload!$A$3:$BB$499,29,FALSE),"")</f>
        <v/>
      </c>
      <c r="Q326" s="59" t="str">
        <f>IFERROR(VLOOKUP($A326,SortedDownload!$A$3:$BB$499,30,FALSE),"")</f>
        <v/>
      </c>
      <c r="R326" s="62" t="str">
        <f>IFERROR(TEXT(VLOOKUP($A326,SortedDownload!$A$3:$Z$499,14,FALSE),"[hh]:mm:ss.000"),"")</f>
        <v/>
      </c>
      <c r="S326" s="83" t="str">
        <f t="shared" si="17"/>
        <v>N/A</v>
      </c>
      <c r="T326" s="83" t="e">
        <f t="shared" si="15"/>
        <v>#VALUE!</v>
      </c>
      <c r="U326" s="9" t="str">
        <f t="shared" si="16"/>
        <v/>
      </c>
      <c r="V326" s="20" t="str">
        <f>IFERROR(IF(VLOOKUP(H326,AgeCategories!$D$3:$J$32,7,FALSE)=I326,"","DNF"),"")</f>
        <v/>
      </c>
    </row>
    <row r="327" spans="1:22">
      <c r="A327" s="53" t="str">
        <f>IF(SortedDownload!A327 &lt; 1,"",SortedDownload!A327)</f>
        <v/>
      </c>
      <c r="B327" s="55">
        <f>IF(V327&lt;&gt;"","DNF",COUNTIF($V$3:V327,V327))</f>
        <v>292</v>
      </c>
      <c r="C327" s="54" t="str">
        <f>IF(OR(B327="DNF",H327=""),"DNF",COUNTIF($H$3:H327,H327))</f>
        <v>DNF</v>
      </c>
      <c r="D327" s="90" t="str">
        <f>IFERROR(VLOOKUP($A327,EntryList!$A$3:$N$596,2,FALSE),"")</f>
        <v/>
      </c>
      <c r="E327" s="54" t="str">
        <f>IFERROR(VLOOKUP($A327,EntryList!$A$3:$V$596,19,FALSE),"")</f>
        <v/>
      </c>
      <c r="F327" s="176" t="str">
        <f>IFERROR(VLOOKUP($A327,EntryList!$A$3:$V$596,18,FALSE),"")</f>
        <v/>
      </c>
      <c r="H327" s="90" t="str">
        <f>IFERROR(VLOOKUP($A327,EntryList!$A$3:$N$596,7,FALSE),"")</f>
        <v/>
      </c>
      <c r="I327" s="54" t="str">
        <f>IFERROR(VLOOKUP($A327,SortedDownload!$A$3:$Z823,4,FALSE),"")</f>
        <v/>
      </c>
      <c r="J327" s="59" t="str">
        <f>IFERROR(VLOOKUP($A327,SortedDownload!$A$3:$BB$499,23,FALSE),"")</f>
        <v/>
      </c>
      <c r="K327" s="59" t="str">
        <f>IFERROR(VLOOKUP($A327,SortedDownload!$A$3:$BB$499,24,FALSE),"")</f>
        <v/>
      </c>
      <c r="L327" s="59" t="str">
        <f>IFERROR(VLOOKUP($A327,SortedDownload!$A$3:$BB$499,25,FALSE),"")</f>
        <v/>
      </c>
      <c r="M327" s="59" t="str">
        <f>IFERROR(VLOOKUP($A327,SortedDownload!$A$3:$BB$499,26,FALSE),"")</f>
        <v/>
      </c>
      <c r="N327" s="59" t="str">
        <f>IFERROR(VLOOKUP($A327,SortedDownload!$A$3:$BB$499,27,FALSE),"")</f>
        <v/>
      </c>
      <c r="O327" s="59" t="str">
        <f>IFERROR(VLOOKUP($A327,SortedDownload!$A$3:$BB$499,28,FALSE),"")</f>
        <v/>
      </c>
      <c r="P327" s="59" t="str">
        <f>IFERROR(VLOOKUP($A327,SortedDownload!$A$3:$BB$499,29,FALSE),"")</f>
        <v/>
      </c>
      <c r="Q327" s="59" t="str">
        <f>IFERROR(VLOOKUP($A327,SortedDownload!$A$3:$BB$499,30,FALSE),"")</f>
        <v/>
      </c>
      <c r="R327" s="62" t="str">
        <f>IFERROR(TEXT(VLOOKUP($A327,SortedDownload!$A$3:$Z$499,14,FALSE),"[hh]:mm:ss.000"),"")</f>
        <v/>
      </c>
      <c r="S327" s="83" t="str">
        <f t="shared" si="17"/>
        <v>N/A</v>
      </c>
      <c r="T327" s="83" t="e">
        <f t="shared" si="15"/>
        <v>#VALUE!</v>
      </c>
      <c r="U327" s="9" t="str">
        <f t="shared" si="16"/>
        <v/>
      </c>
      <c r="V327" s="20" t="str">
        <f>IFERROR(IF(VLOOKUP(H327,AgeCategories!$D$3:$J$32,7,FALSE)=I327,"","DNF"),"")</f>
        <v/>
      </c>
    </row>
    <row r="328" spans="1:22">
      <c r="A328" s="53" t="str">
        <f>IF(SortedDownload!A328 &lt; 1,"",SortedDownload!A328)</f>
        <v/>
      </c>
      <c r="B328" s="55">
        <f>IF(V328&lt;&gt;"","DNF",COUNTIF($V$3:V328,V328))</f>
        <v>293</v>
      </c>
      <c r="C328" s="54" t="str">
        <f>IF(OR(B328="DNF",H328=""),"DNF",COUNTIF($H$3:H328,H328))</f>
        <v>DNF</v>
      </c>
      <c r="D328" s="90" t="str">
        <f>IFERROR(VLOOKUP($A328,EntryList!$A$3:$N$596,2,FALSE),"")</f>
        <v/>
      </c>
      <c r="E328" s="54" t="str">
        <f>IFERROR(VLOOKUP($A328,EntryList!$A$3:$V$596,19,FALSE),"")</f>
        <v/>
      </c>
      <c r="F328" s="176" t="str">
        <f>IFERROR(VLOOKUP($A328,EntryList!$A$3:$V$596,18,FALSE),"")</f>
        <v/>
      </c>
      <c r="H328" s="90" t="str">
        <f>IFERROR(VLOOKUP($A328,EntryList!$A$3:$N$596,7,FALSE),"")</f>
        <v/>
      </c>
      <c r="I328" s="54" t="str">
        <f>IFERROR(VLOOKUP($A328,SortedDownload!$A$3:$Z824,4,FALSE),"")</f>
        <v/>
      </c>
      <c r="J328" s="59" t="str">
        <f>IFERROR(VLOOKUP($A328,SortedDownload!$A$3:$BB$499,23,FALSE),"")</f>
        <v/>
      </c>
      <c r="K328" s="59" t="str">
        <f>IFERROR(VLOOKUP($A328,SortedDownload!$A$3:$BB$499,24,FALSE),"")</f>
        <v/>
      </c>
      <c r="L328" s="59" t="str">
        <f>IFERROR(VLOOKUP($A328,SortedDownload!$A$3:$BB$499,25,FALSE),"")</f>
        <v/>
      </c>
      <c r="M328" s="59" t="str">
        <f>IFERROR(VLOOKUP($A328,SortedDownload!$A$3:$BB$499,26,FALSE),"")</f>
        <v/>
      </c>
      <c r="N328" s="59" t="str">
        <f>IFERROR(VLOOKUP($A328,SortedDownload!$A$3:$BB$499,27,FALSE),"")</f>
        <v/>
      </c>
      <c r="O328" s="59" t="str">
        <f>IFERROR(VLOOKUP($A328,SortedDownload!$A$3:$BB$499,28,FALSE),"")</f>
        <v/>
      </c>
      <c r="P328" s="59" t="str">
        <f>IFERROR(VLOOKUP($A328,SortedDownload!$A$3:$BB$499,29,FALSE),"")</f>
        <v/>
      </c>
      <c r="Q328" s="59" t="str">
        <f>IFERROR(VLOOKUP($A328,SortedDownload!$A$3:$BB$499,30,FALSE),"")</f>
        <v/>
      </c>
      <c r="R328" s="62" t="str">
        <f>IFERROR(TEXT(VLOOKUP($A328,SortedDownload!$A$3:$Z$499,14,FALSE),"[hh]:mm:ss.000"),"")</f>
        <v/>
      </c>
      <c r="S328" s="83" t="str">
        <f t="shared" si="17"/>
        <v>N/A</v>
      </c>
      <c r="T328" s="83" t="e">
        <f t="shared" si="15"/>
        <v>#VALUE!</v>
      </c>
      <c r="U328" s="9" t="str">
        <f t="shared" si="16"/>
        <v/>
      </c>
      <c r="V328" s="20" t="str">
        <f>IFERROR(IF(VLOOKUP(H328,AgeCategories!$D$3:$J$32,7,FALSE)=I328,"","DNF"),"")</f>
        <v/>
      </c>
    </row>
    <row r="329" spans="1:22">
      <c r="A329" s="53" t="str">
        <f>IF(SortedDownload!A329 &lt; 1,"",SortedDownload!A329)</f>
        <v/>
      </c>
      <c r="B329" s="55">
        <f>IF(V329&lt;&gt;"","DNF",COUNTIF($V$3:V329,V329))</f>
        <v>294</v>
      </c>
      <c r="C329" s="54" t="str">
        <f>IF(OR(B329="DNF",H329=""),"DNF",COUNTIF($H$3:H329,H329))</f>
        <v>DNF</v>
      </c>
      <c r="D329" s="90" t="str">
        <f>IFERROR(VLOOKUP($A329,EntryList!$A$3:$N$596,2,FALSE),"")</f>
        <v/>
      </c>
      <c r="E329" s="54" t="str">
        <f>IFERROR(VLOOKUP($A329,EntryList!$A$3:$V$596,19,FALSE),"")</f>
        <v/>
      </c>
      <c r="F329" s="176" t="str">
        <f>IFERROR(VLOOKUP($A329,EntryList!$A$3:$V$596,18,FALSE),"")</f>
        <v/>
      </c>
      <c r="H329" s="90" t="str">
        <f>IFERROR(VLOOKUP($A329,EntryList!$A$3:$N$596,7,FALSE),"")</f>
        <v/>
      </c>
      <c r="I329" s="54" t="str">
        <f>IFERROR(VLOOKUP($A329,SortedDownload!$A$3:$Z825,4,FALSE),"")</f>
        <v/>
      </c>
      <c r="J329" s="59" t="str">
        <f>IFERROR(VLOOKUP($A329,SortedDownload!$A$3:$BB$499,23,FALSE),"")</f>
        <v/>
      </c>
      <c r="K329" s="59" t="str">
        <f>IFERROR(VLOOKUP($A329,SortedDownload!$A$3:$BB$499,24,FALSE),"")</f>
        <v/>
      </c>
      <c r="L329" s="59" t="str">
        <f>IFERROR(VLOOKUP($A329,SortedDownload!$A$3:$BB$499,25,FALSE),"")</f>
        <v/>
      </c>
      <c r="M329" s="59" t="str">
        <f>IFERROR(VLOOKUP($A329,SortedDownload!$A$3:$BB$499,26,FALSE),"")</f>
        <v/>
      </c>
      <c r="N329" s="59" t="str">
        <f>IFERROR(VLOOKUP($A329,SortedDownload!$A$3:$BB$499,27,FALSE),"")</f>
        <v/>
      </c>
      <c r="O329" s="59" t="str">
        <f>IFERROR(VLOOKUP($A329,SortedDownload!$A$3:$BB$499,28,FALSE),"")</f>
        <v/>
      </c>
      <c r="P329" s="59" t="str">
        <f>IFERROR(VLOOKUP($A329,SortedDownload!$A$3:$BB$499,29,FALSE),"")</f>
        <v/>
      </c>
      <c r="Q329" s="59" t="str">
        <f>IFERROR(VLOOKUP($A329,SortedDownload!$A$3:$BB$499,30,FALSE),"")</f>
        <v/>
      </c>
      <c r="R329" s="62" t="str">
        <f>IFERROR(TEXT(VLOOKUP($A329,SortedDownload!$A$3:$Z$499,14,FALSE),"[hh]:mm:ss.000"),"")</f>
        <v/>
      </c>
      <c r="S329" s="83" t="str">
        <f t="shared" si="17"/>
        <v>N/A</v>
      </c>
      <c r="T329" s="83" t="e">
        <f t="shared" si="15"/>
        <v>#VALUE!</v>
      </c>
      <c r="U329" s="9" t="str">
        <f t="shared" si="16"/>
        <v/>
      </c>
      <c r="V329" s="20" t="str">
        <f>IFERROR(IF(VLOOKUP(H329,AgeCategories!$D$3:$J$32,7,FALSE)=I329,"","DNF"),"")</f>
        <v/>
      </c>
    </row>
    <row r="330" spans="1:22">
      <c r="A330" s="53" t="str">
        <f>IF(SortedDownload!A330 &lt; 1,"",SortedDownload!A330)</f>
        <v/>
      </c>
      <c r="B330" s="55">
        <f>IF(V330&lt;&gt;"","DNF",COUNTIF($V$3:V330,V330))</f>
        <v>295</v>
      </c>
      <c r="C330" s="54" t="str">
        <f>IF(OR(B330="DNF",H330=""),"DNF",COUNTIF($H$3:H330,H330))</f>
        <v>DNF</v>
      </c>
      <c r="D330" s="90" t="str">
        <f>IFERROR(VLOOKUP($A330,EntryList!$A$3:$N$596,2,FALSE),"")</f>
        <v/>
      </c>
      <c r="E330" s="54" t="str">
        <f>IFERROR(VLOOKUP($A330,EntryList!$A$3:$V$596,19,FALSE),"")</f>
        <v/>
      </c>
      <c r="F330" s="176" t="str">
        <f>IFERROR(VLOOKUP($A330,EntryList!$A$3:$V$596,18,FALSE),"")</f>
        <v/>
      </c>
      <c r="H330" s="90" t="str">
        <f>IFERROR(VLOOKUP($A330,EntryList!$A$3:$N$596,7,FALSE),"")</f>
        <v/>
      </c>
      <c r="I330" s="54" t="str">
        <f>IFERROR(VLOOKUP($A330,SortedDownload!$A$3:$Z826,4,FALSE),"")</f>
        <v/>
      </c>
      <c r="J330" s="59" t="str">
        <f>IFERROR(VLOOKUP($A330,SortedDownload!$A$3:$BB$499,23,FALSE),"")</f>
        <v/>
      </c>
      <c r="K330" s="59" t="str">
        <f>IFERROR(VLOOKUP($A330,SortedDownload!$A$3:$BB$499,24,FALSE),"")</f>
        <v/>
      </c>
      <c r="L330" s="59" t="str">
        <f>IFERROR(VLOOKUP($A330,SortedDownload!$A$3:$BB$499,25,FALSE),"")</f>
        <v/>
      </c>
      <c r="M330" s="59" t="str">
        <f>IFERROR(VLOOKUP($A330,SortedDownload!$A$3:$BB$499,26,FALSE),"")</f>
        <v/>
      </c>
      <c r="N330" s="59" t="str">
        <f>IFERROR(VLOOKUP($A330,SortedDownload!$A$3:$BB$499,27,FALSE),"")</f>
        <v/>
      </c>
      <c r="O330" s="59" t="str">
        <f>IFERROR(VLOOKUP($A330,SortedDownload!$A$3:$BB$499,28,FALSE),"")</f>
        <v/>
      </c>
      <c r="P330" s="59" t="str">
        <f>IFERROR(VLOOKUP($A330,SortedDownload!$A$3:$BB$499,29,FALSE),"")</f>
        <v/>
      </c>
      <c r="Q330" s="59" t="str">
        <f>IFERROR(VLOOKUP($A330,SortedDownload!$A$3:$BB$499,30,FALSE),"")</f>
        <v/>
      </c>
      <c r="R330" s="62" t="str">
        <f>IFERROR(TEXT(VLOOKUP($A330,SortedDownload!$A$3:$Z$499,14,FALSE),"[hh]:mm:ss.000"),"")</f>
        <v/>
      </c>
      <c r="S330" s="83" t="str">
        <f t="shared" si="17"/>
        <v>N/A</v>
      </c>
      <c r="T330" s="83" t="e">
        <f t="shared" si="15"/>
        <v>#VALUE!</v>
      </c>
      <c r="U330" s="9" t="str">
        <f t="shared" si="16"/>
        <v/>
      </c>
      <c r="V330" s="20" t="str">
        <f>IFERROR(IF(VLOOKUP(H330,AgeCategories!$D$3:$J$32,7,FALSE)=I330,"","DNF"),"")</f>
        <v/>
      </c>
    </row>
    <row r="331" spans="1:22">
      <c r="A331" s="53" t="str">
        <f>IF(SortedDownload!A331 &lt; 1,"",SortedDownload!A331)</f>
        <v/>
      </c>
      <c r="B331" s="55">
        <f>IF(V331&lt;&gt;"","DNF",COUNTIF($V$3:V331,V331))</f>
        <v>296</v>
      </c>
      <c r="C331" s="54" t="str">
        <f>IF(OR(B331="DNF",H331=""),"DNF",COUNTIF($H$3:H331,H331))</f>
        <v>DNF</v>
      </c>
      <c r="D331" s="90" t="str">
        <f>IFERROR(VLOOKUP($A331,EntryList!$A$3:$N$596,2,FALSE),"")</f>
        <v/>
      </c>
      <c r="E331" s="54" t="str">
        <f>IFERROR(VLOOKUP($A331,EntryList!$A$3:$V$596,19,FALSE),"")</f>
        <v/>
      </c>
      <c r="F331" s="176" t="str">
        <f>IFERROR(VLOOKUP($A331,EntryList!$A$3:$V$596,18,FALSE),"")</f>
        <v/>
      </c>
      <c r="H331" s="90" t="str">
        <f>IFERROR(VLOOKUP($A331,EntryList!$A$3:$N$596,7,FALSE),"")</f>
        <v/>
      </c>
      <c r="I331" s="54" t="str">
        <f>IFERROR(VLOOKUP($A331,SortedDownload!$A$3:$Z827,4,FALSE),"")</f>
        <v/>
      </c>
      <c r="J331" s="59" t="str">
        <f>IFERROR(VLOOKUP($A331,SortedDownload!$A$3:$BB$499,23,FALSE),"")</f>
        <v/>
      </c>
      <c r="K331" s="59" t="str">
        <f>IFERROR(VLOOKUP($A331,SortedDownload!$A$3:$BB$499,24,FALSE),"")</f>
        <v/>
      </c>
      <c r="L331" s="59" t="str">
        <f>IFERROR(VLOOKUP($A331,SortedDownload!$A$3:$BB$499,25,FALSE),"")</f>
        <v/>
      </c>
      <c r="M331" s="59" t="str">
        <f>IFERROR(VLOOKUP($A331,SortedDownload!$A$3:$BB$499,26,FALSE),"")</f>
        <v/>
      </c>
      <c r="N331" s="59" t="str">
        <f>IFERROR(VLOOKUP($A331,SortedDownload!$A$3:$BB$499,27,FALSE),"")</f>
        <v/>
      </c>
      <c r="O331" s="59" t="str">
        <f>IFERROR(VLOOKUP($A331,SortedDownload!$A$3:$BB$499,28,FALSE),"")</f>
        <v/>
      </c>
      <c r="P331" s="59" t="str">
        <f>IFERROR(VLOOKUP($A331,SortedDownload!$A$3:$BB$499,29,FALSE),"")</f>
        <v/>
      </c>
      <c r="Q331" s="59" t="str">
        <f>IFERROR(VLOOKUP($A331,SortedDownload!$A$3:$BB$499,30,FALSE),"")</f>
        <v/>
      </c>
      <c r="R331" s="62" t="str">
        <f>IFERROR(TEXT(VLOOKUP($A331,SortedDownload!$A$3:$Z$499,14,FALSE),"[hh]:mm:ss.000"),"")</f>
        <v/>
      </c>
      <c r="S331" s="83" t="str">
        <f t="shared" si="17"/>
        <v>N/A</v>
      </c>
      <c r="T331" s="83" t="e">
        <f t="shared" si="15"/>
        <v>#VALUE!</v>
      </c>
      <c r="U331" s="9" t="str">
        <f t="shared" si="16"/>
        <v/>
      </c>
      <c r="V331" s="20" t="str">
        <f>IFERROR(IF(VLOOKUP(H331,AgeCategories!$D$3:$J$32,7,FALSE)=I331,"","DNF"),"")</f>
        <v/>
      </c>
    </row>
    <row r="332" spans="1:22">
      <c r="A332" s="53" t="str">
        <f>IF(SortedDownload!A332 &lt; 1,"",SortedDownload!A332)</f>
        <v/>
      </c>
      <c r="B332" s="55">
        <f>IF(V332&lt;&gt;"","DNF",COUNTIF($V$3:V332,V332))</f>
        <v>297</v>
      </c>
      <c r="C332" s="54" t="str">
        <f>IF(OR(B332="DNF",H332=""),"DNF",COUNTIF($H$3:H332,H332))</f>
        <v>DNF</v>
      </c>
      <c r="D332" s="90" t="str">
        <f>IFERROR(VLOOKUP($A332,EntryList!$A$3:$N$596,2,FALSE),"")</f>
        <v/>
      </c>
      <c r="E332" s="54" t="str">
        <f>IFERROR(VLOOKUP($A332,EntryList!$A$3:$V$596,19,FALSE),"")</f>
        <v/>
      </c>
      <c r="F332" s="176" t="str">
        <f>IFERROR(VLOOKUP($A332,EntryList!$A$3:$V$596,18,FALSE),"")</f>
        <v/>
      </c>
      <c r="H332" s="90" t="str">
        <f>IFERROR(VLOOKUP($A332,EntryList!$A$3:$N$596,7,FALSE),"")</f>
        <v/>
      </c>
      <c r="I332" s="54" t="str">
        <f>IFERROR(VLOOKUP($A332,SortedDownload!$A$3:$Z828,4,FALSE),"")</f>
        <v/>
      </c>
      <c r="J332" s="59" t="str">
        <f>IFERROR(VLOOKUP($A332,SortedDownload!$A$3:$BB$499,23,FALSE),"")</f>
        <v/>
      </c>
      <c r="K332" s="59" t="str">
        <f>IFERROR(VLOOKUP($A332,SortedDownload!$A$3:$BB$499,24,FALSE),"")</f>
        <v/>
      </c>
      <c r="L332" s="59" t="str">
        <f>IFERROR(VLOOKUP($A332,SortedDownload!$A$3:$BB$499,25,FALSE),"")</f>
        <v/>
      </c>
      <c r="M332" s="59" t="str">
        <f>IFERROR(VLOOKUP($A332,SortedDownload!$A$3:$BB$499,26,FALSE),"")</f>
        <v/>
      </c>
      <c r="N332" s="59" t="str">
        <f>IFERROR(VLOOKUP($A332,SortedDownload!$A$3:$BB$499,27,FALSE),"")</f>
        <v/>
      </c>
      <c r="O332" s="59" t="str">
        <f>IFERROR(VLOOKUP($A332,SortedDownload!$A$3:$BB$499,28,FALSE),"")</f>
        <v/>
      </c>
      <c r="P332" s="59" t="str">
        <f>IFERROR(VLOOKUP($A332,SortedDownload!$A$3:$BB$499,29,FALSE),"")</f>
        <v/>
      </c>
      <c r="Q332" s="59" t="str">
        <f>IFERROR(VLOOKUP($A332,SortedDownload!$A$3:$BB$499,30,FALSE),"")</f>
        <v/>
      </c>
      <c r="R332" s="62" t="str">
        <f>IFERROR(TEXT(VLOOKUP($A332,SortedDownload!$A$3:$Z$499,14,FALSE),"[hh]:mm:ss.000"),"")</f>
        <v/>
      </c>
      <c r="S332" s="83" t="str">
        <f t="shared" si="17"/>
        <v>N/A</v>
      </c>
      <c r="T332" s="83" t="e">
        <f t="shared" si="15"/>
        <v>#VALUE!</v>
      </c>
      <c r="U332" s="9" t="str">
        <f t="shared" si="16"/>
        <v/>
      </c>
      <c r="V332" s="20" t="str">
        <f>IFERROR(IF(VLOOKUP(H332,AgeCategories!$D$3:$J$32,7,FALSE)=I332,"","DNF"),"")</f>
        <v/>
      </c>
    </row>
    <row r="333" spans="1:22">
      <c r="A333" s="53" t="str">
        <f>IF(SortedDownload!A333 &lt; 1,"",SortedDownload!A333)</f>
        <v/>
      </c>
      <c r="B333" s="55">
        <f>IF(V333&lt;&gt;"","DNF",COUNTIF($V$3:V333,V333))</f>
        <v>298</v>
      </c>
      <c r="C333" s="54" t="str">
        <f>IF(OR(B333="DNF",H333=""),"DNF",COUNTIF($H$3:H333,H333))</f>
        <v>DNF</v>
      </c>
      <c r="D333" s="90" t="str">
        <f>IFERROR(VLOOKUP($A333,EntryList!$A$3:$N$596,2,FALSE),"")</f>
        <v/>
      </c>
      <c r="E333" s="54" t="str">
        <f>IFERROR(VLOOKUP($A333,EntryList!$A$3:$V$596,19,FALSE),"")</f>
        <v/>
      </c>
      <c r="F333" s="176" t="str">
        <f>IFERROR(VLOOKUP($A333,EntryList!$A$3:$V$596,18,FALSE),"")</f>
        <v/>
      </c>
      <c r="H333" s="90" t="str">
        <f>IFERROR(VLOOKUP($A333,EntryList!$A$3:$N$596,7,FALSE),"")</f>
        <v/>
      </c>
      <c r="I333" s="54" t="str">
        <f>IFERROR(VLOOKUP($A333,SortedDownload!$A$3:$Z829,4,FALSE),"")</f>
        <v/>
      </c>
      <c r="J333" s="59" t="str">
        <f>IFERROR(VLOOKUP($A333,SortedDownload!$A$3:$BB$499,23,FALSE),"")</f>
        <v/>
      </c>
      <c r="K333" s="59" t="str">
        <f>IFERROR(VLOOKUP($A333,SortedDownload!$A$3:$BB$499,24,FALSE),"")</f>
        <v/>
      </c>
      <c r="L333" s="59" t="str">
        <f>IFERROR(VLOOKUP($A333,SortedDownload!$A$3:$BB$499,25,FALSE),"")</f>
        <v/>
      </c>
      <c r="M333" s="59" t="str">
        <f>IFERROR(VLOOKUP($A333,SortedDownload!$A$3:$BB$499,26,FALSE),"")</f>
        <v/>
      </c>
      <c r="N333" s="59" t="str">
        <f>IFERROR(VLOOKUP($A333,SortedDownload!$A$3:$BB$499,27,FALSE),"")</f>
        <v/>
      </c>
      <c r="O333" s="59" t="str">
        <f>IFERROR(VLOOKUP($A333,SortedDownload!$A$3:$BB$499,28,FALSE),"")</f>
        <v/>
      </c>
      <c r="P333" s="59" t="str">
        <f>IFERROR(VLOOKUP($A333,SortedDownload!$A$3:$BB$499,29,FALSE),"")</f>
        <v/>
      </c>
      <c r="Q333" s="59" t="str">
        <f>IFERROR(VLOOKUP($A333,SortedDownload!$A$3:$BB$499,30,FALSE),"")</f>
        <v/>
      </c>
      <c r="R333" s="62" t="str">
        <f>IFERROR(TEXT(VLOOKUP($A333,SortedDownload!$A$3:$Z$499,14,FALSE),"[hh]:mm:ss.000"),"")</f>
        <v/>
      </c>
      <c r="S333" s="83" t="str">
        <f t="shared" si="17"/>
        <v>N/A</v>
      </c>
      <c r="T333" s="83" t="e">
        <f t="shared" si="15"/>
        <v>#VALUE!</v>
      </c>
      <c r="U333" s="9" t="str">
        <f t="shared" si="16"/>
        <v/>
      </c>
      <c r="V333" s="20" t="str">
        <f>IFERROR(IF(VLOOKUP(H333,AgeCategories!$D$3:$J$32,7,FALSE)=I333,"","DNF"),"")</f>
        <v/>
      </c>
    </row>
    <row r="334" spans="1:22">
      <c r="A334" s="53" t="str">
        <f>IF(SortedDownload!A334 &lt; 1,"",SortedDownload!A334)</f>
        <v/>
      </c>
      <c r="B334" s="55">
        <f>IF(V334&lt;&gt;"","DNF",COUNTIF($V$3:V334,V334))</f>
        <v>299</v>
      </c>
      <c r="C334" s="54" t="str">
        <f>IF(OR(B334="DNF",H334=""),"DNF",COUNTIF($H$3:H334,H334))</f>
        <v>DNF</v>
      </c>
      <c r="D334" s="90" t="str">
        <f>IFERROR(VLOOKUP($A334,EntryList!$A$3:$N$596,2,FALSE),"")</f>
        <v/>
      </c>
      <c r="E334" s="54" t="str">
        <f>IFERROR(VLOOKUP($A334,EntryList!$A$3:$V$596,19,FALSE),"")</f>
        <v/>
      </c>
      <c r="F334" s="176" t="str">
        <f>IFERROR(VLOOKUP($A334,EntryList!$A$3:$V$596,18,FALSE),"")</f>
        <v/>
      </c>
      <c r="H334" s="90" t="str">
        <f>IFERROR(VLOOKUP($A334,EntryList!$A$3:$N$596,7,FALSE),"")</f>
        <v/>
      </c>
      <c r="I334" s="54" t="str">
        <f>IFERROR(VLOOKUP($A334,SortedDownload!$A$3:$Z830,4,FALSE),"")</f>
        <v/>
      </c>
      <c r="J334" s="59" t="str">
        <f>IFERROR(VLOOKUP($A334,SortedDownload!$A$3:$BB$499,23,FALSE),"")</f>
        <v/>
      </c>
      <c r="K334" s="59" t="str">
        <f>IFERROR(VLOOKUP($A334,SortedDownload!$A$3:$BB$499,24,FALSE),"")</f>
        <v/>
      </c>
      <c r="L334" s="59" t="str">
        <f>IFERROR(VLOOKUP($A334,SortedDownload!$A$3:$BB$499,25,FALSE),"")</f>
        <v/>
      </c>
      <c r="M334" s="59" t="str">
        <f>IFERROR(VLOOKUP($A334,SortedDownload!$A$3:$BB$499,26,FALSE),"")</f>
        <v/>
      </c>
      <c r="N334" s="59" t="str">
        <f>IFERROR(VLOOKUP($A334,SortedDownload!$A$3:$BB$499,27,FALSE),"")</f>
        <v/>
      </c>
      <c r="O334" s="59" t="str">
        <f>IFERROR(VLOOKUP($A334,SortedDownload!$A$3:$BB$499,28,FALSE),"")</f>
        <v/>
      </c>
      <c r="P334" s="59" t="str">
        <f>IFERROR(VLOOKUP($A334,SortedDownload!$A$3:$BB$499,29,FALSE),"")</f>
        <v/>
      </c>
      <c r="Q334" s="59" t="str">
        <f>IFERROR(VLOOKUP($A334,SortedDownload!$A$3:$BB$499,30,FALSE),"")</f>
        <v/>
      </c>
      <c r="R334" s="62" t="str">
        <f>IFERROR(TEXT(VLOOKUP($A334,SortedDownload!$A$3:$Z$499,14,FALSE),"[hh]:mm:ss.000"),"")</f>
        <v/>
      </c>
      <c r="S334" s="83" t="str">
        <f t="shared" si="17"/>
        <v>N/A</v>
      </c>
      <c r="T334" s="83" t="e">
        <f t="shared" si="15"/>
        <v>#VALUE!</v>
      </c>
      <c r="U334" s="9" t="str">
        <f t="shared" si="16"/>
        <v/>
      </c>
      <c r="V334" s="20" t="str">
        <f>IFERROR(IF(VLOOKUP(H334,AgeCategories!$D$3:$J$32,7,FALSE)=I334,"","DNF"),"")</f>
        <v/>
      </c>
    </row>
    <row r="335" spans="1:22">
      <c r="A335" s="53" t="str">
        <f>IF(SortedDownload!A335 &lt; 1,"",SortedDownload!A335)</f>
        <v/>
      </c>
      <c r="B335" s="55">
        <f>IF(V335&lt;&gt;"","DNF",COUNTIF($V$3:V335,V335))</f>
        <v>300</v>
      </c>
      <c r="C335" s="54" t="str">
        <f>IF(OR(B335="DNF",H335=""),"DNF",COUNTIF($H$3:H335,H335))</f>
        <v>DNF</v>
      </c>
      <c r="D335" s="90" t="str">
        <f>IFERROR(VLOOKUP($A335,EntryList!$A$3:$N$596,2,FALSE),"")</f>
        <v/>
      </c>
      <c r="E335" s="54" t="str">
        <f>IFERROR(VLOOKUP($A335,EntryList!$A$3:$V$596,19,FALSE),"")</f>
        <v/>
      </c>
      <c r="F335" s="176" t="str">
        <f>IFERROR(VLOOKUP($A335,EntryList!$A$3:$V$596,18,FALSE),"")</f>
        <v/>
      </c>
      <c r="H335" s="90" t="str">
        <f>IFERROR(VLOOKUP($A335,EntryList!$A$3:$N$596,7,FALSE),"")</f>
        <v/>
      </c>
      <c r="I335" s="54" t="str">
        <f>IFERROR(VLOOKUP($A335,SortedDownload!$A$3:$Z831,4,FALSE),"")</f>
        <v/>
      </c>
      <c r="J335" s="59" t="str">
        <f>IFERROR(VLOOKUP($A335,SortedDownload!$A$3:$BB$499,23,FALSE),"")</f>
        <v/>
      </c>
      <c r="K335" s="59" t="str">
        <f>IFERROR(VLOOKUP($A335,SortedDownload!$A$3:$BB$499,24,FALSE),"")</f>
        <v/>
      </c>
      <c r="L335" s="59" t="str">
        <f>IFERROR(VLOOKUP($A335,SortedDownload!$A$3:$BB$499,25,FALSE),"")</f>
        <v/>
      </c>
      <c r="M335" s="59" t="str">
        <f>IFERROR(VLOOKUP($A335,SortedDownload!$A$3:$BB$499,26,FALSE),"")</f>
        <v/>
      </c>
      <c r="N335" s="59" t="str">
        <f>IFERROR(VLOOKUP($A335,SortedDownload!$A$3:$BB$499,27,FALSE),"")</f>
        <v/>
      </c>
      <c r="O335" s="59" t="str">
        <f>IFERROR(VLOOKUP($A335,SortedDownload!$A$3:$BB$499,28,FALSE),"")</f>
        <v/>
      </c>
      <c r="P335" s="59" t="str">
        <f>IFERROR(VLOOKUP($A335,SortedDownload!$A$3:$BB$499,29,FALSE),"")</f>
        <v/>
      </c>
      <c r="Q335" s="59" t="str">
        <f>IFERROR(VLOOKUP($A335,SortedDownload!$A$3:$BB$499,30,FALSE),"")</f>
        <v/>
      </c>
      <c r="R335" s="62" t="str">
        <f>IFERROR(TEXT(VLOOKUP($A335,SortedDownload!$A$3:$Z$499,14,FALSE),"[hh]:mm:ss.000"),"")</f>
        <v/>
      </c>
      <c r="S335" s="83" t="str">
        <f t="shared" si="17"/>
        <v>N/A</v>
      </c>
      <c r="T335" s="83" t="e">
        <f t="shared" si="15"/>
        <v>#VALUE!</v>
      </c>
      <c r="U335" s="9" t="str">
        <f t="shared" si="16"/>
        <v/>
      </c>
      <c r="V335" s="20" t="str">
        <f>IFERROR(IF(VLOOKUP(H335,AgeCategories!$D$3:$J$32,7,FALSE)=I335,"","DNF"),"")</f>
        <v/>
      </c>
    </row>
    <row r="336" spans="1:22">
      <c r="A336" s="53" t="str">
        <f>IF(SortedDownload!A336 &lt; 1,"",SortedDownload!A336)</f>
        <v/>
      </c>
      <c r="B336" s="55">
        <f>IF(V336&lt;&gt;"","DNF",COUNTIF($V$3:V336,V336))</f>
        <v>301</v>
      </c>
      <c r="C336" s="54" t="str">
        <f>IF(OR(B336="DNF",H336=""),"DNF",COUNTIF($H$3:H336,H336))</f>
        <v>DNF</v>
      </c>
      <c r="D336" s="90" t="str">
        <f>IFERROR(VLOOKUP($A336,EntryList!$A$3:$N$596,2,FALSE),"")</f>
        <v/>
      </c>
      <c r="E336" s="54" t="str">
        <f>IFERROR(VLOOKUP($A336,EntryList!$A$3:$V$596,19,FALSE),"")</f>
        <v/>
      </c>
      <c r="F336" s="176" t="str">
        <f>IFERROR(VLOOKUP($A336,EntryList!$A$3:$V$596,18,FALSE),"")</f>
        <v/>
      </c>
      <c r="H336" s="90" t="str">
        <f>IFERROR(VLOOKUP($A336,EntryList!$A$3:$N$596,7,FALSE),"")</f>
        <v/>
      </c>
      <c r="I336" s="54" t="str">
        <f>IFERROR(VLOOKUP($A336,SortedDownload!$A$3:$Z832,4,FALSE),"")</f>
        <v/>
      </c>
      <c r="J336" s="59" t="str">
        <f>IFERROR(VLOOKUP($A336,SortedDownload!$A$3:$BB$499,23,FALSE),"")</f>
        <v/>
      </c>
      <c r="K336" s="59" t="str">
        <f>IFERROR(VLOOKUP($A336,SortedDownload!$A$3:$BB$499,24,FALSE),"")</f>
        <v/>
      </c>
      <c r="L336" s="59" t="str">
        <f>IFERROR(VLOOKUP($A336,SortedDownload!$A$3:$BB$499,25,FALSE),"")</f>
        <v/>
      </c>
      <c r="M336" s="59" t="str">
        <f>IFERROR(VLOOKUP($A336,SortedDownload!$A$3:$BB$499,26,FALSE),"")</f>
        <v/>
      </c>
      <c r="N336" s="59" t="str">
        <f>IFERROR(VLOOKUP($A336,SortedDownload!$A$3:$BB$499,27,FALSE),"")</f>
        <v/>
      </c>
      <c r="O336" s="59" t="str">
        <f>IFERROR(VLOOKUP($A336,SortedDownload!$A$3:$BB$499,28,FALSE),"")</f>
        <v/>
      </c>
      <c r="P336" s="59" t="str">
        <f>IFERROR(VLOOKUP($A336,SortedDownload!$A$3:$BB$499,29,FALSE),"")</f>
        <v/>
      </c>
      <c r="Q336" s="59" t="str">
        <f>IFERROR(VLOOKUP($A336,SortedDownload!$A$3:$BB$499,30,FALSE),"")</f>
        <v/>
      </c>
      <c r="R336" s="62" t="str">
        <f>IFERROR(TEXT(VLOOKUP($A336,SortedDownload!$A$3:$Z$499,14,FALSE),"[hh]:mm:ss.000"),"")</f>
        <v/>
      </c>
      <c r="S336" s="83" t="str">
        <f t="shared" si="17"/>
        <v>N/A</v>
      </c>
      <c r="T336" s="83" t="e">
        <f t="shared" si="15"/>
        <v>#VALUE!</v>
      </c>
      <c r="U336" s="9" t="str">
        <f t="shared" si="16"/>
        <v/>
      </c>
      <c r="V336" s="20" t="str">
        <f>IFERROR(IF(VLOOKUP(H336,AgeCategories!$D$3:$J$32,7,FALSE)=I336,"","DNF"),"")</f>
        <v/>
      </c>
    </row>
    <row r="337" spans="1:22">
      <c r="A337" s="53" t="str">
        <f>IF(SortedDownload!A337 &lt; 1,"",SortedDownload!A337)</f>
        <v/>
      </c>
      <c r="B337" s="55">
        <f>IF(V337&lt;&gt;"","DNF",COUNTIF($V$3:V337,V337))</f>
        <v>302</v>
      </c>
      <c r="C337" s="54" t="str">
        <f>IF(OR(B337="DNF",H337=""),"DNF",COUNTIF($H$3:H337,H337))</f>
        <v>DNF</v>
      </c>
      <c r="D337" s="90" t="str">
        <f>IFERROR(VLOOKUP($A337,EntryList!$A$3:$N$596,2,FALSE),"")</f>
        <v/>
      </c>
      <c r="E337" s="54" t="str">
        <f>IFERROR(VLOOKUP($A337,EntryList!$A$3:$V$596,19,FALSE),"")</f>
        <v/>
      </c>
      <c r="F337" s="176" t="str">
        <f>IFERROR(VLOOKUP($A337,EntryList!$A$3:$V$596,18,FALSE),"")</f>
        <v/>
      </c>
      <c r="H337" s="90" t="str">
        <f>IFERROR(VLOOKUP($A337,EntryList!$A$3:$N$596,7,FALSE),"")</f>
        <v/>
      </c>
      <c r="I337" s="54" t="str">
        <f>IFERROR(VLOOKUP($A337,SortedDownload!$A$3:$Z833,4,FALSE),"")</f>
        <v/>
      </c>
      <c r="J337" s="59" t="str">
        <f>IFERROR(VLOOKUP($A337,SortedDownload!$A$3:$BB$499,23,FALSE),"")</f>
        <v/>
      </c>
      <c r="K337" s="59" t="str">
        <f>IFERROR(VLOOKUP($A337,SortedDownload!$A$3:$BB$499,24,FALSE),"")</f>
        <v/>
      </c>
      <c r="L337" s="59" t="str">
        <f>IFERROR(VLOOKUP($A337,SortedDownload!$A$3:$BB$499,25,FALSE),"")</f>
        <v/>
      </c>
      <c r="M337" s="59" t="str">
        <f>IFERROR(VLOOKUP($A337,SortedDownload!$A$3:$BB$499,26,FALSE),"")</f>
        <v/>
      </c>
      <c r="N337" s="59" t="str">
        <f>IFERROR(VLOOKUP($A337,SortedDownload!$A$3:$BB$499,27,FALSE),"")</f>
        <v/>
      </c>
      <c r="O337" s="59" t="str">
        <f>IFERROR(VLOOKUP($A337,SortedDownload!$A$3:$BB$499,28,FALSE),"")</f>
        <v/>
      </c>
      <c r="P337" s="59" t="str">
        <f>IFERROR(VLOOKUP($A337,SortedDownload!$A$3:$BB$499,29,FALSE),"")</f>
        <v/>
      </c>
      <c r="Q337" s="59" t="str">
        <f>IFERROR(VLOOKUP($A337,SortedDownload!$A$3:$BB$499,30,FALSE),"")</f>
        <v/>
      </c>
      <c r="R337" s="62" t="str">
        <f>IFERROR(TEXT(VLOOKUP($A337,SortedDownload!$A$3:$Z$499,14,FALSE),"[hh]:mm:ss.000"),"")</f>
        <v/>
      </c>
      <c r="S337" s="83" t="str">
        <f t="shared" si="17"/>
        <v>N/A</v>
      </c>
      <c r="T337" s="83" t="e">
        <f t="shared" si="15"/>
        <v>#VALUE!</v>
      </c>
      <c r="U337" s="9" t="str">
        <f t="shared" si="16"/>
        <v/>
      </c>
      <c r="V337" s="20" t="str">
        <f>IFERROR(IF(VLOOKUP(H337,AgeCategories!$D$3:$J$32,7,FALSE)=I337,"","DNF"),"")</f>
        <v/>
      </c>
    </row>
    <row r="338" spans="1:22">
      <c r="A338" s="53" t="str">
        <f>IF(SortedDownload!A338 &lt; 1,"",SortedDownload!A338)</f>
        <v/>
      </c>
      <c r="B338" s="55">
        <f>IF(V338&lt;&gt;"","DNF",COUNTIF($V$3:V338,V338))</f>
        <v>303</v>
      </c>
      <c r="C338" s="54" t="str">
        <f>IF(OR(B338="DNF",H338=""),"DNF",COUNTIF($H$3:H338,H338))</f>
        <v>DNF</v>
      </c>
      <c r="D338" s="90" t="str">
        <f>IFERROR(VLOOKUP($A338,EntryList!$A$3:$N$596,2,FALSE),"")</f>
        <v/>
      </c>
      <c r="E338" s="54" t="str">
        <f>IFERROR(VLOOKUP($A338,EntryList!$A$3:$V$596,19,FALSE),"")</f>
        <v/>
      </c>
      <c r="F338" s="176" t="str">
        <f>IFERROR(VLOOKUP($A338,EntryList!$A$3:$V$596,18,FALSE),"")</f>
        <v/>
      </c>
      <c r="H338" s="90" t="str">
        <f>IFERROR(VLOOKUP($A338,EntryList!$A$3:$N$596,7,FALSE),"")</f>
        <v/>
      </c>
      <c r="I338" s="54" t="str">
        <f>IFERROR(VLOOKUP($A338,SortedDownload!$A$3:$Z834,4,FALSE),"")</f>
        <v/>
      </c>
      <c r="J338" s="59" t="str">
        <f>IFERROR(VLOOKUP($A338,SortedDownload!$A$3:$BB$499,23,FALSE),"")</f>
        <v/>
      </c>
      <c r="K338" s="59" t="str">
        <f>IFERROR(VLOOKUP($A338,SortedDownload!$A$3:$BB$499,24,FALSE),"")</f>
        <v/>
      </c>
      <c r="L338" s="59" t="str">
        <f>IFERROR(VLOOKUP($A338,SortedDownload!$A$3:$BB$499,25,FALSE),"")</f>
        <v/>
      </c>
      <c r="M338" s="59" t="str">
        <f>IFERROR(VLOOKUP($A338,SortedDownload!$A$3:$BB$499,26,FALSE),"")</f>
        <v/>
      </c>
      <c r="N338" s="59" t="str">
        <f>IFERROR(VLOOKUP($A338,SortedDownload!$A$3:$BB$499,27,FALSE),"")</f>
        <v/>
      </c>
      <c r="O338" s="59" t="str">
        <f>IFERROR(VLOOKUP($A338,SortedDownload!$A$3:$BB$499,28,FALSE),"")</f>
        <v/>
      </c>
      <c r="P338" s="59" t="str">
        <f>IFERROR(VLOOKUP($A338,SortedDownload!$A$3:$BB$499,29,FALSE),"")</f>
        <v/>
      </c>
      <c r="Q338" s="59" t="str">
        <f>IFERROR(VLOOKUP($A338,SortedDownload!$A$3:$BB$499,30,FALSE),"")</f>
        <v/>
      </c>
      <c r="R338" s="62" t="str">
        <f>IFERROR(TEXT(VLOOKUP($A338,SortedDownload!$A$3:$Z$499,14,FALSE),"[hh]:mm:ss.000"),"")</f>
        <v/>
      </c>
      <c r="S338" s="83" t="str">
        <f t="shared" si="17"/>
        <v>N/A</v>
      </c>
      <c r="T338" s="83" t="e">
        <f t="shared" si="15"/>
        <v>#VALUE!</v>
      </c>
      <c r="U338" s="9" t="str">
        <f t="shared" si="16"/>
        <v/>
      </c>
      <c r="V338" s="20" t="str">
        <f>IFERROR(IF(VLOOKUP(H338,AgeCategories!$D$3:$J$32,7,FALSE)=I338,"","DNF"),"")</f>
        <v/>
      </c>
    </row>
    <row r="339" spans="1:22">
      <c r="A339" s="53" t="str">
        <f>IF(SortedDownload!A339 &lt; 1,"",SortedDownload!A339)</f>
        <v/>
      </c>
      <c r="B339" s="55">
        <f>IF(V339&lt;&gt;"","DNF",COUNTIF($V$3:V339,V339))</f>
        <v>304</v>
      </c>
      <c r="C339" s="54" t="str">
        <f>IF(OR(B339="DNF",H339=""),"DNF",COUNTIF($H$3:H339,H339))</f>
        <v>DNF</v>
      </c>
      <c r="D339" s="90" t="str">
        <f>IFERROR(VLOOKUP($A339,EntryList!$A$3:$N$596,2,FALSE),"")</f>
        <v/>
      </c>
      <c r="E339" s="54" t="str">
        <f>IFERROR(VLOOKUP($A339,EntryList!$A$3:$V$596,19,FALSE),"")</f>
        <v/>
      </c>
      <c r="F339" s="176" t="str">
        <f>IFERROR(VLOOKUP($A339,EntryList!$A$3:$V$596,18,FALSE),"")</f>
        <v/>
      </c>
      <c r="H339" s="90" t="str">
        <f>IFERROR(VLOOKUP($A339,EntryList!$A$3:$N$596,7,FALSE),"")</f>
        <v/>
      </c>
      <c r="I339" s="54" t="str">
        <f>IFERROR(VLOOKUP($A339,SortedDownload!$A$3:$Z835,4,FALSE),"")</f>
        <v/>
      </c>
      <c r="J339" s="59" t="str">
        <f>IFERROR(VLOOKUP($A339,SortedDownload!$A$3:$BB$499,23,FALSE),"")</f>
        <v/>
      </c>
      <c r="K339" s="59" t="str">
        <f>IFERROR(VLOOKUP($A339,SortedDownload!$A$3:$BB$499,24,FALSE),"")</f>
        <v/>
      </c>
      <c r="L339" s="59" t="str">
        <f>IFERROR(VLOOKUP($A339,SortedDownload!$A$3:$BB$499,25,FALSE),"")</f>
        <v/>
      </c>
      <c r="M339" s="59" t="str">
        <f>IFERROR(VLOOKUP($A339,SortedDownload!$A$3:$BB$499,26,FALSE),"")</f>
        <v/>
      </c>
      <c r="N339" s="59" t="str">
        <f>IFERROR(VLOOKUP($A339,SortedDownload!$A$3:$BB$499,27,FALSE),"")</f>
        <v/>
      </c>
      <c r="O339" s="59" t="str">
        <f>IFERROR(VLOOKUP($A339,SortedDownload!$A$3:$BB$499,28,FALSE),"")</f>
        <v/>
      </c>
      <c r="P339" s="59" t="str">
        <f>IFERROR(VLOOKUP($A339,SortedDownload!$A$3:$BB$499,29,FALSE),"")</f>
        <v/>
      </c>
      <c r="Q339" s="59" t="str">
        <f>IFERROR(VLOOKUP($A339,SortedDownload!$A$3:$BB$499,30,FALSE),"")</f>
        <v/>
      </c>
      <c r="R339" s="62" t="str">
        <f>IFERROR(TEXT(VLOOKUP($A339,SortedDownload!$A$3:$Z$499,14,FALSE),"[hh]:mm:ss.000"),"")</f>
        <v/>
      </c>
      <c r="S339" s="83" t="str">
        <f t="shared" si="17"/>
        <v>N/A</v>
      </c>
      <c r="T339" s="83" t="e">
        <f t="shared" si="15"/>
        <v>#VALUE!</v>
      </c>
      <c r="U339" s="9" t="str">
        <f t="shared" si="16"/>
        <v/>
      </c>
      <c r="V339" s="20" t="str">
        <f>IFERROR(IF(VLOOKUP(H339,AgeCategories!$D$3:$J$32,7,FALSE)=I339,"","DNF"),"")</f>
        <v/>
      </c>
    </row>
    <row r="340" spans="1:22">
      <c r="A340" s="53" t="str">
        <f>IF(SortedDownload!A340 &lt; 1,"",SortedDownload!A340)</f>
        <v/>
      </c>
      <c r="B340" s="55">
        <f>IF(V340&lt;&gt;"","DNF",COUNTIF($V$3:V340,V340))</f>
        <v>305</v>
      </c>
      <c r="C340" s="54" t="str">
        <f>IF(OR(B340="DNF",H340=""),"DNF",COUNTIF($H$3:H340,H340))</f>
        <v>DNF</v>
      </c>
      <c r="D340" s="90" t="str">
        <f>IFERROR(VLOOKUP($A340,EntryList!$A$3:$N$596,2,FALSE),"")</f>
        <v/>
      </c>
      <c r="E340" s="54" t="str">
        <f>IFERROR(VLOOKUP($A340,EntryList!$A$3:$V$596,19,FALSE),"")</f>
        <v/>
      </c>
      <c r="F340" s="176" t="str">
        <f>IFERROR(VLOOKUP($A340,EntryList!$A$3:$V$596,18,FALSE),"")</f>
        <v/>
      </c>
      <c r="H340" s="90" t="str">
        <f>IFERROR(VLOOKUP($A340,EntryList!$A$3:$N$596,7,FALSE),"")</f>
        <v/>
      </c>
      <c r="I340" s="54" t="str">
        <f>IFERROR(VLOOKUP($A340,SortedDownload!$A$3:$Z836,4,FALSE),"")</f>
        <v/>
      </c>
      <c r="J340" s="59" t="str">
        <f>IFERROR(VLOOKUP($A340,SortedDownload!$A$3:$BB$499,23,FALSE),"")</f>
        <v/>
      </c>
      <c r="K340" s="59" t="str">
        <f>IFERROR(VLOOKUP($A340,SortedDownload!$A$3:$BB$499,24,FALSE),"")</f>
        <v/>
      </c>
      <c r="L340" s="59" t="str">
        <f>IFERROR(VLOOKUP($A340,SortedDownload!$A$3:$BB$499,25,FALSE),"")</f>
        <v/>
      </c>
      <c r="M340" s="59" t="str">
        <f>IFERROR(VLOOKUP($A340,SortedDownload!$A$3:$BB$499,26,FALSE),"")</f>
        <v/>
      </c>
      <c r="N340" s="59" t="str">
        <f>IFERROR(VLOOKUP($A340,SortedDownload!$A$3:$BB$499,27,FALSE),"")</f>
        <v/>
      </c>
      <c r="O340" s="59" t="str">
        <f>IFERROR(VLOOKUP($A340,SortedDownload!$A$3:$BB$499,28,FALSE),"")</f>
        <v/>
      </c>
      <c r="P340" s="59" t="str">
        <f>IFERROR(VLOOKUP($A340,SortedDownload!$A$3:$BB$499,29,FALSE),"")</f>
        <v/>
      </c>
      <c r="Q340" s="59" t="str">
        <f>IFERROR(VLOOKUP($A340,SortedDownload!$A$3:$BB$499,30,FALSE),"")</f>
        <v/>
      </c>
      <c r="R340" s="62" t="str">
        <f>IFERROR(TEXT(VLOOKUP($A340,SortedDownload!$A$3:$Z$499,14,FALSE),"[hh]:mm:ss.000"),"")</f>
        <v/>
      </c>
      <c r="S340" s="83" t="str">
        <f t="shared" si="17"/>
        <v>N/A</v>
      </c>
      <c r="T340" s="83" t="e">
        <f t="shared" si="15"/>
        <v>#VALUE!</v>
      </c>
      <c r="U340" s="9" t="str">
        <f t="shared" si="16"/>
        <v/>
      </c>
      <c r="V340" s="20" t="str">
        <f>IFERROR(IF(VLOOKUP(H340,AgeCategories!$D$3:$J$32,7,FALSE)=I340,"","DNF"),"")</f>
        <v/>
      </c>
    </row>
    <row r="341" spans="1:22">
      <c r="A341" s="53" t="str">
        <f>IF(SortedDownload!A341 &lt; 1,"",SortedDownload!A341)</f>
        <v/>
      </c>
      <c r="B341" s="55">
        <f>IF(V341&lt;&gt;"","DNF",COUNTIF($V$3:V341,V341))</f>
        <v>306</v>
      </c>
      <c r="C341" s="54" t="str">
        <f>IF(OR(B341="DNF",H341=""),"DNF",COUNTIF($H$3:H341,H341))</f>
        <v>DNF</v>
      </c>
      <c r="D341" s="90" t="str">
        <f>IFERROR(VLOOKUP($A341,EntryList!$A$3:$N$596,2,FALSE),"")</f>
        <v/>
      </c>
      <c r="E341" s="54" t="str">
        <f>IFERROR(VLOOKUP($A341,EntryList!$A$3:$V$596,19,FALSE),"")</f>
        <v/>
      </c>
      <c r="F341" s="176" t="str">
        <f>IFERROR(VLOOKUP($A341,EntryList!$A$3:$V$596,18,FALSE),"")</f>
        <v/>
      </c>
      <c r="H341" s="90" t="str">
        <f>IFERROR(VLOOKUP($A341,EntryList!$A$3:$N$596,7,FALSE),"")</f>
        <v/>
      </c>
      <c r="I341" s="54" t="str">
        <f>IFERROR(VLOOKUP($A341,SortedDownload!$A$3:$Z837,4,FALSE),"")</f>
        <v/>
      </c>
      <c r="J341" s="59" t="str">
        <f>IFERROR(VLOOKUP($A341,SortedDownload!$A$3:$BB$499,23,FALSE),"")</f>
        <v/>
      </c>
      <c r="K341" s="59" t="str">
        <f>IFERROR(VLOOKUP($A341,SortedDownload!$A$3:$BB$499,24,FALSE),"")</f>
        <v/>
      </c>
      <c r="L341" s="59" t="str">
        <f>IFERROR(VLOOKUP($A341,SortedDownload!$A$3:$BB$499,25,FALSE),"")</f>
        <v/>
      </c>
      <c r="M341" s="59" t="str">
        <f>IFERROR(VLOOKUP($A341,SortedDownload!$A$3:$BB$499,26,FALSE),"")</f>
        <v/>
      </c>
      <c r="N341" s="59" t="str">
        <f>IFERROR(VLOOKUP($A341,SortedDownload!$A$3:$BB$499,27,FALSE),"")</f>
        <v/>
      </c>
      <c r="O341" s="59" t="str">
        <f>IFERROR(VLOOKUP($A341,SortedDownload!$A$3:$BB$499,28,FALSE),"")</f>
        <v/>
      </c>
      <c r="P341" s="59" t="str">
        <f>IFERROR(VLOOKUP($A341,SortedDownload!$A$3:$BB$499,29,FALSE),"")</f>
        <v/>
      </c>
      <c r="Q341" s="59" t="str">
        <f>IFERROR(VLOOKUP($A341,SortedDownload!$A$3:$BB$499,30,FALSE),"")</f>
        <v/>
      </c>
      <c r="R341" s="62" t="str">
        <f>IFERROR(TEXT(VLOOKUP($A341,SortedDownload!$A$3:$Z$499,14,FALSE),"[hh]:mm:ss.000"),"")</f>
        <v/>
      </c>
      <c r="S341" s="83" t="str">
        <f t="shared" si="17"/>
        <v>N/A</v>
      </c>
      <c r="T341" s="83" t="e">
        <f t="shared" si="15"/>
        <v>#VALUE!</v>
      </c>
      <c r="U341" s="9" t="str">
        <f t="shared" si="16"/>
        <v/>
      </c>
      <c r="V341" s="20" t="str">
        <f>IFERROR(IF(VLOOKUP(H341,AgeCategories!$D$3:$J$32,7,FALSE)=I341,"","DNF"),"")</f>
        <v/>
      </c>
    </row>
    <row r="342" spans="1:22">
      <c r="A342" s="53" t="str">
        <f>IF(SortedDownload!A342 &lt; 1,"",SortedDownload!A342)</f>
        <v/>
      </c>
      <c r="B342" s="55">
        <f>IF(V342&lt;&gt;"","DNF",COUNTIF($V$3:V342,V342))</f>
        <v>307</v>
      </c>
      <c r="C342" s="54" t="str">
        <f>IF(OR(B342="DNF",H342=""),"DNF",COUNTIF($H$3:H342,H342))</f>
        <v>DNF</v>
      </c>
      <c r="D342" s="90" t="str">
        <f>IFERROR(VLOOKUP($A342,EntryList!$A$3:$N$596,2,FALSE),"")</f>
        <v/>
      </c>
      <c r="E342" s="54" t="str">
        <f>IFERROR(VLOOKUP($A342,EntryList!$A$3:$V$596,19,FALSE),"")</f>
        <v/>
      </c>
      <c r="F342" s="176" t="str">
        <f>IFERROR(VLOOKUP($A342,EntryList!$A$3:$V$596,18,FALSE),"")</f>
        <v/>
      </c>
      <c r="H342" s="90" t="str">
        <f>IFERROR(VLOOKUP($A342,EntryList!$A$3:$N$596,7,FALSE),"")</f>
        <v/>
      </c>
      <c r="I342" s="54" t="str">
        <f>IFERROR(VLOOKUP($A342,SortedDownload!$A$3:$Z838,4,FALSE),"")</f>
        <v/>
      </c>
      <c r="J342" s="59" t="str">
        <f>IFERROR(VLOOKUP($A342,SortedDownload!$A$3:$BB$499,23,FALSE),"")</f>
        <v/>
      </c>
      <c r="K342" s="59" t="str">
        <f>IFERROR(VLOOKUP($A342,SortedDownload!$A$3:$BB$499,24,FALSE),"")</f>
        <v/>
      </c>
      <c r="L342" s="59" t="str">
        <f>IFERROR(VLOOKUP($A342,SortedDownload!$A$3:$BB$499,25,FALSE),"")</f>
        <v/>
      </c>
      <c r="M342" s="59" t="str">
        <f>IFERROR(VLOOKUP($A342,SortedDownload!$A$3:$BB$499,26,FALSE),"")</f>
        <v/>
      </c>
      <c r="N342" s="59" t="str">
        <f>IFERROR(VLOOKUP($A342,SortedDownload!$A$3:$BB$499,27,FALSE),"")</f>
        <v/>
      </c>
      <c r="O342" s="59" t="str">
        <f>IFERROR(VLOOKUP($A342,SortedDownload!$A$3:$BB$499,28,FALSE),"")</f>
        <v/>
      </c>
      <c r="P342" s="59" t="str">
        <f>IFERROR(VLOOKUP($A342,SortedDownload!$A$3:$BB$499,29,FALSE),"")</f>
        <v/>
      </c>
      <c r="Q342" s="59" t="str">
        <f>IFERROR(VLOOKUP($A342,SortedDownload!$A$3:$BB$499,30,FALSE),"")</f>
        <v/>
      </c>
      <c r="R342" s="62" t="str">
        <f>IFERROR(TEXT(VLOOKUP($A342,SortedDownload!$A$3:$Z$499,14,FALSE),"[hh]:mm:ss.000"),"")</f>
        <v/>
      </c>
      <c r="S342" s="83" t="str">
        <f t="shared" si="17"/>
        <v>N/A</v>
      </c>
      <c r="T342" s="83" t="e">
        <f t="shared" si="15"/>
        <v>#VALUE!</v>
      </c>
      <c r="U342" s="9" t="str">
        <f t="shared" si="16"/>
        <v/>
      </c>
      <c r="V342" s="20" t="str">
        <f>IFERROR(IF(VLOOKUP(H342,AgeCategories!$D$3:$J$32,7,FALSE)=I342,"","DNF"),"")</f>
        <v/>
      </c>
    </row>
    <row r="343" spans="1:22">
      <c r="A343" s="53" t="str">
        <f>IF(SortedDownload!A343 &lt; 1,"",SortedDownload!A343)</f>
        <v/>
      </c>
      <c r="B343" s="55">
        <f>IF(V343&lt;&gt;"","DNF",COUNTIF($V$3:V343,V343))</f>
        <v>308</v>
      </c>
      <c r="C343" s="54" t="str">
        <f>IF(OR(B343="DNF",H343=""),"DNF",COUNTIF($H$3:H343,H343))</f>
        <v>DNF</v>
      </c>
      <c r="D343" s="90" t="str">
        <f>IFERROR(VLOOKUP($A343,EntryList!$A$3:$N$596,2,FALSE),"")</f>
        <v/>
      </c>
      <c r="E343" s="54" t="str">
        <f>IFERROR(VLOOKUP($A343,EntryList!$A$3:$V$596,19,FALSE),"")</f>
        <v/>
      </c>
      <c r="F343" s="176" t="str">
        <f>IFERROR(VLOOKUP($A343,EntryList!$A$3:$V$596,18,FALSE),"")</f>
        <v/>
      </c>
      <c r="H343" s="90" t="str">
        <f>IFERROR(VLOOKUP($A343,EntryList!$A$3:$N$596,7,FALSE),"")</f>
        <v/>
      </c>
      <c r="I343" s="54" t="str">
        <f>IFERROR(VLOOKUP($A343,SortedDownload!$A$3:$Z839,4,FALSE),"")</f>
        <v/>
      </c>
      <c r="J343" s="59" t="str">
        <f>IFERROR(VLOOKUP($A343,SortedDownload!$A$3:$BB$499,23,FALSE),"")</f>
        <v/>
      </c>
      <c r="K343" s="59" t="str">
        <f>IFERROR(VLOOKUP($A343,SortedDownload!$A$3:$BB$499,24,FALSE),"")</f>
        <v/>
      </c>
      <c r="L343" s="59" t="str">
        <f>IFERROR(VLOOKUP($A343,SortedDownload!$A$3:$BB$499,25,FALSE),"")</f>
        <v/>
      </c>
      <c r="M343" s="59" t="str">
        <f>IFERROR(VLOOKUP($A343,SortedDownload!$A$3:$BB$499,26,FALSE),"")</f>
        <v/>
      </c>
      <c r="N343" s="59" t="str">
        <f>IFERROR(VLOOKUP($A343,SortedDownload!$A$3:$BB$499,27,FALSE),"")</f>
        <v/>
      </c>
      <c r="O343" s="59" t="str">
        <f>IFERROR(VLOOKUP($A343,SortedDownload!$A$3:$BB$499,28,FALSE),"")</f>
        <v/>
      </c>
      <c r="P343" s="59" t="str">
        <f>IFERROR(VLOOKUP($A343,SortedDownload!$A$3:$BB$499,29,FALSE),"")</f>
        <v/>
      </c>
      <c r="Q343" s="59" t="str">
        <f>IFERROR(VLOOKUP($A343,SortedDownload!$A$3:$BB$499,30,FALSE),"")</f>
        <v/>
      </c>
      <c r="R343" s="62" t="str">
        <f>IFERROR(TEXT(VLOOKUP($A343,SortedDownload!$A$3:$Z$499,14,FALSE),"[hh]:mm:ss.000"),"")</f>
        <v/>
      </c>
      <c r="S343" s="83" t="str">
        <f t="shared" si="17"/>
        <v>N/A</v>
      </c>
      <c r="T343" s="83" t="e">
        <f t="shared" si="15"/>
        <v>#VALUE!</v>
      </c>
      <c r="U343" s="9" t="str">
        <f t="shared" si="16"/>
        <v/>
      </c>
      <c r="V343" s="20" t="str">
        <f>IFERROR(IF(VLOOKUP(H343,AgeCategories!$D$3:$J$32,7,FALSE)=I343,"","DNF"),"")</f>
        <v/>
      </c>
    </row>
    <row r="344" spans="1:22">
      <c r="A344" s="53" t="str">
        <f>IF(SortedDownload!A344 &lt; 1,"",SortedDownload!A344)</f>
        <v/>
      </c>
      <c r="B344" s="55">
        <f>IF(V344&lt;&gt;"","DNF",COUNTIF($V$3:V344,V344))</f>
        <v>309</v>
      </c>
      <c r="C344" s="54" t="str">
        <f>IF(OR(B344="DNF",H344=""),"DNF",COUNTIF($H$3:H344,H344))</f>
        <v>DNF</v>
      </c>
      <c r="D344" s="90" t="str">
        <f>IFERROR(VLOOKUP($A344,EntryList!$A$3:$N$596,2,FALSE),"")</f>
        <v/>
      </c>
      <c r="E344" s="54" t="str">
        <f>IFERROR(VLOOKUP($A344,EntryList!$A$3:$V$596,19,FALSE),"")</f>
        <v/>
      </c>
      <c r="F344" s="176" t="str">
        <f>IFERROR(VLOOKUP($A344,EntryList!$A$3:$V$596,18,FALSE),"")</f>
        <v/>
      </c>
      <c r="H344" s="90" t="str">
        <f>IFERROR(VLOOKUP($A344,EntryList!$A$3:$N$596,7,FALSE),"")</f>
        <v/>
      </c>
      <c r="I344" s="54" t="str">
        <f>IFERROR(VLOOKUP($A344,SortedDownload!$A$3:$Z840,4,FALSE),"")</f>
        <v/>
      </c>
      <c r="J344" s="59" t="str">
        <f>IFERROR(VLOOKUP($A344,SortedDownload!$A$3:$BB$499,23,FALSE),"")</f>
        <v/>
      </c>
      <c r="K344" s="59" t="str">
        <f>IFERROR(VLOOKUP($A344,SortedDownload!$A$3:$BB$499,24,FALSE),"")</f>
        <v/>
      </c>
      <c r="L344" s="59" t="str">
        <f>IFERROR(VLOOKUP($A344,SortedDownload!$A$3:$BB$499,25,FALSE),"")</f>
        <v/>
      </c>
      <c r="M344" s="59" t="str">
        <f>IFERROR(VLOOKUP($A344,SortedDownload!$A$3:$BB$499,26,FALSE),"")</f>
        <v/>
      </c>
      <c r="N344" s="59" t="str">
        <f>IFERROR(VLOOKUP($A344,SortedDownload!$A$3:$BB$499,27,FALSE),"")</f>
        <v/>
      </c>
      <c r="O344" s="59" t="str">
        <f>IFERROR(VLOOKUP($A344,SortedDownload!$A$3:$BB$499,28,FALSE),"")</f>
        <v/>
      </c>
      <c r="P344" s="59" t="str">
        <f>IFERROR(VLOOKUP($A344,SortedDownload!$A$3:$BB$499,29,FALSE),"")</f>
        <v/>
      </c>
      <c r="Q344" s="59" t="str">
        <f>IFERROR(VLOOKUP($A344,SortedDownload!$A$3:$BB$499,30,FALSE),"")</f>
        <v/>
      </c>
      <c r="R344" s="62" t="str">
        <f>IFERROR(TEXT(VLOOKUP($A344,SortedDownload!$A$3:$Z$499,14,FALSE),"[hh]:mm:ss.000"),"")</f>
        <v/>
      </c>
      <c r="S344" s="83" t="str">
        <f t="shared" si="17"/>
        <v>N/A</v>
      </c>
      <c r="T344" s="83" t="e">
        <f t="shared" si="15"/>
        <v>#VALUE!</v>
      </c>
      <c r="U344" s="9" t="str">
        <f t="shared" si="16"/>
        <v/>
      </c>
      <c r="V344" s="20" t="str">
        <f>IFERROR(IF(VLOOKUP(H344,AgeCategories!$D$3:$J$32,7,FALSE)=I344,"","DNF"),"")</f>
        <v/>
      </c>
    </row>
    <row r="345" spans="1:22">
      <c r="A345" s="53" t="str">
        <f>IF(SortedDownload!A345 &lt; 1,"",SortedDownload!A345)</f>
        <v/>
      </c>
      <c r="B345" s="55">
        <f>IF(V345&lt;&gt;"","DNF",COUNTIF($V$3:V345,V345))</f>
        <v>310</v>
      </c>
      <c r="C345" s="54" t="str">
        <f>IF(OR(B345="DNF",H345=""),"DNF",COUNTIF($H$3:H345,H345))</f>
        <v>DNF</v>
      </c>
      <c r="D345" s="90" t="str">
        <f>IFERROR(VLOOKUP($A345,EntryList!$A$3:$N$596,2,FALSE),"")</f>
        <v/>
      </c>
      <c r="E345" s="54" t="str">
        <f>IFERROR(VLOOKUP($A345,EntryList!$A$3:$V$596,19,FALSE),"")</f>
        <v/>
      </c>
      <c r="F345" s="176" t="str">
        <f>IFERROR(VLOOKUP($A345,EntryList!$A$3:$V$596,18,FALSE),"")</f>
        <v/>
      </c>
      <c r="H345" s="90" t="str">
        <f>IFERROR(VLOOKUP($A345,EntryList!$A$3:$N$596,7,FALSE),"")</f>
        <v/>
      </c>
      <c r="I345" s="54" t="str">
        <f>IFERROR(VLOOKUP($A345,SortedDownload!$A$3:$Z841,4,FALSE),"")</f>
        <v/>
      </c>
      <c r="J345" s="59" t="str">
        <f>IFERROR(VLOOKUP($A345,SortedDownload!$A$3:$BB$499,23,FALSE),"")</f>
        <v/>
      </c>
      <c r="K345" s="59" t="str">
        <f>IFERROR(VLOOKUP($A345,SortedDownload!$A$3:$BB$499,24,FALSE),"")</f>
        <v/>
      </c>
      <c r="L345" s="59" t="str">
        <f>IFERROR(VLOOKUP($A345,SortedDownload!$A$3:$BB$499,25,FALSE),"")</f>
        <v/>
      </c>
      <c r="M345" s="59" t="str">
        <f>IFERROR(VLOOKUP($A345,SortedDownload!$A$3:$BB$499,26,FALSE),"")</f>
        <v/>
      </c>
      <c r="N345" s="59" t="str">
        <f>IFERROR(VLOOKUP($A345,SortedDownload!$A$3:$BB$499,27,FALSE),"")</f>
        <v/>
      </c>
      <c r="O345" s="59" t="str">
        <f>IFERROR(VLOOKUP($A345,SortedDownload!$A$3:$BB$499,28,FALSE),"")</f>
        <v/>
      </c>
      <c r="P345" s="59" t="str">
        <f>IFERROR(VLOOKUP($A345,SortedDownload!$A$3:$BB$499,29,FALSE),"")</f>
        <v/>
      </c>
      <c r="Q345" s="59" t="str">
        <f>IFERROR(VLOOKUP($A345,SortedDownload!$A$3:$BB$499,30,FALSE),"")</f>
        <v/>
      </c>
      <c r="R345" s="62" t="str">
        <f>IFERROR(TEXT(VLOOKUP($A345,SortedDownload!$A$3:$Z$499,14,FALSE),"[hh]:mm:ss.000"),"")</f>
        <v/>
      </c>
      <c r="S345" s="83" t="str">
        <f t="shared" si="17"/>
        <v>N/A</v>
      </c>
      <c r="T345" s="83" t="e">
        <f t="shared" si="15"/>
        <v>#VALUE!</v>
      </c>
      <c r="U345" s="9" t="str">
        <f t="shared" si="16"/>
        <v/>
      </c>
      <c r="V345" s="20" t="str">
        <f>IFERROR(IF(VLOOKUP(H345,AgeCategories!$D$3:$J$32,7,FALSE)=I345,"","DNF"),"")</f>
        <v/>
      </c>
    </row>
    <row r="346" spans="1:22">
      <c r="A346" s="53" t="str">
        <f>IF(SortedDownload!A346 &lt; 1,"",SortedDownload!A346)</f>
        <v/>
      </c>
      <c r="B346" s="55">
        <f>IF(V346&lt;&gt;"","DNF",COUNTIF($V$3:V346,V346))</f>
        <v>311</v>
      </c>
      <c r="C346" s="54" t="str">
        <f>IF(OR(B346="DNF",H346=""),"DNF",COUNTIF($H$3:H346,H346))</f>
        <v>DNF</v>
      </c>
      <c r="D346" s="90" t="str">
        <f>IFERROR(VLOOKUP($A346,EntryList!$A$3:$N$596,2,FALSE),"")</f>
        <v/>
      </c>
      <c r="E346" s="54" t="str">
        <f>IFERROR(VLOOKUP($A346,EntryList!$A$3:$V$596,19,FALSE),"")</f>
        <v/>
      </c>
      <c r="F346" s="176" t="str">
        <f>IFERROR(VLOOKUP($A346,EntryList!$A$3:$V$596,18,FALSE),"")</f>
        <v/>
      </c>
      <c r="H346" s="90" t="str">
        <f>IFERROR(VLOOKUP($A346,EntryList!$A$3:$N$596,7,FALSE),"")</f>
        <v/>
      </c>
      <c r="I346" s="54" t="str">
        <f>IFERROR(VLOOKUP($A346,SortedDownload!$A$3:$Z842,4,FALSE),"")</f>
        <v/>
      </c>
      <c r="J346" s="59" t="str">
        <f>IFERROR(VLOOKUP($A346,SortedDownload!$A$3:$BB$499,23,FALSE),"")</f>
        <v/>
      </c>
      <c r="K346" s="59" t="str">
        <f>IFERROR(VLOOKUP($A346,SortedDownload!$A$3:$BB$499,24,FALSE),"")</f>
        <v/>
      </c>
      <c r="L346" s="59" t="str">
        <f>IFERROR(VLOOKUP($A346,SortedDownload!$A$3:$BB$499,25,FALSE),"")</f>
        <v/>
      </c>
      <c r="M346" s="59" t="str">
        <f>IFERROR(VLOOKUP($A346,SortedDownload!$A$3:$BB$499,26,FALSE),"")</f>
        <v/>
      </c>
      <c r="N346" s="59" t="str">
        <f>IFERROR(VLOOKUP($A346,SortedDownload!$A$3:$BB$499,27,FALSE),"")</f>
        <v/>
      </c>
      <c r="O346" s="59" t="str">
        <f>IFERROR(VLOOKUP($A346,SortedDownload!$A$3:$BB$499,28,FALSE),"")</f>
        <v/>
      </c>
      <c r="P346" s="59" t="str">
        <f>IFERROR(VLOOKUP($A346,SortedDownload!$A$3:$BB$499,29,FALSE),"")</f>
        <v/>
      </c>
      <c r="Q346" s="59" t="str">
        <f>IFERROR(VLOOKUP($A346,SortedDownload!$A$3:$BB$499,30,FALSE),"")</f>
        <v/>
      </c>
      <c r="R346" s="62" t="str">
        <f>IFERROR(TEXT(VLOOKUP($A346,SortedDownload!$A$3:$Z$499,14,FALSE),"[hh]:mm:ss.000"),"")</f>
        <v/>
      </c>
      <c r="S346" s="83" t="str">
        <f t="shared" si="17"/>
        <v>N/A</v>
      </c>
      <c r="T346" s="83" t="e">
        <f t="shared" si="15"/>
        <v>#VALUE!</v>
      </c>
      <c r="U346" s="9" t="str">
        <f t="shared" si="16"/>
        <v/>
      </c>
      <c r="V346" s="20" t="str">
        <f>IFERROR(IF(VLOOKUP(H346,AgeCategories!$D$3:$J$32,7,FALSE)=I346,"","DNF"),"")</f>
        <v/>
      </c>
    </row>
    <row r="347" spans="1:22">
      <c r="A347" s="53" t="str">
        <f>IF(SortedDownload!A347 &lt; 1,"",SortedDownload!A347)</f>
        <v/>
      </c>
      <c r="B347" s="55">
        <f>IF(V347&lt;&gt;"","DNF",COUNTIF($V$3:V347,V347))</f>
        <v>312</v>
      </c>
      <c r="C347" s="54" t="str">
        <f>IF(OR(B347="DNF",H347=""),"DNF",COUNTIF($H$3:H347,H347))</f>
        <v>DNF</v>
      </c>
      <c r="D347" s="90" t="str">
        <f>IFERROR(VLOOKUP($A347,EntryList!$A$3:$N$596,2,FALSE),"")</f>
        <v/>
      </c>
      <c r="E347" s="54" t="str">
        <f>IFERROR(VLOOKUP($A347,EntryList!$A$3:$V$596,19,FALSE),"")</f>
        <v/>
      </c>
      <c r="F347" s="176" t="str">
        <f>IFERROR(VLOOKUP($A347,EntryList!$A$3:$V$596,18,FALSE),"")</f>
        <v/>
      </c>
      <c r="H347" s="90" t="str">
        <f>IFERROR(VLOOKUP($A347,EntryList!$A$3:$N$596,7,FALSE),"")</f>
        <v/>
      </c>
      <c r="I347" s="54" t="str">
        <f>IFERROR(VLOOKUP($A347,SortedDownload!$A$3:$Z843,4,FALSE),"")</f>
        <v/>
      </c>
      <c r="J347" s="59" t="str">
        <f>IFERROR(VLOOKUP($A347,SortedDownload!$A$3:$BB$499,23,FALSE),"")</f>
        <v/>
      </c>
      <c r="K347" s="59" t="str">
        <f>IFERROR(VLOOKUP($A347,SortedDownload!$A$3:$BB$499,24,FALSE),"")</f>
        <v/>
      </c>
      <c r="L347" s="59" t="str">
        <f>IFERROR(VLOOKUP($A347,SortedDownload!$A$3:$BB$499,25,FALSE),"")</f>
        <v/>
      </c>
      <c r="M347" s="59" t="str">
        <f>IFERROR(VLOOKUP($A347,SortedDownload!$A$3:$BB$499,26,FALSE),"")</f>
        <v/>
      </c>
      <c r="N347" s="59" t="str">
        <f>IFERROR(VLOOKUP($A347,SortedDownload!$A$3:$BB$499,27,FALSE),"")</f>
        <v/>
      </c>
      <c r="O347" s="59" t="str">
        <f>IFERROR(VLOOKUP($A347,SortedDownload!$A$3:$BB$499,28,FALSE),"")</f>
        <v/>
      </c>
      <c r="P347" s="59" t="str">
        <f>IFERROR(VLOOKUP($A347,SortedDownload!$A$3:$BB$499,29,FALSE),"")</f>
        <v/>
      </c>
      <c r="Q347" s="59" t="str">
        <f>IFERROR(VLOOKUP($A347,SortedDownload!$A$3:$BB$499,30,FALSE),"")</f>
        <v/>
      </c>
      <c r="R347" s="62" t="str">
        <f>IFERROR(TEXT(VLOOKUP($A347,SortedDownload!$A$3:$Z$499,14,FALSE),"[hh]:mm:ss.000"),"")</f>
        <v/>
      </c>
      <c r="S347" s="83" t="str">
        <f t="shared" si="17"/>
        <v>N/A</v>
      </c>
      <c r="T347" s="83" t="e">
        <f t="shared" si="15"/>
        <v>#VALUE!</v>
      </c>
      <c r="U347" s="9" t="str">
        <f t="shared" si="16"/>
        <v/>
      </c>
      <c r="V347" s="20" t="str">
        <f>IFERROR(IF(VLOOKUP(H347,AgeCategories!$D$3:$J$32,7,FALSE)=I347,"","DNF"),"")</f>
        <v/>
      </c>
    </row>
    <row r="348" spans="1:22">
      <c r="A348" s="53" t="str">
        <f>IF(SortedDownload!A348 &lt; 1,"",SortedDownload!A348)</f>
        <v/>
      </c>
      <c r="B348" s="55">
        <f>IF(V348&lt;&gt;"","DNF",COUNTIF($V$3:V348,V348))</f>
        <v>313</v>
      </c>
      <c r="C348" s="54" t="str">
        <f>IF(OR(B348="DNF",H348=""),"DNF",COUNTIF($H$3:H348,H348))</f>
        <v>DNF</v>
      </c>
      <c r="D348" s="90" t="str">
        <f>IFERROR(VLOOKUP($A348,EntryList!$A$3:$N$596,2,FALSE),"")</f>
        <v/>
      </c>
      <c r="E348" s="54" t="str">
        <f>IFERROR(VLOOKUP($A348,EntryList!$A$3:$V$596,19,FALSE),"")</f>
        <v/>
      </c>
      <c r="F348" s="176" t="str">
        <f>IFERROR(VLOOKUP($A348,EntryList!$A$3:$V$596,18,FALSE),"")</f>
        <v/>
      </c>
      <c r="H348" s="90" t="str">
        <f>IFERROR(VLOOKUP($A348,EntryList!$A$3:$N$596,7,FALSE),"")</f>
        <v/>
      </c>
      <c r="I348" s="54" t="str">
        <f>IFERROR(VLOOKUP($A348,SortedDownload!$A$3:$Z844,4,FALSE),"")</f>
        <v/>
      </c>
      <c r="J348" s="59" t="str">
        <f>IFERROR(VLOOKUP($A348,SortedDownload!$A$3:$BB$499,23,FALSE),"")</f>
        <v/>
      </c>
      <c r="K348" s="59" t="str">
        <f>IFERROR(VLOOKUP($A348,SortedDownload!$A$3:$BB$499,24,FALSE),"")</f>
        <v/>
      </c>
      <c r="L348" s="59" t="str">
        <f>IFERROR(VLOOKUP($A348,SortedDownload!$A$3:$BB$499,25,FALSE),"")</f>
        <v/>
      </c>
      <c r="M348" s="59" t="str">
        <f>IFERROR(VLOOKUP($A348,SortedDownload!$A$3:$BB$499,26,FALSE),"")</f>
        <v/>
      </c>
      <c r="N348" s="59" t="str">
        <f>IFERROR(VLOOKUP($A348,SortedDownload!$A$3:$BB$499,27,FALSE),"")</f>
        <v/>
      </c>
      <c r="O348" s="59" t="str">
        <f>IFERROR(VLOOKUP($A348,SortedDownload!$A$3:$BB$499,28,FALSE),"")</f>
        <v/>
      </c>
      <c r="P348" s="59" t="str">
        <f>IFERROR(VLOOKUP($A348,SortedDownload!$A$3:$BB$499,29,FALSE),"")</f>
        <v/>
      </c>
      <c r="Q348" s="59" t="str">
        <f>IFERROR(VLOOKUP($A348,SortedDownload!$A$3:$BB$499,30,FALSE),"")</f>
        <v/>
      </c>
      <c r="R348" s="62" t="str">
        <f>IFERROR(TEXT(VLOOKUP($A348,SortedDownload!$A$3:$Z$499,14,FALSE),"[hh]:mm:ss.000"),"")</f>
        <v/>
      </c>
      <c r="S348" s="83" t="str">
        <f t="shared" si="17"/>
        <v>N/A</v>
      </c>
      <c r="T348" s="83" t="e">
        <f t="shared" si="15"/>
        <v>#VALUE!</v>
      </c>
      <c r="U348" s="9" t="str">
        <f t="shared" si="16"/>
        <v/>
      </c>
      <c r="V348" s="20" t="str">
        <f>IFERROR(IF(VLOOKUP(H348,AgeCategories!$D$3:$J$32,7,FALSE)=I348,"","DNF"),"")</f>
        <v/>
      </c>
    </row>
    <row r="349" spans="1:22">
      <c r="A349" s="53" t="str">
        <f>IF(SortedDownload!A349 &lt; 1,"",SortedDownload!A349)</f>
        <v/>
      </c>
      <c r="B349" s="55">
        <f>IF(V349&lt;&gt;"","DNF",COUNTIF($V$3:V349,V349))</f>
        <v>314</v>
      </c>
      <c r="C349" s="54" t="str">
        <f>IF(OR(B349="DNF",H349=""),"DNF",COUNTIF($H$3:H349,H349))</f>
        <v>DNF</v>
      </c>
      <c r="D349" s="90" t="str">
        <f>IFERROR(VLOOKUP($A349,EntryList!$A$3:$N$596,2,FALSE),"")</f>
        <v/>
      </c>
      <c r="E349" s="54" t="str">
        <f>IFERROR(VLOOKUP($A349,EntryList!$A$3:$V$596,19,FALSE),"")</f>
        <v/>
      </c>
      <c r="F349" s="176" t="str">
        <f>IFERROR(VLOOKUP($A349,EntryList!$A$3:$V$596,18,FALSE),"")</f>
        <v/>
      </c>
      <c r="H349" s="90" t="str">
        <f>IFERROR(VLOOKUP($A349,EntryList!$A$3:$N$596,7,FALSE),"")</f>
        <v/>
      </c>
      <c r="I349" s="54" t="str">
        <f>IFERROR(VLOOKUP($A349,SortedDownload!$A$3:$Z845,4,FALSE),"")</f>
        <v/>
      </c>
      <c r="J349" s="59" t="str">
        <f>IFERROR(VLOOKUP($A349,SortedDownload!$A$3:$BB$499,23,FALSE),"")</f>
        <v/>
      </c>
      <c r="K349" s="59" t="str">
        <f>IFERROR(VLOOKUP($A349,SortedDownload!$A$3:$BB$499,24,FALSE),"")</f>
        <v/>
      </c>
      <c r="L349" s="59" t="str">
        <f>IFERROR(VLOOKUP($A349,SortedDownload!$A$3:$BB$499,25,FALSE),"")</f>
        <v/>
      </c>
      <c r="M349" s="59" t="str">
        <f>IFERROR(VLOOKUP($A349,SortedDownload!$A$3:$BB$499,26,FALSE),"")</f>
        <v/>
      </c>
      <c r="N349" s="59" t="str">
        <f>IFERROR(VLOOKUP($A349,SortedDownload!$A$3:$BB$499,27,FALSE),"")</f>
        <v/>
      </c>
      <c r="O349" s="59" t="str">
        <f>IFERROR(VLOOKUP($A349,SortedDownload!$A$3:$BB$499,28,FALSE),"")</f>
        <v/>
      </c>
      <c r="P349" s="59" t="str">
        <f>IFERROR(VLOOKUP($A349,SortedDownload!$A$3:$BB$499,29,FALSE),"")</f>
        <v/>
      </c>
      <c r="Q349" s="59" t="str">
        <f>IFERROR(VLOOKUP($A349,SortedDownload!$A$3:$BB$499,30,FALSE),"")</f>
        <v/>
      </c>
      <c r="R349" s="62" t="str">
        <f>IFERROR(TEXT(VLOOKUP($A349,SortedDownload!$A$3:$Z$499,14,FALSE),"[hh]:mm:ss.000"),"")</f>
        <v/>
      </c>
      <c r="S349" s="83" t="str">
        <f t="shared" si="17"/>
        <v>N/A</v>
      </c>
      <c r="T349" s="83" t="e">
        <f t="shared" si="15"/>
        <v>#VALUE!</v>
      </c>
      <c r="U349" s="9" t="str">
        <f t="shared" si="16"/>
        <v/>
      </c>
      <c r="V349" s="20" t="str">
        <f>IFERROR(IF(VLOOKUP(H349,AgeCategories!$D$3:$J$32,7,FALSE)=I349,"","DNF"),"")</f>
        <v/>
      </c>
    </row>
    <row r="350" spans="1:22">
      <c r="A350" s="53" t="str">
        <f>IF(SortedDownload!A350 &lt; 1,"",SortedDownload!A350)</f>
        <v/>
      </c>
      <c r="B350" s="55">
        <f>IF(V350&lt;&gt;"","DNF",COUNTIF($V$3:V350,V350))</f>
        <v>315</v>
      </c>
      <c r="C350" s="54" t="str">
        <f>IF(OR(B350="DNF",H350=""),"DNF",COUNTIF($H$3:H350,H350))</f>
        <v>DNF</v>
      </c>
      <c r="D350" s="90" t="str">
        <f>IFERROR(VLOOKUP($A350,EntryList!$A$3:$N$596,2,FALSE),"")</f>
        <v/>
      </c>
      <c r="E350" s="54" t="str">
        <f>IFERROR(VLOOKUP($A350,EntryList!$A$3:$V$596,19,FALSE),"")</f>
        <v/>
      </c>
      <c r="F350" s="176" t="str">
        <f>IFERROR(VLOOKUP($A350,EntryList!$A$3:$V$596,18,FALSE),"")</f>
        <v/>
      </c>
      <c r="H350" s="90" t="str">
        <f>IFERROR(VLOOKUP($A350,EntryList!$A$3:$N$596,7,FALSE),"")</f>
        <v/>
      </c>
      <c r="I350" s="54" t="str">
        <f>IFERROR(VLOOKUP($A350,SortedDownload!$A$3:$Z846,4,FALSE),"")</f>
        <v/>
      </c>
      <c r="J350" s="59" t="str">
        <f>IFERROR(VLOOKUP($A350,SortedDownload!$A$3:$BB$499,23,FALSE),"")</f>
        <v/>
      </c>
      <c r="K350" s="59" t="str">
        <f>IFERROR(VLOOKUP($A350,SortedDownload!$A$3:$BB$499,24,FALSE),"")</f>
        <v/>
      </c>
      <c r="L350" s="59" t="str">
        <f>IFERROR(VLOOKUP($A350,SortedDownload!$A$3:$BB$499,25,FALSE),"")</f>
        <v/>
      </c>
      <c r="M350" s="59" t="str">
        <f>IFERROR(VLOOKUP($A350,SortedDownload!$A$3:$BB$499,26,FALSE),"")</f>
        <v/>
      </c>
      <c r="N350" s="59" t="str">
        <f>IFERROR(VLOOKUP($A350,SortedDownload!$A$3:$BB$499,27,FALSE),"")</f>
        <v/>
      </c>
      <c r="O350" s="59" t="str">
        <f>IFERROR(VLOOKUP($A350,SortedDownload!$A$3:$BB$499,28,FALSE),"")</f>
        <v/>
      </c>
      <c r="P350" s="59" t="str">
        <f>IFERROR(VLOOKUP($A350,SortedDownload!$A$3:$BB$499,29,FALSE),"")</f>
        <v/>
      </c>
      <c r="Q350" s="59" t="str">
        <f>IFERROR(VLOOKUP($A350,SortedDownload!$A$3:$BB$499,30,FALSE),"")</f>
        <v/>
      </c>
      <c r="R350" s="62" t="str">
        <f>IFERROR(TEXT(VLOOKUP($A350,SortedDownload!$A$3:$Z$499,14,FALSE),"[hh]:mm:ss.000"),"")</f>
        <v/>
      </c>
      <c r="S350" s="83" t="str">
        <f t="shared" si="17"/>
        <v>N/A</v>
      </c>
      <c r="T350" s="83" t="e">
        <f t="shared" si="15"/>
        <v>#VALUE!</v>
      </c>
      <c r="U350" s="9" t="str">
        <f t="shared" si="16"/>
        <v/>
      </c>
      <c r="V350" s="20" t="str">
        <f>IFERROR(IF(VLOOKUP(H350,AgeCategories!$D$3:$J$32,7,FALSE)=I350,"","DNF"),"")</f>
        <v/>
      </c>
    </row>
    <row r="351" spans="1:22">
      <c r="A351" s="53" t="str">
        <f>IF(SortedDownload!A351 &lt; 1,"",SortedDownload!A351)</f>
        <v/>
      </c>
      <c r="B351" s="55">
        <f>IF(V351&lt;&gt;"","DNF",COUNTIF($V$3:V351,V351))</f>
        <v>316</v>
      </c>
      <c r="C351" s="54" t="str">
        <f>IF(OR(B351="DNF",H351=""),"DNF",COUNTIF($H$3:H351,H351))</f>
        <v>DNF</v>
      </c>
      <c r="D351" s="90" t="str">
        <f>IFERROR(VLOOKUP($A351,EntryList!$A$3:$N$596,2,FALSE),"")</f>
        <v/>
      </c>
      <c r="E351" s="54" t="str">
        <f>IFERROR(VLOOKUP($A351,EntryList!$A$3:$V$596,19,FALSE),"")</f>
        <v/>
      </c>
      <c r="F351" s="176" t="str">
        <f>IFERROR(VLOOKUP($A351,EntryList!$A$3:$V$596,18,FALSE),"")</f>
        <v/>
      </c>
      <c r="H351" s="90" t="str">
        <f>IFERROR(VLOOKUP($A351,EntryList!$A$3:$N$596,7,FALSE),"")</f>
        <v/>
      </c>
      <c r="I351" s="54" t="str">
        <f>IFERROR(VLOOKUP($A351,SortedDownload!$A$3:$Z847,4,FALSE),"")</f>
        <v/>
      </c>
      <c r="J351" s="59" t="str">
        <f>IFERROR(VLOOKUP($A351,SortedDownload!$A$3:$BB$499,23,FALSE),"")</f>
        <v/>
      </c>
      <c r="K351" s="59" t="str">
        <f>IFERROR(VLOOKUP($A351,SortedDownload!$A$3:$BB$499,24,FALSE),"")</f>
        <v/>
      </c>
      <c r="L351" s="59" t="str">
        <f>IFERROR(VLOOKUP($A351,SortedDownload!$A$3:$BB$499,25,FALSE),"")</f>
        <v/>
      </c>
      <c r="M351" s="59" t="str">
        <f>IFERROR(VLOOKUP($A351,SortedDownload!$A$3:$BB$499,26,FALSE),"")</f>
        <v/>
      </c>
      <c r="N351" s="59" t="str">
        <f>IFERROR(VLOOKUP($A351,SortedDownload!$A$3:$BB$499,27,FALSE),"")</f>
        <v/>
      </c>
      <c r="O351" s="59" t="str">
        <f>IFERROR(VLOOKUP($A351,SortedDownload!$A$3:$BB$499,28,FALSE),"")</f>
        <v/>
      </c>
      <c r="P351" s="59" t="str">
        <f>IFERROR(VLOOKUP($A351,SortedDownload!$A$3:$BB$499,29,FALSE),"")</f>
        <v/>
      </c>
      <c r="Q351" s="59" t="str">
        <f>IFERROR(VLOOKUP($A351,SortedDownload!$A$3:$BB$499,30,FALSE),"")</f>
        <v/>
      </c>
      <c r="R351" s="62" t="str">
        <f>IFERROR(TEXT(VLOOKUP($A351,SortedDownload!$A$3:$Z$499,14,FALSE),"[hh]:mm:ss.000"),"")</f>
        <v/>
      </c>
      <c r="S351" s="83" t="str">
        <f t="shared" si="17"/>
        <v>N/A</v>
      </c>
      <c r="T351" s="83" t="e">
        <f t="shared" si="15"/>
        <v>#VALUE!</v>
      </c>
      <c r="U351" s="9" t="str">
        <f t="shared" si="16"/>
        <v/>
      </c>
      <c r="V351" s="20" t="str">
        <f>IFERROR(IF(VLOOKUP(H351,AgeCategories!$D$3:$J$32,7,FALSE)=I351,"","DNF"),"")</f>
        <v/>
      </c>
    </row>
    <row r="352" spans="1:22">
      <c r="A352" s="53" t="str">
        <f>IF(SortedDownload!A352 &lt; 1,"",SortedDownload!A352)</f>
        <v/>
      </c>
      <c r="B352" s="55">
        <f>IF(V352&lt;&gt;"","DNF",COUNTIF($V$3:V352,V352))</f>
        <v>317</v>
      </c>
      <c r="C352" s="54" t="str">
        <f>IF(OR(B352="DNF",H352=""),"DNF",COUNTIF($H$3:H352,H352))</f>
        <v>DNF</v>
      </c>
      <c r="D352" s="90" t="str">
        <f>IFERROR(VLOOKUP($A352,EntryList!$A$3:$N$596,2,FALSE),"")</f>
        <v/>
      </c>
      <c r="E352" s="54" t="str">
        <f>IFERROR(VLOOKUP($A352,EntryList!$A$3:$V$596,19,FALSE),"")</f>
        <v/>
      </c>
      <c r="F352" s="176" t="str">
        <f>IFERROR(VLOOKUP($A352,EntryList!$A$3:$V$596,18,FALSE),"")</f>
        <v/>
      </c>
      <c r="H352" s="90" t="str">
        <f>IFERROR(VLOOKUP($A352,EntryList!$A$3:$N$596,7,FALSE),"")</f>
        <v/>
      </c>
      <c r="I352" s="54" t="str">
        <f>IFERROR(VLOOKUP($A352,SortedDownload!$A$3:$Z848,4,FALSE),"")</f>
        <v/>
      </c>
      <c r="J352" s="59" t="str">
        <f>IFERROR(VLOOKUP($A352,SortedDownload!$A$3:$BB$499,23,FALSE),"")</f>
        <v/>
      </c>
      <c r="K352" s="59" t="str">
        <f>IFERROR(VLOOKUP($A352,SortedDownload!$A$3:$BB$499,24,FALSE),"")</f>
        <v/>
      </c>
      <c r="L352" s="59" t="str">
        <f>IFERROR(VLOOKUP($A352,SortedDownload!$A$3:$BB$499,25,FALSE),"")</f>
        <v/>
      </c>
      <c r="M352" s="59" t="str">
        <f>IFERROR(VLOOKUP($A352,SortedDownload!$A$3:$BB$499,26,FALSE),"")</f>
        <v/>
      </c>
      <c r="N352" s="59" t="str">
        <f>IFERROR(VLOOKUP($A352,SortedDownload!$A$3:$BB$499,27,FALSE),"")</f>
        <v/>
      </c>
      <c r="O352" s="59" t="str">
        <f>IFERROR(VLOOKUP($A352,SortedDownload!$A$3:$BB$499,28,FALSE),"")</f>
        <v/>
      </c>
      <c r="P352" s="59" t="str">
        <f>IFERROR(VLOOKUP($A352,SortedDownload!$A$3:$BB$499,29,FALSE),"")</f>
        <v/>
      </c>
      <c r="Q352" s="59" t="str">
        <f>IFERROR(VLOOKUP($A352,SortedDownload!$A$3:$BB$499,30,FALSE),"")</f>
        <v/>
      </c>
      <c r="R352" s="62" t="str">
        <f>IFERROR(TEXT(VLOOKUP($A352,SortedDownload!$A$3:$Z$499,14,FALSE),"[hh]:mm:ss.000"),"")</f>
        <v/>
      </c>
      <c r="S352" s="83" t="str">
        <f t="shared" si="17"/>
        <v>N/A</v>
      </c>
      <c r="T352" s="83" t="e">
        <f t="shared" si="15"/>
        <v>#VALUE!</v>
      </c>
      <c r="U352" s="9" t="str">
        <f t="shared" si="16"/>
        <v/>
      </c>
      <c r="V352" s="20" t="str">
        <f>IFERROR(IF(VLOOKUP(H352,AgeCategories!$D$3:$J$32,7,FALSE)=I352,"","DNF"),"")</f>
        <v/>
      </c>
    </row>
    <row r="353" spans="1:22">
      <c r="A353" s="53" t="str">
        <f>IF(SortedDownload!A353 &lt; 1,"",SortedDownload!A353)</f>
        <v/>
      </c>
      <c r="B353" s="55">
        <f>IF(V353&lt;&gt;"","DNF",COUNTIF($V$3:V353,V353))</f>
        <v>318</v>
      </c>
      <c r="C353" s="54" t="str">
        <f>IF(OR(B353="DNF",H353=""),"DNF",COUNTIF($H$3:H353,H353))</f>
        <v>DNF</v>
      </c>
      <c r="D353" s="90" t="str">
        <f>IFERROR(VLOOKUP($A353,EntryList!$A$3:$N$596,2,FALSE),"")</f>
        <v/>
      </c>
      <c r="E353" s="54" t="str">
        <f>IFERROR(VLOOKUP($A353,EntryList!$A$3:$V$596,19,FALSE),"")</f>
        <v/>
      </c>
      <c r="F353" s="176" t="str">
        <f>IFERROR(VLOOKUP($A353,EntryList!$A$3:$V$596,18,FALSE),"")</f>
        <v/>
      </c>
      <c r="H353" s="90" t="str">
        <f>IFERROR(VLOOKUP($A353,EntryList!$A$3:$N$596,7,FALSE),"")</f>
        <v/>
      </c>
      <c r="I353" s="54" t="str">
        <f>IFERROR(VLOOKUP($A353,SortedDownload!$A$3:$Z849,4,FALSE),"")</f>
        <v/>
      </c>
      <c r="J353" s="59" t="str">
        <f>IFERROR(VLOOKUP($A353,SortedDownload!$A$3:$BB$499,23,FALSE),"")</f>
        <v/>
      </c>
      <c r="K353" s="59" t="str">
        <f>IFERROR(VLOOKUP($A353,SortedDownload!$A$3:$BB$499,24,FALSE),"")</f>
        <v/>
      </c>
      <c r="L353" s="59" t="str">
        <f>IFERROR(VLOOKUP($A353,SortedDownload!$A$3:$BB$499,25,FALSE),"")</f>
        <v/>
      </c>
      <c r="M353" s="59" t="str">
        <f>IFERROR(VLOOKUP($A353,SortedDownload!$A$3:$BB$499,26,FALSE),"")</f>
        <v/>
      </c>
      <c r="N353" s="59" t="str">
        <f>IFERROR(VLOOKUP($A353,SortedDownload!$A$3:$BB$499,27,FALSE),"")</f>
        <v/>
      </c>
      <c r="O353" s="59" t="str">
        <f>IFERROR(VLOOKUP($A353,SortedDownload!$A$3:$BB$499,28,FALSE),"")</f>
        <v/>
      </c>
      <c r="P353" s="59" t="str">
        <f>IFERROR(VLOOKUP($A353,SortedDownload!$A$3:$BB$499,29,FALSE),"")</f>
        <v/>
      </c>
      <c r="Q353" s="59" t="str">
        <f>IFERROR(VLOOKUP($A353,SortedDownload!$A$3:$BB$499,30,FALSE),"")</f>
        <v/>
      </c>
      <c r="R353" s="62" t="str">
        <f>IFERROR(TEXT(VLOOKUP($A353,SortedDownload!$A$3:$Z$499,14,FALSE),"[hh]:mm:ss.000"),"")</f>
        <v/>
      </c>
      <c r="S353" s="83" t="str">
        <f t="shared" si="17"/>
        <v>N/A</v>
      </c>
      <c r="T353" s="83" t="e">
        <f t="shared" si="15"/>
        <v>#VALUE!</v>
      </c>
      <c r="U353" s="9" t="str">
        <f t="shared" si="16"/>
        <v/>
      </c>
      <c r="V353" s="20" t="str">
        <f>IFERROR(IF(VLOOKUP(H353,AgeCategories!$D$3:$J$32,7,FALSE)=I353,"","DNF"),"")</f>
        <v/>
      </c>
    </row>
    <row r="354" spans="1:22">
      <c r="A354" s="53" t="str">
        <f>IF(SortedDownload!A354 &lt; 1,"",SortedDownload!A354)</f>
        <v/>
      </c>
      <c r="B354" s="55">
        <f>IF(V354&lt;&gt;"","DNF",COUNTIF($V$3:V354,V354))</f>
        <v>319</v>
      </c>
      <c r="C354" s="54" t="str">
        <f>IF(OR(B354="DNF",H354=""),"DNF",COUNTIF($H$3:H354,H354))</f>
        <v>DNF</v>
      </c>
      <c r="D354" s="90" t="str">
        <f>IFERROR(VLOOKUP($A354,EntryList!$A$3:$N$596,2,FALSE),"")</f>
        <v/>
      </c>
      <c r="E354" s="54" t="str">
        <f>IFERROR(VLOOKUP($A354,EntryList!$A$3:$V$596,19,FALSE),"")</f>
        <v/>
      </c>
      <c r="F354" s="176" t="str">
        <f>IFERROR(VLOOKUP($A354,EntryList!$A$3:$V$596,18,FALSE),"")</f>
        <v/>
      </c>
      <c r="H354" s="90" t="str">
        <f>IFERROR(VLOOKUP($A354,EntryList!$A$3:$N$596,7,FALSE),"")</f>
        <v/>
      </c>
      <c r="I354" s="54" t="str">
        <f>IFERROR(VLOOKUP($A354,SortedDownload!$A$3:$Z850,4,FALSE),"")</f>
        <v/>
      </c>
      <c r="J354" s="59" t="str">
        <f>IFERROR(VLOOKUP($A354,SortedDownload!$A$3:$BB$499,23,FALSE),"")</f>
        <v/>
      </c>
      <c r="K354" s="59" t="str">
        <f>IFERROR(VLOOKUP($A354,SortedDownload!$A$3:$BB$499,24,FALSE),"")</f>
        <v/>
      </c>
      <c r="L354" s="59" t="str">
        <f>IFERROR(VLOOKUP($A354,SortedDownload!$A$3:$BB$499,25,FALSE),"")</f>
        <v/>
      </c>
      <c r="M354" s="59" t="str">
        <f>IFERROR(VLOOKUP($A354,SortedDownload!$A$3:$BB$499,26,FALSE),"")</f>
        <v/>
      </c>
      <c r="N354" s="59" t="str">
        <f>IFERROR(VLOOKUP($A354,SortedDownload!$A$3:$BB$499,27,FALSE),"")</f>
        <v/>
      </c>
      <c r="O354" s="59" t="str">
        <f>IFERROR(VLOOKUP($A354,SortedDownload!$A$3:$BB$499,28,FALSE),"")</f>
        <v/>
      </c>
      <c r="P354" s="59" t="str">
        <f>IFERROR(VLOOKUP($A354,SortedDownload!$A$3:$BB$499,29,FALSE),"")</f>
        <v/>
      </c>
      <c r="Q354" s="59" t="str">
        <f>IFERROR(VLOOKUP($A354,SortedDownload!$A$3:$BB$499,30,FALSE),"")</f>
        <v/>
      </c>
      <c r="R354" s="62" t="str">
        <f>IFERROR(TEXT(VLOOKUP($A354,SortedDownload!$A$3:$Z$499,14,FALSE),"[hh]:mm:ss.000"),"")</f>
        <v/>
      </c>
      <c r="S354" s="83" t="str">
        <f t="shared" si="17"/>
        <v>N/A</v>
      </c>
      <c r="T354" s="83" t="e">
        <f t="shared" si="15"/>
        <v>#VALUE!</v>
      </c>
      <c r="U354" s="9" t="str">
        <f t="shared" si="16"/>
        <v/>
      </c>
      <c r="V354" s="20" t="str">
        <f>IFERROR(IF(VLOOKUP(H354,AgeCategories!$D$3:$J$32,7,FALSE)=I354,"","DNF"),"")</f>
        <v/>
      </c>
    </row>
    <row r="355" spans="1:22">
      <c r="A355" s="53" t="str">
        <f>IF(SortedDownload!A355 &lt; 1,"",SortedDownload!A355)</f>
        <v/>
      </c>
      <c r="B355" s="55">
        <f>IF(V355&lt;&gt;"","DNF",COUNTIF($V$3:V355,V355))</f>
        <v>320</v>
      </c>
      <c r="C355" s="54" t="str">
        <f>IF(OR(B355="DNF",H355=""),"DNF",COUNTIF($H$3:H355,H355))</f>
        <v>DNF</v>
      </c>
      <c r="D355" s="90" t="str">
        <f>IFERROR(VLOOKUP($A355,EntryList!$A$3:$N$596,2,FALSE),"")</f>
        <v/>
      </c>
      <c r="E355" s="54" t="str">
        <f>IFERROR(VLOOKUP($A355,EntryList!$A$3:$V$596,19,FALSE),"")</f>
        <v/>
      </c>
      <c r="F355" s="176" t="str">
        <f>IFERROR(VLOOKUP($A355,EntryList!$A$3:$V$596,18,FALSE),"")</f>
        <v/>
      </c>
      <c r="H355" s="90" t="str">
        <f>IFERROR(VLOOKUP($A355,EntryList!$A$3:$N$596,7,FALSE),"")</f>
        <v/>
      </c>
      <c r="I355" s="54" t="str">
        <f>IFERROR(VLOOKUP($A355,SortedDownload!$A$3:$Z851,4,FALSE),"")</f>
        <v/>
      </c>
      <c r="J355" s="59" t="str">
        <f>IFERROR(VLOOKUP($A355,SortedDownload!$A$3:$BB$499,23,FALSE),"")</f>
        <v/>
      </c>
      <c r="K355" s="59" t="str">
        <f>IFERROR(VLOOKUP($A355,SortedDownload!$A$3:$BB$499,24,FALSE),"")</f>
        <v/>
      </c>
      <c r="L355" s="59" t="str">
        <f>IFERROR(VLOOKUP($A355,SortedDownload!$A$3:$BB$499,25,FALSE),"")</f>
        <v/>
      </c>
      <c r="M355" s="59" t="str">
        <f>IFERROR(VLOOKUP($A355,SortedDownload!$A$3:$BB$499,26,FALSE),"")</f>
        <v/>
      </c>
      <c r="N355" s="59" t="str">
        <f>IFERROR(VLOOKUP($A355,SortedDownload!$A$3:$BB$499,27,FALSE),"")</f>
        <v/>
      </c>
      <c r="O355" s="59" t="str">
        <f>IFERROR(VLOOKUP($A355,SortedDownload!$A$3:$BB$499,28,FALSE),"")</f>
        <v/>
      </c>
      <c r="P355" s="59" t="str">
        <f>IFERROR(VLOOKUP($A355,SortedDownload!$A$3:$BB$499,29,FALSE),"")</f>
        <v/>
      </c>
      <c r="Q355" s="59" t="str">
        <f>IFERROR(VLOOKUP($A355,SortedDownload!$A$3:$BB$499,30,FALSE),"")</f>
        <v/>
      </c>
      <c r="R355" s="62" t="str">
        <f>IFERROR(TEXT(VLOOKUP($A355,SortedDownload!$A$3:$Z$499,14,FALSE),"[hh]:mm:ss.000"),"")</f>
        <v/>
      </c>
      <c r="S355" s="83" t="str">
        <f t="shared" si="17"/>
        <v>N/A</v>
      </c>
      <c r="T355" s="83" t="e">
        <f t="shared" si="15"/>
        <v>#VALUE!</v>
      </c>
      <c r="U355" s="9" t="str">
        <f t="shared" si="16"/>
        <v/>
      </c>
      <c r="V355" s="20" t="str">
        <f>IFERROR(IF(VLOOKUP(H355,AgeCategories!$D$3:$J$32,7,FALSE)=I355,"","DNF"),"")</f>
        <v/>
      </c>
    </row>
    <row r="356" spans="1:22">
      <c r="A356" s="53" t="str">
        <f>IF(SortedDownload!A356 &lt; 1,"",SortedDownload!A356)</f>
        <v/>
      </c>
      <c r="B356" s="55">
        <f>IF(V356&lt;&gt;"","DNF",COUNTIF($V$3:V356,V356))</f>
        <v>321</v>
      </c>
      <c r="C356" s="54" t="str">
        <f>IF(OR(B356="DNF",H356=""),"DNF",COUNTIF($H$3:H356,H356))</f>
        <v>DNF</v>
      </c>
      <c r="D356" s="90" t="str">
        <f>IFERROR(VLOOKUP($A356,EntryList!$A$3:$N$596,2,FALSE),"")</f>
        <v/>
      </c>
      <c r="E356" s="54" t="str">
        <f>IFERROR(VLOOKUP($A356,EntryList!$A$3:$V$596,19,FALSE),"")</f>
        <v/>
      </c>
      <c r="F356" s="176" t="str">
        <f>IFERROR(VLOOKUP($A356,EntryList!$A$3:$V$596,18,FALSE),"")</f>
        <v/>
      </c>
      <c r="H356" s="90" t="str">
        <f>IFERROR(VLOOKUP($A356,EntryList!$A$3:$N$596,7,FALSE),"")</f>
        <v/>
      </c>
      <c r="I356" s="54" t="str">
        <f>IFERROR(VLOOKUP($A356,SortedDownload!$A$3:$Z852,4,FALSE),"")</f>
        <v/>
      </c>
      <c r="J356" s="59" t="str">
        <f>IFERROR(VLOOKUP($A356,SortedDownload!$A$3:$BB$499,23,FALSE),"")</f>
        <v/>
      </c>
      <c r="K356" s="59" t="str">
        <f>IFERROR(VLOOKUP($A356,SortedDownload!$A$3:$BB$499,24,FALSE),"")</f>
        <v/>
      </c>
      <c r="L356" s="59" t="str">
        <f>IFERROR(VLOOKUP($A356,SortedDownload!$A$3:$BB$499,25,FALSE),"")</f>
        <v/>
      </c>
      <c r="M356" s="59" t="str">
        <f>IFERROR(VLOOKUP($A356,SortedDownload!$A$3:$BB$499,26,FALSE),"")</f>
        <v/>
      </c>
      <c r="N356" s="59" t="str">
        <f>IFERROR(VLOOKUP($A356,SortedDownload!$A$3:$BB$499,27,FALSE),"")</f>
        <v/>
      </c>
      <c r="O356" s="59" t="str">
        <f>IFERROR(VLOOKUP($A356,SortedDownload!$A$3:$BB$499,28,FALSE),"")</f>
        <v/>
      </c>
      <c r="P356" s="59" t="str">
        <f>IFERROR(VLOOKUP($A356,SortedDownload!$A$3:$BB$499,29,FALSE),"")</f>
        <v/>
      </c>
      <c r="Q356" s="59" t="str">
        <f>IFERROR(VLOOKUP($A356,SortedDownload!$A$3:$BB$499,30,FALSE),"")</f>
        <v/>
      </c>
      <c r="R356" s="62" t="str">
        <f>IFERROR(TEXT(VLOOKUP($A356,SortedDownload!$A$3:$Z$499,14,FALSE),"[hh]:mm:ss.000"),"")</f>
        <v/>
      </c>
      <c r="S356" s="83" t="str">
        <f t="shared" si="17"/>
        <v>N/A</v>
      </c>
      <c r="T356" s="83" t="e">
        <f t="shared" si="15"/>
        <v>#VALUE!</v>
      </c>
      <c r="U356" s="9" t="str">
        <f t="shared" si="16"/>
        <v/>
      </c>
      <c r="V356" s="20" t="str">
        <f>IFERROR(IF(VLOOKUP(H356,AgeCategories!$D$3:$J$32,7,FALSE)=I356,"","DNF"),"")</f>
        <v/>
      </c>
    </row>
    <row r="357" spans="1:22">
      <c r="A357" s="53" t="str">
        <f>IF(SortedDownload!A357 &lt; 1,"",SortedDownload!A357)</f>
        <v/>
      </c>
      <c r="B357" s="55">
        <f>IF(V357&lt;&gt;"","DNF",COUNTIF($V$3:V357,V357))</f>
        <v>322</v>
      </c>
      <c r="C357" s="54" t="str">
        <f>IF(OR(B357="DNF",H357=""),"DNF",COUNTIF($H$3:H357,H357))</f>
        <v>DNF</v>
      </c>
      <c r="D357" s="90" t="str">
        <f>IFERROR(VLOOKUP($A357,EntryList!$A$3:$N$596,2,FALSE),"")</f>
        <v/>
      </c>
      <c r="E357" s="54" t="str">
        <f>IFERROR(VLOOKUP($A357,EntryList!$A$3:$V$596,19,FALSE),"")</f>
        <v/>
      </c>
      <c r="F357" s="176" t="str">
        <f>IFERROR(VLOOKUP($A357,EntryList!$A$3:$V$596,18,FALSE),"")</f>
        <v/>
      </c>
      <c r="H357" s="90" t="str">
        <f>IFERROR(VLOOKUP($A357,EntryList!$A$3:$N$596,7,FALSE),"")</f>
        <v/>
      </c>
      <c r="I357" s="54" t="str">
        <f>IFERROR(VLOOKUP($A357,SortedDownload!$A$3:$Z853,4,FALSE),"")</f>
        <v/>
      </c>
      <c r="J357" s="59" t="str">
        <f>IFERROR(VLOOKUP($A357,SortedDownload!$A$3:$BB$499,23,FALSE),"")</f>
        <v/>
      </c>
      <c r="K357" s="59" t="str">
        <f>IFERROR(VLOOKUP($A357,SortedDownload!$A$3:$BB$499,24,FALSE),"")</f>
        <v/>
      </c>
      <c r="L357" s="59" t="str">
        <f>IFERROR(VLOOKUP($A357,SortedDownload!$A$3:$BB$499,25,FALSE),"")</f>
        <v/>
      </c>
      <c r="M357" s="59" t="str">
        <f>IFERROR(VLOOKUP($A357,SortedDownload!$A$3:$BB$499,26,FALSE),"")</f>
        <v/>
      </c>
      <c r="N357" s="59" t="str">
        <f>IFERROR(VLOOKUP($A357,SortedDownload!$A$3:$BB$499,27,FALSE),"")</f>
        <v/>
      </c>
      <c r="O357" s="59" t="str">
        <f>IFERROR(VLOOKUP($A357,SortedDownload!$A$3:$BB$499,28,FALSE),"")</f>
        <v/>
      </c>
      <c r="P357" s="59" t="str">
        <f>IFERROR(VLOOKUP($A357,SortedDownload!$A$3:$BB$499,29,FALSE),"")</f>
        <v/>
      </c>
      <c r="Q357" s="59" t="str">
        <f>IFERROR(VLOOKUP($A357,SortedDownload!$A$3:$BB$499,30,FALSE),"")</f>
        <v/>
      </c>
      <c r="R357" s="62" t="str">
        <f>IFERROR(TEXT(VLOOKUP($A357,SortedDownload!$A$3:$Z$499,14,FALSE),"[hh]:mm:ss.000"),"")</f>
        <v/>
      </c>
      <c r="S357" s="83" t="str">
        <f t="shared" si="17"/>
        <v>N/A</v>
      </c>
      <c r="T357" s="83" t="e">
        <f t="shared" si="15"/>
        <v>#VALUE!</v>
      </c>
      <c r="U357" s="9" t="str">
        <f t="shared" si="16"/>
        <v/>
      </c>
      <c r="V357" s="20" t="str">
        <f>IFERROR(IF(VLOOKUP(H357,AgeCategories!$D$3:$J$32,7,FALSE)=I357,"","DNF"),"")</f>
        <v/>
      </c>
    </row>
    <row r="358" spans="1:22">
      <c r="A358" s="53" t="str">
        <f>IF(SortedDownload!A358 &lt; 1,"",SortedDownload!A358)</f>
        <v/>
      </c>
      <c r="B358" s="55">
        <f>IF(V358&lt;&gt;"","DNF",COUNTIF($V$3:V358,V358))</f>
        <v>323</v>
      </c>
      <c r="C358" s="54" t="str">
        <f>IF(OR(B358="DNF",H358=""),"DNF",COUNTIF($H$3:H358,H358))</f>
        <v>DNF</v>
      </c>
      <c r="D358" s="90" t="str">
        <f>IFERROR(VLOOKUP($A358,EntryList!$A$3:$N$596,2,FALSE),"")</f>
        <v/>
      </c>
      <c r="E358" s="54" t="str">
        <f>IFERROR(VLOOKUP($A358,EntryList!$A$3:$V$596,19,FALSE),"")</f>
        <v/>
      </c>
      <c r="F358" s="176" t="str">
        <f>IFERROR(VLOOKUP($A358,EntryList!$A$3:$V$596,18,FALSE),"")</f>
        <v/>
      </c>
      <c r="H358" s="90" t="str">
        <f>IFERROR(VLOOKUP($A358,EntryList!$A$3:$N$596,7,FALSE),"")</f>
        <v/>
      </c>
      <c r="I358" s="54" t="str">
        <f>IFERROR(VLOOKUP($A358,SortedDownload!$A$3:$Z854,4,FALSE),"")</f>
        <v/>
      </c>
      <c r="J358" s="59" t="str">
        <f>IFERROR(VLOOKUP($A358,SortedDownload!$A$3:$BB$499,23,FALSE),"")</f>
        <v/>
      </c>
      <c r="K358" s="59" t="str">
        <f>IFERROR(VLOOKUP($A358,SortedDownload!$A$3:$BB$499,24,FALSE),"")</f>
        <v/>
      </c>
      <c r="L358" s="59" t="str">
        <f>IFERROR(VLOOKUP($A358,SortedDownload!$A$3:$BB$499,25,FALSE),"")</f>
        <v/>
      </c>
      <c r="M358" s="59" t="str">
        <f>IFERROR(VLOOKUP($A358,SortedDownload!$A$3:$BB$499,26,FALSE),"")</f>
        <v/>
      </c>
      <c r="N358" s="59" t="str">
        <f>IFERROR(VLOOKUP($A358,SortedDownload!$A$3:$BB$499,27,FALSE),"")</f>
        <v/>
      </c>
      <c r="O358" s="59" t="str">
        <f>IFERROR(VLOOKUP($A358,SortedDownload!$A$3:$BB$499,28,FALSE),"")</f>
        <v/>
      </c>
      <c r="P358" s="59" t="str">
        <f>IFERROR(VLOOKUP($A358,SortedDownload!$A$3:$BB$499,29,FALSE),"")</f>
        <v/>
      </c>
      <c r="Q358" s="59" t="str">
        <f>IFERROR(VLOOKUP($A358,SortedDownload!$A$3:$BB$499,30,FALSE),"")</f>
        <v/>
      </c>
      <c r="R358" s="62" t="str">
        <f>IFERROR(TEXT(VLOOKUP($A358,SortedDownload!$A$3:$Z$499,14,FALSE),"[hh]:mm:ss.000"),"")</f>
        <v/>
      </c>
      <c r="S358" s="83" t="str">
        <f t="shared" si="17"/>
        <v>N/A</v>
      </c>
      <c r="T358" s="83" t="e">
        <f t="shared" si="15"/>
        <v>#VALUE!</v>
      </c>
      <c r="U358" s="9" t="str">
        <f t="shared" si="16"/>
        <v/>
      </c>
      <c r="V358" s="20" t="str">
        <f>IFERROR(IF(VLOOKUP(H358,AgeCategories!$D$3:$J$32,7,FALSE)=I358,"","DNF"),"")</f>
        <v/>
      </c>
    </row>
    <row r="359" spans="1:22">
      <c r="A359" s="53" t="str">
        <f>IF(SortedDownload!A359 &lt; 1,"",SortedDownload!A359)</f>
        <v/>
      </c>
      <c r="B359" s="55">
        <f>IF(V359&lt;&gt;"","DNF",COUNTIF($V$3:V359,V359))</f>
        <v>324</v>
      </c>
      <c r="C359" s="54" t="str">
        <f>IF(OR(B359="DNF",H359=""),"DNF",COUNTIF($H$3:H359,H359))</f>
        <v>DNF</v>
      </c>
      <c r="D359" s="90" t="str">
        <f>IFERROR(VLOOKUP($A359,EntryList!$A$3:$N$596,2,FALSE),"")</f>
        <v/>
      </c>
      <c r="E359" s="54" t="str">
        <f>IFERROR(VLOOKUP($A359,EntryList!$A$3:$V$596,19,FALSE),"")</f>
        <v/>
      </c>
      <c r="F359" s="176" t="str">
        <f>IFERROR(VLOOKUP($A359,EntryList!$A$3:$V$596,18,FALSE),"")</f>
        <v/>
      </c>
      <c r="H359" s="90" t="str">
        <f>IFERROR(VLOOKUP($A359,EntryList!$A$3:$N$596,7,FALSE),"")</f>
        <v/>
      </c>
      <c r="I359" s="54" t="str">
        <f>IFERROR(VLOOKUP($A359,SortedDownload!$A$3:$Z855,4,FALSE),"")</f>
        <v/>
      </c>
      <c r="J359" s="59" t="str">
        <f>IFERROR(VLOOKUP($A359,SortedDownload!$A$3:$BB$499,23,FALSE),"")</f>
        <v/>
      </c>
      <c r="K359" s="59" t="str">
        <f>IFERROR(VLOOKUP($A359,SortedDownload!$A$3:$BB$499,24,FALSE),"")</f>
        <v/>
      </c>
      <c r="L359" s="59" t="str">
        <f>IFERROR(VLOOKUP($A359,SortedDownload!$A$3:$BB$499,25,FALSE),"")</f>
        <v/>
      </c>
      <c r="M359" s="59" t="str">
        <f>IFERROR(VLOOKUP($A359,SortedDownload!$A$3:$BB$499,26,FALSE),"")</f>
        <v/>
      </c>
      <c r="N359" s="59" t="str">
        <f>IFERROR(VLOOKUP($A359,SortedDownload!$A$3:$BB$499,27,FALSE),"")</f>
        <v/>
      </c>
      <c r="O359" s="59" t="str">
        <f>IFERROR(VLOOKUP($A359,SortedDownload!$A$3:$BB$499,28,FALSE),"")</f>
        <v/>
      </c>
      <c r="P359" s="59" t="str">
        <f>IFERROR(VLOOKUP($A359,SortedDownload!$A$3:$BB$499,29,FALSE),"")</f>
        <v/>
      </c>
      <c r="Q359" s="59" t="str">
        <f>IFERROR(VLOOKUP($A359,SortedDownload!$A$3:$BB$499,30,FALSE),"")</f>
        <v/>
      </c>
      <c r="R359" s="62" t="str">
        <f>IFERROR(TEXT(VLOOKUP($A359,SortedDownload!$A$3:$Z$499,14,FALSE),"[hh]:mm:ss.000"),"")</f>
        <v/>
      </c>
      <c r="S359" s="83" t="str">
        <f t="shared" si="17"/>
        <v>N/A</v>
      </c>
      <c r="T359" s="83" t="e">
        <f t="shared" si="15"/>
        <v>#VALUE!</v>
      </c>
      <c r="U359" s="9" t="str">
        <f t="shared" si="16"/>
        <v/>
      </c>
      <c r="V359" s="20" t="str">
        <f>IFERROR(IF(VLOOKUP(H359,AgeCategories!$D$3:$J$32,7,FALSE)=I359,"","DNF"),"")</f>
        <v/>
      </c>
    </row>
    <row r="360" spans="1:22">
      <c r="A360" s="53" t="str">
        <f>IF(SortedDownload!A360 &lt; 1,"",SortedDownload!A360)</f>
        <v/>
      </c>
      <c r="B360" s="55">
        <f>IF(V360&lt;&gt;"","DNF",COUNTIF($V$3:V360,V360))</f>
        <v>325</v>
      </c>
      <c r="C360" s="54" t="str">
        <f>IF(OR(B360="DNF",H360=""),"DNF",COUNTIF($H$3:H360,H360))</f>
        <v>DNF</v>
      </c>
      <c r="D360" s="90" t="str">
        <f>IFERROR(VLOOKUP($A360,EntryList!$A$3:$N$596,2,FALSE),"")</f>
        <v/>
      </c>
      <c r="E360" s="54" t="str">
        <f>IFERROR(VLOOKUP($A360,EntryList!$A$3:$V$596,19,FALSE),"")</f>
        <v/>
      </c>
      <c r="F360" s="176" t="str">
        <f>IFERROR(VLOOKUP($A360,EntryList!$A$3:$V$596,18,FALSE),"")</f>
        <v/>
      </c>
      <c r="H360" s="90" t="str">
        <f>IFERROR(VLOOKUP($A360,EntryList!$A$3:$N$596,7,FALSE),"")</f>
        <v/>
      </c>
      <c r="I360" s="54" t="str">
        <f>IFERROR(VLOOKUP($A360,SortedDownload!$A$3:$Z856,4,FALSE),"")</f>
        <v/>
      </c>
      <c r="J360" s="59" t="str">
        <f>IFERROR(VLOOKUP($A360,SortedDownload!$A$3:$BB$499,23,FALSE),"")</f>
        <v/>
      </c>
      <c r="K360" s="59" t="str">
        <f>IFERROR(VLOOKUP($A360,SortedDownload!$A$3:$BB$499,24,FALSE),"")</f>
        <v/>
      </c>
      <c r="L360" s="59" t="str">
        <f>IFERROR(VLOOKUP($A360,SortedDownload!$A$3:$BB$499,25,FALSE),"")</f>
        <v/>
      </c>
      <c r="M360" s="59" t="str">
        <f>IFERROR(VLOOKUP($A360,SortedDownload!$A$3:$BB$499,26,FALSE),"")</f>
        <v/>
      </c>
      <c r="N360" s="59" t="str">
        <f>IFERROR(VLOOKUP($A360,SortedDownload!$A$3:$BB$499,27,FALSE),"")</f>
        <v/>
      </c>
      <c r="O360" s="59" t="str">
        <f>IFERROR(VLOOKUP($A360,SortedDownload!$A$3:$BB$499,28,FALSE),"")</f>
        <v/>
      </c>
      <c r="P360" s="59" t="str">
        <f>IFERROR(VLOOKUP($A360,SortedDownload!$A$3:$BB$499,29,FALSE),"")</f>
        <v/>
      </c>
      <c r="Q360" s="59" t="str">
        <f>IFERROR(VLOOKUP($A360,SortedDownload!$A$3:$BB$499,30,FALSE),"")</f>
        <v/>
      </c>
      <c r="R360" s="62" t="str">
        <f>IFERROR(TEXT(VLOOKUP($A360,SortedDownload!$A$3:$Z$499,14,FALSE),"[hh]:mm:ss.000"),"")</f>
        <v/>
      </c>
      <c r="S360" s="83" t="str">
        <f t="shared" si="17"/>
        <v>N/A</v>
      </c>
      <c r="T360" s="83" t="e">
        <f t="shared" si="15"/>
        <v>#VALUE!</v>
      </c>
      <c r="U360" s="9" t="str">
        <f t="shared" si="16"/>
        <v/>
      </c>
      <c r="V360" s="20" t="str">
        <f>IFERROR(IF(VLOOKUP(H360,AgeCategories!$D$3:$J$32,7,FALSE)=I360,"","DNF"),"")</f>
        <v/>
      </c>
    </row>
    <row r="361" spans="1:22">
      <c r="A361" s="53" t="str">
        <f>IF(SortedDownload!A361 &lt; 1,"",SortedDownload!A361)</f>
        <v/>
      </c>
      <c r="B361" s="55">
        <f>IF(V361&lt;&gt;"","DNF",COUNTIF($V$3:V361,V361))</f>
        <v>326</v>
      </c>
      <c r="C361" s="54" t="str">
        <f>IF(OR(B361="DNF",H361=""),"DNF",COUNTIF($H$3:H361,H361))</f>
        <v>DNF</v>
      </c>
      <c r="D361" s="90" t="str">
        <f>IFERROR(VLOOKUP($A361,EntryList!$A$3:$N$596,2,FALSE),"")</f>
        <v/>
      </c>
      <c r="E361" s="54" t="str">
        <f>IFERROR(VLOOKUP($A361,EntryList!$A$3:$V$596,19,FALSE),"")</f>
        <v/>
      </c>
      <c r="F361" s="176" t="str">
        <f>IFERROR(VLOOKUP($A361,EntryList!$A$3:$V$596,18,FALSE),"")</f>
        <v/>
      </c>
      <c r="H361" s="90" t="str">
        <f>IFERROR(VLOOKUP($A361,EntryList!$A$3:$N$596,7,FALSE),"")</f>
        <v/>
      </c>
      <c r="I361" s="54" t="str">
        <f>IFERROR(VLOOKUP($A361,SortedDownload!$A$3:$Z857,4,FALSE),"")</f>
        <v/>
      </c>
      <c r="J361" s="59" t="str">
        <f>IFERROR(VLOOKUP($A361,SortedDownload!$A$3:$BB$499,23,FALSE),"")</f>
        <v/>
      </c>
      <c r="K361" s="59" t="str">
        <f>IFERROR(VLOOKUP($A361,SortedDownload!$A$3:$BB$499,24,FALSE),"")</f>
        <v/>
      </c>
      <c r="L361" s="59" t="str">
        <f>IFERROR(VLOOKUP($A361,SortedDownload!$A$3:$BB$499,25,FALSE),"")</f>
        <v/>
      </c>
      <c r="M361" s="59" t="str">
        <f>IFERROR(VLOOKUP($A361,SortedDownload!$A$3:$BB$499,26,FALSE),"")</f>
        <v/>
      </c>
      <c r="N361" s="59" t="str">
        <f>IFERROR(VLOOKUP($A361,SortedDownload!$A$3:$BB$499,27,FALSE),"")</f>
        <v/>
      </c>
      <c r="O361" s="59" t="str">
        <f>IFERROR(VLOOKUP($A361,SortedDownload!$A$3:$BB$499,28,FALSE),"")</f>
        <v/>
      </c>
      <c r="P361" s="59" t="str">
        <f>IFERROR(VLOOKUP($A361,SortedDownload!$A$3:$BB$499,29,FALSE),"")</f>
        <v/>
      </c>
      <c r="Q361" s="59" t="str">
        <f>IFERROR(VLOOKUP($A361,SortedDownload!$A$3:$BB$499,30,FALSE),"")</f>
        <v/>
      </c>
      <c r="R361" s="62" t="str">
        <f>IFERROR(TEXT(VLOOKUP($A361,SortedDownload!$A$3:$Z$499,14,FALSE),"[hh]:mm:ss.000"),"")</f>
        <v/>
      </c>
      <c r="S361" s="83" t="str">
        <f t="shared" si="17"/>
        <v>N/A</v>
      </c>
      <c r="T361" s="83" t="e">
        <f t="shared" si="15"/>
        <v>#VALUE!</v>
      </c>
      <c r="U361" s="9" t="str">
        <f t="shared" si="16"/>
        <v/>
      </c>
      <c r="V361" s="20" t="str">
        <f>IFERROR(IF(VLOOKUP(H361,AgeCategories!$D$3:$J$32,7,FALSE)=I361,"","DNF"),"")</f>
        <v/>
      </c>
    </row>
    <row r="362" spans="1:22">
      <c r="A362" s="53" t="str">
        <f>IF(SortedDownload!A362 &lt; 1,"",SortedDownload!A362)</f>
        <v/>
      </c>
      <c r="B362" s="55">
        <f>IF(V362&lt;&gt;"","DNF",COUNTIF($V$3:V362,V362))</f>
        <v>327</v>
      </c>
      <c r="C362" s="54" t="str">
        <f>IF(OR(B362="DNF",H362=""),"DNF",COUNTIF($H$3:H362,H362))</f>
        <v>DNF</v>
      </c>
      <c r="D362" s="90" t="str">
        <f>IFERROR(VLOOKUP($A362,EntryList!$A$3:$N$596,2,FALSE),"")</f>
        <v/>
      </c>
      <c r="E362" s="54" t="str">
        <f>IFERROR(VLOOKUP($A362,EntryList!$A$3:$V$596,19,FALSE),"")</f>
        <v/>
      </c>
      <c r="F362" s="176" t="str">
        <f>IFERROR(VLOOKUP($A362,EntryList!$A$3:$V$596,18,FALSE),"")</f>
        <v/>
      </c>
      <c r="H362" s="90" t="str">
        <f>IFERROR(VLOOKUP($A362,EntryList!$A$3:$N$596,7,FALSE),"")</f>
        <v/>
      </c>
      <c r="I362" s="54" t="str">
        <f>IFERROR(VLOOKUP($A362,SortedDownload!$A$3:$Z858,4,FALSE),"")</f>
        <v/>
      </c>
      <c r="J362" s="59" t="str">
        <f>IFERROR(VLOOKUP($A362,SortedDownload!$A$3:$BB$499,23,FALSE),"")</f>
        <v/>
      </c>
      <c r="K362" s="59" t="str">
        <f>IFERROR(VLOOKUP($A362,SortedDownload!$A$3:$BB$499,24,FALSE),"")</f>
        <v/>
      </c>
      <c r="L362" s="59" t="str">
        <f>IFERROR(VLOOKUP($A362,SortedDownload!$A$3:$BB$499,25,FALSE),"")</f>
        <v/>
      </c>
      <c r="M362" s="59" t="str">
        <f>IFERROR(VLOOKUP($A362,SortedDownload!$A$3:$BB$499,26,FALSE),"")</f>
        <v/>
      </c>
      <c r="N362" s="59" t="str">
        <f>IFERROR(VLOOKUP($A362,SortedDownload!$A$3:$BB$499,27,FALSE),"")</f>
        <v/>
      </c>
      <c r="O362" s="59" t="str">
        <f>IFERROR(VLOOKUP($A362,SortedDownload!$A$3:$BB$499,28,FALSE),"")</f>
        <v/>
      </c>
      <c r="P362" s="59" t="str">
        <f>IFERROR(VLOOKUP($A362,SortedDownload!$A$3:$BB$499,29,FALSE),"")</f>
        <v/>
      </c>
      <c r="Q362" s="59" t="str">
        <f>IFERROR(VLOOKUP($A362,SortedDownload!$A$3:$BB$499,30,FALSE),"")</f>
        <v/>
      </c>
      <c r="R362" s="62" t="str">
        <f>IFERROR(TEXT(VLOOKUP($A362,SortedDownload!$A$3:$Z$499,14,FALSE),"[hh]:mm:ss.000"),"")</f>
        <v/>
      </c>
      <c r="S362" s="83" t="str">
        <f t="shared" si="17"/>
        <v>N/A</v>
      </c>
      <c r="T362" s="83" t="e">
        <f t="shared" si="15"/>
        <v>#VALUE!</v>
      </c>
      <c r="U362" s="9" t="str">
        <f t="shared" si="16"/>
        <v/>
      </c>
      <c r="V362" s="20" t="str">
        <f>IFERROR(IF(VLOOKUP(H362,AgeCategories!$D$3:$J$32,7,FALSE)=I362,"","DNF"),"")</f>
        <v/>
      </c>
    </row>
    <row r="363" spans="1:22">
      <c r="A363" s="53" t="str">
        <f>IF(SortedDownload!A363 &lt; 1,"",SortedDownload!A363)</f>
        <v/>
      </c>
      <c r="B363" s="55">
        <f>IF(V363&lt;&gt;"","DNF",COUNTIF($V$3:V363,V363))</f>
        <v>328</v>
      </c>
      <c r="C363" s="54" t="str">
        <f>IF(OR(B363="DNF",H363=""),"DNF",COUNTIF($H$3:H363,H363))</f>
        <v>DNF</v>
      </c>
      <c r="D363" s="90" t="str">
        <f>IFERROR(VLOOKUP($A363,EntryList!$A$3:$N$596,2,FALSE),"")</f>
        <v/>
      </c>
      <c r="E363" s="54" t="str">
        <f>IFERROR(VLOOKUP($A363,EntryList!$A$3:$V$596,19,FALSE),"")</f>
        <v/>
      </c>
      <c r="F363" s="176" t="str">
        <f>IFERROR(VLOOKUP($A363,EntryList!$A$3:$V$596,18,FALSE),"")</f>
        <v/>
      </c>
      <c r="H363" s="90" t="str">
        <f>IFERROR(VLOOKUP($A363,EntryList!$A$3:$N$596,7,FALSE),"")</f>
        <v/>
      </c>
      <c r="I363" s="54" t="str">
        <f>IFERROR(VLOOKUP($A363,SortedDownload!$A$3:$Z859,4,FALSE),"")</f>
        <v/>
      </c>
      <c r="J363" s="59" t="str">
        <f>IFERROR(VLOOKUP($A363,SortedDownload!$A$3:$BB$499,23,FALSE),"")</f>
        <v/>
      </c>
      <c r="K363" s="59" t="str">
        <f>IFERROR(VLOOKUP($A363,SortedDownload!$A$3:$BB$499,24,FALSE),"")</f>
        <v/>
      </c>
      <c r="L363" s="59" t="str">
        <f>IFERROR(VLOOKUP($A363,SortedDownload!$A$3:$BB$499,25,FALSE),"")</f>
        <v/>
      </c>
      <c r="M363" s="59" t="str">
        <f>IFERROR(VLOOKUP($A363,SortedDownload!$A$3:$BB$499,26,FALSE),"")</f>
        <v/>
      </c>
      <c r="N363" s="59" t="str">
        <f>IFERROR(VLOOKUP($A363,SortedDownload!$A$3:$BB$499,27,FALSE),"")</f>
        <v/>
      </c>
      <c r="O363" s="59" t="str">
        <f>IFERROR(VLOOKUP($A363,SortedDownload!$A$3:$BB$499,28,FALSE),"")</f>
        <v/>
      </c>
      <c r="P363" s="59" t="str">
        <f>IFERROR(VLOOKUP($A363,SortedDownload!$A$3:$BB$499,29,FALSE),"")</f>
        <v/>
      </c>
      <c r="Q363" s="59" t="str">
        <f>IFERROR(VLOOKUP($A363,SortedDownload!$A$3:$BB$499,30,FALSE),"")</f>
        <v/>
      </c>
      <c r="R363" s="62" t="str">
        <f>IFERROR(TEXT(VLOOKUP($A363,SortedDownload!$A$3:$Z$499,14,FALSE),"[hh]:mm:ss.000"),"")</f>
        <v/>
      </c>
      <c r="S363" s="83" t="str">
        <f t="shared" si="17"/>
        <v>N/A</v>
      </c>
      <c r="T363" s="83" t="e">
        <f t="shared" si="15"/>
        <v>#VALUE!</v>
      </c>
      <c r="U363" s="9" t="str">
        <f t="shared" si="16"/>
        <v/>
      </c>
      <c r="V363" s="20" t="str">
        <f>IFERROR(IF(VLOOKUP(H363,AgeCategories!$D$3:$J$32,7,FALSE)=I363,"","DNF"),"")</f>
        <v/>
      </c>
    </row>
    <row r="364" spans="1:22">
      <c r="A364" s="53" t="str">
        <f>IF(SortedDownload!A364 &lt; 1,"",SortedDownload!A364)</f>
        <v/>
      </c>
      <c r="B364" s="55">
        <f>IF(V364&lt;&gt;"","DNF",COUNTIF($V$3:V364,V364))</f>
        <v>329</v>
      </c>
      <c r="C364" s="54" t="str">
        <f>IF(OR(B364="DNF",H364=""),"DNF",COUNTIF($H$3:H364,H364))</f>
        <v>DNF</v>
      </c>
      <c r="D364" s="90" t="str">
        <f>IFERROR(VLOOKUP($A364,EntryList!$A$3:$N$596,2,FALSE),"")</f>
        <v/>
      </c>
      <c r="E364" s="54" t="str">
        <f>IFERROR(VLOOKUP($A364,EntryList!$A$3:$V$596,19,FALSE),"")</f>
        <v/>
      </c>
      <c r="F364" s="176" t="str">
        <f>IFERROR(VLOOKUP($A364,EntryList!$A$3:$V$596,18,FALSE),"")</f>
        <v/>
      </c>
      <c r="H364" s="90" t="str">
        <f>IFERROR(VLOOKUP($A364,EntryList!$A$3:$N$596,7,FALSE),"")</f>
        <v/>
      </c>
      <c r="I364" s="54" t="str">
        <f>IFERROR(VLOOKUP($A364,SortedDownload!$A$3:$Z860,4,FALSE),"")</f>
        <v/>
      </c>
      <c r="J364" s="59" t="str">
        <f>IFERROR(VLOOKUP($A364,SortedDownload!$A$3:$BB$499,23,FALSE),"")</f>
        <v/>
      </c>
      <c r="K364" s="59" t="str">
        <f>IFERROR(VLOOKUP($A364,SortedDownload!$A$3:$BB$499,24,FALSE),"")</f>
        <v/>
      </c>
      <c r="L364" s="59" t="str">
        <f>IFERROR(VLOOKUP($A364,SortedDownload!$A$3:$BB$499,25,FALSE),"")</f>
        <v/>
      </c>
      <c r="M364" s="59" t="str">
        <f>IFERROR(VLOOKUP($A364,SortedDownload!$A$3:$BB$499,26,FALSE),"")</f>
        <v/>
      </c>
      <c r="N364" s="59" t="str">
        <f>IFERROR(VLOOKUP($A364,SortedDownload!$A$3:$BB$499,27,FALSE),"")</f>
        <v/>
      </c>
      <c r="O364" s="59" t="str">
        <f>IFERROR(VLOOKUP($A364,SortedDownload!$A$3:$BB$499,28,FALSE),"")</f>
        <v/>
      </c>
      <c r="P364" s="59" t="str">
        <f>IFERROR(VLOOKUP($A364,SortedDownload!$A$3:$BB$499,29,FALSE),"")</f>
        <v/>
      </c>
      <c r="Q364" s="59" t="str">
        <f>IFERROR(VLOOKUP($A364,SortedDownload!$A$3:$BB$499,30,FALSE),"")</f>
        <v/>
      </c>
      <c r="R364" s="62" t="str">
        <f>IFERROR(TEXT(VLOOKUP($A364,SortedDownload!$A$3:$Z$499,14,FALSE),"[hh]:mm:ss.000"),"")</f>
        <v/>
      </c>
      <c r="S364" s="83" t="str">
        <f t="shared" si="17"/>
        <v>N/A</v>
      </c>
      <c r="T364" s="83" t="e">
        <f t="shared" si="15"/>
        <v>#VALUE!</v>
      </c>
      <c r="U364" s="9" t="str">
        <f t="shared" si="16"/>
        <v/>
      </c>
      <c r="V364" s="20" t="str">
        <f>IFERROR(IF(VLOOKUP(H364,AgeCategories!$D$3:$J$32,7,FALSE)=I364,"","DNF"),"")</f>
        <v/>
      </c>
    </row>
    <row r="365" spans="1:22">
      <c r="A365" s="53" t="str">
        <f>IF(SortedDownload!A365 &lt; 1,"",SortedDownload!A365)</f>
        <v/>
      </c>
      <c r="B365" s="55">
        <f>IF(V365&lt;&gt;"","DNF",COUNTIF($V$3:V365,V365))</f>
        <v>330</v>
      </c>
      <c r="C365" s="54" t="str">
        <f>IF(OR(B365="DNF",H365=""),"DNF",COUNTIF($H$3:H365,H365))</f>
        <v>DNF</v>
      </c>
      <c r="D365" s="90" t="str">
        <f>IFERROR(VLOOKUP($A365,EntryList!$A$3:$N$596,2,FALSE),"")</f>
        <v/>
      </c>
      <c r="E365" s="54" t="str">
        <f>IFERROR(VLOOKUP($A365,EntryList!$A$3:$V$596,19,FALSE),"")</f>
        <v/>
      </c>
      <c r="F365" s="176" t="str">
        <f>IFERROR(VLOOKUP($A365,EntryList!$A$3:$V$596,18,FALSE),"")</f>
        <v/>
      </c>
      <c r="H365" s="90" t="str">
        <f>IFERROR(VLOOKUP($A365,EntryList!$A$3:$N$596,7,FALSE),"")</f>
        <v/>
      </c>
      <c r="I365" s="54" t="str">
        <f>IFERROR(VLOOKUP($A365,SortedDownload!$A$3:$Z861,4,FALSE),"")</f>
        <v/>
      </c>
      <c r="J365" s="59" t="str">
        <f>IFERROR(VLOOKUP($A365,SortedDownload!$A$3:$BB$499,23,FALSE),"")</f>
        <v/>
      </c>
      <c r="K365" s="59" t="str">
        <f>IFERROR(VLOOKUP($A365,SortedDownload!$A$3:$BB$499,24,FALSE),"")</f>
        <v/>
      </c>
      <c r="L365" s="59" t="str">
        <f>IFERROR(VLOOKUP($A365,SortedDownload!$A$3:$BB$499,25,FALSE),"")</f>
        <v/>
      </c>
      <c r="M365" s="59" t="str">
        <f>IFERROR(VLOOKUP($A365,SortedDownload!$A$3:$BB$499,26,FALSE),"")</f>
        <v/>
      </c>
      <c r="N365" s="59" t="str">
        <f>IFERROR(VLOOKUP($A365,SortedDownload!$A$3:$BB$499,27,FALSE),"")</f>
        <v/>
      </c>
      <c r="O365" s="59" t="str">
        <f>IFERROR(VLOOKUP($A365,SortedDownload!$A$3:$BB$499,28,FALSE),"")</f>
        <v/>
      </c>
      <c r="P365" s="59" t="str">
        <f>IFERROR(VLOOKUP($A365,SortedDownload!$A$3:$BB$499,29,FALSE),"")</f>
        <v/>
      </c>
      <c r="Q365" s="59" t="str">
        <f>IFERROR(VLOOKUP($A365,SortedDownload!$A$3:$BB$499,30,FALSE),"")</f>
        <v/>
      </c>
      <c r="R365" s="62" t="str">
        <f>IFERROR(TEXT(VLOOKUP($A365,SortedDownload!$A$3:$Z$499,14,FALSE),"[hh]:mm:ss.000"),"")</f>
        <v/>
      </c>
      <c r="S365" s="83" t="str">
        <f t="shared" si="17"/>
        <v>N/A</v>
      </c>
      <c r="T365" s="83" t="e">
        <f t="shared" si="15"/>
        <v>#VALUE!</v>
      </c>
      <c r="U365" s="9" t="str">
        <f t="shared" si="16"/>
        <v/>
      </c>
      <c r="V365" s="20" t="str">
        <f>IFERROR(IF(VLOOKUP(H365,AgeCategories!$D$3:$J$32,7,FALSE)=I365,"","DNF"),"")</f>
        <v/>
      </c>
    </row>
    <row r="366" spans="1:22">
      <c r="A366" s="53" t="str">
        <f>IF(SortedDownload!A366 &lt; 1,"",SortedDownload!A366)</f>
        <v/>
      </c>
      <c r="B366" s="55">
        <f>IF(V366&lt;&gt;"","DNF",COUNTIF($V$3:V366,V366))</f>
        <v>331</v>
      </c>
      <c r="C366" s="54" t="str">
        <f>IF(OR(B366="DNF",H366=""),"DNF",COUNTIF($H$3:H366,H366))</f>
        <v>DNF</v>
      </c>
      <c r="D366" s="90" t="str">
        <f>IFERROR(VLOOKUP($A366,EntryList!$A$3:$N$596,2,FALSE),"")</f>
        <v/>
      </c>
      <c r="E366" s="54" t="str">
        <f>IFERROR(VLOOKUP($A366,EntryList!$A$3:$V$596,19,FALSE),"")</f>
        <v/>
      </c>
      <c r="F366" s="176" t="str">
        <f>IFERROR(VLOOKUP($A366,EntryList!$A$3:$V$596,18,FALSE),"")</f>
        <v/>
      </c>
      <c r="H366" s="90" t="str">
        <f>IFERROR(VLOOKUP($A366,EntryList!$A$3:$N$596,7,FALSE),"")</f>
        <v/>
      </c>
      <c r="I366" s="54" t="str">
        <f>IFERROR(VLOOKUP($A366,SortedDownload!$A$3:$Z862,4,FALSE),"")</f>
        <v/>
      </c>
      <c r="J366" s="59" t="str">
        <f>IFERROR(VLOOKUP($A366,SortedDownload!$A$3:$BB$499,23,FALSE),"")</f>
        <v/>
      </c>
      <c r="K366" s="59" t="str">
        <f>IFERROR(VLOOKUP($A366,SortedDownload!$A$3:$BB$499,24,FALSE),"")</f>
        <v/>
      </c>
      <c r="L366" s="59" t="str">
        <f>IFERROR(VLOOKUP($A366,SortedDownload!$A$3:$BB$499,25,FALSE),"")</f>
        <v/>
      </c>
      <c r="M366" s="59" t="str">
        <f>IFERROR(VLOOKUP($A366,SortedDownload!$A$3:$BB$499,26,FALSE),"")</f>
        <v/>
      </c>
      <c r="N366" s="59" t="str">
        <f>IFERROR(VLOOKUP($A366,SortedDownload!$A$3:$BB$499,27,FALSE),"")</f>
        <v/>
      </c>
      <c r="O366" s="59" t="str">
        <f>IFERROR(VLOOKUP($A366,SortedDownload!$A$3:$BB$499,28,FALSE),"")</f>
        <v/>
      </c>
      <c r="P366" s="59" t="str">
        <f>IFERROR(VLOOKUP($A366,SortedDownload!$A$3:$BB$499,29,FALSE),"")</f>
        <v/>
      </c>
      <c r="Q366" s="59" t="str">
        <f>IFERROR(VLOOKUP($A366,SortedDownload!$A$3:$BB$499,30,FALSE),"")</f>
        <v/>
      </c>
      <c r="R366" s="62" t="str">
        <f>IFERROR(TEXT(VLOOKUP($A366,SortedDownload!$A$3:$Z$499,14,FALSE),"[hh]:mm:ss.000"),"")</f>
        <v/>
      </c>
      <c r="S366" s="83" t="str">
        <f t="shared" si="17"/>
        <v>N/A</v>
      </c>
      <c r="T366" s="83" t="e">
        <f t="shared" si="15"/>
        <v>#VALUE!</v>
      </c>
      <c r="U366" s="9" t="str">
        <f t="shared" si="16"/>
        <v/>
      </c>
      <c r="V366" s="20" t="str">
        <f>IFERROR(IF(VLOOKUP(H366,AgeCategories!$D$3:$J$32,7,FALSE)=I366,"","DNF"),"")</f>
        <v/>
      </c>
    </row>
    <row r="367" spans="1:22">
      <c r="A367" s="53" t="str">
        <f>IF(SortedDownload!A367 &lt; 1,"",SortedDownload!A367)</f>
        <v/>
      </c>
      <c r="B367" s="55">
        <f>IF(V367&lt;&gt;"","DNF",COUNTIF($V$3:V367,V367))</f>
        <v>332</v>
      </c>
      <c r="C367" s="54" t="str">
        <f>IF(OR(B367="DNF",H367=""),"DNF",COUNTIF($H$3:H367,H367))</f>
        <v>DNF</v>
      </c>
      <c r="D367" s="90" t="str">
        <f>IFERROR(VLOOKUP($A367,EntryList!$A$3:$N$596,2,FALSE),"")</f>
        <v/>
      </c>
      <c r="E367" s="54" t="str">
        <f>IFERROR(VLOOKUP($A367,EntryList!$A$3:$V$596,19,FALSE),"")</f>
        <v/>
      </c>
      <c r="F367" s="176" t="str">
        <f>IFERROR(VLOOKUP($A367,EntryList!$A$3:$V$596,18,FALSE),"")</f>
        <v/>
      </c>
      <c r="H367" s="90" t="str">
        <f>IFERROR(VLOOKUP($A367,EntryList!$A$3:$N$596,7,FALSE),"")</f>
        <v/>
      </c>
      <c r="I367" s="54" t="str">
        <f>IFERROR(VLOOKUP($A367,SortedDownload!$A$3:$Z863,4,FALSE),"")</f>
        <v/>
      </c>
      <c r="J367" s="59" t="str">
        <f>IFERROR(VLOOKUP($A367,SortedDownload!$A$3:$BB$499,23,FALSE),"")</f>
        <v/>
      </c>
      <c r="K367" s="59" t="str">
        <f>IFERROR(VLOOKUP($A367,SortedDownload!$A$3:$BB$499,24,FALSE),"")</f>
        <v/>
      </c>
      <c r="L367" s="59" t="str">
        <f>IFERROR(VLOOKUP($A367,SortedDownload!$A$3:$BB$499,25,FALSE),"")</f>
        <v/>
      </c>
      <c r="M367" s="59" t="str">
        <f>IFERROR(VLOOKUP($A367,SortedDownload!$A$3:$BB$499,26,FALSE),"")</f>
        <v/>
      </c>
      <c r="N367" s="59" t="str">
        <f>IFERROR(VLOOKUP($A367,SortedDownload!$A$3:$BB$499,27,FALSE),"")</f>
        <v/>
      </c>
      <c r="O367" s="59" t="str">
        <f>IFERROR(VLOOKUP($A367,SortedDownload!$A$3:$BB$499,28,FALSE),"")</f>
        <v/>
      </c>
      <c r="P367" s="59" t="str">
        <f>IFERROR(VLOOKUP($A367,SortedDownload!$A$3:$BB$499,29,FALSE),"")</f>
        <v/>
      </c>
      <c r="Q367" s="59" t="str">
        <f>IFERROR(VLOOKUP($A367,SortedDownload!$A$3:$BB$499,30,FALSE),"")</f>
        <v/>
      </c>
      <c r="R367" s="62" t="str">
        <f>IFERROR(TEXT(VLOOKUP($A367,SortedDownload!$A$3:$Z$499,14,FALSE),"[hh]:mm:ss.000"),"")</f>
        <v/>
      </c>
      <c r="S367" s="83" t="str">
        <f t="shared" si="17"/>
        <v>N/A</v>
      </c>
      <c r="T367" s="83" t="e">
        <f t="shared" si="15"/>
        <v>#VALUE!</v>
      </c>
      <c r="U367" s="9" t="str">
        <f t="shared" si="16"/>
        <v/>
      </c>
      <c r="V367" s="20" t="str">
        <f>IFERROR(IF(VLOOKUP(H367,AgeCategories!$D$3:$J$32,7,FALSE)=I367,"","DNF"),"")</f>
        <v/>
      </c>
    </row>
    <row r="368" spans="1:22">
      <c r="A368" s="53" t="str">
        <f>IF(SortedDownload!A368 &lt; 1,"",SortedDownload!A368)</f>
        <v/>
      </c>
      <c r="B368" s="55">
        <f>IF(V368&lt;&gt;"","DNF",COUNTIF($V$3:V368,V368))</f>
        <v>333</v>
      </c>
      <c r="C368" s="54" t="str">
        <f>IF(OR(B368="DNF",H368=""),"DNF",COUNTIF($H$3:H368,H368))</f>
        <v>DNF</v>
      </c>
      <c r="D368" s="90" t="str">
        <f>IFERROR(VLOOKUP($A368,EntryList!$A$3:$N$596,2,FALSE),"")</f>
        <v/>
      </c>
      <c r="E368" s="54" t="str">
        <f>IFERROR(VLOOKUP($A368,EntryList!$A$3:$V$596,19,FALSE),"")</f>
        <v/>
      </c>
      <c r="F368" s="176" t="str">
        <f>IFERROR(VLOOKUP($A368,EntryList!$A$3:$V$596,18,FALSE),"")</f>
        <v/>
      </c>
      <c r="H368" s="90" t="str">
        <f>IFERROR(VLOOKUP($A368,EntryList!$A$3:$N$596,7,FALSE),"")</f>
        <v/>
      </c>
      <c r="I368" s="54" t="str">
        <f>IFERROR(VLOOKUP($A368,SortedDownload!$A$3:$Z864,4,FALSE),"")</f>
        <v/>
      </c>
      <c r="J368" s="59" t="str">
        <f>IFERROR(VLOOKUP($A368,SortedDownload!$A$3:$BB$499,23,FALSE),"")</f>
        <v/>
      </c>
      <c r="K368" s="59" t="str">
        <f>IFERROR(VLOOKUP($A368,SortedDownload!$A$3:$BB$499,24,FALSE),"")</f>
        <v/>
      </c>
      <c r="L368" s="59" t="str">
        <f>IFERROR(VLOOKUP($A368,SortedDownload!$A$3:$BB$499,25,FALSE),"")</f>
        <v/>
      </c>
      <c r="M368" s="59" t="str">
        <f>IFERROR(VLOOKUP($A368,SortedDownload!$A$3:$BB$499,26,FALSE),"")</f>
        <v/>
      </c>
      <c r="N368" s="59" t="str">
        <f>IFERROR(VLOOKUP($A368,SortedDownload!$A$3:$BB$499,27,FALSE),"")</f>
        <v/>
      </c>
      <c r="O368" s="59" t="str">
        <f>IFERROR(VLOOKUP($A368,SortedDownload!$A$3:$BB$499,28,FALSE),"")</f>
        <v/>
      </c>
      <c r="P368" s="59" t="str">
        <f>IFERROR(VLOOKUP($A368,SortedDownload!$A$3:$BB$499,29,FALSE),"")</f>
        <v/>
      </c>
      <c r="Q368" s="59" t="str">
        <f>IFERROR(VLOOKUP($A368,SortedDownload!$A$3:$BB$499,30,FALSE),"")</f>
        <v/>
      </c>
      <c r="R368" s="62" t="str">
        <f>IFERROR(TEXT(VLOOKUP($A368,SortedDownload!$A$3:$Z$499,14,FALSE),"[hh]:mm:ss.000"),"")</f>
        <v/>
      </c>
      <c r="S368" s="83" t="str">
        <f t="shared" si="17"/>
        <v>N/A</v>
      </c>
      <c r="T368" s="83" t="e">
        <f t="shared" si="15"/>
        <v>#VALUE!</v>
      </c>
      <c r="U368" s="9" t="str">
        <f t="shared" si="16"/>
        <v/>
      </c>
      <c r="V368" s="20" t="str">
        <f>IFERROR(IF(VLOOKUP(H368,AgeCategories!$D$3:$J$32,7,FALSE)=I368,"","DNF"),"")</f>
        <v/>
      </c>
    </row>
    <row r="369" spans="1:22">
      <c r="A369" s="53" t="str">
        <f>IF(SortedDownload!A369 &lt; 1,"",SortedDownload!A369)</f>
        <v/>
      </c>
      <c r="B369" s="55">
        <f>IF(V369&lt;&gt;"","DNF",COUNTIF($V$3:V369,V369))</f>
        <v>334</v>
      </c>
      <c r="C369" s="54" t="str">
        <f>IF(OR(B369="DNF",H369=""),"DNF",COUNTIF($H$3:H369,H369))</f>
        <v>DNF</v>
      </c>
      <c r="D369" s="90" t="str">
        <f>IFERROR(VLOOKUP($A369,EntryList!$A$3:$N$596,2,FALSE),"")</f>
        <v/>
      </c>
      <c r="E369" s="54" t="str">
        <f>IFERROR(VLOOKUP($A369,EntryList!$A$3:$V$596,19,FALSE),"")</f>
        <v/>
      </c>
      <c r="F369" s="176" t="str">
        <f>IFERROR(VLOOKUP($A369,EntryList!$A$3:$V$596,18,FALSE),"")</f>
        <v/>
      </c>
      <c r="H369" s="90" t="str">
        <f>IFERROR(VLOOKUP($A369,EntryList!$A$3:$N$596,7,FALSE),"")</f>
        <v/>
      </c>
      <c r="I369" s="54" t="str">
        <f>IFERROR(VLOOKUP($A369,SortedDownload!$A$3:$Z865,4,FALSE),"")</f>
        <v/>
      </c>
      <c r="J369" s="59" t="str">
        <f>IFERROR(VLOOKUP($A369,SortedDownload!$A$3:$BB$499,23,FALSE),"")</f>
        <v/>
      </c>
      <c r="K369" s="59" t="str">
        <f>IFERROR(VLOOKUP($A369,SortedDownload!$A$3:$BB$499,24,FALSE),"")</f>
        <v/>
      </c>
      <c r="L369" s="59" t="str">
        <f>IFERROR(VLOOKUP($A369,SortedDownload!$A$3:$BB$499,25,FALSE),"")</f>
        <v/>
      </c>
      <c r="M369" s="59" t="str">
        <f>IFERROR(VLOOKUP($A369,SortedDownload!$A$3:$BB$499,26,FALSE),"")</f>
        <v/>
      </c>
      <c r="N369" s="59" t="str">
        <f>IFERROR(VLOOKUP($A369,SortedDownload!$A$3:$BB$499,27,FALSE),"")</f>
        <v/>
      </c>
      <c r="O369" s="59" t="str">
        <f>IFERROR(VLOOKUP($A369,SortedDownload!$A$3:$BB$499,28,FALSE),"")</f>
        <v/>
      </c>
      <c r="P369" s="59" t="str">
        <f>IFERROR(VLOOKUP($A369,SortedDownload!$A$3:$BB$499,29,FALSE),"")</f>
        <v/>
      </c>
      <c r="Q369" s="59" t="str">
        <f>IFERROR(VLOOKUP($A369,SortedDownload!$A$3:$BB$499,30,FALSE),"")</f>
        <v/>
      </c>
      <c r="R369" s="62" t="str">
        <f>IFERROR(TEXT(VLOOKUP($A369,SortedDownload!$A$3:$Z$499,14,FALSE),"[hh]:mm:ss.000"),"")</f>
        <v/>
      </c>
      <c r="S369" s="83" t="str">
        <f t="shared" si="17"/>
        <v>N/A</v>
      </c>
      <c r="T369" s="83" t="e">
        <f t="shared" si="15"/>
        <v>#VALUE!</v>
      </c>
      <c r="U369" s="9" t="str">
        <f t="shared" si="16"/>
        <v/>
      </c>
      <c r="V369" s="20" t="str">
        <f>IFERROR(IF(VLOOKUP(H369,AgeCategories!$D$3:$J$32,7,FALSE)=I369,"","DNF"),"")</f>
        <v/>
      </c>
    </row>
    <row r="370" spans="1:22">
      <c r="A370" s="53" t="str">
        <f>IF(SortedDownload!A370 &lt; 1,"",SortedDownload!A370)</f>
        <v/>
      </c>
      <c r="B370" s="55">
        <f>IF(V370&lt;&gt;"","DNF",COUNTIF($V$3:V370,V370))</f>
        <v>335</v>
      </c>
      <c r="C370" s="54" t="str">
        <f>IF(OR(B370="DNF",H370=""),"DNF",COUNTIF($H$3:H370,H370))</f>
        <v>DNF</v>
      </c>
      <c r="D370" s="90" t="str">
        <f>IFERROR(VLOOKUP($A370,EntryList!$A$3:$N$596,2,FALSE),"")</f>
        <v/>
      </c>
      <c r="E370" s="54" t="str">
        <f>IFERROR(VLOOKUP($A370,EntryList!$A$3:$V$596,19,FALSE),"")</f>
        <v/>
      </c>
      <c r="F370" s="176" t="str">
        <f>IFERROR(VLOOKUP($A370,EntryList!$A$3:$V$596,18,FALSE),"")</f>
        <v/>
      </c>
      <c r="H370" s="90" t="str">
        <f>IFERROR(VLOOKUP($A370,EntryList!$A$3:$N$596,7,FALSE),"")</f>
        <v/>
      </c>
      <c r="I370" s="54" t="str">
        <f>IFERROR(VLOOKUP($A370,SortedDownload!$A$3:$Z866,4,FALSE),"")</f>
        <v/>
      </c>
      <c r="J370" s="59" t="str">
        <f>IFERROR(VLOOKUP($A370,SortedDownload!$A$3:$BB$499,23,FALSE),"")</f>
        <v/>
      </c>
      <c r="K370" s="59" t="str">
        <f>IFERROR(VLOOKUP($A370,SortedDownload!$A$3:$BB$499,24,FALSE),"")</f>
        <v/>
      </c>
      <c r="L370" s="59" t="str">
        <f>IFERROR(VLOOKUP($A370,SortedDownload!$A$3:$BB$499,25,FALSE),"")</f>
        <v/>
      </c>
      <c r="M370" s="59" t="str">
        <f>IFERROR(VLOOKUP($A370,SortedDownload!$A$3:$BB$499,26,FALSE),"")</f>
        <v/>
      </c>
      <c r="N370" s="59" t="str">
        <f>IFERROR(VLOOKUP($A370,SortedDownload!$A$3:$BB$499,27,FALSE),"")</f>
        <v/>
      </c>
      <c r="O370" s="59" t="str">
        <f>IFERROR(VLOOKUP($A370,SortedDownload!$A$3:$BB$499,28,FALSE),"")</f>
        <v/>
      </c>
      <c r="P370" s="59" t="str">
        <f>IFERROR(VLOOKUP($A370,SortedDownload!$A$3:$BB$499,29,FALSE),"")</f>
        <v/>
      </c>
      <c r="Q370" s="59" t="str">
        <f>IFERROR(VLOOKUP($A370,SortedDownload!$A$3:$BB$499,30,FALSE),"")</f>
        <v/>
      </c>
      <c r="R370" s="62" t="str">
        <f>IFERROR(TEXT(VLOOKUP($A370,SortedDownload!$A$3:$Z$499,14,FALSE),"[hh]:mm:ss.000"),"")</f>
        <v/>
      </c>
      <c r="S370" s="83" t="str">
        <f t="shared" si="17"/>
        <v>N/A</v>
      </c>
      <c r="T370" s="83" t="e">
        <f t="shared" si="15"/>
        <v>#VALUE!</v>
      </c>
      <c r="U370" s="9" t="str">
        <f t="shared" si="16"/>
        <v/>
      </c>
      <c r="V370" s="20" t="str">
        <f>IFERROR(IF(VLOOKUP(H370,AgeCategories!$D$3:$J$32,7,FALSE)=I370,"","DNF"),"")</f>
        <v/>
      </c>
    </row>
    <row r="371" spans="1:22">
      <c r="A371" s="53" t="str">
        <f>IF(SortedDownload!A371 &lt; 1,"",SortedDownload!A371)</f>
        <v/>
      </c>
      <c r="B371" s="55">
        <f>IF(V371&lt;&gt;"","DNF",COUNTIF($V$3:V371,V371))</f>
        <v>336</v>
      </c>
      <c r="C371" s="54" t="str">
        <f>IF(OR(B371="DNF",H371=""),"DNF",COUNTIF($H$3:H371,H371))</f>
        <v>DNF</v>
      </c>
      <c r="D371" s="90" t="str">
        <f>IFERROR(VLOOKUP($A371,EntryList!$A$3:$N$596,2,FALSE),"")</f>
        <v/>
      </c>
      <c r="E371" s="54" t="str">
        <f>IFERROR(VLOOKUP($A371,EntryList!$A$3:$V$596,19,FALSE),"")</f>
        <v/>
      </c>
      <c r="F371" s="176" t="str">
        <f>IFERROR(VLOOKUP($A371,EntryList!$A$3:$V$596,18,FALSE),"")</f>
        <v/>
      </c>
      <c r="H371" s="90" t="str">
        <f>IFERROR(VLOOKUP($A371,EntryList!$A$3:$N$596,7,FALSE),"")</f>
        <v/>
      </c>
      <c r="I371" s="54" t="str">
        <f>IFERROR(VLOOKUP($A371,SortedDownload!$A$3:$Z867,4,FALSE),"")</f>
        <v/>
      </c>
      <c r="J371" s="59" t="str">
        <f>IFERROR(VLOOKUP($A371,SortedDownload!$A$3:$BB$499,23,FALSE),"")</f>
        <v/>
      </c>
      <c r="K371" s="59" t="str">
        <f>IFERROR(VLOOKUP($A371,SortedDownload!$A$3:$BB$499,24,FALSE),"")</f>
        <v/>
      </c>
      <c r="L371" s="59" t="str">
        <f>IFERROR(VLOOKUP($A371,SortedDownload!$A$3:$BB$499,25,FALSE),"")</f>
        <v/>
      </c>
      <c r="M371" s="59" t="str">
        <f>IFERROR(VLOOKUP($A371,SortedDownload!$A$3:$BB$499,26,FALSE),"")</f>
        <v/>
      </c>
      <c r="N371" s="59" t="str">
        <f>IFERROR(VLOOKUP($A371,SortedDownload!$A$3:$BB$499,27,FALSE),"")</f>
        <v/>
      </c>
      <c r="O371" s="59" t="str">
        <f>IFERROR(VLOOKUP($A371,SortedDownload!$A$3:$BB$499,28,FALSE),"")</f>
        <v/>
      </c>
      <c r="P371" s="59" t="str">
        <f>IFERROR(VLOOKUP($A371,SortedDownload!$A$3:$BB$499,29,FALSE),"")</f>
        <v/>
      </c>
      <c r="Q371" s="59" t="str">
        <f>IFERROR(VLOOKUP($A371,SortedDownload!$A$3:$BB$499,30,FALSE),"")</f>
        <v/>
      </c>
      <c r="R371" s="62" t="str">
        <f>IFERROR(TEXT(VLOOKUP($A371,SortedDownload!$A$3:$Z$499,14,FALSE),"[hh]:mm:ss.000"),"")</f>
        <v/>
      </c>
      <c r="S371" s="83" t="str">
        <f t="shared" si="17"/>
        <v>N/A</v>
      </c>
      <c r="T371" s="83" t="e">
        <f t="shared" si="15"/>
        <v>#VALUE!</v>
      </c>
      <c r="U371" s="9" t="str">
        <f t="shared" si="16"/>
        <v/>
      </c>
      <c r="V371" s="20" t="str">
        <f>IFERROR(IF(VLOOKUP(H371,AgeCategories!$D$3:$J$32,7,FALSE)=I371,"","DNF"),"")</f>
        <v/>
      </c>
    </row>
    <row r="372" spans="1:22">
      <c r="A372" s="53" t="str">
        <f>IF(SortedDownload!A372 &lt; 1,"",SortedDownload!A372)</f>
        <v/>
      </c>
      <c r="B372" s="55">
        <f>IF(V372&lt;&gt;"","DNF",COUNTIF($V$3:V372,V372))</f>
        <v>337</v>
      </c>
      <c r="C372" s="54" t="str">
        <f>IF(OR(B372="DNF",H372=""),"DNF",COUNTIF($H$3:H372,H372))</f>
        <v>DNF</v>
      </c>
      <c r="D372" s="90" t="str">
        <f>IFERROR(VLOOKUP($A372,EntryList!$A$3:$N$596,2,FALSE),"")</f>
        <v/>
      </c>
      <c r="E372" s="54" t="str">
        <f>IFERROR(VLOOKUP($A372,EntryList!$A$3:$V$596,19,FALSE),"")</f>
        <v/>
      </c>
      <c r="F372" s="176" t="str">
        <f>IFERROR(VLOOKUP($A372,EntryList!$A$3:$V$596,18,FALSE),"")</f>
        <v/>
      </c>
      <c r="H372" s="90" t="str">
        <f>IFERROR(VLOOKUP($A372,EntryList!$A$3:$N$596,7,FALSE),"")</f>
        <v/>
      </c>
      <c r="I372" s="54" t="str">
        <f>IFERROR(VLOOKUP($A372,SortedDownload!$A$3:$Z868,4,FALSE),"")</f>
        <v/>
      </c>
      <c r="J372" s="59" t="str">
        <f>IFERROR(VLOOKUP($A372,SortedDownload!$A$3:$BB$499,23,FALSE),"")</f>
        <v/>
      </c>
      <c r="K372" s="59" t="str">
        <f>IFERROR(VLOOKUP($A372,SortedDownload!$A$3:$BB$499,24,FALSE),"")</f>
        <v/>
      </c>
      <c r="L372" s="59" t="str">
        <f>IFERROR(VLOOKUP($A372,SortedDownload!$A$3:$BB$499,25,FALSE),"")</f>
        <v/>
      </c>
      <c r="M372" s="59" t="str">
        <f>IFERROR(VLOOKUP($A372,SortedDownload!$A$3:$BB$499,26,FALSE),"")</f>
        <v/>
      </c>
      <c r="N372" s="59" t="str">
        <f>IFERROR(VLOOKUP($A372,SortedDownload!$A$3:$BB$499,27,FALSE),"")</f>
        <v/>
      </c>
      <c r="O372" s="59" t="str">
        <f>IFERROR(VLOOKUP($A372,SortedDownload!$A$3:$BB$499,28,FALSE),"")</f>
        <v/>
      </c>
      <c r="P372" s="59" t="str">
        <f>IFERROR(VLOOKUP($A372,SortedDownload!$A$3:$BB$499,29,FALSE),"")</f>
        <v/>
      </c>
      <c r="Q372" s="59" t="str">
        <f>IFERROR(VLOOKUP($A372,SortedDownload!$A$3:$BB$499,30,FALSE),"")</f>
        <v/>
      </c>
      <c r="R372" s="62" t="str">
        <f>IFERROR(TEXT(VLOOKUP($A372,SortedDownload!$A$3:$Z$499,14,FALSE),"[hh]:mm:ss.000"),"")</f>
        <v/>
      </c>
      <c r="S372" s="83" t="str">
        <f t="shared" si="17"/>
        <v>N/A</v>
      </c>
      <c r="T372" s="83" t="e">
        <f t="shared" si="15"/>
        <v>#VALUE!</v>
      </c>
      <c r="U372" s="9" t="str">
        <f t="shared" si="16"/>
        <v/>
      </c>
      <c r="V372" s="20" t="str">
        <f>IFERROR(IF(VLOOKUP(H372,AgeCategories!$D$3:$J$32,7,FALSE)=I372,"","DNF"),"")</f>
        <v/>
      </c>
    </row>
    <row r="373" spans="1:22">
      <c r="A373" s="53" t="str">
        <f>IF(SortedDownload!A373 &lt; 1,"",SortedDownload!A373)</f>
        <v/>
      </c>
      <c r="B373" s="55">
        <f>IF(V373&lt;&gt;"","DNF",COUNTIF($V$3:V373,V373))</f>
        <v>338</v>
      </c>
      <c r="C373" s="54" t="str">
        <f>IF(OR(B373="DNF",H373=""),"DNF",COUNTIF($H$3:H373,H373))</f>
        <v>DNF</v>
      </c>
      <c r="D373" s="90" t="str">
        <f>IFERROR(VLOOKUP($A373,EntryList!$A$3:$N$596,2,FALSE),"")</f>
        <v/>
      </c>
      <c r="E373" s="54" t="str">
        <f>IFERROR(VLOOKUP($A373,EntryList!$A$3:$V$596,19,FALSE),"")</f>
        <v/>
      </c>
      <c r="F373" s="176" t="str">
        <f>IFERROR(VLOOKUP($A373,EntryList!$A$3:$V$596,18,FALSE),"")</f>
        <v/>
      </c>
      <c r="H373" s="90" t="str">
        <f>IFERROR(VLOOKUP($A373,EntryList!$A$3:$N$596,7,FALSE),"")</f>
        <v/>
      </c>
      <c r="I373" s="54" t="str">
        <f>IFERROR(VLOOKUP($A373,SortedDownload!$A$3:$Z869,4,FALSE),"")</f>
        <v/>
      </c>
      <c r="J373" s="59" t="str">
        <f>IFERROR(VLOOKUP($A373,SortedDownload!$A$3:$BB$499,23,FALSE),"")</f>
        <v/>
      </c>
      <c r="K373" s="59" t="str">
        <f>IFERROR(VLOOKUP($A373,SortedDownload!$A$3:$BB$499,24,FALSE),"")</f>
        <v/>
      </c>
      <c r="L373" s="59" t="str">
        <f>IFERROR(VLOOKUP($A373,SortedDownload!$A$3:$BB$499,25,FALSE),"")</f>
        <v/>
      </c>
      <c r="M373" s="59" t="str">
        <f>IFERROR(VLOOKUP($A373,SortedDownload!$A$3:$BB$499,26,FALSE),"")</f>
        <v/>
      </c>
      <c r="N373" s="59" t="str">
        <f>IFERROR(VLOOKUP($A373,SortedDownload!$A$3:$BB$499,27,FALSE),"")</f>
        <v/>
      </c>
      <c r="O373" s="59" t="str">
        <f>IFERROR(VLOOKUP($A373,SortedDownload!$A$3:$BB$499,28,FALSE),"")</f>
        <v/>
      </c>
      <c r="P373" s="59" t="str">
        <f>IFERROR(VLOOKUP($A373,SortedDownload!$A$3:$BB$499,29,FALSE),"")</f>
        <v/>
      </c>
      <c r="Q373" s="59" t="str">
        <f>IFERROR(VLOOKUP($A373,SortedDownload!$A$3:$BB$499,30,FALSE),"")</f>
        <v/>
      </c>
      <c r="R373" s="62" t="str">
        <f>IFERROR(TEXT(VLOOKUP($A373,SortedDownload!$A$3:$Z$499,14,FALSE),"[hh]:mm:ss.000"),"")</f>
        <v/>
      </c>
      <c r="S373" s="83" t="str">
        <f t="shared" si="17"/>
        <v>N/A</v>
      </c>
      <c r="T373" s="83" t="e">
        <f t="shared" si="15"/>
        <v>#VALUE!</v>
      </c>
      <c r="U373" s="9" t="str">
        <f t="shared" si="16"/>
        <v/>
      </c>
      <c r="V373" s="20" t="str">
        <f>IFERROR(IF(VLOOKUP(H373,AgeCategories!$D$3:$J$32,7,FALSE)=I373,"","DNF"),"")</f>
        <v/>
      </c>
    </row>
    <row r="374" spans="1:22">
      <c r="A374" s="53" t="str">
        <f>IF(SortedDownload!A374 &lt; 1,"",SortedDownload!A374)</f>
        <v/>
      </c>
      <c r="B374" s="55">
        <f>IF(V374&lt;&gt;"","DNF",COUNTIF($V$3:V374,V374))</f>
        <v>339</v>
      </c>
      <c r="C374" s="54" t="str">
        <f>IF(OR(B374="DNF",H374=""),"DNF",COUNTIF($H$3:H374,H374))</f>
        <v>DNF</v>
      </c>
      <c r="D374" s="90" t="str">
        <f>IFERROR(VLOOKUP($A374,EntryList!$A$3:$N$596,2,FALSE),"")</f>
        <v/>
      </c>
      <c r="E374" s="54" t="str">
        <f>IFERROR(VLOOKUP($A374,EntryList!$A$3:$V$596,19,FALSE),"")</f>
        <v/>
      </c>
      <c r="F374" s="176" t="str">
        <f>IFERROR(VLOOKUP($A374,EntryList!$A$3:$V$596,18,FALSE),"")</f>
        <v/>
      </c>
      <c r="H374" s="90" t="str">
        <f>IFERROR(VLOOKUP($A374,EntryList!$A$3:$N$596,7,FALSE),"")</f>
        <v/>
      </c>
      <c r="I374" s="54" t="str">
        <f>IFERROR(VLOOKUP($A374,SortedDownload!$A$3:$Z870,4,FALSE),"")</f>
        <v/>
      </c>
      <c r="J374" s="59" t="str">
        <f>IFERROR(VLOOKUP($A374,SortedDownload!$A$3:$BB$499,23,FALSE),"")</f>
        <v/>
      </c>
      <c r="K374" s="59" t="str">
        <f>IFERROR(VLOOKUP($A374,SortedDownload!$A$3:$BB$499,24,FALSE),"")</f>
        <v/>
      </c>
      <c r="L374" s="59" t="str">
        <f>IFERROR(VLOOKUP($A374,SortedDownload!$A$3:$BB$499,25,FALSE),"")</f>
        <v/>
      </c>
      <c r="M374" s="59" t="str">
        <f>IFERROR(VLOOKUP($A374,SortedDownload!$A$3:$BB$499,26,FALSE),"")</f>
        <v/>
      </c>
      <c r="N374" s="59" t="str">
        <f>IFERROR(VLOOKUP($A374,SortedDownload!$A$3:$BB$499,27,FALSE),"")</f>
        <v/>
      </c>
      <c r="O374" s="59" t="str">
        <f>IFERROR(VLOOKUP($A374,SortedDownload!$A$3:$BB$499,28,FALSE),"")</f>
        <v/>
      </c>
      <c r="P374" s="59" t="str">
        <f>IFERROR(VLOOKUP($A374,SortedDownload!$A$3:$BB$499,29,FALSE),"")</f>
        <v/>
      </c>
      <c r="Q374" s="59" t="str">
        <f>IFERROR(VLOOKUP($A374,SortedDownload!$A$3:$BB$499,30,FALSE),"")</f>
        <v/>
      </c>
      <c r="R374" s="62" t="str">
        <f>IFERROR(TEXT(VLOOKUP($A374,SortedDownload!$A$3:$Z$499,14,FALSE),"[hh]:mm:ss.000"),"")</f>
        <v/>
      </c>
      <c r="S374" s="83" t="str">
        <f t="shared" si="17"/>
        <v>N/A</v>
      </c>
      <c r="T374" s="83" t="e">
        <f t="shared" si="15"/>
        <v>#VALUE!</v>
      </c>
      <c r="U374" s="9" t="str">
        <f t="shared" si="16"/>
        <v/>
      </c>
      <c r="V374" s="20" t="str">
        <f>IFERROR(IF(VLOOKUP(H374,AgeCategories!$D$3:$J$32,7,FALSE)=I374,"","DNF"),"")</f>
        <v/>
      </c>
    </row>
    <row r="375" spans="1:22">
      <c r="A375" s="53" t="str">
        <f>IF(SortedDownload!A375 &lt; 1,"",SortedDownload!A375)</f>
        <v/>
      </c>
      <c r="B375" s="55">
        <f>IF(V375&lt;&gt;"","DNF",COUNTIF($V$3:V375,V375))</f>
        <v>340</v>
      </c>
      <c r="C375" s="54" t="str">
        <f>IF(OR(B375="DNF",H375=""),"DNF",COUNTIF($H$3:H375,H375))</f>
        <v>DNF</v>
      </c>
      <c r="D375" s="90" t="str">
        <f>IFERROR(VLOOKUP($A375,EntryList!$A$3:$N$596,2,FALSE),"")</f>
        <v/>
      </c>
      <c r="E375" s="54" t="str">
        <f>IFERROR(VLOOKUP($A375,EntryList!$A$3:$V$596,19,FALSE),"")</f>
        <v/>
      </c>
      <c r="F375" s="176" t="str">
        <f>IFERROR(VLOOKUP($A375,EntryList!$A$3:$V$596,18,FALSE),"")</f>
        <v/>
      </c>
      <c r="H375" s="90" t="str">
        <f>IFERROR(VLOOKUP($A375,EntryList!$A$3:$N$596,7,FALSE),"")</f>
        <v/>
      </c>
      <c r="I375" s="54" t="str">
        <f>IFERROR(VLOOKUP($A375,SortedDownload!$A$3:$Z871,4,FALSE),"")</f>
        <v/>
      </c>
      <c r="J375" s="59" t="str">
        <f>IFERROR(VLOOKUP($A375,SortedDownload!$A$3:$BB$499,23,FALSE),"")</f>
        <v/>
      </c>
      <c r="K375" s="59" t="str">
        <f>IFERROR(VLOOKUP($A375,SortedDownload!$A$3:$BB$499,24,FALSE),"")</f>
        <v/>
      </c>
      <c r="L375" s="59" t="str">
        <f>IFERROR(VLOOKUP($A375,SortedDownload!$A$3:$BB$499,25,FALSE),"")</f>
        <v/>
      </c>
      <c r="M375" s="59" t="str">
        <f>IFERROR(VLOOKUP($A375,SortedDownload!$A$3:$BB$499,26,FALSE),"")</f>
        <v/>
      </c>
      <c r="N375" s="59" t="str">
        <f>IFERROR(VLOOKUP($A375,SortedDownload!$A$3:$BB$499,27,FALSE),"")</f>
        <v/>
      </c>
      <c r="O375" s="59" t="str">
        <f>IFERROR(VLOOKUP($A375,SortedDownload!$A$3:$BB$499,28,FALSE),"")</f>
        <v/>
      </c>
      <c r="P375" s="59" t="str">
        <f>IFERROR(VLOOKUP($A375,SortedDownload!$A$3:$BB$499,29,FALSE),"")</f>
        <v/>
      </c>
      <c r="Q375" s="59" t="str">
        <f>IFERROR(VLOOKUP($A375,SortedDownload!$A$3:$BB$499,30,FALSE),"")</f>
        <v/>
      </c>
      <c r="R375" s="62" t="str">
        <f>IFERROR(TEXT(VLOOKUP($A375,SortedDownload!$A$3:$Z$499,14,FALSE),"[hh]:mm:ss.000"),"")</f>
        <v/>
      </c>
      <c r="S375" s="83" t="str">
        <f t="shared" si="17"/>
        <v>N/A</v>
      </c>
      <c r="T375" s="83" t="e">
        <f t="shared" si="15"/>
        <v>#VALUE!</v>
      </c>
      <c r="U375" s="9" t="str">
        <f t="shared" si="16"/>
        <v/>
      </c>
      <c r="V375" s="20" t="str">
        <f>IFERROR(IF(VLOOKUP(H375,AgeCategories!$D$3:$J$32,7,FALSE)=I375,"","DNF"),"")</f>
        <v/>
      </c>
    </row>
    <row r="376" spans="1:22">
      <c r="A376" s="53" t="str">
        <f>IF(SortedDownload!A376 &lt; 1,"",SortedDownload!A376)</f>
        <v/>
      </c>
      <c r="B376" s="55">
        <f>IF(V376&lt;&gt;"","DNF",COUNTIF($V$3:V376,V376))</f>
        <v>341</v>
      </c>
      <c r="C376" s="54" t="str">
        <f>IF(OR(B376="DNF",H376=""),"DNF",COUNTIF($H$3:H376,H376))</f>
        <v>DNF</v>
      </c>
      <c r="D376" s="90" t="str">
        <f>IFERROR(VLOOKUP($A376,EntryList!$A$3:$N$596,2,FALSE),"")</f>
        <v/>
      </c>
      <c r="E376" s="54" t="str">
        <f>IFERROR(VLOOKUP($A376,EntryList!$A$3:$V$596,19,FALSE),"")</f>
        <v/>
      </c>
      <c r="F376" s="176" t="str">
        <f>IFERROR(VLOOKUP($A376,EntryList!$A$3:$V$596,18,FALSE),"")</f>
        <v/>
      </c>
      <c r="H376" s="90" t="str">
        <f>IFERROR(VLOOKUP($A376,EntryList!$A$3:$N$596,7,FALSE),"")</f>
        <v/>
      </c>
      <c r="I376" s="54" t="str">
        <f>IFERROR(VLOOKUP($A376,SortedDownload!$A$3:$Z872,4,FALSE),"")</f>
        <v/>
      </c>
      <c r="J376" s="59" t="str">
        <f>IFERROR(VLOOKUP($A376,SortedDownload!$A$3:$BB$499,23,FALSE),"")</f>
        <v/>
      </c>
      <c r="K376" s="59" t="str">
        <f>IFERROR(VLOOKUP($A376,SortedDownload!$A$3:$BB$499,24,FALSE),"")</f>
        <v/>
      </c>
      <c r="L376" s="59" t="str">
        <f>IFERROR(VLOOKUP($A376,SortedDownload!$A$3:$BB$499,25,FALSE),"")</f>
        <v/>
      </c>
      <c r="M376" s="59" t="str">
        <f>IFERROR(VLOOKUP($A376,SortedDownload!$A$3:$BB$499,26,FALSE),"")</f>
        <v/>
      </c>
      <c r="N376" s="59" t="str">
        <f>IFERROR(VLOOKUP($A376,SortedDownload!$A$3:$BB$499,27,FALSE),"")</f>
        <v/>
      </c>
      <c r="O376" s="59" t="str">
        <f>IFERROR(VLOOKUP($A376,SortedDownload!$A$3:$BB$499,28,FALSE),"")</f>
        <v/>
      </c>
      <c r="P376" s="59" t="str">
        <f>IFERROR(VLOOKUP($A376,SortedDownload!$A$3:$BB$499,29,FALSE),"")</f>
        <v/>
      </c>
      <c r="Q376" s="59" t="str">
        <f>IFERROR(VLOOKUP($A376,SortedDownload!$A$3:$BB$499,30,FALSE),"")</f>
        <v/>
      </c>
      <c r="R376" s="62" t="str">
        <f>IFERROR(TEXT(VLOOKUP($A376,SortedDownload!$A$3:$Z$499,14,FALSE),"[hh]:mm:ss.000"),"")</f>
        <v/>
      </c>
      <c r="S376" s="83" t="str">
        <f t="shared" si="17"/>
        <v>N/A</v>
      </c>
      <c r="T376" s="83" t="e">
        <f t="shared" si="15"/>
        <v>#VALUE!</v>
      </c>
      <c r="U376" s="9" t="str">
        <f t="shared" si="16"/>
        <v/>
      </c>
      <c r="V376" s="20" t="str">
        <f>IFERROR(IF(VLOOKUP(H376,AgeCategories!$D$3:$J$32,7,FALSE)=I376,"","DNF"),"")</f>
        <v/>
      </c>
    </row>
    <row r="377" spans="1:22">
      <c r="A377" s="53" t="str">
        <f>IF(SortedDownload!A377 &lt; 1,"",SortedDownload!A377)</f>
        <v/>
      </c>
      <c r="B377" s="55">
        <f>IF(V377&lt;&gt;"","DNF",COUNTIF($V$3:V377,V377))</f>
        <v>342</v>
      </c>
      <c r="C377" s="54" t="str">
        <f>IF(OR(B377="DNF",H377=""),"DNF",COUNTIF($H$3:H377,H377))</f>
        <v>DNF</v>
      </c>
      <c r="D377" s="90" t="str">
        <f>IFERROR(VLOOKUP($A377,EntryList!$A$3:$N$596,2,FALSE),"")</f>
        <v/>
      </c>
      <c r="E377" s="54" t="str">
        <f>IFERROR(VLOOKUP($A377,EntryList!$A$3:$V$596,19,FALSE),"")</f>
        <v/>
      </c>
      <c r="F377" s="176" t="str">
        <f>IFERROR(VLOOKUP($A377,EntryList!$A$3:$V$596,18,FALSE),"")</f>
        <v/>
      </c>
      <c r="H377" s="90" t="str">
        <f>IFERROR(VLOOKUP($A377,EntryList!$A$3:$N$596,7,FALSE),"")</f>
        <v/>
      </c>
      <c r="I377" s="54" t="str">
        <f>IFERROR(VLOOKUP($A377,SortedDownload!$A$3:$Z873,4,FALSE),"")</f>
        <v/>
      </c>
      <c r="J377" s="59" t="str">
        <f>IFERROR(VLOOKUP($A377,SortedDownload!$A$3:$BB$499,23,FALSE),"")</f>
        <v/>
      </c>
      <c r="K377" s="59" t="str">
        <f>IFERROR(VLOOKUP($A377,SortedDownload!$A$3:$BB$499,24,FALSE),"")</f>
        <v/>
      </c>
      <c r="L377" s="59" t="str">
        <f>IFERROR(VLOOKUP($A377,SortedDownload!$A$3:$BB$499,25,FALSE),"")</f>
        <v/>
      </c>
      <c r="M377" s="59" t="str">
        <f>IFERROR(VLOOKUP($A377,SortedDownload!$A$3:$BB$499,26,FALSE),"")</f>
        <v/>
      </c>
      <c r="N377" s="59" t="str">
        <f>IFERROR(VLOOKUP($A377,SortedDownload!$A$3:$BB$499,27,FALSE),"")</f>
        <v/>
      </c>
      <c r="O377" s="59" t="str">
        <f>IFERROR(VLOOKUP($A377,SortedDownload!$A$3:$BB$499,28,FALSE),"")</f>
        <v/>
      </c>
      <c r="P377" s="59" t="str">
        <f>IFERROR(VLOOKUP($A377,SortedDownload!$A$3:$BB$499,29,FALSE),"")</f>
        <v/>
      </c>
      <c r="Q377" s="59" t="str">
        <f>IFERROR(VLOOKUP($A377,SortedDownload!$A$3:$BB$499,30,FALSE),"")</f>
        <v/>
      </c>
      <c r="R377" s="62" t="str">
        <f>IFERROR(TEXT(VLOOKUP($A377,SortedDownload!$A$3:$Z$499,14,FALSE),"[hh]:mm:ss.000"),"")</f>
        <v/>
      </c>
      <c r="S377" s="83" t="str">
        <f t="shared" si="17"/>
        <v>N/A</v>
      </c>
      <c r="T377" s="83" t="e">
        <f t="shared" si="15"/>
        <v>#VALUE!</v>
      </c>
      <c r="U377" s="9" t="str">
        <f t="shared" si="16"/>
        <v/>
      </c>
      <c r="V377" s="20" t="str">
        <f>IFERROR(IF(VLOOKUP(H377,AgeCategories!$D$3:$J$32,7,FALSE)=I377,"","DNF"),"")</f>
        <v/>
      </c>
    </row>
    <row r="378" spans="1:22">
      <c r="A378" s="53" t="str">
        <f>IF(SortedDownload!A378 &lt; 1,"",SortedDownload!A378)</f>
        <v/>
      </c>
      <c r="B378" s="55">
        <f>IF(V378&lt;&gt;"","DNF",COUNTIF($V$3:V378,V378))</f>
        <v>343</v>
      </c>
      <c r="C378" s="54" t="str">
        <f>IF(OR(B378="DNF",H378=""),"DNF",COUNTIF($H$3:H378,H378))</f>
        <v>DNF</v>
      </c>
      <c r="D378" s="90" t="str">
        <f>IFERROR(VLOOKUP($A378,EntryList!$A$3:$N$596,2,FALSE),"")</f>
        <v/>
      </c>
      <c r="E378" s="54" t="str">
        <f>IFERROR(VLOOKUP($A378,EntryList!$A$3:$V$596,19,FALSE),"")</f>
        <v/>
      </c>
      <c r="F378" s="176" t="str">
        <f>IFERROR(VLOOKUP($A378,EntryList!$A$3:$V$596,18,FALSE),"")</f>
        <v/>
      </c>
      <c r="H378" s="90" t="str">
        <f>IFERROR(VLOOKUP($A378,EntryList!$A$3:$N$596,7,FALSE),"")</f>
        <v/>
      </c>
      <c r="I378" s="54" t="str">
        <f>IFERROR(VLOOKUP($A378,SortedDownload!$A$3:$Z874,4,FALSE),"")</f>
        <v/>
      </c>
      <c r="J378" s="59" t="str">
        <f>IFERROR(VLOOKUP($A378,SortedDownload!$A$3:$BB$499,23,FALSE),"")</f>
        <v/>
      </c>
      <c r="K378" s="59" t="str">
        <f>IFERROR(VLOOKUP($A378,SortedDownload!$A$3:$BB$499,24,FALSE),"")</f>
        <v/>
      </c>
      <c r="L378" s="59" t="str">
        <f>IFERROR(VLOOKUP($A378,SortedDownload!$A$3:$BB$499,25,FALSE),"")</f>
        <v/>
      </c>
      <c r="M378" s="59" t="str">
        <f>IFERROR(VLOOKUP($A378,SortedDownload!$A$3:$BB$499,26,FALSE),"")</f>
        <v/>
      </c>
      <c r="N378" s="59" t="str">
        <f>IFERROR(VLOOKUP($A378,SortedDownload!$A$3:$BB$499,27,FALSE),"")</f>
        <v/>
      </c>
      <c r="O378" s="59" t="str">
        <f>IFERROR(VLOOKUP($A378,SortedDownload!$A$3:$BB$499,28,FALSE),"")</f>
        <v/>
      </c>
      <c r="P378" s="59" t="str">
        <f>IFERROR(VLOOKUP($A378,SortedDownload!$A$3:$BB$499,29,FALSE),"")</f>
        <v/>
      </c>
      <c r="Q378" s="59" t="str">
        <f>IFERROR(VLOOKUP($A378,SortedDownload!$A$3:$BB$499,30,FALSE),"")</f>
        <v/>
      </c>
      <c r="R378" s="62" t="str">
        <f>IFERROR(TEXT(VLOOKUP($A378,SortedDownload!$A$3:$Z$499,14,FALSE),"[hh]:mm:ss.000"),"")</f>
        <v/>
      </c>
      <c r="S378" s="83" t="str">
        <f t="shared" si="17"/>
        <v>N/A</v>
      </c>
      <c r="T378" s="83" t="e">
        <f t="shared" si="15"/>
        <v>#VALUE!</v>
      </c>
      <c r="U378" s="9" t="str">
        <f t="shared" si="16"/>
        <v/>
      </c>
      <c r="V378" s="20" t="str">
        <f>IFERROR(IF(VLOOKUP(H378,AgeCategories!$D$3:$J$32,7,FALSE)=I378,"","DNF"),"")</f>
        <v/>
      </c>
    </row>
    <row r="379" spans="1:22">
      <c r="A379" s="53" t="str">
        <f>IF(SortedDownload!A379 &lt; 1,"",SortedDownload!A379)</f>
        <v/>
      </c>
      <c r="B379" s="55">
        <f>IF(V379&lt;&gt;"","DNF",COUNTIF($V$3:V379,V379))</f>
        <v>344</v>
      </c>
      <c r="C379" s="54" t="str">
        <f>IF(OR(B379="DNF",H379=""),"DNF",COUNTIF($H$3:H379,H379))</f>
        <v>DNF</v>
      </c>
      <c r="D379" s="90" t="str">
        <f>IFERROR(VLOOKUP($A379,EntryList!$A$3:$N$596,2,FALSE),"")</f>
        <v/>
      </c>
      <c r="E379" s="54" t="str">
        <f>IFERROR(VLOOKUP($A379,EntryList!$A$3:$V$596,19,FALSE),"")</f>
        <v/>
      </c>
      <c r="F379" s="176" t="str">
        <f>IFERROR(VLOOKUP($A379,EntryList!$A$3:$V$596,18,FALSE),"")</f>
        <v/>
      </c>
      <c r="H379" s="90" t="str">
        <f>IFERROR(VLOOKUP($A379,EntryList!$A$3:$N$596,7,FALSE),"")</f>
        <v/>
      </c>
      <c r="I379" s="54" t="str">
        <f>IFERROR(VLOOKUP($A379,SortedDownload!$A$3:$Z875,4,FALSE),"")</f>
        <v/>
      </c>
      <c r="J379" s="59" t="str">
        <f>IFERROR(VLOOKUP($A379,SortedDownload!$A$3:$BB$499,23,FALSE),"")</f>
        <v/>
      </c>
      <c r="K379" s="59" t="str">
        <f>IFERROR(VLOOKUP($A379,SortedDownload!$A$3:$BB$499,24,FALSE),"")</f>
        <v/>
      </c>
      <c r="L379" s="59" t="str">
        <f>IFERROR(VLOOKUP($A379,SortedDownload!$A$3:$BB$499,25,FALSE),"")</f>
        <v/>
      </c>
      <c r="M379" s="59" t="str">
        <f>IFERROR(VLOOKUP($A379,SortedDownload!$A$3:$BB$499,26,FALSE),"")</f>
        <v/>
      </c>
      <c r="N379" s="59" t="str">
        <f>IFERROR(VLOOKUP($A379,SortedDownload!$A$3:$BB$499,27,FALSE),"")</f>
        <v/>
      </c>
      <c r="O379" s="59" t="str">
        <f>IFERROR(VLOOKUP($A379,SortedDownload!$A$3:$BB$499,28,FALSE),"")</f>
        <v/>
      </c>
      <c r="P379" s="59" t="str">
        <f>IFERROR(VLOOKUP($A379,SortedDownload!$A$3:$BB$499,29,FALSE),"")</f>
        <v/>
      </c>
      <c r="Q379" s="59" t="str">
        <f>IFERROR(VLOOKUP($A379,SortedDownload!$A$3:$BB$499,30,FALSE),"")</f>
        <v/>
      </c>
      <c r="R379" s="62" t="str">
        <f>IFERROR(TEXT(VLOOKUP($A379,SortedDownload!$A$3:$Z$499,14,FALSE),"[hh]:mm:ss.000"),"")</f>
        <v/>
      </c>
      <c r="S379" s="83" t="str">
        <f t="shared" si="17"/>
        <v>N/A</v>
      </c>
      <c r="T379" s="83" t="e">
        <f t="shared" si="15"/>
        <v>#VALUE!</v>
      </c>
      <c r="U379" s="9" t="str">
        <f t="shared" si="16"/>
        <v/>
      </c>
      <c r="V379" s="20" t="str">
        <f>IFERROR(IF(VLOOKUP(H379,AgeCategories!$D$3:$J$32,7,FALSE)=I379,"","DNF"),"")</f>
        <v/>
      </c>
    </row>
    <row r="380" spans="1:22">
      <c r="A380" s="53" t="str">
        <f>IF(SortedDownload!A380 &lt; 1,"",SortedDownload!A380)</f>
        <v/>
      </c>
      <c r="B380" s="55">
        <f>IF(V380&lt;&gt;"","DNF",COUNTIF($V$3:V380,V380))</f>
        <v>345</v>
      </c>
      <c r="C380" s="54" t="str">
        <f>IF(OR(B380="DNF",H380=""),"DNF",COUNTIF($H$3:H380,H380))</f>
        <v>DNF</v>
      </c>
      <c r="D380" s="90" t="str">
        <f>IFERROR(VLOOKUP($A380,EntryList!$A$3:$N$596,2,FALSE),"")</f>
        <v/>
      </c>
      <c r="E380" s="54" t="str">
        <f>IFERROR(VLOOKUP($A380,EntryList!$A$3:$V$596,19,FALSE),"")</f>
        <v/>
      </c>
      <c r="F380" s="176" t="str">
        <f>IFERROR(VLOOKUP($A380,EntryList!$A$3:$V$596,18,FALSE),"")</f>
        <v/>
      </c>
      <c r="H380" s="90" t="str">
        <f>IFERROR(VLOOKUP($A380,EntryList!$A$3:$N$596,7,FALSE),"")</f>
        <v/>
      </c>
      <c r="I380" s="54" t="str">
        <f>IFERROR(VLOOKUP($A380,SortedDownload!$A$3:$Z876,4,FALSE),"")</f>
        <v/>
      </c>
      <c r="J380" s="59" t="str">
        <f>IFERROR(VLOOKUP($A380,SortedDownload!$A$3:$BB$499,23,FALSE),"")</f>
        <v/>
      </c>
      <c r="K380" s="59" t="str">
        <f>IFERROR(VLOOKUP($A380,SortedDownload!$A$3:$BB$499,24,FALSE),"")</f>
        <v/>
      </c>
      <c r="L380" s="59" t="str">
        <f>IFERROR(VLOOKUP($A380,SortedDownload!$A$3:$BB$499,25,FALSE),"")</f>
        <v/>
      </c>
      <c r="M380" s="59" t="str">
        <f>IFERROR(VLOOKUP($A380,SortedDownload!$A$3:$BB$499,26,FALSE),"")</f>
        <v/>
      </c>
      <c r="N380" s="59" t="str">
        <f>IFERROR(VLOOKUP($A380,SortedDownload!$A$3:$BB$499,27,FALSE),"")</f>
        <v/>
      </c>
      <c r="O380" s="59" t="str">
        <f>IFERROR(VLOOKUP($A380,SortedDownload!$A$3:$BB$499,28,FALSE),"")</f>
        <v/>
      </c>
      <c r="P380" s="59" t="str">
        <f>IFERROR(VLOOKUP($A380,SortedDownload!$A$3:$BB$499,29,FALSE),"")</f>
        <v/>
      </c>
      <c r="Q380" s="59" t="str">
        <f>IFERROR(VLOOKUP($A380,SortedDownload!$A$3:$BB$499,30,FALSE),"")</f>
        <v/>
      </c>
      <c r="R380" s="62" t="str">
        <f>IFERROR(TEXT(VLOOKUP($A380,SortedDownload!$A$3:$Z$499,14,FALSE),"[hh]:mm:ss.000"),"")</f>
        <v/>
      </c>
      <c r="S380" s="83" t="str">
        <f t="shared" si="17"/>
        <v>N/A</v>
      </c>
      <c r="T380" s="83" t="e">
        <f t="shared" si="15"/>
        <v>#VALUE!</v>
      </c>
      <c r="U380" s="9" t="str">
        <f t="shared" si="16"/>
        <v/>
      </c>
      <c r="V380" s="20" t="str">
        <f>IFERROR(IF(VLOOKUP(H380,AgeCategories!$D$3:$J$32,7,FALSE)=I380,"","DNF"),"")</f>
        <v/>
      </c>
    </row>
    <row r="381" spans="1:22">
      <c r="A381" s="53" t="str">
        <f>IF(SortedDownload!A381 &lt; 1,"",SortedDownload!A381)</f>
        <v/>
      </c>
      <c r="B381" s="55">
        <f>IF(V381&lt;&gt;"","DNF",COUNTIF($V$3:V381,V381))</f>
        <v>346</v>
      </c>
      <c r="C381" s="54" t="str">
        <f>IF(OR(B381="DNF",H381=""),"DNF",COUNTIF($H$3:H381,H381))</f>
        <v>DNF</v>
      </c>
      <c r="D381" s="90" t="str">
        <f>IFERROR(VLOOKUP($A381,EntryList!$A$3:$N$596,2,FALSE),"")</f>
        <v/>
      </c>
      <c r="E381" s="54" t="str">
        <f>IFERROR(VLOOKUP($A381,EntryList!$A$3:$V$596,19,FALSE),"")</f>
        <v/>
      </c>
      <c r="F381" s="176" t="str">
        <f>IFERROR(VLOOKUP($A381,EntryList!$A$3:$V$596,18,FALSE),"")</f>
        <v/>
      </c>
      <c r="H381" s="90" t="str">
        <f>IFERROR(VLOOKUP($A381,EntryList!$A$3:$N$596,7,FALSE),"")</f>
        <v/>
      </c>
      <c r="I381" s="54" t="str">
        <f>IFERROR(VLOOKUP($A381,SortedDownload!$A$3:$Z877,4,FALSE),"")</f>
        <v/>
      </c>
      <c r="J381" s="59" t="str">
        <f>IFERROR(VLOOKUP($A381,SortedDownload!$A$3:$BB$499,23,FALSE),"")</f>
        <v/>
      </c>
      <c r="K381" s="59" t="str">
        <f>IFERROR(VLOOKUP($A381,SortedDownload!$A$3:$BB$499,24,FALSE),"")</f>
        <v/>
      </c>
      <c r="L381" s="59" t="str">
        <f>IFERROR(VLOOKUP($A381,SortedDownload!$A$3:$BB$499,25,FALSE),"")</f>
        <v/>
      </c>
      <c r="M381" s="59" t="str">
        <f>IFERROR(VLOOKUP($A381,SortedDownload!$A$3:$BB$499,26,FALSE),"")</f>
        <v/>
      </c>
      <c r="N381" s="59" t="str">
        <f>IFERROR(VLOOKUP($A381,SortedDownload!$A$3:$BB$499,27,FALSE),"")</f>
        <v/>
      </c>
      <c r="O381" s="59" t="str">
        <f>IFERROR(VLOOKUP($A381,SortedDownload!$A$3:$BB$499,28,FALSE),"")</f>
        <v/>
      </c>
      <c r="P381" s="59" t="str">
        <f>IFERROR(VLOOKUP($A381,SortedDownload!$A$3:$BB$499,29,FALSE),"")</f>
        <v/>
      </c>
      <c r="Q381" s="59" t="str">
        <f>IFERROR(VLOOKUP($A381,SortedDownload!$A$3:$BB$499,30,FALSE),"")</f>
        <v/>
      </c>
      <c r="R381" s="62" t="str">
        <f>IFERROR(TEXT(VLOOKUP($A381,SortedDownload!$A$3:$Z$499,14,FALSE),"[hh]:mm:ss.000"),"")</f>
        <v/>
      </c>
      <c r="S381" s="83" t="str">
        <f t="shared" si="17"/>
        <v>N/A</v>
      </c>
      <c r="T381" s="83" t="e">
        <f t="shared" si="15"/>
        <v>#VALUE!</v>
      </c>
      <c r="U381" s="9" t="str">
        <f t="shared" si="16"/>
        <v/>
      </c>
      <c r="V381" s="20" t="str">
        <f>IFERROR(IF(VLOOKUP(H381,AgeCategories!$D$3:$J$32,7,FALSE)=I381,"","DNF"),"")</f>
        <v/>
      </c>
    </row>
    <row r="382" spans="1:22">
      <c r="A382" s="53" t="str">
        <f>IF(SortedDownload!A382 &lt; 1,"",SortedDownload!A382)</f>
        <v/>
      </c>
      <c r="B382" s="55">
        <f>IF(V382&lt;&gt;"","DNF",COUNTIF($V$3:V382,V382))</f>
        <v>347</v>
      </c>
      <c r="C382" s="54" t="str">
        <f>IF(OR(B382="DNF",H382=""),"DNF",COUNTIF($H$3:H382,H382))</f>
        <v>DNF</v>
      </c>
      <c r="D382" s="90" t="str">
        <f>IFERROR(VLOOKUP($A382,EntryList!$A$3:$N$596,2,FALSE),"")</f>
        <v/>
      </c>
      <c r="E382" s="54" t="str">
        <f>IFERROR(VLOOKUP($A382,EntryList!$A$3:$V$596,19,FALSE),"")</f>
        <v/>
      </c>
      <c r="F382" s="176" t="str">
        <f>IFERROR(VLOOKUP($A382,EntryList!$A$3:$V$596,18,FALSE),"")</f>
        <v/>
      </c>
      <c r="H382" s="90" t="str">
        <f>IFERROR(VLOOKUP($A382,EntryList!$A$3:$N$596,7,FALSE),"")</f>
        <v/>
      </c>
      <c r="I382" s="54" t="str">
        <f>IFERROR(VLOOKUP($A382,SortedDownload!$A$3:$Z878,4,FALSE),"")</f>
        <v/>
      </c>
      <c r="J382" s="59" t="str">
        <f>IFERROR(VLOOKUP($A382,SortedDownload!$A$3:$BB$499,23,FALSE),"")</f>
        <v/>
      </c>
      <c r="K382" s="59" t="str">
        <f>IFERROR(VLOOKUP($A382,SortedDownload!$A$3:$BB$499,24,FALSE),"")</f>
        <v/>
      </c>
      <c r="L382" s="59" t="str">
        <f>IFERROR(VLOOKUP($A382,SortedDownload!$A$3:$BB$499,25,FALSE),"")</f>
        <v/>
      </c>
      <c r="M382" s="59" t="str">
        <f>IFERROR(VLOOKUP($A382,SortedDownload!$A$3:$BB$499,26,FALSE),"")</f>
        <v/>
      </c>
      <c r="N382" s="59" t="str">
        <f>IFERROR(VLOOKUP($A382,SortedDownload!$A$3:$BB$499,27,FALSE),"")</f>
        <v/>
      </c>
      <c r="O382" s="59" t="str">
        <f>IFERROR(VLOOKUP($A382,SortedDownload!$A$3:$BB$499,28,FALSE),"")</f>
        <v/>
      </c>
      <c r="P382" s="59" t="str">
        <f>IFERROR(VLOOKUP($A382,SortedDownload!$A$3:$BB$499,29,FALSE),"")</f>
        <v/>
      </c>
      <c r="Q382" s="59" t="str">
        <f>IFERROR(VLOOKUP($A382,SortedDownload!$A$3:$BB$499,30,FALSE),"")</f>
        <v/>
      </c>
      <c r="R382" s="62" t="str">
        <f>IFERROR(TEXT(VLOOKUP($A382,SortedDownload!$A$3:$Z$499,14,FALSE),"[hh]:mm:ss.000"),"")</f>
        <v/>
      </c>
      <c r="S382" s="83" t="str">
        <f t="shared" si="17"/>
        <v>N/A</v>
      </c>
      <c r="T382" s="83" t="e">
        <f t="shared" si="15"/>
        <v>#VALUE!</v>
      </c>
      <c r="U382" s="9" t="str">
        <f t="shared" si="16"/>
        <v/>
      </c>
      <c r="V382" s="20" t="str">
        <f>IFERROR(IF(VLOOKUP(H382,AgeCategories!$D$3:$J$32,7,FALSE)=I382,"","DNF"),"")</f>
        <v/>
      </c>
    </row>
    <row r="383" spans="1:22">
      <c r="A383" s="53" t="str">
        <f>IF(SortedDownload!A383 &lt; 1,"",SortedDownload!A383)</f>
        <v/>
      </c>
      <c r="B383" s="55">
        <f>IF(V383&lt;&gt;"","DNF",COUNTIF($V$3:V383,V383))</f>
        <v>348</v>
      </c>
      <c r="C383" s="54" t="str">
        <f>IF(OR(B383="DNF",H383=""),"DNF",COUNTIF($H$3:H383,H383))</f>
        <v>DNF</v>
      </c>
      <c r="D383" s="90" t="str">
        <f>IFERROR(VLOOKUP($A383,EntryList!$A$3:$N$596,2,FALSE),"")</f>
        <v/>
      </c>
      <c r="E383" s="54" t="str">
        <f>IFERROR(VLOOKUP($A383,EntryList!$A$3:$V$596,19,FALSE),"")</f>
        <v/>
      </c>
      <c r="F383" s="176" t="str">
        <f>IFERROR(VLOOKUP($A383,EntryList!$A$3:$V$596,18,FALSE),"")</f>
        <v/>
      </c>
      <c r="H383" s="90" t="str">
        <f>IFERROR(VLOOKUP($A383,EntryList!$A$3:$N$596,7,FALSE),"")</f>
        <v/>
      </c>
      <c r="I383" s="54" t="str">
        <f>IFERROR(VLOOKUP($A383,SortedDownload!$A$3:$Z879,4,FALSE),"")</f>
        <v/>
      </c>
      <c r="J383" s="59" t="str">
        <f>IFERROR(VLOOKUP($A383,SortedDownload!$A$3:$BB$499,23,FALSE),"")</f>
        <v/>
      </c>
      <c r="K383" s="59" t="str">
        <f>IFERROR(VLOOKUP($A383,SortedDownload!$A$3:$BB$499,24,FALSE),"")</f>
        <v/>
      </c>
      <c r="L383" s="59" t="str">
        <f>IFERROR(VLOOKUP($A383,SortedDownload!$A$3:$BB$499,25,FALSE),"")</f>
        <v/>
      </c>
      <c r="M383" s="59" t="str">
        <f>IFERROR(VLOOKUP($A383,SortedDownload!$A$3:$BB$499,26,FALSE),"")</f>
        <v/>
      </c>
      <c r="N383" s="59" t="str">
        <f>IFERROR(VLOOKUP($A383,SortedDownload!$A$3:$BB$499,27,FALSE),"")</f>
        <v/>
      </c>
      <c r="O383" s="59" t="str">
        <f>IFERROR(VLOOKUP($A383,SortedDownload!$A$3:$BB$499,28,FALSE),"")</f>
        <v/>
      </c>
      <c r="P383" s="59" t="str">
        <f>IFERROR(VLOOKUP($A383,SortedDownload!$A$3:$BB$499,29,FALSE),"")</f>
        <v/>
      </c>
      <c r="Q383" s="59" t="str">
        <f>IFERROR(VLOOKUP($A383,SortedDownload!$A$3:$BB$499,30,FALSE),"")</f>
        <v/>
      </c>
      <c r="R383" s="62" t="str">
        <f>IFERROR(TEXT(VLOOKUP($A383,SortedDownload!$A$3:$Z$499,14,FALSE),"[hh]:mm:ss.000"),"")</f>
        <v/>
      </c>
      <c r="S383" s="83" t="str">
        <f t="shared" si="17"/>
        <v>N/A</v>
      </c>
      <c r="T383" s="83" t="e">
        <f t="shared" si="15"/>
        <v>#VALUE!</v>
      </c>
      <c r="U383" s="9" t="str">
        <f t="shared" si="16"/>
        <v/>
      </c>
      <c r="V383" s="20" t="str">
        <f>IFERROR(IF(VLOOKUP(H383,AgeCategories!$D$3:$J$32,7,FALSE)=I383,"","DNF"),"")</f>
        <v/>
      </c>
    </row>
    <row r="384" spans="1:22">
      <c r="A384" s="53" t="str">
        <f>IF(SortedDownload!A384 &lt; 1,"",SortedDownload!A384)</f>
        <v/>
      </c>
      <c r="B384" s="55">
        <f>IF(V384&lt;&gt;"","DNF",COUNTIF($V$3:V384,V384))</f>
        <v>349</v>
      </c>
      <c r="C384" s="54" t="str">
        <f>IF(OR(B384="DNF",H384=""),"DNF",COUNTIF($H$3:H384,H384))</f>
        <v>DNF</v>
      </c>
      <c r="D384" s="90" t="str">
        <f>IFERROR(VLOOKUP($A384,EntryList!$A$3:$N$596,2,FALSE),"")</f>
        <v/>
      </c>
      <c r="E384" s="54" t="str">
        <f>IFERROR(VLOOKUP($A384,EntryList!$A$3:$V$596,19,FALSE),"")</f>
        <v/>
      </c>
      <c r="F384" s="176" t="str">
        <f>IFERROR(VLOOKUP($A384,EntryList!$A$3:$V$596,18,FALSE),"")</f>
        <v/>
      </c>
      <c r="H384" s="90" t="str">
        <f>IFERROR(VLOOKUP($A384,EntryList!$A$3:$N$596,7,FALSE),"")</f>
        <v/>
      </c>
      <c r="I384" s="54" t="str">
        <f>IFERROR(VLOOKUP($A384,SortedDownload!$A$3:$Z880,4,FALSE),"")</f>
        <v/>
      </c>
      <c r="J384" s="59" t="str">
        <f>IFERROR(VLOOKUP($A384,SortedDownload!$A$3:$BB$499,23,FALSE),"")</f>
        <v/>
      </c>
      <c r="K384" s="59" t="str">
        <f>IFERROR(VLOOKUP($A384,SortedDownload!$A$3:$BB$499,24,FALSE),"")</f>
        <v/>
      </c>
      <c r="L384" s="59" t="str">
        <f>IFERROR(VLOOKUP($A384,SortedDownload!$A$3:$BB$499,25,FALSE),"")</f>
        <v/>
      </c>
      <c r="M384" s="59" t="str">
        <f>IFERROR(VLOOKUP($A384,SortedDownload!$A$3:$BB$499,26,FALSE),"")</f>
        <v/>
      </c>
      <c r="N384" s="59" t="str">
        <f>IFERROR(VLOOKUP($A384,SortedDownload!$A$3:$BB$499,27,FALSE),"")</f>
        <v/>
      </c>
      <c r="O384" s="59" t="str">
        <f>IFERROR(VLOOKUP($A384,SortedDownload!$A$3:$BB$499,28,FALSE),"")</f>
        <v/>
      </c>
      <c r="P384" s="59" t="str">
        <f>IFERROR(VLOOKUP($A384,SortedDownload!$A$3:$BB$499,29,FALSE),"")</f>
        <v/>
      </c>
      <c r="Q384" s="59" t="str">
        <f>IFERROR(VLOOKUP($A384,SortedDownload!$A$3:$BB$499,30,FALSE),"")</f>
        <v/>
      </c>
      <c r="R384" s="62" t="str">
        <f>IFERROR(TEXT(VLOOKUP($A384,SortedDownload!$A$3:$Z$499,14,FALSE),"[hh]:mm:ss.000"),"")</f>
        <v/>
      </c>
      <c r="S384" s="83" t="str">
        <f t="shared" si="17"/>
        <v>N/A</v>
      </c>
      <c r="T384" s="83" t="e">
        <f t="shared" si="15"/>
        <v>#VALUE!</v>
      </c>
      <c r="U384" s="9" t="str">
        <f t="shared" si="16"/>
        <v/>
      </c>
      <c r="V384" s="20" t="str">
        <f>IFERROR(IF(VLOOKUP(H384,AgeCategories!$D$3:$J$32,7,FALSE)=I384,"","DNF"),"")</f>
        <v/>
      </c>
    </row>
    <row r="385" spans="1:22">
      <c r="A385" s="53" t="str">
        <f>IF(SortedDownload!A385 &lt; 1,"",SortedDownload!A385)</f>
        <v/>
      </c>
      <c r="B385" s="55">
        <f>IF(V385&lt;&gt;"","DNF",COUNTIF($V$3:V385,V385))</f>
        <v>350</v>
      </c>
      <c r="C385" s="54" t="str">
        <f>IF(OR(B385="DNF",H385=""),"DNF",COUNTIF($H$3:H385,H385))</f>
        <v>DNF</v>
      </c>
      <c r="D385" s="90" t="str">
        <f>IFERROR(VLOOKUP($A385,EntryList!$A$3:$N$596,2,FALSE),"")</f>
        <v/>
      </c>
      <c r="E385" s="54" t="str">
        <f>IFERROR(VLOOKUP($A385,EntryList!$A$3:$V$596,19,FALSE),"")</f>
        <v/>
      </c>
      <c r="F385" s="176" t="str">
        <f>IFERROR(VLOOKUP($A385,EntryList!$A$3:$V$596,18,FALSE),"")</f>
        <v/>
      </c>
      <c r="H385" s="90" t="str">
        <f>IFERROR(VLOOKUP($A385,EntryList!$A$3:$N$596,7,FALSE),"")</f>
        <v/>
      </c>
      <c r="I385" s="54" t="str">
        <f>IFERROR(VLOOKUP($A385,SortedDownload!$A$3:$Z881,4,FALSE),"")</f>
        <v/>
      </c>
      <c r="J385" s="59" t="str">
        <f>IFERROR(VLOOKUP($A385,SortedDownload!$A$3:$BB$499,23,FALSE),"")</f>
        <v/>
      </c>
      <c r="K385" s="59" t="str">
        <f>IFERROR(VLOOKUP($A385,SortedDownload!$A$3:$BB$499,24,FALSE),"")</f>
        <v/>
      </c>
      <c r="L385" s="59" t="str">
        <f>IFERROR(VLOOKUP($A385,SortedDownload!$A$3:$BB$499,25,FALSE),"")</f>
        <v/>
      </c>
      <c r="M385" s="59" t="str">
        <f>IFERROR(VLOOKUP($A385,SortedDownload!$A$3:$BB$499,26,FALSE),"")</f>
        <v/>
      </c>
      <c r="N385" s="59" t="str">
        <f>IFERROR(VLOOKUP($A385,SortedDownload!$A$3:$BB$499,27,FALSE),"")</f>
        <v/>
      </c>
      <c r="O385" s="59" t="str">
        <f>IFERROR(VLOOKUP($A385,SortedDownload!$A$3:$BB$499,28,FALSE),"")</f>
        <v/>
      </c>
      <c r="P385" s="59" t="str">
        <f>IFERROR(VLOOKUP($A385,SortedDownload!$A$3:$BB$499,29,FALSE),"")</f>
        <v/>
      </c>
      <c r="Q385" s="59" t="str">
        <f>IFERROR(VLOOKUP($A385,SortedDownload!$A$3:$BB$499,30,FALSE),"")</f>
        <v/>
      </c>
      <c r="R385" s="62" t="str">
        <f>IFERROR(TEXT(VLOOKUP($A385,SortedDownload!$A$3:$Z$499,14,FALSE),"[hh]:mm:ss.000"),"")</f>
        <v/>
      </c>
      <c r="S385" s="83" t="str">
        <f t="shared" si="17"/>
        <v>N/A</v>
      </c>
      <c r="T385" s="83" t="e">
        <f t="shared" si="15"/>
        <v>#VALUE!</v>
      </c>
      <c r="U385" s="9" t="str">
        <f t="shared" si="16"/>
        <v/>
      </c>
      <c r="V385" s="20" t="str">
        <f>IFERROR(IF(VLOOKUP(H385,AgeCategories!$D$3:$J$32,7,FALSE)=I385,"","DNF"),"")</f>
        <v/>
      </c>
    </row>
    <row r="386" spans="1:22">
      <c r="A386" s="53" t="str">
        <f>IF(SortedDownload!A386 &lt; 1,"",SortedDownload!A386)</f>
        <v/>
      </c>
      <c r="B386" s="55">
        <f>IF(V386&lt;&gt;"","DNF",COUNTIF($V$3:V386,V386))</f>
        <v>351</v>
      </c>
      <c r="C386" s="54" t="str">
        <f>IF(OR(B386="DNF",H386=""),"DNF",COUNTIF($H$3:H386,H386))</f>
        <v>DNF</v>
      </c>
      <c r="D386" s="90" t="str">
        <f>IFERROR(VLOOKUP($A386,EntryList!$A$3:$N$596,2,FALSE),"")</f>
        <v/>
      </c>
      <c r="E386" s="54" t="str">
        <f>IFERROR(VLOOKUP($A386,EntryList!$A$3:$V$596,19,FALSE),"")</f>
        <v/>
      </c>
      <c r="F386" s="176" t="str">
        <f>IFERROR(VLOOKUP($A386,EntryList!$A$3:$V$596,18,FALSE),"")</f>
        <v/>
      </c>
      <c r="H386" s="90" t="str">
        <f>IFERROR(VLOOKUP($A386,EntryList!$A$3:$N$596,7,FALSE),"")</f>
        <v/>
      </c>
      <c r="I386" s="54" t="str">
        <f>IFERROR(VLOOKUP($A386,SortedDownload!$A$3:$Z882,4,FALSE),"")</f>
        <v/>
      </c>
      <c r="J386" s="59" t="str">
        <f>IFERROR(VLOOKUP($A386,SortedDownload!$A$3:$BB$499,23,FALSE),"")</f>
        <v/>
      </c>
      <c r="K386" s="59" t="str">
        <f>IFERROR(VLOOKUP($A386,SortedDownload!$A$3:$BB$499,24,FALSE),"")</f>
        <v/>
      </c>
      <c r="L386" s="59" t="str">
        <f>IFERROR(VLOOKUP($A386,SortedDownload!$A$3:$BB$499,25,FALSE),"")</f>
        <v/>
      </c>
      <c r="M386" s="59" t="str">
        <f>IFERROR(VLOOKUP($A386,SortedDownload!$A$3:$BB$499,26,FALSE),"")</f>
        <v/>
      </c>
      <c r="N386" s="59" t="str">
        <f>IFERROR(VLOOKUP($A386,SortedDownload!$A$3:$BB$499,27,FALSE),"")</f>
        <v/>
      </c>
      <c r="O386" s="59" t="str">
        <f>IFERROR(VLOOKUP($A386,SortedDownload!$A$3:$BB$499,28,FALSE),"")</f>
        <v/>
      </c>
      <c r="P386" s="59" t="str">
        <f>IFERROR(VLOOKUP($A386,SortedDownload!$A$3:$BB$499,29,FALSE),"")</f>
        <v/>
      </c>
      <c r="Q386" s="59" t="str">
        <f>IFERROR(VLOOKUP($A386,SortedDownload!$A$3:$BB$499,30,FALSE),"")</f>
        <v/>
      </c>
      <c r="R386" s="62" t="str">
        <f>IFERROR(TEXT(VLOOKUP($A386,SortedDownload!$A$3:$Z$499,14,FALSE),"[hh]:mm:ss.000"),"")</f>
        <v/>
      </c>
      <c r="S386" s="83" t="str">
        <f t="shared" si="17"/>
        <v>N/A</v>
      </c>
      <c r="T386" s="83" t="e">
        <f t="shared" si="15"/>
        <v>#VALUE!</v>
      </c>
      <c r="U386" s="9" t="str">
        <f t="shared" si="16"/>
        <v/>
      </c>
      <c r="V386" s="20" t="str">
        <f>IFERROR(IF(VLOOKUP(H386,AgeCategories!$D$3:$J$32,7,FALSE)=I386,"","DNF"),"")</f>
        <v/>
      </c>
    </row>
    <row r="387" spans="1:22">
      <c r="A387" s="53" t="str">
        <f>IF(SortedDownload!A387 &lt; 1,"",SortedDownload!A387)</f>
        <v/>
      </c>
      <c r="B387" s="55">
        <f>IF(V387&lt;&gt;"","DNF",COUNTIF($V$3:V387,V387))</f>
        <v>352</v>
      </c>
      <c r="C387" s="54" t="str">
        <f>IF(OR(B387="DNF",H387=""),"DNF",COUNTIF($H$3:H387,H387))</f>
        <v>DNF</v>
      </c>
      <c r="D387" s="90" t="str">
        <f>IFERROR(VLOOKUP($A387,EntryList!$A$3:$N$596,2,FALSE),"")</f>
        <v/>
      </c>
      <c r="E387" s="54" t="str">
        <f>IFERROR(VLOOKUP($A387,EntryList!$A$3:$V$596,19,FALSE),"")</f>
        <v/>
      </c>
      <c r="F387" s="176" t="str">
        <f>IFERROR(VLOOKUP($A387,EntryList!$A$3:$V$596,18,FALSE),"")</f>
        <v/>
      </c>
      <c r="H387" s="90" t="str">
        <f>IFERROR(VLOOKUP($A387,EntryList!$A$3:$N$596,7,FALSE),"")</f>
        <v/>
      </c>
      <c r="I387" s="54" t="str">
        <f>IFERROR(VLOOKUP($A387,SortedDownload!$A$3:$Z883,4,FALSE),"")</f>
        <v/>
      </c>
      <c r="J387" s="59" t="str">
        <f>IFERROR(VLOOKUP($A387,SortedDownload!$A$3:$BB$499,23,FALSE),"")</f>
        <v/>
      </c>
      <c r="K387" s="59" t="str">
        <f>IFERROR(VLOOKUP($A387,SortedDownload!$A$3:$BB$499,24,FALSE),"")</f>
        <v/>
      </c>
      <c r="L387" s="59" t="str">
        <f>IFERROR(VLOOKUP($A387,SortedDownload!$A$3:$BB$499,25,FALSE),"")</f>
        <v/>
      </c>
      <c r="M387" s="59" t="str">
        <f>IFERROR(VLOOKUP($A387,SortedDownload!$A$3:$BB$499,26,FALSE),"")</f>
        <v/>
      </c>
      <c r="N387" s="59" t="str">
        <f>IFERROR(VLOOKUP($A387,SortedDownload!$A$3:$BB$499,27,FALSE),"")</f>
        <v/>
      </c>
      <c r="O387" s="59" t="str">
        <f>IFERROR(VLOOKUP($A387,SortedDownload!$A$3:$BB$499,28,FALSE),"")</f>
        <v/>
      </c>
      <c r="P387" s="59" t="str">
        <f>IFERROR(VLOOKUP($A387,SortedDownload!$A$3:$BB$499,29,FALSE),"")</f>
        <v/>
      </c>
      <c r="Q387" s="59" t="str">
        <f>IFERROR(VLOOKUP($A387,SortedDownload!$A$3:$BB$499,30,FALSE),"")</f>
        <v/>
      </c>
      <c r="R387" s="62" t="str">
        <f>IFERROR(TEXT(VLOOKUP($A387,SortedDownload!$A$3:$Z$499,14,FALSE),"[hh]:mm:ss.000"),"")</f>
        <v/>
      </c>
      <c r="S387" s="83" t="str">
        <f t="shared" si="17"/>
        <v>N/A</v>
      </c>
      <c r="T387" s="83" t="e">
        <f t="shared" si="15"/>
        <v>#VALUE!</v>
      </c>
      <c r="U387" s="9" t="str">
        <f t="shared" si="16"/>
        <v/>
      </c>
      <c r="V387" s="20" t="str">
        <f>IFERROR(IF(VLOOKUP(H387,AgeCategories!$D$3:$J$32,7,FALSE)=I387,"","DNF"),"")</f>
        <v/>
      </c>
    </row>
    <row r="388" spans="1:22">
      <c r="A388" s="53" t="str">
        <f>IF(SortedDownload!A388 &lt; 1,"",SortedDownload!A388)</f>
        <v/>
      </c>
      <c r="B388" s="55">
        <f>IF(V388&lt;&gt;"","DNF",COUNTIF($V$3:V388,V388))</f>
        <v>353</v>
      </c>
      <c r="C388" s="54" t="str">
        <f>IF(OR(B388="DNF",H388=""),"DNF",COUNTIF($H$3:H388,H388))</f>
        <v>DNF</v>
      </c>
      <c r="D388" s="90" t="str">
        <f>IFERROR(VLOOKUP($A388,EntryList!$A$3:$N$596,2,FALSE),"")</f>
        <v/>
      </c>
      <c r="E388" s="54" t="str">
        <f>IFERROR(VLOOKUP($A388,EntryList!$A$3:$V$596,19,FALSE),"")</f>
        <v/>
      </c>
      <c r="F388" s="176" t="str">
        <f>IFERROR(VLOOKUP($A388,EntryList!$A$3:$V$596,18,FALSE),"")</f>
        <v/>
      </c>
      <c r="H388" s="90" t="str">
        <f>IFERROR(VLOOKUP($A388,EntryList!$A$3:$N$596,7,FALSE),"")</f>
        <v/>
      </c>
      <c r="I388" s="54" t="str">
        <f>IFERROR(VLOOKUP($A388,SortedDownload!$A$3:$Z884,4,FALSE),"")</f>
        <v/>
      </c>
      <c r="J388" s="59" t="str">
        <f>IFERROR(VLOOKUP($A388,SortedDownload!$A$3:$BB$499,23,FALSE),"")</f>
        <v/>
      </c>
      <c r="K388" s="59" t="str">
        <f>IFERROR(VLOOKUP($A388,SortedDownload!$A$3:$BB$499,24,FALSE),"")</f>
        <v/>
      </c>
      <c r="L388" s="59" t="str">
        <f>IFERROR(VLOOKUP($A388,SortedDownload!$A$3:$BB$499,25,FALSE),"")</f>
        <v/>
      </c>
      <c r="M388" s="59" t="str">
        <f>IFERROR(VLOOKUP($A388,SortedDownload!$A$3:$BB$499,26,FALSE),"")</f>
        <v/>
      </c>
      <c r="N388" s="59" t="str">
        <f>IFERROR(VLOOKUP($A388,SortedDownload!$A$3:$BB$499,27,FALSE),"")</f>
        <v/>
      </c>
      <c r="O388" s="59" t="str">
        <f>IFERROR(VLOOKUP($A388,SortedDownload!$A$3:$BB$499,28,FALSE),"")</f>
        <v/>
      </c>
      <c r="P388" s="59" t="str">
        <f>IFERROR(VLOOKUP($A388,SortedDownload!$A$3:$BB$499,29,FALSE),"")</f>
        <v/>
      </c>
      <c r="Q388" s="59" t="str">
        <f>IFERROR(VLOOKUP($A388,SortedDownload!$A$3:$BB$499,30,FALSE),"")</f>
        <v/>
      </c>
      <c r="R388" s="62" t="str">
        <f>IFERROR(TEXT(VLOOKUP($A388,SortedDownload!$A$3:$Z$499,14,FALSE),"[hh]:mm:ss.000"),"")</f>
        <v/>
      </c>
      <c r="S388" s="83" t="str">
        <f t="shared" si="17"/>
        <v>N/A</v>
      </c>
      <c r="T388" s="83" t="e">
        <f t="shared" ref="T388:T451" si="18">IF($I388-$I387&lt;0,"N/A",IFERROR(TEXT(($R388-$R$3),"mm:ss"),"N/A"))</f>
        <v>#VALUE!</v>
      </c>
      <c r="U388" s="9" t="str">
        <f t="shared" ref="U388:U451" si="19">IF($A388="","",IF(COUNTIF($A$3:$A$500,$A388)&gt;1,"Duplicate",""))</f>
        <v/>
      </c>
      <c r="V388" s="20" t="str">
        <f>IFERROR(IF(VLOOKUP(H388,AgeCategories!$D$3:$J$32,7,FALSE)=I388,"","DNF"),"")</f>
        <v/>
      </c>
    </row>
    <row r="389" spans="1:22">
      <c r="A389" s="53" t="str">
        <f>IF(SortedDownload!A389 &lt; 1,"",SortedDownload!A389)</f>
        <v/>
      </c>
      <c r="B389" s="55">
        <f>IF(V389&lt;&gt;"","DNF",COUNTIF($V$3:V389,V389))</f>
        <v>354</v>
      </c>
      <c r="C389" s="54" t="str">
        <f>IF(OR(B389="DNF",H389=""),"DNF",COUNTIF($H$3:H389,H389))</f>
        <v>DNF</v>
      </c>
      <c r="D389" s="90" t="str">
        <f>IFERROR(VLOOKUP($A389,EntryList!$A$3:$N$596,2,FALSE),"")</f>
        <v/>
      </c>
      <c r="E389" s="54" t="str">
        <f>IFERROR(VLOOKUP($A389,EntryList!$A$3:$V$596,19,FALSE),"")</f>
        <v/>
      </c>
      <c r="F389" s="176" t="str">
        <f>IFERROR(VLOOKUP($A389,EntryList!$A$3:$V$596,18,FALSE),"")</f>
        <v/>
      </c>
      <c r="H389" s="90" t="str">
        <f>IFERROR(VLOOKUP($A389,EntryList!$A$3:$N$596,7,FALSE),"")</f>
        <v/>
      </c>
      <c r="I389" s="54" t="str">
        <f>IFERROR(VLOOKUP($A389,SortedDownload!$A$3:$Z885,4,FALSE),"")</f>
        <v/>
      </c>
      <c r="J389" s="59" t="str">
        <f>IFERROR(VLOOKUP($A389,SortedDownload!$A$3:$BB$499,23,FALSE),"")</f>
        <v/>
      </c>
      <c r="K389" s="59" t="str">
        <f>IFERROR(VLOOKUP($A389,SortedDownload!$A$3:$BB$499,24,FALSE),"")</f>
        <v/>
      </c>
      <c r="L389" s="59" t="str">
        <f>IFERROR(VLOOKUP($A389,SortedDownload!$A$3:$BB$499,25,FALSE),"")</f>
        <v/>
      </c>
      <c r="M389" s="59" t="str">
        <f>IFERROR(VLOOKUP($A389,SortedDownload!$A$3:$BB$499,26,FALSE),"")</f>
        <v/>
      </c>
      <c r="N389" s="59" t="str">
        <f>IFERROR(VLOOKUP($A389,SortedDownload!$A$3:$BB$499,27,FALSE),"")</f>
        <v/>
      </c>
      <c r="O389" s="59" t="str">
        <f>IFERROR(VLOOKUP($A389,SortedDownload!$A$3:$BB$499,28,FALSE),"")</f>
        <v/>
      </c>
      <c r="P389" s="59" t="str">
        <f>IFERROR(VLOOKUP($A389,SortedDownload!$A$3:$BB$499,29,FALSE),"")</f>
        <v/>
      </c>
      <c r="Q389" s="59" t="str">
        <f>IFERROR(VLOOKUP($A389,SortedDownload!$A$3:$BB$499,30,FALSE),"")</f>
        <v/>
      </c>
      <c r="R389" s="62" t="str">
        <f>IFERROR(TEXT(VLOOKUP($A389,SortedDownload!$A$3:$Z$499,14,FALSE),"[hh]:mm:ss.000"),"")</f>
        <v/>
      </c>
      <c r="S389" s="83" t="str">
        <f t="shared" ref="S389:S452" si="20">IFERROR(TEXT(($R389-$R388),"mm:ss"),"N/A")</f>
        <v>N/A</v>
      </c>
      <c r="T389" s="83" t="e">
        <f t="shared" si="18"/>
        <v>#VALUE!</v>
      </c>
      <c r="U389" s="9" t="str">
        <f t="shared" si="19"/>
        <v/>
      </c>
      <c r="V389" s="20" t="str">
        <f>IFERROR(IF(VLOOKUP(H389,AgeCategories!$D$3:$J$32,7,FALSE)=I389,"","DNF"),"")</f>
        <v/>
      </c>
    </row>
    <row r="390" spans="1:22">
      <c r="A390" s="53" t="str">
        <f>IF(SortedDownload!A390 &lt; 1,"",SortedDownload!A390)</f>
        <v/>
      </c>
      <c r="B390" s="55">
        <f>IF(V390&lt;&gt;"","DNF",COUNTIF($V$3:V390,V390))</f>
        <v>355</v>
      </c>
      <c r="C390" s="54" t="str">
        <f>IF(OR(B390="DNF",H390=""),"DNF",COUNTIF($H$3:H390,H390))</f>
        <v>DNF</v>
      </c>
      <c r="D390" s="90" t="str">
        <f>IFERROR(VLOOKUP($A390,EntryList!$A$3:$N$596,2,FALSE),"")</f>
        <v/>
      </c>
      <c r="E390" s="54" t="str">
        <f>IFERROR(VLOOKUP($A390,EntryList!$A$3:$V$596,19,FALSE),"")</f>
        <v/>
      </c>
      <c r="F390" s="176" t="str">
        <f>IFERROR(VLOOKUP($A390,EntryList!$A$3:$V$596,18,FALSE),"")</f>
        <v/>
      </c>
      <c r="H390" s="90" t="str">
        <f>IFERROR(VLOOKUP($A390,EntryList!$A$3:$N$596,7,FALSE),"")</f>
        <v/>
      </c>
      <c r="I390" s="54" t="str">
        <f>IFERROR(VLOOKUP($A390,SortedDownload!$A$3:$Z886,4,FALSE),"")</f>
        <v/>
      </c>
      <c r="J390" s="59" t="str">
        <f>IFERROR(VLOOKUP($A390,SortedDownload!$A$3:$BB$499,23,FALSE),"")</f>
        <v/>
      </c>
      <c r="K390" s="59" t="str">
        <f>IFERROR(VLOOKUP($A390,SortedDownload!$A$3:$BB$499,24,FALSE),"")</f>
        <v/>
      </c>
      <c r="L390" s="59" t="str">
        <f>IFERROR(VLOOKUP($A390,SortedDownload!$A$3:$BB$499,25,FALSE),"")</f>
        <v/>
      </c>
      <c r="M390" s="59" t="str">
        <f>IFERROR(VLOOKUP($A390,SortedDownload!$A$3:$BB$499,26,FALSE),"")</f>
        <v/>
      </c>
      <c r="N390" s="59" t="str">
        <f>IFERROR(VLOOKUP($A390,SortedDownload!$A$3:$BB$499,27,FALSE),"")</f>
        <v/>
      </c>
      <c r="O390" s="59" t="str">
        <f>IFERROR(VLOOKUP($A390,SortedDownload!$A$3:$BB$499,28,FALSE),"")</f>
        <v/>
      </c>
      <c r="P390" s="59" t="str">
        <f>IFERROR(VLOOKUP($A390,SortedDownload!$A$3:$BB$499,29,FALSE),"")</f>
        <v/>
      </c>
      <c r="Q390" s="59" t="str">
        <f>IFERROR(VLOOKUP($A390,SortedDownload!$A$3:$BB$499,30,FALSE),"")</f>
        <v/>
      </c>
      <c r="R390" s="62" t="str">
        <f>IFERROR(TEXT(VLOOKUP($A390,SortedDownload!$A$3:$Z$499,14,FALSE),"[hh]:mm:ss.000"),"")</f>
        <v/>
      </c>
      <c r="S390" s="83" t="str">
        <f t="shared" si="20"/>
        <v>N/A</v>
      </c>
      <c r="T390" s="83" t="e">
        <f t="shared" si="18"/>
        <v>#VALUE!</v>
      </c>
      <c r="U390" s="9" t="str">
        <f t="shared" si="19"/>
        <v/>
      </c>
      <c r="V390" s="20" t="str">
        <f>IFERROR(IF(VLOOKUP(H390,AgeCategories!$D$3:$J$32,7,FALSE)=I390,"","DNF"),"")</f>
        <v/>
      </c>
    </row>
    <row r="391" spans="1:22">
      <c r="A391" s="53" t="str">
        <f>IF(SortedDownload!A391 &lt; 1,"",SortedDownload!A391)</f>
        <v/>
      </c>
      <c r="B391" s="55">
        <f>IF(V391&lt;&gt;"","DNF",COUNTIF($V$3:V391,V391))</f>
        <v>356</v>
      </c>
      <c r="C391" s="54" t="str">
        <f>IF(OR(B391="DNF",H391=""),"DNF",COUNTIF($H$3:H391,H391))</f>
        <v>DNF</v>
      </c>
      <c r="D391" s="90" t="str">
        <f>IFERROR(VLOOKUP($A391,EntryList!$A$3:$N$596,2,FALSE),"")</f>
        <v/>
      </c>
      <c r="E391" s="54" t="str">
        <f>IFERROR(VLOOKUP($A391,EntryList!$A$3:$V$596,19,FALSE),"")</f>
        <v/>
      </c>
      <c r="F391" s="176" t="str">
        <f>IFERROR(VLOOKUP($A391,EntryList!$A$3:$V$596,18,FALSE),"")</f>
        <v/>
      </c>
      <c r="H391" s="90" t="str">
        <f>IFERROR(VLOOKUP($A391,EntryList!$A$3:$N$596,7,FALSE),"")</f>
        <v/>
      </c>
      <c r="I391" s="54" t="str">
        <f>IFERROR(VLOOKUP($A391,SortedDownload!$A$3:$Z887,4,FALSE),"")</f>
        <v/>
      </c>
      <c r="J391" s="59" t="str">
        <f>IFERROR(VLOOKUP($A391,SortedDownload!$A$3:$BB$499,23,FALSE),"")</f>
        <v/>
      </c>
      <c r="K391" s="59" t="str">
        <f>IFERROR(VLOOKUP($A391,SortedDownload!$A$3:$BB$499,24,FALSE),"")</f>
        <v/>
      </c>
      <c r="L391" s="59" t="str">
        <f>IFERROR(VLOOKUP($A391,SortedDownload!$A$3:$BB$499,25,FALSE),"")</f>
        <v/>
      </c>
      <c r="M391" s="59" t="str">
        <f>IFERROR(VLOOKUP($A391,SortedDownload!$A$3:$BB$499,26,FALSE),"")</f>
        <v/>
      </c>
      <c r="N391" s="59" t="str">
        <f>IFERROR(VLOOKUP($A391,SortedDownload!$A$3:$BB$499,27,FALSE),"")</f>
        <v/>
      </c>
      <c r="O391" s="59" t="str">
        <f>IFERROR(VLOOKUP($A391,SortedDownload!$A$3:$BB$499,28,FALSE),"")</f>
        <v/>
      </c>
      <c r="P391" s="59" t="str">
        <f>IFERROR(VLOOKUP($A391,SortedDownload!$A$3:$BB$499,29,FALSE),"")</f>
        <v/>
      </c>
      <c r="Q391" s="59" t="str">
        <f>IFERROR(VLOOKUP($A391,SortedDownload!$A$3:$BB$499,30,FALSE),"")</f>
        <v/>
      </c>
      <c r="R391" s="62" t="str">
        <f>IFERROR(TEXT(VLOOKUP($A391,SortedDownload!$A$3:$Z$499,14,FALSE),"[hh]:mm:ss.000"),"")</f>
        <v/>
      </c>
      <c r="S391" s="83" t="str">
        <f t="shared" si="20"/>
        <v>N/A</v>
      </c>
      <c r="T391" s="83" t="e">
        <f t="shared" si="18"/>
        <v>#VALUE!</v>
      </c>
      <c r="U391" s="9" t="str">
        <f t="shared" si="19"/>
        <v/>
      </c>
      <c r="V391" s="20" t="str">
        <f>IFERROR(IF(VLOOKUP(H391,AgeCategories!$D$3:$J$32,7,FALSE)=I391,"","DNF"),"")</f>
        <v/>
      </c>
    </row>
    <row r="392" spans="1:22">
      <c r="A392" s="53" t="str">
        <f>IF(SortedDownload!A392 &lt; 1,"",SortedDownload!A392)</f>
        <v/>
      </c>
      <c r="B392" s="55">
        <f>IF(V392&lt;&gt;"","DNF",COUNTIF($V$3:V392,V392))</f>
        <v>357</v>
      </c>
      <c r="C392" s="54" t="str">
        <f>IF(OR(B392="DNF",H392=""),"DNF",COUNTIF($H$3:H392,H392))</f>
        <v>DNF</v>
      </c>
      <c r="D392" s="90" t="str">
        <f>IFERROR(VLOOKUP($A392,EntryList!$A$3:$N$596,2,FALSE),"")</f>
        <v/>
      </c>
      <c r="E392" s="54" t="str">
        <f>IFERROR(VLOOKUP($A392,EntryList!$A$3:$V$596,19,FALSE),"")</f>
        <v/>
      </c>
      <c r="F392" s="176" t="str">
        <f>IFERROR(VLOOKUP($A392,EntryList!$A$3:$V$596,18,FALSE),"")</f>
        <v/>
      </c>
      <c r="H392" s="90" t="str">
        <f>IFERROR(VLOOKUP($A392,EntryList!$A$3:$N$596,7,FALSE),"")</f>
        <v/>
      </c>
      <c r="I392" s="54" t="str">
        <f>IFERROR(VLOOKUP($A392,SortedDownload!$A$3:$Z888,4,FALSE),"")</f>
        <v/>
      </c>
      <c r="J392" s="59" t="str">
        <f>IFERROR(VLOOKUP($A392,SortedDownload!$A$3:$BB$499,23,FALSE),"")</f>
        <v/>
      </c>
      <c r="K392" s="59" t="str">
        <f>IFERROR(VLOOKUP($A392,SortedDownload!$A$3:$BB$499,24,FALSE),"")</f>
        <v/>
      </c>
      <c r="L392" s="59" t="str">
        <f>IFERROR(VLOOKUP($A392,SortedDownload!$A$3:$BB$499,25,FALSE),"")</f>
        <v/>
      </c>
      <c r="M392" s="59" t="str">
        <f>IFERROR(VLOOKUP($A392,SortedDownload!$A$3:$BB$499,26,FALSE),"")</f>
        <v/>
      </c>
      <c r="N392" s="59" t="str">
        <f>IFERROR(VLOOKUP($A392,SortedDownload!$A$3:$BB$499,27,FALSE),"")</f>
        <v/>
      </c>
      <c r="O392" s="59" t="str">
        <f>IFERROR(VLOOKUP($A392,SortedDownload!$A$3:$BB$499,28,FALSE),"")</f>
        <v/>
      </c>
      <c r="P392" s="59" t="str">
        <f>IFERROR(VLOOKUP($A392,SortedDownload!$A$3:$BB$499,29,FALSE),"")</f>
        <v/>
      </c>
      <c r="Q392" s="59" t="str">
        <f>IFERROR(VLOOKUP($A392,SortedDownload!$A$3:$BB$499,30,FALSE),"")</f>
        <v/>
      </c>
      <c r="R392" s="62" t="str">
        <f>IFERROR(TEXT(VLOOKUP($A392,SortedDownload!$A$3:$Z$499,14,FALSE),"[hh]:mm:ss.000"),"")</f>
        <v/>
      </c>
      <c r="S392" s="83" t="str">
        <f t="shared" si="20"/>
        <v>N/A</v>
      </c>
      <c r="T392" s="83" t="e">
        <f t="shared" si="18"/>
        <v>#VALUE!</v>
      </c>
      <c r="U392" s="9" t="str">
        <f t="shared" si="19"/>
        <v/>
      </c>
      <c r="V392" s="20" t="str">
        <f>IFERROR(IF(VLOOKUP(H392,AgeCategories!$D$3:$J$32,7,FALSE)=I392,"","DNF"),"")</f>
        <v/>
      </c>
    </row>
    <row r="393" spans="1:22">
      <c r="A393" s="53" t="str">
        <f>IF(SortedDownload!A393 &lt; 1,"",SortedDownload!A393)</f>
        <v/>
      </c>
      <c r="B393" s="55">
        <f>IF(V393&lt;&gt;"","DNF",COUNTIF($V$3:V393,V393))</f>
        <v>358</v>
      </c>
      <c r="C393" s="54" t="str">
        <f>IF(OR(B393="DNF",H393=""),"DNF",COUNTIF($H$3:H393,H393))</f>
        <v>DNF</v>
      </c>
      <c r="D393" s="90" t="str">
        <f>IFERROR(VLOOKUP($A393,EntryList!$A$3:$N$596,2,FALSE),"")</f>
        <v/>
      </c>
      <c r="E393" s="54" t="str">
        <f>IFERROR(VLOOKUP($A393,EntryList!$A$3:$V$596,19,FALSE),"")</f>
        <v/>
      </c>
      <c r="F393" s="176" t="str">
        <f>IFERROR(VLOOKUP($A393,EntryList!$A$3:$V$596,18,FALSE),"")</f>
        <v/>
      </c>
      <c r="H393" s="90" t="str">
        <f>IFERROR(VLOOKUP($A393,EntryList!$A$3:$N$596,7,FALSE),"")</f>
        <v/>
      </c>
      <c r="I393" s="54" t="str">
        <f>IFERROR(VLOOKUP($A393,SortedDownload!$A$3:$Z889,4,FALSE),"")</f>
        <v/>
      </c>
      <c r="J393" s="59" t="str">
        <f>IFERROR(VLOOKUP($A393,SortedDownload!$A$3:$BB$499,23,FALSE),"")</f>
        <v/>
      </c>
      <c r="K393" s="59" t="str">
        <f>IFERROR(VLOOKUP($A393,SortedDownload!$A$3:$BB$499,24,FALSE),"")</f>
        <v/>
      </c>
      <c r="L393" s="59" t="str">
        <f>IFERROR(VLOOKUP($A393,SortedDownload!$A$3:$BB$499,25,FALSE),"")</f>
        <v/>
      </c>
      <c r="M393" s="59" t="str">
        <f>IFERROR(VLOOKUP($A393,SortedDownload!$A$3:$BB$499,26,FALSE),"")</f>
        <v/>
      </c>
      <c r="N393" s="59" t="str">
        <f>IFERROR(VLOOKUP($A393,SortedDownload!$A$3:$BB$499,27,FALSE),"")</f>
        <v/>
      </c>
      <c r="O393" s="59" t="str">
        <f>IFERROR(VLOOKUP($A393,SortedDownload!$A$3:$BB$499,28,FALSE),"")</f>
        <v/>
      </c>
      <c r="P393" s="59" t="str">
        <f>IFERROR(VLOOKUP($A393,SortedDownload!$A$3:$BB$499,29,FALSE),"")</f>
        <v/>
      </c>
      <c r="Q393" s="59" t="str">
        <f>IFERROR(VLOOKUP($A393,SortedDownload!$A$3:$BB$499,30,FALSE),"")</f>
        <v/>
      </c>
      <c r="R393" s="62" t="str">
        <f>IFERROR(TEXT(VLOOKUP($A393,SortedDownload!$A$3:$Z$499,14,FALSE),"[hh]:mm:ss.000"),"")</f>
        <v/>
      </c>
      <c r="S393" s="83" t="str">
        <f t="shared" si="20"/>
        <v>N/A</v>
      </c>
      <c r="T393" s="83" t="e">
        <f t="shared" si="18"/>
        <v>#VALUE!</v>
      </c>
      <c r="U393" s="9" t="str">
        <f t="shared" si="19"/>
        <v/>
      </c>
      <c r="V393" s="20" t="str">
        <f>IFERROR(IF(VLOOKUP(H393,AgeCategories!$D$3:$J$32,7,FALSE)=I393,"","DNF"),"")</f>
        <v/>
      </c>
    </row>
    <row r="394" spans="1:22">
      <c r="A394" s="53" t="str">
        <f>IF(SortedDownload!A394 &lt; 1,"",SortedDownload!A394)</f>
        <v/>
      </c>
      <c r="B394" s="55">
        <f>IF(V394&lt;&gt;"","DNF",COUNTIF($V$3:V394,V394))</f>
        <v>359</v>
      </c>
      <c r="C394" s="54" t="str">
        <f>IF(OR(B394="DNF",H394=""),"DNF",COUNTIF($H$3:H394,H394))</f>
        <v>DNF</v>
      </c>
      <c r="D394" s="90" t="str">
        <f>IFERROR(VLOOKUP($A394,EntryList!$A$3:$N$596,2,FALSE),"")</f>
        <v/>
      </c>
      <c r="E394" s="54" t="str">
        <f>IFERROR(VLOOKUP($A394,EntryList!$A$3:$V$596,19,FALSE),"")</f>
        <v/>
      </c>
      <c r="F394" s="176" t="str">
        <f>IFERROR(VLOOKUP($A394,EntryList!$A$3:$V$596,18,FALSE),"")</f>
        <v/>
      </c>
      <c r="H394" s="90" t="str">
        <f>IFERROR(VLOOKUP($A394,EntryList!$A$3:$N$596,7,FALSE),"")</f>
        <v/>
      </c>
      <c r="I394" s="54" t="str">
        <f>IFERROR(VLOOKUP($A394,SortedDownload!$A$3:$Z890,4,FALSE),"")</f>
        <v/>
      </c>
      <c r="J394" s="59" t="str">
        <f>IFERROR(VLOOKUP($A394,SortedDownload!$A$3:$BB$499,23,FALSE),"")</f>
        <v/>
      </c>
      <c r="K394" s="59" t="str">
        <f>IFERROR(VLOOKUP($A394,SortedDownload!$A$3:$BB$499,24,FALSE),"")</f>
        <v/>
      </c>
      <c r="L394" s="59" t="str">
        <f>IFERROR(VLOOKUP($A394,SortedDownload!$A$3:$BB$499,25,FALSE),"")</f>
        <v/>
      </c>
      <c r="M394" s="59" t="str">
        <f>IFERROR(VLOOKUP($A394,SortedDownload!$A$3:$BB$499,26,FALSE),"")</f>
        <v/>
      </c>
      <c r="N394" s="59" t="str">
        <f>IFERROR(VLOOKUP($A394,SortedDownload!$A$3:$BB$499,27,FALSE),"")</f>
        <v/>
      </c>
      <c r="O394" s="59" t="str">
        <f>IFERROR(VLOOKUP($A394,SortedDownload!$A$3:$BB$499,28,FALSE),"")</f>
        <v/>
      </c>
      <c r="P394" s="59" t="str">
        <f>IFERROR(VLOOKUP($A394,SortedDownload!$A$3:$BB$499,29,FALSE),"")</f>
        <v/>
      </c>
      <c r="Q394" s="59" t="str">
        <f>IFERROR(VLOOKUP($A394,SortedDownload!$A$3:$BB$499,30,FALSE),"")</f>
        <v/>
      </c>
      <c r="R394" s="62" t="str">
        <f>IFERROR(TEXT(VLOOKUP($A394,SortedDownload!$A$3:$Z$499,14,FALSE),"[hh]:mm:ss.000"),"")</f>
        <v/>
      </c>
      <c r="S394" s="83" t="str">
        <f t="shared" si="20"/>
        <v>N/A</v>
      </c>
      <c r="T394" s="83" t="e">
        <f t="shared" si="18"/>
        <v>#VALUE!</v>
      </c>
      <c r="U394" s="9" t="str">
        <f t="shared" si="19"/>
        <v/>
      </c>
      <c r="V394" s="20" t="str">
        <f>IFERROR(IF(VLOOKUP(H394,AgeCategories!$D$3:$J$32,7,FALSE)=I394,"","DNF"),"")</f>
        <v/>
      </c>
    </row>
    <row r="395" spans="1:22">
      <c r="A395" s="53" t="str">
        <f>IF(SortedDownload!A395 &lt; 1,"",SortedDownload!A395)</f>
        <v/>
      </c>
      <c r="B395" s="55">
        <f>IF(V395&lt;&gt;"","DNF",COUNTIF($V$3:V395,V395))</f>
        <v>360</v>
      </c>
      <c r="C395" s="54" t="str">
        <f>IF(OR(B395="DNF",H395=""),"DNF",COUNTIF($H$3:H395,H395))</f>
        <v>DNF</v>
      </c>
      <c r="D395" s="90" t="str">
        <f>IFERROR(VLOOKUP($A395,EntryList!$A$3:$N$596,2,FALSE),"")</f>
        <v/>
      </c>
      <c r="E395" s="54" t="str">
        <f>IFERROR(VLOOKUP($A395,EntryList!$A$3:$V$596,19,FALSE),"")</f>
        <v/>
      </c>
      <c r="F395" s="176" t="str">
        <f>IFERROR(VLOOKUP($A395,EntryList!$A$3:$V$596,18,FALSE),"")</f>
        <v/>
      </c>
      <c r="H395" s="90" t="str">
        <f>IFERROR(VLOOKUP($A395,EntryList!$A$3:$N$596,7,FALSE),"")</f>
        <v/>
      </c>
      <c r="I395" s="54" t="str">
        <f>IFERROR(VLOOKUP($A395,SortedDownload!$A$3:$Z891,4,FALSE),"")</f>
        <v/>
      </c>
      <c r="J395" s="59" t="str">
        <f>IFERROR(VLOOKUP($A395,SortedDownload!$A$3:$BB$499,23,FALSE),"")</f>
        <v/>
      </c>
      <c r="K395" s="59" t="str">
        <f>IFERROR(VLOOKUP($A395,SortedDownload!$A$3:$BB$499,24,FALSE),"")</f>
        <v/>
      </c>
      <c r="L395" s="59" t="str">
        <f>IFERROR(VLOOKUP($A395,SortedDownload!$A$3:$BB$499,25,FALSE),"")</f>
        <v/>
      </c>
      <c r="M395" s="59" t="str">
        <f>IFERROR(VLOOKUP($A395,SortedDownload!$A$3:$BB$499,26,FALSE),"")</f>
        <v/>
      </c>
      <c r="N395" s="59" t="str">
        <f>IFERROR(VLOOKUP($A395,SortedDownload!$A$3:$BB$499,27,FALSE),"")</f>
        <v/>
      </c>
      <c r="O395" s="59" t="str">
        <f>IFERROR(VLOOKUP($A395,SortedDownload!$A$3:$BB$499,28,FALSE),"")</f>
        <v/>
      </c>
      <c r="P395" s="59" t="str">
        <f>IFERROR(VLOOKUP($A395,SortedDownload!$A$3:$BB$499,29,FALSE),"")</f>
        <v/>
      </c>
      <c r="Q395" s="59" t="str">
        <f>IFERROR(VLOOKUP($A395,SortedDownload!$A$3:$BB$499,30,FALSE),"")</f>
        <v/>
      </c>
      <c r="R395" s="62" t="str">
        <f>IFERROR(TEXT(VLOOKUP($A395,SortedDownload!$A$3:$Z$499,14,FALSE),"[hh]:mm:ss.000"),"")</f>
        <v/>
      </c>
      <c r="S395" s="83" t="str">
        <f t="shared" si="20"/>
        <v>N/A</v>
      </c>
      <c r="T395" s="83" t="e">
        <f t="shared" si="18"/>
        <v>#VALUE!</v>
      </c>
      <c r="U395" s="9" t="str">
        <f t="shared" si="19"/>
        <v/>
      </c>
      <c r="V395" s="20" t="str">
        <f>IFERROR(IF(VLOOKUP(H395,AgeCategories!$D$3:$J$32,7,FALSE)=I395,"","DNF"),"")</f>
        <v/>
      </c>
    </row>
    <row r="396" spans="1:22">
      <c r="A396" s="53" t="str">
        <f>IF(SortedDownload!A396 &lt; 1,"",SortedDownload!A396)</f>
        <v/>
      </c>
      <c r="B396" s="55">
        <f>IF(V396&lt;&gt;"","DNF",COUNTIF($V$3:V396,V396))</f>
        <v>361</v>
      </c>
      <c r="C396" s="54" t="str">
        <f>IF(OR(B396="DNF",H396=""),"DNF",COUNTIF($H$3:H396,H396))</f>
        <v>DNF</v>
      </c>
      <c r="D396" s="90" t="str">
        <f>IFERROR(VLOOKUP($A396,EntryList!$A$3:$N$596,2,FALSE),"")</f>
        <v/>
      </c>
      <c r="E396" s="54" t="str">
        <f>IFERROR(VLOOKUP($A396,EntryList!$A$3:$V$596,19,FALSE),"")</f>
        <v/>
      </c>
      <c r="F396" s="176" t="str">
        <f>IFERROR(VLOOKUP($A396,EntryList!$A$3:$V$596,18,FALSE),"")</f>
        <v/>
      </c>
      <c r="H396" s="90" t="str">
        <f>IFERROR(VLOOKUP($A396,EntryList!$A$3:$N$596,7,FALSE),"")</f>
        <v/>
      </c>
      <c r="I396" s="54" t="str">
        <f>IFERROR(VLOOKUP($A396,SortedDownload!$A$3:$Z892,4,FALSE),"")</f>
        <v/>
      </c>
      <c r="J396" s="59" t="str">
        <f>IFERROR(VLOOKUP($A396,SortedDownload!$A$3:$BB$499,23,FALSE),"")</f>
        <v/>
      </c>
      <c r="K396" s="59" t="str">
        <f>IFERROR(VLOOKUP($A396,SortedDownload!$A$3:$BB$499,24,FALSE),"")</f>
        <v/>
      </c>
      <c r="L396" s="59" t="str">
        <f>IFERROR(VLOOKUP($A396,SortedDownload!$A$3:$BB$499,25,FALSE),"")</f>
        <v/>
      </c>
      <c r="M396" s="59" t="str">
        <f>IFERROR(VLOOKUP($A396,SortedDownload!$A$3:$BB$499,26,FALSE),"")</f>
        <v/>
      </c>
      <c r="N396" s="59" t="str">
        <f>IFERROR(VLOOKUP($A396,SortedDownload!$A$3:$BB$499,27,FALSE),"")</f>
        <v/>
      </c>
      <c r="O396" s="59" t="str">
        <f>IFERROR(VLOOKUP($A396,SortedDownload!$A$3:$BB$499,28,FALSE),"")</f>
        <v/>
      </c>
      <c r="P396" s="59" t="str">
        <f>IFERROR(VLOOKUP($A396,SortedDownload!$A$3:$BB$499,29,FALSE),"")</f>
        <v/>
      </c>
      <c r="Q396" s="59" t="str">
        <f>IFERROR(VLOOKUP($A396,SortedDownload!$A$3:$BB$499,30,FALSE),"")</f>
        <v/>
      </c>
      <c r="R396" s="62" t="str">
        <f>IFERROR(TEXT(VLOOKUP($A396,SortedDownload!$A$3:$Z$499,14,FALSE),"[hh]:mm:ss.000"),"")</f>
        <v/>
      </c>
      <c r="S396" s="83" t="str">
        <f t="shared" si="20"/>
        <v>N/A</v>
      </c>
      <c r="T396" s="83" t="e">
        <f t="shared" si="18"/>
        <v>#VALUE!</v>
      </c>
      <c r="U396" s="9" t="str">
        <f t="shared" si="19"/>
        <v/>
      </c>
      <c r="V396" s="20" t="str">
        <f>IFERROR(IF(VLOOKUP(H396,AgeCategories!$D$3:$J$32,7,FALSE)=I396,"","DNF"),"")</f>
        <v/>
      </c>
    </row>
    <row r="397" spans="1:22">
      <c r="A397" s="53" t="str">
        <f>IF(SortedDownload!A397 &lt; 1,"",SortedDownload!A397)</f>
        <v/>
      </c>
      <c r="B397" s="55">
        <f>IF(V397&lt;&gt;"","DNF",COUNTIF($V$3:V397,V397))</f>
        <v>362</v>
      </c>
      <c r="C397" s="54" t="str">
        <f>IF(OR(B397="DNF",H397=""),"DNF",COUNTIF($H$3:H397,H397))</f>
        <v>DNF</v>
      </c>
      <c r="D397" s="90" t="str">
        <f>IFERROR(VLOOKUP($A397,EntryList!$A$3:$N$596,2,FALSE),"")</f>
        <v/>
      </c>
      <c r="E397" s="54" t="str">
        <f>IFERROR(VLOOKUP($A397,EntryList!$A$3:$V$596,19,FALSE),"")</f>
        <v/>
      </c>
      <c r="F397" s="176" t="str">
        <f>IFERROR(VLOOKUP($A397,EntryList!$A$3:$V$596,18,FALSE),"")</f>
        <v/>
      </c>
      <c r="H397" s="90" t="str">
        <f>IFERROR(VLOOKUP($A397,EntryList!$A$3:$N$596,7,FALSE),"")</f>
        <v/>
      </c>
      <c r="I397" s="54" t="str">
        <f>IFERROR(VLOOKUP($A397,SortedDownload!$A$3:$Z893,4,FALSE),"")</f>
        <v/>
      </c>
      <c r="J397" s="59" t="str">
        <f>IFERROR(VLOOKUP($A397,SortedDownload!$A$3:$BB$499,23,FALSE),"")</f>
        <v/>
      </c>
      <c r="K397" s="59" t="str">
        <f>IFERROR(VLOOKUP($A397,SortedDownload!$A$3:$BB$499,24,FALSE),"")</f>
        <v/>
      </c>
      <c r="L397" s="59" t="str">
        <f>IFERROR(VLOOKUP($A397,SortedDownload!$A$3:$BB$499,25,FALSE),"")</f>
        <v/>
      </c>
      <c r="M397" s="59" t="str">
        <f>IFERROR(VLOOKUP($A397,SortedDownload!$A$3:$BB$499,26,FALSE),"")</f>
        <v/>
      </c>
      <c r="N397" s="59" t="str">
        <f>IFERROR(VLOOKUP($A397,SortedDownload!$A$3:$BB$499,27,FALSE),"")</f>
        <v/>
      </c>
      <c r="O397" s="59" t="str">
        <f>IFERROR(VLOOKUP($A397,SortedDownload!$A$3:$BB$499,28,FALSE),"")</f>
        <v/>
      </c>
      <c r="P397" s="59" t="str">
        <f>IFERROR(VLOOKUP($A397,SortedDownload!$A$3:$BB$499,29,FALSE),"")</f>
        <v/>
      </c>
      <c r="Q397" s="59" t="str">
        <f>IFERROR(VLOOKUP($A397,SortedDownload!$A$3:$BB$499,30,FALSE),"")</f>
        <v/>
      </c>
      <c r="R397" s="62" t="str">
        <f>IFERROR(TEXT(VLOOKUP($A397,SortedDownload!$A$3:$Z$499,14,FALSE),"[hh]:mm:ss.000"),"")</f>
        <v/>
      </c>
      <c r="S397" s="83" t="str">
        <f t="shared" si="20"/>
        <v>N/A</v>
      </c>
      <c r="T397" s="83" t="e">
        <f t="shared" si="18"/>
        <v>#VALUE!</v>
      </c>
      <c r="U397" s="9" t="str">
        <f t="shared" si="19"/>
        <v/>
      </c>
      <c r="V397" s="20" t="str">
        <f>IFERROR(IF(VLOOKUP(H397,AgeCategories!$D$3:$J$32,7,FALSE)=I397,"","DNF"),"")</f>
        <v/>
      </c>
    </row>
    <row r="398" spans="1:22">
      <c r="A398" s="53" t="str">
        <f>IF(SortedDownload!A398 &lt; 1,"",SortedDownload!A398)</f>
        <v/>
      </c>
      <c r="B398" s="55">
        <f>IF(V398&lt;&gt;"","DNF",COUNTIF($V$3:V398,V398))</f>
        <v>363</v>
      </c>
      <c r="C398" s="54" t="str">
        <f>IF(OR(B398="DNF",H398=""),"DNF",COUNTIF($H$3:H398,H398))</f>
        <v>DNF</v>
      </c>
      <c r="D398" s="90" t="str">
        <f>IFERROR(VLOOKUP($A398,EntryList!$A$3:$N$596,2,FALSE),"")</f>
        <v/>
      </c>
      <c r="E398" s="54" t="str">
        <f>IFERROR(VLOOKUP($A398,EntryList!$A$3:$V$596,19,FALSE),"")</f>
        <v/>
      </c>
      <c r="F398" s="176" t="str">
        <f>IFERROR(VLOOKUP($A398,EntryList!$A$3:$V$596,18,FALSE),"")</f>
        <v/>
      </c>
      <c r="H398" s="90" t="str">
        <f>IFERROR(VLOOKUP($A398,EntryList!$A$3:$N$596,7,FALSE),"")</f>
        <v/>
      </c>
      <c r="I398" s="54" t="str">
        <f>IFERROR(VLOOKUP($A398,SortedDownload!$A$3:$Z894,4,FALSE),"")</f>
        <v/>
      </c>
      <c r="J398" s="59" t="str">
        <f>IFERROR(VLOOKUP($A398,SortedDownload!$A$3:$BB$499,23,FALSE),"")</f>
        <v/>
      </c>
      <c r="K398" s="59" t="str">
        <f>IFERROR(VLOOKUP($A398,SortedDownload!$A$3:$BB$499,24,FALSE),"")</f>
        <v/>
      </c>
      <c r="L398" s="59" t="str">
        <f>IFERROR(VLOOKUP($A398,SortedDownload!$A$3:$BB$499,25,FALSE),"")</f>
        <v/>
      </c>
      <c r="M398" s="59" t="str">
        <f>IFERROR(VLOOKUP($A398,SortedDownload!$A$3:$BB$499,26,FALSE),"")</f>
        <v/>
      </c>
      <c r="N398" s="59" t="str">
        <f>IFERROR(VLOOKUP($A398,SortedDownload!$A$3:$BB$499,27,FALSE),"")</f>
        <v/>
      </c>
      <c r="O398" s="59" t="str">
        <f>IFERROR(VLOOKUP($A398,SortedDownload!$A$3:$BB$499,28,FALSE),"")</f>
        <v/>
      </c>
      <c r="P398" s="59" t="str">
        <f>IFERROR(VLOOKUP($A398,SortedDownload!$A$3:$BB$499,29,FALSE),"")</f>
        <v/>
      </c>
      <c r="Q398" s="59" t="str">
        <f>IFERROR(VLOOKUP($A398,SortedDownload!$A$3:$BB$499,30,FALSE),"")</f>
        <v/>
      </c>
      <c r="R398" s="62" t="str">
        <f>IFERROR(TEXT(VLOOKUP($A398,SortedDownload!$A$3:$Z$499,14,FALSE),"[hh]:mm:ss.000"),"")</f>
        <v/>
      </c>
      <c r="S398" s="83" t="str">
        <f t="shared" si="20"/>
        <v>N/A</v>
      </c>
      <c r="T398" s="83" t="e">
        <f t="shared" si="18"/>
        <v>#VALUE!</v>
      </c>
      <c r="U398" s="9" t="str">
        <f t="shared" si="19"/>
        <v/>
      </c>
      <c r="V398" s="20" t="str">
        <f>IFERROR(IF(VLOOKUP(H398,AgeCategories!$D$3:$J$32,7,FALSE)=I398,"","DNF"),"")</f>
        <v/>
      </c>
    </row>
    <row r="399" spans="1:22">
      <c r="A399" s="53" t="str">
        <f>IF(SortedDownload!A399 &lt; 1,"",SortedDownload!A399)</f>
        <v/>
      </c>
      <c r="B399" s="55">
        <f>IF(V399&lt;&gt;"","DNF",COUNTIF($V$3:V399,V399))</f>
        <v>364</v>
      </c>
      <c r="C399" s="54" t="str">
        <f>IF(OR(B399="DNF",H399=""),"DNF",COUNTIF($H$3:H399,H399))</f>
        <v>DNF</v>
      </c>
      <c r="D399" s="90" t="str">
        <f>IFERROR(VLOOKUP($A399,EntryList!$A$3:$N$596,2,FALSE),"")</f>
        <v/>
      </c>
      <c r="E399" s="54" t="str">
        <f>IFERROR(VLOOKUP($A399,EntryList!$A$3:$V$596,19,FALSE),"")</f>
        <v/>
      </c>
      <c r="F399" s="176" t="str">
        <f>IFERROR(VLOOKUP($A399,EntryList!$A$3:$V$596,18,FALSE),"")</f>
        <v/>
      </c>
      <c r="H399" s="90" t="str">
        <f>IFERROR(VLOOKUP($A399,EntryList!$A$3:$N$596,7,FALSE),"")</f>
        <v/>
      </c>
      <c r="I399" s="54" t="str">
        <f>IFERROR(VLOOKUP($A399,SortedDownload!$A$3:$Z895,4,FALSE),"")</f>
        <v/>
      </c>
      <c r="J399" s="59" t="str">
        <f>IFERROR(VLOOKUP($A399,SortedDownload!$A$3:$BB$499,23,FALSE),"")</f>
        <v/>
      </c>
      <c r="K399" s="59" t="str">
        <f>IFERROR(VLOOKUP($A399,SortedDownload!$A$3:$BB$499,24,FALSE),"")</f>
        <v/>
      </c>
      <c r="L399" s="59" t="str">
        <f>IFERROR(VLOOKUP($A399,SortedDownload!$A$3:$BB$499,25,FALSE),"")</f>
        <v/>
      </c>
      <c r="M399" s="59" t="str">
        <f>IFERROR(VLOOKUP($A399,SortedDownload!$A$3:$BB$499,26,FALSE),"")</f>
        <v/>
      </c>
      <c r="N399" s="59" t="str">
        <f>IFERROR(VLOOKUP($A399,SortedDownload!$A$3:$BB$499,27,FALSE),"")</f>
        <v/>
      </c>
      <c r="O399" s="59" t="str">
        <f>IFERROR(VLOOKUP($A399,SortedDownload!$A$3:$BB$499,28,FALSE),"")</f>
        <v/>
      </c>
      <c r="P399" s="59" t="str">
        <f>IFERROR(VLOOKUP($A399,SortedDownload!$A$3:$BB$499,29,FALSE),"")</f>
        <v/>
      </c>
      <c r="Q399" s="59" t="str">
        <f>IFERROR(VLOOKUP($A399,SortedDownload!$A$3:$BB$499,30,FALSE),"")</f>
        <v/>
      </c>
      <c r="R399" s="62" t="str">
        <f>IFERROR(TEXT(VLOOKUP($A399,SortedDownload!$A$3:$Z$499,14,FALSE),"[hh]:mm:ss.000"),"")</f>
        <v/>
      </c>
      <c r="S399" s="83" t="str">
        <f t="shared" si="20"/>
        <v>N/A</v>
      </c>
      <c r="T399" s="83" t="e">
        <f t="shared" si="18"/>
        <v>#VALUE!</v>
      </c>
      <c r="U399" s="9" t="str">
        <f t="shared" si="19"/>
        <v/>
      </c>
      <c r="V399" s="20" t="str">
        <f>IFERROR(IF(VLOOKUP(H399,AgeCategories!$D$3:$J$32,7,FALSE)=I399,"","DNF"),"")</f>
        <v/>
      </c>
    </row>
    <row r="400" spans="1:22">
      <c r="A400" s="53" t="str">
        <f>IF(SortedDownload!A400 &lt; 1,"",SortedDownload!A400)</f>
        <v/>
      </c>
      <c r="B400" s="55">
        <f>IF(V400&lt;&gt;"","DNF",COUNTIF($V$3:V400,V400))</f>
        <v>365</v>
      </c>
      <c r="C400" s="54" t="str">
        <f>IF(OR(B400="DNF",H400=""),"DNF",COUNTIF($H$3:H400,H400))</f>
        <v>DNF</v>
      </c>
      <c r="D400" s="90" t="str">
        <f>IFERROR(VLOOKUP($A400,EntryList!$A$3:$N$596,2,FALSE),"")</f>
        <v/>
      </c>
      <c r="E400" s="54" t="str">
        <f>IFERROR(VLOOKUP($A400,EntryList!$A$3:$V$596,19,FALSE),"")</f>
        <v/>
      </c>
      <c r="F400" s="176" t="str">
        <f>IFERROR(VLOOKUP($A400,EntryList!$A$3:$V$596,18,FALSE),"")</f>
        <v/>
      </c>
      <c r="H400" s="90" t="str">
        <f>IFERROR(VLOOKUP($A400,EntryList!$A$3:$N$596,7,FALSE),"")</f>
        <v/>
      </c>
      <c r="I400" s="54" t="str">
        <f>IFERROR(VLOOKUP($A400,SortedDownload!$A$3:$Z896,4,FALSE),"")</f>
        <v/>
      </c>
      <c r="J400" s="59" t="str">
        <f>IFERROR(VLOOKUP($A400,SortedDownload!$A$3:$BB$499,23,FALSE),"")</f>
        <v/>
      </c>
      <c r="K400" s="59" t="str">
        <f>IFERROR(VLOOKUP($A400,SortedDownload!$A$3:$BB$499,24,FALSE),"")</f>
        <v/>
      </c>
      <c r="L400" s="59" t="str">
        <f>IFERROR(VLOOKUP($A400,SortedDownload!$A$3:$BB$499,25,FALSE),"")</f>
        <v/>
      </c>
      <c r="M400" s="59" t="str">
        <f>IFERROR(VLOOKUP($A400,SortedDownload!$A$3:$BB$499,26,FALSE),"")</f>
        <v/>
      </c>
      <c r="N400" s="59" t="str">
        <f>IFERROR(VLOOKUP($A400,SortedDownload!$A$3:$BB$499,27,FALSE),"")</f>
        <v/>
      </c>
      <c r="O400" s="59" t="str">
        <f>IFERROR(VLOOKUP($A400,SortedDownload!$A$3:$BB$499,28,FALSE),"")</f>
        <v/>
      </c>
      <c r="P400" s="59" t="str">
        <f>IFERROR(VLOOKUP($A400,SortedDownload!$A$3:$BB$499,29,FALSE),"")</f>
        <v/>
      </c>
      <c r="Q400" s="59" t="str">
        <f>IFERROR(VLOOKUP($A400,SortedDownload!$A$3:$BB$499,30,FALSE),"")</f>
        <v/>
      </c>
      <c r="R400" s="62" t="str">
        <f>IFERROR(TEXT(VLOOKUP($A400,SortedDownload!$A$3:$Z$499,14,FALSE),"[hh]:mm:ss.000"),"")</f>
        <v/>
      </c>
      <c r="S400" s="83" t="str">
        <f t="shared" si="20"/>
        <v>N/A</v>
      </c>
      <c r="T400" s="83" t="e">
        <f t="shared" si="18"/>
        <v>#VALUE!</v>
      </c>
      <c r="U400" s="9" t="str">
        <f t="shared" si="19"/>
        <v/>
      </c>
      <c r="V400" s="20" t="str">
        <f>IFERROR(IF(VLOOKUP(H400,AgeCategories!$D$3:$J$32,7,FALSE)=I400,"","DNF"),"")</f>
        <v/>
      </c>
    </row>
    <row r="401" spans="1:22">
      <c r="A401" s="53" t="str">
        <f>IF(SortedDownload!A401 &lt; 1,"",SortedDownload!A401)</f>
        <v/>
      </c>
      <c r="B401" s="55">
        <f>IF(V401&lt;&gt;"","DNF",COUNTIF($V$3:V401,V401))</f>
        <v>366</v>
      </c>
      <c r="C401" s="54" t="str">
        <f>IF(OR(B401="DNF",H401=""),"DNF",COUNTIF($H$3:H401,H401))</f>
        <v>DNF</v>
      </c>
      <c r="D401" s="90" t="str">
        <f>IFERROR(VLOOKUP($A401,EntryList!$A$3:$N$596,2,FALSE),"")</f>
        <v/>
      </c>
      <c r="E401" s="54" t="str">
        <f>IFERROR(VLOOKUP($A401,EntryList!$A$3:$V$596,19,FALSE),"")</f>
        <v/>
      </c>
      <c r="F401" s="176" t="str">
        <f>IFERROR(VLOOKUP($A401,EntryList!$A$3:$V$596,18,FALSE),"")</f>
        <v/>
      </c>
      <c r="H401" s="90" t="str">
        <f>IFERROR(VLOOKUP($A401,EntryList!$A$3:$N$596,7,FALSE),"")</f>
        <v/>
      </c>
      <c r="I401" s="54" t="str">
        <f>IFERROR(VLOOKUP($A401,SortedDownload!$A$3:$Z897,4,FALSE),"")</f>
        <v/>
      </c>
      <c r="J401" s="59" t="str">
        <f>IFERROR(VLOOKUP($A401,SortedDownload!$A$3:$BB$499,23,FALSE),"")</f>
        <v/>
      </c>
      <c r="K401" s="59" t="str">
        <f>IFERROR(VLOOKUP($A401,SortedDownload!$A$3:$BB$499,24,FALSE),"")</f>
        <v/>
      </c>
      <c r="L401" s="59" t="str">
        <f>IFERROR(VLOOKUP($A401,SortedDownload!$A$3:$BB$499,25,FALSE),"")</f>
        <v/>
      </c>
      <c r="M401" s="59" t="str">
        <f>IFERROR(VLOOKUP($A401,SortedDownload!$A$3:$BB$499,26,FALSE),"")</f>
        <v/>
      </c>
      <c r="N401" s="59" t="str">
        <f>IFERROR(VLOOKUP($A401,SortedDownload!$A$3:$BB$499,27,FALSE),"")</f>
        <v/>
      </c>
      <c r="O401" s="59" t="str">
        <f>IFERROR(VLOOKUP($A401,SortedDownload!$A$3:$BB$499,28,FALSE),"")</f>
        <v/>
      </c>
      <c r="P401" s="59" t="str">
        <f>IFERROR(VLOOKUP($A401,SortedDownload!$A$3:$BB$499,29,FALSE),"")</f>
        <v/>
      </c>
      <c r="Q401" s="59" t="str">
        <f>IFERROR(VLOOKUP($A401,SortedDownload!$A$3:$BB$499,30,FALSE),"")</f>
        <v/>
      </c>
      <c r="R401" s="62" t="str">
        <f>IFERROR(TEXT(VLOOKUP($A401,SortedDownload!$A$3:$Z$499,14,FALSE),"[hh]:mm:ss.000"),"")</f>
        <v/>
      </c>
      <c r="S401" s="83" t="str">
        <f t="shared" si="20"/>
        <v>N/A</v>
      </c>
      <c r="T401" s="83" t="e">
        <f t="shared" si="18"/>
        <v>#VALUE!</v>
      </c>
      <c r="U401" s="9" t="str">
        <f t="shared" si="19"/>
        <v/>
      </c>
      <c r="V401" s="20" t="str">
        <f>IFERROR(IF(VLOOKUP(H401,AgeCategories!$D$3:$J$32,7,FALSE)=I401,"","DNF"),"")</f>
        <v/>
      </c>
    </row>
    <row r="402" spans="1:22">
      <c r="A402" s="53" t="str">
        <f>IF(SortedDownload!A402 &lt; 1,"",SortedDownload!A402)</f>
        <v/>
      </c>
      <c r="B402" s="55">
        <f>IF(V402&lt;&gt;"","DNF",COUNTIF($V$3:V402,V402))</f>
        <v>367</v>
      </c>
      <c r="C402" s="54" t="str">
        <f>IF(OR(B402="DNF",H402=""),"DNF",COUNTIF($H$3:H402,H402))</f>
        <v>DNF</v>
      </c>
      <c r="D402" s="90" t="str">
        <f>IFERROR(VLOOKUP($A402,EntryList!$A$3:$N$596,2,FALSE),"")</f>
        <v/>
      </c>
      <c r="E402" s="54" t="str">
        <f>IFERROR(VLOOKUP($A402,EntryList!$A$3:$V$596,19,FALSE),"")</f>
        <v/>
      </c>
      <c r="F402" s="176" t="str">
        <f>IFERROR(VLOOKUP($A402,EntryList!$A$3:$V$596,18,FALSE),"")</f>
        <v/>
      </c>
      <c r="H402" s="90" t="str">
        <f>IFERROR(VLOOKUP($A402,EntryList!$A$3:$N$596,7,FALSE),"")</f>
        <v/>
      </c>
      <c r="I402" s="54" t="str">
        <f>IFERROR(VLOOKUP($A402,SortedDownload!$A$3:$Z898,4,FALSE),"")</f>
        <v/>
      </c>
      <c r="J402" s="59" t="str">
        <f>IFERROR(VLOOKUP($A402,SortedDownload!$A$3:$BB$499,23,FALSE),"")</f>
        <v/>
      </c>
      <c r="K402" s="59" t="str">
        <f>IFERROR(VLOOKUP($A402,SortedDownload!$A$3:$BB$499,24,FALSE),"")</f>
        <v/>
      </c>
      <c r="L402" s="59" t="str">
        <f>IFERROR(VLOOKUP($A402,SortedDownload!$A$3:$BB$499,25,FALSE),"")</f>
        <v/>
      </c>
      <c r="M402" s="59" t="str">
        <f>IFERROR(VLOOKUP($A402,SortedDownload!$A$3:$BB$499,26,FALSE),"")</f>
        <v/>
      </c>
      <c r="N402" s="59" t="str">
        <f>IFERROR(VLOOKUP($A402,SortedDownload!$A$3:$BB$499,27,FALSE),"")</f>
        <v/>
      </c>
      <c r="O402" s="59" t="str">
        <f>IFERROR(VLOOKUP($A402,SortedDownload!$A$3:$BB$499,28,FALSE),"")</f>
        <v/>
      </c>
      <c r="P402" s="59" t="str">
        <f>IFERROR(VLOOKUP($A402,SortedDownload!$A$3:$BB$499,29,FALSE),"")</f>
        <v/>
      </c>
      <c r="Q402" s="59" t="str">
        <f>IFERROR(VLOOKUP($A402,SortedDownload!$A$3:$BB$499,30,FALSE),"")</f>
        <v/>
      </c>
      <c r="R402" s="62" t="str">
        <f>IFERROR(TEXT(VLOOKUP($A402,SortedDownload!$A$3:$Z$499,14,FALSE),"[hh]:mm:ss.000"),"")</f>
        <v/>
      </c>
      <c r="S402" s="83" t="str">
        <f t="shared" si="20"/>
        <v>N/A</v>
      </c>
      <c r="T402" s="83" t="e">
        <f t="shared" si="18"/>
        <v>#VALUE!</v>
      </c>
      <c r="U402" s="9" t="str">
        <f t="shared" si="19"/>
        <v/>
      </c>
      <c r="V402" s="20" t="str">
        <f>IFERROR(IF(VLOOKUP(H402,AgeCategories!$D$3:$J$32,7,FALSE)=I402,"","DNF"),"")</f>
        <v/>
      </c>
    </row>
    <row r="403" spans="1:22">
      <c r="A403" s="53" t="str">
        <f>IF(SortedDownload!A403 &lt; 1,"",SortedDownload!A403)</f>
        <v/>
      </c>
      <c r="B403" s="55">
        <f>IF(V403&lt;&gt;"","DNF",COUNTIF($V$3:V403,V403))</f>
        <v>368</v>
      </c>
      <c r="C403" s="54" t="str">
        <f>IF(OR(B403="DNF",H403=""),"DNF",COUNTIF($H$3:H403,H403))</f>
        <v>DNF</v>
      </c>
      <c r="D403" s="90" t="str">
        <f>IFERROR(VLOOKUP($A403,EntryList!$A$3:$N$596,2,FALSE),"")</f>
        <v/>
      </c>
      <c r="E403" s="54" t="str">
        <f>IFERROR(VLOOKUP($A403,EntryList!$A$3:$V$596,19,FALSE),"")</f>
        <v/>
      </c>
      <c r="F403" s="176" t="str">
        <f>IFERROR(VLOOKUP($A403,EntryList!$A$3:$V$596,18,FALSE),"")</f>
        <v/>
      </c>
      <c r="H403" s="90" t="str">
        <f>IFERROR(VLOOKUP($A403,EntryList!$A$3:$N$596,7,FALSE),"")</f>
        <v/>
      </c>
      <c r="I403" s="54" t="str">
        <f>IFERROR(VLOOKUP($A403,SortedDownload!$A$3:$Z899,4,FALSE),"")</f>
        <v/>
      </c>
      <c r="J403" s="59" t="str">
        <f>IFERROR(VLOOKUP($A403,SortedDownload!$A$3:$BB$499,23,FALSE),"")</f>
        <v/>
      </c>
      <c r="K403" s="59" t="str">
        <f>IFERROR(VLOOKUP($A403,SortedDownload!$A$3:$BB$499,24,FALSE),"")</f>
        <v/>
      </c>
      <c r="L403" s="59" t="str">
        <f>IFERROR(VLOOKUP($A403,SortedDownload!$A$3:$BB$499,25,FALSE),"")</f>
        <v/>
      </c>
      <c r="M403" s="59" t="str">
        <f>IFERROR(VLOOKUP($A403,SortedDownload!$A$3:$BB$499,26,FALSE),"")</f>
        <v/>
      </c>
      <c r="N403" s="59" t="str">
        <f>IFERROR(VLOOKUP($A403,SortedDownload!$A$3:$BB$499,27,FALSE),"")</f>
        <v/>
      </c>
      <c r="O403" s="59" t="str">
        <f>IFERROR(VLOOKUP($A403,SortedDownload!$A$3:$BB$499,28,FALSE),"")</f>
        <v/>
      </c>
      <c r="P403" s="59" t="str">
        <f>IFERROR(VLOOKUP($A403,SortedDownload!$A$3:$BB$499,29,FALSE),"")</f>
        <v/>
      </c>
      <c r="Q403" s="59" t="str">
        <f>IFERROR(VLOOKUP($A403,SortedDownload!$A$3:$BB$499,30,FALSE),"")</f>
        <v/>
      </c>
      <c r="R403" s="62" t="str">
        <f>IFERROR(TEXT(VLOOKUP($A403,SortedDownload!$A$3:$Z$499,14,FALSE),"[hh]:mm:ss.000"),"")</f>
        <v/>
      </c>
      <c r="S403" s="83" t="str">
        <f t="shared" si="20"/>
        <v>N/A</v>
      </c>
      <c r="T403" s="83" t="e">
        <f t="shared" si="18"/>
        <v>#VALUE!</v>
      </c>
      <c r="U403" s="9" t="str">
        <f t="shared" si="19"/>
        <v/>
      </c>
      <c r="V403" s="20" t="str">
        <f>IFERROR(IF(VLOOKUP(H403,AgeCategories!$D$3:$J$32,7,FALSE)=I403,"","DNF"),"")</f>
        <v/>
      </c>
    </row>
    <row r="404" spans="1:22">
      <c r="A404" s="53" t="str">
        <f>IF(SortedDownload!A404 &lt; 1,"",SortedDownload!A404)</f>
        <v/>
      </c>
      <c r="B404" s="55">
        <f>IF(V404&lt;&gt;"","DNF",COUNTIF($V$3:V404,V404))</f>
        <v>369</v>
      </c>
      <c r="C404" s="54" t="str">
        <f>IF(OR(B404="DNF",H404=""),"DNF",COUNTIF($H$3:H404,H404))</f>
        <v>DNF</v>
      </c>
      <c r="D404" s="90" t="str">
        <f>IFERROR(VLOOKUP($A404,EntryList!$A$3:$N$596,2,FALSE),"")</f>
        <v/>
      </c>
      <c r="E404" s="54" t="str">
        <f>IFERROR(VLOOKUP($A404,EntryList!$A$3:$V$596,19,FALSE),"")</f>
        <v/>
      </c>
      <c r="F404" s="176" t="str">
        <f>IFERROR(VLOOKUP($A404,EntryList!$A$3:$V$596,18,FALSE),"")</f>
        <v/>
      </c>
      <c r="H404" s="90" t="str">
        <f>IFERROR(VLOOKUP($A404,EntryList!$A$3:$N$596,7,FALSE),"")</f>
        <v/>
      </c>
      <c r="I404" s="54" t="str">
        <f>IFERROR(VLOOKUP($A404,SortedDownload!$A$3:$Z900,4,FALSE),"")</f>
        <v/>
      </c>
      <c r="J404" s="59" t="str">
        <f>IFERROR(VLOOKUP($A404,SortedDownload!$A$3:$BB$499,23,FALSE),"")</f>
        <v/>
      </c>
      <c r="K404" s="59" t="str">
        <f>IFERROR(VLOOKUP($A404,SortedDownload!$A$3:$BB$499,24,FALSE),"")</f>
        <v/>
      </c>
      <c r="L404" s="59" t="str">
        <f>IFERROR(VLOOKUP($A404,SortedDownload!$A$3:$BB$499,25,FALSE),"")</f>
        <v/>
      </c>
      <c r="M404" s="59" t="str">
        <f>IFERROR(VLOOKUP($A404,SortedDownload!$A$3:$BB$499,26,FALSE),"")</f>
        <v/>
      </c>
      <c r="N404" s="59" t="str">
        <f>IFERROR(VLOOKUP($A404,SortedDownload!$A$3:$BB$499,27,FALSE),"")</f>
        <v/>
      </c>
      <c r="O404" s="59" t="str">
        <f>IFERROR(VLOOKUP($A404,SortedDownload!$A$3:$BB$499,28,FALSE),"")</f>
        <v/>
      </c>
      <c r="P404" s="59" t="str">
        <f>IFERROR(VLOOKUP($A404,SortedDownload!$A$3:$BB$499,29,FALSE),"")</f>
        <v/>
      </c>
      <c r="Q404" s="59" t="str">
        <f>IFERROR(VLOOKUP($A404,SortedDownload!$A$3:$BB$499,30,FALSE),"")</f>
        <v/>
      </c>
      <c r="R404" s="62" t="str">
        <f>IFERROR(TEXT(VLOOKUP($A404,SortedDownload!$A$3:$Z$499,14,FALSE),"[hh]:mm:ss.000"),"")</f>
        <v/>
      </c>
      <c r="S404" s="83" t="str">
        <f t="shared" si="20"/>
        <v>N/A</v>
      </c>
      <c r="T404" s="83" t="e">
        <f t="shared" si="18"/>
        <v>#VALUE!</v>
      </c>
      <c r="U404" s="9" t="str">
        <f t="shared" si="19"/>
        <v/>
      </c>
      <c r="V404" s="20" t="str">
        <f>IFERROR(IF(VLOOKUP(H404,AgeCategories!$D$3:$J$32,7,FALSE)=I404,"","DNF"),"")</f>
        <v/>
      </c>
    </row>
    <row r="405" spans="1:22">
      <c r="A405" s="53" t="str">
        <f>IF(SortedDownload!A405 &lt; 1,"",SortedDownload!A405)</f>
        <v/>
      </c>
      <c r="B405" s="55">
        <f>IF(V405&lt;&gt;"","DNF",COUNTIF($V$3:V405,V405))</f>
        <v>370</v>
      </c>
      <c r="C405" s="54" t="str">
        <f>IF(OR(B405="DNF",H405=""),"DNF",COUNTIF($H$3:H405,H405))</f>
        <v>DNF</v>
      </c>
      <c r="D405" s="90" t="str">
        <f>IFERROR(VLOOKUP($A405,EntryList!$A$3:$N$596,2,FALSE),"")</f>
        <v/>
      </c>
      <c r="E405" s="54" t="str">
        <f>IFERROR(VLOOKUP($A405,EntryList!$A$3:$V$596,19,FALSE),"")</f>
        <v/>
      </c>
      <c r="F405" s="176" t="str">
        <f>IFERROR(VLOOKUP($A405,EntryList!$A$3:$V$596,18,FALSE),"")</f>
        <v/>
      </c>
      <c r="H405" s="90" t="str">
        <f>IFERROR(VLOOKUP($A405,EntryList!$A$3:$N$596,7,FALSE),"")</f>
        <v/>
      </c>
      <c r="I405" s="54" t="str">
        <f>IFERROR(VLOOKUP($A405,SortedDownload!$A$3:$Z901,4,FALSE),"")</f>
        <v/>
      </c>
      <c r="J405" s="59" t="str">
        <f>IFERROR(VLOOKUP($A405,SortedDownload!$A$3:$BB$499,23,FALSE),"")</f>
        <v/>
      </c>
      <c r="K405" s="59" t="str">
        <f>IFERROR(VLOOKUP($A405,SortedDownload!$A$3:$BB$499,24,FALSE),"")</f>
        <v/>
      </c>
      <c r="L405" s="59" t="str">
        <f>IFERROR(VLOOKUP($A405,SortedDownload!$A$3:$BB$499,25,FALSE),"")</f>
        <v/>
      </c>
      <c r="M405" s="59" t="str">
        <f>IFERROR(VLOOKUP($A405,SortedDownload!$A$3:$BB$499,26,FALSE),"")</f>
        <v/>
      </c>
      <c r="N405" s="59" t="str">
        <f>IFERROR(VLOOKUP($A405,SortedDownload!$A$3:$BB$499,27,FALSE),"")</f>
        <v/>
      </c>
      <c r="O405" s="59" t="str">
        <f>IFERROR(VLOOKUP($A405,SortedDownload!$A$3:$BB$499,28,FALSE),"")</f>
        <v/>
      </c>
      <c r="P405" s="59" t="str">
        <f>IFERROR(VLOOKUP($A405,SortedDownload!$A$3:$BB$499,29,FALSE),"")</f>
        <v/>
      </c>
      <c r="Q405" s="59" t="str">
        <f>IFERROR(VLOOKUP($A405,SortedDownload!$A$3:$BB$499,30,FALSE),"")</f>
        <v/>
      </c>
      <c r="R405" s="62" t="str">
        <f>IFERROR(TEXT(VLOOKUP($A405,SortedDownload!$A$3:$Z$499,14,FALSE),"[hh]:mm:ss.000"),"")</f>
        <v/>
      </c>
      <c r="S405" s="83" t="str">
        <f t="shared" si="20"/>
        <v>N/A</v>
      </c>
      <c r="T405" s="83" t="e">
        <f t="shared" si="18"/>
        <v>#VALUE!</v>
      </c>
      <c r="U405" s="9" t="str">
        <f t="shared" si="19"/>
        <v/>
      </c>
      <c r="V405" s="20" t="str">
        <f>IFERROR(IF(VLOOKUP(H405,AgeCategories!$D$3:$J$32,7,FALSE)=I405,"","DNF"),"")</f>
        <v/>
      </c>
    </row>
    <row r="406" spans="1:22">
      <c r="A406" s="53" t="str">
        <f>IF(SortedDownload!A406 &lt; 1,"",SortedDownload!A406)</f>
        <v/>
      </c>
      <c r="B406" s="55">
        <f>IF(V406&lt;&gt;"","DNF",COUNTIF($V$3:V406,V406))</f>
        <v>371</v>
      </c>
      <c r="C406" s="54" t="str">
        <f>IF(OR(B406="DNF",H406=""),"DNF",COUNTIF($H$3:H406,H406))</f>
        <v>DNF</v>
      </c>
      <c r="D406" s="90" t="str">
        <f>IFERROR(VLOOKUP($A406,EntryList!$A$3:$N$596,2,FALSE),"")</f>
        <v/>
      </c>
      <c r="E406" s="54" t="str">
        <f>IFERROR(VLOOKUP($A406,EntryList!$A$3:$V$596,19,FALSE),"")</f>
        <v/>
      </c>
      <c r="F406" s="176" t="str">
        <f>IFERROR(VLOOKUP($A406,EntryList!$A$3:$V$596,18,FALSE),"")</f>
        <v/>
      </c>
      <c r="H406" s="90" t="str">
        <f>IFERROR(VLOOKUP($A406,EntryList!$A$3:$N$596,7,FALSE),"")</f>
        <v/>
      </c>
      <c r="I406" s="54" t="str">
        <f>IFERROR(VLOOKUP($A406,SortedDownload!$A$3:$Z902,4,FALSE),"")</f>
        <v/>
      </c>
      <c r="J406" s="59" t="str">
        <f>IFERROR(VLOOKUP($A406,SortedDownload!$A$3:$BB$499,23,FALSE),"")</f>
        <v/>
      </c>
      <c r="K406" s="59" t="str">
        <f>IFERROR(VLOOKUP($A406,SortedDownload!$A$3:$BB$499,24,FALSE),"")</f>
        <v/>
      </c>
      <c r="L406" s="59" t="str">
        <f>IFERROR(VLOOKUP($A406,SortedDownload!$A$3:$BB$499,25,FALSE),"")</f>
        <v/>
      </c>
      <c r="M406" s="59" t="str">
        <f>IFERROR(VLOOKUP($A406,SortedDownload!$A$3:$BB$499,26,FALSE),"")</f>
        <v/>
      </c>
      <c r="N406" s="59" t="str">
        <f>IFERROR(VLOOKUP($A406,SortedDownload!$A$3:$BB$499,27,FALSE),"")</f>
        <v/>
      </c>
      <c r="O406" s="59" t="str">
        <f>IFERROR(VLOOKUP($A406,SortedDownload!$A$3:$BB$499,28,FALSE),"")</f>
        <v/>
      </c>
      <c r="P406" s="59" t="str">
        <f>IFERROR(VLOOKUP($A406,SortedDownload!$A$3:$BB$499,29,FALSE),"")</f>
        <v/>
      </c>
      <c r="Q406" s="59" t="str">
        <f>IFERROR(VLOOKUP($A406,SortedDownload!$A$3:$BB$499,30,FALSE),"")</f>
        <v/>
      </c>
      <c r="R406" s="62" t="str">
        <f>IFERROR(TEXT(VLOOKUP($A406,SortedDownload!$A$3:$Z$499,14,FALSE),"[hh]:mm:ss.000"),"")</f>
        <v/>
      </c>
      <c r="S406" s="83" t="str">
        <f t="shared" si="20"/>
        <v>N/A</v>
      </c>
      <c r="T406" s="83" t="e">
        <f t="shared" si="18"/>
        <v>#VALUE!</v>
      </c>
      <c r="U406" s="9" t="str">
        <f t="shared" si="19"/>
        <v/>
      </c>
      <c r="V406" s="20" t="str">
        <f>IFERROR(IF(VLOOKUP(H406,AgeCategories!$D$3:$J$32,7,FALSE)=I406,"","DNF"),"")</f>
        <v/>
      </c>
    </row>
    <row r="407" spans="1:22">
      <c r="A407" s="53" t="str">
        <f>IF(SortedDownload!A407 &lt; 1,"",SortedDownload!A407)</f>
        <v/>
      </c>
      <c r="B407" s="55">
        <f>IF(V407&lt;&gt;"","DNF",COUNTIF($V$3:V407,V407))</f>
        <v>372</v>
      </c>
      <c r="C407" s="54" t="str">
        <f>IF(OR(B407="DNF",H407=""),"DNF",COUNTIF($H$3:H407,H407))</f>
        <v>DNF</v>
      </c>
      <c r="D407" s="90" t="str">
        <f>IFERROR(VLOOKUP($A407,EntryList!$A$3:$N$596,2,FALSE),"")</f>
        <v/>
      </c>
      <c r="E407" s="54" t="str">
        <f>IFERROR(VLOOKUP($A407,EntryList!$A$3:$V$596,19,FALSE),"")</f>
        <v/>
      </c>
      <c r="F407" s="176" t="str">
        <f>IFERROR(VLOOKUP($A407,EntryList!$A$3:$V$596,18,FALSE),"")</f>
        <v/>
      </c>
      <c r="H407" s="90" t="str">
        <f>IFERROR(VLOOKUP($A407,EntryList!$A$3:$N$596,7,FALSE),"")</f>
        <v/>
      </c>
      <c r="I407" s="54" t="str">
        <f>IFERROR(VLOOKUP($A407,SortedDownload!$A$3:$Z903,4,FALSE),"")</f>
        <v/>
      </c>
      <c r="J407" s="59" t="str">
        <f>IFERROR(VLOOKUP($A407,SortedDownload!$A$3:$BB$499,23,FALSE),"")</f>
        <v/>
      </c>
      <c r="K407" s="59" t="str">
        <f>IFERROR(VLOOKUP($A407,SortedDownload!$A$3:$BB$499,24,FALSE),"")</f>
        <v/>
      </c>
      <c r="L407" s="59" t="str">
        <f>IFERROR(VLOOKUP($A407,SortedDownload!$A$3:$BB$499,25,FALSE),"")</f>
        <v/>
      </c>
      <c r="M407" s="59" t="str">
        <f>IFERROR(VLOOKUP($A407,SortedDownload!$A$3:$BB$499,26,FALSE),"")</f>
        <v/>
      </c>
      <c r="N407" s="59" t="str">
        <f>IFERROR(VLOOKUP($A407,SortedDownload!$A$3:$BB$499,27,FALSE),"")</f>
        <v/>
      </c>
      <c r="O407" s="59" t="str">
        <f>IFERROR(VLOOKUP($A407,SortedDownload!$A$3:$BB$499,28,FALSE),"")</f>
        <v/>
      </c>
      <c r="P407" s="59" t="str">
        <f>IFERROR(VLOOKUP($A407,SortedDownload!$A$3:$BB$499,29,FALSE),"")</f>
        <v/>
      </c>
      <c r="Q407" s="59" t="str">
        <f>IFERROR(VLOOKUP($A407,SortedDownload!$A$3:$BB$499,30,FALSE),"")</f>
        <v/>
      </c>
      <c r="R407" s="62" t="str">
        <f>IFERROR(TEXT(VLOOKUP($A407,SortedDownload!$A$3:$Z$499,14,FALSE),"[hh]:mm:ss.000"),"")</f>
        <v/>
      </c>
      <c r="S407" s="83" t="str">
        <f t="shared" si="20"/>
        <v>N/A</v>
      </c>
      <c r="T407" s="83" t="e">
        <f t="shared" si="18"/>
        <v>#VALUE!</v>
      </c>
      <c r="U407" s="9" t="str">
        <f t="shared" si="19"/>
        <v/>
      </c>
      <c r="V407" s="20" t="str">
        <f>IFERROR(IF(VLOOKUP(H407,AgeCategories!$D$3:$J$32,7,FALSE)=I407,"","DNF"),"")</f>
        <v/>
      </c>
    </row>
    <row r="408" spans="1:22">
      <c r="A408" s="53" t="str">
        <f>IF(SortedDownload!A408 &lt; 1,"",SortedDownload!A408)</f>
        <v/>
      </c>
      <c r="B408" s="55">
        <f>IF(V408&lt;&gt;"","DNF",COUNTIF($V$3:V408,V408))</f>
        <v>373</v>
      </c>
      <c r="C408" s="54" t="str">
        <f>IF(OR(B408="DNF",H408=""),"DNF",COUNTIF($H$3:H408,H408))</f>
        <v>DNF</v>
      </c>
      <c r="D408" s="90" t="str">
        <f>IFERROR(VLOOKUP($A408,EntryList!$A$3:$N$596,2,FALSE),"")</f>
        <v/>
      </c>
      <c r="E408" s="54" t="str">
        <f>IFERROR(VLOOKUP($A408,EntryList!$A$3:$V$596,19,FALSE),"")</f>
        <v/>
      </c>
      <c r="F408" s="176" t="str">
        <f>IFERROR(VLOOKUP($A408,EntryList!$A$3:$V$596,18,FALSE),"")</f>
        <v/>
      </c>
      <c r="H408" s="90" t="str">
        <f>IFERROR(VLOOKUP($A408,EntryList!$A$3:$N$596,7,FALSE),"")</f>
        <v/>
      </c>
      <c r="I408" s="54" t="str">
        <f>IFERROR(VLOOKUP($A408,SortedDownload!$A$3:$Z904,4,FALSE),"")</f>
        <v/>
      </c>
      <c r="J408" s="59" t="str">
        <f>IFERROR(VLOOKUP($A408,SortedDownload!$A$3:$BB$499,23,FALSE),"")</f>
        <v/>
      </c>
      <c r="K408" s="59" t="str">
        <f>IFERROR(VLOOKUP($A408,SortedDownload!$A$3:$BB$499,24,FALSE),"")</f>
        <v/>
      </c>
      <c r="L408" s="59" t="str">
        <f>IFERROR(VLOOKUP($A408,SortedDownload!$A$3:$BB$499,25,FALSE),"")</f>
        <v/>
      </c>
      <c r="M408" s="59" t="str">
        <f>IFERROR(VLOOKUP($A408,SortedDownload!$A$3:$BB$499,26,FALSE),"")</f>
        <v/>
      </c>
      <c r="N408" s="59" t="str">
        <f>IFERROR(VLOOKUP($A408,SortedDownload!$A$3:$BB$499,27,FALSE),"")</f>
        <v/>
      </c>
      <c r="O408" s="59" t="str">
        <f>IFERROR(VLOOKUP($A408,SortedDownload!$A$3:$BB$499,28,FALSE),"")</f>
        <v/>
      </c>
      <c r="P408" s="59" t="str">
        <f>IFERROR(VLOOKUP($A408,SortedDownload!$A$3:$BB$499,29,FALSE),"")</f>
        <v/>
      </c>
      <c r="Q408" s="59" t="str">
        <f>IFERROR(VLOOKUP($A408,SortedDownload!$A$3:$BB$499,30,FALSE),"")</f>
        <v/>
      </c>
      <c r="R408" s="62" t="str">
        <f>IFERROR(TEXT(VLOOKUP($A408,SortedDownload!$A$3:$Z$499,14,FALSE),"[hh]:mm:ss.000"),"")</f>
        <v/>
      </c>
      <c r="S408" s="83" t="str">
        <f t="shared" si="20"/>
        <v>N/A</v>
      </c>
      <c r="T408" s="83" t="e">
        <f t="shared" si="18"/>
        <v>#VALUE!</v>
      </c>
      <c r="U408" s="9" t="str">
        <f t="shared" si="19"/>
        <v/>
      </c>
      <c r="V408" s="20" t="str">
        <f>IFERROR(IF(VLOOKUP(H408,AgeCategories!$D$3:$J$32,7,FALSE)=I408,"","DNF"),"")</f>
        <v/>
      </c>
    </row>
    <row r="409" spans="1:22">
      <c r="A409" s="53" t="str">
        <f>IF(SortedDownload!A409 &lt; 1,"",SortedDownload!A409)</f>
        <v/>
      </c>
      <c r="B409" s="55">
        <f>IF(V409&lt;&gt;"","DNF",COUNTIF($V$3:V409,V409))</f>
        <v>374</v>
      </c>
      <c r="C409" s="54" t="str">
        <f>IF(OR(B409="DNF",H409=""),"DNF",COUNTIF($H$3:H409,H409))</f>
        <v>DNF</v>
      </c>
      <c r="D409" s="90" t="str">
        <f>IFERROR(VLOOKUP($A409,EntryList!$A$3:$N$596,2,FALSE),"")</f>
        <v/>
      </c>
      <c r="E409" s="54" t="str">
        <f>IFERROR(VLOOKUP($A409,EntryList!$A$3:$V$596,19,FALSE),"")</f>
        <v/>
      </c>
      <c r="F409" s="176" t="str">
        <f>IFERROR(VLOOKUP($A409,EntryList!$A$3:$V$596,18,FALSE),"")</f>
        <v/>
      </c>
      <c r="H409" s="90" t="str">
        <f>IFERROR(VLOOKUP($A409,EntryList!$A$3:$N$596,7,FALSE),"")</f>
        <v/>
      </c>
      <c r="I409" s="54" t="str">
        <f>IFERROR(VLOOKUP($A409,SortedDownload!$A$3:$Z905,4,FALSE),"")</f>
        <v/>
      </c>
      <c r="J409" s="59" t="str">
        <f>IFERROR(VLOOKUP($A409,SortedDownload!$A$3:$BB$499,23,FALSE),"")</f>
        <v/>
      </c>
      <c r="K409" s="59" t="str">
        <f>IFERROR(VLOOKUP($A409,SortedDownload!$A$3:$BB$499,24,FALSE),"")</f>
        <v/>
      </c>
      <c r="L409" s="59" t="str">
        <f>IFERROR(VLOOKUP($A409,SortedDownload!$A$3:$BB$499,25,FALSE),"")</f>
        <v/>
      </c>
      <c r="M409" s="59" t="str">
        <f>IFERROR(VLOOKUP($A409,SortedDownload!$A$3:$BB$499,26,FALSE),"")</f>
        <v/>
      </c>
      <c r="N409" s="59" t="str">
        <f>IFERROR(VLOOKUP($A409,SortedDownload!$A$3:$BB$499,27,FALSE),"")</f>
        <v/>
      </c>
      <c r="O409" s="59" t="str">
        <f>IFERROR(VLOOKUP($A409,SortedDownload!$A$3:$BB$499,28,FALSE),"")</f>
        <v/>
      </c>
      <c r="P409" s="59" t="str">
        <f>IFERROR(VLOOKUP($A409,SortedDownload!$A$3:$BB$499,29,FALSE),"")</f>
        <v/>
      </c>
      <c r="Q409" s="59" t="str">
        <f>IFERROR(VLOOKUP($A409,SortedDownload!$A$3:$BB$499,30,FALSE),"")</f>
        <v/>
      </c>
      <c r="R409" s="62" t="str">
        <f>IFERROR(TEXT(VLOOKUP($A409,SortedDownload!$A$3:$Z$499,14,FALSE),"[hh]:mm:ss.000"),"")</f>
        <v/>
      </c>
      <c r="S409" s="83" t="str">
        <f t="shared" si="20"/>
        <v>N/A</v>
      </c>
      <c r="T409" s="83" t="e">
        <f t="shared" si="18"/>
        <v>#VALUE!</v>
      </c>
      <c r="U409" s="9" t="str">
        <f t="shared" si="19"/>
        <v/>
      </c>
      <c r="V409" s="20" t="str">
        <f>IFERROR(IF(VLOOKUP(H409,AgeCategories!$D$3:$J$32,7,FALSE)=I409,"","DNF"),"")</f>
        <v/>
      </c>
    </row>
    <row r="410" spans="1:22">
      <c r="A410" s="53" t="str">
        <f>IF(SortedDownload!A410 &lt; 1,"",SortedDownload!A410)</f>
        <v/>
      </c>
      <c r="B410" s="55">
        <f>IF(V410&lt;&gt;"","DNF",COUNTIF($V$3:V410,V410))</f>
        <v>375</v>
      </c>
      <c r="C410" s="54" t="str">
        <f>IF(OR(B410="DNF",H410=""),"DNF",COUNTIF($H$3:H410,H410))</f>
        <v>DNF</v>
      </c>
      <c r="D410" s="90" t="str">
        <f>IFERROR(VLOOKUP($A410,EntryList!$A$3:$N$596,2,FALSE),"")</f>
        <v/>
      </c>
      <c r="E410" s="54" t="str">
        <f>IFERROR(VLOOKUP($A410,EntryList!$A$3:$V$596,19,FALSE),"")</f>
        <v/>
      </c>
      <c r="F410" s="176" t="str">
        <f>IFERROR(VLOOKUP($A410,EntryList!$A$3:$V$596,18,FALSE),"")</f>
        <v/>
      </c>
      <c r="H410" s="90" t="str">
        <f>IFERROR(VLOOKUP($A410,EntryList!$A$3:$N$596,7,FALSE),"")</f>
        <v/>
      </c>
      <c r="I410" s="54" t="str">
        <f>IFERROR(VLOOKUP($A410,SortedDownload!$A$3:$Z906,4,FALSE),"")</f>
        <v/>
      </c>
      <c r="J410" s="59" t="str">
        <f>IFERROR(VLOOKUP($A410,SortedDownload!$A$3:$BB$499,23,FALSE),"")</f>
        <v/>
      </c>
      <c r="K410" s="59" t="str">
        <f>IFERROR(VLOOKUP($A410,SortedDownload!$A$3:$BB$499,24,FALSE),"")</f>
        <v/>
      </c>
      <c r="L410" s="59" t="str">
        <f>IFERROR(VLOOKUP($A410,SortedDownload!$A$3:$BB$499,25,FALSE),"")</f>
        <v/>
      </c>
      <c r="M410" s="59" t="str">
        <f>IFERROR(VLOOKUP($A410,SortedDownload!$A$3:$BB$499,26,FALSE),"")</f>
        <v/>
      </c>
      <c r="N410" s="59" t="str">
        <f>IFERROR(VLOOKUP($A410,SortedDownload!$A$3:$BB$499,27,FALSE),"")</f>
        <v/>
      </c>
      <c r="O410" s="59" t="str">
        <f>IFERROR(VLOOKUP($A410,SortedDownload!$A$3:$BB$499,28,FALSE),"")</f>
        <v/>
      </c>
      <c r="P410" s="59" t="str">
        <f>IFERROR(VLOOKUP($A410,SortedDownload!$A$3:$BB$499,29,FALSE),"")</f>
        <v/>
      </c>
      <c r="Q410" s="59" t="str">
        <f>IFERROR(VLOOKUP($A410,SortedDownload!$A$3:$BB$499,30,FALSE),"")</f>
        <v/>
      </c>
      <c r="R410" s="62" t="str">
        <f>IFERROR(TEXT(VLOOKUP($A410,SortedDownload!$A$3:$Z$499,14,FALSE),"[hh]:mm:ss.000"),"")</f>
        <v/>
      </c>
      <c r="S410" s="83" t="str">
        <f t="shared" si="20"/>
        <v>N/A</v>
      </c>
      <c r="T410" s="83" t="e">
        <f t="shared" si="18"/>
        <v>#VALUE!</v>
      </c>
      <c r="U410" s="9" t="str">
        <f t="shared" si="19"/>
        <v/>
      </c>
      <c r="V410" s="20" t="str">
        <f>IFERROR(IF(VLOOKUP(H410,AgeCategories!$D$3:$J$32,7,FALSE)=I410,"","DNF"),"")</f>
        <v/>
      </c>
    </row>
    <row r="411" spans="1:22">
      <c r="A411" s="53" t="str">
        <f>IF(SortedDownload!A411 &lt; 1,"",SortedDownload!A411)</f>
        <v/>
      </c>
      <c r="B411" s="55">
        <f>IF(V411&lt;&gt;"","DNF",COUNTIF($V$3:V411,V411))</f>
        <v>376</v>
      </c>
      <c r="C411" s="54" t="str">
        <f>IF(OR(B411="DNF",H411=""),"DNF",COUNTIF($H$3:H411,H411))</f>
        <v>DNF</v>
      </c>
      <c r="D411" s="90" t="str">
        <f>IFERROR(VLOOKUP($A411,EntryList!$A$3:$N$596,2,FALSE),"")</f>
        <v/>
      </c>
      <c r="E411" s="54" t="str">
        <f>IFERROR(VLOOKUP($A411,EntryList!$A$3:$V$596,19,FALSE),"")</f>
        <v/>
      </c>
      <c r="F411" s="176" t="str">
        <f>IFERROR(VLOOKUP($A411,EntryList!$A$3:$V$596,18,FALSE),"")</f>
        <v/>
      </c>
      <c r="H411" s="90" t="str">
        <f>IFERROR(VLOOKUP($A411,EntryList!$A$3:$N$596,7,FALSE),"")</f>
        <v/>
      </c>
      <c r="I411" s="54" t="str">
        <f>IFERROR(VLOOKUP($A411,SortedDownload!$A$3:$Z907,4,FALSE),"")</f>
        <v/>
      </c>
      <c r="J411" s="59" t="str">
        <f>IFERROR(VLOOKUP($A411,SortedDownload!$A$3:$BB$499,23,FALSE),"")</f>
        <v/>
      </c>
      <c r="K411" s="59" t="str">
        <f>IFERROR(VLOOKUP($A411,SortedDownload!$A$3:$BB$499,24,FALSE),"")</f>
        <v/>
      </c>
      <c r="L411" s="59" t="str">
        <f>IFERROR(VLOOKUP($A411,SortedDownload!$A$3:$BB$499,25,FALSE),"")</f>
        <v/>
      </c>
      <c r="M411" s="59" t="str">
        <f>IFERROR(VLOOKUP($A411,SortedDownload!$A$3:$BB$499,26,FALSE),"")</f>
        <v/>
      </c>
      <c r="N411" s="59" t="str">
        <f>IFERROR(VLOOKUP($A411,SortedDownload!$A$3:$BB$499,27,FALSE),"")</f>
        <v/>
      </c>
      <c r="O411" s="59" t="str">
        <f>IFERROR(VLOOKUP($A411,SortedDownload!$A$3:$BB$499,28,FALSE),"")</f>
        <v/>
      </c>
      <c r="P411" s="59" t="str">
        <f>IFERROR(VLOOKUP($A411,SortedDownload!$A$3:$BB$499,29,FALSE),"")</f>
        <v/>
      </c>
      <c r="Q411" s="59" t="str">
        <f>IFERROR(VLOOKUP($A411,SortedDownload!$A$3:$BB$499,30,FALSE),"")</f>
        <v/>
      </c>
      <c r="R411" s="62" t="str">
        <f>IFERROR(TEXT(VLOOKUP($A411,SortedDownload!$A$3:$Z$499,14,FALSE),"[hh]:mm:ss.000"),"")</f>
        <v/>
      </c>
      <c r="S411" s="83" t="str">
        <f t="shared" si="20"/>
        <v>N/A</v>
      </c>
      <c r="T411" s="83" t="e">
        <f t="shared" si="18"/>
        <v>#VALUE!</v>
      </c>
      <c r="U411" s="9" t="str">
        <f t="shared" si="19"/>
        <v/>
      </c>
      <c r="V411" s="20" t="str">
        <f>IFERROR(IF(VLOOKUP(H411,AgeCategories!$D$3:$J$32,7,FALSE)=I411,"","DNF"),"")</f>
        <v/>
      </c>
    </row>
    <row r="412" spans="1:22">
      <c r="A412" s="53" t="str">
        <f>IF(SortedDownload!A412 &lt; 1,"",SortedDownload!A412)</f>
        <v/>
      </c>
      <c r="B412" s="55">
        <f>IF(V412&lt;&gt;"","DNF",COUNTIF($V$3:V412,V412))</f>
        <v>377</v>
      </c>
      <c r="C412" s="54" t="str">
        <f>IF(OR(B412="DNF",H412=""),"DNF",COUNTIF($H$3:H412,H412))</f>
        <v>DNF</v>
      </c>
      <c r="D412" s="90" t="str">
        <f>IFERROR(VLOOKUP($A412,EntryList!$A$3:$N$596,2,FALSE),"")</f>
        <v/>
      </c>
      <c r="E412" s="54" t="str">
        <f>IFERROR(VLOOKUP($A412,EntryList!$A$3:$V$596,19,FALSE),"")</f>
        <v/>
      </c>
      <c r="F412" s="176" t="str">
        <f>IFERROR(VLOOKUP($A412,EntryList!$A$3:$V$596,18,FALSE),"")</f>
        <v/>
      </c>
      <c r="H412" s="90" t="str">
        <f>IFERROR(VLOOKUP($A412,EntryList!$A$3:$N$596,7,FALSE),"")</f>
        <v/>
      </c>
      <c r="I412" s="54" t="str">
        <f>IFERROR(VLOOKUP($A412,SortedDownload!$A$3:$Z908,4,FALSE),"")</f>
        <v/>
      </c>
      <c r="J412" s="59" t="str">
        <f>IFERROR(VLOOKUP($A412,SortedDownload!$A$3:$BB$499,23,FALSE),"")</f>
        <v/>
      </c>
      <c r="K412" s="59" t="str">
        <f>IFERROR(VLOOKUP($A412,SortedDownload!$A$3:$BB$499,24,FALSE),"")</f>
        <v/>
      </c>
      <c r="L412" s="59" t="str">
        <f>IFERROR(VLOOKUP($A412,SortedDownload!$A$3:$BB$499,25,FALSE),"")</f>
        <v/>
      </c>
      <c r="M412" s="59" t="str">
        <f>IFERROR(VLOOKUP($A412,SortedDownload!$A$3:$BB$499,26,FALSE),"")</f>
        <v/>
      </c>
      <c r="N412" s="59" t="str">
        <f>IFERROR(VLOOKUP($A412,SortedDownload!$A$3:$BB$499,27,FALSE),"")</f>
        <v/>
      </c>
      <c r="O412" s="59" t="str">
        <f>IFERROR(VLOOKUP($A412,SortedDownload!$A$3:$BB$499,28,FALSE),"")</f>
        <v/>
      </c>
      <c r="P412" s="59" t="str">
        <f>IFERROR(VLOOKUP($A412,SortedDownload!$A$3:$BB$499,29,FALSE),"")</f>
        <v/>
      </c>
      <c r="Q412" s="59" t="str">
        <f>IFERROR(VLOOKUP($A412,SortedDownload!$A$3:$BB$499,30,FALSE),"")</f>
        <v/>
      </c>
      <c r="R412" s="62" t="str">
        <f>IFERROR(TEXT(VLOOKUP($A412,SortedDownload!$A$3:$Z$499,14,FALSE),"[hh]:mm:ss.000"),"")</f>
        <v/>
      </c>
      <c r="S412" s="83" t="str">
        <f t="shared" si="20"/>
        <v>N/A</v>
      </c>
      <c r="T412" s="83" t="e">
        <f t="shared" si="18"/>
        <v>#VALUE!</v>
      </c>
      <c r="U412" s="9" t="str">
        <f t="shared" si="19"/>
        <v/>
      </c>
      <c r="V412" s="20" t="str">
        <f>IFERROR(IF(VLOOKUP(H412,AgeCategories!$D$3:$J$32,7,FALSE)=I412,"","DNF"),"")</f>
        <v/>
      </c>
    </row>
    <row r="413" spans="1:22">
      <c r="A413" s="53" t="str">
        <f>IF(SortedDownload!A413 &lt; 1,"",SortedDownload!A413)</f>
        <v/>
      </c>
      <c r="B413" s="55">
        <f>IF(V413&lt;&gt;"","DNF",COUNTIF($V$3:V413,V413))</f>
        <v>378</v>
      </c>
      <c r="C413" s="54" t="str">
        <f>IF(OR(B413="DNF",H413=""),"DNF",COUNTIF($H$3:H413,H413))</f>
        <v>DNF</v>
      </c>
      <c r="D413" s="90" t="str">
        <f>IFERROR(VLOOKUP($A413,EntryList!$A$3:$N$596,2,FALSE),"")</f>
        <v/>
      </c>
      <c r="E413" s="54" t="str">
        <f>IFERROR(VLOOKUP($A413,EntryList!$A$3:$V$596,19,FALSE),"")</f>
        <v/>
      </c>
      <c r="F413" s="176" t="str">
        <f>IFERROR(VLOOKUP($A413,EntryList!$A$3:$V$596,18,FALSE),"")</f>
        <v/>
      </c>
      <c r="H413" s="90" t="str">
        <f>IFERROR(VLOOKUP($A413,EntryList!$A$3:$N$596,7,FALSE),"")</f>
        <v/>
      </c>
      <c r="I413" s="54" t="str">
        <f>IFERROR(VLOOKUP($A413,SortedDownload!$A$3:$Z909,4,FALSE),"")</f>
        <v/>
      </c>
      <c r="J413" s="59" t="str">
        <f>IFERROR(VLOOKUP($A413,SortedDownload!$A$3:$BB$499,23,FALSE),"")</f>
        <v/>
      </c>
      <c r="K413" s="59" t="str">
        <f>IFERROR(VLOOKUP($A413,SortedDownload!$A$3:$BB$499,24,FALSE),"")</f>
        <v/>
      </c>
      <c r="L413" s="59" t="str">
        <f>IFERROR(VLOOKUP($A413,SortedDownload!$A$3:$BB$499,25,FALSE),"")</f>
        <v/>
      </c>
      <c r="M413" s="59" t="str">
        <f>IFERROR(VLOOKUP($A413,SortedDownload!$A$3:$BB$499,26,FALSE),"")</f>
        <v/>
      </c>
      <c r="N413" s="59" t="str">
        <f>IFERROR(VLOOKUP($A413,SortedDownload!$A$3:$BB$499,27,FALSE),"")</f>
        <v/>
      </c>
      <c r="O413" s="59" t="str">
        <f>IFERROR(VLOOKUP($A413,SortedDownload!$A$3:$BB$499,28,FALSE),"")</f>
        <v/>
      </c>
      <c r="P413" s="59" t="str">
        <f>IFERROR(VLOOKUP($A413,SortedDownload!$A$3:$BB$499,29,FALSE),"")</f>
        <v/>
      </c>
      <c r="Q413" s="59" t="str">
        <f>IFERROR(VLOOKUP($A413,SortedDownload!$A$3:$BB$499,30,FALSE),"")</f>
        <v/>
      </c>
      <c r="R413" s="62" t="str">
        <f>IFERROR(TEXT(VLOOKUP($A413,SortedDownload!$A$3:$Z$499,14,FALSE),"[hh]:mm:ss.000"),"")</f>
        <v/>
      </c>
      <c r="S413" s="83" t="str">
        <f t="shared" si="20"/>
        <v>N/A</v>
      </c>
      <c r="T413" s="83" t="e">
        <f t="shared" si="18"/>
        <v>#VALUE!</v>
      </c>
      <c r="U413" s="9" t="str">
        <f t="shared" si="19"/>
        <v/>
      </c>
      <c r="V413" s="20" t="str">
        <f>IFERROR(IF(VLOOKUP(H413,AgeCategories!$D$3:$J$32,7,FALSE)=I413,"","DNF"),"")</f>
        <v/>
      </c>
    </row>
    <row r="414" spans="1:22">
      <c r="A414" s="53" t="str">
        <f>IF(SortedDownload!A414 &lt; 1,"",SortedDownload!A414)</f>
        <v/>
      </c>
      <c r="B414" s="55">
        <f>IF(V414&lt;&gt;"","DNF",COUNTIF($V$3:V414,V414))</f>
        <v>379</v>
      </c>
      <c r="C414" s="54" t="str">
        <f>IF(OR(B414="DNF",H414=""),"DNF",COUNTIF($H$3:H414,H414))</f>
        <v>DNF</v>
      </c>
      <c r="D414" s="90" t="str">
        <f>IFERROR(VLOOKUP($A414,EntryList!$A$3:$N$596,2,FALSE),"")</f>
        <v/>
      </c>
      <c r="E414" s="54" t="str">
        <f>IFERROR(VLOOKUP($A414,EntryList!$A$3:$V$596,19,FALSE),"")</f>
        <v/>
      </c>
      <c r="F414" s="176" t="str">
        <f>IFERROR(VLOOKUP($A414,EntryList!$A$3:$V$596,18,FALSE),"")</f>
        <v/>
      </c>
      <c r="H414" s="90" t="str">
        <f>IFERROR(VLOOKUP($A414,EntryList!$A$3:$N$596,7,FALSE),"")</f>
        <v/>
      </c>
      <c r="I414" s="54" t="str">
        <f>IFERROR(VLOOKUP($A414,SortedDownload!$A$3:$Z910,4,FALSE),"")</f>
        <v/>
      </c>
      <c r="J414" s="59" t="str">
        <f>IFERROR(VLOOKUP($A414,SortedDownload!$A$3:$BB$499,23,FALSE),"")</f>
        <v/>
      </c>
      <c r="K414" s="59" t="str">
        <f>IFERROR(VLOOKUP($A414,SortedDownload!$A$3:$BB$499,24,FALSE),"")</f>
        <v/>
      </c>
      <c r="L414" s="59" t="str">
        <f>IFERROR(VLOOKUP($A414,SortedDownload!$A$3:$BB$499,25,FALSE),"")</f>
        <v/>
      </c>
      <c r="M414" s="59" t="str">
        <f>IFERROR(VLOOKUP($A414,SortedDownload!$A$3:$BB$499,26,FALSE),"")</f>
        <v/>
      </c>
      <c r="N414" s="59" t="str">
        <f>IFERROR(VLOOKUP($A414,SortedDownload!$A$3:$BB$499,27,FALSE),"")</f>
        <v/>
      </c>
      <c r="O414" s="59" t="str">
        <f>IFERROR(VLOOKUP($A414,SortedDownload!$A$3:$BB$499,28,FALSE),"")</f>
        <v/>
      </c>
      <c r="P414" s="59" t="str">
        <f>IFERROR(VLOOKUP($A414,SortedDownload!$A$3:$BB$499,29,FALSE),"")</f>
        <v/>
      </c>
      <c r="Q414" s="59" t="str">
        <f>IFERROR(VLOOKUP($A414,SortedDownload!$A$3:$BB$499,30,FALSE),"")</f>
        <v/>
      </c>
      <c r="R414" s="62" t="str">
        <f>IFERROR(TEXT(VLOOKUP($A414,SortedDownload!$A$3:$Z$499,14,FALSE),"[hh]:mm:ss.000"),"")</f>
        <v/>
      </c>
      <c r="S414" s="83" t="str">
        <f t="shared" si="20"/>
        <v>N/A</v>
      </c>
      <c r="T414" s="83" t="e">
        <f t="shared" si="18"/>
        <v>#VALUE!</v>
      </c>
      <c r="U414" s="9" t="str">
        <f t="shared" si="19"/>
        <v/>
      </c>
      <c r="V414" s="20" t="str">
        <f>IFERROR(IF(VLOOKUP(H414,AgeCategories!$D$3:$J$32,7,FALSE)=I414,"","DNF"),"")</f>
        <v/>
      </c>
    </row>
    <row r="415" spans="1:22">
      <c r="A415" s="53" t="str">
        <f>IF(SortedDownload!A415 &lt; 1,"",SortedDownload!A415)</f>
        <v/>
      </c>
      <c r="B415" s="55">
        <f>IF(V415&lt;&gt;"","DNF",COUNTIF($V$3:V415,V415))</f>
        <v>380</v>
      </c>
      <c r="C415" s="54" t="str">
        <f>IF(OR(B415="DNF",H415=""),"DNF",COUNTIF($H$3:H415,H415))</f>
        <v>DNF</v>
      </c>
      <c r="D415" s="90" t="str">
        <f>IFERROR(VLOOKUP($A415,EntryList!$A$3:$N$596,2,FALSE),"")</f>
        <v/>
      </c>
      <c r="E415" s="54" t="str">
        <f>IFERROR(VLOOKUP($A415,EntryList!$A$3:$V$596,19,FALSE),"")</f>
        <v/>
      </c>
      <c r="F415" s="176" t="str">
        <f>IFERROR(VLOOKUP($A415,EntryList!$A$3:$V$596,18,FALSE),"")</f>
        <v/>
      </c>
      <c r="H415" s="90" t="str">
        <f>IFERROR(VLOOKUP($A415,EntryList!$A$3:$N$596,7,FALSE),"")</f>
        <v/>
      </c>
      <c r="I415" s="54" t="str">
        <f>IFERROR(VLOOKUP($A415,SortedDownload!$A$3:$Z911,4,FALSE),"")</f>
        <v/>
      </c>
      <c r="J415" s="59" t="str">
        <f>IFERROR(VLOOKUP($A415,SortedDownload!$A$3:$BB$499,23,FALSE),"")</f>
        <v/>
      </c>
      <c r="K415" s="59" t="str">
        <f>IFERROR(VLOOKUP($A415,SortedDownload!$A$3:$BB$499,24,FALSE),"")</f>
        <v/>
      </c>
      <c r="L415" s="59" t="str">
        <f>IFERROR(VLOOKUP($A415,SortedDownload!$A$3:$BB$499,25,FALSE),"")</f>
        <v/>
      </c>
      <c r="M415" s="59" t="str">
        <f>IFERROR(VLOOKUP($A415,SortedDownload!$A$3:$BB$499,26,FALSE),"")</f>
        <v/>
      </c>
      <c r="N415" s="59" t="str">
        <f>IFERROR(VLOOKUP($A415,SortedDownload!$A$3:$BB$499,27,FALSE),"")</f>
        <v/>
      </c>
      <c r="O415" s="59" t="str">
        <f>IFERROR(VLOOKUP($A415,SortedDownload!$A$3:$BB$499,28,FALSE),"")</f>
        <v/>
      </c>
      <c r="P415" s="59" t="str">
        <f>IFERROR(VLOOKUP($A415,SortedDownload!$A$3:$BB$499,29,FALSE),"")</f>
        <v/>
      </c>
      <c r="Q415" s="59" t="str">
        <f>IFERROR(VLOOKUP($A415,SortedDownload!$A$3:$BB$499,30,FALSE),"")</f>
        <v/>
      </c>
      <c r="R415" s="62" t="str">
        <f>IFERROR(TEXT(VLOOKUP($A415,SortedDownload!$A$3:$Z$499,14,FALSE),"[hh]:mm:ss.000"),"")</f>
        <v/>
      </c>
      <c r="S415" s="83" t="str">
        <f t="shared" si="20"/>
        <v>N/A</v>
      </c>
      <c r="T415" s="83" t="e">
        <f t="shared" si="18"/>
        <v>#VALUE!</v>
      </c>
      <c r="U415" s="9" t="str">
        <f t="shared" si="19"/>
        <v/>
      </c>
      <c r="V415" s="20" t="str">
        <f>IFERROR(IF(VLOOKUP(H415,AgeCategories!$D$3:$J$32,7,FALSE)=I415,"","DNF"),"")</f>
        <v/>
      </c>
    </row>
    <row r="416" spans="1:22">
      <c r="A416" s="53" t="str">
        <f>IF(SortedDownload!A416 &lt; 1,"",SortedDownload!A416)</f>
        <v/>
      </c>
      <c r="B416" s="55">
        <f>IF(V416&lt;&gt;"","DNF",COUNTIF($V$3:V416,V416))</f>
        <v>381</v>
      </c>
      <c r="C416" s="54" t="str">
        <f>IF(OR(B416="DNF",H416=""),"DNF",COUNTIF($H$3:H416,H416))</f>
        <v>DNF</v>
      </c>
      <c r="D416" s="90" t="str">
        <f>IFERROR(VLOOKUP($A416,EntryList!$A$3:$N$596,2,FALSE),"")</f>
        <v/>
      </c>
      <c r="E416" s="54" t="str">
        <f>IFERROR(VLOOKUP($A416,EntryList!$A$3:$V$596,19,FALSE),"")</f>
        <v/>
      </c>
      <c r="F416" s="176" t="str">
        <f>IFERROR(VLOOKUP($A416,EntryList!$A$3:$V$596,18,FALSE),"")</f>
        <v/>
      </c>
      <c r="H416" s="90" t="str">
        <f>IFERROR(VLOOKUP($A416,EntryList!$A$3:$N$596,7,FALSE),"")</f>
        <v/>
      </c>
      <c r="I416" s="54" t="str">
        <f>IFERROR(VLOOKUP($A416,SortedDownload!$A$3:$Z912,4,FALSE),"")</f>
        <v/>
      </c>
      <c r="J416" s="59" t="str">
        <f>IFERROR(VLOOKUP($A416,SortedDownload!$A$3:$BB$499,23,FALSE),"")</f>
        <v/>
      </c>
      <c r="K416" s="59" t="str">
        <f>IFERROR(VLOOKUP($A416,SortedDownload!$A$3:$BB$499,24,FALSE),"")</f>
        <v/>
      </c>
      <c r="L416" s="59" t="str">
        <f>IFERROR(VLOOKUP($A416,SortedDownload!$A$3:$BB$499,25,FALSE),"")</f>
        <v/>
      </c>
      <c r="M416" s="59" t="str">
        <f>IFERROR(VLOOKUP($A416,SortedDownload!$A$3:$BB$499,26,FALSE),"")</f>
        <v/>
      </c>
      <c r="N416" s="59" t="str">
        <f>IFERROR(VLOOKUP($A416,SortedDownload!$A$3:$BB$499,27,FALSE),"")</f>
        <v/>
      </c>
      <c r="O416" s="59" t="str">
        <f>IFERROR(VLOOKUP($A416,SortedDownload!$A$3:$BB$499,28,FALSE),"")</f>
        <v/>
      </c>
      <c r="P416" s="59" t="str">
        <f>IFERROR(VLOOKUP($A416,SortedDownload!$A$3:$BB$499,29,FALSE),"")</f>
        <v/>
      </c>
      <c r="Q416" s="59" t="str">
        <f>IFERROR(VLOOKUP($A416,SortedDownload!$A$3:$BB$499,30,FALSE),"")</f>
        <v/>
      </c>
      <c r="R416" s="62" t="str">
        <f>IFERROR(TEXT(VLOOKUP($A416,SortedDownload!$A$3:$Z$499,14,FALSE),"[hh]:mm:ss.000"),"")</f>
        <v/>
      </c>
      <c r="S416" s="83" t="str">
        <f t="shared" si="20"/>
        <v>N/A</v>
      </c>
      <c r="T416" s="83" t="e">
        <f t="shared" si="18"/>
        <v>#VALUE!</v>
      </c>
      <c r="U416" s="9" t="str">
        <f t="shared" si="19"/>
        <v/>
      </c>
      <c r="V416" s="20" t="str">
        <f>IFERROR(IF(VLOOKUP(H416,AgeCategories!$D$3:$J$32,7,FALSE)=I416,"","DNF"),"")</f>
        <v/>
      </c>
    </row>
    <row r="417" spans="1:22">
      <c r="A417" s="53" t="str">
        <f>IF(SortedDownload!A417 &lt; 1,"",SortedDownload!A417)</f>
        <v/>
      </c>
      <c r="B417" s="55">
        <f>IF(V417&lt;&gt;"","DNF",COUNTIF($V$3:V417,V417))</f>
        <v>382</v>
      </c>
      <c r="C417" s="54" t="str">
        <f>IF(OR(B417="DNF",H417=""),"DNF",COUNTIF($H$3:H417,H417))</f>
        <v>DNF</v>
      </c>
      <c r="D417" s="90" t="str">
        <f>IFERROR(VLOOKUP($A417,EntryList!$A$3:$N$596,2,FALSE),"")</f>
        <v/>
      </c>
      <c r="E417" s="54" t="str">
        <f>IFERROR(VLOOKUP($A417,EntryList!$A$3:$V$596,19,FALSE),"")</f>
        <v/>
      </c>
      <c r="F417" s="176" t="str">
        <f>IFERROR(VLOOKUP($A417,EntryList!$A$3:$V$596,18,FALSE),"")</f>
        <v/>
      </c>
      <c r="H417" s="90" t="str">
        <f>IFERROR(VLOOKUP($A417,EntryList!$A$3:$N$596,7,FALSE),"")</f>
        <v/>
      </c>
      <c r="I417" s="54" t="str">
        <f>IFERROR(VLOOKUP($A417,SortedDownload!$A$3:$Z913,4,FALSE),"")</f>
        <v/>
      </c>
      <c r="J417" s="59" t="str">
        <f>IFERROR(VLOOKUP($A417,SortedDownload!$A$3:$BB$499,23,FALSE),"")</f>
        <v/>
      </c>
      <c r="K417" s="59" t="str">
        <f>IFERROR(VLOOKUP($A417,SortedDownload!$A$3:$BB$499,24,FALSE),"")</f>
        <v/>
      </c>
      <c r="L417" s="59" t="str">
        <f>IFERROR(VLOOKUP($A417,SortedDownload!$A$3:$BB$499,25,FALSE),"")</f>
        <v/>
      </c>
      <c r="M417" s="59" t="str">
        <f>IFERROR(VLOOKUP($A417,SortedDownload!$A$3:$BB$499,26,FALSE),"")</f>
        <v/>
      </c>
      <c r="N417" s="59" t="str">
        <f>IFERROR(VLOOKUP($A417,SortedDownload!$A$3:$BB$499,27,FALSE),"")</f>
        <v/>
      </c>
      <c r="O417" s="59" t="str">
        <f>IFERROR(VLOOKUP($A417,SortedDownload!$A$3:$BB$499,28,FALSE),"")</f>
        <v/>
      </c>
      <c r="P417" s="59" t="str">
        <f>IFERROR(VLOOKUP($A417,SortedDownload!$A$3:$BB$499,29,FALSE),"")</f>
        <v/>
      </c>
      <c r="Q417" s="59" t="str">
        <f>IFERROR(VLOOKUP($A417,SortedDownload!$A$3:$BB$499,30,FALSE),"")</f>
        <v/>
      </c>
      <c r="R417" s="62" t="str">
        <f>IFERROR(TEXT(VLOOKUP($A417,SortedDownload!$A$3:$Z$499,14,FALSE),"[hh]:mm:ss.000"),"")</f>
        <v/>
      </c>
      <c r="S417" s="83" t="str">
        <f t="shared" si="20"/>
        <v>N/A</v>
      </c>
      <c r="T417" s="83" t="e">
        <f t="shared" si="18"/>
        <v>#VALUE!</v>
      </c>
      <c r="U417" s="9" t="str">
        <f t="shared" si="19"/>
        <v/>
      </c>
      <c r="V417" s="20" t="str">
        <f>IFERROR(IF(VLOOKUP(H417,AgeCategories!$D$3:$J$32,7,FALSE)=I417,"","DNF"),"")</f>
        <v/>
      </c>
    </row>
    <row r="418" spans="1:22">
      <c r="A418" s="53" t="str">
        <f>IF(SortedDownload!A418 &lt; 1,"",SortedDownload!A418)</f>
        <v/>
      </c>
      <c r="B418" s="55">
        <f>IF(V418&lt;&gt;"","DNF",COUNTIF($V$3:V418,V418))</f>
        <v>383</v>
      </c>
      <c r="C418" s="54" t="str">
        <f>IF(OR(B418="DNF",H418=""),"DNF",COUNTIF($H$3:H418,H418))</f>
        <v>DNF</v>
      </c>
      <c r="D418" s="90" t="str">
        <f>IFERROR(VLOOKUP($A418,EntryList!$A$3:$N$596,2,FALSE),"")</f>
        <v/>
      </c>
      <c r="E418" s="54" t="str">
        <f>IFERROR(VLOOKUP($A418,EntryList!$A$3:$V$596,19,FALSE),"")</f>
        <v/>
      </c>
      <c r="F418" s="176" t="str">
        <f>IFERROR(VLOOKUP($A418,EntryList!$A$3:$V$596,18,FALSE),"")</f>
        <v/>
      </c>
      <c r="H418" s="90" t="str">
        <f>IFERROR(VLOOKUP($A418,EntryList!$A$3:$N$596,7,FALSE),"")</f>
        <v/>
      </c>
      <c r="I418" s="54" t="str">
        <f>IFERROR(VLOOKUP($A418,SortedDownload!$A$3:$Z914,4,FALSE),"")</f>
        <v/>
      </c>
      <c r="J418" s="59" t="str">
        <f>IFERROR(VLOOKUP($A418,SortedDownload!$A$3:$BB$499,23,FALSE),"")</f>
        <v/>
      </c>
      <c r="K418" s="59" t="str">
        <f>IFERROR(VLOOKUP($A418,SortedDownload!$A$3:$BB$499,24,FALSE),"")</f>
        <v/>
      </c>
      <c r="L418" s="59" t="str">
        <f>IFERROR(VLOOKUP($A418,SortedDownload!$A$3:$BB$499,25,FALSE),"")</f>
        <v/>
      </c>
      <c r="M418" s="59" t="str">
        <f>IFERROR(VLOOKUP($A418,SortedDownload!$A$3:$BB$499,26,FALSE),"")</f>
        <v/>
      </c>
      <c r="N418" s="59" t="str">
        <f>IFERROR(VLOOKUP($A418,SortedDownload!$A$3:$BB$499,27,FALSE),"")</f>
        <v/>
      </c>
      <c r="O418" s="59" t="str">
        <f>IFERROR(VLOOKUP($A418,SortedDownload!$A$3:$BB$499,28,FALSE),"")</f>
        <v/>
      </c>
      <c r="P418" s="59" t="str">
        <f>IFERROR(VLOOKUP($A418,SortedDownload!$A$3:$BB$499,29,FALSE),"")</f>
        <v/>
      </c>
      <c r="Q418" s="59" t="str">
        <f>IFERROR(VLOOKUP($A418,SortedDownload!$A$3:$BB$499,30,FALSE),"")</f>
        <v/>
      </c>
      <c r="R418" s="62" t="str">
        <f>IFERROR(TEXT(VLOOKUP($A418,SortedDownload!$A$3:$Z$499,14,FALSE),"[hh]:mm:ss.000"),"")</f>
        <v/>
      </c>
      <c r="S418" s="83" t="str">
        <f t="shared" si="20"/>
        <v>N/A</v>
      </c>
      <c r="T418" s="83" t="e">
        <f t="shared" si="18"/>
        <v>#VALUE!</v>
      </c>
      <c r="U418" s="9" t="str">
        <f t="shared" si="19"/>
        <v/>
      </c>
      <c r="V418" s="20" t="str">
        <f>IFERROR(IF(VLOOKUP(H418,AgeCategories!$D$3:$J$32,7,FALSE)=I418,"","DNF"),"")</f>
        <v/>
      </c>
    </row>
    <row r="419" spans="1:22">
      <c r="A419" s="53" t="str">
        <f>IF(SortedDownload!A419 &lt; 1,"",SortedDownload!A419)</f>
        <v/>
      </c>
      <c r="B419" s="55">
        <f>IF(V419&lt;&gt;"","DNF",COUNTIF($V$3:V419,V419))</f>
        <v>384</v>
      </c>
      <c r="C419" s="54" t="str">
        <f>IF(OR(B419="DNF",H419=""),"DNF",COUNTIF($H$3:H419,H419))</f>
        <v>DNF</v>
      </c>
      <c r="D419" s="90" t="str">
        <f>IFERROR(VLOOKUP($A419,EntryList!$A$3:$N$596,2,FALSE),"")</f>
        <v/>
      </c>
      <c r="E419" s="54" t="str">
        <f>IFERROR(VLOOKUP($A419,EntryList!$A$3:$V$596,19,FALSE),"")</f>
        <v/>
      </c>
      <c r="F419" s="176" t="str">
        <f>IFERROR(VLOOKUP($A419,EntryList!$A$3:$V$596,18,FALSE),"")</f>
        <v/>
      </c>
      <c r="H419" s="90" t="str">
        <f>IFERROR(VLOOKUP($A419,EntryList!$A$3:$N$596,7,FALSE),"")</f>
        <v/>
      </c>
      <c r="I419" s="54" t="str">
        <f>IFERROR(VLOOKUP($A419,SortedDownload!$A$3:$Z915,4,FALSE),"")</f>
        <v/>
      </c>
      <c r="J419" s="59" t="str">
        <f>IFERROR(VLOOKUP($A419,SortedDownload!$A$3:$BB$499,23,FALSE),"")</f>
        <v/>
      </c>
      <c r="K419" s="59" t="str">
        <f>IFERROR(VLOOKUP($A419,SortedDownload!$A$3:$BB$499,24,FALSE),"")</f>
        <v/>
      </c>
      <c r="L419" s="59" t="str">
        <f>IFERROR(VLOOKUP($A419,SortedDownload!$A$3:$BB$499,25,FALSE),"")</f>
        <v/>
      </c>
      <c r="M419" s="59" t="str">
        <f>IFERROR(VLOOKUP($A419,SortedDownload!$A$3:$BB$499,26,FALSE),"")</f>
        <v/>
      </c>
      <c r="N419" s="59" t="str">
        <f>IFERROR(VLOOKUP($A419,SortedDownload!$A$3:$BB$499,27,FALSE),"")</f>
        <v/>
      </c>
      <c r="O419" s="59" t="str">
        <f>IFERROR(VLOOKUP($A419,SortedDownload!$A$3:$BB$499,28,FALSE),"")</f>
        <v/>
      </c>
      <c r="P419" s="59" t="str">
        <f>IFERROR(VLOOKUP($A419,SortedDownload!$A$3:$BB$499,29,FALSE),"")</f>
        <v/>
      </c>
      <c r="Q419" s="59" t="str">
        <f>IFERROR(VLOOKUP($A419,SortedDownload!$A$3:$BB$499,30,FALSE),"")</f>
        <v/>
      </c>
      <c r="R419" s="62" t="str">
        <f>IFERROR(TEXT(VLOOKUP($A419,SortedDownload!$A$3:$Z$499,14,FALSE),"[hh]:mm:ss.000"),"")</f>
        <v/>
      </c>
      <c r="S419" s="83" t="str">
        <f t="shared" si="20"/>
        <v>N/A</v>
      </c>
      <c r="T419" s="83" t="e">
        <f t="shared" si="18"/>
        <v>#VALUE!</v>
      </c>
      <c r="U419" s="9" t="str">
        <f t="shared" si="19"/>
        <v/>
      </c>
      <c r="V419" s="20" t="str">
        <f>IFERROR(IF(VLOOKUP(H419,AgeCategories!$D$3:$J$32,7,FALSE)=I419,"","DNF"),"")</f>
        <v/>
      </c>
    </row>
    <row r="420" spans="1:22">
      <c r="A420" s="53" t="str">
        <f>IF(SortedDownload!A420 &lt; 1,"",SortedDownload!A420)</f>
        <v/>
      </c>
      <c r="B420" s="55">
        <f>IF(V420&lt;&gt;"","DNF",COUNTIF($V$3:V420,V420))</f>
        <v>385</v>
      </c>
      <c r="C420" s="54" t="str">
        <f>IF(OR(B420="DNF",H420=""),"DNF",COUNTIF($H$3:H420,H420))</f>
        <v>DNF</v>
      </c>
      <c r="D420" s="90" t="str">
        <f>IFERROR(VLOOKUP($A420,EntryList!$A$3:$N$596,2,FALSE),"")</f>
        <v/>
      </c>
      <c r="E420" s="54" t="str">
        <f>IFERROR(VLOOKUP($A420,EntryList!$A$3:$V$596,19,FALSE),"")</f>
        <v/>
      </c>
      <c r="F420" s="176" t="str">
        <f>IFERROR(VLOOKUP($A420,EntryList!$A$3:$V$596,18,FALSE),"")</f>
        <v/>
      </c>
      <c r="H420" s="90" t="str">
        <f>IFERROR(VLOOKUP($A420,EntryList!$A$3:$N$596,7,FALSE),"")</f>
        <v/>
      </c>
      <c r="I420" s="54" t="str">
        <f>IFERROR(VLOOKUP($A420,SortedDownload!$A$3:$Z916,4,FALSE),"")</f>
        <v/>
      </c>
      <c r="J420" s="59" t="str">
        <f>IFERROR(VLOOKUP($A420,SortedDownload!$A$3:$BB$499,23,FALSE),"")</f>
        <v/>
      </c>
      <c r="K420" s="59" t="str">
        <f>IFERROR(VLOOKUP($A420,SortedDownload!$A$3:$BB$499,24,FALSE),"")</f>
        <v/>
      </c>
      <c r="L420" s="59" t="str">
        <f>IFERROR(VLOOKUP($A420,SortedDownload!$A$3:$BB$499,25,FALSE),"")</f>
        <v/>
      </c>
      <c r="M420" s="59" t="str">
        <f>IFERROR(VLOOKUP($A420,SortedDownload!$A$3:$BB$499,26,FALSE),"")</f>
        <v/>
      </c>
      <c r="N420" s="59" t="str">
        <f>IFERROR(VLOOKUP($A420,SortedDownload!$A$3:$BB$499,27,FALSE),"")</f>
        <v/>
      </c>
      <c r="O420" s="59" t="str">
        <f>IFERROR(VLOOKUP($A420,SortedDownload!$A$3:$BB$499,28,FALSE),"")</f>
        <v/>
      </c>
      <c r="P420" s="59" t="str">
        <f>IFERROR(VLOOKUP($A420,SortedDownload!$A$3:$BB$499,29,FALSE),"")</f>
        <v/>
      </c>
      <c r="Q420" s="59" t="str">
        <f>IFERROR(VLOOKUP($A420,SortedDownload!$A$3:$BB$499,30,FALSE),"")</f>
        <v/>
      </c>
      <c r="R420" s="62" t="str">
        <f>IFERROR(TEXT(VLOOKUP($A420,SortedDownload!$A$3:$Z$499,14,FALSE),"[hh]:mm:ss.000"),"")</f>
        <v/>
      </c>
      <c r="S420" s="83" t="str">
        <f t="shared" si="20"/>
        <v>N/A</v>
      </c>
      <c r="T420" s="83" t="e">
        <f t="shared" si="18"/>
        <v>#VALUE!</v>
      </c>
      <c r="U420" s="9" t="str">
        <f t="shared" si="19"/>
        <v/>
      </c>
      <c r="V420" s="20" t="str">
        <f>IFERROR(IF(VLOOKUP(H420,AgeCategories!$D$3:$J$32,7,FALSE)=I420,"","DNF"),"")</f>
        <v/>
      </c>
    </row>
    <row r="421" spans="1:22">
      <c r="A421" s="53" t="str">
        <f>IF(SortedDownload!A421 &lt; 1,"",SortedDownload!A421)</f>
        <v/>
      </c>
      <c r="B421" s="55">
        <f>IF(V421&lt;&gt;"","DNF",COUNTIF($V$3:V421,V421))</f>
        <v>386</v>
      </c>
      <c r="C421" s="54" t="str">
        <f>IF(OR(B421="DNF",H421=""),"DNF",COUNTIF($H$3:H421,H421))</f>
        <v>DNF</v>
      </c>
      <c r="D421" s="90" t="str">
        <f>IFERROR(VLOOKUP($A421,EntryList!$A$3:$N$596,2,FALSE),"")</f>
        <v/>
      </c>
      <c r="E421" s="54" t="str">
        <f>IFERROR(VLOOKUP($A421,EntryList!$A$3:$V$596,19,FALSE),"")</f>
        <v/>
      </c>
      <c r="F421" s="176" t="str">
        <f>IFERROR(VLOOKUP($A421,EntryList!$A$3:$V$596,18,FALSE),"")</f>
        <v/>
      </c>
      <c r="H421" s="90" t="str">
        <f>IFERROR(VLOOKUP($A421,EntryList!$A$3:$N$596,7,FALSE),"")</f>
        <v/>
      </c>
      <c r="I421" s="54" t="str">
        <f>IFERROR(VLOOKUP($A421,SortedDownload!$A$3:$Z917,4,FALSE),"")</f>
        <v/>
      </c>
      <c r="J421" s="59" t="str">
        <f>IFERROR(VLOOKUP($A421,SortedDownload!$A$3:$BB$499,23,FALSE),"")</f>
        <v/>
      </c>
      <c r="K421" s="59" t="str">
        <f>IFERROR(VLOOKUP($A421,SortedDownload!$A$3:$BB$499,24,FALSE),"")</f>
        <v/>
      </c>
      <c r="L421" s="59" t="str">
        <f>IFERROR(VLOOKUP($A421,SortedDownload!$A$3:$BB$499,25,FALSE),"")</f>
        <v/>
      </c>
      <c r="M421" s="59" t="str">
        <f>IFERROR(VLOOKUP($A421,SortedDownload!$A$3:$BB$499,26,FALSE),"")</f>
        <v/>
      </c>
      <c r="N421" s="59" t="str">
        <f>IFERROR(VLOOKUP($A421,SortedDownload!$A$3:$BB$499,27,FALSE),"")</f>
        <v/>
      </c>
      <c r="O421" s="59" t="str">
        <f>IFERROR(VLOOKUP($A421,SortedDownload!$A$3:$BB$499,28,FALSE),"")</f>
        <v/>
      </c>
      <c r="P421" s="59" t="str">
        <f>IFERROR(VLOOKUP($A421,SortedDownload!$A$3:$BB$499,29,FALSE),"")</f>
        <v/>
      </c>
      <c r="Q421" s="59" t="str">
        <f>IFERROR(VLOOKUP($A421,SortedDownload!$A$3:$BB$499,30,FALSE),"")</f>
        <v/>
      </c>
      <c r="R421" s="62" t="str">
        <f>IFERROR(TEXT(VLOOKUP($A421,SortedDownload!$A$3:$Z$499,14,FALSE),"[hh]:mm:ss.000"),"")</f>
        <v/>
      </c>
      <c r="S421" s="83" t="str">
        <f t="shared" si="20"/>
        <v>N/A</v>
      </c>
      <c r="T421" s="83" t="e">
        <f t="shared" si="18"/>
        <v>#VALUE!</v>
      </c>
      <c r="U421" s="9" t="str">
        <f t="shared" si="19"/>
        <v/>
      </c>
      <c r="V421" s="20" t="str">
        <f>IFERROR(IF(VLOOKUP(H421,AgeCategories!$D$3:$J$32,7,FALSE)=I421,"","DNF"),"")</f>
        <v/>
      </c>
    </row>
    <row r="422" spans="1:22">
      <c r="A422" s="53" t="str">
        <f>IF(SortedDownload!A422 &lt; 1,"",SortedDownload!A422)</f>
        <v/>
      </c>
      <c r="B422" s="55">
        <f>IF(V422&lt;&gt;"","DNF",COUNTIF($V$3:V422,V422))</f>
        <v>387</v>
      </c>
      <c r="C422" s="54" t="str">
        <f>IF(OR(B422="DNF",H422=""),"DNF",COUNTIF($H$3:H422,H422))</f>
        <v>DNF</v>
      </c>
      <c r="D422" s="90" t="str">
        <f>IFERROR(VLOOKUP($A422,EntryList!$A$3:$N$596,2,FALSE),"")</f>
        <v/>
      </c>
      <c r="E422" s="54" t="str">
        <f>IFERROR(VLOOKUP($A422,EntryList!$A$3:$V$596,19,FALSE),"")</f>
        <v/>
      </c>
      <c r="F422" s="176" t="str">
        <f>IFERROR(VLOOKUP($A422,EntryList!$A$3:$V$596,18,FALSE),"")</f>
        <v/>
      </c>
      <c r="H422" s="90" t="str">
        <f>IFERROR(VLOOKUP($A422,EntryList!$A$3:$N$596,7,FALSE),"")</f>
        <v/>
      </c>
      <c r="I422" s="54" t="str">
        <f>IFERROR(VLOOKUP($A422,SortedDownload!$A$3:$Z918,4,FALSE),"")</f>
        <v/>
      </c>
      <c r="J422" s="59" t="str">
        <f>IFERROR(VLOOKUP($A422,SortedDownload!$A$3:$BB$499,23,FALSE),"")</f>
        <v/>
      </c>
      <c r="K422" s="59" t="str">
        <f>IFERROR(VLOOKUP($A422,SortedDownload!$A$3:$BB$499,24,FALSE),"")</f>
        <v/>
      </c>
      <c r="L422" s="59" t="str">
        <f>IFERROR(VLOOKUP($A422,SortedDownload!$A$3:$BB$499,25,FALSE),"")</f>
        <v/>
      </c>
      <c r="M422" s="59" t="str">
        <f>IFERROR(VLOOKUP($A422,SortedDownload!$A$3:$BB$499,26,FALSE),"")</f>
        <v/>
      </c>
      <c r="N422" s="59" t="str">
        <f>IFERROR(VLOOKUP($A422,SortedDownload!$A$3:$BB$499,27,FALSE),"")</f>
        <v/>
      </c>
      <c r="O422" s="59" t="str">
        <f>IFERROR(VLOOKUP($A422,SortedDownload!$A$3:$BB$499,28,FALSE),"")</f>
        <v/>
      </c>
      <c r="P422" s="59" t="str">
        <f>IFERROR(VLOOKUP($A422,SortedDownload!$A$3:$BB$499,29,FALSE),"")</f>
        <v/>
      </c>
      <c r="Q422" s="59" t="str">
        <f>IFERROR(VLOOKUP($A422,SortedDownload!$A$3:$BB$499,30,FALSE),"")</f>
        <v/>
      </c>
      <c r="R422" s="62" t="str">
        <f>IFERROR(TEXT(VLOOKUP($A422,SortedDownload!$A$3:$Z$499,14,FALSE),"[hh]:mm:ss.000"),"")</f>
        <v/>
      </c>
      <c r="S422" s="83" t="str">
        <f t="shared" si="20"/>
        <v>N/A</v>
      </c>
      <c r="T422" s="83" t="e">
        <f t="shared" si="18"/>
        <v>#VALUE!</v>
      </c>
      <c r="U422" s="9" t="str">
        <f t="shared" si="19"/>
        <v/>
      </c>
      <c r="V422" s="20" t="str">
        <f>IFERROR(IF(VLOOKUP(H422,AgeCategories!$D$3:$J$32,7,FALSE)=I422,"","DNF"),"")</f>
        <v/>
      </c>
    </row>
    <row r="423" spans="1:22">
      <c r="A423" s="53" t="str">
        <f>IF(SortedDownload!A423 &lt; 1,"",SortedDownload!A423)</f>
        <v/>
      </c>
      <c r="B423" s="55">
        <f>IF(V423&lt;&gt;"","DNF",COUNTIF($V$3:V423,V423))</f>
        <v>388</v>
      </c>
      <c r="C423" s="54" t="str">
        <f>IF(OR(B423="DNF",H423=""),"DNF",COUNTIF($H$3:H423,H423))</f>
        <v>DNF</v>
      </c>
      <c r="D423" s="90" t="str">
        <f>IFERROR(VLOOKUP($A423,EntryList!$A$3:$N$596,2,FALSE),"")</f>
        <v/>
      </c>
      <c r="E423" s="54" t="str">
        <f>IFERROR(VLOOKUP($A423,EntryList!$A$3:$V$596,19,FALSE),"")</f>
        <v/>
      </c>
      <c r="F423" s="176" t="str">
        <f>IFERROR(VLOOKUP($A423,EntryList!$A$3:$V$596,18,FALSE),"")</f>
        <v/>
      </c>
      <c r="H423" s="90" t="str">
        <f>IFERROR(VLOOKUP($A423,EntryList!$A$3:$N$596,7,FALSE),"")</f>
        <v/>
      </c>
      <c r="I423" s="54" t="str">
        <f>IFERROR(VLOOKUP($A423,SortedDownload!$A$3:$Z919,4,FALSE),"")</f>
        <v/>
      </c>
      <c r="J423" s="59" t="str">
        <f>IFERROR(VLOOKUP($A423,SortedDownload!$A$3:$BB$499,23,FALSE),"")</f>
        <v/>
      </c>
      <c r="K423" s="59" t="str">
        <f>IFERROR(VLOOKUP($A423,SortedDownload!$A$3:$BB$499,24,FALSE),"")</f>
        <v/>
      </c>
      <c r="L423" s="59" t="str">
        <f>IFERROR(VLOOKUP($A423,SortedDownload!$A$3:$BB$499,25,FALSE),"")</f>
        <v/>
      </c>
      <c r="M423" s="59" t="str">
        <f>IFERROR(VLOOKUP($A423,SortedDownload!$A$3:$BB$499,26,FALSE),"")</f>
        <v/>
      </c>
      <c r="N423" s="59" t="str">
        <f>IFERROR(VLOOKUP($A423,SortedDownload!$A$3:$BB$499,27,FALSE),"")</f>
        <v/>
      </c>
      <c r="O423" s="59" t="str">
        <f>IFERROR(VLOOKUP($A423,SortedDownload!$A$3:$BB$499,28,FALSE),"")</f>
        <v/>
      </c>
      <c r="P423" s="59" t="str">
        <f>IFERROR(VLOOKUP($A423,SortedDownload!$A$3:$BB$499,29,FALSE),"")</f>
        <v/>
      </c>
      <c r="Q423" s="59" t="str">
        <f>IFERROR(VLOOKUP($A423,SortedDownload!$A$3:$BB$499,30,FALSE),"")</f>
        <v/>
      </c>
      <c r="R423" s="62" t="str">
        <f>IFERROR(TEXT(VLOOKUP($A423,SortedDownload!$A$3:$Z$499,14,FALSE),"[hh]:mm:ss.000"),"")</f>
        <v/>
      </c>
      <c r="S423" s="83" t="str">
        <f t="shared" si="20"/>
        <v>N/A</v>
      </c>
      <c r="T423" s="83" t="e">
        <f t="shared" si="18"/>
        <v>#VALUE!</v>
      </c>
      <c r="U423" s="9" t="str">
        <f t="shared" si="19"/>
        <v/>
      </c>
      <c r="V423" s="20" t="str">
        <f>IFERROR(IF(VLOOKUP(H423,AgeCategories!$D$3:$J$32,7,FALSE)=I423,"","DNF"),"")</f>
        <v/>
      </c>
    </row>
    <row r="424" spans="1:22">
      <c r="A424" s="53" t="str">
        <f>IF(SortedDownload!A424 &lt; 1,"",SortedDownload!A424)</f>
        <v/>
      </c>
      <c r="B424" s="55">
        <f>IF(V424&lt;&gt;"","DNF",COUNTIF($V$3:V424,V424))</f>
        <v>389</v>
      </c>
      <c r="C424" s="54" t="str">
        <f>IF(OR(B424="DNF",H424=""),"DNF",COUNTIF($H$3:H424,H424))</f>
        <v>DNF</v>
      </c>
      <c r="D424" s="90" t="str">
        <f>IFERROR(VLOOKUP($A424,EntryList!$A$3:$N$596,2,FALSE),"")</f>
        <v/>
      </c>
      <c r="E424" s="54" t="str">
        <f>IFERROR(VLOOKUP($A424,EntryList!$A$3:$V$596,19,FALSE),"")</f>
        <v/>
      </c>
      <c r="F424" s="176" t="str">
        <f>IFERROR(VLOOKUP($A424,EntryList!$A$3:$V$596,18,FALSE),"")</f>
        <v/>
      </c>
      <c r="H424" s="90" t="str">
        <f>IFERROR(VLOOKUP($A424,EntryList!$A$3:$N$596,7,FALSE),"")</f>
        <v/>
      </c>
      <c r="I424" s="54" t="str">
        <f>IFERROR(VLOOKUP($A424,SortedDownload!$A$3:$Z920,4,FALSE),"")</f>
        <v/>
      </c>
      <c r="J424" s="59" t="str">
        <f>IFERROR(VLOOKUP($A424,SortedDownload!$A$3:$BB$499,23,FALSE),"")</f>
        <v/>
      </c>
      <c r="K424" s="59" t="str">
        <f>IFERROR(VLOOKUP($A424,SortedDownload!$A$3:$BB$499,24,FALSE),"")</f>
        <v/>
      </c>
      <c r="L424" s="59" t="str">
        <f>IFERROR(VLOOKUP($A424,SortedDownload!$A$3:$BB$499,25,FALSE),"")</f>
        <v/>
      </c>
      <c r="M424" s="59" t="str">
        <f>IFERROR(VLOOKUP($A424,SortedDownload!$A$3:$BB$499,26,FALSE),"")</f>
        <v/>
      </c>
      <c r="N424" s="59" t="str">
        <f>IFERROR(VLOOKUP($A424,SortedDownload!$A$3:$BB$499,27,FALSE),"")</f>
        <v/>
      </c>
      <c r="O424" s="59" t="str">
        <f>IFERROR(VLOOKUP($A424,SortedDownload!$A$3:$BB$499,28,FALSE),"")</f>
        <v/>
      </c>
      <c r="P424" s="59" t="str">
        <f>IFERROR(VLOOKUP($A424,SortedDownload!$A$3:$BB$499,29,FALSE),"")</f>
        <v/>
      </c>
      <c r="Q424" s="59" t="str">
        <f>IFERROR(VLOOKUP($A424,SortedDownload!$A$3:$BB$499,30,FALSE),"")</f>
        <v/>
      </c>
      <c r="R424" s="62" t="str">
        <f>IFERROR(TEXT(VLOOKUP($A424,SortedDownload!$A$3:$Z$499,14,FALSE),"[hh]:mm:ss.000"),"")</f>
        <v/>
      </c>
      <c r="S424" s="83" t="str">
        <f t="shared" si="20"/>
        <v>N/A</v>
      </c>
      <c r="T424" s="83" t="e">
        <f t="shared" si="18"/>
        <v>#VALUE!</v>
      </c>
      <c r="U424" s="9" t="str">
        <f t="shared" si="19"/>
        <v/>
      </c>
      <c r="V424" s="20" t="str">
        <f>IFERROR(IF(VLOOKUP(H424,AgeCategories!$D$3:$J$32,7,FALSE)=I424,"","DNF"),"")</f>
        <v/>
      </c>
    </row>
    <row r="425" spans="1:22">
      <c r="A425" s="53" t="str">
        <f>IF(SortedDownload!A425 &lt; 1,"",SortedDownload!A425)</f>
        <v/>
      </c>
      <c r="B425" s="55">
        <f>IF(V425&lt;&gt;"","DNF",COUNTIF($V$3:V425,V425))</f>
        <v>390</v>
      </c>
      <c r="C425" s="54" t="str">
        <f>IF(OR(B425="DNF",H425=""),"DNF",COUNTIF($H$3:H425,H425))</f>
        <v>DNF</v>
      </c>
      <c r="D425" s="90" t="str">
        <f>IFERROR(VLOOKUP($A425,EntryList!$A$3:$N$596,2,FALSE),"")</f>
        <v/>
      </c>
      <c r="E425" s="54" t="str">
        <f>IFERROR(VLOOKUP($A425,EntryList!$A$3:$V$596,19,FALSE),"")</f>
        <v/>
      </c>
      <c r="F425" s="176" t="str">
        <f>IFERROR(VLOOKUP($A425,EntryList!$A$3:$V$596,18,FALSE),"")</f>
        <v/>
      </c>
      <c r="H425" s="90" t="str">
        <f>IFERROR(VLOOKUP($A425,EntryList!$A$3:$N$596,7,FALSE),"")</f>
        <v/>
      </c>
      <c r="I425" s="54" t="str">
        <f>IFERROR(VLOOKUP($A425,SortedDownload!$A$3:$Z921,4,FALSE),"")</f>
        <v/>
      </c>
      <c r="J425" s="59" t="str">
        <f>IFERROR(VLOOKUP($A425,SortedDownload!$A$3:$BB$499,23,FALSE),"")</f>
        <v/>
      </c>
      <c r="K425" s="59" t="str">
        <f>IFERROR(VLOOKUP($A425,SortedDownload!$A$3:$BB$499,24,FALSE),"")</f>
        <v/>
      </c>
      <c r="L425" s="59" t="str">
        <f>IFERROR(VLOOKUP($A425,SortedDownload!$A$3:$BB$499,25,FALSE),"")</f>
        <v/>
      </c>
      <c r="M425" s="59" t="str">
        <f>IFERROR(VLOOKUP($A425,SortedDownload!$A$3:$BB$499,26,FALSE),"")</f>
        <v/>
      </c>
      <c r="N425" s="59" t="str">
        <f>IFERROR(VLOOKUP($A425,SortedDownload!$A$3:$BB$499,27,FALSE),"")</f>
        <v/>
      </c>
      <c r="O425" s="59" t="str">
        <f>IFERROR(VLOOKUP($A425,SortedDownload!$A$3:$BB$499,28,FALSE),"")</f>
        <v/>
      </c>
      <c r="P425" s="59" t="str">
        <f>IFERROR(VLOOKUP($A425,SortedDownload!$A$3:$BB$499,29,FALSE),"")</f>
        <v/>
      </c>
      <c r="Q425" s="59" t="str">
        <f>IFERROR(VLOOKUP($A425,SortedDownload!$A$3:$BB$499,30,FALSE),"")</f>
        <v/>
      </c>
      <c r="R425" s="62" t="str">
        <f>IFERROR(TEXT(VLOOKUP($A425,SortedDownload!$A$3:$Z$499,14,FALSE),"[hh]:mm:ss.000"),"")</f>
        <v/>
      </c>
      <c r="S425" s="83" t="str">
        <f t="shared" si="20"/>
        <v>N/A</v>
      </c>
      <c r="T425" s="83" t="e">
        <f t="shared" si="18"/>
        <v>#VALUE!</v>
      </c>
      <c r="U425" s="9" t="str">
        <f t="shared" si="19"/>
        <v/>
      </c>
      <c r="V425" s="20" t="str">
        <f>IFERROR(IF(VLOOKUP(H425,AgeCategories!$D$3:$J$32,7,FALSE)=I425,"","DNF"),"")</f>
        <v/>
      </c>
    </row>
    <row r="426" spans="1:22">
      <c r="A426" s="53" t="str">
        <f>IF(SortedDownload!A426 &lt; 1,"",SortedDownload!A426)</f>
        <v/>
      </c>
      <c r="B426" s="55">
        <f>IF(V426&lt;&gt;"","DNF",COUNTIF($V$3:V426,V426))</f>
        <v>391</v>
      </c>
      <c r="C426" s="54" t="str">
        <f>IF(OR(B426="DNF",H426=""),"DNF",COUNTIF($H$3:H426,H426))</f>
        <v>DNF</v>
      </c>
      <c r="D426" s="90" t="str">
        <f>IFERROR(VLOOKUP($A426,EntryList!$A$3:$N$596,2,FALSE),"")</f>
        <v/>
      </c>
      <c r="E426" s="54" t="str">
        <f>IFERROR(VLOOKUP($A426,EntryList!$A$3:$V$596,19,FALSE),"")</f>
        <v/>
      </c>
      <c r="F426" s="176" t="str">
        <f>IFERROR(VLOOKUP($A426,EntryList!$A$3:$V$596,18,FALSE),"")</f>
        <v/>
      </c>
      <c r="H426" s="90" t="str">
        <f>IFERROR(VLOOKUP($A426,EntryList!$A$3:$N$596,7,FALSE),"")</f>
        <v/>
      </c>
      <c r="I426" s="54" t="str">
        <f>IFERROR(VLOOKUP($A426,SortedDownload!$A$3:$Z922,4,FALSE),"")</f>
        <v/>
      </c>
      <c r="J426" s="59" t="str">
        <f>IFERROR(VLOOKUP($A426,SortedDownload!$A$3:$BB$499,23,FALSE),"")</f>
        <v/>
      </c>
      <c r="K426" s="59" t="str">
        <f>IFERROR(VLOOKUP($A426,SortedDownload!$A$3:$BB$499,24,FALSE),"")</f>
        <v/>
      </c>
      <c r="L426" s="59" t="str">
        <f>IFERROR(VLOOKUP($A426,SortedDownload!$A$3:$BB$499,25,FALSE),"")</f>
        <v/>
      </c>
      <c r="M426" s="59" t="str">
        <f>IFERROR(VLOOKUP($A426,SortedDownload!$A$3:$BB$499,26,FALSE),"")</f>
        <v/>
      </c>
      <c r="N426" s="59" t="str">
        <f>IFERROR(VLOOKUP($A426,SortedDownload!$A$3:$BB$499,27,FALSE),"")</f>
        <v/>
      </c>
      <c r="O426" s="59" t="str">
        <f>IFERROR(VLOOKUP($A426,SortedDownload!$A$3:$BB$499,28,FALSE),"")</f>
        <v/>
      </c>
      <c r="P426" s="59" t="str">
        <f>IFERROR(VLOOKUP($A426,SortedDownload!$A$3:$BB$499,29,FALSE),"")</f>
        <v/>
      </c>
      <c r="Q426" s="59" t="str">
        <f>IFERROR(VLOOKUP($A426,SortedDownload!$A$3:$BB$499,30,FALSE),"")</f>
        <v/>
      </c>
      <c r="R426" s="62" t="str">
        <f>IFERROR(TEXT(VLOOKUP($A426,SortedDownload!$A$3:$Z$499,14,FALSE),"[hh]:mm:ss.000"),"")</f>
        <v/>
      </c>
      <c r="S426" s="83" t="str">
        <f t="shared" si="20"/>
        <v>N/A</v>
      </c>
      <c r="T426" s="83" t="e">
        <f t="shared" si="18"/>
        <v>#VALUE!</v>
      </c>
      <c r="U426" s="9" t="str">
        <f t="shared" si="19"/>
        <v/>
      </c>
      <c r="V426" s="20" t="str">
        <f>IFERROR(IF(VLOOKUP(H426,AgeCategories!$D$3:$J$32,7,FALSE)=I426,"","DNF"),"")</f>
        <v/>
      </c>
    </row>
    <row r="427" spans="1:22">
      <c r="A427" s="53" t="str">
        <f>IF(SortedDownload!A427 &lt; 1,"",SortedDownload!A427)</f>
        <v/>
      </c>
      <c r="B427" s="55">
        <f>IF(V427&lt;&gt;"","DNF",COUNTIF($V$3:V427,V427))</f>
        <v>392</v>
      </c>
      <c r="C427" s="54" t="str">
        <f>IF(OR(B427="DNF",H427=""),"DNF",COUNTIF($H$3:H427,H427))</f>
        <v>DNF</v>
      </c>
      <c r="D427" s="90" t="str">
        <f>IFERROR(VLOOKUP($A427,EntryList!$A$3:$N$596,2,FALSE),"")</f>
        <v/>
      </c>
      <c r="E427" s="54" t="str">
        <f>IFERROR(VLOOKUP($A427,EntryList!$A$3:$V$596,19,FALSE),"")</f>
        <v/>
      </c>
      <c r="F427" s="176" t="str">
        <f>IFERROR(VLOOKUP($A427,EntryList!$A$3:$V$596,18,FALSE),"")</f>
        <v/>
      </c>
      <c r="H427" s="90" t="str">
        <f>IFERROR(VLOOKUP($A427,EntryList!$A$3:$N$596,7,FALSE),"")</f>
        <v/>
      </c>
      <c r="I427" s="54" t="str">
        <f>IFERROR(VLOOKUP($A427,SortedDownload!$A$3:$Z923,4,FALSE),"")</f>
        <v/>
      </c>
      <c r="J427" s="59" t="str">
        <f>IFERROR(VLOOKUP($A427,SortedDownload!$A$3:$BB$499,23,FALSE),"")</f>
        <v/>
      </c>
      <c r="K427" s="59" t="str">
        <f>IFERROR(VLOOKUP($A427,SortedDownload!$A$3:$BB$499,24,FALSE),"")</f>
        <v/>
      </c>
      <c r="L427" s="59" t="str">
        <f>IFERROR(VLOOKUP($A427,SortedDownload!$A$3:$BB$499,25,FALSE),"")</f>
        <v/>
      </c>
      <c r="M427" s="59" t="str">
        <f>IFERROR(VLOOKUP($A427,SortedDownload!$A$3:$BB$499,26,FALSE),"")</f>
        <v/>
      </c>
      <c r="N427" s="59" t="str">
        <f>IFERROR(VLOOKUP($A427,SortedDownload!$A$3:$BB$499,27,FALSE),"")</f>
        <v/>
      </c>
      <c r="O427" s="59" t="str">
        <f>IFERROR(VLOOKUP($A427,SortedDownload!$A$3:$BB$499,28,FALSE),"")</f>
        <v/>
      </c>
      <c r="P427" s="59" t="str">
        <f>IFERROR(VLOOKUP($A427,SortedDownload!$A$3:$BB$499,29,FALSE),"")</f>
        <v/>
      </c>
      <c r="Q427" s="59" t="str">
        <f>IFERROR(VLOOKUP($A427,SortedDownload!$A$3:$BB$499,30,FALSE),"")</f>
        <v/>
      </c>
      <c r="R427" s="62" t="str">
        <f>IFERROR(TEXT(VLOOKUP($A427,SortedDownload!$A$3:$Z$499,14,FALSE),"[hh]:mm:ss.000"),"")</f>
        <v/>
      </c>
      <c r="S427" s="83" t="str">
        <f t="shared" si="20"/>
        <v>N/A</v>
      </c>
      <c r="T427" s="83" t="e">
        <f t="shared" si="18"/>
        <v>#VALUE!</v>
      </c>
      <c r="U427" s="9" t="str">
        <f t="shared" si="19"/>
        <v/>
      </c>
      <c r="V427" s="20" t="str">
        <f>IFERROR(IF(VLOOKUP(H427,AgeCategories!$D$3:$J$32,7,FALSE)=I427,"","DNF"),"")</f>
        <v/>
      </c>
    </row>
    <row r="428" spans="1:22">
      <c r="A428" s="53" t="str">
        <f>IF(SortedDownload!A428 &lt; 1,"",SortedDownload!A428)</f>
        <v/>
      </c>
      <c r="B428" s="55">
        <f>IF(V428&lt;&gt;"","DNF",COUNTIF($V$3:V428,V428))</f>
        <v>393</v>
      </c>
      <c r="C428" s="54" t="str">
        <f>IF(OR(B428="DNF",H428=""),"DNF",COUNTIF($H$3:H428,H428))</f>
        <v>DNF</v>
      </c>
      <c r="D428" s="90" t="str">
        <f>IFERROR(VLOOKUP($A428,EntryList!$A$3:$N$596,2,FALSE),"")</f>
        <v/>
      </c>
      <c r="E428" s="54" t="str">
        <f>IFERROR(VLOOKUP($A428,EntryList!$A$3:$V$596,19,FALSE),"")</f>
        <v/>
      </c>
      <c r="F428" s="176" t="str">
        <f>IFERROR(VLOOKUP($A428,EntryList!$A$3:$V$596,18,FALSE),"")</f>
        <v/>
      </c>
      <c r="H428" s="90" t="str">
        <f>IFERROR(VLOOKUP($A428,EntryList!$A$3:$N$596,7,FALSE),"")</f>
        <v/>
      </c>
      <c r="I428" s="54" t="str">
        <f>IFERROR(VLOOKUP($A428,SortedDownload!$A$3:$Z924,4,FALSE),"")</f>
        <v/>
      </c>
      <c r="J428" s="59" t="str">
        <f>IFERROR(VLOOKUP($A428,SortedDownload!$A$3:$BB$499,23,FALSE),"")</f>
        <v/>
      </c>
      <c r="K428" s="59" t="str">
        <f>IFERROR(VLOOKUP($A428,SortedDownload!$A$3:$BB$499,24,FALSE),"")</f>
        <v/>
      </c>
      <c r="L428" s="59" t="str">
        <f>IFERROR(VLOOKUP($A428,SortedDownload!$A$3:$BB$499,25,FALSE),"")</f>
        <v/>
      </c>
      <c r="M428" s="59" t="str">
        <f>IFERROR(VLOOKUP($A428,SortedDownload!$A$3:$BB$499,26,FALSE),"")</f>
        <v/>
      </c>
      <c r="N428" s="59" t="str">
        <f>IFERROR(VLOOKUP($A428,SortedDownload!$A$3:$BB$499,27,FALSE),"")</f>
        <v/>
      </c>
      <c r="O428" s="59" t="str">
        <f>IFERROR(VLOOKUP($A428,SortedDownload!$A$3:$BB$499,28,FALSE),"")</f>
        <v/>
      </c>
      <c r="P428" s="59" t="str">
        <f>IFERROR(VLOOKUP($A428,SortedDownload!$A$3:$BB$499,29,FALSE),"")</f>
        <v/>
      </c>
      <c r="Q428" s="59" t="str">
        <f>IFERROR(VLOOKUP($A428,SortedDownload!$A$3:$BB$499,30,FALSE),"")</f>
        <v/>
      </c>
      <c r="R428" s="62" t="str">
        <f>IFERROR(TEXT(VLOOKUP($A428,SortedDownload!$A$3:$Z$499,14,FALSE),"[hh]:mm:ss.000"),"")</f>
        <v/>
      </c>
      <c r="S428" s="83" t="str">
        <f t="shared" si="20"/>
        <v>N/A</v>
      </c>
      <c r="T428" s="83" t="e">
        <f t="shared" si="18"/>
        <v>#VALUE!</v>
      </c>
      <c r="U428" s="9" t="str">
        <f t="shared" si="19"/>
        <v/>
      </c>
      <c r="V428" s="20" t="str">
        <f>IFERROR(IF(VLOOKUP(H428,AgeCategories!$D$3:$J$32,7,FALSE)=I428,"","DNF"),"")</f>
        <v/>
      </c>
    </row>
    <row r="429" spans="1:22">
      <c r="A429" s="53" t="str">
        <f>IF(SortedDownload!A429 &lt; 1,"",SortedDownload!A429)</f>
        <v/>
      </c>
      <c r="B429" s="55">
        <f>IF(V429&lt;&gt;"","DNF",COUNTIF($V$3:V429,V429))</f>
        <v>394</v>
      </c>
      <c r="C429" s="54" t="str">
        <f>IF(OR(B429="DNF",H429=""),"DNF",COUNTIF($H$3:H429,H429))</f>
        <v>DNF</v>
      </c>
      <c r="D429" s="90" t="str">
        <f>IFERROR(VLOOKUP($A429,EntryList!$A$3:$N$596,2,FALSE),"")</f>
        <v/>
      </c>
      <c r="E429" s="54" t="str">
        <f>IFERROR(VLOOKUP($A429,EntryList!$A$3:$V$596,19,FALSE),"")</f>
        <v/>
      </c>
      <c r="F429" s="176" t="str">
        <f>IFERROR(VLOOKUP($A429,EntryList!$A$3:$V$596,18,FALSE),"")</f>
        <v/>
      </c>
      <c r="H429" s="90" t="str">
        <f>IFERROR(VLOOKUP($A429,EntryList!$A$3:$N$596,7,FALSE),"")</f>
        <v/>
      </c>
      <c r="I429" s="54" t="str">
        <f>IFERROR(VLOOKUP($A429,SortedDownload!$A$3:$Z925,4,FALSE),"")</f>
        <v/>
      </c>
      <c r="J429" s="59" t="str">
        <f>IFERROR(VLOOKUP($A429,SortedDownload!$A$3:$BB$499,23,FALSE),"")</f>
        <v/>
      </c>
      <c r="K429" s="59" t="str">
        <f>IFERROR(VLOOKUP($A429,SortedDownload!$A$3:$BB$499,24,FALSE),"")</f>
        <v/>
      </c>
      <c r="L429" s="59" t="str">
        <f>IFERROR(VLOOKUP($A429,SortedDownload!$A$3:$BB$499,25,FALSE),"")</f>
        <v/>
      </c>
      <c r="M429" s="59" t="str">
        <f>IFERROR(VLOOKUP($A429,SortedDownload!$A$3:$BB$499,26,FALSE),"")</f>
        <v/>
      </c>
      <c r="N429" s="59" t="str">
        <f>IFERROR(VLOOKUP($A429,SortedDownload!$A$3:$BB$499,27,FALSE),"")</f>
        <v/>
      </c>
      <c r="O429" s="59" t="str">
        <f>IFERROR(VLOOKUP($A429,SortedDownload!$A$3:$BB$499,28,FALSE),"")</f>
        <v/>
      </c>
      <c r="P429" s="59" t="str">
        <f>IFERROR(VLOOKUP($A429,SortedDownload!$A$3:$BB$499,29,FALSE),"")</f>
        <v/>
      </c>
      <c r="Q429" s="59" t="str">
        <f>IFERROR(VLOOKUP($A429,SortedDownload!$A$3:$BB$499,30,FALSE),"")</f>
        <v/>
      </c>
      <c r="R429" s="62" t="str">
        <f>IFERROR(TEXT(VLOOKUP($A429,SortedDownload!$A$3:$Z$499,14,FALSE),"[hh]:mm:ss.000"),"")</f>
        <v/>
      </c>
      <c r="S429" s="83" t="str">
        <f t="shared" si="20"/>
        <v>N/A</v>
      </c>
      <c r="T429" s="83" t="e">
        <f t="shared" si="18"/>
        <v>#VALUE!</v>
      </c>
      <c r="U429" s="9" t="str">
        <f t="shared" si="19"/>
        <v/>
      </c>
      <c r="V429" s="20" t="str">
        <f>IFERROR(IF(VLOOKUP(H429,AgeCategories!$D$3:$J$32,7,FALSE)=I429,"","DNF"),"")</f>
        <v/>
      </c>
    </row>
    <row r="430" spans="1:22">
      <c r="A430" s="53" t="str">
        <f>IF(SortedDownload!A430 &lt; 1,"",SortedDownload!A430)</f>
        <v/>
      </c>
      <c r="B430" s="55">
        <f>IF(V430&lt;&gt;"","DNF",COUNTIF($V$3:V430,V430))</f>
        <v>395</v>
      </c>
      <c r="C430" s="54" t="str">
        <f>IF(OR(B430="DNF",H430=""),"DNF",COUNTIF($H$3:H430,H430))</f>
        <v>DNF</v>
      </c>
      <c r="D430" s="90" t="str">
        <f>IFERROR(VLOOKUP($A430,EntryList!$A$3:$N$596,2,FALSE),"")</f>
        <v/>
      </c>
      <c r="E430" s="54" t="str">
        <f>IFERROR(VLOOKUP($A430,EntryList!$A$3:$V$596,19,FALSE),"")</f>
        <v/>
      </c>
      <c r="F430" s="176" t="str">
        <f>IFERROR(VLOOKUP($A430,EntryList!$A$3:$V$596,18,FALSE),"")</f>
        <v/>
      </c>
      <c r="H430" s="90" t="str">
        <f>IFERROR(VLOOKUP($A430,EntryList!$A$3:$N$596,7,FALSE),"")</f>
        <v/>
      </c>
      <c r="I430" s="54" t="str">
        <f>IFERROR(VLOOKUP($A430,SortedDownload!$A$3:$Z926,4,FALSE),"")</f>
        <v/>
      </c>
      <c r="J430" s="59" t="str">
        <f>IFERROR(VLOOKUP($A430,SortedDownload!$A$3:$BB$499,23,FALSE),"")</f>
        <v/>
      </c>
      <c r="K430" s="59" t="str">
        <f>IFERROR(VLOOKUP($A430,SortedDownload!$A$3:$BB$499,24,FALSE),"")</f>
        <v/>
      </c>
      <c r="L430" s="59" t="str">
        <f>IFERROR(VLOOKUP($A430,SortedDownload!$A$3:$BB$499,25,FALSE),"")</f>
        <v/>
      </c>
      <c r="M430" s="59" t="str">
        <f>IFERROR(VLOOKUP($A430,SortedDownload!$A$3:$BB$499,26,FALSE),"")</f>
        <v/>
      </c>
      <c r="N430" s="59" t="str">
        <f>IFERROR(VLOOKUP($A430,SortedDownload!$A$3:$BB$499,27,FALSE),"")</f>
        <v/>
      </c>
      <c r="O430" s="59" t="str">
        <f>IFERROR(VLOOKUP($A430,SortedDownload!$A$3:$BB$499,28,FALSE),"")</f>
        <v/>
      </c>
      <c r="P430" s="59" t="str">
        <f>IFERROR(VLOOKUP($A430,SortedDownload!$A$3:$BB$499,29,FALSE),"")</f>
        <v/>
      </c>
      <c r="Q430" s="59" t="str">
        <f>IFERROR(VLOOKUP($A430,SortedDownload!$A$3:$BB$499,30,FALSE),"")</f>
        <v/>
      </c>
      <c r="R430" s="62" t="str">
        <f>IFERROR(TEXT(VLOOKUP($A430,SortedDownload!$A$3:$Z$499,14,FALSE),"[hh]:mm:ss.000"),"")</f>
        <v/>
      </c>
      <c r="S430" s="83" t="str">
        <f t="shared" si="20"/>
        <v>N/A</v>
      </c>
      <c r="T430" s="83" t="e">
        <f t="shared" si="18"/>
        <v>#VALUE!</v>
      </c>
      <c r="U430" s="9" t="str">
        <f t="shared" si="19"/>
        <v/>
      </c>
      <c r="V430" s="20" t="str">
        <f>IFERROR(IF(VLOOKUP(H430,AgeCategories!$D$3:$J$32,7,FALSE)=I430,"","DNF"),"")</f>
        <v/>
      </c>
    </row>
    <row r="431" spans="1:22">
      <c r="A431" s="53" t="str">
        <f>IF(SortedDownload!A431 &lt; 1,"",SortedDownload!A431)</f>
        <v/>
      </c>
      <c r="B431" s="55">
        <f>IF(V431&lt;&gt;"","DNF",COUNTIF($V$3:V431,V431))</f>
        <v>396</v>
      </c>
      <c r="C431" s="54" t="str">
        <f>IF(OR(B431="DNF",H431=""),"DNF",COUNTIF($H$3:H431,H431))</f>
        <v>DNF</v>
      </c>
      <c r="D431" s="90" t="str">
        <f>IFERROR(VLOOKUP($A431,EntryList!$A$3:$N$596,2,FALSE),"")</f>
        <v/>
      </c>
      <c r="E431" s="54" t="str">
        <f>IFERROR(VLOOKUP($A431,EntryList!$A$3:$V$596,19,FALSE),"")</f>
        <v/>
      </c>
      <c r="F431" s="176" t="str">
        <f>IFERROR(VLOOKUP($A431,EntryList!$A$3:$V$596,18,FALSE),"")</f>
        <v/>
      </c>
      <c r="H431" s="90" t="str">
        <f>IFERROR(VLOOKUP($A431,EntryList!$A$3:$N$596,7,FALSE),"")</f>
        <v/>
      </c>
      <c r="I431" s="54" t="str">
        <f>IFERROR(VLOOKUP($A431,SortedDownload!$A$3:$Z927,4,FALSE),"")</f>
        <v/>
      </c>
      <c r="J431" s="59" t="str">
        <f>IFERROR(VLOOKUP($A431,SortedDownload!$A$3:$BB$499,23,FALSE),"")</f>
        <v/>
      </c>
      <c r="K431" s="59" t="str">
        <f>IFERROR(VLOOKUP($A431,SortedDownload!$A$3:$BB$499,24,FALSE),"")</f>
        <v/>
      </c>
      <c r="L431" s="59" t="str">
        <f>IFERROR(VLOOKUP($A431,SortedDownload!$A$3:$BB$499,25,FALSE),"")</f>
        <v/>
      </c>
      <c r="M431" s="59" t="str">
        <f>IFERROR(VLOOKUP($A431,SortedDownload!$A$3:$BB$499,26,FALSE),"")</f>
        <v/>
      </c>
      <c r="N431" s="59" t="str">
        <f>IFERROR(VLOOKUP($A431,SortedDownload!$A$3:$BB$499,27,FALSE),"")</f>
        <v/>
      </c>
      <c r="O431" s="59" t="str">
        <f>IFERROR(VLOOKUP($A431,SortedDownload!$A$3:$BB$499,28,FALSE),"")</f>
        <v/>
      </c>
      <c r="P431" s="59" t="str">
        <f>IFERROR(VLOOKUP($A431,SortedDownload!$A$3:$BB$499,29,FALSE),"")</f>
        <v/>
      </c>
      <c r="Q431" s="59" t="str">
        <f>IFERROR(VLOOKUP($A431,SortedDownload!$A$3:$BB$499,30,FALSE),"")</f>
        <v/>
      </c>
      <c r="R431" s="62" t="str">
        <f>IFERROR(TEXT(VLOOKUP($A431,SortedDownload!$A$3:$Z$499,14,FALSE),"[hh]:mm:ss.000"),"")</f>
        <v/>
      </c>
      <c r="S431" s="83" t="str">
        <f t="shared" si="20"/>
        <v>N/A</v>
      </c>
      <c r="T431" s="83" t="e">
        <f t="shared" si="18"/>
        <v>#VALUE!</v>
      </c>
      <c r="U431" s="9" t="str">
        <f t="shared" si="19"/>
        <v/>
      </c>
      <c r="V431" s="20" t="str">
        <f>IFERROR(IF(VLOOKUP(H431,AgeCategories!$D$3:$J$32,7,FALSE)=I431,"","DNF"),"")</f>
        <v/>
      </c>
    </row>
    <row r="432" spans="1:22">
      <c r="A432" s="53" t="str">
        <f>IF(SortedDownload!A432 &lt; 1,"",SortedDownload!A432)</f>
        <v/>
      </c>
      <c r="B432" s="55">
        <f>IF(V432&lt;&gt;"","DNF",COUNTIF($V$3:V432,V432))</f>
        <v>397</v>
      </c>
      <c r="C432" s="54" t="str">
        <f>IF(OR(B432="DNF",H432=""),"DNF",COUNTIF($H$3:H432,H432))</f>
        <v>DNF</v>
      </c>
      <c r="D432" s="90" t="str">
        <f>IFERROR(VLOOKUP($A432,EntryList!$A$3:$N$596,2,FALSE),"")</f>
        <v/>
      </c>
      <c r="E432" s="54" t="str">
        <f>IFERROR(VLOOKUP($A432,EntryList!$A$3:$V$596,19,FALSE),"")</f>
        <v/>
      </c>
      <c r="F432" s="176" t="str">
        <f>IFERROR(VLOOKUP($A432,EntryList!$A$3:$V$596,18,FALSE),"")</f>
        <v/>
      </c>
      <c r="H432" s="90" t="str">
        <f>IFERROR(VLOOKUP($A432,EntryList!$A$3:$N$596,7,FALSE),"")</f>
        <v/>
      </c>
      <c r="I432" s="54" t="str">
        <f>IFERROR(VLOOKUP($A432,SortedDownload!$A$3:$Z928,4,FALSE),"")</f>
        <v/>
      </c>
      <c r="J432" s="59" t="str">
        <f>IFERROR(VLOOKUP($A432,SortedDownload!$A$3:$BB$499,23,FALSE),"")</f>
        <v/>
      </c>
      <c r="K432" s="59" t="str">
        <f>IFERROR(VLOOKUP($A432,SortedDownload!$A$3:$BB$499,24,FALSE),"")</f>
        <v/>
      </c>
      <c r="L432" s="59" t="str">
        <f>IFERROR(VLOOKUP($A432,SortedDownload!$A$3:$BB$499,25,FALSE),"")</f>
        <v/>
      </c>
      <c r="M432" s="59" t="str">
        <f>IFERROR(VLOOKUP($A432,SortedDownload!$A$3:$BB$499,26,FALSE),"")</f>
        <v/>
      </c>
      <c r="N432" s="59" t="str">
        <f>IFERROR(VLOOKUP($A432,SortedDownload!$A$3:$BB$499,27,FALSE),"")</f>
        <v/>
      </c>
      <c r="O432" s="59" t="str">
        <f>IFERROR(VLOOKUP($A432,SortedDownload!$A$3:$BB$499,28,FALSE),"")</f>
        <v/>
      </c>
      <c r="P432" s="59" t="str">
        <f>IFERROR(VLOOKUP($A432,SortedDownload!$A$3:$BB$499,29,FALSE),"")</f>
        <v/>
      </c>
      <c r="Q432" s="59" t="str">
        <f>IFERROR(VLOOKUP($A432,SortedDownload!$A$3:$BB$499,30,FALSE),"")</f>
        <v/>
      </c>
      <c r="R432" s="62" t="str">
        <f>IFERROR(TEXT(VLOOKUP($A432,SortedDownload!$A$3:$Z$499,14,FALSE),"[hh]:mm:ss.000"),"")</f>
        <v/>
      </c>
      <c r="S432" s="83" t="str">
        <f t="shared" si="20"/>
        <v>N/A</v>
      </c>
      <c r="T432" s="83" t="e">
        <f t="shared" si="18"/>
        <v>#VALUE!</v>
      </c>
      <c r="U432" s="9" t="str">
        <f t="shared" si="19"/>
        <v/>
      </c>
      <c r="V432" s="20" t="str">
        <f>IFERROR(IF(VLOOKUP(H432,AgeCategories!$D$3:$J$32,7,FALSE)=I432,"","DNF"),"")</f>
        <v/>
      </c>
    </row>
    <row r="433" spans="1:22">
      <c r="A433" s="53" t="str">
        <f>IF(SortedDownload!A433 &lt; 1,"",SortedDownload!A433)</f>
        <v/>
      </c>
      <c r="B433" s="55">
        <f>IF(V433&lt;&gt;"","DNF",COUNTIF($V$3:V433,V433))</f>
        <v>398</v>
      </c>
      <c r="C433" s="54" t="str">
        <f>IF(OR(B433="DNF",H433=""),"DNF",COUNTIF($H$3:H433,H433))</f>
        <v>DNF</v>
      </c>
      <c r="D433" s="90" t="str">
        <f>IFERROR(VLOOKUP($A433,EntryList!$A$3:$N$596,2,FALSE),"")</f>
        <v/>
      </c>
      <c r="E433" s="54" t="str">
        <f>IFERROR(VLOOKUP($A433,EntryList!$A$3:$V$596,19,FALSE),"")</f>
        <v/>
      </c>
      <c r="F433" s="176" t="str">
        <f>IFERROR(VLOOKUP($A433,EntryList!$A$3:$V$596,18,FALSE),"")</f>
        <v/>
      </c>
      <c r="H433" s="90" t="str">
        <f>IFERROR(VLOOKUP($A433,EntryList!$A$3:$N$596,7,FALSE),"")</f>
        <v/>
      </c>
      <c r="I433" s="54" t="str">
        <f>IFERROR(VLOOKUP($A433,SortedDownload!$A$3:$Z929,4,FALSE),"")</f>
        <v/>
      </c>
      <c r="J433" s="59" t="str">
        <f>IFERROR(VLOOKUP($A433,SortedDownload!$A$3:$BB$499,23,FALSE),"")</f>
        <v/>
      </c>
      <c r="K433" s="59" t="str">
        <f>IFERROR(VLOOKUP($A433,SortedDownload!$A$3:$BB$499,24,FALSE),"")</f>
        <v/>
      </c>
      <c r="L433" s="59" t="str">
        <f>IFERROR(VLOOKUP($A433,SortedDownload!$A$3:$BB$499,25,FALSE),"")</f>
        <v/>
      </c>
      <c r="M433" s="59" t="str">
        <f>IFERROR(VLOOKUP($A433,SortedDownload!$A$3:$BB$499,26,FALSE),"")</f>
        <v/>
      </c>
      <c r="N433" s="59" t="str">
        <f>IFERROR(VLOOKUP($A433,SortedDownload!$A$3:$BB$499,27,FALSE),"")</f>
        <v/>
      </c>
      <c r="O433" s="59" t="str">
        <f>IFERROR(VLOOKUP($A433,SortedDownload!$A$3:$BB$499,28,FALSE),"")</f>
        <v/>
      </c>
      <c r="P433" s="59" t="str">
        <f>IFERROR(VLOOKUP($A433,SortedDownload!$A$3:$BB$499,29,FALSE),"")</f>
        <v/>
      </c>
      <c r="Q433" s="59" t="str">
        <f>IFERROR(VLOOKUP($A433,SortedDownload!$A$3:$BB$499,30,FALSE),"")</f>
        <v/>
      </c>
      <c r="R433" s="62" t="str">
        <f>IFERROR(TEXT(VLOOKUP($A433,SortedDownload!$A$3:$Z$499,14,FALSE),"[hh]:mm:ss.000"),"")</f>
        <v/>
      </c>
      <c r="S433" s="83" t="str">
        <f t="shared" si="20"/>
        <v>N/A</v>
      </c>
      <c r="T433" s="83" t="e">
        <f t="shared" si="18"/>
        <v>#VALUE!</v>
      </c>
      <c r="U433" s="9" t="str">
        <f t="shared" si="19"/>
        <v/>
      </c>
      <c r="V433" s="20" t="str">
        <f>IFERROR(IF(VLOOKUP(H433,AgeCategories!$D$3:$J$32,7,FALSE)=I433,"","DNF"),"")</f>
        <v/>
      </c>
    </row>
    <row r="434" spans="1:22">
      <c r="A434" s="53" t="str">
        <f>IF(SortedDownload!A434 &lt; 1,"",SortedDownload!A434)</f>
        <v/>
      </c>
      <c r="B434" s="55">
        <f>IF(V434&lt;&gt;"","DNF",COUNTIF($V$3:V434,V434))</f>
        <v>399</v>
      </c>
      <c r="C434" s="54" t="str">
        <f>IF(OR(B434="DNF",H434=""),"DNF",COUNTIF($H$3:H434,H434))</f>
        <v>DNF</v>
      </c>
      <c r="D434" s="90" t="str">
        <f>IFERROR(VLOOKUP($A434,EntryList!$A$3:$N$596,2,FALSE),"")</f>
        <v/>
      </c>
      <c r="E434" s="54" t="str">
        <f>IFERROR(VLOOKUP($A434,EntryList!$A$3:$V$596,19,FALSE),"")</f>
        <v/>
      </c>
      <c r="F434" s="176" t="str">
        <f>IFERROR(VLOOKUP($A434,EntryList!$A$3:$V$596,18,FALSE),"")</f>
        <v/>
      </c>
      <c r="H434" s="90" t="str">
        <f>IFERROR(VLOOKUP($A434,EntryList!$A$3:$N$596,7,FALSE),"")</f>
        <v/>
      </c>
      <c r="I434" s="54" t="str">
        <f>IFERROR(VLOOKUP($A434,SortedDownload!$A$3:$Z930,4,FALSE),"")</f>
        <v/>
      </c>
      <c r="J434" s="59" t="str">
        <f>IFERROR(VLOOKUP($A434,SortedDownload!$A$3:$BB$499,23,FALSE),"")</f>
        <v/>
      </c>
      <c r="K434" s="59" t="str">
        <f>IFERROR(VLOOKUP($A434,SortedDownload!$A$3:$BB$499,24,FALSE),"")</f>
        <v/>
      </c>
      <c r="L434" s="59" t="str">
        <f>IFERROR(VLOOKUP($A434,SortedDownload!$A$3:$BB$499,25,FALSE),"")</f>
        <v/>
      </c>
      <c r="M434" s="59" t="str">
        <f>IFERROR(VLOOKUP($A434,SortedDownload!$A$3:$BB$499,26,FALSE),"")</f>
        <v/>
      </c>
      <c r="N434" s="59" t="str">
        <f>IFERROR(VLOOKUP($A434,SortedDownload!$A$3:$BB$499,27,FALSE),"")</f>
        <v/>
      </c>
      <c r="O434" s="59" t="str">
        <f>IFERROR(VLOOKUP($A434,SortedDownload!$A$3:$BB$499,28,FALSE),"")</f>
        <v/>
      </c>
      <c r="P434" s="59" t="str">
        <f>IFERROR(VLOOKUP($A434,SortedDownload!$A$3:$BB$499,29,FALSE),"")</f>
        <v/>
      </c>
      <c r="Q434" s="59" t="str">
        <f>IFERROR(VLOOKUP($A434,SortedDownload!$A$3:$BB$499,30,FALSE),"")</f>
        <v/>
      </c>
      <c r="R434" s="62" t="str">
        <f>IFERROR(TEXT(VLOOKUP($A434,SortedDownload!$A$3:$Z$499,14,FALSE),"[hh]:mm:ss.000"),"")</f>
        <v/>
      </c>
      <c r="S434" s="83" t="str">
        <f t="shared" si="20"/>
        <v>N/A</v>
      </c>
      <c r="T434" s="83" t="e">
        <f t="shared" si="18"/>
        <v>#VALUE!</v>
      </c>
      <c r="U434" s="9" t="str">
        <f t="shared" si="19"/>
        <v/>
      </c>
      <c r="V434" s="20" t="str">
        <f>IFERROR(IF(VLOOKUP(H434,AgeCategories!$D$3:$J$32,7,FALSE)=I434,"","DNF"),"")</f>
        <v/>
      </c>
    </row>
    <row r="435" spans="1:22">
      <c r="A435" s="53" t="str">
        <f>IF(SortedDownload!A435 &lt; 1,"",SortedDownload!A435)</f>
        <v/>
      </c>
      <c r="B435" s="55">
        <f>IF(V435&lt;&gt;"","DNF",COUNTIF($V$3:V435,V435))</f>
        <v>400</v>
      </c>
      <c r="C435" s="54" t="str">
        <f>IF(OR(B435="DNF",H435=""),"DNF",COUNTIF($H$3:H435,H435))</f>
        <v>DNF</v>
      </c>
      <c r="D435" s="90" t="str">
        <f>IFERROR(VLOOKUP($A435,EntryList!$A$3:$N$596,2,FALSE),"")</f>
        <v/>
      </c>
      <c r="E435" s="54" t="str">
        <f>IFERROR(VLOOKUP($A435,EntryList!$A$3:$V$596,19,FALSE),"")</f>
        <v/>
      </c>
      <c r="F435" s="176" t="str">
        <f>IFERROR(VLOOKUP($A435,EntryList!$A$3:$V$596,18,FALSE),"")</f>
        <v/>
      </c>
      <c r="H435" s="90" t="str">
        <f>IFERROR(VLOOKUP($A435,EntryList!$A$3:$N$596,7,FALSE),"")</f>
        <v/>
      </c>
      <c r="I435" s="54" t="str">
        <f>IFERROR(VLOOKUP($A435,SortedDownload!$A$3:$Z931,4,FALSE),"")</f>
        <v/>
      </c>
      <c r="J435" s="59" t="str">
        <f>IFERROR(VLOOKUP($A435,SortedDownload!$A$3:$BB$499,23,FALSE),"")</f>
        <v/>
      </c>
      <c r="K435" s="59" t="str">
        <f>IFERROR(VLOOKUP($A435,SortedDownload!$A$3:$BB$499,24,FALSE),"")</f>
        <v/>
      </c>
      <c r="L435" s="59" t="str">
        <f>IFERROR(VLOOKUP($A435,SortedDownload!$A$3:$BB$499,25,FALSE),"")</f>
        <v/>
      </c>
      <c r="M435" s="59" t="str">
        <f>IFERROR(VLOOKUP($A435,SortedDownload!$A$3:$BB$499,26,FALSE),"")</f>
        <v/>
      </c>
      <c r="N435" s="59" t="str">
        <f>IFERROR(VLOOKUP($A435,SortedDownload!$A$3:$BB$499,27,FALSE),"")</f>
        <v/>
      </c>
      <c r="O435" s="59" t="str">
        <f>IFERROR(VLOOKUP($A435,SortedDownload!$A$3:$BB$499,28,FALSE),"")</f>
        <v/>
      </c>
      <c r="P435" s="59" t="str">
        <f>IFERROR(VLOOKUP($A435,SortedDownload!$A$3:$BB$499,29,FALSE),"")</f>
        <v/>
      </c>
      <c r="Q435" s="59" t="str">
        <f>IFERROR(VLOOKUP($A435,SortedDownload!$A$3:$BB$499,30,FALSE),"")</f>
        <v/>
      </c>
      <c r="R435" s="62" t="str">
        <f>IFERROR(TEXT(VLOOKUP($A435,SortedDownload!$A$3:$Z$499,14,FALSE),"[hh]:mm:ss.000"),"")</f>
        <v/>
      </c>
      <c r="S435" s="83" t="str">
        <f t="shared" si="20"/>
        <v>N/A</v>
      </c>
      <c r="T435" s="83" t="e">
        <f t="shared" si="18"/>
        <v>#VALUE!</v>
      </c>
      <c r="U435" s="9" t="str">
        <f t="shared" si="19"/>
        <v/>
      </c>
      <c r="V435" s="20" t="str">
        <f>IFERROR(IF(VLOOKUP(H435,AgeCategories!$D$3:$J$32,7,FALSE)=I435,"","DNF"),"")</f>
        <v/>
      </c>
    </row>
    <row r="436" spans="1:22">
      <c r="A436" s="53" t="str">
        <f>IF(SortedDownload!A436 &lt; 1,"",SortedDownload!A436)</f>
        <v/>
      </c>
      <c r="B436" s="55">
        <f>IF(V436&lt;&gt;"","DNF",COUNTIF($V$3:V436,V436))</f>
        <v>401</v>
      </c>
      <c r="C436" s="54" t="str">
        <f>IF(OR(B436="DNF",H436=""),"DNF",COUNTIF($H$3:H436,H436))</f>
        <v>DNF</v>
      </c>
      <c r="D436" s="90" t="str">
        <f>IFERROR(VLOOKUP($A436,EntryList!$A$3:$N$596,2,FALSE),"")</f>
        <v/>
      </c>
      <c r="E436" s="54" t="str">
        <f>IFERROR(VLOOKUP($A436,EntryList!$A$3:$V$596,19,FALSE),"")</f>
        <v/>
      </c>
      <c r="F436" s="176" t="str">
        <f>IFERROR(VLOOKUP($A436,EntryList!$A$3:$V$596,18,FALSE),"")</f>
        <v/>
      </c>
      <c r="H436" s="90" t="str">
        <f>IFERROR(VLOOKUP($A436,EntryList!$A$3:$N$596,7,FALSE),"")</f>
        <v/>
      </c>
      <c r="I436" s="54" t="str">
        <f>IFERROR(VLOOKUP($A436,SortedDownload!$A$3:$Z932,4,FALSE),"")</f>
        <v/>
      </c>
      <c r="J436" s="59" t="str">
        <f>IFERROR(VLOOKUP($A436,SortedDownload!$A$3:$BB$499,23,FALSE),"")</f>
        <v/>
      </c>
      <c r="K436" s="59" t="str">
        <f>IFERROR(VLOOKUP($A436,SortedDownload!$A$3:$BB$499,24,FALSE),"")</f>
        <v/>
      </c>
      <c r="L436" s="59" t="str">
        <f>IFERROR(VLOOKUP($A436,SortedDownload!$A$3:$BB$499,25,FALSE),"")</f>
        <v/>
      </c>
      <c r="M436" s="59" t="str">
        <f>IFERROR(VLOOKUP($A436,SortedDownload!$A$3:$BB$499,26,FALSE),"")</f>
        <v/>
      </c>
      <c r="N436" s="59" t="str">
        <f>IFERROR(VLOOKUP($A436,SortedDownload!$A$3:$BB$499,27,FALSE),"")</f>
        <v/>
      </c>
      <c r="O436" s="59" t="str">
        <f>IFERROR(VLOOKUP($A436,SortedDownload!$A$3:$BB$499,28,FALSE),"")</f>
        <v/>
      </c>
      <c r="P436" s="59" t="str">
        <f>IFERROR(VLOOKUP($A436,SortedDownload!$A$3:$BB$499,29,FALSE),"")</f>
        <v/>
      </c>
      <c r="Q436" s="59" t="str">
        <f>IFERROR(VLOOKUP($A436,SortedDownload!$A$3:$BB$499,30,FALSE),"")</f>
        <v/>
      </c>
      <c r="R436" s="62" t="str">
        <f>IFERROR(TEXT(VLOOKUP($A436,SortedDownload!$A$3:$Z$499,14,FALSE),"[hh]:mm:ss.000"),"")</f>
        <v/>
      </c>
      <c r="S436" s="83" t="str">
        <f t="shared" si="20"/>
        <v>N/A</v>
      </c>
      <c r="T436" s="83" t="e">
        <f t="shared" si="18"/>
        <v>#VALUE!</v>
      </c>
      <c r="U436" s="9" t="str">
        <f t="shared" si="19"/>
        <v/>
      </c>
      <c r="V436" s="20" t="str">
        <f>IFERROR(IF(VLOOKUP(H436,AgeCategories!$D$3:$J$32,7,FALSE)=I436,"","DNF"),"")</f>
        <v/>
      </c>
    </row>
    <row r="437" spans="1:22">
      <c r="A437" s="53" t="str">
        <f>IF(SortedDownload!A437 &lt; 1,"",SortedDownload!A437)</f>
        <v/>
      </c>
      <c r="B437" s="55">
        <f>IF(V437&lt;&gt;"","DNF",COUNTIF($V$3:V437,V437))</f>
        <v>402</v>
      </c>
      <c r="C437" s="54" t="str">
        <f>IF(OR(B437="DNF",H437=""),"DNF",COUNTIF($H$3:H437,H437))</f>
        <v>DNF</v>
      </c>
      <c r="D437" s="90" t="str">
        <f>IFERROR(VLOOKUP($A437,EntryList!$A$3:$N$596,2,FALSE),"")</f>
        <v/>
      </c>
      <c r="E437" s="54" t="str">
        <f>IFERROR(VLOOKUP($A437,EntryList!$A$3:$V$596,19,FALSE),"")</f>
        <v/>
      </c>
      <c r="F437" s="176" t="str">
        <f>IFERROR(VLOOKUP($A437,EntryList!$A$3:$V$596,18,FALSE),"")</f>
        <v/>
      </c>
      <c r="H437" s="90" t="str">
        <f>IFERROR(VLOOKUP($A437,EntryList!$A$3:$N$596,7,FALSE),"")</f>
        <v/>
      </c>
      <c r="I437" s="54" t="str">
        <f>IFERROR(VLOOKUP($A437,SortedDownload!$A$3:$Z933,4,FALSE),"")</f>
        <v/>
      </c>
      <c r="J437" s="59" t="str">
        <f>IFERROR(VLOOKUP($A437,SortedDownload!$A$3:$BB$499,23,FALSE),"")</f>
        <v/>
      </c>
      <c r="K437" s="59" t="str">
        <f>IFERROR(VLOOKUP($A437,SortedDownload!$A$3:$BB$499,24,FALSE),"")</f>
        <v/>
      </c>
      <c r="L437" s="59" t="str">
        <f>IFERROR(VLOOKUP($A437,SortedDownload!$A$3:$BB$499,25,FALSE),"")</f>
        <v/>
      </c>
      <c r="M437" s="59" t="str">
        <f>IFERROR(VLOOKUP($A437,SortedDownload!$A$3:$BB$499,26,FALSE),"")</f>
        <v/>
      </c>
      <c r="N437" s="59" t="str">
        <f>IFERROR(VLOOKUP($A437,SortedDownload!$A$3:$BB$499,27,FALSE),"")</f>
        <v/>
      </c>
      <c r="O437" s="59" t="str">
        <f>IFERROR(VLOOKUP($A437,SortedDownload!$A$3:$BB$499,28,FALSE),"")</f>
        <v/>
      </c>
      <c r="P437" s="59" t="str">
        <f>IFERROR(VLOOKUP($A437,SortedDownload!$A$3:$BB$499,29,FALSE),"")</f>
        <v/>
      </c>
      <c r="Q437" s="59" t="str">
        <f>IFERROR(VLOOKUP($A437,SortedDownload!$A$3:$BB$499,30,FALSE),"")</f>
        <v/>
      </c>
      <c r="R437" s="62" t="str">
        <f>IFERROR(TEXT(VLOOKUP($A437,SortedDownload!$A$3:$Z$499,14,FALSE),"[hh]:mm:ss.000"),"")</f>
        <v/>
      </c>
      <c r="S437" s="83" t="str">
        <f t="shared" si="20"/>
        <v>N/A</v>
      </c>
      <c r="T437" s="83" t="e">
        <f t="shared" si="18"/>
        <v>#VALUE!</v>
      </c>
      <c r="U437" s="9" t="str">
        <f t="shared" si="19"/>
        <v/>
      </c>
      <c r="V437" s="20" t="str">
        <f>IFERROR(IF(VLOOKUP(H437,AgeCategories!$D$3:$J$32,7,FALSE)=I437,"","DNF"),"")</f>
        <v/>
      </c>
    </row>
    <row r="438" spans="1:22">
      <c r="A438" s="53" t="str">
        <f>IF(SortedDownload!A438 &lt; 1,"",SortedDownload!A438)</f>
        <v/>
      </c>
      <c r="B438" s="55">
        <f>IF(V438&lt;&gt;"","DNF",COUNTIF($V$3:V438,V438))</f>
        <v>403</v>
      </c>
      <c r="C438" s="54" t="str">
        <f>IF(OR(B438="DNF",H438=""),"DNF",COUNTIF($H$3:H438,H438))</f>
        <v>DNF</v>
      </c>
      <c r="D438" s="90" t="str">
        <f>IFERROR(VLOOKUP($A438,EntryList!$A$3:$N$596,2,FALSE),"")</f>
        <v/>
      </c>
      <c r="E438" s="54" t="str">
        <f>IFERROR(VLOOKUP($A438,EntryList!$A$3:$V$596,19,FALSE),"")</f>
        <v/>
      </c>
      <c r="F438" s="176" t="str">
        <f>IFERROR(VLOOKUP($A438,EntryList!$A$3:$V$596,18,FALSE),"")</f>
        <v/>
      </c>
      <c r="H438" s="90" t="str">
        <f>IFERROR(VLOOKUP($A438,EntryList!$A$3:$N$596,7,FALSE),"")</f>
        <v/>
      </c>
      <c r="I438" s="54" t="str">
        <f>IFERROR(VLOOKUP($A438,SortedDownload!$A$3:$Z934,4,FALSE),"")</f>
        <v/>
      </c>
      <c r="J438" s="59" t="str">
        <f>IFERROR(VLOOKUP($A438,SortedDownload!$A$3:$BB$499,23,FALSE),"")</f>
        <v/>
      </c>
      <c r="K438" s="59" t="str">
        <f>IFERROR(VLOOKUP($A438,SortedDownload!$A$3:$BB$499,24,FALSE),"")</f>
        <v/>
      </c>
      <c r="L438" s="59" t="str">
        <f>IFERROR(VLOOKUP($A438,SortedDownload!$A$3:$BB$499,25,FALSE),"")</f>
        <v/>
      </c>
      <c r="M438" s="59" t="str">
        <f>IFERROR(VLOOKUP($A438,SortedDownload!$A$3:$BB$499,26,FALSE),"")</f>
        <v/>
      </c>
      <c r="N438" s="59" t="str">
        <f>IFERROR(VLOOKUP($A438,SortedDownload!$A$3:$BB$499,27,FALSE),"")</f>
        <v/>
      </c>
      <c r="O438" s="59" t="str">
        <f>IFERROR(VLOOKUP($A438,SortedDownload!$A$3:$BB$499,28,FALSE),"")</f>
        <v/>
      </c>
      <c r="P438" s="59" t="str">
        <f>IFERROR(VLOOKUP($A438,SortedDownload!$A$3:$BB$499,29,FALSE),"")</f>
        <v/>
      </c>
      <c r="Q438" s="59" t="str">
        <f>IFERROR(VLOOKUP($A438,SortedDownload!$A$3:$BB$499,30,FALSE),"")</f>
        <v/>
      </c>
      <c r="R438" s="62" t="str">
        <f>IFERROR(TEXT(VLOOKUP($A438,SortedDownload!$A$3:$Z$499,14,FALSE),"[hh]:mm:ss.000"),"")</f>
        <v/>
      </c>
      <c r="S438" s="83" t="str">
        <f t="shared" si="20"/>
        <v>N/A</v>
      </c>
      <c r="T438" s="83" t="e">
        <f t="shared" si="18"/>
        <v>#VALUE!</v>
      </c>
      <c r="U438" s="9" t="str">
        <f t="shared" si="19"/>
        <v/>
      </c>
      <c r="V438" s="20" t="str">
        <f>IFERROR(IF(VLOOKUP(H438,AgeCategories!$D$3:$J$32,7,FALSE)=I438,"","DNF"),"")</f>
        <v/>
      </c>
    </row>
    <row r="439" spans="1:22">
      <c r="A439" s="53" t="str">
        <f>IF(SortedDownload!A439 &lt; 1,"",SortedDownload!A439)</f>
        <v/>
      </c>
      <c r="B439" s="55">
        <f>IF(V439&lt;&gt;"","DNF",COUNTIF($V$3:V439,V439))</f>
        <v>404</v>
      </c>
      <c r="C439" s="54" t="str">
        <f>IF(OR(B439="DNF",H439=""),"DNF",COUNTIF($H$3:H439,H439))</f>
        <v>DNF</v>
      </c>
      <c r="D439" s="90" t="str">
        <f>IFERROR(VLOOKUP($A439,EntryList!$A$3:$N$596,2,FALSE),"")</f>
        <v/>
      </c>
      <c r="E439" s="54" t="str">
        <f>IFERROR(VLOOKUP($A439,EntryList!$A$3:$V$596,19,FALSE),"")</f>
        <v/>
      </c>
      <c r="F439" s="176" t="str">
        <f>IFERROR(VLOOKUP($A439,EntryList!$A$3:$V$596,18,FALSE),"")</f>
        <v/>
      </c>
      <c r="H439" s="90" t="str">
        <f>IFERROR(VLOOKUP($A439,EntryList!$A$3:$N$596,7,FALSE),"")</f>
        <v/>
      </c>
      <c r="I439" s="54" t="str">
        <f>IFERROR(VLOOKUP($A439,SortedDownload!$A$3:$Z935,4,FALSE),"")</f>
        <v/>
      </c>
      <c r="J439" s="59" t="str">
        <f>IFERROR(VLOOKUP($A439,SortedDownload!$A$3:$BB$499,23,FALSE),"")</f>
        <v/>
      </c>
      <c r="K439" s="59" t="str">
        <f>IFERROR(VLOOKUP($A439,SortedDownload!$A$3:$BB$499,24,FALSE),"")</f>
        <v/>
      </c>
      <c r="L439" s="59" t="str">
        <f>IFERROR(VLOOKUP($A439,SortedDownload!$A$3:$BB$499,25,FALSE),"")</f>
        <v/>
      </c>
      <c r="M439" s="59" t="str">
        <f>IFERROR(VLOOKUP($A439,SortedDownload!$A$3:$BB$499,26,FALSE),"")</f>
        <v/>
      </c>
      <c r="N439" s="59" t="str">
        <f>IFERROR(VLOOKUP($A439,SortedDownload!$A$3:$BB$499,27,FALSE),"")</f>
        <v/>
      </c>
      <c r="O439" s="59" t="str">
        <f>IFERROR(VLOOKUP($A439,SortedDownload!$A$3:$BB$499,28,FALSE),"")</f>
        <v/>
      </c>
      <c r="P439" s="59" t="str">
        <f>IFERROR(VLOOKUP($A439,SortedDownload!$A$3:$BB$499,29,FALSE),"")</f>
        <v/>
      </c>
      <c r="Q439" s="59" t="str">
        <f>IFERROR(VLOOKUP($A439,SortedDownload!$A$3:$BB$499,30,FALSE),"")</f>
        <v/>
      </c>
      <c r="R439" s="62" t="str">
        <f>IFERROR(TEXT(VLOOKUP($A439,SortedDownload!$A$3:$Z$499,14,FALSE),"[hh]:mm:ss.000"),"")</f>
        <v/>
      </c>
      <c r="S439" s="83" t="str">
        <f t="shared" si="20"/>
        <v>N/A</v>
      </c>
      <c r="T439" s="83" t="e">
        <f t="shared" si="18"/>
        <v>#VALUE!</v>
      </c>
      <c r="U439" s="9" t="str">
        <f t="shared" si="19"/>
        <v/>
      </c>
      <c r="V439" s="20" t="str">
        <f>IFERROR(IF(VLOOKUP(H439,AgeCategories!$D$3:$J$32,7,FALSE)=I439,"","DNF"),"")</f>
        <v/>
      </c>
    </row>
    <row r="440" spans="1:22">
      <c r="A440" s="53" t="str">
        <f>IF(SortedDownload!A440 &lt; 1,"",SortedDownload!A440)</f>
        <v/>
      </c>
      <c r="B440" s="55">
        <f>IF(V440&lt;&gt;"","DNF",COUNTIF($V$3:V440,V440))</f>
        <v>405</v>
      </c>
      <c r="C440" s="54" t="str">
        <f>IF(OR(B440="DNF",H440=""),"DNF",COUNTIF($H$3:H440,H440))</f>
        <v>DNF</v>
      </c>
      <c r="D440" s="90" t="str">
        <f>IFERROR(VLOOKUP($A440,EntryList!$A$3:$N$596,2,FALSE),"")</f>
        <v/>
      </c>
      <c r="E440" s="54" t="str">
        <f>IFERROR(VLOOKUP($A440,EntryList!$A$3:$V$596,19,FALSE),"")</f>
        <v/>
      </c>
      <c r="F440" s="176" t="str">
        <f>IFERROR(VLOOKUP($A440,EntryList!$A$3:$V$596,18,FALSE),"")</f>
        <v/>
      </c>
      <c r="H440" s="90" t="str">
        <f>IFERROR(VLOOKUP($A440,EntryList!$A$3:$N$596,7,FALSE),"")</f>
        <v/>
      </c>
      <c r="I440" s="54" t="str">
        <f>IFERROR(VLOOKUP($A440,SortedDownload!$A$3:$Z936,4,FALSE),"")</f>
        <v/>
      </c>
      <c r="J440" s="59" t="str">
        <f>IFERROR(VLOOKUP($A440,SortedDownload!$A$3:$BB$499,23,FALSE),"")</f>
        <v/>
      </c>
      <c r="K440" s="59" t="str">
        <f>IFERROR(VLOOKUP($A440,SortedDownload!$A$3:$BB$499,24,FALSE),"")</f>
        <v/>
      </c>
      <c r="L440" s="59" t="str">
        <f>IFERROR(VLOOKUP($A440,SortedDownload!$A$3:$BB$499,25,FALSE),"")</f>
        <v/>
      </c>
      <c r="M440" s="59" t="str">
        <f>IFERROR(VLOOKUP($A440,SortedDownload!$A$3:$BB$499,26,FALSE),"")</f>
        <v/>
      </c>
      <c r="N440" s="59" t="str">
        <f>IFERROR(VLOOKUP($A440,SortedDownload!$A$3:$BB$499,27,FALSE),"")</f>
        <v/>
      </c>
      <c r="O440" s="59" t="str">
        <f>IFERROR(VLOOKUP($A440,SortedDownload!$A$3:$BB$499,28,FALSE),"")</f>
        <v/>
      </c>
      <c r="P440" s="59" t="str">
        <f>IFERROR(VLOOKUP($A440,SortedDownload!$A$3:$BB$499,29,FALSE),"")</f>
        <v/>
      </c>
      <c r="Q440" s="59" t="str">
        <f>IFERROR(VLOOKUP($A440,SortedDownload!$A$3:$BB$499,30,FALSE),"")</f>
        <v/>
      </c>
      <c r="R440" s="62" t="str">
        <f>IFERROR(TEXT(VLOOKUP($A440,SortedDownload!$A$3:$Z$499,14,FALSE),"[hh]:mm:ss.000"),"")</f>
        <v/>
      </c>
      <c r="S440" s="83" t="str">
        <f t="shared" si="20"/>
        <v>N/A</v>
      </c>
      <c r="T440" s="83" t="e">
        <f t="shared" si="18"/>
        <v>#VALUE!</v>
      </c>
      <c r="U440" s="9" t="str">
        <f t="shared" si="19"/>
        <v/>
      </c>
      <c r="V440" s="20" t="str">
        <f>IFERROR(IF(VLOOKUP(H440,AgeCategories!$D$3:$J$32,7,FALSE)=I440,"","DNF"),"")</f>
        <v/>
      </c>
    </row>
    <row r="441" spans="1:22">
      <c r="A441" s="53" t="str">
        <f>IF(SortedDownload!A441 &lt; 1,"",SortedDownload!A441)</f>
        <v/>
      </c>
      <c r="B441" s="55">
        <f>IF(V441&lt;&gt;"","DNF",COUNTIF($V$3:V441,V441))</f>
        <v>406</v>
      </c>
      <c r="C441" s="54" t="str">
        <f>IF(OR(B441="DNF",H441=""),"DNF",COUNTIF($H$3:H441,H441))</f>
        <v>DNF</v>
      </c>
      <c r="D441" s="90" t="str">
        <f>IFERROR(VLOOKUP($A441,EntryList!$A$3:$N$596,2,FALSE),"")</f>
        <v/>
      </c>
      <c r="E441" s="54" t="str">
        <f>IFERROR(VLOOKUP($A441,EntryList!$A$3:$V$596,19,FALSE),"")</f>
        <v/>
      </c>
      <c r="F441" s="176" t="str">
        <f>IFERROR(VLOOKUP($A441,EntryList!$A$3:$V$596,18,FALSE),"")</f>
        <v/>
      </c>
      <c r="H441" s="90" t="str">
        <f>IFERROR(VLOOKUP($A441,EntryList!$A$3:$N$596,7,FALSE),"")</f>
        <v/>
      </c>
      <c r="I441" s="54" t="str">
        <f>IFERROR(VLOOKUP($A441,SortedDownload!$A$3:$Z937,4,FALSE),"")</f>
        <v/>
      </c>
      <c r="J441" s="59" t="str">
        <f>IFERROR(VLOOKUP($A441,SortedDownload!$A$3:$BB$499,23,FALSE),"")</f>
        <v/>
      </c>
      <c r="K441" s="59" t="str">
        <f>IFERROR(VLOOKUP($A441,SortedDownload!$A$3:$BB$499,24,FALSE),"")</f>
        <v/>
      </c>
      <c r="L441" s="59" t="str">
        <f>IFERROR(VLOOKUP($A441,SortedDownload!$A$3:$BB$499,25,FALSE),"")</f>
        <v/>
      </c>
      <c r="M441" s="59" t="str">
        <f>IFERROR(VLOOKUP($A441,SortedDownload!$A$3:$BB$499,26,FALSE),"")</f>
        <v/>
      </c>
      <c r="N441" s="59" t="str">
        <f>IFERROR(VLOOKUP($A441,SortedDownload!$A$3:$BB$499,27,FALSE),"")</f>
        <v/>
      </c>
      <c r="O441" s="59" t="str">
        <f>IFERROR(VLOOKUP($A441,SortedDownload!$A$3:$BB$499,28,FALSE),"")</f>
        <v/>
      </c>
      <c r="P441" s="59" t="str">
        <f>IFERROR(VLOOKUP($A441,SortedDownload!$A$3:$BB$499,29,FALSE),"")</f>
        <v/>
      </c>
      <c r="Q441" s="59" t="str">
        <f>IFERROR(VLOOKUP($A441,SortedDownload!$A$3:$BB$499,30,FALSE),"")</f>
        <v/>
      </c>
      <c r="R441" s="62" t="str">
        <f>IFERROR(TEXT(VLOOKUP($A441,SortedDownload!$A$3:$Z$499,14,FALSE),"[hh]:mm:ss.000"),"")</f>
        <v/>
      </c>
      <c r="S441" s="83" t="str">
        <f t="shared" si="20"/>
        <v>N/A</v>
      </c>
      <c r="T441" s="83" t="e">
        <f t="shared" si="18"/>
        <v>#VALUE!</v>
      </c>
      <c r="U441" s="9" t="str">
        <f t="shared" si="19"/>
        <v/>
      </c>
      <c r="V441" s="20" t="str">
        <f>IFERROR(IF(VLOOKUP(H441,AgeCategories!$D$3:$J$32,7,FALSE)=I441,"","DNF"),"")</f>
        <v/>
      </c>
    </row>
    <row r="442" spans="1:22">
      <c r="A442" s="53" t="str">
        <f>IF(SortedDownload!A442 &lt; 1,"",SortedDownload!A442)</f>
        <v/>
      </c>
      <c r="B442" s="55">
        <f>IF(V442&lt;&gt;"","DNF",COUNTIF($V$3:V442,V442))</f>
        <v>407</v>
      </c>
      <c r="C442" s="54" t="str">
        <f>IF(OR(B442="DNF",H442=""),"DNF",COUNTIF($H$3:H442,H442))</f>
        <v>DNF</v>
      </c>
      <c r="D442" s="90" t="str">
        <f>IFERROR(VLOOKUP($A442,EntryList!$A$3:$N$596,2,FALSE),"")</f>
        <v/>
      </c>
      <c r="E442" s="54" t="str">
        <f>IFERROR(VLOOKUP($A442,EntryList!$A$3:$V$596,19,FALSE),"")</f>
        <v/>
      </c>
      <c r="F442" s="176" t="str">
        <f>IFERROR(VLOOKUP($A442,EntryList!$A$3:$V$596,18,FALSE),"")</f>
        <v/>
      </c>
      <c r="H442" s="90" t="str">
        <f>IFERROR(VLOOKUP($A442,EntryList!$A$3:$N$596,7,FALSE),"")</f>
        <v/>
      </c>
      <c r="I442" s="54" t="str">
        <f>IFERROR(VLOOKUP($A442,SortedDownload!$A$3:$Z938,4,FALSE),"")</f>
        <v/>
      </c>
      <c r="J442" s="59" t="str">
        <f>IFERROR(VLOOKUP($A442,SortedDownload!$A$3:$BB$499,23,FALSE),"")</f>
        <v/>
      </c>
      <c r="K442" s="59" t="str">
        <f>IFERROR(VLOOKUP($A442,SortedDownload!$A$3:$BB$499,24,FALSE),"")</f>
        <v/>
      </c>
      <c r="L442" s="59" t="str">
        <f>IFERROR(VLOOKUP($A442,SortedDownload!$A$3:$BB$499,25,FALSE),"")</f>
        <v/>
      </c>
      <c r="M442" s="59" t="str">
        <f>IFERROR(VLOOKUP($A442,SortedDownload!$A$3:$BB$499,26,FALSE),"")</f>
        <v/>
      </c>
      <c r="N442" s="59" t="str">
        <f>IFERROR(VLOOKUP($A442,SortedDownload!$A$3:$BB$499,27,FALSE),"")</f>
        <v/>
      </c>
      <c r="O442" s="59" t="str">
        <f>IFERROR(VLOOKUP($A442,SortedDownload!$A$3:$BB$499,28,FALSE),"")</f>
        <v/>
      </c>
      <c r="P442" s="59" t="str">
        <f>IFERROR(VLOOKUP($A442,SortedDownload!$A$3:$BB$499,29,FALSE),"")</f>
        <v/>
      </c>
      <c r="Q442" s="59" t="str">
        <f>IFERROR(VLOOKUP($A442,SortedDownload!$A$3:$BB$499,30,FALSE),"")</f>
        <v/>
      </c>
      <c r="R442" s="62" t="str">
        <f>IFERROR(TEXT(VLOOKUP($A442,SortedDownload!$A$3:$Z$499,14,FALSE),"[hh]:mm:ss.000"),"")</f>
        <v/>
      </c>
      <c r="S442" s="83" t="str">
        <f t="shared" si="20"/>
        <v>N/A</v>
      </c>
      <c r="T442" s="83" t="e">
        <f t="shared" si="18"/>
        <v>#VALUE!</v>
      </c>
      <c r="U442" s="9" t="str">
        <f t="shared" si="19"/>
        <v/>
      </c>
      <c r="V442" s="20" t="str">
        <f>IFERROR(IF(VLOOKUP(H442,AgeCategories!$D$3:$J$32,7,FALSE)=I442,"","DNF"),"")</f>
        <v/>
      </c>
    </row>
    <row r="443" spans="1:22">
      <c r="A443" s="53" t="str">
        <f>IF(SortedDownload!A443 &lt; 1,"",SortedDownload!A443)</f>
        <v/>
      </c>
      <c r="B443" s="55">
        <f>IF(V443&lt;&gt;"","DNF",COUNTIF($V$3:V443,V443))</f>
        <v>408</v>
      </c>
      <c r="C443" s="54" t="str">
        <f>IF(OR(B443="DNF",H443=""),"DNF",COUNTIF($H$3:H443,H443))</f>
        <v>DNF</v>
      </c>
      <c r="D443" s="90" t="str">
        <f>IFERROR(VLOOKUP($A443,EntryList!$A$3:$N$596,2,FALSE),"")</f>
        <v/>
      </c>
      <c r="E443" s="54" t="str">
        <f>IFERROR(VLOOKUP($A443,EntryList!$A$3:$V$596,19,FALSE),"")</f>
        <v/>
      </c>
      <c r="F443" s="176" t="str">
        <f>IFERROR(VLOOKUP($A443,EntryList!$A$3:$V$596,18,FALSE),"")</f>
        <v/>
      </c>
      <c r="H443" s="90" t="str">
        <f>IFERROR(VLOOKUP($A443,EntryList!$A$3:$N$596,7,FALSE),"")</f>
        <v/>
      </c>
      <c r="I443" s="54" t="str">
        <f>IFERROR(VLOOKUP($A443,SortedDownload!$A$3:$Z939,4,FALSE),"")</f>
        <v/>
      </c>
      <c r="J443" s="59" t="str">
        <f>IFERROR(VLOOKUP($A443,SortedDownload!$A$3:$BB$499,23,FALSE),"")</f>
        <v/>
      </c>
      <c r="K443" s="59" t="str">
        <f>IFERROR(VLOOKUP($A443,SortedDownload!$A$3:$BB$499,24,FALSE),"")</f>
        <v/>
      </c>
      <c r="L443" s="59" t="str">
        <f>IFERROR(VLOOKUP($A443,SortedDownload!$A$3:$BB$499,25,FALSE),"")</f>
        <v/>
      </c>
      <c r="M443" s="59" t="str">
        <f>IFERROR(VLOOKUP($A443,SortedDownload!$A$3:$BB$499,26,FALSE),"")</f>
        <v/>
      </c>
      <c r="N443" s="59" t="str">
        <f>IFERROR(VLOOKUP($A443,SortedDownload!$A$3:$BB$499,27,FALSE),"")</f>
        <v/>
      </c>
      <c r="O443" s="59" t="str">
        <f>IFERROR(VLOOKUP($A443,SortedDownload!$A$3:$BB$499,28,FALSE),"")</f>
        <v/>
      </c>
      <c r="P443" s="59" t="str">
        <f>IFERROR(VLOOKUP($A443,SortedDownload!$A$3:$BB$499,29,FALSE),"")</f>
        <v/>
      </c>
      <c r="Q443" s="59" t="str">
        <f>IFERROR(VLOOKUP($A443,SortedDownload!$A$3:$BB$499,30,FALSE),"")</f>
        <v/>
      </c>
      <c r="R443" s="62" t="str">
        <f>IFERROR(TEXT(VLOOKUP($A443,SortedDownload!$A$3:$Z$499,14,FALSE),"[hh]:mm:ss.000"),"")</f>
        <v/>
      </c>
      <c r="S443" s="83" t="str">
        <f t="shared" si="20"/>
        <v>N/A</v>
      </c>
      <c r="T443" s="83" t="e">
        <f t="shared" si="18"/>
        <v>#VALUE!</v>
      </c>
      <c r="U443" s="9" t="str">
        <f t="shared" si="19"/>
        <v/>
      </c>
      <c r="V443" s="20" t="str">
        <f>IFERROR(IF(VLOOKUP(H443,AgeCategories!$D$3:$J$32,7,FALSE)=I443,"","DNF"),"")</f>
        <v/>
      </c>
    </row>
    <row r="444" spans="1:22">
      <c r="A444" s="53" t="str">
        <f>IF(SortedDownload!A444 &lt; 1,"",SortedDownload!A444)</f>
        <v/>
      </c>
      <c r="B444" s="55">
        <f>IF(V444&lt;&gt;"","DNF",COUNTIF($V$3:V444,V444))</f>
        <v>409</v>
      </c>
      <c r="C444" s="54" t="str">
        <f>IF(OR(B444="DNF",H444=""),"DNF",COUNTIF($H$3:H444,H444))</f>
        <v>DNF</v>
      </c>
      <c r="D444" s="90" t="str">
        <f>IFERROR(VLOOKUP($A444,EntryList!$A$3:$N$596,2,FALSE),"")</f>
        <v/>
      </c>
      <c r="E444" s="54" t="str">
        <f>IFERROR(VLOOKUP($A444,EntryList!$A$3:$V$596,19,FALSE),"")</f>
        <v/>
      </c>
      <c r="F444" s="176" t="str">
        <f>IFERROR(VLOOKUP($A444,EntryList!$A$3:$V$596,18,FALSE),"")</f>
        <v/>
      </c>
      <c r="H444" s="90" t="str">
        <f>IFERROR(VLOOKUP($A444,EntryList!$A$3:$N$596,7,FALSE),"")</f>
        <v/>
      </c>
      <c r="I444" s="54" t="str">
        <f>IFERROR(VLOOKUP($A444,SortedDownload!$A$3:$Z940,4,FALSE),"")</f>
        <v/>
      </c>
      <c r="J444" s="59" t="str">
        <f>IFERROR(VLOOKUP($A444,SortedDownload!$A$3:$BB$499,23,FALSE),"")</f>
        <v/>
      </c>
      <c r="K444" s="59" t="str">
        <f>IFERROR(VLOOKUP($A444,SortedDownload!$A$3:$BB$499,24,FALSE),"")</f>
        <v/>
      </c>
      <c r="L444" s="59" t="str">
        <f>IFERROR(VLOOKUP($A444,SortedDownload!$A$3:$BB$499,25,FALSE),"")</f>
        <v/>
      </c>
      <c r="M444" s="59" t="str">
        <f>IFERROR(VLOOKUP($A444,SortedDownload!$A$3:$BB$499,26,FALSE),"")</f>
        <v/>
      </c>
      <c r="N444" s="59" t="str">
        <f>IFERROR(VLOOKUP($A444,SortedDownload!$A$3:$BB$499,27,FALSE),"")</f>
        <v/>
      </c>
      <c r="O444" s="59" t="str">
        <f>IFERROR(VLOOKUP($A444,SortedDownload!$A$3:$BB$499,28,FALSE),"")</f>
        <v/>
      </c>
      <c r="P444" s="59" t="str">
        <f>IFERROR(VLOOKUP($A444,SortedDownload!$A$3:$BB$499,29,FALSE),"")</f>
        <v/>
      </c>
      <c r="Q444" s="59" t="str">
        <f>IFERROR(VLOOKUP($A444,SortedDownload!$A$3:$BB$499,30,FALSE),"")</f>
        <v/>
      </c>
      <c r="R444" s="62" t="str">
        <f>IFERROR(TEXT(VLOOKUP($A444,SortedDownload!$A$3:$Z$499,14,FALSE),"[hh]:mm:ss.000"),"")</f>
        <v/>
      </c>
      <c r="S444" s="83" t="str">
        <f t="shared" si="20"/>
        <v>N/A</v>
      </c>
      <c r="T444" s="83" t="e">
        <f t="shared" si="18"/>
        <v>#VALUE!</v>
      </c>
      <c r="U444" s="9" t="str">
        <f t="shared" si="19"/>
        <v/>
      </c>
      <c r="V444" s="20" t="str">
        <f>IFERROR(IF(VLOOKUP(H444,AgeCategories!$D$3:$J$32,7,FALSE)=I444,"","DNF"),"")</f>
        <v/>
      </c>
    </row>
    <row r="445" spans="1:22">
      <c r="A445" s="53" t="str">
        <f>IF(SortedDownload!A445 &lt; 1,"",SortedDownload!A445)</f>
        <v/>
      </c>
      <c r="B445" s="55">
        <f>IF(V445&lt;&gt;"","DNF",COUNTIF($V$3:V445,V445))</f>
        <v>410</v>
      </c>
      <c r="C445" s="54" t="str">
        <f>IF(OR(B445="DNF",H445=""),"DNF",COUNTIF($H$3:H445,H445))</f>
        <v>DNF</v>
      </c>
      <c r="D445" s="90" t="str">
        <f>IFERROR(VLOOKUP($A445,EntryList!$A$3:$N$596,2,FALSE),"")</f>
        <v/>
      </c>
      <c r="E445" s="54" t="str">
        <f>IFERROR(VLOOKUP($A445,EntryList!$A$3:$V$596,19,FALSE),"")</f>
        <v/>
      </c>
      <c r="F445" s="176" t="str">
        <f>IFERROR(VLOOKUP($A445,EntryList!$A$3:$V$596,18,FALSE),"")</f>
        <v/>
      </c>
      <c r="H445" s="90" t="str">
        <f>IFERROR(VLOOKUP($A445,EntryList!$A$3:$N$596,7,FALSE),"")</f>
        <v/>
      </c>
      <c r="I445" s="54" t="str">
        <f>IFERROR(VLOOKUP($A445,SortedDownload!$A$3:$Z941,4,FALSE),"")</f>
        <v/>
      </c>
      <c r="J445" s="59" t="str">
        <f>IFERROR(VLOOKUP($A445,SortedDownload!$A$3:$BB$499,23,FALSE),"")</f>
        <v/>
      </c>
      <c r="K445" s="59" t="str">
        <f>IFERROR(VLOOKUP($A445,SortedDownload!$A$3:$BB$499,24,FALSE),"")</f>
        <v/>
      </c>
      <c r="L445" s="59" t="str">
        <f>IFERROR(VLOOKUP($A445,SortedDownload!$A$3:$BB$499,25,FALSE),"")</f>
        <v/>
      </c>
      <c r="M445" s="59" t="str">
        <f>IFERROR(VLOOKUP($A445,SortedDownload!$A$3:$BB$499,26,FALSE),"")</f>
        <v/>
      </c>
      <c r="N445" s="59" t="str">
        <f>IFERROR(VLOOKUP($A445,SortedDownload!$A$3:$BB$499,27,FALSE),"")</f>
        <v/>
      </c>
      <c r="O445" s="59" t="str">
        <f>IFERROR(VLOOKUP($A445,SortedDownload!$A$3:$BB$499,28,FALSE),"")</f>
        <v/>
      </c>
      <c r="P445" s="59" t="str">
        <f>IFERROR(VLOOKUP($A445,SortedDownload!$A$3:$BB$499,29,FALSE),"")</f>
        <v/>
      </c>
      <c r="Q445" s="59" t="str">
        <f>IFERROR(VLOOKUP($A445,SortedDownload!$A$3:$BB$499,30,FALSE),"")</f>
        <v/>
      </c>
      <c r="R445" s="62" t="str">
        <f>IFERROR(TEXT(VLOOKUP($A445,SortedDownload!$A$3:$Z$499,14,FALSE),"[hh]:mm:ss.000"),"")</f>
        <v/>
      </c>
      <c r="S445" s="83" t="str">
        <f t="shared" si="20"/>
        <v>N/A</v>
      </c>
      <c r="T445" s="83" t="e">
        <f t="shared" si="18"/>
        <v>#VALUE!</v>
      </c>
      <c r="U445" s="9" t="str">
        <f t="shared" si="19"/>
        <v/>
      </c>
      <c r="V445" s="20" t="str">
        <f>IFERROR(IF(VLOOKUP(H445,AgeCategories!$D$3:$J$32,7,FALSE)=I445,"","DNF"),"")</f>
        <v/>
      </c>
    </row>
    <row r="446" spans="1:22">
      <c r="A446" s="53" t="str">
        <f>IF(SortedDownload!A446 &lt; 1,"",SortedDownload!A446)</f>
        <v/>
      </c>
      <c r="B446" s="55">
        <f>IF(V446&lt;&gt;"","DNF",COUNTIF($V$3:V446,V446))</f>
        <v>411</v>
      </c>
      <c r="C446" s="54" t="str">
        <f>IF(OR(B446="DNF",H446=""),"DNF",COUNTIF($H$3:H446,H446))</f>
        <v>DNF</v>
      </c>
      <c r="D446" s="90" t="str">
        <f>IFERROR(VLOOKUP($A446,EntryList!$A$3:$N$596,2,FALSE),"")</f>
        <v/>
      </c>
      <c r="E446" s="54" t="str">
        <f>IFERROR(VLOOKUP($A446,EntryList!$A$3:$V$596,19,FALSE),"")</f>
        <v/>
      </c>
      <c r="F446" s="176" t="str">
        <f>IFERROR(VLOOKUP($A446,EntryList!$A$3:$V$596,18,FALSE),"")</f>
        <v/>
      </c>
      <c r="H446" s="90" t="str">
        <f>IFERROR(VLOOKUP($A446,EntryList!$A$3:$N$596,7,FALSE),"")</f>
        <v/>
      </c>
      <c r="I446" s="54" t="str">
        <f>IFERROR(VLOOKUP($A446,SortedDownload!$A$3:$Z942,4,FALSE),"")</f>
        <v/>
      </c>
      <c r="J446" s="59" t="str">
        <f>IFERROR(VLOOKUP($A446,SortedDownload!$A$3:$BB$499,23,FALSE),"")</f>
        <v/>
      </c>
      <c r="K446" s="59" t="str">
        <f>IFERROR(VLOOKUP($A446,SortedDownload!$A$3:$BB$499,24,FALSE),"")</f>
        <v/>
      </c>
      <c r="L446" s="59" t="str">
        <f>IFERROR(VLOOKUP($A446,SortedDownload!$A$3:$BB$499,25,FALSE),"")</f>
        <v/>
      </c>
      <c r="M446" s="59" t="str">
        <f>IFERROR(VLOOKUP($A446,SortedDownload!$A$3:$BB$499,26,FALSE),"")</f>
        <v/>
      </c>
      <c r="N446" s="59" t="str">
        <f>IFERROR(VLOOKUP($A446,SortedDownload!$A$3:$BB$499,27,FALSE),"")</f>
        <v/>
      </c>
      <c r="O446" s="59" t="str">
        <f>IFERROR(VLOOKUP($A446,SortedDownload!$A$3:$BB$499,28,FALSE),"")</f>
        <v/>
      </c>
      <c r="P446" s="59" t="str">
        <f>IFERROR(VLOOKUP($A446,SortedDownload!$A$3:$BB$499,29,FALSE),"")</f>
        <v/>
      </c>
      <c r="Q446" s="59" t="str">
        <f>IFERROR(VLOOKUP($A446,SortedDownload!$A$3:$BB$499,30,FALSE),"")</f>
        <v/>
      </c>
      <c r="R446" s="62" t="str">
        <f>IFERROR(TEXT(VLOOKUP($A446,SortedDownload!$A$3:$Z$499,14,FALSE),"[hh]:mm:ss.000"),"")</f>
        <v/>
      </c>
      <c r="S446" s="83" t="str">
        <f t="shared" si="20"/>
        <v>N/A</v>
      </c>
      <c r="T446" s="83" t="e">
        <f t="shared" si="18"/>
        <v>#VALUE!</v>
      </c>
      <c r="U446" s="9" t="str">
        <f t="shared" si="19"/>
        <v/>
      </c>
      <c r="V446" s="20" t="str">
        <f>IFERROR(IF(VLOOKUP(H446,AgeCategories!$D$3:$J$32,7,FALSE)=I446,"","DNF"),"")</f>
        <v/>
      </c>
    </row>
    <row r="447" spans="1:22">
      <c r="A447" s="53" t="str">
        <f>IF(SortedDownload!A447 &lt; 1,"",SortedDownload!A447)</f>
        <v/>
      </c>
      <c r="B447" s="55">
        <f>IF(V447&lt;&gt;"","DNF",COUNTIF($V$3:V447,V447))</f>
        <v>412</v>
      </c>
      <c r="C447" s="54" t="str">
        <f>IF(OR(B447="DNF",H447=""),"DNF",COUNTIF($H$3:H447,H447))</f>
        <v>DNF</v>
      </c>
      <c r="D447" s="90" t="str">
        <f>IFERROR(VLOOKUP($A447,EntryList!$A$3:$N$596,2,FALSE),"")</f>
        <v/>
      </c>
      <c r="E447" s="54" t="str">
        <f>IFERROR(VLOOKUP($A447,EntryList!$A$3:$V$596,19,FALSE),"")</f>
        <v/>
      </c>
      <c r="F447" s="176" t="str">
        <f>IFERROR(VLOOKUP($A447,EntryList!$A$3:$V$596,18,FALSE),"")</f>
        <v/>
      </c>
      <c r="H447" s="90" t="str">
        <f>IFERROR(VLOOKUP($A447,EntryList!$A$3:$N$596,7,FALSE),"")</f>
        <v/>
      </c>
      <c r="I447" s="54" t="str">
        <f>IFERROR(VLOOKUP($A447,SortedDownload!$A$3:$Z943,4,FALSE),"")</f>
        <v/>
      </c>
      <c r="J447" s="59" t="str">
        <f>IFERROR(VLOOKUP($A447,SortedDownload!$A$3:$BB$499,23,FALSE),"")</f>
        <v/>
      </c>
      <c r="K447" s="59" t="str">
        <f>IFERROR(VLOOKUP($A447,SortedDownload!$A$3:$BB$499,24,FALSE),"")</f>
        <v/>
      </c>
      <c r="L447" s="59" t="str">
        <f>IFERROR(VLOOKUP($A447,SortedDownload!$A$3:$BB$499,25,FALSE),"")</f>
        <v/>
      </c>
      <c r="M447" s="59" t="str">
        <f>IFERROR(VLOOKUP($A447,SortedDownload!$A$3:$BB$499,26,FALSE),"")</f>
        <v/>
      </c>
      <c r="N447" s="59" t="str">
        <f>IFERROR(VLOOKUP($A447,SortedDownload!$A$3:$BB$499,27,FALSE),"")</f>
        <v/>
      </c>
      <c r="O447" s="59" t="str">
        <f>IFERROR(VLOOKUP($A447,SortedDownload!$A$3:$BB$499,28,FALSE),"")</f>
        <v/>
      </c>
      <c r="P447" s="59" t="str">
        <f>IFERROR(VLOOKUP($A447,SortedDownload!$A$3:$BB$499,29,FALSE),"")</f>
        <v/>
      </c>
      <c r="Q447" s="59" t="str">
        <f>IFERROR(VLOOKUP($A447,SortedDownload!$A$3:$BB$499,30,FALSE),"")</f>
        <v/>
      </c>
      <c r="R447" s="62" t="str">
        <f>IFERROR(TEXT(VLOOKUP($A447,SortedDownload!$A$3:$Z$499,14,FALSE),"[hh]:mm:ss.000"),"")</f>
        <v/>
      </c>
      <c r="S447" s="83" t="str">
        <f t="shared" si="20"/>
        <v>N/A</v>
      </c>
      <c r="T447" s="83" t="e">
        <f t="shared" si="18"/>
        <v>#VALUE!</v>
      </c>
      <c r="U447" s="9" t="str">
        <f t="shared" si="19"/>
        <v/>
      </c>
      <c r="V447" s="20" t="str">
        <f>IFERROR(IF(VLOOKUP(H447,AgeCategories!$D$3:$J$32,7,FALSE)=I447,"","DNF"),"")</f>
        <v/>
      </c>
    </row>
    <row r="448" spans="1:22">
      <c r="A448" s="53" t="str">
        <f>IF(SortedDownload!A448 &lt; 1,"",SortedDownload!A448)</f>
        <v/>
      </c>
      <c r="B448" s="55">
        <f>IF(V448&lt;&gt;"","DNF",COUNTIF($V$3:V448,V448))</f>
        <v>413</v>
      </c>
      <c r="C448" s="54" t="str">
        <f>IF(OR(B448="DNF",H448=""),"DNF",COUNTIF($H$3:H448,H448))</f>
        <v>DNF</v>
      </c>
      <c r="D448" s="90" t="str">
        <f>IFERROR(VLOOKUP($A448,EntryList!$A$3:$N$596,2,FALSE),"")</f>
        <v/>
      </c>
      <c r="E448" s="54" t="str">
        <f>IFERROR(VLOOKUP($A448,EntryList!$A$3:$V$596,19,FALSE),"")</f>
        <v/>
      </c>
      <c r="F448" s="176" t="str">
        <f>IFERROR(VLOOKUP($A448,EntryList!$A$3:$V$596,18,FALSE),"")</f>
        <v/>
      </c>
      <c r="H448" s="90" t="str">
        <f>IFERROR(VLOOKUP($A448,EntryList!$A$3:$N$596,7,FALSE),"")</f>
        <v/>
      </c>
      <c r="I448" s="54" t="str">
        <f>IFERROR(VLOOKUP($A448,SortedDownload!$A$3:$Z944,4,FALSE),"")</f>
        <v/>
      </c>
      <c r="J448" s="59" t="str">
        <f>IFERROR(VLOOKUP($A448,SortedDownload!$A$3:$BB$499,23,FALSE),"")</f>
        <v/>
      </c>
      <c r="K448" s="59" t="str">
        <f>IFERROR(VLOOKUP($A448,SortedDownload!$A$3:$BB$499,24,FALSE),"")</f>
        <v/>
      </c>
      <c r="L448" s="59" t="str">
        <f>IFERROR(VLOOKUP($A448,SortedDownload!$A$3:$BB$499,25,FALSE),"")</f>
        <v/>
      </c>
      <c r="M448" s="59" t="str">
        <f>IFERROR(VLOOKUP($A448,SortedDownload!$A$3:$BB$499,26,FALSE),"")</f>
        <v/>
      </c>
      <c r="N448" s="59" t="str">
        <f>IFERROR(VLOOKUP($A448,SortedDownload!$A$3:$BB$499,27,FALSE),"")</f>
        <v/>
      </c>
      <c r="O448" s="59" t="str">
        <f>IFERROR(VLOOKUP($A448,SortedDownload!$A$3:$BB$499,28,FALSE),"")</f>
        <v/>
      </c>
      <c r="P448" s="59" t="str">
        <f>IFERROR(VLOOKUP($A448,SortedDownload!$A$3:$BB$499,29,FALSE),"")</f>
        <v/>
      </c>
      <c r="Q448" s="59" t="str">
        <f>IFERROR(VLOOKUP($A448,SortedDownload!$A$3:$BB$499,30,FALSE),"")</f>
        <v/>
      </c>
      <c r="R448" s="62" t="str">
        <f>IFERROR(TEXT(VLOOKUP($A448,SortedDownload!$A$3:$Z$499,14,FALSE),"[hh]:mm:ss.000"),"")</f>
        <v/>
      </c>
      <c r="S448" s="83" t="str">
        <f t="shared" si="20"/>
        <v>N/A</v>
      </c>
      <c r="T448" s="83" t="e">
        <f t="shared" si="18"/>
        <v>#VALUE!</v>
      </c>
      <c r="U448" s="9" t="str">
        <f t="shared" si="19"/>
        <v/>
      </c>
      <c r="V448" s="20" t="str">
        <f>IFERROR(IF(VLOOKUP(H448,AgeCategories!$D$3:$J$32,7,FALSE)=I448,"","DNF"),"")</f>
        <v/>
      </c>
    </row>
    <row r="449" spans="1:22">
      <c r="A449" s="53" t="str">
        <f>IF(SortedDownload!A449 &lt; 1,"",SortedDownload!A449)</f>
        <v/>
      </c>
      <c r="B449" s="55">
        <f>IF(V449&lt;&gt;"","DNF",COUNTIF($V$3:V449,V449))</f>
        <v>414</v>
      </c>
      <c r="C449" s="54" t="str">
        <f>IF(OR(B449="DNF",H449=""),"DNF",COUNTIF($H$3:H449,H449))</f>
        <v>DNF</v>
      </c>
      <c r="D449" s="90" t="str">
        <f>IFERROR(VLOOKUP($A449,EntryList!$A$3:$N$596,2,FALSE),"")</f>
        <v/>
      </c>
      <c r="E449" s="54" t="str">
        <f>IFERROR(VLOOKUP($A449,EntryList!$A$3:$V$596,19,FALSE),"")</f>
        <v/>
      </c>
      <c r="F449" s="176" t="str">
        <f>IFERROR(VLOOKUP($A449,EntryList!$A$3:$V$596,18,FALSE),"")</f>
        <v/>
      </c>
      <c r="H449" s="90" t="str">
        <f>IFERROR(VLOOKUP($A449,EntryList!$A$3:$N$596,7,FALSE),"")</f>
        <v/>
      </c>
      <c r="I449" s="54" t="str">
        <f>IFERROR(VLOOKUP($A449,SortedDownload!$A$3:$Z945,4,FALSE),"")</f>
        <v/>
      </c>
      <c r="J449" s="59" t="str">
        <f>IFERROR(VLOOKUP($A449,SortedDownload!$A$3:$BB$499,23,FALSE),"")</f>
        <v/>
      </c>
      <c r="K449" s="59" t="str">
        <f>IFERROR(VLOOKUP($A449,SortedDownload!$A$3:$BB$499,24,FALSE),"")</f>
        <v/>
      </c>
      <c r="L449" s="59" t="str">
        <f>IFERROR(VLOOKUP($A449,SortedDownload!$A$3:$BB$499,25,FALSE),"")</f>
        <v/>
      </c>
      <c r="M449" s="59" t="str">
        <f>IFERROR(VLOOKUP($A449,SortedDownload!$A$3:$BB$499,26,FALSE),"")</f>
        <v/>
      </c>
      <c r="N449" s="59" t="str">
        <f>IFERROR(VLOOKUP($A449,SortedDownload!$A$3:$BB$499,27,FALSE),"")</f>
        <v/>
      </c>
      <c r="O449" s="59" t="str">
        <f>IFERROR(VLOOKUP($A449,SortedDownload!$A$3:$BB$499,28,FALSE),"")</f>
        <v/>
      </c>
      <c r="P449" s="59" t="str">
        <f>IFERROR(VLOOKUP($A449,SortedDownload!$A$3:$BB$499,29,FALSE),"")</f>
        <v/>
      </c>
      <c r="Q449" s="59" t="str">
        <f>IFERROR(VLOOKUP($A449,SortedDownload!$A$3:$BB$499,30,FALSE),"")</f>
        <v/>
      </c>
      <c r="R449" s="62" t="str">
        <f>IFERROR(TEXT(VLOOKUP($A449,SortedDownload!$A$3:$Z$499,14,FALSE),"[hh]:mm:ss.000"),"")</f>
        <v/>
      </c>
      <c r="S449" s="83" t="str">
        <f t="shared" si="20"/>
        <v>N/A</v>
      </c>
      <c r="T449" s="83" t="e">
        <f t="shared" si="18"/>
        <v>#VALUE!</v>
      </c>
      <c r="U449" s="9" t="str">
        <f t="shared" si="19"/>
        <v/>
      </c>
      <c r="V449" s="20" t="str">
        <f>IFERROR(IF(VLOOKUP(H449,AgeCategories!$D$3:$J$32,7,FALSE)=I449,"","DNF"),"")</f>
        <v/>
      </c>
    </row>
    <row r="450" spans="1:22">
      <c r="A450" s="53" t="str">
        <f>IF(SortedDownload!A450 &lt; 1,"",SortedDownload!A450)</f>
        <v/>
      </c>
      <c r="B450" s="55">
        <f>IF(V450&lt;&gt;"","DNF",COUNTIF($V$3:V450,V450))</f>
        <v>415</v>
      </c>
      <c r="C450" s="54" t="str">
        <f>IF(OR(B450="DNF",H450=""),"DNF",COUNTIF($H$3:H450,H450))</f>
        <v>DNF</v>
      </c>
      <c r="D450" s="90" t="str">
        <f>IFERROR(VLOOKUP($A450,EntryList!$A$3:$N$596,2,FALSE),"")</f>
        <v/>
      </c>
      <c r="E450" s="54" t="str">
        <f>IFERROR(VLOOKUP($A450,EntryList!$A$3:$V$596,19,FALSE),"")</f>
        <v/>
      </c>
      <c r="F450" s="176" t="str">
        <f>IFERROR(VLOOKUP($A450,EntryList!$A$3:$V$596,18,FALSE),"")</f>
        <v/>
      </c>
      <c r="H450" s="90" t="str">
        <f>IFERROR(VLOOKUP($A450,EntryList!$A$3:$N$596,7,FALSE),"")</f>
        <v/>
      </c>
      <c r="I450" s="54" t="str">
        <f>IFERROR(VLOOKUP($A450,SortedDownload!$A$3:$Z946,4,FALSE),"")</f>
        <v/>
      </c>
      <c r="J450" s="59" t="str">
        <f>IFERROR(VLOOKUP($A450,SortedDownload!$A$3:$BB$499,23,FALSE),"")</f>
        <v/>
      </c>
      <c r="K450" s="59" t="str">
        <f>IFERROR(VLOOKUP($A450,SortedDownload!$A$3:$BB$499,24,FALSE),"")</f>
        <v/>
      </c>
      <c r="L450" s="59" t="str">
        <f>IFERROR(VLOOKUP($A450,SortedDownload!$A$3:$BB$499,25,FALSE),"")</f>
        <v/>
      </c>
      <c r="M450" s="59" t="str">
        <f>IFERROR(VLOOKUP($A450,SortedDownload!$A$3:$BB$499,26,FALSE),"")</f>
        <v/>
      </c>
      <c r="N450" s="59" t="str">
        <f>IFERROR(VLOOKUP($A450,SortedDownload!$A$3:$BB$499,27,FALSE),"")</f>
        <v/>
      </c>
      <c r="O450" s="59" t="str">
        <f>IFERROR(VLOOKUP($A450,SortedDownload!$A$3:$BB$499,28,FALSE),"")</f>
        <v/>
      </c>
      <c r="P450" s="59" t="str">
        <f>IFERROR(VLOOKUP($A450,SortedDownload!$A$3:$BB$499,29,FALSE),"")</f>
        <v/>
      </c>
      <c r="Q450" s="59" t="str">
        <f>IFERROR(VLOOKUP($A450,SortedDownload!$A$3:$BB$499,30,FALSE),"")</f>
        <v/>
      </c>
      <c r="R450" s="62" t="str">
        <f>IFERROR(TEXT(VLOOKUP($A450,SortedDownload!$A$3:$Z$499,14,FALSE),"[hh]:mm:ss.000"),"")</f>
        <v/>
      </c>
      <c r="S450" s="83" t="str">
        <f t="shared" si="20"/>
        <v>N/A</v>
      </c>
      <c r="T450" s="83" t="e">
        <f t="shared" si="18"/>
        <v>#VALUE!</v>
      </c>
      <c r="U450" s="9" t="str">
        <f t="shared" si="19"/>
        <v/>
      </c>
      <c r="V450" s="20" t="str">
        <f>IFERROR(IF(VLOOKUP(H450,AgeCategories!$D$3:$J$32,7,FALSE)=I450,"","DNF"),"")</f>
        <v/>
      </c>
    </row>
    <row r="451" spans="1:22">
      <c r="A451" s="53" t="str">
        <f>IF(SortedDownload!A451 &lt; 1,"",SortedDownload!A451)</f>
        <v/>
      </c>
      <c r="B451" s="55">
        <f>IF(V451&lt;&gt;"","DNF",COUNTIF($V$3:V451,V451))</f>
        <v>416</v>
      </c>
      <c r="C451" s="54" t="str">
        <f>IF(OR(B451="DNF",H451=""),"DNF",COUNTIF($H$3:H451,H451))</f>
        <v>DNF</v>
      </c>
      <c r="D451" s="90" t="str">
        <f>IFERROR(VLOOKUP($A451,EntryList!$A$3:$N$596,2,FALSE),"")</f>
        <v/>
      </c>
      <c r="E451" s="54" t="str">
        <f>IFERROR(VLOOKUP($A451,EntryList!$A$3:$V$596,19,FALSE),"")</f>
        <v/>
      </c>
      <c r="F451" s="176" t="str">
        <f>IFERROR(VLOOKUP($A451,EntryList!$A$3:$V$596,18,FALSE),"")</f>
        <v/>
      </c>
      <c r="H451" s="90" t="str">
        <f>IFERROR(VLOOKUP($A451,EntryList!$A$3:$N$596,7,FALSE),"")</f>
        <v/>
      </c>
      <c r="I451" s="54" t="str">
        <f>IFERROR(VLOOKUP($A451,SortedDownload!$A$3:$Z947,4,FALSE),"")</f>
        <v/>
      </c>
      <c r="J451" s="59" t="str">
        <f>IFERROR(VLOOKUP($A451,SortedDownload!$A$3:$BB$499,23,FALSE),"")</f>
        <v/>
      </c>
      <c r="K451" s="59" t="str">
        <f>IFERROR(VLOOKUP($A451,SortedDownload!$A$3:$BB$499,24,FALSE),"")</f>
        <v/>
      </c>
      <c r="L451" s="59" t="str">
        <f>IFERROR(VLOOKUP($A451,SortedDownload!$A$3:$BB$499,25,FALSE),"")</f>
        <v/>
      </c>
      <c r="M451" s="59" t="str">
        <f>IFERROR(VLOOKUP($A451,SortedDownload!$A$3:$BB$499,26,FALSE),"")</f>
        <v/>
      </c>
      <c r="N451" s="59" t="str">
        <f>IFERROR(VLOOKUP($A451,SortedDownload!$A$3:$BB$499,27,FALSE),"")</f>
        <v/>
      </c>
      <c r="O451" s="59" t="str">
        <f>IFERROR(VLOOKUP($A451,SortedDownload!$A$3:$BB$499,28,FALSE),"")</f>
        <v/>
      </c>
      <c r="P451" s="59" t="str">
        <f>IFERROR(VLOOKUP($A451,SortedDownload!$A$3:$BB$499,29,FALSE),"")</f>
        <v/>
      </c>
      <c r="Q451" s="59" t="str">
        <f>IFERROR(VLOOKUP($A451,SortedDownload!$A$3:$BB$499,30,FALSE),"")</f>
        <v/>
      </c>
      <c r="R451" s="62" t="str">
        <f>IFERROR(TEXT(VLOOKUP($A451,SortedDownload!$A$3:$Z$499,14,FALSE),"[hh]:mm:ss.000"),"")</f>
        <v/>
      </c>
      <c r="S451" s="83" t="str">
        <f t="shared" si="20"/>
        <v>N/A</v>
      </c>
      <c r="T451" s="83" t="e">
        <f t="shared" si="18"/>
        <v>#VALUE!</v>
      </c>
      <c r="U451" s="9" t="str">
        <f t="shared" si="19"/>
        <v/>
      </c>
      <c r="V451" s="20" t="str">
        <f>IFERROR(IF(VLOOKUP(H451,AgeCategories!$D$3:$J$32,7,FALSE)=I451,"","DNF"),"")</f>
        <v/>
      </c>
    </row>
    <row r="452" spans="1:22">
      <c r="A452" s="53" t="str">
        <f>IF(SortedDownload!A452 &lt; 1,"",SortedDownload!A452)</f>
        <v/>
      </c>
      <c r="B452" s="55">
        <f>IF(V452&lt;&gt;"","DNF",COUNTIF($V$3:V452,V452))</f>
        <v>417</v>
      </c>
      <c r="C452" s="54" t="str">
        <f>IF(OR(B452="DNF",H452=""),"DNF",COUNTIF($H$3:H452,H452))</f>
        <v>DNF</v>
      </c>
      <c r="D452" s="90" t="str">
        <f>IFERROR(VLOOKUP($A452,EntryList!$A$3:$N$596,2,FALSE),"")</f>
        <v/>
      </c>
      <c r="E452" s="54" t="str">
        <f>IFERROR(VLOOKUP($A452,EntryList!$A$3:$V$596,19,FALSE),"")</f>
        <v/>
      </c>
      <c r="F452" s="176" t="str">
        <f>IFERROR(VLOOKUP($A452,EntryList!$A$3:$V$596,18,FALSE),"")</f>
        <v/>
      </c>
      <c r="H452" s="90" t="str">
        <f>IFERROR(VLOOKUP($A452,EntryList!$A$3:$N$596,7,FALSE),"")</f>
        <v/>
      </c>
      <c r="I452" s="54" t="str">
        <f>IFERROR(VLOOKUP($A452,SortedDownload!$A$3:$Z948,4,FALSE),"")</f>
        <v/>
      </c>
      <c r="J452" s="59" t="str">
        <f>IFERROR(VLOOKUP($A452,SortedDownload!$A$3:$BB$499,23,FALSE),"")</f>
        <v/>
      </c>
      <c r="K452" s="59" t="str">
        <f>IFERROR(VLOOKUP($A452,SortedDownload!$A$3:$BB$499,24,FALSE),"")</f>
        <v/>
      </c>
      <c r="L452" s="59" t="str">
        <f>IFERROR(VLOOKUP($A452,SortedDownload!$A$3:$BB$499,25,FALSE),"")</f>
        <v/>
      </c>
      <c r="M452" s="59" t="str">
        <f>IFERROR(VLOOKUP($A452,SortedDownload!$A$3:$BB$499,26,FALSE),"")</f>
        <v/>
      </c>
      <c r="N452" s="59" t="str">
        <f>IFERROR(VLOOKUP($A452,SortedDownload!$A$3:$BB$499,27,FALSE),"")</f>
        <v/>
      </c>
      <c r="O452" s="59" t="str">
        <f>IFERROR(VLOOKUP($A452,SortedDownload!$A$3:$BB$499,28,FALSE),"")</f>
        <v/>
      </c>
      <c r="P452" s="59" t="str">
        <f>IFERROR(VLOOKUP($A452,SortedDownload!$A$3:$BB$499,29,FALSE),"")</f>
        <v/>
      </c>
      <c r="Q452" s="59" t="str">
        <f>IFERROR(VLOOKUP($A452,SortedDownload!$A$3:$BB$499,30,FALSE),"")</f>
        <v/>
      </c>
      <c r="R452" s="62" t="str">
        <f>IFERROR(TEXT(VLOOKUP($A452,SortedDownload!$A$3:$Z$499,14,FALSE),"[hh]:mm:ss.000"),"")</f>
        <v/>
      </c>
      <c r="S452" s="83" t="str">
        <f t="shared" si="20"/>
        <v>N/A</v>
      </c>
      <c r="T452" s="83" t="e">
        <f t="shared" ref="T452:T505" si="21">IF($I452-$I451&lt;0,"N/A",IFERROR(TEXT(($R452-$R$3),"mm:ss"),"N/A"))</f>
        <v>#VALUE!</v>
      </c>
      <c r="U452" s="9" t="str">
        <f t="shared" ref="U452:U505" si="22">IF($A452="","",IF(COUNTIF($A$3:$A$500,$A452)&gt;1,"Duplicate",""))</f>
        <v/>
      </c>
      <c r="V452" s="20" t="str">
        <f>IFERROR(IF(VLOOKUP(H452,AgeCategories!$D$3:$J$32,7,FALSE)=I452,"","DNF"),"")</f>
        <v/>
      </c>
    </row>
    <row r="453" spans="1:22">
      <c r="A453" s="53" t="str">
        <f>IF(SortedDownload!A453 &lt; 1,"",SortedDownload!A453)</f>
        <v/>
      </c>
      <c r="B453" s="55">
        <f>IF(V453&lt;&gt;"","DNF",COUNTIF($V$3:V453,V453))</f>
        <v>418</v>
      </c>
      <c r="C453" s="54" t="str">
        <f>IF(OR(B453="DNF",H453=""),"DNF",COUNTIF($H$3:H453,H453))</f>
        <v>DNF</v>
      </c>
      <c r="D453" s="90" t="str">
        <f>IFERROR(VLOOKUP($A453,EntryList!$A$3:$N$596,2,FALSE),"")</f>
        <v/>
      </c>
      <c r="E453" s="54" t="str">
        <f>IFERROR(VLOOKUP($A453,EntryList!$A$3:$V$596,19,FALSE),"")</f>
        <v/>
      </c>
      <c r="F453" s="176" t="str">
        <f>IFERROR(VLOOKUP($A453,EntryList!$A$3:$V$596,18,FALSE),"")</f>
        <v/>
      </c>
      <c r="H453" s="90" t="str">
        <f>IFERROR(VLOOKUP($A453,EntryList!$A$3:$N$596,7,FALSE),"")</f>
        <v/>
      </c>
      <c r="I453" s="54" t="str">
        <f>IFERROR(VLOOKUP($A453,SortedDownload!$A$3:$Z949,4,FALSE),"")</f>
        <v/>
      </c>
      <c r="J453" s="59" t="str">
        <f>IFERROR(VLOOKUP($A453,SortedDownload!$A$3:$BB$499,23,FALSE),"")</f>
        <v/>
      </c>
      <c r="K453" s="59" t="str">
        <f>IFERROR(VLOOKUP($A453,SortedDownload!$A$3:$BB$499,24,FALSE),"")</f>
        <v/>
      </c>
      <c r="L453" s="59" t="str">
        <f>IFERROR(VLOOKUP($A453,SortedDownload!$A$3:$BB$499,25,FALSE),"")</f>
        <v/>
      </c>
      <c r="M453" s="59" t="str">
        <f>IFERROR(VLOOKUP($A453,SortedDownload!$A$3:$BB$499,26,FALSE),"")</f>
        <v/>
      </c>
      <c r="N453" s="59" t="str">
        <f>IFERROR(VLOOKUP($A453,SortedDownload!$A$3:$BB$499,27,FALSE),"")</f>
        <v/>
      </c>
      <c r="O453" s="59" t="str">
        <f>IFERROR(VLOOKUP($A453,SortedDownload!$A$3:$BB$499,28,FALSE),"")</f>
        <v/>
      </c>
      <c r="P453" s="59" t="str">
        <f>IFERROR(VLOOKUP($A453,SortedDownload!$A$3:$BB$499,29,FALSE),"")</f>
        <v/>
      </c>
      <c r="Q453" s="59" t="str">
        <f>IFERROR(VLOOKUP($A453,SortedDownload!$A$3:$BB$499,30,FALSE),"")</f>
        <v/>
      </c>
      <c r="R453" s="62" t="str">
        <f>IFERROR(TEXT(VLOOKUP($A453,SortedDownload!$A$3:$Z$499,14,FALSE),"[hh]:mm:ss.000"),"")</f>
        <v/>
      </c>
      <c r="S453" s="83" t="str">
        <f t="shared" ref="S453:S505" si="23">IFERROR(TEXT(($R453-$R452),"mm:ss"),"N/A")</f>
        <v>N/A</v>
      </c>
      <c r="T453" s="83" t="e">
        <f t="shared" si="21"/>
        <v>#VALUE!</v>
      </c>
      <c r="U453" s="9" t="str">
        <f t="shared" si="22"/>
        <v/>
      </c>
      <c r="V453" s="20" t="str">
        <f>IFERROR(IF(VLOOKUP(H453,AgeCategories!$D$3:$J$32,7,FALSE)=I453,"","DNF"),"")</f>
        <v/>
      </c>
    </row>
    <row r="454" spans="1:22">
      <c r="A454" s="53" t="str">
        <f>IF(SortedDownload!A454 &lt; 1,"",SortedDownload!A454)</f>
        <v/>
      </c>
      <c r="B454" s="55">
        <f>IF(V454&lt;&gt;"","DNF",COUNTIF($V$3:V454,V454))</f>
        <v>419</v>
      </c>
      <c r="C454" s="54" t="str">
        <f>IF(OR(B454="DNF",H454=""),"DNF",COUNTIF($H$3:H454,H454))</f>
        <v>DNF</v>
      </c>
      <c r="D454" s="90" t="str">
        <f>IFERROR(VLOOKUP($A454,EntryList!$A$3:$N$596,2,FALSE),"")</f>
        <v/>
      </c>
      <c r="E454" s="54" t="str">
        <f>IFERROR(VLOOKUP($A454,EntryList!$A$3:$V$596,19,FALSE),"")</f>
        <v/>
      </c>
      <c r="F454" s="176" t="str">
        <f>IFERROR(VLOOKUP($A454,EntryList!$A$3:$V$596,18,FALSE),"")</f>
        <v/>
      </c>
      <c r="H454" s="90" t="str">
        <f>IFERROR(VLOOKUP($A454,EntryList!$A$3:$N$596,7,FALSE),"")</f>
        <v/>
      </c>
      <c r="I454" s="54" t="str">
        <f>IFERROR(VLOOKUP($A454,SortedDownload!$A$3:$Z950,4,FALSE),"")</f>
        <v/>
      </c>
      <c r="J454" s="59" t="str">
        <f>IFERROR(VLOOKUP($A454,SortedDownload!$A$3:$BB$499,23,FALSE),"")</f>
        <v/>
      </c>
      <c r="K454" s="59" t="str">
        <f>IFERROR(VLOOKUP($A454,SortedDownload!$A$3:$BB$499,24,FALSE),"")</f>
        <v/>
      </c>
      <c r="L454" s="59" t="str">
        <f>IFERROR(VLOOKUP($A454,SortedDownload!$A$3:$BB$499,25,FALSE),"")</f>
        <v/>
      </c>
      <c r="M454" s="59" t="str">
        <f>IFERROR(VLOOKUP($A454,SortedDownload!$A$3:$BB$499,26,FALSE),"")</f>
        <v/>
      </c>
      <c r="N454" s="59" t="str">
        <f>IFERROR(VLOOKUP($A454,SortedDownload!$A$3:$BB$499,27,FALSE),"")</f>
        <v/>
      </c>
      <c r="O454" s="59" t="str">
        <f>IFERROR(VLOOKUP($A454,SortedDownload!$A$3:$BB$499,28,FALSE),"")</f>
        <v/>
      </c>
      <c r="P454" s="59" t="str">
        <f>IFERROR(VLOOKUP($A454,SortedDownload!$A$3:$BB$499,29,FALSE),"")</f>
        <v/>
      </c>
      <c r="Q454" s="59" t="str">
        <f>IFERROR(VLOOKUP($A454,SortedDownload!$A$3:$BB$499,30,FALSE),"")</f>
        <v/>
      </c>
      <c r="R454" s="62" t="str">
        <f>IFERROR(TEXT(VLOOKUP($A454,SortedDownload!$A$3:$Z$499,14,FALSE),"[hh]:mm:ss.000"),"")</f>
        <v/>
      </c>
      <c r="S454" s="83" t="str">
        <f t="shared" si="23"/>
        <v>N/A</v>
      </c>
      <c r="T454" s="83" t="e">
        <f t="shared" si="21"/>
        <v>#VALUE!</v>
      </c>
      <c r="U454" s="9" t="str">
        <f t="shared" si="22"/>
        <v/>
      </c>
      <c r="V454" s="20" t="str">
        <f>IFERROR(IF(VLOOKUP(H454,AgeCategories!$D$3:$J$32,7,FALSE)=I454,"","DNF"),"")</f>
        <v/>
      </c>
    </row>
    <row r="455" spans="1:22">
      <c r="A455" s="53" t="str">
        <f>IF(SortedDownload!A455 &lt; 1,"",SortedDownload!A455)</f>
        <v/>
      </c>
      <c r="B455" s="55">
        <f>IF(V455&lt;&gt;"","DNF",COUNTIF($V$3:V455,V455))</f>
        <v>420</v>
      </c>
      <c r="C455" s="54" t="str">
        <f>IF(OR(B455="DNF",H455=""),"DNF",COUNTIF($H$3:H455,H455))</f>
        <v>DNF</v>
      </c>
      <c r="D455" s="90" t="str">
        <f>IFERROR(VLOOKUP($A455,EntryList!$A$3:$N$596,2,FALSE),"")</f>
        <v/>
      </c>
      <c r="E455" s="54" t="str">
        <f>IFERROR(VLOOKUP($A455,EntryList!$A$3:$V$596,19,FALSE),"")</f>
        <v/>
      </c>
      <c r="F455" s="176" t="str">
        <f>IFERROR(VLOOKUP($A455,EntryList!$A$3:$V$596,18,FALSE),"")</f>
        <v/>
      </c>
      <c r="H455" s="90" t="str">
        <f>IFERROR(VLOOKUP($A455,EntryList!$A$3:$N$596,7,FALSE),"")</f>
        <v/>
      </c>
      <c r="I455" s="54" t="str">
        <f>IFERROR(VLOOKUP($A455,SortedDownload!$A$3:$Z951,4,FALSE),"")</f>
        <v/>
      </c>
      <c r="J455" s="59" t="str">
        <f>IFERROR(VLOOKUP($A455,SortedDownload!$A$3:$BB$499,23,FALSE),"")</f>
        <v/>
      </c>
      <c r="K455" s="59" t="str">
        <f>IFERROR(VLOOKUP($A455,SortedDownload!$A$3:$BB$499,24,FALSE),"")</f>
        <v/>
      </c>
      <c r="L455" s="59" t="str">
        <f>IFERROR(VLOOKUP($A455,SortedDownload!$A$3:$BB$499,25,FALSE),"")</f>
        <v/>
      </c>
      <c r="M455" s="59" t="str">
        <f>IFERROR(VLOOKUP($A455,SortedDownload!$A$3:$BB$499,26,FALSE),"")</f>
        <v/>
      </c>
      <c r="N455" s="59" t="str">
        <f>IFERROR(VLOOKUP($A455,SortedDownload!$A$3:$BB$499,27,FALSE),"")</f>
        <v/>
      </c>
      <c r="O455" s="59" t="str">
        <f>IFERROR(VLOOKUP($A455,SortedDownload!$A$3:$BB$499,28,FALSE),"")</f>
        <v/>
      </c>
      <c r="P455" s="59" t="str">
        <f>IFERROR(VLOOKUP($A455,SortedDownload!$A$3:$BB$499,29,FALSE),"")</f>
        <v/>
      </c>
      <c r="Q455" s="59" t="str">
        <f>IFERROR(VLOOKUP($A455,SortedDownload!$A$3:$BB$499,30,FALSE),"")</f>
        <v/>
      </c>
      <c r="R455" s="62" t="str">
        <f>IFERROR(TEXT(VLOOKUP($A455,SortedDownload!$A$3:$Z$499,14,FALSE),"[hh]:mm:ss.000"),"")</f>
        <v/>
      </c>
      <c r="S455" s="83" t="str">
        <f t="shared" si="23"/>
        <v>N/A</v>
      </c>
      <c r="T455" s="83" t="e">
        <f t="shared" si="21"/>
        <v>#VALUE!</v>
      </c>
      <c r="U455" s="9" t="str">
        <f t="shared" si="22"/>
        <v/>
      </c>
      <c r="V455" s="20" t="str">
        <f>IFERROR(IF(VLOOKUP(H455,AgeCategories!$D$3:$J$32,7,FALSE)=I455,"","DNF"),"")</f>
        <v/>
      </c>
    </row>
    <row r="456" spans="1:22">
      <c r="A456" s="53" t="str">
        <f>IF(SortedDownload!A456 &lt; 1,"",SortedDownload!A456)</f>
        <v/>
      </c>
      <c r="B456" s="55">
        <f>IF(V456&lt;&gt;"","DNF",COUNTIF($V$3:V456,V456))</f>
        <v>421</v>
      </c>
      <c r="C456" s="54" t="str">
        <f>IF(OR(B456="DNF",H456=""),"DNF",COUNTIF($H$3:H456,H456))</f>
        <v>DNF</v>
      </c>
      <c r="D456" s="90" t="str">
        <f>IFERROR(VLOOKUP($A456,EntryList!$A$3:$N$596,2,FALSE),"")</f>
        <v/>
      </c>
      <c r="E456" s="54" t="str">
        <f>IFERROR(VLOOKUP($A456,EntryList!$A$3:$V$596,19,FALSE),"")</f>
        <v/>
      </c>
      <c r="F456" s="176" t="str">
        <f>IFERROR(VLOOKUP($A456,EntryList!$A$3:$V$596,18,FALSE),"")</f>
        <v/>
      </c>
      <c r="H456" s="90" t="str">
        <f>IFERROR(VLOOKUP($A456,EntryList!$A$3:$N$596,7,FALSE),"")</f>
        <v/>
      </c>
      <c r="I456" s="54" t="str">
        <f>IFERROR(VLOOKUP($A456,SortedDownload!$A$3:$Z952,4,FALSE),"")</f>
        <v/>
      </c>
      <c r="J456" s="59" t="str">
        <f>IFERROR(VLOOKUP($A456,SortedDownload!$A$3:$BB$499,23,FALSE),"")</f>
        <v/>
      </c>
      <c r="K456" s="59" t="str">
        <f>IFERROR(VLOOKUP($A456,SortedDownload!$A$3:$BB$499,24,FALSE),"")</f>
        <v/>
      </c>
      <c r="L456" s="59" t="str">
        <f>IFERROR(VLOOKUP($A456,SortedDownload!$A$3:$BB$499,25,FALSE),"")</f>
        <v/>
      </c>
      <c r="M456" s="59" t="str">
        <f>IFERROR(VLOOKUP($A456,SortedDownload!$A$3:$BB$499,26,FALSE),"")</f>
        <v/>
      </c>
      <c r="N456" s="59" t="str">
        <f>IFERROR(VLOOKUP($A456,SortedDownload!$A$3:$BB$499,27,FALSE),"")</f>
        <v/>
      </c>
      <c r="O456" s="59" t="str">
        <f>IFERROR(VLOOKUP($A456,SortedDownload!$A$3:$BB$499,28,FALSE),"")</f>
        <v/>
      </c>
      <c r="P456" s="59" t="str">
        <f>IFERROR(VLOOKUP($A456,SortedDownload!$A$3:$BB$499,29,FALSE),"")</f>
        <v/>
      </c>
      <c r="Q456" s="59" t="str">
        <f>IFERROR(VLOOKUP($A456,SortedDownload!$A$3:$BB$499,30,FALSE),"")</f>
        <v/>
      </c>
      <c r="R456" s="62" t="str">
        <f>IFERROR(TEXT(VLOOKUP($A456,SortedDownload!$A$3:$Z$499,14,FALSE),"[hh]:mm:ss.000"),"")</f>
        <v/>
      </c>
      <c r="S456" s="83" t="str">
        <f t="shared" si="23"/>
        <v>N/A</v>
      </c>
      <c r="T456" s="83" t="e">
        <f t="shared" si="21"/>
        <v>#VALUE!</v>
      </c>
      <c r="U456" s="9" t="str">
        <f t="shared" si="22"/>
        <v/>
      </c>
      <c r="V456" s="20" t="str">
        <f>IFERROR(IF(VLOOKUP(H456,AgeCategories!$D$3:$J$32,7,FALSE)=I456,"","DNF"),"")</f>
        <v/>
      </c>
    </row>
    <row r="457" spans="1:22">
      <c r="A457" s="53" t="str">
        <f>IF(SortedDownload!A457 &lt; 1,"",SortedDownload!A457)</f>
        <v/>
      </c>
      <c r="B457" s="55">
        <f>IF(V457&lt;&gt;"","DNF",COUNTIF($V$3:V457,V457))</f>
        <v>422</v>
      </c>
      <c r="C457" s="54" t="str">
        <f>IF(OR(B457="DNF",H457=""),"DNF",COUNTIF($H$3:H457,H457))</f>
        <v>DNF</v>
      </c>
      <c r="D457" s="90" t="str">
        <f>IFERROR(VLOOKUP($A457,EntryList!$A$3:$N$596,2,FALSE),"")</f>
        <v/>
      </c>
      <c r="E457" s="54" t="str">
        <f>IFERROR(VLOOKUP($A457,EntryList!$A$3:$V$596,19,FALSE),"")</f>
        <v/>
      </c>
      <c r="F457" s="176" t="str">
        <f>IFERROR(VLOOKUP($A457,EntryList!$A$3:$V$596,18,FALSE),"")</f>
        <v/>
      </c>
      <c r="H457" s="90" t="str">
        <f>IFERROR(VLOOKUP($A457,EntryList!$A$3:$N$596,7,FALSE),"")</f>
        <v/>
      </c>
      <c r="I457" s="54" t="str">
        <f>IFERROR(VLOOKUP($A457,SortedDownload!$A$3:$Z953,4,FALSE),"")</f>
        <v/>
      </c>
      <c r="J457" s="59" t="str">
        <f>IFERROR(VLOOKUP($A457,SortedDownload!$A$3:$BB$499,23,FALSE),"")</f>
        <v/>
      </c>
      <c r="K457" s="59" t="str">
        <f>IFERROR(VLOOKUP($A457,SortedDownload!$A$3:$BB$499,24,FALSE),"")</f>
        <v/>
      </c>
      <c r="L457" s="59" t="str">
        <f>IFERROR(VLOOKUP($A457,SortedDownload!$A$3:$BB$499,25,FALSE),"")</f>
        <v/>
      </c>
      <c r="M457" s="59" t="str">
        <f>IFERROR(VLOOKUP($A457,SortedDownload!$A$3:$BB$499,26,FALSE),"")</f>
        <v/>
      </c>
      <c r="N457" s="59" t="str">
        <f>IFERROR(VLOOKUP($A457,SortedDownload!$A$3:$BB$499,27,FALSE),"")</f>
        <v/>
      </c>
      <c r="O457" s="59" t="str">
        <f>IFERROR(VLOOKUP($A457,SortedDownload!$A$3:$BB$499,28,FALSE),"")</f>
        <v/>
      </c>
      <c r="P457" s="59" t="str">
        <f>IFERROR(VLOOKUP($A457,SortedDownload!$A$3:$BB$499,29,FALSE),"")</f>
        <v/>
      </c>
      <c r="Q457" s="59" t="str">
        <f>IFERROR(VLOOKUP($A457,SortedDownload!$A$3:$BB$499,30,FALSE),"")</f>
        <v/>
      </c>
      <c r="R457" s="62" t="str">
        <f>IFERROR(TEXT(VLOOKUP($A457,SortedDownload!$A$3:$Z$499,14,FALSE),"[hh]:mm:ss.000"),"")</f>
        <v/>
      </c>
      <c r="S457" s="83" t="str">
        <f t="shared" si="23"/>
        <v>N/A</v>
      </c>
      <c r="T457" s="83" t="e">
        <f t="shared" si="21"/>
        <v>#VALUE!</v>
      </c>
      <c r="U457" s="9" t="str">
        <f t="shared" si="22"/>
        <v/>
      </c>
      <c r="V457" s="20" t="str">
        <f>IFERROR(IF(VLOOKUP(H457,AgeCategories!$D$3:$J$32,7,FALSE)=I457,"","DNF"),"")</f>
        <v/>
      </c>
    </row>
    <row r="458" spans="1:22">
      <c r="A458" s="53" t="str">
        <f>IF(SortedDownload!A458 &lt; 1,"",SortedDownload!A458)</f>
        <v/>
      </c>
      <c r="B458" s="55">
        <f>IF(V458&lt;&gt;"","DNF",COUNTIF($V$3:V458,V458))</f>
        <v>423</v>
      </c>
      <c r="C458" s="54" t="str">
        <f>IF(OR(B458="DNF",H458=""),"DNF",COUNTIF($H$3:H458,H458))</f>
        <v>DNF</v>
      </c>
      <c r="D458" s="90" t="str">
        <f>IFERROR(VLOOKUP($A458,EntryList!$A$3:$N$596,2,FALSE),"")</f>
        <v/>
      </c>
      <c r="E458" s="54" t="str">
        <f>IFERROR(VLOOKUP($A458,EntryList!$A$3:$V$596,19,FALSE),"")</f>
        <v/>
      </c>
      <c r="F458" s="176" t="str">
        <f>IFERROR(VLOOKUP($A458,EntryList!$A$3:$V$596,18,FALSE),"")</f>
        <v/>
      </c>
      <c r="H458" s="90" t="str">
        <f>IFERROR(VLOOKUP($A458,EntryList!$A$3:$N$596,7,FALSE),"")</f>
        <v/>
      </c>
      <c r="I458" s="54" t="str">
        <f>IFERROR(VLOOKUP($A458,SortedDownload!$A$3:$Z954,4,FALSE),"")</f>
        <v/>
      </c>
      <c r="J458" s="59" t="str">
        <f>IFERROR(VLOOKUP($A458,SortedDownload!$A$3:$BB$499,23,FALSE),"")</f>
        <v/>
      </c>
      <c r="K458" s="59" t="str">
        <f>IFERROR(VLOOKUP($A458,SortedDownload!$A$3:$BB$499,24,FALSE),"")</f>
        <v/>
      </c>
      <c r="L458" s="59" t="str">
        <f>IFERROR(VLOOKUP($A458,SortedDownload!$A$3:$BB$499,25,FALSE),"")</f>
        <v/>
      </c>
      <c r="M458" s="59" t="str">
        <f>IFERROR(VLOOKUP($A458,SortedDownload!$A$3:$BB$499,26,FALSE),"")</f>
        <v/>
      </c>
      <c r="N458" s="59" t="str">
        <f>IFERROR(VLOOKUP($A458,SortedDownload!$A$3:$BB$499,27,FALSE),"")</f>
        <v/>
      </c>
      <c r="O458" s="59" t="str">
        <f>IFERROR(VLOOKUP($A458,SortedDownload!$A$3:$BB$499,28,FALSE),"")</f>
        <v/>
      </c>
      <c r="P458" s="59" t="str">
        <f>IFERROR(VLOOKUP($A458,SortedDownload!$A$3:$BB$499,29,FALSE),"")</f>
        <v/>
      </c>
      <c r="Q458" s="59" t="str">
        <f>IFERROR(VLOOKUP($A458,SortedDownload!$A$3:$BB$499,30,FALSE),"")</f>
        <v/>
      </c>
      <c r="R458" s="62" t="str">
        <f>IFERROR(TEXT(VLOOKUP($A458,SortedDownload!$A$3:$Z$499,14,FALSE),"[hh]:mm:ss.000"),"")</f>
        <v/>
      </c>
      <c r="S458" s="83" t="str">
        <f t="shared" si="23"/>
        <v>N/A</v>
      </c>
      <c r="T458" s="83" t="e">
        <f t="shared" si="21"/>
        <v>#VALUE!</v>
      </c>
      <c r="U458" s="9" t="str">
        <f t="shared" si="22"/>
        <v/>
      </c>
      <c r="V458" s="20" t="str">
        <f>IFERROR(IF(VLOOKUP(H458,AgeCategories!$D$3:$J$32,7,FALSE)=I458,"","DNF"),"")</f>
        <v/>
      </c>
    </row>
    <row r="459" spans="1:22">
      <c r="A459" s="53" t="str">
        <f>IF(SortedDownload!A459 &lt; 1,"",SortedDownload!A459)</f>
        <v/>
      </c>
      <c r="B459" s="55">
        <f>IF(V459&lt;&gt;"","DNF",COUNTIF($V$3:V459,V459))</f>
        <v>424</v>
      </c>
      <c r="C459" s="54" t="str">
        <f>IF(OR(B459="DNF",H459=""),"DNF",COUNTIF($H$3:H459,H459))</f>
        <v>DNF</v>
      </c>
      <c r="D459" s="90" t="str">
        <f>IFERROR(VLOOKUP($A459,EntryList!$A$3:$N$596,2,FALSE),"")</f>
        <v/>
      </c>
      <c r="E459" s="54" t="str">
        <f>IFERROR(VLOOKUP($A459,EntryList!$A$3:$V$596,19,FALSE),"")</f>
        <v/>
      </c>
      <c r="F459" s="176" t="str">
        <f>IFERROR(VLOOKUP($A459,EntryList!$A$3:$V$596,18,FALSE),"")</f>
        <v/>
      </c>
      <c r="H459" s="90" t="str">
        <f>IFERROR(VLOOKUP($A459,EntryList!$A$3:$N$596,7,FALSE),"")</f>
        <v/>
      </c>
      <c r="I459" s="54" t="str">
        <f>IFERROR(VLOOKUP($A459,SortedDownload!$A$3:$Z955,4,FALSE),"")</f>
        <v/>
      </c>
      <c r="J459" s="59" t="str">
        <f>IFERROR(VLOOKUP($A459,SortedDownload!$A$3:$BB$499,23,FALSE),"")</f>
        <v/>
      </c>
      <c r="K459" s="59" t="str">
        <f>IFERROR(VLOOKUP($A459,SortedDownload!$A$3:$BB$499,24,FALSE),"")</f>
        <v/>
      </c>
      <c r="L459" s="59" t="str">
        <f>IFERROR(VLOOKUP($A459,SortedDownload!$A$3:$BB$499,25,FALSE),"")</f>
        <v/>
      </c>
      <c r="M459" s="59" t="str">
        <f>IFERROR(VLOOKUP($A459,SortedDownload!$A$3:$BB$499,26,FALSE),"")</f>
        <v/>
      </c>
      <c r="N459" s="59" t="str">
        <f>IFERROR(VLOOKUP($A459,SortedDownload!$A$3:$BB$499,27,FALSE),"")</f>
        <v/>
      </c>
      <c r="O459" s="59" t="str">
        <f>IFERROR(VLOOKUP($A459,SortedDownload!$A$3:$BB$499,28,FALSE),"")</f>
        <v/>
      </c>
      <c r="P459" s="59" t="str">
        <f>IFERROR(VLOOKUP($A459,SortedDownload!$A$3:$BB$499,29,FALSE),"")</f>
        <v/>
      </c>
      <c r="Q459" s="59" t="str">
        <f>IFERROR(VLOOKUP($A459,SortedDownload!$A$3:$BB$499,30,FALSE),"")</f>
        <v/>
      </c>
      <c r="R459" s="62" t="str">
        <f>IFERROR(TEXT(VLOOKUP($A459,SortedDownload!$A$3:$Z$499,14,FALSE),"[hh]:mm:ss.000"),"")</f>
        <v/>
      </c>
      <c r="S459" s="83" t="str">
        <f t="shared" si="23"/>
        <v>N/A</v>
      </c>
      <c r="T459" s="83" t="e">
        <f t="shared" si="21"/>
        <v>#VALUE!</v>
      </c>
      <c r="U459" s="9" t="str">
        <f t="shared" si="22"/>
        <v/>
      </c>
      <c r="V459" s="20" t="str">
        <f>IFERROR(IF(VLOOKUP(H459,AgeCategories!$D$3:$J$32,7,FALSE)=I459,"","DNF"),"")</f>
        <v/>
      </c>
    </row>
    <row r="460" spans="1:22">
      <c r="A460" s="53" t="str">
        <f>IF(SortedDownload!A460 &lt; 1,"",SortedDownload!A460)</f>
        <v/>
      </c>
      <c r="B460" s="55">
        <f>IF(V460&lt;&gt;"","DNF",COUNTIF($V$3:V460,V460))</f>
        <v>425</v>
      </c>
      <c r="C460" s="54" t="str">
        <f>IF(OR(B460="DNF",H460=""),"DNF",COUNTIF($H$3:H460,H460))</f>
        <v>DNF</v>
      </c>
      <c r="D460" s="90" t="str">
        <f>IFERROR(VLOOKUP($A460,EntryList!$A$3:$N$596,2,FALSE),"")</f>
        <v/>
      </c>
      <c r="E460" s="54" t="str">
        <f>IFERROR(VLOOKUP($A460,EntryList!$A$3:$V$596,19,FALSE),"")</f>
        <v/>
      </c>
      <c r="F460" s="176" t="str">
        <f>IFERROR(VLOOKUP($A460,EntryList!$A$3:$V$596,18,FALSE),"")</f>
        <v/>
      </c>
      <c r="H460" s="90" t="str">
        <f>IFERROR(VLOOKUP($A460,EntryList!$A$3:$N$596,7,FALSE),"")</f>
        <v/>
      </c>
      <c r="I460" s="54" t="str">
        <f>IFERROR(VLOOKUP($A460,SortedDownload!$A$3:$Z956,4,FALSE),"")</f>
        <v/>
      </c>
      <c r="J460" s="59" t="str">
        <f>IFERROR(VLOOKUP($A460,SortedDownload!$A$3:$BB$499,23,FALSE),"")</f>
        <v/>
      </c>
      <c r="K460" s="59" t="str">
        <f>IFERROR(VLOOKUP($A460,SortedDownload!$A$3:$BB$499,24,FALSE),"")</f>
        <v/>
      </c>
      <c r="L460" s="59" t="str">
        <f>IFERROR(VLOOKUP($A460,SortedDownload!$A$3:$BB$499,25,FALSE),"")</f>
        <v/>
      </c>
      <c r="M460" s="59" t="str">
        <f>IFERROR(VLOOKUP($A460,SortedDownload!$A$3:$BB$499,26,FALSE),"")</f>
        <v/>
      </c>
      <c r="N460" s="59" t="str">
        <f>IFERROR(VLOOKUP($A460,SortedDownload!$A$3:$BB$499,27,FALSE),"")</f>
        <v/>
      </c>
      <c r="O460" s="59" t="str">
        <f>IFERROR(VLOOKUP($A460,SortedDownload!$A$3:$BB$499,28,FALSE),"")</f>
        <v/>
      </c>
      <c r="P460" s="59" t="str">
        <f>IFERROR(VLOOKUP($A460,SortedDownload!$A$3:$BB$499,29,FALSE),"")</f>
        <v/>
      </c>
      <c r="Q460" s="59" t="str">
        <f>IFERROR(VLOOKUP($A460,SortedDownload!$A$3:$BB$499,30,FALSE),"")</f>
        <v/>
      </c>
      <c r="R460" s="62" t="str">
        <f>IFERROR(TEXT(VLOOKUP($A460,SortedDownload!$A$3:$Z$499,14,FALSE),"[hh]:mm:ss.000"),"")</f>
        <v/>
      </c>
      <c r="S460" s="83" t="str">
        <f t="shared" si="23"/>
        <v>N/A</v>
      </c>
      <c r="T460" s="83" t="e">
        <f t="shared" si="21"/>
        <v>#VALUE!</v>
      </c>
      <c r="U460" s="9" t="str">
        <f t="shared" si="22"/>
        <v/>
      </c>
      <c r="V460" s="20" t="str">
        <f>IFERROR(IF(VLOOKUP(H460,AgeCategories!$D$3:$J$32,7,FALSE)=I460,"","DNF"),"")</f>
        <v/>
      </c>
    </row>
    <row r="461" spans="1:22">
      <c r="A461" s="53" t="str">
        <f>IF(SortedDownload!A461 &lt; 1,"",SortedDownload!A461)</f>
        <v/>
      </c>
      <c r="B461" s="55">
        <f>IF(V461&lt;&gt;"","DNF",COUNTIF($V$3:V461,V461))</f>
        <v>426</v>
      </c>
      <c r="C461" s="54" t="str">
        <f>IF(OR(B461="DNF",H461=""),"DNF",COUNTIF($H$3:H461,H461))</f>
        <v>DNF</v>
      </c>
      <c r="D461" s="90" t="str">
        <f>IFERROR(VLOOKUP($A461,EntryList!$A$3:$N$596,2,FALSE),"")</f>
        <v/>
      </c>
      <c r="E461" s="54" t="str">
        <f>IFERROR(VLOOKUP($A461,EntryList!$A$3:$V$596,19,FALSE),"")</f>
        <v/>
      </c>
      <c r="F461" s="176" t="str">
        <f>IFERROR(VLOOKUP($A461,EntryList!$A$3:$V$596,18,FALSE),"")</f>
        <v/>
      </c>
      <c r="H461" s="90" t="str">
        <f>IFERROR(VLOOKUP($A461,EntryList!$A$3:$N$596,7,FALSE),"")</f>
        <v/>
      </c>
      <c r="I461" s="54" t="str">
        <f>IFERROR(VLOOKUP($A461,SortedDownload!$A$3:$Z957,4,FALSE),"")</f>
        <v/>
      </c>
      <c r="J461" s="59" t="str">
        <f>IFERROR(VLOOKUP($A461,SortedDownload!$A$3:$BB$499,23,FALSE),"")</f>
        <v/>
      </c>
      <c r="K461" s="59" t="str">
        <f>IFERROR(VLOOKUP($A461,SortedDownload!$A$3:$BB$499,24,FALSE),"")</f>
        <v/>
      </c>
      <c r="L461" s="59" t="str">
        <f>IFERROR(VLOOKUP($A461,SortedDownload!$A$3:$BB$499,25,FALSE),"")</f>
        <v/>
      </c>
      <c r="M461" s="59" t="str">
        <f>IFERROR(VLOOKUP($A461,SortedDownload!$A$3:$BB$499,26,FALSE),"")</f>
        <v/>
      </c>
      <c r="N461" s="59" t="str">
        <f>IFERROR(VLOOKUP($A461,SortedDownload!$A$3:$BB$499,27,FALSE),"")</f>
        <v/>
      </c>
      <c r="O461" s="59" t="str">
        <f>IFERROR(VLOOKUP($A461,SortedDownload!$A$3:$BB$499,28,FALSE),"")</f>
        <v/>
      </c>
      <c r="P461" s="59" t="str">
        <f>IFERROR(VLOOKUP($A461,SortedDownload!$A$3:$BB$499,29,FALSE),"")</f>
        <v/>
      </c>
      <c r="Q461" s="59" t="str">
        <f>IFERROR(VLOOKUP($A461,SortedDownload!$A$3:$BB$499,30,FALSE),"")</f>
        <v/>
      </c>
      <c r="R461" s="62" t="str">
        <f>IFERROR(TEXT(VLOOKUP($A461,SortedDownload!$A$3:$Z$499,14,FALSE),"[hh]:mm:ss.000"),"")</f>
        <v/>
      </c>
      <c r="S461" s="83" t="str">
        <f t="shared" si="23"/>
        <v>N/A</v>
      </c>
      <c r="T461" s="83" t="e">
        <f t="shared" si="21"/>
        <v>#VALUE!</v>
      </c>
      <c r="U461" s="9" t="str">
        <f t="shared" si="22"/>
        <v/>
      </c>
      <c r="V461" s="20" t="str">
        <f>IFERROR(IF(VLOOKUP(H461,AgeCategories!$D$3:$J$32,7,FALSE)=I461,"","DNF"),"")</f>
        <v/>
      </c>
    </row>
    <row r="462" spans="1:22">
      <c r="A462" s="53" t="str">
        <f>IF(SortedDownload!A462 &lt; 1,"",SortedDownload!A462)</f>
        <v/>
      </c>
      <c r="B462" s="55">
        <f>IF(V462&lt;&gt;"","DNF",COUNTIF($V$3:V462,V462))</f>
        <v>427</v>
      </c>
      <c r="C462" s="54" t="str">
        <f>IF(OR(B462="DNF",H462=""),"DNF",COUNTIF($H$3:H462,H462))</f>
        <v>DNF</v>
      </c>
      <c r="D462" s="90" t="str">
        <f>IFERROR(VLOOKUP($A462,EntryList!$A$3:$N$596,2,FALSE),"")</f>
        <v/>
      </c>
      <c r="E462" s="54" t="str">
        <f>IFERROR(VLOOKUP($A462,EntryList!$A$3:$V$596,19,FALSE),"")</f>
        <v/>
      </c>
      <c r="F462" s="176" t="str">
        <f>IFERROR(VLOOKUP($A462,EntryList!$A$3:$V$596,18,FALSE),"")</f>
        <v/>
      </c>
      <c r="H462" s="90" t="str">
        <f>IFERROR(VLOOKUP($A462,EntryList!$A$3:$N$596,7,FALSE),"")</f>
        <v/>
      </c>
      <c r="I462" s="54" t="str">
        <f>IFERROR(VLOOKUP($A462,SortedDownload!$A$3:$Z958,4,FALSE),"")</f>
        <v/>
      </c>
      <c r="J462" s="59" t="str">
        <f>IFERROR(VLOOKUP($A462,SortedDownload!$A$3:$BB$499,23,FALSE),"")</f>
        <v/>
      </c>
      <c r="K462" s="59" t="str">
        <f>IFERROR(VLOOKUP($A462,SortedDownload!$A$3:$BB$499,24,FALSE),"")</f>
        <v/>
      </c>
      <c r="L462" s="59" t="str">
        <f>IFERROR(VLOOKUP($A462,SortedDownload!$A$3:$BB$499,25,FALSE),"")</f>
        <v/>
      </c>
      <c r="M462" s="59" t="str">
        <f>IFERROR(VLOOKUP($A462,SortedDownload!$A$3:$BB$499,26,FALSE),"")</f>
        <v/>
      </c>
      <c r="N462" s="59" t="str">
        <f>IFERROR(VLOOKUP($A462,SortedDownload!$A$3:$BB$499,27,FALSE),"")</f>
        <v/>
      </c>
      <c r="O462" s="59" t="str">
        <f>IFERROR(VLOOKUP($A462,SortedDownload!$A$3:$BB$499,28,FALSE),"")</f>
        <v/>
      </c>
      <c r="P462" s="59" t="str">
        <f>IFERROR(VLOOKUP($A462,SortedDownload!$A$3:$BB$499,29,FALSE),"")</f>
        <v/>
      </c>
      <c r="Q462" s="59" t="str">
        <f>IFERROR(VLOOKUP($A462,SortedDownload!$A$3:$BB$499,30,FALSE),"")</f>
        <v/>
      </c>
      <c r="R462" s="62" t="str">
        <f>IFERROR(TEXT(VLOOKUP($A462,SortedDownload!$A$3:$Z$499,14,FALSE),"[hh]:mm:ss.000"),"")</f>
        <v/>
      </c>
      <c r="S462" s="83" t="str">
        <f t="shared" si="23"/>
        <v>N/A</v>
      </c>
      <c r="T462" s="83" t="e">
        <f t="shared" si="21"/>
        <v>#VALUE!</v>
      </c>
      <c r="U462" s="9" t="str">
        <f t="shared" si="22"/>
        <v/>
      </c>
      <c r="V462" s="20" t="str">
        <f>IFERROR(IF(VLOOKUP(H462,AgeCategories!$D$3:$J$32,7,FALSE)=I462,"","DNF"),"")</f>
        <v/>
      </c>
    </row>
    <row r="463" spans="1:22">
      <c r="A463" s="53" t="str">
        <f>IF(SortedDownload!A463 &lt; 1,"",SortedDownload!A463)</f>
        <v/>
      </c>
      <c r="B463" s="55">
        <f>IF(V463&lt;&gt;"","DNF",COUNTIF($V$3:V463,V463))</f>
        <v>428</v>
      </c>
      <c r="C463" s="54" t="str">
        <f>IF(OR(B463="DNF",H463=""),"DNF",COUNTIF($H$3:H463,H463))</f>
        <v>DNF</v>
      </c>
      <c r="D463" s="90" t="str">
        <f>IFERROR(VLOOKUP($A463,EntryList!$A$3:$N$596,2,FALSE),"")</f>
        <v/>
      </c>
      <c r="E463" s="54" t="str">
        <f>IFERROR(VLOOKUP($A463,EntryList!$A$3:$V$596,19,FALSE),"")</f>
        <v/>
      </c>
      <c r="F463" s="176" t="str">
        <f>IFERROR(VLOOKUP($A463,EntryList!$A$3:$V$596,18,FALSE),"")</f>
        <v/>
      </c>
      <c r="H463" s="90" t="str">
        <f>IFERROR(VLOOKUP($A463,EntryList!$A$3:$N$596,7,FALSE),"")</f>
        <v/>
      </c>
      <c r="I463" s="54" t="str">
        <f>IFERROR(VLOOKUP($A463,SortedDownload!$A$3:$Z959,4,FALSE),"")</f>
        <v/>
      </c>
      <c r="J463" s="59" t="str">
        <f>IFERROR(VLOOKUP($A463,SortedDownload!$A$3:$BB$499,23,FALSE),"")</f>
        <v/>
      </c>
      <c r="K463" s="59" t="str">
        <f>IFERROR(VLOOKUP($A463,SortedDownload!$A$3:$BB$499,24,FALSE),"")</f>
        <v/>
      </c>
      <c r="L463" s="59" t="str">
        <f>IFERROR(VLOOKUP($A463,SortedDownload!$A$3:$BB$499,25,FALSE),"")</f>
        <v/>
      </c>
      <c r="M463" s="59" t="str">
        <f>IFERROR(VLOOKUP($A463,SortedDownload!$A$3:$BB$499,26,FALSE),"")</f>
        <v/>
      </c>
      <c r="N463" s="59" t="str">
        <f>IFERROR(VLOOKUP($A463,SortedDownload!$A$3:$BB$499,27,FALSE),"")</f>
        <v/>
      </c>
      <c r="O463" s="59" t="str">
        <f>IFERROR(VLOOKUP($A463,SortedDownload!$A$3:$BB$499,28,FALSE),"")</f>
        <v/>
      </c>
      <c r="P463" s="59" t="str">
        <f>IFERROR(VLOOKUP($A463,SortedDownload!$A$3:$BB$499,29,FALSE),"")</f>
        <v/>
      </c>
      <c r="Q463" s="59" t="str">
        <f>IFERROR(VLOOKUP($A463,SortedDownload!$A$3:$BB$499,30,FALSE),"")</f>
        <v/>
      </c>
      <c r="R463" s="62" t="str">
        <f>IFERROR(TEXT(VLOOKUP($A463,SortedDownload!$A$3:$Z$499,14,FALSE),"[hh]:mm:ss.000"),"")</f>
        <v/>
      </c>
      <c r="S463" s="83" t="str">
        <f t="shared" si="23"/>
        <v>N/A</v>
      </c>
      <c r="T463" s="83" t="e">
        <f t="shared" si="21"/>
        <v>#VALUE!</v>
      </c>
      <c r="U463" s="9" t="str">
        <f t="shared" si="22"/>
        <v/>
      </c>
      <c r="V463" s="20" t="str">
        <f>IFERROR(IF(VLOOKUP(H463,AgeCategories!$D$3:$J$32,7,FALSE)=I463,"","DNF"),"")</f>
        <v/>
      </c>
    </row>
    <row r="464" spans="1:22">
      <c r="A464" s="53" t="str">
        <f>IF(SortedDownload!A464 &lt; 1,"",SortedDownload!A464)</f>
        <v/>
      </c>
      <c r="B464" s="55">
        <f>IF(V464&lt;&gt;"","DNF",COUNTIF($V$3:V464,V464))</f>
        <v>429</v>
      </c>
      <c r="C464" s="54" t="str">
        <f>IF(OR(B464="DNF",H464=""),"DNF",COUNTIF($H$3:H464,H464))</f>
        <v>DNF</v>
      </c>
      <c r="D464" s="90" t="str">
        <f>IFERROR(VLOOKUP($A464,EntryList!$A$3:$N$596,2,FALSE),"")</f>
        <v/>
      </c>
      <c r="E464" s="54" t="str">
        <f>IFERROR(VLOOKUP($A464,EntryList!$A$3:$V$596,19,FALSE),"")</f>
        <v/>
      </c>
      <c r="F464" s="176" t="str">
        <f>IFERROR(VLOOKUP($A464,EntryList!$A$3:$V$596,18,FALSE),"")</f>
        <v/>
      </c>
      <c r="H464" s="90" t="str">
        <f>IFERROR(VLOOKUP($A464,EntryList!$A$3:$N$596,7,FALSE),"")</f>
        <v/>
      </c>
      <c r="I464" s="54" t="str">
        <f>IFERROR(VLOOKUP($A464,SortedDownload!$A$3:$Z960,4,FALSE),"")</f>
        <v/>
      </c>
      <c r="J464" s="59" t="str">
        <f>IFERROR(VLOOKUP($A464,SortedDownload!$A$3:$BB$499,23,FALSE),"")</f>
        <v/>
      </c>
      <c r="K464" s="59" t="str">
        <f>IFERROR(VLOOKUP($A464,SortedDownload!$A$3:$BB$499,24,FALSE),"")</f>
        <v/>
      </c>
      <c r="L464" s="59" t="str">
        <f>IFERROR(VLOOKUP($A464,SortedDownload!$A$3:$BB$499,25,FALSE),"")</f>
        <v/>
      </c>
      <c r="M464" s="59" t="str">
        <f>IFERROR(VLOOKUP($A464,SortedDownload!$A$3:$BB$499,26,FALSE),"")</f>
        <v/>
      </c>
      <c r="N464" s="59" t="str">
        <f>IFERROR(VLOOKUP($A464,SortedDownload!$A$3:$BB$499,27,FALSE),"")</f>
        <v/>
      </c>
      <c r="O464" s="59" t="str">
        <f>IFERROR(VLOOKUP($A464,SortedDownload!$A$3:$BB$499,28,FALSE),"")</f>
        <v/>
      </c>
      <c r="P464" s="59" t="str">
        <f>IFERROR(VLOOKUP($A464,SortedDownload!$A$3:$BB$499,29,FALSE),"")</f>
        <v/>
      </c>
      <c r="Q464" s="59" t="str">
        <f>IFERROR(VLOOKUP($A464,SortedDownload!$A$3:$BB$499,30,FALSE),"")</f>
        <v/>
      </c>
      <c r="R464" s="62" t="str">
        <f>IFERROR(TEXT(VLOOKUP($A464,SortedDownload!$A$3:$Z$499,14,FALSE),"[hh]:mm:ss.000"),"")</f>
        <v/>
      </c>
      <c r="S464" s="83" t="str">
        <f t="shared" si="23"/>
        <v>N/A</v>
      </c>
      <c r="T464" s="83" t="e">
        <f t="shared" si="21"/>
        <v>#VALUE!</v>
      </c>
      <c r="U464" s="9" t="str">
        <f t="shared" si="22"/>
        <v/>
      </c>
      <c r="V464" s="20" t="str">
        <f>IFERROR(IF(VLOOKUP(H464,AgeCategories!$D$3:$J$32,7,FALSE)=I464,"","DNF"),"")</f>
        <v/>
      </c>
    </row>
    <row r="465" spans="1:22">
      <c r="A465" s="53" t="str">
        <f>IF(SortedDownload!A465 &lt; 1,"",SortedDownload!A465)</f>
        <v/>
      </c>
      <c r="B465" s="55">
        <f>IF(V465&lt;&gt;"","DNF",COUNTIF($V$3:V465,V465))</f>
        <v>430</v>
      </c>
      <c r="C465" s="54" t="str">
        <f>IF(OR(B465="DNF",H465=""),"DNF",COUNTIF($H$3:H465,H465))</f>
        <v>DNF</v>
      </c>
      <c r="D465" s="90" t="str">
        <f>IFERROR(VLOOKUP($A465,EntryList!$A$3:$N$596,2,FALSE),"")</f>
        <v/>
      </c>
      <c r="E465" s="54" t="str">
        <f>IFERROR(VLOOKUP($A465,EntryList!$A$3:$V$596,19,FALSE),"")</f>
        <v/>
      </c>
      <c r="F465" s="176" t="str">
        <f>IFERROR(VLOOKUP($A465,EntryList!$A$3:$V$596,18,FALSE),"")</f>
        <v/>
      </c>
      <c r="H465" s="90" t="str">
        <f>IFERROR(VLOOKUP($A465,EntryList!$A$3:$N$596,7,FALSE),"")</f>
        <v/>
      </c>
      <c r="I465" s="54" t="str">
        <f>IFERROR(VLOOKUP($A465,SortedDownload!$A$3:$Z961,4,FALSE),"")</f>
        <v/>
      </c>
      <c r="J465" s="59" t="str">
        <f>IFERROR(VLOOKUP($A465,SortedDownload!$A$3:$BB$499,23,FALSE),"")</f>
        <v/>
      </c>
      <c r="K465" s="59" t="str">
        <f>IFERROR(VLOOKUP($A465,SortedDownload!$A$3:$BB$499,24,FALSE),"")</f>
        <v/>
      </c>
      <c r="L465" s="59" t="str">
        <f>IFERROR(VLOOKUP($A465,SortedDownload!$A$3:$BB$499,25,FALSE),"")</f>
        <v/>
      </c>
      <c r="M465" s="59" t="str">
        <f>IFERROR(VLOOKUP($A465,SortedDownload!$A$3:$BB$499,26,FALSE),"")</f>
        <v/>
      </c>
      <c r="N465" s="59" t="str">
        <f>IFERROR(VLOOKUP($A465,SortedDownload!$A$3:$BB$499,27,FALSE),"")</f>
        <v/>
      </c>
      <c r="O465" s="59" t="str">
        <f>IFERROR(VLOOKUP($A465,SortedDownload!$A$3:$BB$499,28,FALSE),"")</f>
        <v/>
      </c>
      <c r="P465" s="59" t="str">
        <f>IFERROR(VLOOKUP($A465,SortedDownload!$A$3:$BB$499,29,FALSE),"")</f>
        <v/>
      </c>
      <c r="Q465" s="59" t="str">
        <f>IFERROR(VLOOKUP($A465,SortedDownload!$A$3:$BB$499,30,FALSE),"")</f>
        <v/>
      </c>
      <c r="R465" s="62" t="str">
        <f>IFERROR(TEXT(VLOOKUP($A465,SortedDownload!$A$3:$Z$499,14,FALSE),"[hh]:mm:ss.000"),"")</f>
        <v/>
      </c>
      <c r="S465" s="83" t="str">
        <f t="shared" si="23"/>
        <v>N/A</v>
      </c>
      <c r="T465" s="83" t="e">
        <f t="shared" si="21"/>
        <v>#VALUE!</v>
      </c>
      <c r="U465" s="9" t="str">
        <f t="shared" si="22"/>
        <v/>
      </c>
      <c r="V465" s="20" t="str">
        <f>IFERROR(IF(VLOOKUP(H465,AgeCategories!$D$3:$J$32,7,FALSE)=I465,"","DNF"),"")</f>
        <v/>
      </c>
    </row>
    <row r="466" spans="1:22">
      <c r="A466" s="53" t="str">
        <f>IF(SortedDownload!A466 &lt; 1,"",SortedDownload!A466)</f>
        <v/>
      </c>
      <c r="B466" s="55">
        <f>IF(V466&lt;&gt;"","DNF",COUNTIF($V$3:V466,V466))</f>
        <v>431</v>
      </c>
      <c r="C466" s="54" t="str">
        <f>IF(OR(B466="DNF",H466=""),"DNF",COUNTIF($H$3:H466,H466))</f>
        <v>DNF</v>
      </c>
      <c r="D466" s="90" t="str">
        <f>IFERROR(VLOOKUP($A466,EntryList!$A$3:$N$596,2,FALSE),"")</f>
        <v/>
      </c>
      <c r="E466" s="54" t="str">
        <f>IFERROR(VLOOKUP($A466,EntryList!$A$3:$V$596,19,FALSE),"")</f>
        <v/>
      </c>
      <c r="F466" s="176" t="str">
        <f>IFERROR(VLOOKUP($A466,EntryList!$A$3:$V$596,18,FALSE),"")</f>
        <v/>
      </c>
      <c r="H466" s="90" t="str">
        <f>IFERROR(VLOOKUP($A466,EntryList!$A$3:$N$596,7,FALSE),"")</f>
        <v/>
      </c>
      <c r="I466" s="54" t="str">
        <f>IFERROR(VLOOKUP($A466,SortedDownload!$A$3:$Z962,4,FALSE),"")</f>
        <v/>
      </c>
      <c r="J466" s="59" t="str">
        <f>IFERROR(VLOOKUP($A466,SortedDownload!$A$3:$BB$499,23,FALSE),"")</f>
        <v/>
      </c>
      <c r="K466" s="59" t="str">
        <f>IFERROR(VLOOKUP($A466,SortedDownload!$A$3:$BB$499,24,FALSE),"")</f>
        <v/>
      </c>
      <c r="L466" s="59" t="str">
        <f>IFERROR(VLOOKUP($A466,SortedDownload!$A$3:$BB$499,25,FALSE),"")</f>
        <v/>
      </c>
      <c r="M466" s="59" t="str">
        <f>IFERROR(VLOOKUP($A466,SortedDownload!$A$3:$BB$499,26,FALSE),"")</f>
        <v/>
      </c>
      <c r="N466" s="59" t="str">
        <f>IFERROR(VLOOKUP($A466,SortedDownload!$A$3:$BB$499,27,FALSE),"")</f>
        <v/>
      </c>
      <c r="O466" s="59" t="str">
        <f>IFERROR(VLOOKUP($A466,SortedDownload!$A$3:$BB$499,28,FALSE),"")</f>
        <v/>
      </c>
      <c r="P466" s="59" t="str">
        <f>IFERROR(VLOOKUP($A466,SortedDownload!$A$3:$BB$499,29,FALSE),"")</f>
        <v/>
      </c>
      <c r="Q466" s="59" t="str">
        <f>IFERROR(VLOOKUP($A466,SortedDownload!$A$3:$BB$499,30,FALSE),"")</f>
        <v/>
      </c>
      <c r="R466" s="62" t="str">
        <f>IFERROR(TEXT(VLOOKUP($A466,SortedDownload!$A$3:$Z$499,14,FALSE),"[hh]:mm:ss.000"),"")</f>
        <v/>
      </c>
      <c r="S466" s="83" t="str">
        <f t="shared" si="23"/>
        <v>N/A</v>
      </c>
      <c r="T466" s="83" t="e">
        <f t="shared" si="21"/>
        <v>#VALUE!</v>
      </c>
      <c r="U466" s="9" t="str">
        <f t="shared" si="22"/>
        <v/>
      </c>
      <c r="V466" s="20" t="str">
        <f>IFERROR(IF(VLOOKUP(H466,AgeCategories!$D$3:$J$32,7,FALSE)=I466,"","DNF"),"")</f>
        <v/>
      </c>
    </row>
    <row r="467" spans="1:22">
      <c r="A467" s="53" t="str">
        <f>IF(SortedDownload!A467 &lt; 1,"",SortedDownload!A467)</f>
        <v/>
      </c>
      <c r="B467" s="55">
        <f>IF(V467&lt;&gt;"","DNF",COUNTIF($V$3:V467,V467))</f>
        <v>432</v>
      </c>
      <c r="C467" s="54" t="str">
        <f>IF(OR(B467="DNF",H467=""),"DNF",COUNTIF($H$3:H467,H467))</f>
        <v>DNF</v>
      </c>
      <c r="D467" s="90" t="str">
        <f>IFERROR(VLOOKUP($A467,EntryList!$A$3:$N$596,2,FALSE),"")</f>
        <v/>
      </c>
      <c r="E467" s="54" t="str">
        <f>IFERROR(VLOOKUP($A467,EntryList!$A$3:$V$596,19,FALSE),"")</f>
        <v/>
      </c>
      <c r="F467" s="176" t="str">
        <f>IFERROR(VLOOKUP($A467,EntryList!$A$3:$V$596,18,FALSE),"")</f>
        <v/>
      </c>
      <c r="H467" s="90" t="str">
        <f>IFERROR(VLOOKUP($A467,EntryList!$A$3:$N$596,7,FALSE),"")</f>
        <v/>
      </c>
      <c r="I467" s="54" t="str">
        <f>IFERROR(VLOOKUP($A467,SortedDownload!$A$3:$Z963,4,FALSE),"")</f>
        <v/>
      </c>
      <c r="J467" s="59" t="str">
        <f>IFERROR(VLOOKUP($A467,SortedDownload!$A$3:$BB$499,23,FALSE),"")</f>
        <v/>
      </c>
      <c r="K467" s="59" t="str">
        <f>IFERROR(VLOOKUP($A467,SortedDownload!$A$3:$BB$499,24,FALSE),"")</f>
        <v/>
      </c>
      <c r="L467" s="59" t="str">
        <f>IFERROR(VLOOKUP($A467,SortedDownload!$A$3:$BB$499,25,FALSE),"")</f>
        <v/>
      </c>
      <c r="M467" s="59" t="str">
        <f>IFERROR(VLOOKUP($A467,SortedDownload!$A$3:$BB$499,26,FALSE),"")</f>
        <v/>
      </c>
      <c r="N467" s="59" t="str">
        <f>IFERROR(VLOOKUP($A467,SortedDownload!$A$3:$BB$499,27,FALSE),"")</f>
        <v/>
      </c>
      <c r="O467" s="59" t="str">
        <f>IFERROR(VLOOKUP($A467,SortedDownload!$A$3:$BB$499,28,FALSE),"")</f>
        <v/>
      </c>
      <c r="P467" s="59" t="str">
        <f>IFERROR(VLOOKUP($A467,SortedDownload!$A$3:$BB$499,29,FALSE),"")</f>
        <v/>
      </c>
      <c r="Q467" s="59" t="str">
        <f>IFERROR(VLOOKUP($A467,SortedDownload!$A$3:$BB$499,30,FALSE),"")</f>
        <v/>
      </c>
      <c r="R467" s="62" t="str">
        <f>IFERROR(TEXT(VLOOKUP($A467,SortedDownload!$A$3:$Z$499,14,FALSE),"[hh]:mm:ss.000"),"")</f>
        <v/>
      </c>
      <c r="S467" s="83" t="str">
        <f t="shared" si="23"/>
        <v>N/A</v>
      </c>
      <c r="T467" s="83" t="e">
        <f t="shared" si="21"/>
        <v>#VALUE!</v>
      </c>
      <c r="U467" s="9" t="str">
        <f t="shared" si="22"/>
        <v/>
      </c>
      <c r="V467" s="20" t="str">
        <f>IFERROR(IF(VLOOKUP(H467,AgeCategories!$D$3:$J$32,7,FALSE)=I467,"","DNF"),"")</f>
        <v/>
      </c>
    </row>
    <row r="468" spans="1:22">
      <c r="A468" s="53" t="str">
        <f>IF(SortedDownload!A468 &lt; 1,"",SortedDownload!A468)</f>
        <v/>
      </c>
      <c r="B468" s="55">
        <f>IF(V468&lt;&gt;"","DNF",COUNTIF($V$3:V468,V468))</f>
        <v>433</v>
      </c>
      <c r="C468" s="54" t="str">
        <f>IF(OR(B468="DNF",H468=""),"DNF",COUNTIF($H$3:H468,H468))</f>
        <v>DNF</v>
      </c>
      <c r="D468" s="90" t="str">
        <f>IFERROR(VLOOKUP($A468,EntryList!$A$3:$N$596,2,FALSE),"")</f>
        <v/>
      </c>
      <c r="E468" s="54" t="str">
        <f>IFERROR(VLOOKUP($A468,EntryList!$A$3:$V$596,19,FALSE),"")</f>
        <v/>
      </c>
      <c r="F468" s="176" t="str">
        <f>IFERROR(VLOOKUP($A468,EntryList!$A$3:$V$596,18,FALSE),"")</f>
        <v/>
      </c>
      <c r="H468" s="90" t="str">
        <f>IFERROR(VLOOKUP($A468,EntryList!$A$3:$N$596,7,FALSE),"")</f>
        <v/>
      </c>
      <c r="I468" s="54" t="str">
        <f>IFERROR(VLOOKUP($A468,SortedDownload!$A$3:$Z964,4,FALSE),"")</f>
        <v/>
      </c>
      <c r="J468" s="59" t="str">
        <f>IFERROR(VLOOKUP($A468,SortedDownload!$A$3:$BB$499,23,FALSE),"")</f>
        <v/>
      </c>
      <c r="K468" s="59" t="str">
        <f>IFERROR(VLOOKUP($A468,SortedDownload!$A$3:$BB$499,24,FALSE),"")</f>
        <v/>
      </c>
      <c r="L468" s="59" t="str">
        <f>IFERROR(VLOOKUP($A468,SortedDownload!$A$3:$BB$499,25,FALSE),"")</f>
        <v/>
      </c>
      <c r="M468" s="59" t="str">
        <f>IFERROR(VLOOKUP($A468,SortedDownload!$A$3:$BB$499,26,FALSE),"")</f>
        <v/>
      </c>
      <c r="N468" s="59" t="str">
        <f>IFERROR(VLOOKUP($A468,SortedDownload!$A$3:$BB$499,27,FALSE),"")</f>
        <v/>
      </c>
      <c r="O468" s="59" t="str">
        <f>IFERROR(VLOOKUP($A468,SortedDownload!$A$3:$BB$499,28,FALSE),"")</f>
        <v/>
      </c>
      <c r="P468" s="59" t="str">
        <f>IFERROR(VLOOKUP($A468,SortedDownload!$A$3:$BB$499,29,FALSE),"")</f>
        <v/>
      </c>
      <c r="Q468" s="59" t="str">
        <f>IFERROR(VLOOKUP($A468,SortedDownload!$A$3:$BB$499,30,FALSE),"")</f>
        <v/>
      </c>
      <c r="R468" s="62" t="str">
        <f>IFERROR(TEXT(VLOOKUP($A468,SortedDownload!$A$3:$Z$499,14,FALSE),"[hh]:mm:ss.000"),"")</f>
        <v/>
      </c>
      <c r="S468" s="83" t="str">
        <f t="shared" si="23"/>
        <v>N/A</v>
      </c>
      <c r="T468" s="83" t="e">
        <f t="shared" si="21"/>
        <v>#VALUE!</v>
      </c>
      <c r="U468" s="9" t="str">
        <f t="shared" si="22"/>
        <v/>
      </c>
      <c r="V468" s="20" t="str">
        <f>IFERROR(IF(VLOOKUP(H468,AgeCategories!$D$3:$J$32,7,FALSE)=I468,"","DNF"),"")</f>
        <v/>
      </c>
    </row>
    <row r="469" spans="1:22">
      <c r="A469" s="53" t="str">
        <f>IF(SortedDownload!A469 &lt; 1,"",SortedDownload!A469)</f>
        <v/>
      </c>
      <c r="B469" s="55">
        <f>IF(V469&lt;&gt;"","DNF",COUNTIF($V$3:V469,V469))</f>
        <v>434</v>
      </c>
      <c r="C469" s="54" t="str">
        <f>IF(OR(B469="DNF",H469=""),"DNF",COUNTIF($H$3:H469,H469))</f>
        <v>DNF</v>
      </c>
      <c r="D469" s="90" t="str">
        <f>IFERROR(VLOOKUP($A469,EntryList!$A$3:$N$596,2,FALSE),"")</f>
        <v/>
      </c>
      <c r="E469" s="54" t="str">
        <f>IFERROR(VLOOKUP($A469,EntryList!$A$3:$V$596,19,FALSE),"")</f>
        <v/>
      </c>
      <c r="F469" s="176" t="str">
        <f>IFERROR(VLOOKUP($A469,EntryList!$A$3:$V$596,18,FALSE),"")</f>
        <v/>
      </c>
      <c r="H469" s="90" t="str">
        <f>IFERROR(VLOOKUP($A469,EntryList!$A$3:$N$596,7,FALSE),"")</f>
        <v/>
      </c>
      <c r="I469" s="54" t="str">
        <f>IFERROR(VLOOKUP($A469,SortedDownload!$A$3:$Z965,4,FALSE),"")</f>
        <v/>
      </c>
      <c r="J469" s="59" t="str">
        <f>IFERROR(VLOOKUP($A469,SortedDownload!$A$3:$BB$499,23,FALSE),"")</f>
        <v/>
      </c>
      <c r="K469" s="59" t="str">
        <f>IFERROR(VLOOKUP($A469,SortedDownload!$A$3:$BB$499,24,FALSE),"")</f>
        <v/>
      </c>
      <c r="L469" s="59" t="str">
        <f>IFERROR(VLOOKUP($A469,SortedDownload!$A$3:$BB$499,25,FALSE),"")</f>
        <v/>
      </c>
      <c r="M469" s="59" t="str">
        <f>IFERROR(VLOOKUP($A469,SortedDownload!$A$3:$BB$499,26,FALSE),"")</f>
        <v/>
      </c>
      <c r="N469" s="59" t="str">
        <f>IFERROR(VLOOKUP($A469,SortedDownload!$A$3:$BB$499,27,FALSE),"")</f>
        <v/>
      </c>
      <c r="O469" s="59" t="str">
        <f>IFERROR(VLOOKUP($A469,SortedDownload!$A$3:$BB$499,28,FALSE),"")</f>
        <v/>
      </c>
      <c r="P469" s="59" t="str">
        <f>IFERROR(VLOOKUP($A469,SortedDownload!$A$3:$BB$499,29,FALSE),"")</f>
        <v/>
      </c>
      <c r="Q469" s="59" t="str">
        <f>IFERROR(VLOOKUP($A469,SortedDownload!$A$3:$BB$499,30,FALSE),"")</f>
        <v/>
      </c>
      <c r="R469" s="62" t="str">
        <f>IFERROR(TEXT(VLOOKUP($A469,SortedDownload!$A$3:$Z$499,14,FALSE),"[hh]:mm:ss.000"),"")</f>
        <v/>
      </c>
      <c r="S469" s="83" t="str">
        <f t="shared" si="23"/>
        <v>N/A</v>
      </c>
      <c r="T469" s="83" t="e">
        <f t="shared" si="21"/>
        <v>#VALUE!</v>
      </c>
      <c r="U469" s="9" t="str">
        <f t="shared" si="22"/>
        <v/>
      </c>
      <c r="V469" s="20" t="str">
        <f>IFERROR(IF(VLOOKUP(H469,AgeCategories!$D$3:$J$32,7,FALSE)=I469,"","DNF"),"")</f>
        <v/>
      </c>
    </row>
    <row r="470" spans="1:22">
      <c r="A470" s="53" t="str">
        <f>IF(SortedDownload!A470 &lt; 1,"",SortedDownload!A470)</f>
        <v/>
      </c>
      <c r="B470" s="55">
        <f>IF(V470&lt;&gt;"","DNF",COUNTIF($V$3:V470,V470))</f>
        <v>435</v>
      </c>
      <c r="C470" s="54" t="str">
        <f>IF(OR(B470="DNF",H470=""),"DNF",COUNTIF($H$3:H470,H470))</f>
        <v>DNF</v>
      </c>
      <c r="D470" s="90" t="str">
        <f>IFERROR(VLOOKUP($A470,EntryList!$A$3:$N$596,2,FALSE),"")</f>
        <v/>
      </c>
      <c r="E470" s="54" t="str">
        <f>IFERROR(VLOOKUP($A470,EntryList!$A$3:$V$596,19,FALSE),"")</f>
        <v/>
      </c>
      <c r="F470" s="176" t="str">
        <f>IFERROR(VLOOKUP($A470,EntryList!$A$3:$V$596,18,FALSE),"")</f>
        <v/>
      </c>
      <c r="H470" s="90" t="str">
        <f>IFERROR(VLOOKUP($A470,EntryList!$A$3:$N$596,7,FALSE),"")</f>
        <v/>
      </c>
      <c r="I470" s="54" t="str">
        <f>IFERROR(VLOOKUP($A470,SortedDownload!$A$3:$Z966,4,FALSE),"")</f>
        <v/>
      </c>
      <c r="J470" s="59" t="str">
        <f>IFERROR(VLOOKUP($A470,SortedDownload!$A$3:$BB$499,23,FALSE),"")</f>
        <v/>
      </c>
      <c r="K470" s="59" t="str">
        <f>IFERROR(VLOOKUP($A470,SortedDownload!$A$3:$BB$499,24,FALSE),"")</f>
        <v/>
      </c>
      <c r="L470" s="59" t="str">
        <f>IFERROR(VLOOKUP($A470,SortedDownload!$A$3:$BB$499,25,FALSE),"")</f>
        <v/>
      </c>
      <c r="M470" s="59" t="str">
        <f>IFERROR(VLOOKUP($A470,SortedDownload!$A$3:$BB$499,26,FALSE),"")</f>
        <v/>
      </c>
      <c r="N470" s="59" t="str">
        <f>IFERROR(VLOOKUP($A470,SortedDownload!$A$3:$BB$499,27,FALSE),"")</f>
        <v/>
      </c>
      <c r="O470" s="59" t="str">
        <f>IFERROR(VLOOKUP($A470,SortedDownload!$A$3:$BB$499,28,FALSE),"")</f>
        <v/>
      </c>
      <c r="P470" s="59" t="str">
        <f>IFERROR(VLOOKUP($A470,SortedDownload!$A$3:$BB$499,29,FALSE),"")</f>
        <v/>
      </c>
      <c r="Q470" s="59" t="str">
        <f>IFERROR(VLOOKUP($A470,SortedDownload!$A$3:$BB$499,30,FALSE),"")</f>
        <v/>
      </c>
      <c r="R470" s="62" t="str">
        <f>IFERROR(TEXT(VLOOKUP($A470,SortedDownload!$A$3:$Z$499,14,FALSE),"[hh]:mm:ss.000"),"")</f>
        <v/>
      </c>
      <c r="S470" s="83" t="str">
        <f t="shared" si="23"/>
        <v>N/A</v>
      </c>
      <c r="T470" s="83" t="e">
        <f t="shared" si="21"/>
        <v>#VALUE!</v>
      </c>
      <c r="U470" s="9" t="str">
        <f t="shared" si="22"/>
        <v/>
      </c>
      <c r="V470" s="20" t="str">
        <f>IFERROR(IF(VLOOKUP(H470,AgeCategories!$D$3:$J$32,7,FALSE)=I470,"","DNF"),"")</f>
        <v/>
      </c>
    </row>
    <row r="471" spans="1:22">
      <c r="A471" s="53" t="str">
        <f>IF(SortedDownload!A471 &lt; 1,"",SortedDownload!A471)</f>
        <v/>
      </c>
      <c r="B471" s="55">
        <f>IF(V471&lt;&gt;"","DNF",COUNTIF($V$3:V471,V471))</f>
        <v>436</v>
      </c>
      <c r="C471" s="54" t="str">
        <f>IF(OR(B471="DNF",H471=""),"DNF",COUNTIF($H$3:H471,H471))</f>
        <v>DNF</v>
      </c>
      <c r="D471" s="90" t="str">
        <f>IFERROR(VLOOKUP($A471,EntryList!$A$3:$N$596,2,FALSE),"")</f>
        <v/>
      </c>
      <c r="E471" s="54" t="str">
        <f>IFERROR(VLOOKUP($A471,EntryList!$A$3:$V$596,19,FALSE),"")</f>
        <v/>
      </c>
      <c r="F471" s="176" t="str">
        <f>IFERROR(VLOOKUP($A471,EntryList!$A$3:$V$596,18,FALSE),"")</f>
        <v/>
      </c>
      <c r="H471" s="90" t="str">
        <f>IFERROR(VLOOKUP($A471,EntryList!$A$3:$N$596,7,FALSE),"")</f>
        <v/>
      </c>
      <c r="I471" s="54" t="str">
        <f>IFERROR(VLOOKUP($A471,SortedDownload!$A$3:$Z967,4,FALSE),"")</f>
        <v/>
      </c>
      <c r="J471" s="59" t="str">
        <f>IFERROR(VLOOKUP($A471,SortedDownload!$A$3:$BB$499,23,FALSE),"")</f>
        <v/>
      </c>
      <c r="K471" s="59" t="str">
        <f>IFERROR(VLOOKUP($A471,SortedDownload!$A$3:$BB$499,24,FALSE),"")</f>
        <v/>
      </c>
      <c r="L471" s="59" t="str">
        <f>IFERROR(VLOOKUP($A471,SortedDownload!$A$3:$BB$499,25,FALSE),"")</f>
        <v/>
      </c>
      <c r="M471" s="59" t="str">
        <f>IFERROR(VLOOKUP($A471,SortedDownload!$A$3:$BB$499,26,FALSE),"")</f>
        <v/>
      </c>
      <c r="N471" s="59" t="str">
        <f>IFERROR(VLOOKUP($A471,SortedDownload!$A$3:$BB$499,27,FALSE),"")</f>
        <v/>
      </c>
      <c r="O471" s="59" t="str">
        <f>IFERROR(VLOOKUP($A471,SortedDownload!$A$3:$BB$499,28,FALSE),"")</f>
        <v/>
      </c>
      <c r="P471" s="59" t="str">
        <f>IFERROR(VLOOKUP($A471,SortedDownload!$A$3:$BB$499,29,FALSE),"")</f>
        <v/>
      </c>
      <c r="Q471" s="59" t="str">
        <f>IFERROR(VLOOKUP($A471,SortedDownload!$A$3:$BB$499,30,FALSE),"")</f>
        <v/>
      </c>
      <c r="R471" s="62" t="str">
        <f>IFERROR(TEXT(VLOOKUP($A471,SortedDownload!$A$3:$Z$499,14,FALSE),"[hh]:mm:ss.000"),"")</f>
        <v/>
      </c>
      <c r="S471" s="83" t="str">
        <f t="shared" si="23"/>
        <v>N/A</v>
      </c>
      <c r="T471" s="83" t="e">
        <f t="shared" si="21"/>
        <v>#VALUE!</v>
      </c>
      <c r="U471" s="9" t="str">
        <f t="shared" si="22"/>
        <v/>
      </c>
      <c r="V471" s="20" t="str">
        <f>IFERROR(IF(VLOOKUP(H471,AgeCategories!$D$3:$J$32,7,FALSE)=I471,"","DNF"),"")</f>
        <v/>
      </c>
    </row>
    <row r="472" spans="1:22">
      <c r="A472" s="53" t="str">
        <f>IF(SortedDownload!A472 &lt; 1,"",SortedDownload!A472)</f>
        <v/>
      </c>
      <c r="B472" s="55">
        <f>IF(V472&lt;&gt;"","DNF",COUNTIF($V$3:V472,V472))</f>
        <v>437</v>
      </c>
      <c r="C472" s="54" t="str">
        <f>IF(OR(B472="DNF",H472=""),"DNF",COUNTIF($H$3:H472,H472))</f>
        <v>DNF</v>
      </c>
      <c r="D472" s="90" t="str">
        <f>IFERROR(VLOOKUP($A472,EntryList!$A$3:$N$596,2,FALSE),"")</f>
        <v/>
      </c>
      <c r="E472" s="54" t="str">
        <f>IFERROR(VLOOKUP($A472,EntryList!$A$3:$V$596,19,FALSE),"")</f>
        <v/>
      </c>
      <c r="F472" s="176" t="str">
        <f>IFERROR(VLOOKUP($A472,EntryList!$A$3:$V$596,18,FALSE),"")</f>
        <v/>
      </c>
      <c r="H472" s="90" t="str">
        <f>IFERROR(VLOOKUP($A472,EntryList!$A$3:$N$596,7,FALSE),"")</f>
        <v/>
      </c>
      <c r="I472" s="54" t="str">
        <f>IFERROR(VLOOKUP($A472,SortedDownload!$A$3:$Z968,4,FALSE),"")</f>
        <v/>
      </c>
      <c r="J472" s="59" t="str">
        <f>IFERROR(VLOOKUP($A472,SortedDownload!$A$3:$BB$499,23,FALSE),"")</f>
        <v/>
      </c>
      <c r="K472" s="59" t="str">
        <f>IFERROR(VLOOKUP($A472,SortedDownload!$A$3:$BB$499,24,FALSE),"")</f>
        <v/>
      </c>
      <c r="L472" s="59" t="str">
        <f>IFERROR(VLOOKUP($A472,SortedDownload!$A$3:$BB$499,25,FALSE),"")</f>
        <v/>
      </c>
      <c r="M472" s="59" t="str">
        <f>IFERROR(VLOOKUP($A472,SortedDownload!$A$3:$BB$499,26,FALSE),"")</f>
        <v/>
      </c>
      <c r="N472" s="59" t="str">
        <f>IFERROR(VLOOKUP($A472,SortedDownload!$A$3:$BB$499,27,FALSE),"")</f>
        <v/>
      </c>
      <c r="O472" s="59" t="str">
        <f>IFERROR(VLOOKUP($A472,SortedDownload!$A$3:$BB$499,28,FALSE),"")</f>
        <v/>
      </c>
      <c r="P472" s="59" t="str">
        <f>IFERROR(VLOOKUP($A472,SortedDownload!$A$3:$BB$499,29,FALSE),"")</f>
        <v/>
      </c>
      <c r="Q472" s="59" t="str">
        <f>IFERROR(VLOOKUP($A472,SortedDownload!$A$3:$BB$499,30,FALSE),"")</f>
        <v/>
      </c>
      <c r="R472" s="62" t="str">
        <f>IFERROR(TEXT(VLOOKUP($A472,SortedDownload!$A$3:$Z$499,14,FALSE),"[hh]:mm:ss.000"),"")</f>
        <v/>
      </c>
      <c r="S472" s="83" t="str">
        <f t="shared" si="23"/>
        <v>N/A</v>
      </c>
      <c r="T472" s="83" t="e">
        <f t="shared" si="21"/>
        <v>#VALUE!</v>
      </c>
      <c r="U472" s="9" t="str">
        <f t="shared" si="22"/>
        <v/>
      </c>
      <c r="V472" s="20" t="str">
        <f>IFERROR(IF(VLOOKUP(H472,AgeCategories!$D$3:$J$32,7,FALSE)=I472,"","DNF"),"")</f>
        <v/>
      </c>
    </row>
    <row r="473" spans="1:22">
      <c r="A473" s="53" t="str">
        <f>IF(SortedDownload!A473 &lt; 1,"",SortedDownload!A473)</f>
        <v/>
      </c>
      <c r="B473" s="55">
        <f>IF(V473&lt;&gt;"","DNF",COUNTIF($V$3:V473,V473))</f>
        <v>438</v>
      </c>
      <c r="C473" s="54" t="str">
        <f>IF(OR(B473="DNF",H473=""),"DNF",COUNTIF($H$3:H473,H473))</f>
        <v>DNF</v>
      </c>
      <c r="D473" s="90" t="str">
        <f>IFERROR(VLOOKUP($A473,EntryList!$A$3:$N$596,2,FALSE),"")</f>
        <v/>
      </c>
      <c r="E473" s="54" t="str">
        <f>IFERROR(VLOOKUP($A473,EntryList!$A$3:$V$596,19,FALSE),"")</f>
        <v/>
      </c>
      <c r="F473" s="176" t="str">
        <f>IFERROR(VLOOKUP($A473,EntryList!$A$3:$V$596,18,FALSE),"")</f>
        <v/>
      </c>
      <c r="H473" s="90" t="str">
        <f>IFERROR(VLOOKUP($A473,EntryList!$A$3:$N$596,7,FALSE),"")</f>
        <v/>
      </c>
      <c r="I473" s="54" t="str">
        <f>IFERROR(VLOOKUP($A473,SortedDownload!$A$3:$Z969,4,FALSE),"")</f>
        <v/>
      </c>
      <c r="J473" s="59" t="str">
        <f>IFERROR(VLOOKUP($A473,SortedDownload!$A$3:$BB$499,23,FALSE),"")</f>
        <v/>
      </c>
      <c r="K473" s="59" t="str">
        <f>IFERROR(VLOOKUP($A473,SortedDownload!$A$3:$BB$499,24,FALSE),"")</f>
        <v/>
      </c>
      <c r="L473" s="59" t="str">
        <f>IFERROR(VLOOKUP($A473,SortedDownload!$A$3:$BB$499,25,FALSE),"")</f>
        <v/>
      </c>
      <c r="M473" s="59" t="str">
        <f>IFERROR(VLOOKUP($A473,SortedDownload!$A$3:$BB$499,26,FALSE),"")</f>
        <v/>
      </c>
      <c r="N473" s="59" t="str">
        <f>IFERROR(VLOOKUP($A473,SortedDownload!$A$3:$BB$499,27,FALSE),"")</f>
        <v/>
      </c>
      <c r="O473" s="59" t="str">
        <f>IFERROR(VLOOKUP($A473,SortedDownload!$A$3:$BB$499,28,FALSE),"")</f>
        <v/>
      </c>
      <c r="P473" s="59" t="str">
        <f>IFERROR(VLOOKUP($A473,SortedDownload!$A$3:$BB$499,29,FALSE),"")</f>
        <v/>
      </c>
      <c r="Q473" s="59" t="str">
        <f>IFERROR(VLOOKUP($A473,SortedDownload!$A$3:$BB$499,30,FALSE),"")</f>
        <v/>
      </c>
      <c r="R473" s="62" t="str">
        <f>IFERROR(TEXT(VLOOKUP($A473,SortedDownload!$A$3:$Z$499,14,FALSE),"[hh]:mm:ss.000"),"")</f>
        <v/>
      </c>
      <c r="S473" s="83" t="str">
        <f t="shared" si="23"/>
        <v>N/A</v>
      </c>
      <c r="T473" s="83" t="e">
        <f t="shared" si="21"/>
        <v>#VALUE!</v>
      </c>
      <c r="U473" s="9" t="str">
        <f t="shared" si="22"/>
        <v/>
      </c>
      <c r="V473" s="20" t="str">
        <f>IFERROR(IF(VLOOKUP(H473,AgeCategories!$D$3:$J$32,7,FALSE)=I473,"","DNF"),"")</f>
        <v/>
      </c>
    </row>
    <row r="474" spans="1:22">
      <c r="A474" s="53" t="str">
        <f>IF(SortedDownload!A474 &lt; 1,"",SortedDownload!A474)</f>
        <v/>
      </c>
      <c r="B474" s="55">
        <f>IF(V474&lt;&gt;"","DNF",COUNTIF($V$3:V474,V474))</f>
        <v>439</v>
      </c>
      <c r="C474" s="54" t="str">
        <f>IF(OR(B474="DNF",H474=""),"DNF",COUNTIF($H$3:H474,H474))</f>
        <v>DNF</v>
      </c>
      <c r="D474" s="90" t="str">
        <f>IFERROR(VLOOKUP($A474,EntryList!$A$3:$N$596,2,FALSE),"")</f>
        <v/>
      </c>
      <c r="E474" s="54" t="str">
        <f>IFERROR(VLOOKUP($A474,EntryList!$A$3:$V$596,19,FALSE),"")</f>
        <v/>
      </c>
      <c r="F474" s="176" t="str">
        <f>IFERROR(VLOOKUP($A474,EntryList!$A$3:$V$596,18,FALSE),"")</f>
        <v/>
      </c>
      <c r="H474" s="90" t="str">
        <f>IFERROR(VLOOKUP($A474,EntryList!$A$3:$N$596,7,FALSE),"")</f>
        <v/>
      </c>
      <c r="I474" s="54" t="str">
        <f>IFERROR(VLOOKUP($A474,SortedDownload!$A$3:$Z970,4,FALSE),"")</f>
        <v/>
      </c>
      <c r="J474" s="59" t="str">
        <f>IFERROR(VLOOKUP($A474,SortedDownload!$A$3:$BB$499,23,FALSE),"")</f>
        <v/>
      </c>
      <c r="K474" s="59" t="str">
        <f>IFERROR(VLOOKUP($A474,SortedDownload!$A$3:$BB$499,24,FALSE),"")</f>
        <v/>
      </c>
      <c r="L474" s="59" t="str">
        <f>IFERROR(VLOOKUP($A474,SortedDownload!$A$3:$BB$499,25,FALSE),"")</f>
        <v/>
      </c>
      <c r="M474" s="59" t="str">
        <f>IFERROR(VLOOKUP($A474,SortedDownload!$A$3:$BB$499,26,FALSE),"")</f>
        <v/>
      </c>
      <c r="N474" s="59" t="str">
        <f>IFERROR(VLOOKUP($A474,SortedDownload!$A$3:$BB$499,27,FALSE),"")</f>
        <v/>
      </c>
      <c r="O474" s="59" t="str">
        <f>IFERROR(VLOOKUP($A474,SortedDownload!$A$3:$BB$499,28,FALSE),"")</f>
        <v/>
      </c>
      <c r="P474" s="59" t="str">
        <f>IFERROR(VLOOKUP($A474,SortedDownload!$A$3:$BB$499,29,FALSE),"")</f>
        <v/>
      </c>
      <c r="Q474" s="59" t="str">
        <f>IFERROR(VLOOKUP($A474,SortedDownload!$A$3:$BB$499,30,FALSE),"")</f>
        <v/>
      </c>
      <c r="R474" s="62" t="str">
        <f>IFERROR(TEXT(VLOOKUP($A474,SortedDownload!$A$3:$Z$499,14,FALSE),"[hh]:mm:ss.000"),"")</f>
        <v/>
      </c>
      <c r="S474" s="83" t="str">
        <f t="shared" si="23"/>
        <v>N/A</v>
      </c>
      <c r="T474" s="83" t="e">
        <f t="shared" si="21"/>
        <v>#VALUE!</v>
      </c>
      <c r="U474" s="9" t="str">
        <f t="shared" si="22"/>
        <v/>
      </c>
      <c r="V474" s="20" t="str">
        <f>IFERROR(IF(VLOOKUP(H474,AgeCategories!$D$3:$J$32,7,FALSE)=I474,"","DNF"),"")</f>
        <v/>
      </c>
    </row>
    <row r="475" spans="1:22">
      <c r="A475" s="53" t="str">
        <f>IF(SortedDownload!A475 &lt; 1,"",SortedDownload!A475)</f>
        <v/>
      </c>
      <c r="B475" s="55">
        <f>IF(V475&lt;&gt;"","DNF",COUNTIF($V$3:V475,V475))</f>
        <v>440</v>
      </c>
      <c r="C475" s="54" t="str">
        <f>IF(OR(B475="DNF",H475=""),"DNF",COUNTIF($H$3:H475,H475))</f>
        <v>DNF</v>
      </c>
      <c r="D475" s="90" t="str">
        <f>IFERROR(VLOOKUP($A475,EntryList!$A$3:$N$596,2,FALSE),"")</f>
        <v/>
      </c>
      <c r="E475" s="54" t="str">
        <f>IFERROR(VLOOKUP($A475,EntryList!$A$3:$V$596,19,FALSE),"")</f>
        <v/>
      </c>
      <c r="F475" s="176" t="str">
        <f>IFERROR(VLOOKUP($A475,EntryList!$A$3:$V$596,18,FALSE),"")</f>
        <v/>
      </c>
      <c r="H475" s="90" t="str">
        <f>IFERROR(VLOOKUP($A475,EntryList!$A$3:$N$596,7,FALSE),"")</f>
        <v/>
      </c>
      <c r="I475" s="54" t="str">
        <f>IFERROR(VLOOKUP($A475,SortedDownload!$A$3:$Z971,4,FALSE),"")</f>
        <v/>
      </c>
      <c r="J475" s="59" t="str">
        <f>IFERROR(VLOOKUP($A475,SortedDownload!$A$3:$BB$499,23,FALSE),"")</f>
        <v/>
      </c>
      <c r="K475" s="59" t="str">
        <f>IFERROR(VLOOKUP($A475,SortedDownload!$A$3:$BB$499,24,FALSE),"")</f>
        <v/>
      </c>
      <c r="L475" s="59" t="str">
        <f>IFERROR(VLOOKUP($A475,SortedDownload!$A$3:$BB$499,25,FALSE),"")</f>
        <v/>
      </c>
      <c r="M475" s="59" t="str">
        <f>IFERROR(VLOOKUP($A475,SortedDownload!$A$3:$BB$499,26,FALSE),"")</f>
        <v/>
      </c>
      <c r="N475" s="59" t="str">
        <f>IFERROR(VLOOKUP($A475,SortedDownload!$A$3:$BB$499,27,FALSE),"")</f>
        <v/>
      </c>
      <c r="O475" s="59" t="str">
        <f>IFERROR(VLOOKUP($A475,SortedDownload!$A$3:$BB$499,28,FALSE),"")</f>
        <v/>
      </c>
      <c r="P475" s="59" t="str">
        <f>IFERROR(VLOOKUP($A475,SortedDownload!$A$3:$BB$499,29,FALSE),"")</f>
        <v/>
      </c>
      <c r="Q475" s="59" t="str">
        <f>IFERROR(VLOOKUP($A475,SortedDownload!$A$3:$BB$499,30,FALSE),"")</f>
        <v/>
      </c>
      <c r="R475" s="62" t="str">
        <f>IFERROR(TEXT(VLOOKUP($A475,SortedDownload!$A$3:$Z$499,14,FALSE),"[hh]:mm:ss.000"),"")</f>
        <v/>
      </c>
      <c r="S475" s="83" t="str">
        <f t="shared" si="23"/>
        <v>N/A</v>
      </c>
      <c r="T475" s="83" t="e">
        <f t="shared" si="21"/>
        <v>#VALUE!</v>
      </c>
      <c r="U475" s="9" t="str">
        <f t="shared" si="22"/>
        <v/>
      </c>
      <c r="V475" s="20" t="str">
        <f>IFERROR(IF(VLOOKUP(H475,AgeCategories!$D$3:$J$32,7,FALSE)=I475,"","DNF"),"")</f>
        <v/>
      </c>
    </row>
    <row r="476" spans="1:22">
      <c r="A476" s="53" t="str">
        <f>IF(SortedDownload!A476 &lt; 1,"",SortedDownload!A476)</f>
        <v/>
      </c>
      <c r="B476" s="55">
        <f>IF(V476&lt;&gt;"","DNF",COUNTIF($V$3:V476,V476))</f>
        <v>441</v>
      </c>
      <c r="C476" s="54" t="str">
        <f>IF(OR(B476="DNF",H476=""),"DNF",COUNTIF($H$3:H476,H476))</f>
        <v>DNF</v>
      </c>
      <c r="D476" s="90" t="str">
        <f>IFERROR(VLOOKUP($A476,EntryList!$A$3:$N$596,2,FALSE),"")</f>
        <v/>
      </c>
      <c r="E476" s="54" t="str">
        <f>IFERROR(VLOOKUP($A476,EntryList!$A$3:$V$596,19,FALSE),"")</f>
        <v/>
      </c>
      <c r="F476" s="176" t="str">
        <f>IFERROR(VLOOKUP($A476,EntryList!$A$3:$V$596,18,FALSE),"")</f>
        <v/>
      </c>
      <c r="H476" s="90" t="str">
        <f>IFERROR(VLOOKUP($A476,EntryList!$A$3:$N$596,7,FALSE),"")</f>
        <v/>
      </c>
      <c r="I476" s="54" t="str">
        <f>IFERROR(VLOOKUP($A476,SortedDownload!$A$3:$Z972,4,FALSE),"")</f>
        <v/>
      </c>
      <c r="J476" s="59" t="str">
        <f>IFERROR(VLOOKUP($A476,SortedDownload!$A$3:$BB$499,23,FALSE),"")</f>
        <v/>
      </c>
      <c r="K476" s="59" t="str">
        <f>IFERROR(VLOOKUP($A476,SortedDownload!$A$3:$BB$499,24,FALSE),"")</f>
        <v/>
      </c>
      <c r="L476" s="59" t="str">
        <f>IFERROR(VLOOKUP($A476,SortedDownload!$A$3:$BB$499,25,FALSE),"")</f>
        <v/>
      </c>
      <c r="M476" s="59" t="str">
        <f>IFERROR(VLOOKUP($A476,SortedDownload!$A$3:$BB$499,26,FALSE),"")</f>
        <v/>
      </c>
      <c r="N476" s="59" t="str">
        <f>IFERROR(VLOOKUP($A476,SortedDownload!$A$3:$BB$499,27,FALSE),"")</f>
        <v/>
      </c>
      <c r="O476" s="59" t="str">
        <f>IFERROR(VLOOKUP($A476,SortedDownload!$A$3:$BB$499,28,FALSE),"")</f>
        <v/>
      </c>
      <c r="P476" s="59" t="str">
        <f>IFERROR(VLOOKUP($A476,SortedDownload!$A$3:$BB$499,29,FALSE),"")</f>
        <v/>
      </c>
      <c r="Q476" s="59" t="str">
        <f>IFERROR(VLOOKUP($A476,SortedDownload!$A$3:$BB$499,30,FALSE),"")</f>
        <v/>
      </c>
      <c r="R476" s="62" t="str">
        <f>IFERROR(TEXT(VLOOKUP($A476,SortedDownload!$A$3:$Z$499,14,FALSE),"[hh]:mm:ss.000"),"")</f>
        <v/>
      </c>
      <c r="S476" s="83" t="str">
        <f t="shared" si="23"/>
        <v>N/A</v>
      </c>
      <c r="T476" s="83" t="e">
        <f t="shared" si="21"/>
        <v>#VALUE!</v>
      </c>
      <c r="U476" s="9" t="str">
        <f t="shared" si="22"/>
        <v/>
      </c>
      <c r="V476" s="20" t="str">
        <f>IFERROR(IF(VLOOKUP(H476,AgeCategories!$D$3:$J$32,7,FALSE)=I476,"","DNF"),"")</f>
        <v/>
      </c>
    </row>
    <row r="477" spans="1:22">
      <c r="A477" s="53" t="str">
        <f>IF(SortedDownload!A477 &lt; 1,"",SortedDownload!A477)</f>
        <v/>
      </c>
      <c r="B477" s="55">
        <f>IF(V477&lt;&gt;"","DNF",COUNTIF($V$3:V477,V477))</f>
        <v>442</v>
      </c>
      <c r="C477" s="54" t="str">
        <f>IF(OR(B477="DNF",H477=""),"DNF",COUNTIF($H$3:H477,H477))</f>
        <v>DNF</v>
      </c>
      <c r="D477" s="90" t="str">
        <f>IFERROR(VLOOKUP($A477,EntryList!$A$3:$N$596,2,FALSE),"")</f>
        <v/>
      </c>
      <c r="E477" s="54" t="str">
        <f>IFERROR(VLOOKUP($A477,EntryList!$A$3:$V$596,19,FALSE),"")</f>
        <v/>
      </c>
      <c r="F477" s="176" t="str">
        <f>IFERROR(VLOOKUP($A477,EntryList!$A$3:$V$596,18,FALSE),"")</f>
        <v/>
      </c>
      <c r="H477" s="90" t="str">
        <f>IFERROR(VLOOKUP($A477,EntryList!$A$3:$N$596,7,FALSE),"")</f>
        <v/>
      </c>
      <c r="I477" s="54" t="str">
        <f>IFERROR(VLOOKUP($A477,SortedDownload!$A$3:$Z973,4,FALSE),"")</f>
        <v/>
      </c>
      <c r="J477" s="59" t="str">
        <f>IFERROR(VLOOKUP($A477,SortedDownload!$A$3:$BB$499,23,FALSE),"")</f>
        <v/>
      </c>
      <c r="K477" s="59" t="str">
        <f>IFERROR(VLOOKUP($A477,SortedDownload!$A$3:$BB$499,24,FALSE),"")</f>
        <v/>
      </c>
      <c r="L477" s="59" t="str">
        <f>IFERROR(VLOOKUP($A477,SortedDownload!$A$3:$BB$499,25,FALSE),"")</f>
        <v/>
      </c>
      <c r="M477" s="59" t="str">
        <f>IFERROR(VLOOKUP($A477,SortedDownload!$A$3:$BB$499,26,FALSE),"")</f>
        <v/>
      </c>
      <c r="N477" s="59" t="str">
        <f>IFERROR(VLOOKUP($A477,SortedDownload!$A$3:$BB$499,27,FALSE),"")</f>
        <v/>
      </c>
      <c r="O477" s="59" t="str">
        <f>IFERROR(VLOOKUP($A477,SortedDownload!$A$3:$BB$499,28,FALSE),"")</f>
        <v/>
      </c>
      <c r="P477" s="59" t="str">
        <f>IFERROR(VLOOKUP($A477,SortedDownload!$A$3:$BB$499,29,FALSE),"")</f>
        <v/>
      </c>
      <c r="Q477" s="59" t="str">
        <f>IFERROR(VLOOKUP($A477,SortedDownload!$A$3:$BB$499,30,FALSE),"")</f>
        <v/>
      </c>
      <c r="R477" s="62" t="str">
        <f>IFERROR(TEXT(VLOOKUP($A477,SortedDownload!$A$3:$Z$499,14,FALSE),"[hh]:mm:ss.000"),"")</f>
        <v/>
      </c>
      <c r="S477" s="83" t="str">
        <f t="shared" si="23"/>
        <v>N/A</v>
      </c>
      <c r="T477" s="83" t="e">
        <f t="shared" si="21"/>
        <v>#VALUE!</v>
      </c>
      <c r="U477" s="9" t="str">
        <f t="shared" si="22"/>
        <v/>
      </c>
      <c r="V477" s="20" t="str">
        <f>IFERROR(IF(VLOOKUP(H477,AgeCategories!$D$3:$J$32,7,FALSE)=I477,"","DNF"),"")</f>
        <v/>
      </c>
    </row>
    <row r="478" spans="1:22">
      <c r="A478" s="53" t="str">
        <f>IF(SortedDownload!A478 &lt; 1,"",SortedDownload!A478)</f>
        <v/>
      </c>
      <c r="B478" s="55">
        <f>IF(V478&lt;&gt;"","DNF",COUNTIF($V$3:V478,V478))</f>
        <v>443</v>
      </c>
      <c r="C478" s="54" t="str">
        <f>IF(OR(B478="DNF",H478=""),"DNF",COUNTIF($H$3:H478,H478))</f>
        <v>DNF</v>
      </c>
      <c r="D478" s="90" t="str">
        <f>IFERROR(VLOOKUP($A478,EntryList!$A$3:$N$596,2,FALSE),"")</f>
        <v/>
      </c>
      <c r="E478" s="54" t="str">
        <f>IFERROR(VLOOKUP($A478,EntryList!$A$3:$V$596,19,FALSE),"")</f>
        <v/>
      </c>
      <c r="F478" s="176" t="str">
        <f>IFERROR(VLOOKUP($A478,EntryList!$A$3:$V$596,18,FALSE),"")</f>
        <v/>
      </c>
      <c r="H478" s="90" t="str">
        <f>IFERROR(VLOOKUP($A478,EntryList!$A$3:$N$596,7,FALSE),"")</f>
        <v/>
      </c>
      <c r="I478" s="54" t="str">
        <f>IFERROR(VLOOKUP($A478,SortedDownload!$A$3:$Z974,4,FALSE),"")</f>
        <v/>
      </c>
      <c r="J478" s="59" t="str">
        <f>IFERROR(VLOOKUP($A478,SortedDownload!$A$3:$BB$499,23,FALSE),"")</f>
        <v/>
      </c>
      <c r="K478" s="59" t="str">
        <f>IFERROR(VLOOKUP($A478,SortedDownload!$A$3:$BB$499,24,FALSE),"")</f>
        <v/>
      </c>
      <c r="L478" s="59" t="str">
        <f>IFERROR(VLOOKUP($A478,SortedDownload!$A$3:$BB$499,25,FALSE),"")</f>
        <v/>
      </c>
      <c r="M478" s="59" t="str">
        <f>IFERROR(VLOOKUP($A478,SortedDownload!$A$3:$BB$499,26,FALSE),"")</f>
        <v/>
      </c>
      <c r="N478" s="59" t="str">
        <f>IFERROR(VLOOKUP($A478,SortedDownload!$A$3:$BB$499,27,FALSE),"")</f>
        <v/>
      </c>
      <c r="O478" s="59" t="str">
        <f>IFERROR(VLOOKUP($A478,SortedDownload!$A$3:$BB$499,28,FALSE),"")</f>
        <v/>
      </c>
      <c r="P478" s="59" t="str">
        <f>IFERROR(VLOOKUP($A478,SortedDownload!$A$3:$BB$499,29,FALSE),"")</f>
        <v/>
      </c>
      <c r="Q478" s="59" t="str">
        <f>IFERROR(VLOOKUP($A478,SortedDownload!$A$3:$BB$499,30,FALSE),"")</f>
        <v/>
      </c>
      <c r="R478" s="62" t="str">
        <f>IFERROR(TEXT(VLOOKUP($A478,SortedDownload!$A$3:$Z$499,14,FALSE),"[hh]:mm:ss.000"),"")</f>
        <v/>
      </c>
      <c r="S478" s="83" t="str">
        <f t="shared" si="23"/>
        <v>N/A</v>
      </c>
      <c r="T478" s="83" t="e">
        <f t="shared" si="21"/>
        <v>#VALUE!</v>
      </c>
      <c r="U478" s="9" t="str">
        <f t="shared" si="22"/>
        <v/>
      </c>
      <c r="V478" s="20" t="str">
        <f>IFERROR(IF(VLOOKUP(H478,AgeCategories!$D$3:$J$32,7,FALSE)=I478,"","DNF"),"")</f>
        <v/>
      </c>
    </row>
    <row r="479" spans="1:22">
      <c r="A479" s="53" t="str">
        <f>IF(SortedDownload!A479 &lt; 1,"",SortedDownload!A479)</f>
        <v/>
      </c>
      <c r="B479" s="55">
        <f>IF(V479&lt;&gt;"","DNF",COUNTIF($V$3:V479,V479))</f>
        <v>444</v>
      </c>
      <c r="C479" s="54" t="str">
        <f>IF(OR(B479="DNF",H479=""),"DNF",COUNTIF($H$3:H479,H479))</f>
        <v>DNF</v>
      </c>
      <c r="D479" s="90" t="str">
        <f>IFERROR(VLOOKUP($A479,EntryList!$A$3:$N$596,2,FALSE),"")</f>
        <v/>
      </c>
      <c r="E479" s="54" t="str">
        <f>IFERROR(VLOOKUP($A479,EntryList!$A$3:$V$596,19,FALSE),"")</f>
        <v/>
      </c>
      <c r="F479" s="176" t="str">
        <f>IFERROR(VLOOKUP($A479,EntryList!$A$3:$V$596,18,FALSE),"")</f>
        <v/>
      </c>
      <c r="H479" s="90" t="str">
        <f>IFERROR(VLOOKUP($A479,EntryList!$A$3:$N$596,7,FALSE),"")</f>
        <v/>
      </c>
      <c r="I479" s="54" t="str">
        <f>IFERROR(VLOOKUP($A479,SortedDownload!$A$3:$Z975,4,FALSE),"")</f>
        <v/>
      </c>
      <c r="J479" s="59" t="str">
        <f>IFERROR(VLOOKUP($A479,SortedDownload!$A$3:$BB$499,23,FALSE),"")</f>
        <v/>
      </c>
      <c r="K479" s="59" t="str">
        <f>IFERROR(VLOOKUP($A479,SortedDownload!$A$3:$BB$499,24,FALSE),"")</f>
        <v/>
      </c>
      <c r="L479" s="59" t="str">
        <f>IFERROR(VLOOKUP($A479,SortedDownload!$A$3:$BB$499,25,FALSE),"")</f>
        <v/>
      </c>
      <c r="M479" s="59" t="str">
        <f>IFERROR(VLOOKUP($A479,SortedDownload!$A$3:$BB$499,26,FALSE),"")</f>
        <v/>
      </c>
      <c r="N479" s="59" t="str">
        <f>IFERROR(VLOOKUP($A479,SortedDownload!$A$3:$BB$499,27,FALSE),"")</f>
        <v/>
      </c>
      <c r="O479" s="59" t="str">
        <f>IFERROR(VLOOKUP($A479,SortedDownload!$A$3:$BB$499,28,FALSE),"")</f>
        <v/>
      </c>
      <c r="P479" s="59" t="str">
        <f>IFERROR(VLOOKUP($A479,SortedDownload!$A$3:$BB$499,29,FALSE),"")</f>
        <v/>
      </c>
      <c r="Q479" s="59" t="str">
        <f>IFERROR(VLOOKUP($A479,SortedDownload!$A$3:$BB$499,30,FALSE),"")</f>
        <v/>
      </c>
      <c r="R479" s="62" t="str">
        <f>IFERROR(TEXT(VLOOKUP($A479,SortedDownload!$A$3:$Z$499,14,FALSE),"[hh]:mm:ss.000"),"")</f>
        <v/>
      </c>
      <c r="S479" s="83" t="str">
        <f t="shared" si="23"/>
        <v>N/A</v>
      </c>
      <c r="T479" s="83" t="e">
        <f t="shared" si="21"/>
        <v>#VALUE!</v>
      </c>
      <c r="U479" s="9" t="str">
        <f t="shared" si="22"/>
        <v/>
      </c>
      <c r="V479" s="20" t="str">
        <f>IFERROR(IF(VLOOKUP(H479,AgeCategories!$D$3:$J$32,7,FALSE)=I479,"","DNF"),"")</f>
        <v/>
      </c>
    </row>
    <row r="480" spans="1:22">
      <c r="A480" s="53" t="str">
        <f>IF(SortedDownload!A480 &lt; 1,"",SortedDownload!A480)</f>
        <v/>
      </c>
      <c r="B480" s="55">
        <f>IF(V480&lt;&gt;"","DNF",COUNTIF($V$3:V480,V480))</f>
        <v>445</v>
      </c>
      <c r="C480" s="54" t="str">
        <f>IF(OR(B480="DNF",H480=""),"DNF",COUNTIF($H$3:H480,H480))</f>
        <v>DNF</v>
      </c>
      <c r="D480" s="90" t="str">
        <f>IFERROR(VLOOKUP($A480,EntryList!$A$3:$N$596,2,FALSE),"")</f>
        <v/>
      </c>
      <c r="E480" s="54" t="str">
        <f>IFERROR(VLOOKUP($A480,EntryList!$A$3:$V$596,19,FALSE),"")</f>
        <v/>
      </c>
      <c r="F480" s="176" t="str">
        <f>IFERROR(VLOOKUP($A480,EntryList!$A$3:$V$596,18,FALSE),"")</f>
        <v/>
      </c>
      <c r="H480" s="90" t="str">
        <f>IFERROR(VLOOKUP($A480,EntryList!$A$3:$N$596,7,FALSE),"")</f>
        <v/>
      </c>
      <c r="I480" s="54" t="str">
        <f>IFERROR(VLOOKUP($A480,SortedDownload!$A$3:$Z976,4,FALSE),"")</f>
        <v/>
      </c>
      <c r="J480" s="59" t="str">
        <f>IFERROR(VLOOKUP($A480,SortedDownload!$A$3:$BB$499,23,FALSE),"")</f>
        <v/>
      </c>
      <c r="K480" s="59" t="str">
        <f>IFERROR(VLOOKUP($A480,SortedDownload!$A$3:$BB$499,24,FALSE),"")</f>
        <v/>
      </c>
      <c r="L480" s="59" t="str">
        <f>IFERROR(VLOOKUP($A480,SortedDownload!$A$3:$BB$499,25,FALSE),"")</f>
        <v/>
      </c>
      <c r="M480" s="59" t="str">
        <f>IFERROR(VLOOKUP($A480,SortedDownload!$A$3:$BB$499,26,FALSE),"")</f>
        <v/>
      </c>
      <c r="N480" s="59" t="str">
        <f>IFERROR(VLOOKUP($A480,SortedDownload!$A$3:$BB$499,27,FALSE),"")</f>
        <v/>
      </c>
      <c r="O480" s="59" t="str">
        <f>IFERROR(VLOOKUP($A480,SortedDownload!$A$3:$BB$499,28,FALSE),"")</f>
        <v/>
      </c>
      <c r="P480" s="59" t="str">
        <f>IFERROR(VLOOKUP($A480,SortedDownload!$A$3:$BB$499,29,FALSE),"")</f>
        <v/>
      </c>
      <c r="Q480" s="59" t="str">
        <f>IFERROR(VLOOKUP($A480,SortedDownload!$A$3:$BB$499,30,FALSE),"")</f>
        <v/>
      </c>
      <c r="R480" s="62" t="str">
        <f>IFERROR(TEXT(VLOOKUP($A480,SortedDownload!$A$3:$Z$499,14,FALSE),"[hh]:mm:ss.000"),"")</f>
        <v/>
      </c>
      <c r="S480" s="83" t="str">
        <f t="shared" si="23"/>
        <v>N/A</v>
      </c>
      <c r="T480" s="83" t="e">
        <f t="shared" si="21"/>
        <v>#VALUE!</v>
      </c>
      <c r="U480" s="9" t="str">
        <f t="shared" si="22"/>
        <v/>
      </c>
      <c r="V480" s="20" t="str">
        <f>IFERROR(IF(VLOOKUP(H480,AgeCategories!$D$3:$J$32,7,FALSE)=I480,"","DNF"),"")</f>
        <v/>
      </c>
    </row>
    <row r="481" spans="1:22">
      <c r="A481" s="53" t="str">
        <f>IF(SortedDownload!A481 &lt; 1,"",SortedDownload!A481)</f>
        <v/>
      </c>
      <c r="B481" s="55">
        <f>IF(V481&lt;&gt;"","DNF",COUNTIF($V$3:V481,V481))</f>
        <v>446</v>
      </c>
      <c r="C481" s="54" t="str">
        <f>IF(OR(B481="DNF",H481=""),"DNF",COUNTIF($H$3:H481,H481))</f>
        <v>DNF</v>
      </c>
      <c r="D481" s="90" t="str">
        <f>IFERROR(VLOOKUP($A481,EntryList!$A$3:$N$596,2,FALSE),"")</f>
        <v/>
      </c>
      <c r="E481" s="54" t="str">
        <f>IFERROR(VLOOKUP($A481,EntryList!$A$3:$V$596,19,FALSE),"")</f>
        <v/>
      </c>
      <c r="F481" s="176" t="str">
        <f>IFERROR(VLOOKUP($A481,EntryList!$A$3:$V$596,18,FALSE),"")</f>
        <v/>
      </c>
      <c r="H481" s="90" t="str">
        <f>IFERROR(VLOOKUP($A481,EntryList!$A$3:$N$596,7,FALSE),"")</f>
        <v/>
      </c>
      <c r="I481" s="54" t="str">
        <f>IFERROR(VLOOKUP($A481,SortedDownload!$A$3:$Z977,4,FALSE),"")</f>
        <v/>
      </c>
      <c r="J481" s="59" t="str">
        <f>IFERROR(VLOOKUP($A481,SortedDownload!$A$3:$BB$499,23,FALSE),"")</f>
        <v/>
      </c>
      <c r="K481" s="59" t="str">
        <f>IFERROR(VLOOKUP($A481,SortedDownload!$A$3:$BB$499,24,FALSE),"")</f>
        <v/>
      </c>
      <c r="L481" s="59" t="str">
        <f>IFERROR(VLOOKUP($A481,SortedDownload!$A$3:$BB$499,25,FALSE),"")</f>
        <v/>
      </c>
      <c r="M481" s="59" t="str">
        <f>IFERROR(VLOOKUP($A481,SortedDownload!$A$3:$BB$499,26,FALSE),"")</f>
        <v/>
      </c>
      <c r="N481" s="59" t="str">
        <f>IFERROR(VLOOKUP($A481,SortedDownload!$A$3:$BB$499,27,FALSE),"")</f>
        <v/>
      </c>
      <c r="O481" s="59" t="str">
        <f>IFERROR(VLOOKUP($A481,SortedDownload!$A$3:$BB$499,28,FALSE),"")</f>
        <v/>
      </c>
      <c r="P481" s="59" t="str">
        <f>IFERROR(VLOOKUP($A481,SortedDownload!$A$3:$BB$499,29,FALSE),"")</f>
        <v/>
      </c>
      <c r="Q481" s="59" t="str">
        <f>IFERROR(VLOOKUP($A481,SortedDownload!$A$3:$BB$499,30,FALSE),"")</f>
        <v/>
      </c>
      <c r="R481" s="62" t="str">
        <f>IFERROR(TEXT(VLOOKUP($A481,SortedDownload!$A$3:$Z$499,14,FALSE),"[hh]:mm:ss.000"),"")</f>
        <v/>
      </c>
      <c r="S481" s="83" t="str">
        <f t="shared" si="23"/>
        <v>N/A</v>
      </c>
      <c r="T481" s="83" t="e">
        <f t="shared" si="21"/>
        <v>#VALUE!</v>
      </c>
      <c r="U481" s="9" t="str">
        <f t="shared" si="22"/>
        <v/>
      </c>
      <c r="V481" s="20" t="str">
        <f>IFERROR(IF(VLOOKUP(H481,AgeCategories!$D$3:$J$32,7,FALSE)=I481,"","DNF"),"")</f>
        <v/>
      </c>
    </row>
    <row r="482" spans="1:22">
      <c r="A482" s="53" t="str">
        <f>IF(SortedDownload!A482 &lt; 1,"",SortedDownload!A482)</f>
        <v/>
      </c>
      <c r="B482" s="55">
        <f>IF(V482&lt;&gt;"","DNF",COUNTIF($V$3:V482,V482))</f>
        <v>447</v>
      </c>
      <c r="C482" s="54" t="str">
        <f>IF(OR(B482="DNF",H482=""),"DNF",COUNTIF($H$3:H482,H482))</f>
        <v>DNF</v>
      </c>
      <c r="D482" s="90" t="str">
        <f>IFERROR(VLOOKUP($A482,EntryList!$A$3:$N$596,2,FALSE),"")</f>
        <v/>
      </c>
      <c r="E482" s="54" t="str">
        <f>IFERROR(VLOOKUP($A482,EntryList!$A$3:$V$596,19,FALSE),"")</f>
        <v/>
      </c>
      <c r="F482" s="176" t="str">
        <f>IFERROR(VLOOKUP($A482,EntryList!$A$3:$V$596,18,FALSE),"")</f>
        <v/>
      </c>
      <c r="H482" s="90" t="str">
        <f>IFERROR(VLOOKUP($A482,EntryList!$A$3:$N$596,7,FALSE),"")</f>
        <v/>
      </c>
      <c r="I482" s="54" t="str">
        <f>IFERROR(VLOOKUP($A482,SortedDownload!$A$3:$Z978,4,FALSE),"")</f>
        <v/>
      </c>
      <c r="J482" s="59" t="str">
        <f>IFERROR(VLOOKUP($A482,SortedDownload!$A$3:$BB$499,23,FALSE),"")</f>
        <v/>
      </c>
      <c r="K482" s="59" t="str">
        <f>IFERROR(VLOOKUP($A482,SortedDownload!$A$3:$BB$499,24,FALSE),"")</f>
        <v/>
      </c>
      <c r="L482" s="59" t="str">
        <f>IFERROR(VLOOKUP($A482,SortedDownload!$A$3:$BB$499,25,FALSE),"")</f>
        <v/>
      </c>
      <c r="M482" s="59" t="str">
        <f>IFERROR(VLOOKUP($A482,SortedDownload!$A$3:$BB$499,26,FALSE),"")</f>
        <v/>
      </c>
      <c r="N482" s="59" t="str">
        <f>IFERROR(VLOOKUP($A482,SortedDownload!$A$3:$BB$499,27,FALSE),"")</f>
        <v/>
      </c>
      <c r="O482" s="59" t="str">
        <f>IFERROR(VLOOKUP($A482,SortedDownload!$A$3:$BB$499,28,FALSE),"")</f>
        <v/>
      </c>
      <c r="P482" s="59" t="str">
        <f>IFERROR(VLOOKUP($A482,SortedDownload!$A$3:$BB$499,29,FALSE),"")</f>
        <v/>
      </c>
      <c r="Q482" s="59" t="str">
        <f>IFERROR(VLOOKUP($A482,SortedDownload!$A$3:$BB$499,30,FALSE),"")</f>
        <v/>
      </c>
      <c r="R482" s="62" t="str">
        <f>IFERROR(TEXT(VLOOKUP($A482,SortedDownload!$A$3:$Z$499,14,FALSE),"[hh]:mm:ss.000"),"")</f>
        <v/>
      </c>
      <c r="S482" s="83" t="str">
        <f t="shared" si="23"/>
        <v>N/A</v>
      </c>
      <c r="T482" s="83" t="e">
        <f t="shared" si="21"/>
        <v>#VALUE!</v>
      </c>
      <c r="U482" s="9" t="str">
        <f t="shared" si="22"/>
        <v/>
      </c>
      <c r="V482" s="20" t="str">
        <f>IFERROR(IF(VLOOKUP(H482,AgeCategories!$D$3:$J$32,7,FALSE)=I482,"","DNF"),"")</f>
        <v/>
      </c>
    </row>
    <row r="483" spans="1:22">
      <c r="A483" s="53" t="str">
        <f>IF(SortedDownload!A483 &lt; 1,"",SortedDownload!A483)</f>
        <v/>
      </c>
      <c r="B483" s="55">
        <f>IF(V483&lt;&gt;"","DNF",COUNTIF($V$3:V483,V483))</f>
        <v>448</v>
      </c>
      <c r="C483" s="54" t="str">
        <f>IF(OR(B483="DNF",H483=""),"DNF",COUNTIF($H$3:H483,H483))</f>
        <v>DNF</v>
      </c>
      <c r="D483" s="90" t="str">
        <f>IFERROR(VLOOKUP($A483,EntryList!$A$3:$N$596,2,FALSE),"")</f>
        <v/>
      </c>
      <c r="E483" s="54" t="str">
        <f>IFERROR(VLOOKUP($A483,EntryList!$A$3:$V$596,19,FALSE),"")</f>
        <v/>
      </c>
      <c r="F483" s="176" t="str">
        <f>IFERROR(VLOOKUP($A483,EntryList!$A$3:$V$596,18,FALSE),"")</f>
        <v/>
      </c>
      <c r="H483" s="90" t="str">
        <f>IFERROR(VLOOKUP($A483,EntryList!$A$3:$N$596,7,FALSE),"")</f>
        <v/>
      </c>
      <c r="I483" s="54" t="str">
        <f>IFERROR(VLOOKUP($A483,SortedDownload!$A$3:$Z979,4,FALSE),"")</f>
        <v/>
      </c>
      <c r="J483" s="59" t="str">
        <f>IFERROR(VLOOKUP($A483,SortedDownload!$A$3:$BB$499,23,FALSE),"")</f>
        <v/>
      </c>
      <c r="K483" s="59" t="str">
        <f>IFERROR(VLOOKUP($A483,SortedDownload!$A$3:$BB$499,24,FALSE),"")</f>
        <v/>
      </c>
      <c r="L483" s="59" t="str">
        <f>IFERROR(VLOOKUP($A483,SortedDownload!$A$3:$BB$499,25,FALSE),"")</f>
        <v/>
      </c>
      <c r="M483" s="59" t="str">
        <f>IFERROR(VLOOKUP($A483,SortedDownload!$A$3:$BB$499,26,FALSE),"")</f>
        <v/>
      </c>
      <c r="N483" s="59" t="str">
        <f>IFERROR(VLOOKUP($A483,SortedDownload!$A$3:$BB$499,27,FALSE),"")</f>
        <v/>
      </c>
      <c r="O483" s="59" t="str">
        <f>IFERROR(VLOOKUP($A483,SortedDownload!$A$3:$BB$499,28,FALSE),"")</f>
        <v/>
      </c>
      <c r="P483" s="59" t="str">
        <f>IFERROR(VLOOKUP($A483,SortedDownload!$A$3:$BB$499,29,FALSE),"")</f>
        <v/>
      </c>
      <c r="Q483" s="59" t="str">
        <f>IFERROR(VLOOKUP($A483,SortedDownload!$A$3:$BB$499,30,FALSE),"")</f>
        <v/>
      </c>
      <c r="R483" s="62" t="str">
        <f>IFERROR(TEXT(VLOOKUP($A483,SortedDownload!$A$3:$Z$499,14,FALSE),"[hh]:mm:ss.000"),"")</f>
        <v/>
      </c>
      <c r="S483" s="83" t="str">
        <f t="shared" si="23"/>
        <v>N/A</v>
      </c>
      <c r="T483" s="83" t="e">
        <f t="shared" si="21"/>
        <v>#VALUE!</v>
      </c>
      <c r="U483" s="9" t="str">
        <f t="shared" si="22"/>
        <v/>
      </c>
      <c r="V483" s="20" t="str">
        <f>IFERROR(IF(VLOOKUP(H483,AgeCategories!$D$3:$J$32,7,FALSE)=I483,"","DNF"),"")</f>
        <v/>
      </c>
    </row>
    <row r="484" spans="1:22">
      <c r="A484" s="53" t="str">
        <f>IF(SortedDownload!A484 &lt; 1,"",SortedDownload!A484)</f>
        <v/>
      </c>
      <c r="B484" s="55">
        <f>IF(V484&lt;&gt;"","DNF",COUNTIF($V$3:V484,V484))</f>
        <v>449</v>
      </c>
      <c r="C484" s="54" t="str">
        <f>IF(OR(B484="DNF",H484=""),"DNF",COUNTIF($H$3:H484,H484))</f>
        <v>DNF</v>
      </c>
      <c r="D484" s="90" t="str">
        <f>IFERROR(VLOOKUP($A484,EntryList!$A$3:$N$596,2,FALSE),"")</f>
        <v/>
      </c>
      <c r="E484" s="54" t="str">
        <f>IFERROR(VLOOKUP($A484,EntryList!$A$3:$V$596,19,FALSE),"")</f>
        <v/>
      </c>
      <c r="F484" s="176" t="str">
        <f>IFERROR(VLOOKUP($A484,EntryList!$A$3:$V$596,18,FALSE),"")</f>
        <v/>
      </c>
      <c r="H484" s="90" t="str">
        <f>IFERROR(VLOOKUP($A484,EntryList!$A$3:$N$596,7,FALSE),"")</f>
        <v/>
      </c>
      <c r="I484" s="54" t="str">
        <f>IFERROR(VLOOKUP($A484,SortedDownload!$A$3:$Z980,4,FALSE),"")</f>
        <v/>
      </c>
      <c r="J484" s="59" t="str">
        <f>IFERROR(VLOOKUP($A484,SortedDownload!$A$3:$BB$499,23,FALSE),"")</f>
        <v/>
      </c>
      <c r="K484" s="59" t="str">
        <f>IFERROR(VLOOKUP($A484,SortedDownload!$A$3:$BB$499,24,FALSE),"")</f>
        <v/>
      </c>
      <c r="L484" s="59" t="str">
        <f>IFERROR(VLOOKUP($A484,SortedDownload!$A$3:$BB$499,25,FALSE),"")</f>
        <v/>
      </c>
      <c r="M484" s="59" t="str">
        <f>IFERROR(VLOOKUP($A484,SortedDownload!$A$3:$BB$499,26,FALSE),"")</f>
        <v/>
      </c>
      <c r="N484" s="59" t="str">
        <f>IFERROR(VLOOKUP($A484,SortedDownload!$A$3:$BB$499,27,FALSE),"")</f>
        <v/>
      </c>
      <c r="O484" s="59" t="str">
        <f>IFERROR(VLOOKUP($A484,SortedDownload!$A$3:$BB$499,28,FALSE),"")</f>
        <v/>
      </c>
      <c r="P484" s="59" t="str">
        <f>IFERROR(VLOOKUP($A484,SortedDownload!$A$3:$BB$499,29,FALSE),"")</f>
        <v/>
      </c>
      <c r="Q484" s="59" t="str">
        <f>IFERROR(VLOOKUP($A484,SortedDownload!$A$3:$BB$499,30,FALSE),"")</f>
        <v/>
      </c>
      <c r="R484" s="62" t="str">
        <f>IFERROR(TEXT(VLOOKUP($A484,SortedDownload!$A$3:$Z$499,14,FALSE),"[hh]:mm:ss.000"),"")</f>
        <v/>
      </c>
      <c r="S484" s="83" t="str">
        <f t="shared" si="23"/>
        <v>N/A</v>
      </c>
      <c r="T484" s="83" t="e">
        <f t="shared" si="21"/>
        <v>#VALUE!</v>
      </c>
      <c r="U484" s="9" t="str">
        <f t="shared" si="22"/>
        <v/>
      </c>
      <c r="V484" s="20" t="str">
        <f>IFERROR(IF(VLOOKUP(H484,AgeCategories!$D$3:$J$32,7,FALSE)=I484,"","DNF"),"")</f>
        <v/>
      </c>
    </row>
    <row r="485" spans="1:22">
      <c r="A485" s="53" t="str">
        <f>IF(SortedDownload!A485 &lt; 1,"",SortedDownload!A485)</f>
        <v/>
      </c>
      <c r="B485" s="55">
        <f>IF(V485&lt;&gt;"","DNF",COUNTIF($V$3:V485,V485))</f>
        <v>450</v>
      </c>
      <c r="C485" s="54" t="str">
        <f>IF(OR(B485="DNF",H485=""),"DNF",COUNTIF($H$3:H485,H485))</f>
        <v>DNF</v>
      </c>
      <c r="D485" s="90" t="str">
        <f>IFERROR(VLOOKUP($A485,EntryList!$A$3:$N$596,2,FALSE),"")</f>
        <v/>
      </c>
      <c r="E485" s="54" t="str">
        <f>IFERROR(VLOOKUP($A485,EntryList!$A$3:$V$596,19,FALSE),"")</f>
        <v/>
      </c>
      <c r="F485" s="176" t="str">
        <f>IFERROR(VLOOKUP($A485,EntryList!$A$3:$V$596,18,FALSE),"")</f>
        <v/>
      </c>
      <c r="H485" s="90" t="str">
        <f>IFERROR(VLOOKUP($A485,EntryList!$A$3:$N$596,7,FALSE),"")</f>
        <v/>
      </c>
      <c r="I485" s="54" t="str">
        <f>IFERROR(VLOOKUP($A485,SortedDownload!$A$3:$Z981,4,FALSE),"")</f>
        <v/>
      </c>
      <c r="J485" s="59" t="str">
        <f>IFERROR(VLOOKUP($A485,SortedDownload!$A$3:$BB$499,23,FALSE),"")</f>
        <v/>
      </c>
      <c r="K485" s="59" t="str">
        <f>IFERROR(VLOOKUP($A485,SortedDownload!$A$3:$BB$499,24,FALSE),"")</f>
        <v/>
      </c>
      <c r="L485" s="59" t="str">
        <f>IFERROR(VLOOKUP($A485,SortedDownload!$A$3:$BB$499,25,FALSE),"")</f>
        <v/>
      </c>
      <c r="M485" s="59" t="str">
        <f>IFERROR(VLOOKUP($A485,SortedDownload!$A$3:$BB$499,26,FALSE),"")</f>
        <v/>
      </c>
      <c r="N485" s="59" t="str">
        <f>IFERROR(VLOOKUP($A485,SortedDownload!$A$3:$BB$499,27,FALSE),"")</f>
        <v/>
      </c>
      <c r="O485" s="59" t="str">
        <f>IFERROR(VLOOKUP($A485,SortedDownload!$A$3:$BB$499,28,FALSE),"")</f>
        <v/>
      </c>
      <c r="P485" s="59" t="str">
        <f>IFERROR(VLOOKUP($A485,SortedDownload!$A$3:$BB$499,29,FALSE),"")</f>
        <v/>
      </c>
      <c r="Q485" s="59" t="str">
        <f>IFERROR(VLOOKUP($A485,SortedDownload!$A$3:$BB$499,30,FALSE),"")</f>
        <v/>
      </c>
      <c r="R485" s="62" t="str">
        <f>IFERROR(TEXT(VLOOKUP($A485,SortedDownload!$A$3:$Z$499,14,FALSE),"[hh]:mm:ss.000"),"")</f>
        <v/>
      </c>
      <c r="S485" s="83" t="str">
        <f t="shared" si="23"/>
        <v>N/A</v>
      </c>
      <c r="T485" s="83" t="e">
        <f t="shared" si="21"/>
        <v>#VALUE!</v>
      </c>
      <c r="U485" s="9" t="str">
        <f t="shared" si="22"/>
        <v/>
      </c>
      <c r="V485" s="20" t="str">
        <f>IFERROR(IF(VLOOKUP(H485,AgeCategories!$D$3:$J$32,7,FALSE)=I485,"","DNF"),"")</f>
        <v/>
      </c>
    </row>
    <row r="486" spans="1:22">
      <c r="A486" s="53" t="str">
        <f>IF(SortedDownload!A486 &lt; 1,"",SortedDownload!A486)</f>
        <v/>
      </c>
      <c r="B486" s="55">
        <f>IF(V486&lt;&gt;"","DNF",COUNTIF($V$3:V486,V486))</f>
        <v>451</v>
      </c>
      <c r="C486" s="54" t="str">
        <f>IF(OR(B486="DNF",H486=""),"DNF",COUNTIF($H$3:H486,H486))</f>
        <v>DNF</v>
      </c>
      <c r="D486" s="90" t="str">
        <f>IFERROR(VLOOKUP($A486,EntryList!$A$3:$N$596,2,FALSE),"")</f>
        <v/>
      </c>
      <c r="E486" s="54" t="str">
        <f>IFERROR(VLOOKUP($A486,EntryList!$A$3:$V$596,19,FALSE),"")</f>
        <v/>
      </c>
      <c r="F486" s="176" t="str">
        <f>IFERROR(VLOOKUP($A486,EntryList!$A$3:$V$596,18,FALSE),"")</f>
        <v/>
      </c>
      <c r="H486" s="90" t="str">
        <f>IFERROR(VLOOKUP($A486,EntryList!$A$3:$N$596,7,FALSE),"")</f>
        <v/>
      </c>
      <c r="I486" s="54" t="str">
        <f>IFERROR(VLOOKUP($A486,SortedDownload!$A$3:$Z982,4,FALSE),"")</f>
        <v/>
      </c>
      <c r="J486" s="59" t="str">
        <f>IFERROR(VLOOKUP($A486,SortedDownload!$A$3:$BB$499,23,FALSE),"")</f>
        <v/>
      </c>
      <c r="K486" s="59" t="str">
        <f>IFERROR(VLOOKUP($A486,SortedDownload!$A$3:$BB$499,24,FALSE),"")</f>
        <v/>
      </c>
      <c r="L486" s="59" t="str">
        <f>IFERROR(VLOOKUP($A486,SortedDownload!$A$3:$BB$499,25,FALSE),"")</f>
        <v/>
      </c>
      <c r="M486" s="59" t="str">
        <f>IFERROR(VLOOKUP($A486,SortedDownload!$A$3:$BB$499,26,FALSE),"")</f>
        <v/>
      </c>
      <c r="N486" s="59" t="str">
        <f>IFERROR(VLOOKUP($A486,SortedDownload!$A$3:$BB$499,27,FALSE),"")</f>
        <v/>
      </c>
      <c r="O486" s="59" t="str">
        <f>IFERROR(VLOOKUP($A486,SortedDownload!$A$3:$BB$499,28,FALSE),"")</f>
        <v/>
      </c>
      <c r="P486" s="59" t="str">
        <f>IFERROR(VLOOKUP($A486,SortedDownload!$A$3:$BB$499,29,FALSE),"")</f>
        <v/>
      </c>
      <c r="Q486" s="59" t="str">
        <f>IFERROR(VLOOKUP($A486,SortedDownload!$A$3:$BB$499,30,FALSE),"")</f>
        <v/>
      </c>
      <c r="R486" s="62" t="str">
        <f>IFERROR(TEXT(VLOOKUP($A486,SortedDownload!$A$3:$Z$499,14,FALSE),"[hh]:mm:ss.000"),"")</f>
        <v/>
      </c>
      <c r="S486" s="83" t="str">
        <f t="shared" si="23"/>
        <v>N/A</v>
      </c>
      <c r="T486" s="83" t="e">
        <f t="shared" si="21"/>
        <v>#VALUE!</v>
      </c>
      <c r="U486" s="9" t="str">
        <f t="shared" si="22"/>
        <v/>
      </c>
      <c r="V486" s="20" t="str">
        <f>IFERROR(IF(VLOOKUP(H486,AgeCategories!$D$3:$J$32,7,FALSE)=I486,"","DNF"),"")</f>
        <v/>
      </c>
    </row>
    <row r="487" spans="1:22">
      <c r="A487" s="53" t="str">
        <f>IF(SortedDownload!A487 &lt; 1,"",SortedDownload!A487)</f>
        <v/>
      </c>
      <c r="B487" s="55">
        <f>IF(V487&lt;&gt;"","DNF",COUNTIF($V$3:V487,V487))</f>
        <v>452</v>
      </c>
      <c r="C487" s="54" t="str">
        <f>IF(OR(B487="DNF",H487=""),"DNF",COUNTIF($H$3:H487,H487))</f>
        <v>DNF</v>
      </c>
      <c r="D487" s="90" t="str">
        <f>IFERROR(VLOOKUP($A487,EntryList!$A$3:$N$596,2,FALSE),"")</f>
        <v/>
      </c>
      <c r="E487" s="54" t="str">
        <f>IFERROR(VLOOKUP($A487,EntryList!$A$3:$V$596,19,FALSE),"")</f>
        <v/>
      </c>
      <c r="F487" s="176" t="str">
        <f>IFERROR(VLOOKUP($A487,EntryList!$A$3:$V$596,18,FALSE),"")</f>
        <v/>
      </c>
      <c r="H487" s="90" t="str">
        <f>IFERROR(VLOOKUP($A487,EntryList!$A$3:$N$596,7,FALSE),"")</f>
        <v/>
      </c>
      <c r="I487" s="54" t="str">
        <f>IFERROR(VLOOKUP($A487,SortedDownload!$A$3:$Z983,4,FALSE),"")</f>
        <v/>
      </c>
      <c r="J487" s="59" t="str">
        <f>IFERROR(VLOOKUP($A487,SortedDownload!$A$3:$BB$499,23,FALSE),"")</f>
        <v/>
      </c>
      <c r="K487" s="59" t="str">
        <f>IFERROR(VLOOKUP($A487,SortedDownload!$A$3:$BB$499,24,FALSE),"")</f>
        <v/>
      </c>
      <c r="L487" s="59" t="str">
        <f>IFERROR(VLOOKUP($A487,SortedDownload!$A$3:$BB$499,25,FALSE),"")</f>
        <v/>
      </c>
      <c r="M487" s="59" t="str">
        <f>IFERROR(VLOOKUP($A487,SortedDownload!$A$3:$BB$499,26,FALSE),"")</f>
        <v/>
      </c>
      <c r="N487" s="59" t="str">
        <f>IFERROR(VLOOKUP($A487,SortedDownload!$A$3:$BB$499,27,FALSE),"")</f>
        <v/>
      </c>
      <c r="O487" s="59" t="str">
        <f>IFERROR(VLOOKUP($A487,SortedDownload!$A$3:$BB$499,28,FALSE),"")</f>
        <v/>
      </c>
      <c r="P487" s="59" t="str">
        <f>IFERROR(VLOOKUP($A487,SortedDownload!$A$3:$BB$499,29,FALSE),"")</f>
        <v/>
      </c>
      <c r="Q487" s="59" t="str">
        <f>IFERROR(VLOOKUP($A487,SortedDownload!$A$3:$BB$499,30,FALSE),"")</f>
        <v/>
      </c>
      <c r="R487" s="62" t="str">
        <f>IFERROR(TEXT(VLOOKUP($A487,SortedDownload!$A$3:$Z$499,14,FALSE),"[hh]:mm:ss.000"),"")</f>
        <v/>
      </c>
      <c r="S487" s="83" t="str">
        <f t="shared" si="23"/>
        <v>N/A</v>
      </c>
      <c r="T487" s="83" t="e">
        <f t="shared" si="21"/>
        <v>#VALUE!</v>
      </c>
      <c r="U487" s="9" t="str">
        <f t="shared" si="22"/>
        <v/>
      </c>
      <c r="V487" s="20" t="str">
        <f>IFERROR(IF(VLOOKUP(H487,AgeCategories!$D$3:$J$32,7,FALSE)=I487,"","DNF"),"")</f>
        <v/>
      </c>
    </row>
    <row r="488" spans="1:22">
      <c r="A488" s="53" t="str">
        <f>IF(SortedDownload!A488 &lt; 1,"",SortedDownload!A488)</f>
        <v/>
      </c>
      <c r="B488" s="55">
        <f>IF(V488&lt;&gt;"","DNF",COUNTIF($V$3:V488,V488))</f>
        <v>453</v>
      </c>
      <c r="C488" s="54" t="str">
        <f>IF(OR(B488="DNF",H488=""),"DNF",COUNTIF($H$3:H488,H488))</f>
        <v>DNF</v>
      </c>
      <c r="D488" s="90" t="str">
        <f>IFERROR(VLOOKUP($A488,EntryList!$A$3:$N$596,2,FALSE),"")</f>
        <v/>
      </c>
      <c r="E488" s="54" t="str">
        <f>IFERROR(VLOOKUP($A488,EntryList!$A$3:$V$596,19,FALSE),"")</f>
        <v/>
      </c>
      <c r="F488" s="176" t="str">
        <f>IFERROR(VLOOKUP($A488,EntryList!$A$3:$V$596,18,FALSE),"")</f>
        <v/>
      </c>
      <c r="H488" s="90" t="str">
        <f>IFERROR(VLOOKUP($A488,EntryList!$A$3:$N$596,7,FALSE),"")</f>
        <v/>
      </c>
      <c r="I488" s="54" t="str">
        <f>IFERROR(VLOOKUP($A488,SortedDownload!$A$3:$Z984,4,FALSE),"")</f>
        <v/>
      </c>
      <c r="J488" s="59" t="str">
        <f>IFERROR(VLOOKUP($A488,SortedDownload!$A$3:$BB$499,23,FALSE),"")</f>
        <v/>
      </c>
      <c r="K488" s="59" t="str">
        <f>IFERROR(VLOOKUP($A488,SortedDownload!$A$3:$BB$499,24,FALSE),"")</f>
        <v/>
      </c>
      <c r="L488" s="59" t="str">
        <f>IFERROR(VLOOKUP($A488,SortedDownload!$A$3:$BB$499,25,FALSE),"")</f>
        <v/>
      </c>
      <c r="M488" s="59" t="str">
        <f>IFERROR(VLOOKUP($A488,SortedDownload!$A$3:$BB$499,26,FALSE),"")</f>
        <v/>
      </c>
      <c r="N488" s="59" t="str">
        <f>IFERROR(VLOOKUP($A488,SortedDownload!$A$3:$BB$499,27,FALSE),"")</f>
        <v/>
      </c>
      <c r="O488" s="59" t="str">
        <f>IFERROR(VLOOKUP($A488,SortedDownload!$A$3:$BB$499,28,FALSE),"")</f>
        <v/>
      </c>
      <c r="P488" s="59" t="str">
        <f>IFERROR(VLOOKUP($A488,SortedDownload!$A$3:$BB$499,29,FALSE),"")</f>
        <v/>
      </c>
      <c r="Q488" s="59" t="str">
        <f>IFERROR(VLOOKUP($A488,SortedDownload!$A$3:$BB$499,30,FALSE),"")</f>
        <v/>
      </c>
      <c r="R488" s="62" t="str">
        <f>IFERROR(TEXT(VLOOKUP($A488,SortedDownload!$A$3:$Z$499,14,FALSE),"[hh]:mm:ss.000"),"")</f>
        <v/>
      </c>
      <c r="S488" s="83" t="str">
        <f t="shared" si="23"/>
        <v>N/A</v>
      </c>
      <c r="T488" s="83" t="e">
        <f t="shared" si="21"/>
        <v>#VALUE!</v>
      </c>
      <c r="U488" s="9" t="str">
        <f t="shared" si="22"/>
        <v/>
      </c>
      <c r="V488" s="20" t="str">
        <f>IFERROR(IF(VLOOKUP(H488,AgeCategories!$D$3:$J$32,7,FALSE)=I488,"","DNF"),"")</f>
        <v/>
      </c>
    </row>
    <row r="489" spans="1:22">
      <c r="A489" s="53" t="str">
        <f>IF(SortedDownload!A489 &lt; 1,"",SortedDownload!A489)</f>
        <v/>
      </c>
      <c r="B489" s="55">
        <f>IF(V489&lt;&gt;"","DNF",COUNTIF($V$3:V489,V489))</f>
        <v>454</v>
      </c>
      <c r="C489" s="54" t="str">
        <f>IF(OR(B489="DNF",H489=""),"DNF",COUNTIF($H$3:H489,H489))</f>
        <v>DNF</v>
      </c>
      <c r="D489" s="90" t="str">
        <f>IFERROR(VLOOKUP($A489,EntryList!$A$3:$N$596,2,FALSE),"")</f>
        <v/>
      </c>
      <c r="E489" s="54" t="str">
        <f>IFERROR(VLOOKUP($A489,EntryList!$A$3:$V$596,19,FALSE),"")</f>
        <v/>
      </c>
      <c r="F489" s="176" t="str">
        <f>IFERROR(VLOOKUP($A489,EntryList!$A$3:$V$596,18,FALSE),"")</f>
        <v/>
      </c>
      <c r="H489" s="90" t="str">
        <f>IFERROR(VLOOKUP($A489,EntryList!$A$3:$N$596,7,FALSE),"")</f>
        <v/>
      </c>
      <c r="I489" s="54" t="str">
        <f>IFERROR(VLOOKUP($A489,SortedDownload!$A$3:$Z985,4,FALSE),"")</f>
        <v/>
      </c>
      <c r="J489" s="59" t="str">
        <f>IFERROR(VLOOKUP($A489,SortedDownload!$A$3:$BB$499,23,FALSE),"")</f>
        <v/>
      </c>
      <c r="K489" s="59" t="str">
        <f>IFERROR(VLOOKUP($A489,SortedDownload!$A$3:$BB$499,24,FALSE),"")</f>
        <v/>
      </c>
      <c r="L489" s="59" t="str">
        <f>IFERROR(VLOOKUP($A489,SortedDownload!$A$3:$BB$499,25,FALSE),"")</f>
        <v/>
      </c>
      <c r="M489" s="59" t="str">
        <f>IFERROR(VLOOKUP($A489,SortedDownload!$A$3:$BB$499,26,FALSE),"")</f>
        <v/>
      </c>
      <c r="N489" s="59" t="str">
        <f>IFERROR(VLOOKUP($A489,SortedDownload!$A$3:$BB$499,27,FALSE),"")</f>
        <v/>
      </c>
      <c r="O489" s="59" t="str">
        <f>IFERROR(VLOOKUP($A489,SortedDownload!$A$3:$BB$499,28,FALSE),"")</f>
        <v/>
      </c>
      <c r="P489" s="59" t="str">
        <f>IFERROR(VLOOKUP($A489,SortedDownload!$A$3:$BB$499,29,FALSE),"")</f>
        <v/>
      </c>
      <c r="Q489" s="59" t="str">
        <f>IFERROR(VLOOKUP($A489,SortedDownload!$A$3:$BB$499,30,FALSE),"")</f>
        <v/>
      </c>
      <c r="R489" s="62" t="str">
        <f>IFERROR(TEXT(VLOOKUP($A489,SortedDownload!$A$3:$Z$499,14,FALSE),"[hh]:mm:ss.000"),"")</f>
        <v/>
      </c>
      <c r="S489" s="83" t="str">
        <f t="shared" si="23"/>
        <v>N/A</v>
      </c>
      <c r="T489" s="83" t="e">
        <f t="shared" si="21"/>
        <v>#VALUE!</v>
      </c>
      <c r="U489" s="9" t="str">
        <f t="shared" si="22"/>
        <v/>
      </c>
      <c r="V489" s="20" t="str">
        <f>IFERROR(IF(VLOOKUP(H489,AgeCategories!$D$3:$J$32,7,FALSE)=I489,"","DNF"),"")</f>
        <v/>
      </c>
    </row>
    <row r="490" spans="1:22">
      <c r="A490" s="53" t="str">
        <f>IF(SortedDownload!A490 &lt; 1,"",SortedDownload!A490)</f>
        <v/>
      </c>
      <c r="B490" s="55">
        <f>IF(V490&lt;&gt;"","DNF",COUNTIF($V$3:V490,V490))</f>
        <v>455</v>
      </c>
      <c r="C490" s="54" t="str">
        <f>IF(OR(B490="DNF",H490=""),"DNF",COUNTIF($H$3:H490,H490))</f>
        <v>DNF</v>
      </c>
      <c r="D490" s="90" t="str">
        <f>IFERROR(VLOOKUP($A490,EntryList!$A$3:$N$596,2,FALSE),"")</f>
        <v/>
      </c>
      <c r="E490" s="54" t="str">
        <f>IFERROR(VLOOKUP($A490,EntryList!$A$3:$V$596,19,FALSE),"")</f>
        <v/>
      </c>
      <c r="F490" s="176" t="str">
        <f>IFERROR(VLOOKUP($A490,EntryList!$A$3:$V$596,18,FALSE),"")</f>
        <v/>
      </c>
      <c r="H490" s="90" t="str">
        <f>IFERROR(VLOOKUP($A490,EntryList!$A$3:$N$596,7,FALSE),"")</f>
        <v/>
      </c>
      <c r="I490" s="54" t="str">
        <f>IFERROR(VLOOKUP($A490,SortedDownload!$A$3:$Z986,4,FALSE),"")</f>
        <v/>
      </c>
      <c r="J490" s="59" t="str">
        <f>IFERROR(VLOOKUP($A490,SortedDownload!$A$3:$BB$499,23,FALSE),"")</f>
        <v/>
      </c>
      <c r="K490" s="59" t="str">
        <f>IFERROR(VLOOKUP($A490,SortedDownload!$A$3:$BB$499,24,FALSE),"")</f>
        <v/>
      </c>
      <c r="L490" s="59" t="str">
        <f>IFERROR(VLOOKUP($A490,SortedDownload!$A$3:$BB$499,25,FALSE),"")</f>
        <v/>
      </c>
      <c r="M490" s="59" t="str">
        <f>IFERROR(VLOOKUP($A490,SortedDownload!$A$3:$BB$499,26,FALSE),"")</f>
        <v/>
      </c>
      <c r="N490" s="59" t="str">
        <f>IFERROR(VLOOKUP($A490,SortedDownload!$A$3:$BB$499,27,FALSE),"")</f>
        <v/>
      </c>
      <c r="O490" s="59" t="str">
        <f>IFERROR(VLOOKUP($A490,SortedDownload!$A$3:$BB$499,28,FALSE),"")</f>
        <v/>
      </c>
      <c r="P490" s="59" t="str">
        <f>IFERROR(VLOOKUP($A490,SortedDownload!$A$3:$BB$499,29,FALSE),"")</f>
        <v/>
      </c>
      <c r="Q490" s="59" t="str">
        <f>IFERROR(VLOOKUP($A490,SortedDownload!$A$3:$BB$499,30,FALSE),"")</f>
        <v/>
      </c>
      <c r="R490" s="62" t="str">
        <f>IFERROR(TEXT(VLOOKUP($A490,SortedDownload!$A$3:$Z$499,14,FALSE),"[hh]:mm:ss.000"),"")</f>
        <v/>
      </c>
      <c r="S490" s="83" t="str">
        <f t="shared" si="23"/>
        <v>N/A</v>
      </c>
      <c r="T490" s="83" t="e">
        <f t="shared" si="21"/>
        <v>#VALUE!</v>
      </c>
      <c r="U490" s="9" t="str">
        <f t="shared" si="22"/>
        <v/>
      </c>
      <c r="V490" s="20" t="str">
        <f>IFERROR(IF(VLOOKUP(H490,AgeCategories!$D$3:$J$32,7,FALSE)=I490,"","DNF"),"")</f>
        <v/>
      </c>
    </row>
    <row r="491" spans="1:22">
      <c r="A491" s="53" t="str">
        <f>IF(SortedDownload!A491 &lt; 1,"",SortedDownload!A491)</f>
        <v/>
      </c>
      <c r="B491" s="55">
        <f>IF(V491&lt;&gt;"","DNF",COUNTIF($V$3:V491,V491))</f>
        <v>456</v>
      </c>
      <c r="C491" s="54" t="str">
        <f>IF(OR(B491="DNF",H491=""),"DNF",COUNTIF($H$3:H491,H491))</f>
        <v>DNF</v>
      </c>
      <c r="D491" s="90" t="str">
        <f>IFERROR(VLOOKUP($A491,EntryList!$A$3:$N$596,2,FALSE),"")</f>
        <v/>
      </c>
      <c r="E491" s="54" t="str">
        <f>IFERROR(VLOOKUP($A491,EntryList!$A$3:$V$596,19,FALSE),"")</f>
        <v/>
      </c>
      <c r="F491" s="176" t="str">
        <f>IFERROR(VLOOKUP($A491,EntryList!$A$3:$V$596,18,FALSE),"")</f>
        <v/>
      </c>
      <c r="H491" s="90" t="str">
        <f>IFERROR(VLOOKUP($A491,EntryList!$A$3:$N$596,7,FALSE),"")</f>
        <v/>
      </c>
      <c r="I491" s="54" t="str">
        <f>IFERROR(VLOOKUP($A491,SortedDownload!$A$3:$Z987,4,FALSE),"")</f>
        <v/>
      </c>
      <c r="J491" s="59" t="str">
        <f>IFERROR(VLOOKUP($A491,SortedDownload!$A$3:$BB$499,23,FALSE),"")</f>
        <v/>
      </c>
      <c r="K491" s="59" t="str">
        <f>IFERROR(VLOOKUP($A491,SortedDownload!$A$3:$BB$499,24,FALSE),"")</f>
        <v/>
      </c>
      <c r="L491" s="59" t="str">
        <f>IFERROR(VLOOKUP($A491,SortedDownload!$A$3:$BB$499,25,FALSE),"")</f>
        <v/>
      </c>
      <c r="M491" s="59" t="str">
        <f>IFERROR(VLOOKUP($A491,SortedDownload!$A$3:$BB$499,26,FALSE),"")</f>
        <v/>
      </c>
      <c r="N491" s="59" t="str">
        <f>IFERROR(VLOOKUP($A491,SortedDownload!$A$3:$BB$499,27,FALSE),"")</f>
        <v/>
      </c>
      <c r="O491" s="59" t="str">
        <f>IFERROR(VLOOKUP($A491,SortedDownload!$A$3:$BB$499,28,FALSE),"")</f>
        <v/>
      </c>
      <c r="P491" s="59" t="str">
        <f>IFERROR(VLOOKUP($A491,SortedDownload!$A$3:$BB$499,29,FALSE),"")</f>
        <v/>
      </c>
      <c r="Q491" s="59" t="str">
        <f>IFERROR(VLOOKUP($A491,SortedDownload!$A$3:$BB$499,30,FALSE),"")</f>
        <v/>
      </c>
      <c r="R491" s="62" t="str">
        <f>IFERROR(TEXT(VLOOKUP($A491,SortedDownload!$A$3:$Z$499,14,FALSE),"[hh]:mm:ss.000"),"")</f>
        <v/>
      </c>
      <c r="S491" s="83" t="str">
        <f t="shared" si="23"/>
        <v>N/A</v>
      </c>
      <c r="T491" s="83" t="e">
        <f t="shared" si="21"/>
        <v>#VALUE!</v>
      </c>
      <c r="U491" s="9" t="str">
        <f t="shared" si="22"/>
        <v/>
      </c>
      <c r="V491" s="20" t="str">
        <f>IFERROR(IF(VLOOKUP(H491,AgeCategories!$D$3:$J$32,7,FALSE)=I491,"","DNF"),"")</f>
        <v/>
      </c>
    </row>
    <row r="492" spans="1:22">
      <c r="A492" s="53" t="str">
        <f>IF(SortedDownload!A492 &lt; 1,"",SortedDownload!A492)</f>
        <v/>
      </c>
      <c r="B492" s="55">
        <f>IF(V492&lt;&gt;"","DNF",COUNTIF($V$3:V492,V492))</f>
        <v>457</v>
      </c>
      <c r="C492" s="54" t="str">
        <f>IF(OR(B492="DNF",H492=""),"DNF",COUNTIF($H$3:H492,H492))</f>
        <v>DNF</v>
      </c>
      <c r="D492" s="90" t="str">
        <f>IFERROR(VLOOKUP($A492,EntryList!$A$3:$N$596,2,FALSE),"")</f>
        <v/>
      </c>
      <c r="E492" s="54" t="str">
        <f>IFERROR(VLOOKUP($A492,EntryList!$A$3:$V$596,19,FALSE),"")</f>
        <v/>
      </c>
      <c r="F492" s="176" t="str">
        <f>IFERROR(VLOOKUP($A492,EntryList!$A$3:$V$596,18,FALSE),"")</f>
        <v/>
      </c>
      <c r="H492" s="90" t="str">
        <f>IFERROR(VLOOKUP($A492,EntryList!$A$3:$N$596,7,FALSE),"")</f>
        <v/>
      </c>
      <c r="I492" s="54" t="str">
        <f>IFERROR(VLOOKUP($A492,SortedDownload!$A$3:$Z988,4,FALSE),"")</f>
        <v/>
      </c>
      <c r="J492" s="59" t="str">
        <f>IFERROR(VLOOKUP($A492,SortedDownload!$A$3:$BB$499,23,FALSE),"")</f>
        <v/>
      </c>
      <c r="K492" s="59" t="str">
        <f>IFERROR(VLOOKUP($A492,SortedDownload!$A$3:$BB$499,24,FALSE),"")</f>
        <v/>
      </c>
      <c r="L492" s="59" t="str">
        <f>IFERROR(VLOOKUP($A492,SortedDownload!$A$3:$BB$499,25,FALSE),"")</f>
        <v/>
      </c>
      <c r="M492" s="59" t="str">
        <f>IFERROR(VLOOKUP($A492,SortedDownload!$A$3:$BB$499,26,FALSE),"")</f>
        <v/>
      </c>
      <c r="N492" s="59" t="str">
        <f>IFERROR(VLOOKUP($A492,SortedDownload!$A$3:$BB$499,27,FALSE),"")</f>
        <v/>
      </c>
      <c r="O492" s="59" t="str">
        <f>IFERROR(VLOOKUP($A492,SortedDownload!$A$3:$BB$499,28,FALSE),"")</f>
        <v/>
      </c>
      <c r="P492" s="59" t="str">
        <f>IFERROR(VLOOKUP($A492,SortedDownload!$A$3:$BB$499,29,FALSE),"")</f>
        <v/>
      </c>
      <c r="Q492" s="59" t="str">
        <f>IFERROR(VLOOKUP($A492,SortedDownload!$A$3:$BB$499,30,FALSE),"")</f>
        <v/>
      </c>
      <c r="R492" s="62" t="str">
        <f>IFERROR(TEXT(VLOOKUP($A492,SortedDownload!$A$3:$Z$499,14,FALSE),"[hh]:mm:ss.000"),"")</f>
        <v/>
      </c>
      <c r="S492" s="83" t="str">
        <f t="shared" si="23"/>
        <v>N/A</v>
      </c>
      <c r="T492" s="83" t="e">
        <f t="shared" si="21"/>
        <v>#VALUE!</v>
      </c>
      <c r="U492" s="9" t="str">
        <f t="shared" si="22"/>
        <v/>
      </c>
      <c r="V492" s="20" t="str">
        <f>IFERROR(IF(VLOOKUP(H492,AgeCategories!$D$3:$J$32,7,FALSE)=I492,"","DNF"),"")</f>
        <v/>
      </c>
    </row>
    <row r="493" spans="1:22">
      <c r="A493" s="53" t="str">
        <f>IF(SortedDownload!A493 &lt; 1,"",SortedDownload!A493)</f>
        <v/>
      </c>
      <c r="B493" s="55">
        <f>IF(V493&lt;&gt;"","DNF",COUNTIF($V$3:V493,V493))</f>
        <v>458</v>
      </c>
      <c r="C493" s="54" t="str">
        <f>IF(OR(B493="DNF",H493=""),"DNF",COUNTIF($H$3:H493,H493))</f>
        <v>DNF</v>
      </c>
      <c r="D493" s="90" t="str">
        <f>IFERROR(VLOOKUP($A493,EntryList!$A$3:$N$596,2,FALSE),"")</f>
        <v/>
      </c>
      <c r="E493" s="54" t="str">
        <f>IFERROR(VLOOKUP($A493,EntryList!$A$3:$V$596,19,FALSE),"")</f>
        <v/>
      </c>
      <c r="F493" s="176" t="str">
        <f>IFERROR(VLOOKUP($A493,EntryList!$A$3:$V$596,18,FALSE),"")</f>
        <v/>
      </c>
      <c r="H493" s="90" t="str">
        <f>IFERROR(VLOOKUP($A493,EntryList!$A$3:$N$596,7,FALSE),"")</f>
        <v/>
      </c>
      <c r="I493" s="54" t="str">
        <f>IFERROR(VLOOKUP($A493,SortedDownload!$A$3:$Z989,4,FALSE),"")</f>
        <v/>
      </c>
      <c r="J493" s="59" t="str">
        <f>IFERROR(VLOOKUP($A493,SortedDownload!$A$3:$BB$499,23,FALSE),"")</f>
        <v/>
      </c>
      <c r="K493" s="59" t="str">
        <f>IFERROR(VLOOKUP($A493,SortedDownload!$A$3:$BB$499,24,FALSE),"")</f>
        <v/>
      </c>
      <c r="L493" s="59" t="str">
        <f>IFERROR(VLOOKUP($A493,SortedDownload!$A$3:$BB$499,25,FALSE),"")</f>
        <v/>
      </c>
      <c r="M493" s="59" t="str">
        <f>IFERROR(VLOOKUP($A493,SortedDownload!$A$3:$BB$499,26,FALSE),"")</f>
        <v/>
      </c>
      <c r="N493" s="59" t="str">
        <f>IFERROR(VLOOKUP($A493,SortedDownload!$A$3:$BB$499,27,FALSE),"")</f>
        <v/>
      </c>
      <c r="O493" s="59" t="str">
        <f>IFERROR(VLOOKUP($A493,SortedDownload!$A$3:$BB$499,28,FALSE),"")</f>
        <v/>
      </c>
      <c r="P493" s="59" t="str">
        <f>IFERROR(VLOOKUP($A493,SortedDownload!$A$3:$BB$499,29,FALSE),"")</f>
        <v/>
      </c>
      <c r="Q493" s="59" t="str">
        <f>IFERROR(VLOOKUP($A493,SortedDownload!$A$3:$BB$499,30,FALSE),"")</f>
        <v/>
      </c>
      <c r="R493" s="62" t="str">
        <f>IFERROR(TEXT(VLOOKUP($A493,SortedDownload!$A$3:$Z$499,14,FALSE),"[hh]:mm:ss.000"),"")</f>
        <v/>
      </c>
      <c r="S493" s="83" t="str">
        <f t="shared" si="23"/>
        <v>N/A</v>
      </c>
      <c r="T493" s="83" t="e">
        <f t="shared" si="21"/>
        <v>#VALUE!</v>
      </c>
      <c r="U493" s="9" t="str">
        <f t="shared" si="22"/>
        <v/>
      </c>
      <c r="V493" s="20" t="str">
        <f>IFERROR(IF(VLOOKUP(H493,AgeCategories!$D$3:$J$32,7,FALSE)=I493,"","DNF"),"")</f>
        <v/>
      </c>
    </row>
    <row r="494" spans="1:22">
      <c r="A494" s="53" t="str">
        <f>IF(SortedDownload!A494 &lt; 1,"",SortedDownload!A494)</f>
        <v/>
      </c>
      <c r="B494" s="55">
        <f>IF(V494&lt;&gt;"","DNF",COUNTIF($V$3:V494,V494))</f>
        <v>459</v>
      </c>
      <c r="C494" s="54" t="str">
        <f>IF(OR(B494="DNF",H494=""),"DNF",COUNTIF($H$3:H494,H494))</f>
        <v>DNF</v>
      </c>
      <c r="D494" s="90" t="str">
        <f>IFERROR(VLOOKUP($A494,EntryList!$A$3:$N$596,2,FALSE),"")</f>
        <v/>
      </c>
      <c r="E494" s="54" t="str">
        <f>IFERROR(VLOOKUP($A494,EntryList!$A$3:$V$596,19,FALSE),"")</f>
        <v/>
      </c>
      <c r="F494" s="176" t="str">
        <f>IFERROR(VLOOKUP($A494,EntryList!$A$3:$V$596,18,FALSE),"")</f>
        <v/>
      </c>
      <c r="H494" s="90" t="str">
        <f>IFERROR(VLOOKUP($A494,EntryList!$A$3:$N$596,7,FALSE),"")</f>
        <v/>
      </c>
      <c r="I494" s="54" t="str">
        <f>IFERROR(VLOOKUP($A494,SortedDownload!$A$3:$Z990,4,FALSE),"")</f>
        <v/>
      </c>
      <c r="J494" s="59" t="str">
        <f>IFERROR(VLOOKUP($A494,SortedDownload!$A$3:$BB$499,23,FALSE),"")</f>
        <v/>
      </c>
      <c r="K494" s="59" t="str">
        <f>IFERROR(VLOOKUP($A494,SortedDownload!$A$3:$BB$499,24,FALSE),"")</f>
        <v/>
      </c>
      <c r="L494" s="59" t="str">
        <f>IFERROR(VLOOKUP($A494,SortedDownload!$A$3:$BB$499,25,FALSE),"")</f>
        <v/>
      </c>
      <c r="M494" s="59" t="str">
        <f>IFERROR(VLOOKUP($A494,SortedDownload!$A$3:$BB$499,26,FALSE),"")</f>
        <v/>
      </c>
      <c r="N494" s="59" t="str">
        <f>IFERROR(VLOOKUP($A494,SortedDownload!$A$3:$BB$499,27,FALSE),"")</f>
        <v/>
      </c>
      <c r="O494" s="59" t="str">
        <f>IFERROR(VLOOKUP($A494,SortedDownload!$A$3:$BB$499,28,FALSE),"")</f>
        <v/>
      </c>
      <c r="P494" s="59" t="str">
        <f>IFERROR(VLOOKUP($A494,SortedDownload!$A$3:$BB$499,29,FALSE),"")</f>
        <v/>
      </c>
      <c r="Q494" s="59" t="str">
        <f>IFERROR(VLOOKUP($A494,SortedDownload!$A$3:$BB$499,30,FALSE),"")</f>
        <v/>
      </c>
      <c r="R494" s="62" t="str">
        <f>IFERROR(TEXT(VLOOKUP($A494,SortedDownload!$A$3:$Z$499,14,FALSE),"[hh]:mm:ss.000"),"")</f>
        <v/>
      </c>
      <c r="S494" s="83" t="str">
        <f t="shared" si="23"/>
        <v>N/A</v>
      </c>
      <c r="T494" s="83" t="e">
        <f t="shared" si="21"/>
        <v>#VALUE!</v>
      </c>
      <c r="U494" s="9" t="str">
        <f t="shared" si="22"/>
        <v/>
      </c>
      <c r="V494" s="20" t="str">
        <f>IFERROR(IF(VLOOKUP(H494,AgeCategories!$D$3:$J$32,7,FALSE)=I494,"","DNF"),"")</f>
        <v/>
      </c>
    </row>
    <row r="495" spans="1:22">
      <c r="A495" s="53" t="str">
        <f>IF(SortedDownload!A495 &lt; 1,"",SortedDownload!A495)</f>
        <v/>
      </c>
      <c r="B495" s="55">
        <f>IF(V495&lt;&gt;"","DNF",COUNTIF($V$3:V495,V495))</f>
        <v>460</v>
      </c>
      <c r="C495" s="54" t="str">
        <f>IF(OR(B495="DNF",H495=""),"DNF",COUNTIF($H$3:H495,H495))</f>
        <v>DNF</v>
      </c>
      <c r="D495" s="90" t="str">
        <f>IFERROR(VLOOKUP($A495,EntryList!$A$3:$N$596,2,FALSE),"")</f>
        <v/>
      </c>
      <c r="E495" s="54" t="str">
        <f>IFERROR(VLOOKUP($A495,EntryList!$A$3:$V$596,19,FALSE),"")</f>
        <v/>
      </c>
      <c r="F495" s="176" t="str">
        <f>IFERROR(VLOOKUP($A495,EntryList!$A$3:$V$596,18,FALSE),"")</f>
        <v/>
      </c>
      <c r="H495" s="90" t="str">
        <f>IFERROR(VLOOKUP($A495,EntryList!$A$3:$N$596,7,FALSE),"")</f>
        <v/>
      </c>
      <c r="I495" s="54" t="str">
        <f>IFERROR(VLOOKUP($A495,SortedDownload!$A$3:$Z991,4,FALSE),"")</f>
        <v/>
      </c>
      <c r="J495" s="59" t="str">
        <f>IFERROR(VLOOKUP($A495,SortedDownload!$A$3:$BB$499,23,FALSE),"")</f>
        <v/>
      </c>
      <c r="K495" s="59" t="str">
        <f>IFERROR(VLOOKUP($A495,SortedDownload!$A$3:$BB$499,24,FALSE),"")</f>
        <v/>
      </c>
      <c r="L495" s="59" t="str">
        <f>IFERROR(VLOOKUP($A495,SortedDownload!$A$3:$BB$499,25,FALSE),"")</f>
        <v/>
      </c>
      <c r="M495" s="59" t="str">
        <f>IFERROR(VLOOKUP($A495,SortedDownload!$A$3:$BB$499,26,FALSE),"")</f>
        <v/>
      </c>
      <c r="N495" s="59" t="str">
        <f>IFERROR(VLOOKUP($A495,SortedDownload!$A$3:$BB$499,27,FALSE),"")</f>
        <v/>
      </c>
      <c r="O495" s="59" t="str">
        <f>IFERROR(VLOOKUP($A495,SortedDownload!$A$3:$BB$499,28,FALSE),"")</f>
        <v/>
      </c>
      <c r="P495" s="59" t="str">
        <f>IFERROR(VLOOKUP($A495,SortedDownload!$A$3:$BB$499,29,FALSE),"")</f>
        <v/>
      </c>
      <c r="Q495" s="59" t="str">
        <f>IFERROR(VLOOKUP($A495,SortedDownload!$A$3:$BB$499,30,FALSE),"")</f>
        <v/>
      </c>
      <c r="R495" s="62" t="str">
        <f>IFERROR(TEXT(VLOOKUP($A495,SortedDownload!$A$3:$Z$499,14,FALSE),"[hh]:mm:ss.000"),"")</f>
        <v/>
      </c>
      <c r="S495" s="83" t="str">
        <f t="shared" si="23"/>
        <v>N/A</v>
      </c>
      <c r="T495" s="83" t="e">
        <f t="shared" si="21"/>
        <v>#VALUE!</v>
      </c>
      <c r="U495" s="9" t="str">
        <f t="shared" si="22"/>
        <v/>
      </c>
      <c r="V495" s="20" t="str">
        <f>IFERROR(IF(VLOOKUP(H495,AgeCategories!$D$3:$J$32,7,FALSE)=I495,"","DNF"),"")</f>
        <v/>
      </c>
    </row>
    <row r="496" spans="1:22">
      <c r="A496" s="53" t="str">
        <f>IF(SortedDownload!A496 &lt; 1,"",SortedDownload!A496)</f>
        <v/>
      </c>
      <c r="B496" s="55">
        <f>IF(V496&lt;&gt;"","DNF",COUNTIF($V$3:V496,V496))</f>
        <v>461</v>
      </c>
      <c r="C496" s="54" t="str">
        <f>IF(OR(B496="DNF",H496=""),"DNF",COUNTIF($H$3:H496,H496))</f>
        <v>DNF</v>
      </c>
      <c r="D496" s="90" t="str">
        <f>IFERROR(VLOOKUP($A496,EntryList!$A$3:$N$596,2,FALSE),"")</f>
        <v/>
      </c>
      <c r="E496" s="54" t="str">
        <f>IFERROR(VLOOKUP($A496,EntryList!$A$3:$V$596,19,FALSE),"")</f>
        <v/>
      </c>
      <c r="F496" s="176" t="str">
        <f>IFERROR(VLOOKUP($A496,EntryList!$A$3:$V$596,18,FALSE),"")</f>
        <v/>
      </c>
      <c r="H496" s="90" t="str">
        <f>IFERROR(VLOOKUP($A496,EntryList!$A$3:$N$596,7,FALSE),"")</f>
        <v/>
      </c>
      <c r="I496" s="54" t="str">
        <f>IFERROR(VLOOKUP($A496,SortedDownload!$A$3:$Z992,4,FALSE),"")</f>
        <v/>
      </c>
      <c r="J496" s="59" t="str">
        <f>IFERROR(VLOOKUP($A496,SortedDownload!$A$3:$BB$499,23,FALSE),"")</f>
        <v/>
      </c>
      <c r="K496" s="59" t="str">
        <f>IFERROR(VLOOKUP($A496,SortedDownload!$A$3:$BB$499,24,FALSE),"")</f>
        <v/>
      </c>
      <c r="L496" s="59" t="str">
        <f>IFERROR(VLOOKUP($A496,SortedDownload!$A$3:$BB$499,25,FALSE),"")</f>
        <v/>
      </c>
      <c r="M496" s="59" t="str">
        <f>IFERROR(VLOOKUP($A496,SortedDownload!$A$3:$BB$499,26,FALSE),"")</f>
        <v/>
      </c>
      <c r="N496" s="59" t="str">
        <f>IFERROR(VLOOKUP($A496,SortedDownload!$A$3:$BB$499,27,FALSE),"")</f>
        <v/>
      </c>
      <c r="O496" s="59" t="str">
        <f>IFERROR(VLOOKUP($A496,SortedDownload!$A$3:$BB$499,28,FALSE),"")</f>
        <v/>
      </c>
      <c r="P496" s="59" t="str">
        <f>IFERROR(VLOOKUP($A496,SortedDownload!$A$3:$BB$499,29,FALSE),"")</f>
        <v/>
      </c>
      <c r="Q496" s="59" t="str">
        <f>IFERROR(VLOOKUP($A496,SortedDownload!$A$3:$BB$499,30,FALSE),"")</f>
        <v/>
      </c>
      <c r="R496" s="62" t="str">
        <f>IFERROR(TEXT(VLOOKUP($A496,SortedDownload!$A$3:$Z$499,14,FALSE),"[hh]:mm:ss.000"),"")</f>
        <v/>
      </c>
      <c r="S496" s="83" t="str">
        <f t="shared" si="23"/>
        <v>N/A</v>
      </c>
      <c r="T496" s="83" t="e">
        <f t="shared" si="21"/>
        <v>#VALUE!</v>
      </c>
      <c r="U496" s="9" t="str">
        <f t="shared" si="22"/>
        <v/>
      </c>
      <c r="V496" s="20" t="str">
        <f>IFERROR(IF(VLOOKUP(H496,AgeCategories!$D$3:$J$32,7,FALSE)=I496,"","DNF"),"")</f>
        <v/>
      </c>
    </row>
    <row r="497" spans="1:22">
      <c r="A497" s="53" t="str">
        <f>IF(SortedDownload!A497 &lt; 1,"",SortedDownload!A497)</f>
        <v/>
      </c>
      <c r="B497" s="55">
        <f>IF(V497&lt;&gt;"","DNF",COUNTIF($V$3:V497,V497))</f>
        <v>462</v>
      </c>
      <c r="C497" s="54" t="str">
        <f>IF(OR(B497="DNF",H497=""),"DNF",COUNTIF($H$3:H497,H497))</f>
        <v>DNF</v>
      </c>
      <c r="D497" s="90" t="str">
        <f>IFERROR(VLOOKUP($A497,EntryList!$A$3:$N$596,2,FALSE),"")</f>
        <v/>
      </c>
      <c r="E497" s="54" t="str">
        <f>IFERROR(VLOOKUP($A497,EntryList!$A$3:$V$596,19,FALSE),"")</f>
        <v/>
      </c>
      <c r="F497" s="176" t="str">
        <f>IFERROR(VLOOKUP($A497,EntryList!$A$3:$V$596,18,FALSE),"")</f>
        <v/>
      </c>
      <c r="H497" s="90" t="str">
        <f>IFERROR(VLOOKUP($A497,EntryList!$A$3:$N$596,7,FALSE),"")</f>
        <v/>
      </c>
      <c r="I497" s="54" t="str">
        <f>IFERROR(VLOOKUP($A497,SortedDownload!$A$3:$Z993,4,FALSE),"")</f>
        <v/>
      </c>
      <c r="J497" s="59" t="str">
        <f>IFERROR(VLOOKUP($A497,SortedDownload!$A$3:$BB$499,23,FALSE),"")</f>
        <v/>
      </c>
      <c r="K497" s="59" t="str">
        <f>IFERROR(VLOOKUP($A497,SortedDownload!$A$3:$BB$499,24,FALSE),"")</f>
        <v/>
      </c>
      <c r="L497" s="59" t="str">
        <f>IFERROR(VLOOKUP($A497,SortedDownload!$A$3:$BB$499,25,FALSE),"")</f>
        <v/>
      </c>
      <c r="M497" s="59" t="str">
        <f>IFERROR(VLOOKUP($A497,SortedDownload!$A$3:$BB$499,26,FALSE),"")</f>
        <v/>
      </c>
      <c r="N497" s="59" t="str">
        <f>IFERROR(VLOOKUP($A497,SortedDownload!$A$3:$BB$499,27,FALSE),"")</f>
        <v/>
      </c>
      <c r="O497" s="59" t="str">
        <f>IFERROR(VLOOKUP($A497,SortedDownload!$A$3:$BB$499,28,FALSE),"")</f>
        <v/>
      </c>
      <c r="P497" s="59" t="str">
        <f>IFERROR(VLOOKUP($A497,SortedDownload!$A$3:$BB$499,29,FALSE),"")</f>
        <v/>
      </c>
      <c r="Q497" s="59" t="str">
        <f>IFERROR(VLOOKUP($A497,SortedDownload!$A$3:$BB$499,30,FALSE),"")</f>
        <v/>
      </c>
      <c r="R497" s="62" t="str">
        <f>IFERROR(TEXT(VLOOKUP($A497,SortedDownload!$A$3:$Z$499,14,FALSE),"[hh]:mm:ss.000"),"")</f>
        <v/>
      </c>
      <c r="S497" s="83" t="str">
        <f t="shared" si="23"/>
        <v>N/A</v>
      </c>
      <c r="T497" s="83" t="e">
        <f t="shared" si="21"/>
        <v>#VALUE!</v>
      </c>
      <c r="U497" s="9" t="str">
        <f t="shared" si="22"/>
        <v/>
      </c>
      <c r="V497" s="20" t="str">
        <f>IFERROR(IF(VLOOKUP(H497,AgeCategories!$D$3:$J$32,7,FALSE)=I497,"","DNF"),"")</f>
        <v/>
      </c>
    </row>
    <row r="498" spans="1:22">
      <c r="A498" s="53" t="str">
        <f>IF(SortedDownload!A498 &lt; 1,"",SortedDownload!A498)</f>
        <v/>
      </c>
      <c r="B498" s="55">
        <f>IF(V498&lt;&gt;"","DNF",COUNTIF($V$3:V498,V498))</f>
        <v>463</v>
      </c>
      <c r="C498" s="54" t="str">
        <f>IF(OR(B498="DNF",H498=""),"DNF",COUNTIF($H$3:H498,H498))</f>
        <v>DNF</v>
      </c>
      <c r="D498" s="90" t="str">
        <f>IFERROR(VLOOKUP($A498,EntryList!$A$3:$N$596,2,FALSE),"")</f>
        <v/>
      </c>
      <c r="E498" s="54" t="str">
        <f>IFERROR(VLOOKUP($A498,EntryList!$A$3:$V$596,19,FALSE),"")</f>
        <v/>
      </c>
      <c r="F498" s="176" t="str">
        <f>IFERROR(VLOOKUP($A498,EntryList!$A$3:$V$596,18,FALSE),"")</f>
        <v/>
      </c>
      <c r="H498" s="90" t="str">
        <f>IFERROR(VLOOKUP($A498,EntryList!$A$3:$N$596,7,FALSE),"")</f>
        <v/>
      </c>
      <c r="I498" s="54" t="str">
        <f>IFERROR(VLOOKUP($A498,SortedDownload!$A$3:$Z994,4,FALSE),"")</f>
        <v/>
      </c>
      <c r="J498" s="59" t="str">
        <f>IFERROR(VLOOKUP($A498,SortedDownload!$A$3:$BB$499,23,FALSE),"")</f>
        <v/>
      </c>
      <c r="K498" s="59" t="str">
        <f>IFERROR(VLOOKUP($A498,SortedDownload!$A$3:$BB$499,24,FALSE),"")</f>
        <v/>
      </c>
      <c r="L498" s="59" t="str">
        <f>IFERROR(VLOOKUP($A498,SortedDownload!$A$3:$BB$499,25,FALSE),"")</f>
        <v/>
      </c>
      <c r="M498" s="59" t="str">
        <f>IFERROR(VLOOKUP($A498,SortedDownload!$A$3:$BB$499,26,FALSE),"")</f>
        <v/>
      </c>
      <c r="N498" s="59" t="str">
        <f>IFERROR(VLOOKUP($A498,SortedDownload!$A$3:$BB$499,27,FALSE),"")</f>
        <v/>
      </c>
      <c r="O498" s="59" t="str">
        <f>IFERROR(VLOOKUP($A498,SortedDownload!$A$3:$BB$499,28,FALSE),"")</f>
        <v/>
      </c>
      <c r="P498" s="59" t="str">
        <f>IFERROR(VLOOKUP($A498,SortedDownload!$A$3:$BB$499,29,FALSE),"")</f>
        <v/>
      </c>
      <c r="Q498" s="59" t="str">
        <f>IFERROR(VLOOKUP($A498,SortedDownload!$A$3:$BB$499,30,FALSE),"")</f>
        <v/>
      </c>
      <c r="R498" s="62" t="str">
        <f>IFERROR(TEXT(VLOOKUP($A498,SortedDownload!$A$3:$Z$499,14,FALSE),"[hh]:mm:ss.000"),"")</f>
        <v/>
      </c>
      <c r="S498" s="83" t="str">
        <f t="shared" si="23"/>
        <v>N/A</v>
      </c>
      <c r="T498" s="83" t="e">
        <f t="shared" si="21"/>
        <v>#VALUE!</v>
      </c>
      <c r="U498" s="9" t="str">
        <f t="shared" si="22"/>
        <v/>
      </c>
      <c r="V498" s="20" t="str">
        <f>IFERROR(IF(VLOOKUP(H498,AgeCategories!$D$3:$J$32,7,FALSE)=I498,"","DNF"),"")</f>
        <v/>
      </c>
    </row>
    <row r="499" spans="1:22">
      <c r="A499" s="53" t="str">
        <f>IF(SortedDownload!A499 &lt; 1,"",SortedDownload!A499)</f>
        <v/>
      </c>
      <c r="B499" s="55">
        <f>IF(V499&lt;&gt;"","DNF",COUNTIF($V$3:V499,V499))</f>
        <v>464</v>
      </c>
      <c r="C499" s="54" t="str">
        <f>IF(OR(B499="DNF",H499=""),"DNF",COUNTIF($H$3:H499,H499))</f>
        <v>DNF</v>
      </c>
      <c r="D499" s="90" t="str">
        <f>IFERROR(VLOOKUP($A499,EntryList!$A$3:$N$596,2,FALSE),"")</f>
        <v/>
      </c>
      <c r="E499" s="54" t="str">
        <f>IFERROR(VLOOKUP($A499,EntryList!$A$3:$V$596,19,FALSE),"")</f>
        <v/>
      </c>
      <c r="F499" s="176" t="str">
        <f>IFERROR(VLOOKUP($A499,EntryList!$A$3:$V$596,18,FALSE),"")</f>
        <v/>
      </c>
      <c r="H499" s="90" t="str">
        <f>IFERROR(VLOOKUP($A499,EntryList!$A$3:$N$596,7,FALSE),"")</f>
        <v/>
      </c>
      <c r="I499" s="54" t="str">
        <f>IFERROR(VLOOKUP($A499,SortedDownload!$A$3:$Z995,4,FALSE),"")</f>
        <v/>
      </c>
      <c r="J499" s="59" t="str">
        <f>IFERROR(VLOOKUP($A499,SortedDownload!$A$3:$BB$499,23,FALSE),"")</f>
        <v/>
      </c>
      <c r="K499" s="59" t="str">
        <f>IFERROR(VLOOKUP($A499,SortedDownload!$A$3:$BB$499,24,FALSE),"")</f>
        <v/>
      </c>
      <c r="L499" s="59" t="str">
        <f>IFERROR(VLOOKUP($A499,SortedDownload!$A$3:$BB$499,25,FALSE),"")</f>
        <v/>
      </c>
      <c r="M499" s="59" t="str">
        <f>IFERROR(VLOOKUP($A499,SortedDownload!$A$3:$BB$499,26,FALSE),"")</f>
        <v/>
      </c>
      <c r="N499" s="59" t="str">
        <f>IFERROR(VLOOKUP($A499,SortedDownload!$A$3:$BB$499,27,FALSE),"")</f>
        <v/>
      </c>
      <c r="O499" s="59" t="str">
        <f>IFERROR(VLOOKUP($A499,SortedDownload!$A$3:$BB$499,28,FALSE),"")</f>
        <v/>
      </c>
      <c r="P499" s="59" t="str">
        <f>IFERROR(VLOOKUP($A499,SortedDownload!$A$3:$BB$499,29,FALSE),"")</f>
        <v/>
      </c>
      <c r="Q499" s="59" t="str">
        <f>IFERROR(VLOOKUP($A499,SortedDownload!$A$3:$BB$499,30,FALSE),"")</f>
        <v/>
      </c>
      <c r="R499" s="62" t="str">
        <f>IFERROR(TEXT(VLOOKUP($A499,SortedDownload!$A$3:$Z$499,14,FALSE),"[hh]:mm:ss.000"),"")</f>
        <v/>
      </c>
      <c r="S499" s="83" t="str">
        <f t="shared" si="23"/>
        <v>N/A</v>
      </c>
      <c r="T499" s="83" t="e">
        <f t="shared" si="21"/>
        <v>#VALUE!</v>
      </c>
      <c r="U499" s="9" t="str">
        <f t="shared" si="22"/>
        <v/>
      </c>
      <c r="V499" s="20" t="str">
        <f>IFERROR(IF(VLOOKUP(H499,AgeCategories!$D$3:$J$32,7,FALSE)=I499,"","DNF"),"")</f>
        <v/>
      </c>
    </row>
    <row r="500" spans="1:22">
      <c r="A500" s="53" t="str">
        <f>IF(SortedDownload!A500 &lt; 1,"",SortedDownload!A500)</f>
        <v/>
      </c>
      <c r="B500" s="55">
        <f>IF(V500&lt;&gt;"","DNF",COUNTIF($V$3:V500,V500))</f>
        <v>465</v>
      </c>
      <c r="C500" s="54" t="str">
        <f>IF(OR(B500="DNF",H500=""),"DNF",COUNTIF($H$3:H500,H500))</f>
        <v>DNF</v>
      </c>
      <c r="D500" s="90" t="str">
        <f>IFERROR(VLOOKUP($A500,EntryList!$A$3:$N$596,2,FALSE),"")</f>
        <v/>
      </c>
      <c r="E500" s="54" t="str">
        <f>IFERROR(VLOOKUP($A500,EntryList!$A$3:$V$596,19,FALSE),"")</f>
        <v/>
      </c>
      <c r="F500" s="176" t="str">
        <f>IFERROR(VLOOKUP($A500,EntryList!$A$3:$V$596,18,FALSE),"")</f>
        <v/>
      </c>
      <c r="H500" s="90" t="str">
        <f>IFERROR(VLOOKUP($A500,EntryList!$A$3:$N$596,7,FALSE),"")</f>
        <v/>
      </c>
      <c r="I500" s="54" t="str">
        <f>IFERROR(VLOOKUP($A500,SortedDownload!$A$3:$Z996,4,FALSE),"")</f>
        <v/>
      </c>
      <c r="J500" s="59" t="str">
        <f>IFERROR(VLOOKUP($A500,SortedDownload!$A$3:$BB$499,23,FALSE),"")</f>
        <v/>
      </c>
      <c r="K500" s="59" t="str">
        <f>IFERROR(VLOOKUP($A500,SortedDownload!$A$3:$BB$499,24,FALSE),"")</f>
        <v/>
      </c>
      <c r="L500" s="59" t="str">
        <f>IFERROR(VLOOKUP($A500,SortedDownload!$A$3:$BB$499,25,FALSE),"")</f>
        <v/>
      </c>
      <c r="M500" s="59" t="str">
        <f>IFERROR(VLOOKUP($A500,SortedDownload!$A$3:$BB$499,26,FALSE),"")</f>
        <v/>
      </c>
      <c r="N500" s="59" t="str">
        <f>IFERROR(VLOOKUP($A500,SortedDownload!$A$3:$BB$499,27,FALSE),"")</f>
        <v/>
      </c>
      <c r="O500" s="59" t="str">
        <f>IFERROR(VLOOKUP($A500,SortedDownload!$A$3:$BB$499,28,FALSE),"")</f>
        <v/>
      </c>
      <c r="P500" s="59" t="str">
        <f>IFERROR(VLOOKUP($A500,SortedDownload!$A$3:$BB$499,29,FALSE),"")</f>
        <v/>
      </c>
      <c r="Q500" s="59" t="str">
        <f>IFERROR(VLOOKUP($A500,SortedDownload!$A$3:$BB$499,30,FALSE),"")</f>
        <v/>
      </c>
      <c r="R500" s="62" t="str">
        <f>IFERROR(TEXT(VLOOKUP($A500,SortedDownload!$A$3:$Z$499,14,FALSE),"[hh]:mm:ss.000"),"")</f>
        <v/>
      </c>
      <c r="S500" s="83" t="str">
        <f t="shared" si="23"/>
        <v>N/A</v>
      </c>
      <c r="T500" s="83" t="e">
        <f t="shared" si="21"/>
        <v>#VALUE!</v>
      </c>
      <c r="U500" s="9" t="str">
        <f t="shared" si="22"/>
        <v/>
      </c>
      <c r="V500" s="20" t="str">
        <f>IFERROR(IF(VLOOKUP(H500,AgeCategories!$D$3:$J$32,7,FALSE)=I500,"","DNF"),"")</f>
        <v/>
      </c>
    </row>
    <row r="501" spans="1:22">
      <c r="A501" s="53" t="str">
        <f>IF(SortedDownload!A501 &lt; 1,"",SortedDownload!A501)</f>
        <v/>
      </c>
      <c r="B501" s="55">
        <f>IF(V501&lt;&gt;"","DNF",COUNTIF($V$3:V501,V501))</f>
        <v>466</v>
      </c>
      <c r="C501" s="54" t="str">
        <f>IF(OR(B501="DNF",H501=""),"DNF",COUNTIF($H$3:H501,H501))</f>
        <v>DNF</v>
      </c>
      <c r="D501" s="90" t="str">
        <f>IFERROR(VLOOKUP($A501,EntryList!$A$3:$N$596,2,FALSE),"")</f>
        <v/>
      </c>
      <c r="E501" s="54" t="str">
        <f>IFERROR(VLOOKUP($A501,EntryList!$A$3:$V$596,19,FALSE),"")</f>
        <v/>
      </c>
      <c r="F501" s="176" t="str">
        <f>IFERROR(VLOOKUP($A501,EntryList!$A$3:$V$596,18,FALSE),"")</f>
        <v/>
      </c>
      <c r="H501" s="90" t="str">
        <f>IFERROR(VLOOKUP($A501,EntryList!$A$3:$N$596,7,FALSE),"")</f>
        <v/>
      </c>
      <c r="I501" s="54" t="str">
        <f>IFERROR(VLOOKUP($A501,SortedDownload!$A$3:$Z997,4,FALSE),"")</f>
        <v/>
      </c>
      <c r="J501" s="59" t="str">
        <f>IFERROR(VLOOKUP($A501,SortedDownload!$A$3:$BB$499,23,FALSE),"")</f>
        <v/>
      </c>
      <c r="K501" s="59" t="str">
        <f>IFERROR(VLOOKUP($A501,SortedDownload!$A$3:$BB$499,24,FALSE),"")</f>
        <v/>
      </c>
      <c r="L501" s="59" t="str">
        <f>IFERROR(VLOOKUP($A501,SortedDownload!$A$3:$BB$499,25,FALSE),"")</f>
        <v/>
      </c>
      <c r="M501" s="59" t="str">
        <f>IFERROR(VLOOKUP($A501,SortedDownload!$A$3:$BB$499,26,FALSE),"")</f>
        <v/>
      </c>
      <c r="N501" s="59" t="str">
        <f>IFERROR(VLOOKUP($A501,SortedDownload!$A$3:$BB$499,27,FALSE),"")</f>
        <v/>
      </c>
      <c r="O501" s="59" t="str">
        <f>IFERROR(VLOOKUP($A501,SortedDownload!$A$3:$BB$499,28,FALSE),"")</f>
        <v/>
      </c>
      <c r="P501" s="59" t="str">
        <f>IFERROR(VLOOKUP($A501,SortedDownload!$A$3:$BB$499,29,FALSE),"")</f>
        <v/>
      </c>
      <c r="Q501" s="59" t="str">
        <f>IFERROR(VLOOKUP($A501,SortedDownload!$A$3:$BB$499,30,FALSE),"")</f>
        <v/>
      </c>
      <c r="R501" s="62" t="str">
        <f>IFERROR(TEXT(VLOOKUP($A501,SortedDownload!$A$3:$Z$499,14,FALSE),"[hh]:mm:ss.000"),"")</f>
        <v/>
      </c>
      <c r="S501" s="83" t="str">
        <f t="shared" si="23"/>
        <v>N/A</v>
      </c>
      <c r="T501" s="83" t="e">
        <f t="shared" si="21"/>
        <v>#VALUE!</v>
      </c>
      <c r="U501" s="9" t="str">
        <f t="shared" si="22"/>
        <v/>
      </c>
      <c r="V501" s="20" t="str">
        <f>IFERROR(IF(VLOOKUP(H501,AgeCategories!$D$3:$J$32,7,FALSE)=I501,"","DNF"),"")</f>
        <v/>
      </c>
    </row>
    <row r="502" spans="1:22">
      <c r="A502" s="53" t="str">
        <f>IF(SortedDownload!A502 &lt; 1,"",SortedDownload!A502)</f>
        <v/>
      </c>
      <c r="B502" s="55">
        <f>IF(V502&lt;&gt;"","DNF",COUNTIF($V$3:V502,V502))</f>
        <v>467</v>
      </c>
      <c r="C502" s="54" t="str">
        <f>IF(OR(B502="DNF",H502=""),"DNF",COUNTIF($H$3:H502,H502))</f>
        <v>DNF</v>
      </c>
      <c r="D502" s="90" t="str">
        <f>IFERROR(VLOOKUP($A502,EntryList!$A$3:$N$596,2,FALSE),"")</f>
        <v/>
      </c>
      <c r="E502" s="54" t="str">
        <f>IFERROR(VLOOKUP($A502,EntryList!$A$3:$V$596,19,FALSE),"")</f>
        <v/>
      </c>
      <c r="F502" s="176" t="str">
        <f>IFERROR(VLOOKUP($A502,EntryList!$A$3:$V$596,18,FALSE),"")</f>
        <v/>
      </c>
      <c r="H502" s="90" t="str">
        <f>IFERROR(VLOOKUP($A502,EntryList!$A$3:$N$596,7,FALSE),"")</f>
        <v/>
      </c>
      <c r="I502" s="54" t="str">
        <f>IFERROR(VLOOKUP($A502,SortedDownload!$A$3:$Z998,4,FALSE),"")</f>
        <v/>
      </c>
      <c r="J502" s="59" t="str">
        <f>IFERROR(VLOOKUP($A502,SortedDownload!$A$3:$BB$499,23,FALSE),"")</f>
        <v/>
      </c>
      <c r="K502" s="59" t="str">
        <f>IFERROR(VLOOKUP($A502,SortedDownload!$A$3:$BB$499,24,FALSE),"")</f>
        <v/>
      </c>
      <c r="L502" s="59" t="str">
        <f>IFERROR(VLOOKUP($A502,SortedDownload!$A$3:$BB$499,25,FALSE),"")</f>
        <v/>
      </c>
      <c r="M502" s="59" t="str">
        <f>IFERROR(VLOOKUP($A502,SortedDownload!$A$3:$BB$499,26,FALSE),"")</f>
        <v/>
      </c>
      <c r="N502" s="59" t="str">
        <f>IFERROR(VLOOKUP($A502,SortedDownload!$A$3:$BB$499,27,FALSE),"")</f>
        <v/>
      </c>
      <c r="O502" s="59" t="str">
        <f>IFERROR(VLOOKUP($A502,SortedDownload!$A$3:$BB$499,28,FALSE),"")</f>
        <v/>
      </c>
      <c r="P502" s="59" t="str">
        <f>IFERROR(VLOOKUP($A502,SortedDownload!$A$3:$BB$499,29,FALSE),"")</f>
        <v/>
      </c>
      <c r="Q502" s="59" t="str">
        <f>IFERROR(VLOOKUP($A502,SortedDownload!$A$3:$BB$499,30,FALSE),"")</f>
        <v/>
      </c>
      <c r="R502" s="62" t="str">
        <f>IFERROR(TEXT(VLOOKUP($A502,SortedDownload!$A$3:$Z$499,14,FALSE),"[hh]:mm:ss.000"),"")</f>
        <v/>
      </c>
      <c r="S502" s="83" t="str">
        <f t="shared" si="23"/>
        <v>N/A</v>
      </c>
      <c r="T502" s="83" t="e">
        <f t="shared" si="21"/>
        <v>#VALUE!</v>
      </c>
      <c r="U502" s="9" t="str">
        <f t="shared" si="22"/>
        <v/>
      </c>
      <c r="V502" s="20" t="str">
        <f>IFERROR(IF(VLOOKUP(H502,AgeCategories!$D$3:$J$32,7,FALSE)=I502,"","DNF"),"")</f>
        <v/>
      </c>
    </row>
    <row r="503" spans="1:22">
      <c r="A503" s="53" t="str">
        <f>IF(SortedDownload!A503 &lt; 1,"",SortedDownload!A503)</f>
        <v/>
      </c>
      <c r="B503" s="55">
        <f>IF(V503&lt;&gt;"","DNF",COUNTIF($V$3:V503,V503))</f>
        <v>468</v>
      </c>
      <c r="C503" s="54" t="str">
        <f>IF(OR(B503="DNF",H503=""),"DNF",COUNTIF($H$3:H503,H503))</f>
        <v>DNF</v>
      </c>
      <c r="D503" s="90" t="str">
        <f>IFERROR(VLOOKUP($A503,EntryList!$A$3:$N$596,2,FALSE),"")</f>
        <v/>
      </c>
      <c r="E503" s="54" t="str">
        <f>IFERROR(VLOOKUP($A503,EntryList!$A$3:$V$596,19,FALSE),"")</f>
        <v/>
      </c>
      <c r="F503" s="176" t="str">
        <f>IFERROR(VLOOKUP($A503,EntryList!$A$3:$V$596,18,FALSE),"")</f>
        <v/>
      </c>
      <c r="H503" s="90" t="str">
        <f>IFERROR(VLOOKUP($A503,EntryList!$A$3:$N$596,7,FALSE),"")</f>
        <v/>
      </c>
      <c r="I503" s="54" t="str">
        <f>IFERROR(VLOOKUP($A503,SortedDownload!$A$3:$Z999,4,FALSE),"")</f>
        <v/>
      </c>
      <c r="J503" s="59" t="str">
        <f>IFERROR(VLOOKUP($A503,SortedDownload!$A$3:$BB$499,23,FALSE),"")</f>
        <v/>
      </c>
      <c r="K503" s="59" t="str">
        <f>IFERROR(VLOOKUP($A503,SortedDownload!$A$3:$BB$499,24,FALSE),"")</f>
        <v/>
      </c>
      <c r="L503" s="59" t="str">
        <f>IFERROR(VLOOKUP($A503,SortedDownload!$A$3:$BB$499,25,FALSE),"")</f>
        <v/>
      </c>
      <c r="M503" s="59" t="str">
        <f>IFERROR(VLOOKUP($A503,SortedDownload!$A$3:$BB$499,26,FALSE),"")</f>
        <v/>
      </c>
      <c r="N503" s="59" t="str">
        <f>IFERROR(VLOOKUP($A503,SortedDownload!$A$3:$BB$499,27,FALSE),"")</f>
        <v/>
      </c>
      <c r="O503" s="59" t="str">
        <f>IFERROR(VLOOKUP($A503,SortedDownload!$A$3:$BB$499,28,FALSE),"")</f>
        <v/>
      </c>
      <c r="P503" s="59" t="str">
        <f>IFERROR(VLOOKUP($A503,SortedDownload!$A$3:$BB$499,29,FALSE),"")</f>
        <v/>
      </c>
      <c r="Q503" s="59" t="str">
        <f>IFERROR(VLOOKUP($A503,SortedDownload!$A$3:$BB$499,30,FALSE),"")</f>
        <v/>
      </c>
      <c r="R503" s="62" t="str">
        <f>IFERROR(TEXT(VLOOKUP($A503,SortedDownload!$A$3:$Z$499,14,FALSE),"[hh]:mm:ss.000"),"")</f>
        <v/>
      </c>
      <c r="S503" s="83" t="str">
        <f t="shared" si="23"/>
        <v>N/A</v>
      </c>
      <c r="T503" s="83" t="e">
        <f t="shared" si="21"/>
        <v>#VALUE!</v>
      </c>
      <c r="U503" s="9" t="str">
        <f t="shared" si="22"/>
        <v/>
      </c>
      <c r="V503" s="20" t="str">
        <f>IFERROR(IF(VLOOKUP(H503,AgeCategories!$D$3:$J$32,7,FALSE)=I503,"","DNF"),"")</f>
        <v/>
      </c>
    </row>
    <row r="504" spans="1:22">
      <c r="A504" s="53" t="str">
        <f>IF(SortedDownload!A504 &lt; 1,"",SortedDownload!A504)</f>
        <v/>
      </c>
      <c r="B504" s="55">
        <f>IF(V504&lt;&gt;"","DNF",COUNTIF($V$3:V504,V504))</f>
        <v>469</v>
      </c>
      <c r="C504" s="54" t="str">
        <f>IF(OR(B504="DNF",H504=""),"DNF",COUNTIF($H$3:H504,H504))</f>
        <v>DNF</v>
      </c>
      <c r="D504" s="90" t="str">
        <f>IFERROR(VLOOKUP($A504,EntryList!$A$3:$N$596,2,FALSE),"")</f>
        <v/>
      </c>
      <c r="E504" s="54" t="str">
        <f>IFERROR(VLOOKUP($A504,EntryList!$A$3:$V$596,19,FALSE),"")</f>
        <v/>
      </c>
      <c r="F504" s="176" t="str">
        <f>IFERROR(VLOOKUP($A504,EntryList!$A$3:$V$596,18,FALSE),"")</f>
        <v/>
      </c>
      <c r="H504" s="90" t="str">
        <f>IFERROR(VLOOKUP($A504,EntryList!$A$3:$N$596,7,FALSE),"")</f>
        <v/>
      </c>
      <c r="I504" s="54" t="str">
        <f>IFERROR(VLOOKUP($A504,SortedDownload!$A$3:$Z1000,4,FALSE),"")</f>
        <v/>
      </c>
      <c r="J504" s="59" t="str">
        <f>IFERROR(VLOOKUP($A504,SortedDownload!$A$3:$BB$499,23,FALSE),"")</f>
        <v/>
      </c>
      <c r="K504" s="59" t="str">
        <f>IFERROR(VLOOKUP($A504,SortedDownload!$A$3:$BB$499,24,FALSE),"")</f>
        <v/>
      </c>
      <c r="L504" s="59" t="str">
        <f>IFERROR(VLOOKUP($A504,SortedDownload!$A$3:$BB$499,25,FALSE),"")</f>
        <v/>
      </c>
      <c r="M504" s="59" t="str">
        <f>IFERROR(VLOOKUP($A504,SortedDownload!$A$3:$BB$499,26,FALSE),"")</f>
        <v/>
      </c>
      <c r="N504" s="59" t="str">
        <f>IFERROR(VLOOKUP($A504,SortedDownload!$A$3:$BB$499,27,FALSE),"")</f>
        <v/>
      </c>
      <c r="O504" s="59" t="str">
        <f>IFERROR(VLOOKUP($A504,SortedDownload!$A$3:$BB$499,28,FALSE),"")</f>
        <v/>
      </c>
      <c r="P504" s="59" t="str">
        <f>IFERROR(VLOOKUP($A504,SortedDownload!$A$3:$BB$499,29,FALSE),"")</f>
        <v/>
      </c>
      <c r="Q504" s="59" t="str">
        <f>IFERROR(VLOOKUP($A504,SortedDownload!$A$3:$BB$499,30,FALSE),"")</f>
        <v/>
      </c>
      <c r="R504" s="62" t="str">
        <f>IFERROR(TEXT(VLOOKUP($A504,SortedDownload!$A$3:$Z$499,14,FALSE),"[hh]:mm:ss.000"),"")</f>
        <v/>
      </c>
      <c r="S504" s="83" t="str">
        <f t="shared" si="23"/>
        <v>N/A</v>
      </c>
      <c r="T504" s="83" t="e">
        <f t="shared" si="21"/>
        <v>#VALUE!</v>
      </c>
      <c r="U504" s="9" t="str">
        <f t="shared" si="22"/>
        <v/>
      </c>
      <c r="V504" s="20" t="str">
        <f>IFERROR(IF(VLOOKUP(H504,AgeCategories!$D$3:$J$32,7,FALSE)=I504,"","DNF"),"")</f>
        <v/>
      </c>
    </row>
    <row r="505" spans="1:22">
      <c r="A505" s="53" t="str">
        <f>IF(SortedDownload!A505 &lt; 1,"",SortedDownload!A505)</f>
        <v/>
      </c>
      <c r="B505" s="55">
        <f>IF(V505&lt;&gt;"","DNF",COUNTIF($V$3:V505,V505))</f>
        <v>470</v>
      </c>
      <c r="C505" s="54" t="str">
        <f>IF(OR(B505="DNF",H505=""),"DNF",COUNTIF($H$3:H505,H505))</f>
        <v>DNF</v>
      </c>
      <c r="D505" s="90" t="str">
        <f>IFERROR(VLOOKUP($A505,EntryList!$A$3:$N$596,2,FALSE),"")</f>
        <v/>
      </c>
      <c r="E505" s="54" t="str">
        <f>IFERROR(VLOOKUP($A505,EntryList!$A$3:$V$596,19,FALSE),"")</f>
        <v/>
      </c>
      <c r="F505" s="176" t="str">
        <f>IFERROR(VLOOKUP($A505,EntryList!$A$3:$V$596,18,FALSE),"")</f>
        <v/>
      </c>
      <c r="H505" s="90" t="str">
        <f>IFERROR(VLOOKUP($A505,EntryList!$A$3:$N$596,7,FALSE),"")</f>
        <v/>
      </c>
      <c r="I505" s="54" t="str">
        <f>IFERROR(VLOOKUP($A505,SortedDownload!$A$3:$Z1001,4,FALSE),"")</f>
        <v/>
      </c>
      <c r="J505" s="59" t="str">
        <f>IFERROR(VLOOKUP($A505,SortedDownload!$A$3:$BB$499,23,FALSE),"")</f>
        <v/>
      </c>
      <c r="K505" s="59" t="str">
        <f>IFERROR(VLOOKUP($A505,SortedDownload!$A$3:$BB$499,24,FALSE),"")</f>
        <v/>
      </c>
      <c r="L505" s="59" t="str">
        <f>IFERROR(VLOOKUP($A505,SortedDownload!$A$3:$BB$499,25,FALSE),"")</f>
        <v/>
      </c>
      <c r="M505" s="59" t="str">
        <f>IFERROR(VLOOKUP($A505,SortedDownload!$A$3:$BB$499,26,FALSE),"")</f>
        <v/>
      </c>
      <c r="N505" s="59" t="str">
        <f>IFERROR(VLOOKUP($A505,SortedDownload!$A$3:$BB$499,27,FALSE),"")</f>
        <v/>
      </c>
      <c r="O505" s="59" t="str">
        <f>IFERROR(VLOOKUP($A505,SortedDownload!$A$3:$BB$499,28,FALSE),"")</f>
        <v/>
      </c>
      <c r="P505" s="59" t="str">
        <f>IFERROR(VLOOKUP($A505,SortedDownload!$A$3:$BB$499,29,FALSE),"")</f>
        <v/>
      </c>
      <c r="Q505" s="59" t="str">
        <f>IFERROR(VLOOKUP($A505,SortedDownload!$A$3:$BB$499,30,FALSE),"")</f>
        <v/>
      </c>
      <c r="R505" s="62" t="str">
        <f>IFERROR(TEXT(VLOOKUP($A505,SortedDownload!$A$3:$Z$499,14,FALSE),"[hh]:mm:ss.000"),"")</f>
        <v/>
      </c>
      <c r="S505" s="83" t="str">
        <f t="shared" si="23"/>
        <v>N/A</v>
      </c>
      <c r="T505" s="83" t="e">
        <f t="shared" si="21"/>
        <v>#VALUE!</v>
      </c>
      <c r="U505" s="9" t="str">
        <f t="shared" si="22"/>
        <v/>
      </c>
      <c r="V505" s="20" t="str">
        <f>IFERROR(IF(VLOOKUP(H505,AgeCategories!$D$3:$J$32,7,FALSE)=I505,"","DNF"),"")</f>
        <v/>
      </c>
    </row>
  </sheetData>
  <sortState ref="A3:Z253">
    <sortCondition ref="U3:U21"/>
  </sortState>
  <conditionalFormatting sqref="J3:Q505">
    <cfRule type="containsText" dxfId="190" priority="122" stopIfTrue="1" operator="containsText" text="(3)">
      <formula>NOT(ISERROR(SEARCH("(3)",J3)))</formula>
    </cfRule>
    <cfRule type="containsText" dxfId="189" priority="123" stopIfTrue="1" operator="containsText" text="(2)">
      <formula>NOT(ISERROR(SEARCH("(2)",J3)))</formula>
    </cfRule>
    <cfRule type="containsText" dxfId="188" priority="124" stopIfTrue="1" operator="containsText" text="(1)">
      <formula>NOT(ISERROR(SEARCH("(1)",J3)))</formula>
    </cfRule>
  </conditionalFormatting>
  <pageMargins left="0.7" right="0.7" top="0.75" bottom="0.75" header="0.3" footer="0.3"/>
  <pageSetup paperSize="9" scale="33" fitToHeight="0" orientation="landscape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Z102"/>
  <sheetViews>
    <sheetView topLeftCell="B77" zoomScale="85" zoomScaleNormal="85" workbookViewId="0"/>
  </sheetViews>
  <sheetFormatPr defaultRowHeight="12.75"/>
  <cols>
    <col min="1" max="1" width="24.5703125" bestFit="1" customWidth="1"/>
    <col min="2" max="2" width="15.7109375" bestFit="1" customWidth="1"/>
    <col min="3" max="3" width="15.42578125" bestFit="1" customWidth="1"/>
    <col min="4" max="4" width="19.5703125" bestFit="1" customWidth="1"/>
    <col min="5" max="5" width="8.42578125" customWidth="1"/>
    <col min="6" max="6" width="23.5703125" bestFit="1" customWidth="1"/>
    <col min="7" max="7" width="12.140625" customWidth="1"/>
    <col min="8" max="8" width="20.5703125" bestFit="1" customWidth="1"/>
    <col min="9" max="9" width="8.85546875" bestFit="1" customWidth="1"/>
    <col min="10" max="14" width="14.7109375" bestFit="1" customWidth="1"/>
    <col min="15" max="15" width="13.5703125" bestFit="1" customWidth="1"/>
    <col min="16" max="16" width="12" customWidth="1"/>
    <col min="17" max="18" width="12.5703125" bestFit="1" customWidth="1"/>
    <col min="19" max="19" width="8.5703125" bestFit="1" customWidth="1"/>
    <col min="20" max="21" width="13.42578125" customWidth="1"/>
    <col min="25" max="25" width="4.140625" bestFit="1" customWidth="1"/>
  </cols>
  <sheetData>
    <row r="1" spans="1:26" ht="24" customHeight="1">
      <c r="A1" s="40" t="s">
        <v>669</v>
      </c>
      <c r="B1" s="31">
        <v>44815</v>
      </c>
    </row>
    <row r="2" spans="1:26" ht="99">
      <c r="A2" s="174" t="s">
        <v>72</v>
      </c>
      <c r="B2" s="174" t="s">
        <v>108</v>
      </c>
      <c r="C2" s="174" t="s">
        <v>98</v>
      </c>
      <c r="D2" s="174" t="s">
        <v>135</v>
      </c>
      <c r="E2" s="174" t="s">
        <v>630</v>
      </c>
      <c r="F2" s="174" t="s">
        <v>302</v>
      </c>
      <c r="G2" s="174" t="s">
        <v>23</v>
      </c>
      <c r="H2" s="174" t="s">
        <v>109</v>
      </c>
      <c r="I2" s="174" t="s">
        <v>110</v>
      </c>
      <c r="J2" s="174" t="s">
        <v>24</v>
      </c>
      <c r="K2" s="174" t="s">
        <v>25</v>
      </c>
      <c r="L2" s="174" t="s">
        <v>26</v>
      </c>
      <c r="M2" s="174" t="s">
        <v>27</v>
      </c>
      <c r="N2" s="174" t="s">
        <v>28</v>
      </c>
      <c r="O2" s="174" t="s">
        <v>605</v>
      </c>
      <c r="P2" s="174" t="s">
        <v>606</v>
      </c>
      <c r="Q2" s="174" t="s">
        <v>128</v>
      </c>
      <c r="R2" s="174" t="s">
        <v>32</v>
      </c>
      <c r="S2" s="174" t="s">
        <v>494</v>
      </c>
      <c r="T2" s="174" t="s">
        <v>117</v>
      </c>
      <c r="U2" s="174" t="s">
        <v>248</v>
      </c>
      <c r="V2" s="174" t="s">
        <v>492</v>
      </c>
      <c r="W2" s="173"/>
      <c r="X2" s="173"/>
      <c r="Y2" s="173"/>
      <c r="Z2" s="173"/>
    </row>
    <row r="3" spans="1:26">
      <c r="R3" s="218"/>
      <c r="S3" s="219"/>
    </row>
    <row r="4" spans="1:26">
      <c r="R4" s="218"/>
    </row>
    <row r="5" spans="1:26">
      <c r="R5" s="218"/>
      <c r="S5" s="219"/>
    </row>
    <row r="6" spans="1:26">
      <c r="R6" s="218"/>
      <c r="S6" s="219"/>
    </row>
    <row r="7" spans="1:26">
      <c r="R7" s="218"/>
      <c r="S7" s="219"/>
    </row>
    <row r="8" spans="1:26">
      <c r="R8" s="218"/>
      <c r="S8" s="219"/>
    </row>
    <row r="9" spans="1:26">
      <c r="R9" s="218"/>
      <c r="S9" s="219"/>
    </row>
    <row r="10" spans="1:26">
      <c r="R10" s="218"/>
      <c r="S10" s="219"/>
    </row>
    <row r="11" spans="1:26">
      <c r="R11" s="218"/>
      <c r="S11" s="219"/>
    </row>
    <row r="12" spans="1:26">
      <c r="R12" s="218"/>
      <c r="S12" s="219"/>
      <c r="T12" s="219"/>
    </row>
    <row r="13" spans="1:26">
      <c r="R13" s="218"/>
      <c r="S13" s="219"/>
      <c r="T13" s="219"/>
    </row>
    <row r="14" spans="1:26">
      <c r="R14" s="218"/>
      <c r="S14" s="219"/>
      <c r="T14" s="219"/>
    </row>
    <row r="15" spans="1:26">
      <c r="R15" s="218"/>
      <c r="S15" s="219"/>
      <c r="T15" s="219"/>
    </row>
    <row r="16" spans="1:26">
      <c r="R16" s="218"/>
      <c r="S16" s="219"/>
      <c r="T16" s="219"/>
    </row>
    <row r="17" spans="18:20">
      <c r="R17" s="218"/>
      <c r="S17" s="219"/>
      <c r="T17" s="219"/>
    </row>
    <row r="18" spans="18:20">
      <c r="R18" s="218"/>
      <c r="S18" s="219"/>
      <c r="T18" s="219"/>
    </row>
    <row r="19" spans="18:20">
      <c r="R19" s="218"/>
      <c r="S19" s="219"/>
      <c r="T19" s="219"/>
    </row>
    <row r="20" spans="18:20">
      <c r="R20" s="218"/>
      <c r="S20" s="219"/>
      <c r="T20" s="219"/>
    </row>
    <row r="21" spans="18:20">
      <c r="R21" s="218"/>
      <c r="S21" s="219"/>
      <c r="T21" s="219"/>
    </row>
    <row r="22" spans="18:20">
      <c r="R22" s="218"/>
      <c r="S22" s="219"/>
      <c r="T22" s="219"/>
    </row>
    <row r="23" spans="18:20">
      <c r="R23" s="218"/>
      <c r="S23" s="219"/>
      <c r="T23" s="219"/>
    </row>
    <row r="24" spans="18:20">
      <c r="R24" s="218"/>
      <c r="S24" s="219"/>
      <c r="T24" s="219"/>
    </row>
    <row r="25" spans="18:20">
      <c r="R25" s="218"/>
      <c r="S25" s="219"/>
      <c r="T25" s="219"/>
    </row>
    <row r="26" spans="18:20">
      <c r="R26" s="218"/>
      <c r="S26" s="219"/>
      <c r="T26" s="219"/>
    </row>
    <row r="27" spans="18:20">
      <c r="R27" s="218"/>
      <c r="S27" s="219"/>
      <c r="T27" s="219"/>
    </row>
    <row r="28" spans="18:20">
      <c r="R28" s="218"/>
      <c r="S28" s="219"/>
      <c r="T28" s="219"/>
    </row>
    <row r="29" spans="18:20">
      <c r="R29" s="218"/>
      <c r="S29" s="219"/>
      <c r="T29" s="219"/>
    </row>
    <row r="30" spans="18:20">
      <c r="R30" s="218"/>
      <c r="S30" s="219"/>
      <c r="T30" s="219"/>
    </row>
    <row r="31" spans="18:20">
      <c r="R31" s="218"/>
      <c r="S31" s="219"/>
      <c r="T31" s="219"/>
    </row>
    <row r="32" spans="18:20">
      <c r="R32" s="218"/>
      <c r="S32" s="219"/>
      <c r="T32" s="219"/>
    </row>
    <row r="33" spans="18:20">
      <c r="R33" s="218"/>
      <c r="S33" s="219"/>
    </row>
    <row r="34" spans="18:20">
      <c r="R34" s="218"/>
      <c r="S34" s="219"/>
      <c r="T34" s="219"/>
    </row>
    <row r="35" spans="18:20">
      <c r="R35" s="218"/>
      <c r="S35" s="219"/>
      <c r="T35" s="219"/>
    </row>
    <row r="36" spans="18:20">
      <c r="R36" s="218"/>
      <c r="S36" s="219"/>
      <c r="T36" s="219"/>
    </row>
    <row r="37" spans="18:20">
      <c r="R37" s="218"/>
      <c r="S37" s="219"/>
      <c r="T37" s="219"/>
    </row>
    <row r="38" spans="18:20">
      <c r="R38" s="218"/>
      <c r="S38" s="219"/>
      <c r="T38" s="219"/>
    </row>
    <row r="39" spans="18:20">
      <c r="R39" s="218"/>
      <c r="S39" s="219"/>
      <c r="T39" s="219"/>
    </row>
    <row r="40" spans="18:20">
      <c r="R40" s="218"/>
      <c r="S40" s="219"/>
      <c r="T40" s="219"/>
    </row>
    <row r="41" spans="18:20">
      <c r="R41" s="218"/>
      <c r="S41" s="219"/>
      <c r="T41" s="219"/>
    </row>
    <row r="42" spans="18:20">
      <c r="R42" s="218"/>
      <c r="S42" s="219"/>
      <c r="T42" s="219"/>
    </row>
    <row r="43" spans="18:20">
      <c r="R43" s="218"/>
    </row>
    <row r="44" spans="18:20">
      <c r="R44" s="218"/>
      <c r="S44" s="219"/>
      <c r="T44" s="219"/>
    </row>
    <row r="45" spans="18:20">
      <c r="R45" s="218"/>
      <c r="S45" s="219"/>
      <c r="T45" s="219"/>
    </row>
    <row r="46" spans="18:20">
      <c r="R46" s="218"/>
      <c r="S46" s="219"/>
      <c r="T46" s="219"/>
    </row>
    <row r="47" spans="18:20">
      <c r="R47" s="218"/>
      <c r="S47" s="219"/>
      <c r="T47" s="219"/>
    </row>
    <row r="48" spans="18:20">
      <c r="R48" s="218"/>
      <c r="S48" s="219"/>
      <c r="T48" s="219"/>
    </row>
    <row r="49" spans="18:20">
      <c r="R49" s="218"/>
      <c r="S49" s="219"/>
      <c r="T49" s="219"/>
    </row>
    <row r="50" spans="18:20">
      <c r="R50" s="218"/>
      <c r="S50" s="219"/>
      <c r="T50" s="219"/>
    </row>
    <row r="51" spans="18:20">
      <c r="R51" s="218"/>
      <c r="S51" s="219"/>
      <c r="T51" s="219"/>
    </row>
    <row r="52" spans="18:20">
      <c r="R52" s="218"/>
      <c r="S52" s="219"/>
      <c r="T52" s="219"/>
    </row>
    <row r="53" spans="18:20">
      <c r="R53" s="218"/>
      <c r="S53" s="219"/>
      <c r="T53" s="219"/>
    </row>
    <row r="54" spans="18:20">
      <c r="R54" s="218"/>
      <c r="S54" s="219"/>
      <c r="T54" s="219"/>
    </row>
    <row r="55" spans="18:20">
      <c r="R55" s="218"/>
    </row>
    <row r="56" spans="18:20">
      <c r="R56" s="218"/>
      <c r="S56" s="219"/>
    </row>
    <row r="57" spans="18:20">
      <c r="R57" s="218"/>
      <c r="S57" s="219"/>
      <c r="T57" s="219"/>
    </row>
    <row r="58" spans="18:20">
      <c r="R58" s="218"/>
      <c r="S58" s="219"/>
      <c r="T58" s="219"/>
    </row>
    <row r="59" spans="18:20">
      <c r="R59" s="218"/>
      <c r="S59" s="219"/>
      <c r="T59" s="219"/>
    </row>
    <row r="60" spans="18:20">
      <c r="R60" s="218"/>
      <c r="S60" s="219"/>
      <c r="T60" s="219"/>
    </row>
    <row r="61" spans="18:20">
      <c r="R61" s="218"/>
      <c r="S61" s="219"/>
      <c r="T61" s="219"/>
    </row>
    <row r="62" spans="18:20">
      <c r="R62" s="218"/>
      <c r="S62" s="219"/>
      <c r="T62" s="219"/>
    </row>
    <row r="63" spans="18:20">
      <c r="R63" s="218"/>
      <c r="S63" s="219"/>
      <c r="T63" s="219"/>
    </row>
    <row r="64" spans="18:20">
      <c r="R64" s="218"/>
      <c r="S64" s="219"/>
      <c r="T64" s="219"/>
    </row>
    <row r="65" spans="18:20">
      <c r="R65" s="218"/>
      <c r="S65" s="219"/>
      <c r="T65" s="219"/>
    </row>
    <row r="66" spans="18:20">
      <c r="R66" s="218"/>
      <c r="S66" s="219"/>
      <c r="T66" s="219"/>
    </row>
    <row r="67" spans="18:20">
      <c r="R67" s="218"/>
      <c r="S67" s="219"/>
    </row>
    <row r="68" spans="18:20">
      <c r="R68" s="218"/>
      <c r="S68" s="219"/>
      <c r="T68" s="219"/>
    </row>
    <row r="69" spans="18:20">
      <c r="R69" s="218"/>
      <c r="S69" s="219"/>
      <c r="T69" s="219"/>
    </row>
    <row r="70" spans="18:20">
      <c r="R70" s="218"/>
      <c r="S70" s="219"/>
      <c r="T70" s="219"/>
    </row>
    <row r="71" spans="18:20">
      <c r="R71" s="218"/>
      <c r="S71" s="219"/>
      <c r="T71" s="219"/>
    </row>
    <row r="72" spans="18:20">
      <c r="R72" s="218"/>
      <c r="S72" s="219"/>
    </row>
    <row r="73" spans="18:20">
      <c r="R73" s="218"/>
      <c r="S73" s="219"/>
      <c r="T73" s="219"/>
    </row>
    <row r="74" spans="18:20">
      <c r="R74" s="218"/>
      <c r="S74" s="219"/>
      <c r="T74" s="219"/>
    </row>
    <row r="75" spans="18:20">
      <c r="R75" s="218"/>
      <c r="S75" s="219"/>
      <c r="T75" s="219"/>
    </row>
    <row r="76" spans="18:20">
      <c r="R76" s="218"/>
      <c r="S76" s="219"/>
      <c r="T76" s="219"/>
    </row>
    <row r="77" spans="18:20">
      <c r="R77" s="218"/>
      <c r="S77" s="219"/>
      <c r="T77" s="219"/>
    </row>
    <row r="78" spans="18:20">
      <c r="R78" s="218"/>
      <c r="S78" s="219"/>
      <c r="T78" s="219"/>
    </row>
    <row r="79" spans="18:20">
      <c r="R79" s="218"/>
      <c r="S79" s="219"/>
      <c r="T79" s="219"/>
    </row>
    <row r="80" spans="18:20">
      <c r="R80" s="218"/>
      <c r="S80" s="219"/>
      <c r="T80" s="219"/>
    </row>
    <row r="81" spans="18:20">
      <c r="R81" s="218"/>
      <c r="S81" s="219"/>
      <c r="T81" s="219"/>
    </row>
    <row r="82" spans="18:20">
      <c r="R82" s="218"/>
      <c r="S82" s="219"/>
      <c r="T82" s="219"/>
    </row>
    <row r="83" spans="18:20">
      <c r="R83" s="218"/>
      <c r="S83" s="219"/>
      <c r="T83" s="219"/>
    </row>
    <row r="84" spans="18:20">
      <c r="R84" s="218"/>
      <c r="S84" s="219"/>
    </row>
    <row r="85" spans="18:20">
      <c r="R85" s="218"/>
      <c r="S85" s="219"/>
    </row>
    <row r="86" spans="18:20">
      <c r="R86" s="218"/>
      <c r="S86" s="219"/>
    </row>
    <row r="87" spans="18:20">
      <c r="R87" s="218"/>
    </row>
    <row r="88" spans="18:20">
      <c r="R88" s="218"/>
      <c r="S88" s="219"/>
    </row>
    <row r="89" spans="18:20">
      <c r="R89" s="218"/>
      <c r="S89" s="219"/>
    </row>
    <row r="90" spans="18:20">
      <c r="R90" s="218"/>
      <c r="S90" s="219"/>
    </row>
    <row r="91" spans="18:20">
      <c r="R91" s="218"/>
      <c r="S91" s="219"/>
    </row>
    <row r="92" spans="18:20">
      <c r="R92" s="218"/>
      <c r="S92" s="219"/>
    </row>
    <row r="93" spans="18:20">
      <c r="R93" s="218"/>
      <c r="S93" s="219"/>
    </row>
    <row r="94" spans="18:20">
      <c r="R94" s="218"/>
    </row>
    <row r="95" spans="18:20">
      <c r="R95" s="218"/>
      <c r="S95" s="219"/>
    </row>
    <row r="96" spans="18:20">
      <c r="R96" s="218"/>
      <c r="S96" s="219"/>
    </row>
    <row r="97" spans="18:19">
      <c r="R97" s="218"/>
    </row>
    <row r="98" spans="18:19">
      <c r="R98" s="218"/>
    </row>
    <row r="99" spans="18:19">
      <c r="R99" s="218"/>
      <c r="S99" s="219"/>
    </row>
    <row r="100" spans="18:19">
      <c r="R100" s="218"/>
      <c r="S100" s="219"/>
    </row>
    <row r="101" spans="18:19">
      <c r="R101" s="218"/>
      <c r="S101" s="219"/>
    </row>
    <row r="102" spans="18:19">
      <c r="R102" s="218"/>
      <c r="S102" s="219"/>
    </row>
  </sheetData>
  <pageMargins left="0.7" right="0.7" top="0.75" bottom="0.75" header="0.3" footer="0.3"/>
  <pageSetup paperSize="177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8" r:id="rId4" name="Button 14">
              <controlPr defaultSize="0" print="0" autoFill="0" autoPict="0" macro="[0]!ClearCategoryResults">
                <anchor>
                  <from>
                    <xdr:col>1</xdr:col>
                    <xdr:colOff>981075</xdr:colOff>
                    <xdr:row>0</xdr:row>
                    <xdr:rowOff>9525</xdr:rowOff>
                  </from>
                  <to>
                    <xdr:col>2</xdr:col>
                    <xdr:colOff>1019175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autoPageBreaks="0"/>
  </sheetPr>
  <dimension ref="A1:Z103"/>
  <sheetViews>
    <sheetView workbookViewId="0"/>
  </sheetViews>
  <sheetFormatPr defaultRowHeight="12.75"/>
  <cols>
    <col min="1" max="2" width="14.85546875" bestFit="1" customWidth="1"/>
    <col min="3" max="3" width="14.7109375" bestFit="1" customWidth="1"/>
    <col min="4" max="4" width="23" bestFit="1" customWidth="1"/>
    <col min="5" max="5" width="6.28515625" bestFit="1" customWidth="1"/>
    <col min="6" max="6" width="23.5703125" bestFit="1" customWidth="1"/>
    <col min="7" max="7" width="9.28515625" bestFit="1" customWidth="1"/>
    <col min="8" max="8" width="5.5703125" bestFit="1" customWidth="1"/>
    <col min="9" max="9" width="8.85546875" bestFit="1" customWidth="1"/>
    <col min="10" max="10" width="10.85546875" bestFit="1" customWidth="1"/>
    <col min="11" max="15" width="13.5703125" bestFit="1" customWidth="1"/>
    <col min="16" max="17" width="10.85546875" bestFit="1" customWidth="1"/>
    <col min="18" max="18" width="12.5703125" bestFit="1" customWidth="1"/>
    <col min="19" max="19" width="8.5703125" bestFit="1" customWidth="1"/>
    <col min="20" max="20" width="12.28515625" bestFit="1" customWidth="1"/>
    <col min="22" max="22" width="23.5703125" bestFit="1" customWidth="1"/>
  </cols>
  <sheetData>
    <row r="1" spans="1:26" ht="24" customHeight="1">
      <c r="A1" s="40" t="s">
        <v>559</v>
      </c>
      <c r="B1" s="31">
        <v>44298</v>
      </c>
    </row>
    <row r="2" spans="1:26" ht="51.75" customHeight="1">
      <c r="A2" s="174" t="s">
        <v>72</v>
      </c>
      <c r="B2" s="174" t="s">
        <v>108</v>
      </c>
      <c r="C2" s="174" t="s">
        <v>98</v>
      </c>
      <c r="D2" s="174">
        <v>6</v>
      </c>
      <c r="E2" s="174" t="s">
        <v>119</v>
      </c>
      <c r="F2" s="174" t="s">
        <v>211</v>
      </c>
      <c r="G2" s="174" t="s">
        <v>23</v>
      </c>
      <c r="H2" s="174" t="s">
        <v>109</v>
      </c>
      <c r="I2" s="174" t="s">
        <v>110</v>
      </c>
      <c r="J2" s="174" t="s">
        <v>24</v>
      </c>
      <c r="K2" s="174" t="s">
        <v>25</v>
      </c>
      <c r="L2" s="174" t="s">
        <v>26</v>
      </c>
      <c r="M2" s="174" t="s">
        <v>27</v>
      </c>
      <c r="N2" s="174" t="s">
        <v>28</v>
      </c>
      <c r="O2" s="174" t="s">
        <v>29</v>
      </c>
      <c r="P2" s="174" t="s">
        <v>127</v>
      </c>
      <c r="Q2" s="174" t="s">
        <v>128</v>
      </c>
      <c r="R2" s="174" t="s">
        <v>32</v>
      </c>
      <c r="S2" s="174" t="s">
        <v>494</v>
      </c>
      <c r="T2" s="174" t="s">
        <v>117</v>
      </c>
      <c r="U2" s="174" t="s">
        <v>248</v>
      </c>
      <c r="V2" s="174" t="s">
        <v>492</v>
      </c>
      <c r="W2" s="173"/>
      <c r="X2" s="173"/>
      <c r="Y2" s="173"/>
      <c r="Z2" s="173"/>
    </row>
    <row r="3" spans="1:26">
      <c r="R3" s="218"/>
    </row>
    <row r="4" spans="1:26">
      <c r="R4" s="218"/>
      <c r="S4" s="219"/>
      <c r="T4" s="219"/>
    </row>
    <row r="5" spans="1:26">
      <c r="R5" s="218"/>
      <c r="S5" s="219"/>
      <c r="T5" s="219"/>
    </row>
    <row r="6" spans="1:26">
      <c r="R6" s="218"/>
      <c r="S6" s="219"/>
      <c r="T6" s="219"/>
    </row>
    <row r="7" spans="1:26">
      <c r="R7" s="218"/>
      <c r="S7" s="219"/>
      <c r="T7" s="219"/>
    </row>
    <row r="8" spans="1:26">
      <c r="R8" s="218"/>
      <c r="S8" s="219"/>
      <c r="T8" s="219"/>
    </row>
    <row r="9" spans="1:26">
      <c r="R9" s="218"/>
      <c r="S9" s="219"/>
      <c r="T9" s="219"/>
    </row>
    <row r="10" spans="1:26">
      <c r="R10" s="218"/>
      <c r="S10" s="219"/>
      <c r="T10" s="219"/>
    </row>
    <row r="11" spans="1:26">
      <c r="R11" s="218"/>
      <c r="S11" s="219"/>
      <c r="T11" s="219"/>
    </row>
    <row r="12" spans="1:26">
      <c r="R12" s="218"/>
      <c r="S12" s="219"/>
      <c r="T12" s="219"/>
    </row>
    <row r="13" spans="1:26">
      <c r="R13" s="218"/>
      <c r="S13" s="219"/>
      <c r="T13" s="219"/>
    </row>
    <row r="14" spans="1:26">
      <c r="R14" s="218"/>
      <c r="S14" s="219"/>
      <c r="T14" s="219"/>
    </row>
    <row r="15" spans="1:26">
      <c r="R15" s="218"/>
      <c r="S15" s="219"/>
      <c r="T15" s="219"/>
    </row>
    <row r="16" spans="1:26">
      <c r="R16" s="218"/>
      <c r="S16" s="219"/>
      <c r="T16" s="219"/>
    </row>
    <row r="17" spans="18:20">
      <c r="R17" s="218"/>
      <c r="S17" s="219"/>
      <c r="T17" s="219"/>
    </row>
    <row r="18" spans="18:20">
      <c r="R18" s="218"/>
      <c r="S18" s="219"/>
      <c r="T18" s="219"/>
    </row>
    <row r="19" spans="18:20">
      <c r="R19" s="218"/>
      <c r="S19" s="219"/>
      <c r="T19" s="219"/>
    </row>
    <row r="20" spans="18:20">
      <c r="R20" s="218"/>
      <c r="S20" s="219"/>
      <c r="T20" s="219"/>
    </row>
    <row r="21" spans="18:20">
      <c r="R21" s="218"/>
      <c r="S21" s="219"/>
      <c r="T21" s="219"/>
    </row>
    <row r="22" spans="18:20">
      <c r="R22" s="218"/>
      <c r="S22" s="219"/>
      <c r="T22" s="219"/>
    </row>
    <row r="23" spans="18:20">
      <c r="R23" s="218"/>
      <c r="S23" s="219"/>
      <c r="T23" s="219"/>
    </row>
    <row r="24" spans="18:20">
      <c r="R24" s="218"/>
      <c r="S24" s="219"/>
      <c r="T24" s="219"/>
    </row>
    <row r="25" spans="18:20">
      <c r="R25" s="218"/>
      <c r="S25" s="219"/>
      <c r="T25" s="219"/>
    </row>
    <row r="26" spans="18:20">
      <c r="R26" s="218"/>
      <c r="S26" s="219"/>
      <c r="T26" s="219"/>
    </row>
    <row r="27" spans="18:20">
      <c r="R27" s="218"/>
      <c r="S27" s="219"/>
      <c r="T27" s="219"/>
    </row>
    <row r="28" spans="18:20">
      <c r="R28" s="218"/>
      <c r="S28" s="219"/>
      <c r="T28" s="219"/>
    </row>
    <row r="29" spans="18:20">
      <c r="R29" s="218"/>
      <c r="S29" s="219"/>
      <c r="T29" s="219"/>
    </row>
    <row r="30" spans="18:20">
      <c r="R30" s="218"/>
      <c r="S30" s="219"/>
      <c r="T30" s="219"/>
    </row>
    <row r="31" spans="18:20">
      <c r="R31" s="218"/>
      <c r="S31" s="219"/>
      <c r="T31" s="219"/>
    </row>
    <row r="32" spans="18:20">
      <c r="R32" s="218"/>
      <c r="S32" s="219"/>
      <c r="T32" s="219"/>
    </row>
    <row r="33" spans="18:20">
      <c r="R33" s="218"/>
      <c r="S33" s="219"/>
      <c r="T33" s="219"/>
    </row>
    <row r="34" spans="18:20">
      <c r="R34" s="218"/>
      <c r="S34" s="219"/>
      <c r="T34" s="219"/>
    </row>
    <row r="35" spans="18:20">
      <c r="R35" s="218"/>
      <c r="S35" s="219"/>
      <c r="T35" s="219"/>
    </row>
    <row r="36" spans="18:20">
      <c r="R36" s="218"/>
      <c r="S36" s="219"/>
      <c r="T36" s="219"/>
    </row>
    <row r="37" spans="18:20">
      <c r="R37" s="218"/>
      <c r="S37" s="219"/>
      <c r="T37" s="219"/>
    </row>
    <row r="38" spans="18:20">
      <c r="R38" s="218"/>
      <c r="S38" s="219"/>
      <c r="T38" s="219"/>
    </row>
    <row r="39" spans="18:20">
      <c r="R39" s="218"/>
      <c r="S39" s="219"/>
      <c r="T39" s="219"/>
    </row>
    <row r="40" spans="18:20">
      <c r="R40" s="218"/>
      <c r="S40" s="219"/>
      <c r="T40" s="219"/>
    </row>
    <row r="41" spans="18:20">
      <c r="R41" s="218"/>
      <c r="S41" s="219"/>
      <c r="T41" s="219"/>
    </row>
    <row r="42" spans="18:20">
      <c r="R42" s="218"/>
      <c r="S42" s="219"/>
      <c r="T42" s="219"/>
    </row>
    <row r="43" spans="18:20">
      <c r="R43" s="218"/>
      <c r="S43" s="219"/>
      <c r="T43" s="219"/>
    </row>
    <row r="44" spans="18:20">
      <c r="R44" s="218"/>
      <c r="S44" s="219"/>
      <c r="T44" s="219"/>
    </row>
    <row r="45" spans="18:20">
      <c r="R45" s="218"/>
      <c r="S45" s="219"/>
      <c r="T45" s="219"/>
    </row>
    <row r="46" spans="18:20">
      <c r="R46" s="218"/>
      <c r="S46" s="219"/>
      <c r="T46" s="219"/>
    </row>
    <row r="47" spans="18:20">
      <c r="R47" s="218"/>
      <c r="S47" s="219"/>
      <c r="T47" s="219"/>
    </row>
    <row r="48" spans="18:20">
      <c r="R48" s="218"/>
      <c r="S48" s="219"/>
      <c r="T48" s="219"/>
    </row>
    <row r="49" spans="18:20">
      <c r="R49" s="218"/>
      <c r="S49" s="219"/>
      <c r="T49" s="219"/>
    </row>
    <row r="50" spans="18:20">
      <c r="R50" s="218"/>
      <c r="S50" s="219"/>
      <c r="T50" s="219"/>
    </row>
    <row r="51" spans="18:20">
      <c r="R51" s="218"/>
      <c r="S51" s="219"/>
      <c r="T51" s="219"/>
    </row>
    <row r="52" spans="18:20">
      <c r="R52" s="218"/>
      <c r="S52" s="219"/>
      <c r="T52" s="219"/>
    </row>
    <row r="53" spans="18:20">
      <c r="R53" s="218"/>
      <c r="S53" s="219"/>
      <c r="T53" s="219"/>
    </row>
    <row r="54" spans="18:20">
      <c r="R54" s="218"/>
      <c r="S54" s="219"/>
      <c r="T54" s="219"/>
    </row>
    <row r="55" spans="18:20">
      <c r="R55" s="218"/>
      <c r="S55" s="219"/>
      <c r="T55" s="219"/>
    </row>
    <row r="56" spans="18:20">
      <c r="R56" s="218"/>
      <c r="S56" s="219"/>
      <c r="T56" s="219"/>
    </row>
    <row r="57" spans="18:20">
      <c r="R57" s="218"/>
      <c r="S57" s="219"/>
      <c r="T57" s="219"/>
    </row>
    <row r="58" spans="18:20">
      <c r="R58" s="218"/>
      <c r="S58" s="219"/>
      <c r="T58" s="219"/>
    </row>
    <row r="59" spans="18:20">
      <c r="R59" s="218"/>
      <c r="S59" s="219"/>
      <c r="T59" s="219"/>
    </row>
    <row r="60" spans="18:20">
      <c r="R60" s="218"/>
      <c r="S60" s="219"/>
      <c r="T60" s="219"/>
    </row>
    <row r="61" spans="18:20">
      <c r="R61" s="218"/>
      <c r="S61" s="219"/>
      <c r="T61" s="219"/>
    </row>
    <row r="62" spans="18:20">
      <c r="R62" s="218"/>
      <c r="S62" s="219"/>
      <c r="T62" s="219"/>
    </row>
    <row r="63" spans="18:20">
      <c r="R63" s="218"/>
      <c r="S63" s="219"/>
      <c r="T63" s="219"/>
    </row>
    <row r="64" spans="18:20">
      <c r="R64" s="218"/>
      <c r="S64" s="219"/>
      <c r="T64" s="219"/>
    </row>
    <row r="65" spans="18:20">
      <c r="R65" s="218"/>
      <c r="S65" s="219"/>
      <c r="T65" s="219"/>
    </row>
    <row r="66" spans="18:20">
      <c r="R66" s="218"/>
      <c r="S66" s="219"/>
      <c r="T66" s="219"/>
    </row>
    <row r="67" spans="18:20">
      <c r="R67" s="218"/>
      <c r="S67" s="219"/>
      <c r="T67" s="219"/>
    </row>
    <row r="68" spans="18:20">
      <c r="R68" s="218"/>
      <c r="S68" s="219"/>
      <c r="T68" s="219"/>
    </row>
    <row r="69" spans="18:20">
      <c r="R69" s="218"/>
      <c r="S69" s="219"/>
      <c r="T69" s="219"/>
    </row>
    <row r="70" spans="18:20">
      <c r="R70" s="218"/>
      <c r="S70" s="219"/>
      <c r="T70" s="219"/>
    </row>
    <row r="71" spans="18:20">
      <c r="R71" s="218"/>
      <c r="S71" s="219"/>
      <c r="T71" s="219"/>
    </row>
    <row r="72" spans="18:20">
      <c r="R72" s="218"/>
      <c r="S72" s="219"/>
      <c r="T72" s="219"/>
    </row>
    <row r="73" spans="18:20">
      <c r="R73" s="218"/>
      <c r="S73" s="219"/>
      <c r="T73" s="219"/>
    </row>
    <row r="74" spans="18:20">
      <c r="R74" s="218"/>
      <c r="S74" s="219"/>
      <c r="T74" s="219"/>
    </row>
    <row r="75" spans="18:20">
      <c r="R75" s="218"/>
      <c r="S75" s="219"/>
      <c r="T75" s="219"/>
    </row>
    <row r="76" spans="18:20">
      <c r="R76" s="218"/>
      <c r="S76" s="219"/>
      <c r="T76" s="219"/>
    </row>
    <row r="77" spans="18:20">
      <c r="R77" s="218"/>
      <c r="S77" s="219"/>
      <c r="T77" s="219"/>
    </row>
    <row r="78" spans="18:20">
      <c r="R78" s="218"/>
      <c r="S78" s="219"/>
      <c r="T78" s="219"/>
    </row>
    <row r="79" spans="18:20">
      <c r="R79" s="218"/>
      <c r="S79" s="219"/>
      <c r="T79" s="219"/>
    </row>
    <row r="80" spans="18:20">
      <c r="R80" s="218"/>
      <c r="S80" s="219"/>
      <c r="T80" s="219"/>
    </row>
    <row r="81" spans="18:20">
      <c r="R81" s="218"/>
      <c r="S81" s="219"/>
      <c r="T81" s="219"/>
    </row>
    <row r="82" spans="18:20">
      <c r="R82" s="218"/>
      <c r="S82" s="219"/>
      <c r="T82" s="219"/>
    </row>
    <row r="83" spans="18:20">
      <c r="R83" s="218"/>
      <c r="S83" s="219"/>
      <c r="T83" s="219"/>
    </row>
    <row r="84" spans="18:20">
      <c r="R84" s="218"/>
      <c r="S84" s="219"/>
      <c r="T84" s="219"/>
    </row>
    <row r="85" spans="18:20">
      <c r="R85" s="218"/>
      <c r="S85" s="219"/>
      <c r="T85" s="219"/>
    </row>
    <row r="86" spans="18:20">
      <c r="R86" s="218"/>
      <c r="S86" s="219"/>
      <c r="T86" s="219"/>
    </row>
    <row r="87" spans="18:20">
      <c r="R87" s="218"/>
      <c r="S87" s="219"/>
      <c r="T87" s="219"/>
    </row>
    <row r="88" spans="18:20">
      <c r="R88" s="218"/>
      <c r="S88" s="219"/>
      <c r="T88" s="219"/>
    </row>
    <row r="89" spans="18:20">
      <c r="R89" s="218"/>
      <c r="S89" s="219"/>
      <c r="T89" s="219"/>
    </row>
    <row r="90" spans="18:20">
      <c r="R90" s="218"/>
      <c r="S90" s="219"/>
      <c r="T90" s="219"/>
    </row>
    <row r="91" spans="18:20">
      <c r="R91" s="218"/>
      <c r="S91" s="219"/>
      <c r="T91" s="219"/>
    </row>
    <row r="92" spans="18:20">
      <c r="R92" s="218"/>
      <c r="S92" s="219"/>
      <c r="T92" s="219"/>
    </row>
    <row r="93" spans="18:20">
      <c r="R93" s="218"/>
      <c r="S93" s="219"/>
      <c r="T93" s="219"/>
    </row>
    <row r="94" spans="18:20">
      <c r="R94" s="218"/>
      <c r="S94" s="219"/>
      <c r="T94" s="219"/>
    </row>
    <row r="95" spans="18:20">
      <c r="R95" s="218"/>
      <c r="S95" s="219"/>
      <c r="T95" s="219"/>
    </row>
    <row r="96" spans="18:20">
      <c r="R96" s="218"/>
      <c r="S96" s="219"/>
      <c r="T96" s="219"/>
    </row>
    <row r="97" spans="18:20">
      <c r="R97" s="218"/>
      <c r="S97" s="219"/>
      <c r="T97" s="219"/>
    </row>
    <row r="98" spans="18:20">
      <c r="R98" s="218"/>
      <c r="S98" s="219"/>
      <c r="T98" s="219"/>
    </row>
    <row r="99" spans="18:20">
      <c r="R99" s="218"/>
      <c r="S99" s="219"/>
      <c r="T99" s="219"/>
    </row>
    <row r="100" spans="18:20">
      <c r="R100" s="218"/>
      <c r="S100" s="219"/>
      <c r="T100" s="219"/>
    </row>
    <row r="101" spans="18:20">
      <c r="R101" s="218"/>
    </row>
    <row r="102" spans="18:20">
      <c r="R102" s="218"/>
    </row>
    <row r="103" spans="18:20">
      <c r="R103" s="2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ClearTeamResults">
                <anchor>
                  <from>
                    <xdr:col>3</xdr:col>
                    <xdr:colOff>266700</xdr:colOff>
                    <xdr:row>0</xdr:row>
                    <xdr:rowOff>9525</xdr:rowOff>
                  </from>
                  <to>
                    <xdr:col>3</xdr:col>
                    <xdr:colOff>1352550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autoPageBreaks="0"/>
  </sheetPr>
  <dimension ref="A1:C51"/>
  <sheetViews>
    <sheetView workbookViewId="0">
      <selection activeCell="L23" sqref="L23"/>
    </sheetView>
  </sheetViews>
  <sheetFormatPr defaultRowHeight="12.75"/>
  <cols>
    <col min="1" max="1" width="14.42578125" bestFit="1" customWidth="1"/>
  </cols>
  <sheetData>
    <row r="1" spans="1:3">
      <c r="A1" s="5" t="s">
        <v>114</v>
      </c>
      <c r="B1" s="5" t="s">
        <v>115</v>
      </c>
      <c r="C1" s="5" t="s">
        <v>116</v>
      </c>
    </row>
    <row r="2" spans="1:3">
      <c r="A2">
        <v>1</v>
      </c>
      <c r="B2">
        <v>200</v>
      </c>
    </row>
    <row r="3" spans="1:3">
      <c r="A3">
        <v>2</v>
      </c>
      <c r="B3">
        <v>170</v>
      </c>
      <c r="C3">
        <f>B3-B2</f>
        <v>-30</v>
      </c>
    </row>
    <row r="4" spans="1:3">
      <c r="A4">
        <v>3</v>
      </c>
      <c r="B4">
        <v>150</v>
      </c>
      <c r="C4">
        <f t="shared" ref="C4:C51" si="0">B4-B3</f>
        <v>-20</v>
      </c>
    </row>
    <row r="5" spans="1:3">
      <c r="A5">
        <v>4</v>
      </c>
      <c r="B5">
        <v>135</v>
      </c>
      <c r="C5">
        <f t="shared" si="0"/>
        <v>-15</v>
      </c>
    </row>
    <row r="6" spans="1:3">
      <c r="A6">
        <v>5</v>
      </c>
      <c r="B6">
        <v>125</v>
      </c>
      <c r="C6">
        <f t="shared" si="0"/>
        <v>-10</v>
      </c>
    </row>
    <row r="7" spans="1:3">
      <c r="A7">
        <v>6</v>
      </c>
      <c r="B7">
        <v>120</v>
      </c>
      <c r="C7">
        <f t="shared" si="0"/>
        <v>-5</v>
      </c>
    </row>
    <row r="8" spans="1:3">
      <c r="A8">
        <v>7</v>
      </c>
      <c r="B8">
        <v>115</v>
      </c>
      <c r="C8">
        <f t="shared" si="0"/>
        <v>-5</v>
      </c>
    </row>
    <row r="9" spans="1:3">
      <c r="A9">
        <v>8</v>
      </c>
      <c r="B9">
        <v>110</v>
      </c>
      <c r="C9">
        <f t="shared" si="0"/>
        <v>-5</v>
      </c>
    </row>
    <row r="10" spans="1:3">
      <c r="A10">
        <v>9</v>
      </c>
      <c r="B10">
        <v>105</v>
      </c>
      <c r="C10">
        <f t="shared" si="0"/>
        <v>-5</v>
      </c>
    </row>
    <row r="11" spans="1:3">
      <c r="A11">
        <v>10</v>
      </c>
      <c r="B11">
        <v>100</v>
      </c>
      <c r="C11">
        <f t="shared" si="0"/>
        <v>-5</v>
      </c>
    </row>
    <row r="12" spans="1:3">
      <c r="A12">
        <v>11</v>
      </c>
      <c r="B12">
        <v>96</v>
      </c>
      <c r="C12">
        <f t="shared" si="0"/>
        <v>-4</v>
      </c>
    </row>
    <row r="13" spans="1:3">
      <c r="A13">
        <v>12</v>
      </c>
      <c r="B13">
        <v>92</v>
      </c>
      <c r="C13">
        <f t="shared" si="0"/>
        <v>-4</v>
      </c>
    </row>
    <row r="14" spans="1:3">
      <c r="A14">
        <v>13</v>
      </c>
      <c r="B14">
        <v>88</v>
      </c>
      <c r="C14">
        <f t="shared" si="0"/>
        <v>-4</v>
      </c>
    </row>
    <row r="15" spans="1:3">
      <c r="A15">
        <v>14</v>
      </c>
      <c r="B15">
        <v>84</v>
      </c>
      <c r="C15">
        <f t="shared" si="0"/>
        <v>-4</v>
      </c>
    </row>
    <row r="16" spans="1:3">
      <c r="A16">
        <v>15</v>
      </c>
      <c r="B16">
        <v>80</v>
      </c>
      <c r="C16">
        <f t="shared" si="0"/>
        <v>-4</v>
      </c>
    </row>
    <row r="17" spans="1:3">
      <c r="A17">
        <v>16</v>
      </c>
      <c r="B17">
        <v>76</v>
      </c>
      <c r="C17">
        <f t="shared" si="0"/>
        <v>-4</v>
      </c>
    </row>
    <row r="18" spans="1:3">
      <c r="A18">
        <v>17</v>
      </c>
      <c r="B18">
        <v>72</v>
      </c>
      <c r="C18">
        <f t="shared" si="0"/>
        <v>-4</v>
      </c>
    </row>
    <row r="19" spans="1:3">
      <c r="A19">
        <v>18</v>
      </c>
      <c r="B19">
        <v>68</v>
      </c>
      <c r="C19">
        <f t="shared" si="0"/>
        <v>-4</v>
      </c>
    </row>
    <row r="20" spans="1:3">
      <c r="A20">
        <v>19</v>
      </c>
      <c r="B20">
        <v>64</v>
      </c>
      <c r="C20">
        <f t="shared" si="0"/>
        <v>-4</v>
      </c>
    </row>
    <row r="21" spans="1:3">
      <c r="A21">
        <v>20</v>
      </c>
      <c r="B21">
        <v>60</v>
      </c>
      <c r="C21">
        <f t="shared" si="0"/>
        <v>-4</v>
      </c>
    </row>
    <row r="22" spans="1:3">
      <c r="A22">
        <v>21</v>
      </c>
      <c r="B22">
        <v>57</v>
      </c>
      <c r="C22">
        <f t="shared" si="0"/>
        <v>-3</v>
      </c>
    </row>
    <row r="23" spans="1:3">
      <c r="A23">
        <v>22</v>
      </c>
      <c r="B23">
        <v>54</v>
      </c>
      <c r="C23">
        <f t="shared" si="0"/>
        <v>-3</v>
      </c>
    </row>
    <row r="24" spans="1:3">
      <c r="A24">
        <v>23</v>
      </c>
      <c r="B24">
        <v>51</v>
      </c>
      <c r="C24">
        <f t="shared" si="0"/>
        <v>-3</v>
      </c>
    </row>
    <row r="25" spans="1:3">
      <c r="A25">
        <v>24</v>
      </c>
      <c r="B25">
        <v>48</v>
      </c>
      <c r="C25">
        <f t="shared" si="0"/>
        <v>-3</v>
      </c>
    </row>
    <row r="26" spans="1:3">
      <c r="A26">
        <v>25</v>
      </c>
      <c r="B26">
        <v>45</v>
      </c>
      <c r="C26">
        <f t="shared" si="0"/>
        <v>-3</v>
      </c>
    </row>
    <row r="27" spans="1:3">
      <c r="A27">
        <v>26</v>
      </c>
      <c r="B27">
        <v>42</v>
      </c>
      <c r="C27">
        <f t="shared" si="0"/>
        <v>-3</v>
      </c>
    </row>
    <row r="28" spans="1:3">
      <c r="A28">
        <v>27</v>
      </c>
      <c r="B28">
        <v>39</v>
      </c>
      <c r="C28">
        <f t="shared" si="0"/>
        <v>-3</v>
      </c>
    </row>
    <row r="29" spans="1:3">
      <c r="A29">
        <v>28</v>
      </c>
      <c r="B29">
        <v>36</v>
      </c>
      <c r="C29">
        <f t="shared" si="0"/>
        <v>-3</v>
      </c>
    </row>
    <row r="30" spans="1:3">
      <c r="A30">
        <v>29</v>
      </c>
      <c r="B30">
        <v>33</v>
      </c>
      <c r="C30">
        <f t="shared" si="0"/>
        <v>-3</v>
      </c>
    </row>
    <row r="31" spans="1:3">
      <c r="A31">
        <v>30</v>
      </c>
      <c r="B31">
        <v>30</v>
      </c>
      <c r="C31">
        <f t="shared" si="0"/>
        <v>-3</v>
      </c>
    </row>
    <row r="32" spans="1:3">
      <c r="A32">
        <v>31</v>
      </c>
      <c r="B32">
        <v>28</v>
      </c>
      <c r="C32">
        <f t="shared" si="0"/>
        <v>-2</v>
      </c>
    </row>
    <row r="33" spans="1:3">
      <c r="A33">
        <v>32</v>
      </c>
      <c r="B33">
        <v>26</v>
      </c>
      <c r="C33">
        <f t="shared" si="0"/>
        <v>-2</v>
      </c>
    </row>
    <row r="34" spans="1:3">
      <c r="A34">
        <v>33</v>
      </c>
      <c r="B34">
        <v>24</v>
      </c>
      <c r="C34">
        <f t="shared" si="0"/>
        <v>-2</v>
      </c>
    </row>
    <row r="35" spans="1:3">
      <c r="A35">
        <v>34</v>
      </c>
      <c r="B35">
        <v>22</v>
      </c>
      <c r="C35">
        <f t="shared" si="0"/>
        <v>-2</v>
      </c>
    </row>
    <row r="36" spans="1:3">
      <c r="A36">
        <v>35</v>
      </c>
      <c r="B36">
        <v>20</v>
      </c>
      <c r="C36">
        <f t="shared" si="0"/>
        <v>-2</v>
      </c>
    </row>
    <row r="37" spans="1:3">
      <c r="A37">
        <v>36</v>
      </c>
      <c r="B37">
        <v>18</v>
      </c>
      <c r="C37">
        <f>B37-B36</f>
        <v>-2</v>
      </c>
    </row>
    <row r="38" spans="1:3">
      <c r="A38">
        <v>37</v>
      </c>
      <c r="B38">
        <v>16</v>
      </c>
      <c r="C38">
        <f t="shared" si="0"/>
        <v>-2</v>
      </c>
    </row>
    <row r="39" spans="1:3">
      <c r="A39">
        <v>38</v>
      </c>
      <c r="B39">
        <v>14</v>
      </c>
      <c r="C39">
        <f t="shared" si="0"/>
        <v>-2</v>
      </c>
    </row>
    <row r="40" spans="1:3">
      <c r="A40">
        <v>39</v>
      </c>
      <c r="B40">
        <v>12</v>
      </c>
      <c r="C40">
        <f t="shared" si="0"/>
        <v>-2</v>
      </c>
    </row>
    <row r="41" spans="1:3">
      <c r="A41">
        <v>40</v>
      </c>
      <c r="B41">
        <v>11</v>
      </c>
      <c r="C41">
        <f t="shared" si="0"/>
        <v>-1</v>
      </c>
    </row>
    <row r="42" spans="1:3">
      <c r="A42">
        <v>41</v>
      </c>
      <c r="B42">
        <v>10</v>
      </c>
      <c r="C42">
        <f t="shared" si="0"/>
        <v>-1</v>
      </c>
    </row>
    <row r="43" spans="1:3">
      <c r="A43">
        <v>42</v>
      </c>
      <c r="B43">
        <v>9</v>
      </c>
      <c r="C43">
        <f t="shared" si="0"/>
        <v>-1</v>
      </c>
    </row>
    <row r="44" spans="1:3">
      <c r="A44">
        <v>43</v>
      </c>
      <c r="B44">
        <v>8</v>
      </c>
      <c r="C44">
        <f t="shared" si="0"/>
        <v>-1</v>
      </c>
    </row>
    <row r="45" spans="1:3">
      <c r="A45">
        <v>44</v>
      </c>
      <c r="B45">
        <v>7</v>
      </c>
      <c r="C45">
        <f t="shared" si="0"/>
        <v>-1</v>
      </c>
    </row>
    <row r="46" spans="1:3">
      <c r="A46">
        <v>45</v>
      </c>
      <c r="B46">
        <v>6</v>
      </c>
      <c r="C46">
        <f t="shared" si="0"/>
        <v>-1</v>
      </c>
    </row>
    <row r="47" spans="1:3">
      <c r="A47">
        <v>46</v>
      </c>
      <c r="B47">
        <v>5</v>
      </c>
      <c r="C47">
        <f t="shared" si="0"/>
        <v>-1</v>
      </c>
    </row>
    <row r="48" spans="1:3">
      <c r="A48">
        <v>47</v>
      </c>
      <c r="B48">
        <v>4</v>
      </c>
      <c r="C48">
        <f t="shared" si="0"/>
        <v>-1</v>
      </c>
    </row>
    <row r="49" spans="1:3">
      <c r="A49">
        <v>48</v>
      </c>
      <c r="B49">
        <v>3</v>
      </c>
      <c r="C49">
        <f t="shared" si="0"/>
        <v>-1</v>
      </c>
    </row>
    <row r="50" spans="1:3">
      <c r="A50">
        <v>49</v>
      </c>
      <c r="B50">
        <v>2</v>
      </c>
      <c r="C50">
        <f t="shared" si="0"/>
        <v>-1</v>
      </c>
    </row>
    <row r="51" spans="1:3">
      <c r="A51">
        <v>50</v>
      </c>
      <c r="B51">
        <v>1</v>
      </c>
      <c r="C51">
        <f t="shared" si="0"/>
        <v>-1</v>
      </c>
    </row>
  </sheetData>
  <pageMargins left="0.7" right="0.7" top="0.75" bottom="0.75" header="0.3" footer="0.3"/>
  <pageSetup paperSize="177" orientation="portrait" horizontalDpi="203" verticalDpi="20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BZ53"/>
  <sheetViews>
    <sheetView zoomScaleNormal="100" workbookViewId="0">
      <selection activeCell="Q20" sqref="Q20"/>
    </sheetView>
  </sheetViews>
  <sheetFormatPr defaultRowHeight="12.75"/>
  <cols>
    <col min="1" max="1" width="4.5703125" customWidth="1"/>
    <col min="2" max="3" width="3.85546875" bestFit="1" customWidth="1"/>
    <col min="4" max="4" width="22.7109375" bestFit="1" customWidth="1"/>
    <col min="5" max="5" width="8.7109375" customWidth="1"/>
    <col min="6" max="9" width="3.85546875" bestFit="1" customWidth="1"/>
    <col min="10" max="13" width="3.85546875" customWidth="1"/>
    <col min="14" max="14" width="5" customWidth="1"/>
    <col min="15" max="15" width="4.140625" bestFit="1" customWidth="1"/>
    <col min="16" max="16" width="3.85546875" bestFit="1" customWidth="1"/>
    <col min="17" max="17" width="16.42578125" bestFit="1" customWidth="1"/>
    <col min="18" max="18" width="8.7109375" bestFit="1" customWidth="1"/>
    <col min="19" max="22" width="3.85546875" bestFit="1" customWidth="1"/>
    <col min="23" max="26" width="3.85546875" customWidth="1"/>
    <col min="28" max="28" width="4.140625" bestFit="1" customWidth="1"/>
    <col min="29" max="29" width="3.85546875" bestFit="1" customWidth="1"/>
    <col min="30" max="30" width="15.7109375" bestFit="1" customWidth="1"/>
    <col min="31" max="31" width="8.7109375" bestFit="1" customWidth="1"/>
    <col min="32" max="35" width="3.85546875" bestFit="1" customWidth="1"/>
    <col min="36" max="39" width="3.85546875" customWidth="1"/>
    <col min="41" max="41" width="4.140625" bestFit="1" customWidth="1"/>
    <col min="42" max="42" width="3.85546875" bestFit="1" customWidth="1"/>
    <col min="43" max="43" width="15.7109375" customWidth="1"/>
    <col min="44" max="44" width="8.7109375" bestFit="1" customWidth="1"/>
    <col min="45" max="48" width="3.85546875" bestFit="1" customWidth="1"/>
    <col min="49" max="52" width="3.85546875" customWidth="1"/>
    <col min="54" max="54" width="4.140625" bestFit="1" customWidth="1"/>
    <col min="55" max="55" width="3.85546875" customWidth="1"/>
    <col min="56" max="56" width="15.85546875" customWidth="1"/>
    <col min="57" max="57" width="8.7109375" customWidth="1"/>
    <col min="58" max="60" width="3.85546875" bestFit="1" customWidth="1"/>
    <col min="61" max="65" width="3.85546875" customWidth="1"/>
    <col min="67" max="67" width="4" bestFit="1" customWidth="1"/>
    <col min="69" max="69" width="26.140625" bestFit="1" customWidth="1"/>
    <col min="71" max="71" width="3.5703125" bestFit="1" customWidth="1"/>
    <col min="72" max="73" width="3.28515625" bestFit="1" customWidth="1"/>
    <col min="74" max="74" width="3.5703125" bestFit="1" customWidth="1"/>
    <col min="75" max="75" width="3.85546875" bestFit="1" customWidth="1"/>
    <col min="76" max="78" width="9.140625" customWidth="1"/>
  </cols>
  <sheetData>
    <row r="1" spans="2:78" ht="17.25" customHeight="1"/>
    <row r="2" spans="2:78" ht="18" customHeight="1">
      <c r="B2" s="387" t="s">
        <v>415</v>
      </c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O2" s="387" t="s">
        <v>416</v>
      </c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B2" s="387" t="s">
        <v>407</v>
      </c>
      <c r="AC2" s="387"/>
      <c r="AD2" s="387"/>
      <c r="AE2" s="387"/>
      <c r="AF2" s="387"/>
      <c r="AG2" s="387"/>
      <c r="AH2" s="387"/>
      <c r="AI2" s="387"/>
      <c r="AJ2" s="387"/>
      <c r="AK2" s="387"/>
      <c r="AL2" s="387"/>
      <c r="AM2" s="387"/>
      <c r="AO2" s="387" t="s">
        <v>408</v>
      </c>
      <c r="AP2" s="387"/>
      <c r="AQ2" s="387"/>
      <c r="AR2" s="387"/>
      <c r="AS2" s="387"/>
      <c r="AT2" s="387"/>
      <c r="AU2" s="387"/>
      <c r="AV2" s="387"/>
      <c r="AW2" s="387"/>
      <c r="AX2" s="387"/>
      <c r="AY2" s="387"/>
      <c r="AZ2" s="387"/>
      <c r="BB2" s="387" t="s">
        <v>412</v>
      </c>
      <c r="BC2" s="387"/>
      <c r="BD2" s="387"/>
      <c r="BE2" s="387"/>
      <c r="BF2" s="387"/>
      <c r="BG2" s="387"/>
      <c r="BH2" s="387"/>
      <c r="BI2" s="387"/>
      <c r="BJ2" s="387"/>
      <c r="BK2" s="387"/>
      <c r="BL2" s="387"/>
      <c r="BM2" s="387"/>
      <c r="BO2" s="387" t="s">
        <v>409</v>
      </c>
      <c r="BP2" s="387"/>
      <c r="BQ2" s="387"/>
      <c r="BR2" s="387"/>
      <c r="BS2" s="387"/>
      <c r="BT2" s="387"/>
      <c r="BU2" s="387"/>
      <c r="BV2" s="387"/>
      <c r="BW2" s="387"/>
      <c r="BX2" s="387"/>
      <c r="BY2" s="387"/>
      <c r="BZ2" s="387"/>
    </row>
    <row r="3" spans="2:78" ht="46.5">
      <c r="B3" s="229" t="s">
        <v>398</v>
      </c>
      <c r="C3" s="229" t="s">
        <v>134</v>
      </c>
      <c r="D3" s="229" t="s">
        <v>135</v>
      </c>
      <c r="E3" s="229" t="s">
        <v>221</v>
      </c>
      <c r="F3" s="229" t="s">
        <v>399</v>
      </c>
      <c r="G3" s="229" t="s">
        <v>400</v>
      </c>
      <c r="H3" s="229" t="s">
        <v>401</v>
      </c>
      <c r="I3" s="229" t="s">
        <v>402</v>
      </c>
      <c r="J3" s="229" t="s">
        <v>403</v>
      </c>
      <c r="K3" s="229" t="s">
        <v>406</v>
      </c>
      <c r="L3" s="229" t="s">
        <v>405</v>
      </c>
      <c r="M3" s="229" t="s">
        <v>404</v>
      </c>
      <c r="N3" s="209"/>
      <c r="O3" s="229" t="s">
        <v>398</v>
      </c>
      <c r="P3" s="229" t="s">
        <v>134</v>
      </c>
      <c r="Q3" s="229" t="s">
        <v>135</v>
      </c>
      <c r="R3" s="229" t="s">
        <v>221</v>
      </c>
      <c r="S3" s="229" t="s">
        <v>399</v>
      </c>
      <c r="T3" s="229" t="s">
        <v>400</v>
      </c>
      <c r="U3" s="229" t="s">
        <v>401</v>
      </c>
      <c r="V3" s="229" t="s">
        <v>402</v>
      </c>
      <c r="W3" s="229" t="s">
        <v>403</v>
      </c>
      <c r="X3" s="229" t="s">
        <v>406</v>
      </c>
      <c r="Y3" s="229" t="s">
        <v>405</v>
      </c>
      <c r="Z3" s="229" t="s">
        <v>404</v>
      </c>
      <c r="AA3" s="208"/>
      <c r="AB3" s="229" t="s">
        <v>398</v>
      </c>
      <c r="AC3" s="229" t="s">
        <v>134</v>
      </c>
      <c r="AD3" s="229" t="s">
        <v>135</v>
      </c>
      <c r="AE3" s="229" t="s">
        <v>221</v>
      </c>
      <c r="AF3" s="229" t="s">
        <v>399</v>
      </c>
      <c r="AG3" s="229" t="s">
        <v>400</v>
      </c>
      <c r="AH3" s="229" t="s">
        <v>401</v>
      </c>
      <c r="AI3" s="229" t="s">
        <v>402</v>
      </c>
      <c r="AJ3" s="229" t="s">
        <v>403</v>
      </c>
      <c r="AK3" s="229" t="s">
        <v>406</v>
      </c>
      <c r="AL3" s="229" t="s">
        <v>405</v>
      </c>
      <c r="AM3" s="229" t="s">
        <v>404</v>
      </c>
      <c r="AO3" s="229" t="s">
        <v>398</v>
      </c>
      <c r="AP3" s="229" t="s">
        <v>134</v>
      </c>
      <c r="AQ3" s="229" t="s">
        <v>135</v>
      </c>
      <c r="AR3" s="229" t="s">
        <v>221</v>
      </c>
      <c r="AS3" s="229" t="s">
        <v>399</v>
      </c>
      <c r="AT3" s="229" t="s">
        <v>400</v>
      </c>
      <c r="AU3" s="229" t="s">
        <v>401</v>
      </c>
      <c r="AV3" s="229" t="s">
        <v>402</v>
      </c>
      <c r="AW3" s="229" t="s">
        <v>403</v>
      </c>
      <c r="AX3" s="229" t="s">
        <v>406</v>
      </c>
      <c r="AY3" s="229" t="s">
        <v>405</v>
      </c>
      <c r="AZ3" s="229" t="s">
        <v>404</v>
      </c>
      <c r="BB3" s="229" t="s">
        <v>398</v>
      </c>
      <c r="BC3" s="229" t="s">
        <v>134</v>
      </c>
      <c r="BD3" s="229" t="s">
        <v>135</v>
      </c>
      <c r="BE3" s="229" t="s">
        <v>221</v>
      </c>
      <c r="BF3" s="229" t="s">
        <v>399</v>
      </c>
      <c r="BG3" s="229" t="s">
        <v>400</v>
      </c>
      <c r="BH3" s="229" t="s">
        <v>401</v>
      </c>
      <c r="BI3" s="229" t="s">
        <v>402</v>
      </c>
      <c r="BJ3" s="229" t="s">
        <v>403</v>
      </c>
      <c r="BK3" s="229" t="s">
        <v>406</v>
      </c>
      <c r="BL3" s="229" t="s">
        <v>405</v>
      </c>
      <c r="BM3" s="229" t="s">
        <v>404</v>
      </c>
      <c r="BO3" s="229" t="s">
        <v>398</v>
      </c>
      <c r="BP3" s="229" t="s">
        <v>134</v>
      </c>
      <c r="BQ3" s="229" t="s">
        <v>135</v>
      </c>
      <c r="BR3" s="229" t="s">
        <v>221</v>
      </c>
      <c r="BS3" s="229" t="s">
        <v>399</v>
      </c>
      <c r="BT3" s="229" t="s">
        <v>400</v>
      </c>
      <c r="BU3" s="229" t="s">
        <v>401</v>
      </c>
      <c r="BV3" s="229" t="s">
        <v>402</v>
      </c>
      <c r="BW3" s="229" t="s">
        <v>403</v>
      </c>
      <c r="BX3" s="229" t="s">
        <v>406</v>
      </c>
      <c r="BY3" s="229" t="s">
        <v>405</v>
      </c>
      <c r="BZ3" s="229" t="s">
        <v>404</v>
      </c>
    </row>
    <row r="4" spans="2:78">
      <c r="B4">
        <v>1</v>
      </c>
      <c r="C4">
        <f>IFERROR(VLOOKUP($B4,OverallResults!$B$3:$Z$508,2,FALSE),"")</f>
        <v>1</v>
      </c>
      <c r="D4" t="str">
        <f>IFERROR(VLOOKUP($B4,OverallResults!$B$3:$Z$508,3,FALSE),"")</f>
        <v>Johann Potgieter</v>
      </c>
      <c r="E4" t="str">
        <f>IFERROR(TEXT(VLOOKUP($B4,OverallResults!$B$3:$Z$489,17,FALSE),"[h]:mm:ss.0"),"")</f>
        <v>0:16:50.0</v>
      </c>
      <c r="F4" s="230">
        <f>IFERROR(VLOOKUP($D4,SortedDownload!$B$3:$Z$489,14,FALSE),"")</f>
        <v>1</v>
      </c>
      <c r="G4" s="230">
        <f>IFERROR(VLOOKUP($D4,SortedDownload!$B$3:$Z$489,15,FALSE),"")</f>
        <v>5</v>
      </c>
      <c r="H4" s="230">
        <f>IFERROR(VLOOKUP($D4,SortedDownload!$B$3:$Z$489,16,FALSE),"")</f>
        <v>6</v>
      </c>
      <c r="I4" s="230">
        <f>IFERROR(VLOOKUP($D4,SortedDownload!$B$3:$Z$489,17,FALSE),"")</f>
        <v>2</v>
      </c>
      <c r="J4" s="230">
        <f>IFERROR(VLOOKUP($D4,SortedDownload!$B$3:$Z$489,18,FALSE),"")</f>
        <v>1</v>
      </c>
      <c r="K4" s="230" t="str">
        <f>IFERROR(VLOOKUP($D4,SortedDownload!$B$3:$Z$489,19,FALSE),"")</f>
        <v/>
      </c>
      <c r="L4" s="230" t="str">
        <f>IFERROR(VLOOKUP($D4,SortedDownload!$B$3:$Z$489,20,FALSE),"")</f>
        <v/>
      </c>
      <c r="M4" s="230" t="str">
        <f>IFERROR(VLOOKUP($D4,SortedDownload!$B$3:$Z$489,21,FALSE),"")</f>
        <v/>
      </c>
      <c r="O4">
        <v>51</v>
      </c>
      <c r="P4">
        <f>IFERROR(VLOOKUP($O4,OverallResults!$B$3:$Z$508,2,FALSE),"")</f>
        <v>13</v>
      </c>
      <c r="Q4" t="str">
        <f>IFERROR(VLOOKUP($O4,OverallResults!$B$3:$Z$508,3,FALSE),"")</f>
        <v>Daniel Fairbrother</v>
      </c>
      <c r="R4" t="str">
        <f>IFERROR(TEXT(VLOOKUP($O4,OverallResults!$B$3:$Z$489,17,FALSE),"[h]:mm:ss.0"),"")</f>
        <v>0:19:52.6</v>
      </c>
      <c r="S4" s="230">
        <f>IFERROR(VLOOKUP($Q4,SortedDownload!$B$3:$Z$489,14,FALSE),"")</f>
        <v>56</v>
      </c>
      <c r="T4" s="230">
        <f>IFERROR(VLOOKUP($Q4,SortedDownload!$B$3:$Z$489,15,FALSE),"")</f>
        <v>66</v>
      </c>
      <c r="U4" s="230">
        <f>IFERROR(VLOOKUP($Q4,SortedDownload!$B$3:$Z$489,16,FALSE),"")</f>
        <v>38</v>
      </c>
      <c r="V4" s="230">
        <f>IFERROR(VLOOKUP($Q4,SortedDownload!$B$3:$Z$489,17,FALSE),"")</f>
        <v>49</v>
      </c>
      <c r="W4" s="230">
        <f>IFERROR(VLOOKUP($Q4,SortedDownload!$B$3:$Z$489,18,FALSE),"")</f>
        <v>53</v>
      </c>
      <c r="X4" s="230" t="str">
        <f>IFERROR(VLOOKUP($Q4,SortedDownload!$B$3:$Z$489,19,FALSE),"")</f>
        <v/>
      </c>
      <c r="Y4" s="230" t="str">
        <f>IFERROR(VLOOKUP($Q4,SortedDownload!$B$3:$Z$489,20,FALSE),"")</f>
        <v/>
      </c>
      <c r="Z4" s="230" t="str">
        <f>IFERROR(VLOOKUP($Q4,SortedDownload!$B$3:$Z$489,21,FALSE),"")</f>
        <v/>
      </c>
      <c r="AB4">
        <v>101</v>
      </c>
      <c r="AC4">
        <f>IFERROR(VLOOKUP($AB4,OverallResults!$B$3:$Z$508,2,FALSE),"")</f>
        <v>25</v>
      </c>
      <c r="AD4" t="str">
        <f>IFERROR(VLOOKUP($AB4,OverallResults!$B$3:$Z$508,3,FALSE),"")</f>
        <v>Charlie Thiry</v>
      </c>
      <c r="AE4" t="str">
        <f>IFERROR(TEXT(VLOOKUP($AB4,OverallResults!$B$3:$Z$489,17,FALSE),"[h]:mm:ss.0"),"")</f>
        <v>0:23:15.7</v>
      </c>
      <c r="AF4" s="230">
        <f>IFERROR(VLOOKUP($AD4,SortedDownload!$B$3:$Z$489,14,FALSE),"")</f>
        <v>113</v>
      </c>
      <c r="AG4" s="230">
        <f>IFERROR(VLOOKUP($AD4,SortedDownload!$B$3:$Z$489,15,FALSE),"")</f>
        <v>137</v>
      </c>
      <c r="AH4" s="230">
        <f>IFERROR(VLOOKUP($AD4,SortedDownload!$B$3:$Z$489,16,FALSE),"")</f>
        <v>125</v>
      </c>
      <c r="AI4" s="230">
        <f>IFERROR(VLOOKUP($AD4,SortedDownload!$B$3:$Z$489,17,FALSE),"")</f>
        <v>93</v>
      </c>
      <c r="AJ4" s="230">
        <f>IFERROR(VLOOKUP($AD4,SortedDownload!$B$3:$Z$489,18,FALSE),"")</f>
        <v>147</v>
      </c>
      <c r="AK4" s="230" t="str">
        <f>IFERROR(VLOOKUP($AD4,SortedDownload!$B$3:$Z$489,19,FALSE),"")</f>
        <v/>
      </c>
      <c r="AL4" s="230" t="str">
        <f>IFERROR(VLOOKUP($AD4,SortedDownload!$B$3:$Z$489,20,FALSE),"")</f>
        <v/>
      </c>
      <c r="AM4" s="230" t="str">
        <f>IFERROR(VLOOKUP($AD4,SortedDownload!$B$3:$Z$489,21,FALSE),"")</f>
        <v/>
      </c>
      <c r="AO4">
        <v>151</v>
      </c>
      <c r="AP4">
        <f>IFERROR(VLOOKUP($AO4,OverallResults!$B$3:$Z$508,2,FALSE),"")</f>
        <v>13</v>
      </c>
      <c r="AQ4" t="str">
        <f>IFERROR(VLOOKUP($AO4,OverallResults!$B$3:$Z$508,3,FALSE),"")</f>
        <v>Thomas Kabalin</v>
      </c>
      <c r="AR4" t="str">
        <f>IFERROR(TEXT(VLOOKUP($AO4,OverallResults!$B$3:$Z$489,17,FALSE),"[h]:mm:ss.0"),"")</f>
        <v>0:12:48.4</v>
      </c>
      <c r="AS4" s="230" t="str">
        <f>IFERROR(VLOOKUP($AQ4,SortedDownload!$B$3:$Z$489,14,FALSE),"")</f>
        <v/>
      </c>
      <c r="AT4" s="230">
        <f>IFERROR(VLOOKUP($AQ4,SortedDownload!$B$3:$Z$489,15,FALSE),"")</f>
        <v>115</v>
      </c>
      <c r="AU4" s="230">
        <f>IFERROR(VLOOKUP($AQ4,SortedDownload!$B$3:$Z$489,16,FALSE),"")</f>
        <v>112</v>
      </c>
      <c r="AV4" s="230" t="str">
        <f>IFERROR(VLOOKUP($AQ4,SortedDownload!$B$3:$Z$489,17,FALSE),"")</f>
        <v/>
      </c>
      <c r="AW4" s="230">
        <f>IFERROR(VLOOKUP($AQ4,SortedDownload!$B$3:$Z$489,18,FALSE),"")</f>
        <v>126</v>
      </c>
      <c r="AX4" s="230" t="str">
        <f>IFERROR(VLOOKUP($AQ4,SortedDownload!$B$3:$Z$489,19,FALSE),"")</f>
        <v/>
      </c>
      <c r="AY4" s="230" t="str">
        <f>IFERROR(VLOOKUP($AQ4,SortedDownload!$B$3:$Z$489,20,FALSE),"")</f>
        <v/>
      </c>
      <c r="AZ4" s="230" t="str">
        <f>IFERROR(VLOOKUP($AQ4,SortedDownload!$B$3:$Z$489,21,FALSE),"")</f>
        <v/>
      </c>
      <c r="BB4">
        <v>201</v>
      </c>
      <c r="BC4">
        <f>IFERROR(VLOOKUP($BB4,OverallResults!$B$3:$Z$508,2,FALSE),"")</f>
        <v>39</v>
      </c>
      <c r="BD4" t="str">
        <f>IFERROR(VLOOKUP($BB4,OverallResults!$B$3:$Z$508,3,FALSE),"")</f>
        <v>Yaseen Enos</v>
      </c>
      <c r="BE4" t="str">
        <f>IFERROR(TEXT(VLOOKUP($BB4,OverallResults!$B$3:$Z$489,17,FALSE),"[h]:mm:ss.0"),"")</f>
        <v>0:15:12.0</v>
      </c>
      <c r="BF4" s="230" t="str">
        <f>IFERROR(VLOOKUP($BD4,SortedDownload!$B$3:$Z$489,14,FALSE),"")</f>
        <v/>
      </c>
      <c r="BG4" s="230">
        <f>IFERROR(VLOOKUP($BD4,SortedDownload!$B$3:$Z$489,15,FALSE),"")</f>
        <v>230</v>
      </c>
      <c r="BH4" s="230">
        <f>IFERROR(VLOOKUP($BD4,SortedDownload!$B$3:$Z$489,16,FALSE),"")</f>
        <v>212</v>
      </c>
      <c r="BI4" s="230" t="str">
        <f>IFERROR(VLOOKUP($BD4,SortedDownload!$B$3:$Z$489,17,FALSE),"")</f>
        <v/>
      </c>
      <c r="BJ4" s="230">
        <f>IFERROR(VLOOKUP($BD4,SortedDownload!$B$3:$Z$489,18,FALSE),"")</f>
        <v>199</v>
      </c>
      <c r="BK4" s="230" t="str">
        <f>IFERROR(VLOOKUP($BD4,SortedDownload!$B$3:$Z$489,19,FALSE),"")</f>
        <v/>
      </c>
      <c r="BL4" s="230" t="str">
        <f>IFERROR(VLOOKUP($BD4,SortedDownload!$B$3:$Z$489,20,FALSE),"")</f>
        <v/>
      </c>
      <c r="BM4" s="230" t="str">
        <f>IFERROR(VLOOKUP($BD4,SortedDownload!$B$3:$Z$489,21,FALSE),"")</f>
        <v/>
      </c>
      <c r="BO4">
        <v>251</v>
      </c>
      <c r="BP4" t="str">
        <f>IFERROR(VLOOKUP($BO4,OverallResults!$B$3:$Z$508,2,FALSE),"")</f>
        <v>DNF</v>
      </c>
      <c r="BQ4" t="str">
        <f>IFERROR(VLOOKUP($BO4,OverallResults!$B$3:$Z$508,3,FALSE),"")</f>
        <v/>
      </c>
      <c r="BR4" t="str">
        <f>IFERROR(TEXT(VLOOKUP($BO4,OverallResults!$B$3:$Z$489,17,FALSE),"[h]:mm:ss.0"),"")</f>
        <v/>
      </c>
      <c r="BS4" s="230" t="str">
        <f>IFERROR(VLOOKUP($BQ4,SortedDownload!$B$3:$Z$489,14,FALSE),"")</f>
        <v/>
      </c>
      <c r="BT4" s="230" t="str">
        <f>IFERROR(VLOOKUP($BQ4,SortedDownload!$B$3:$Z$489,15,FALSE),"")</f>
        <v/>
      </c>
      <c r="BU4" s="230" t="str">
        <f>IFERROR(VLOOKUP($BQ4,SortedDownload!$B$3:$Z$489,16,FALSE),"")</f>
        <v/>
      </c>
      <c r="BV4" s="230" t="str">
        <f>IFERROR(VLOOKUP($BQ4,SortedDownload!$B$3:$Z$489,17,FALSE),"")</f>
        <v/>
      </c>
      <c r="BW4" s="230" t="str">
        <f>IFERROR(VLOOKUP($BQ4,SortedDownload!$B$3:$Z$489,18,FALSE),"")</f>
        <v/>
      </c>
      <c r="BX4" s="230" t="str">
        <f>IFERROR(VLOOKUP($BQ4,SortedDownload!$B$3:$Z$489,19,FALSE),"")</f>
        <v/>
      </c>
      <c r="BY4" s="230" t="str">
        <f>IFERROR(VLOOKUP($BQ4,SortedDownload!$B$3:$Z$489,20,FALSE),"")</f>
        <v/>
      </c>
      <c r="BZ4" s="230" t="str">
        <f>IFERROR(VLOOKUP($BQ4,SortedDownload!$B$3:$Z$489,21,FALSE),"")</f>
        <v/>
      </c>
    </row>
    <row r="5" spans="2:78">
      <c r="B5">
        <v>2</v>
      </c>
      <c r="C5">
        <f>IFERROR(VLOOKUP($B5,OverallResults!$B$3:$Z$508,2,FALSE),"")</f>
        <v>1</v>
      </c>
      <c r="D5" t="str">
        <f>IFERROR(VLOOKUP($B5,OverallResults!$B$3:$Z$508,3,FALSE),"")</f>
        <v>Duran Van Eeden</v>
      </c>
      <c r="E5" t="str">
        <f>IFERROR(TEXT(VLOOKUP($B5,OverallResults!$B$3:$Z$489,17,FALSE),"[h]:mm:ss.0"),"")</f>
        <v>0:16:58.4</v>
      </c>
      <c r="F5" s="230">
        <f>IFERROR(VLOOKUP($D5,SortedDownload!$B$3:$Z$489,14,FALSE),"")</f>
        <v>3</v>
      </c>
      <c r="G5" s="230">
        <f>IFERROR(VLOOKUP($D5,SortedDownload!$B$3:$Z$489,15,FALSE),"")</f>
        <v>2</v>
      </c>
      <c r="H5" s="230">
        <f>IFERROR(VLOOKUP($D5,SortedDownload!$B$3:$Z$489,16,FALSE),"")</f>
        <v>2</v>
      </c>
      <c r="I5" s="230">
        <f>IFERROR(VLOOKUP($D5,SortedDownload!$B$3:$Z$489,17,FALSE),"")</f>
        <v>6</v>
      </c>
      <c r="J5" s="230">
        <f>IFERROR(VLOOKUP($D5,SortedDownload!$B$3:$Z$489,18,FALSE),"")</f>
        <v>4</v>
      </c>
      <c r="K5" s="230" t="str">
        <f>IFERROR(VLOOKUP($D5,SortedDownload!$B$3:$Z$489,19,FALSE),"")</f>
        <v/>
      </c>
      <c r="L5" s="230" t="str">
        <f>IFERROR(VLOOKUP($D5,SortedDownload!$B$3:$Z$489,20,FALSE),"")</f>
        <v/>
      </c>
      <c r="M5" s="230" t="str">
        <f>IFERROR(VLOOKUP($D5,SortedDownload!$B$3:$Z$489,21,FALSE),"")</f>
        <v/>
      </c>
      <c r="O5">
        <v>52</v>
      </c>
      <c r="P5">
        <f>IFERROR(VLOOKUP($O5,OverallResults!$B$3:$Z$508,2,FALSE),"")</f>
        <v>7</v>
      </c>
      <c r="Q5" t="str">
        <f>IFERROR(VLOOKUP($O5,OverallResults!$B$3:$Z$508,3,FALSE),"")</f>
        <v>Nic Kenny</v>
      </c>
      <c r="R5" t="str">
        <f>IFERROR(TEXT(VLOOKUP($O5,OverallResults!$B$3:$Z$489,17,FALSE),"[h]:mm:ss.0"),"")</f>
        <v>0:20:03.2</v>
      </c>
      <c r="S5" s="230">
        <f>IFERROR(VLOOKUP($Q5,SortedDownload!$B$3:$Z$489,14,FALSE),"")</f>
        <v>42</v>
      </c>
      <c r="T5" s="230">
        <f>IFERROR(VLOOKUP($Q5,SortedDownload!$B$3:$Z$489,15,FALSE),"")</f>
        <v>65</v>
      </c>
      <c r="U5" s="230">
        <f>IFERROR(VLOOKUP($Q5,SortedDownload!$B$3:$Z$489,16,FALSE),"")</f>
        <v>57</v>
      </c>
      <c r="V5" s="230">
        <f>IFERROR(VLOOKUP($Q5,SortedDownload!$B$3:$Z$489,17,FALSE),"")</f>
        <v>55</v>
      </c>
      <c r="W5" s="230">
        <f>IFERROR(VLOOKUP($Q5,SortedDownload!$B$3:$Z$489,18,FALSE),"")</f>
        <v>85</v>
      </c>
      <c r="X5" s="230" t="str">
        <f>IFERROR(VLOOKUP($Q5,SortedDownload!$B$3:$Z$489,19,FALSE),"")</f>
        <v/>
      </c>
      <c r="Y5" s="230" t="str">
        <f>IFERROR(VLOOKUP($Q5,SortedDownload!$B$3:$Z$489,20,FALSE),"")</f>
        <v/>
      </c>
      <c r="Z5" s="230" t="str">
        <f>IFERROR(VLOOKUP($Q5,SortedDownload!$B$3:$Z$489,21,FALSE),"")</f>
        <v/>
      </c>
      <c r="AB5">
        <v>102</v>
      </c>
      <c r="AC5">
        <f>IFERROR(VLOOKUP($AB5,OverallResults!$B$3:$Z$508,2,FALSE),"")</f>
        <v>28</v>
      </c>
      <c r="AD5" t="str">
        <f>IFERROR(VLOOKUP($AB5,OverallResults!$B$3:$Z$508,3,FALSE),"")</f>
        <v>Nigel Basel</v>
      </c>
      <c r="AE5" t="str">
        <f>IFERROR(TEXT(VLOOKUP($AB5,OverallResults!$B$3:$Z$489,17,FALSE),"[h]:mm:ss.0"),"")</f>
        <v>0:23:15.9</v>
      </c>
      <c r="AF5" s="230">
        <f>IFERROR(VLOOKUP($AD5,SortedDownload!$B$3:$Z$489,14,FALSE),"")</f>
        <v>101</v>
      </c>
      <c r="AG5" s="230">
        <f>IFERROR(VLOOKUP($AD5,SortedDownload!$B$3:$Z$489,15,FALSE),"")</f>
        <v>158</v>
      </c>
      <c r="AH5" s="230">
        <f>IFERROR(VLOOKUP($AD5,SortedDownload!$B$3:$Z$489,16,FALSE),"")</f>
        <v>142</v>
      </c>
      <c r="AI5" s="230">
        <f>IFERROR(VLOOKUP($AD5,SortedDownload!$B$3:$Z$489,17,FALSE),"")</f>
        <v>98</v>
      </c>
      <c r="AJ5" s="230">
        <f>IFERROR(VLOOKUP($AD5,SortedDownload!$B$3:$Z$489,18,FALSE),"")</f>
        <v>169</v>
      </c>
      <c r="AK5" s="230" t="str">
        <f>IFERROR(VLOOKUP($AD5,SortedDownload!$B$3:$Z$489,19,FALSE),"")</f>
        <v/>
      </c>
      <c r="AL5" s="230" t="str">
        <f>IFERROR(VLOOKUP($AD5,SortedDownload!$B$3:$Z$489,20,FALSE),"")</f>
        <v/>
      </c>
      <c r="AM5" s="230" t="str">
        <f>IFERROR(VLOOKUP($AD5,SortedDownload!$B$3:$Z$489,21,FALSE),"")</f>
        <v/>
      </c>
      <c r="AO5">
        <v>152</v>
      </c>
      <c r="AP5">
        <f>IFERROR(VLOOKUP($AO5,OverallResults!$B$3:$Z$508,2,FALSE),"")</f>
        <v>14</v>
      </c>
      <c r="AQ5" t="str">
        <f>IFERROR(VLOOKUP($AO5,OverallResults!$B$3:$Z$508,3,FALSE),"")</f>
        <v>Joshua Baptie</v>
      </c>
      <c r="AR5" t="str">
        <f>IFERROR(TEXT(VLOOKUP($AO5,OverallResults!$B$3:$Z$489,17,FALSE),"[h]:mm:ss.0"),"")</f>
        <v>0:12:52.9</v>
      </c>
      <c r="AS5" s="230" t="str">
        <f>IFERROR(VLOOKUP($AQ5,SortedDownload!$B$3:$Z$489,14,FALSE),"")</f>
        <v/>
      </c>
      <c r="AT5" s="230">
        <f>IFERROR(VLOOKUP($AQ5,SortedDownload!$B$3:$Z$489,15,FALSE),"")</f>
        <v>114</v>
      </c>
      <c r="AU5" s="230">
        <f>IFERROR(VLOOKUP($AQ5,SortedDownload!$B$3:$Z$489,16,FALSE),"")</f>
        <v>96</v>
      </c>
      <c r="AV5" s="230" t="str">
        <f>IFERROR(VLOOKUP($AQ5,SortedDownload!$B$3:$Z$489,17,FALSE),"")</f>
        <v/>
      </c>
      <c r="AW5" s="230">
        <f>IFERROR(VLOOKUP($AQ5,SortedDownload!$B$3:$Z$489,18,FALSE),"")</f>
        <v>151</v>
      </c>
      <c r="AX5" s="230" t="str">
        <f>IFERROR(VLOOKUP($AQ5,SortedDownload!$B$3:$Z$489,19,FALSE),"")</f>
        <v/>
      </c>
      <c r="AY5" s="230" t="str">
        <f>IFERROR(VLOOKUP($AQ5,SortedDownload!$B$3:$Z$489,20,FALSE),"")</f>
        <v/>
      </c>
      <c r="AZ5" s="230" t="str">
        <f>IFERROR(VLOOKUP($AQ5,SortedDownload!$B$3:$Z$489,21,FALSE),"")</f>
        <v/>
      </c>
      <c r="BB5">
        <v>202</v>
      </c>
      <c r="BC5">
        <f>IFERROR(VLOOKUP($BB5,OverallResults!$B$3:$Z$508,2,FALSE),"")</f>
        <v>7</v>
      </c>
      <c r="BD5" t="str">
        <f>IFERROR(VLOOKUP($BB5,OverallResults!$B$3:$Z$508,3,FALSE),"")</f>
        <v>Matt Nicholson</v>
      </c>
      <c r="BE5" t="str">
        <f>IFERROR(TEXT(VLOOKUP($BB5,OverallResults!$B$3:$Z$489,17,FALSE),"[h]:mm:ss.0"),"")</f>
        <v>0:15:12.3</v>
      </c>
      <c r="BF5" s="230" t="str">
        <f>IFERROR(VLOOKUP($BD5,SortedDownload!$B$3:$Z$489,14,FALSE),"")</f>
        <v/>
      </c>
      <c r="BG5" s="230">
        <f>IFERROR(VLOOKUP($BD5,SortedDownload!$B$3:$Z$489,15,FALSE),"")</f>
        <v>233</v>
      </c>
      <c r="BH5" s="230">
        <f>IFERROR(VLOOKUP($BD5,SortedDownload!$B$3:$Z$489,16,FALSE),"")</f>
        <v>214</v>
      </c>
      <c r="BI5" s="230" t="str">
        <f>IFERROR(VLOOKUP($BD5,SortedDownload!$B$3:$Z$489,17,FALSE),"")</f>
        <v/>
      </c>
      <c r="BJ5" s="230">
        <f>IFERROR(VLOOKUP($BD5,SortedDownload!$B$3:$Z$489,18,FALSE),"")</f>
        <v>191</v>
      </c>
      <c r="BK5" s="230" t="str">
        <f>IFERROR(VLOOKUP($BD5,SortedDownload!$B$3:$Z$489,19,FALSE),"")</f>
        <v/>
      </c>
      <c r="BL5" s="230" t="str">
        <f>IFERROR(VLOOKUP($BD5,SortedDownload!$B$3:$Z$489,20,FALSE),"")</f>
        <v/>
      </c>
      <c r="BM5" s="230" t="str">
        <f>IFERROR(VLOOKUP($BD5,SortedDownload!$B$3:$Z$489,21,FALSE),"")</f>
        <v/>
      </c>
      <c r="BO5">
        <v>252</v>
      </c>
      <c r="BP5" t="str">
        <f>IFERROR(VLOOKUP($BO5,OverallResults!$B$3:$Z$508,2,FALSE),"")</f>
        <v>DNF</v>
      </c>
      <c r="BQ5" t="str">
        <f>IFERROR(VLOOKUP($BO5,OverallResults!$B$3:$Z$508,3,FALSE),"")</f>
        <v/>
      </c>
      <c r="BR5" t="str">
        <f>IFERROR(TEXT(VLOOKUP($BO5,OverallResults!$B$3:$Z$489,17,FALSE),"[h]:mm:ss.0"),"")</f>
        <v/>
      </c>
      <c r="BS5" s="230" t="str">
        <f>IFERROR(VLOOKUP($BQ5,SortedDownload!$B$3:$Z$489,14,FALSE),"")</f>
        <v/>
      </c>
      <c r="BT5" s="230" t="str">
        <f>IFERROR(VLOOKUP($BQ5,SortedDownload!$B$3:$Z$489,15,FALSE),"")</f>
        <v/>
      </c>
      <c r="BU5" s="230" t="str">
        <f>IFERROR(VLOOKUP($BQ5,SortedDownload!$B$3:$Z$489,16,FALSE),"")</f>
        <v/>
      </c>
      <c r="BV5" s="230" t="str">
        <f>IFERROR(VLOOKUP($BQ5,SortedDownload!$B$3:$Z$489,17,FALSE),"")</f>
        <v/>
      </c>
      <c r="BW5" s="230" t="str">
        <f>IFERROR(VLOOKUP($BQ5,SortedDownload!$B$3:$Z$489,18,FALSE),"")</f>
        <v/>
      </c>
      <c r="BX5" s="230" t="str">
        <f>IFERROR(VLOOKUP($BQ5,SortedDownload!$B$3:$Z$489,19,FALSE),"")</f>
        <v/>
      </c>
      <c r="BY5" s="230" t="str">
        <f>IFERROR(VLOOKUP($BQ5,SortedDownload!$B$3:$Z$489,20,FALSE),"")</f>
        <v/>
      </c>
      <c r="BZ5" s="230" t="str">
        <f>IFERROR(VLOOKUP($BQ5,SortedDownload!$B$3:$Z$489,21,FALSE),"")</f>
        <v/>
      </c>
    </row>
    <row r="6" spans="2:78">
      <c r="B6">
        <v>3</v>
      </c>
      <c r="C6">
        <f>IFERROR(VLOOKUP($B6,OverallResults!$B$3:$Z$508,2,FALSE),"")</f>
        <v>1</v>
      </c>
      <c r="D6" t="str">
        <f>IFERROR(VLOOKUP($B6,OverallResults!$B$3:$Z$508,3,FALSE),"")</f>
        <v>Philip Van Schalkwyk</v>
      </c>
      <c r="E6" t="str">
        <f>IFERROR(TEXT(VLOOKUP($B6,OverallResults!$B$3:$Z$489,17,FALSE),"[h]:mm:ss.0"),"")</f>
        <v>0:17:11.7</v>
      </c>
      <c r="F6" s="230">
        <f>IFERROR(VLOOKUP($D6,SortedDownload!$B$3:$Z$489,14,FALSE),"")</f>
        <v>6</v>
      </c>
      <c r="G6" s="230">
        <f>IFERROR(VLOOKUP($D6,SortedDownload!$B$3:$Z$489,15,FALSE),"")</f>
        <v>4</v>
      </c>
      <c r="H6" s="230">
        <f>IFERROR(VLOOKUP($D6,SortedDownload!$B$3:$Z$489,16,FALSE),"")</f>
        <v>1</v>
      </c>
      <c r="I6" s="230">
        <f>IFERROR(VLOOKUP($D6,SortedDownload!$B$3:$Z$489,17,FALSE),"")</f>
        <v>5</v>
      </c>
      <c r="J6" s="230">
        <f>IFERROR(VLOOKUP($D6,SortedDownload!$B$3:$Z$489,18,FALSE),"")</f>
        <v>7</v>
      </c>
      <c r="K6" s="230" t="str">
        <f>IFERROR(VLOOKUP($D6,SortedDownload!$B$3:$Z$489,19,FALSE),"")</f>
        <v/>
      </c>
      <c r="L6" s="230" t="str">
        <f>IFERROR(VLOOKUP($D6,SortedDownload!$B$3:$Z$489,20,FALSE),"")</f>
        <v/>
      </c>
      <c r="M6" s="230" t="str">
        <f>IFERROR(VLOOKUP($D6,SortedDownload!$B$3:$Z$489,21,FALSE),"")</f>
        <v/>
      </c>
      <c r="O6">
        <v>53</v>
      </c>
      <c r="P6">
        <f>IFERROR(VLOOKUP($O6,OverallResults!$B$3:$Z$508,2,FALSE),"")</f>
        <v>11</v>
      </c>
      <c r="Q6" t="str">
        <f>IFERROR(VLOOKUP($O6,OverallResults!$B$3:$Z$508,3,FALSE),"")</f>
        <v>Matthias Christen</v>
      </c>
      <c r="R6" t="str">
        <f>IFERROR(TEXT(VLOOKUP($O6,OverallResults!$B$3:$Z$489,17,FALSE),"[h]:mm:ss.0"),"")</f>
        <v>0:20:11.5</v>
      </c>
      <c r="S6" s="230">
        <f>IFERROR(VLOOKUP($Q6,SortedDownload!$B$3:$Z$489,14,FALSE),"")</f>
        <v>60</v>
      </c>
      <c r="T6" s="230">
        <f>IFERROR(VLOOKUP($Q6,SortedDownload!$B$3:$Z$489,15,FALSE),"")</f>
        <v>67</v>
      </c>
      <c r="U6" s="230">
        <f>IFERROR(VLOOKUP($Q6,SortedDownload!$B$3:$Z$489,16,FALSE),"")</f>
        <v>72</v>
      </c>
      <c r="V6" s="230">
        <f>IFERROR(VLOOKUP($Q6,SortedDownload!$B$3:$Z$489,17,FALSE),"")</f>
        <v>47</v>
      </c>
      <c r="W6" s="230">
        <f>IFERROR(VLOOKUP($Q6,SortedDownload!$B$3:$Z$489,18,FALSE),"")</f>
        <v>63</v>
      </c>
      <c r="X6" s="230" t="str">
        <f>IFERROR(VLOOKUP($Q6,SortedDownload!$B$3:$Z$489,19,FALSE),"")</f>
        <v/>
      </c>
      <c r="Y6" s="230" t="str">
        <f>IFERROR(VLOOKUP($Q6,SortedDownload!$B$3:$Z$489,20,FALSE),"")</f>
        <v/>
      </c>
      <c r="Z6" s="230" t="str">
        <f>IFERROR(VLOOKUP($Q6,SortedDownload!$B$3:$Z$489,21,FALSE),"")</f>
        <v/>
      </c>
      <c r="AB6">
        <v>103</v>
      </c>
      <c r="AC6">
        <f>IFERROR(VLOOKUP($AB6,OverallResults!$B$3:$Z$508,2,FALSE),"")</f>
        <v>1</v>
      </c>
      <c r="AD6" t="str">
        <f>IFERROR(VLOOKUP($AB6,OverallResults!$B$3:$Z$508,3,FALSE),"")</f>
        <v>Annemi Pfister</v>
      </c>
      <c r="AE6" t="str">
        <f>IFERROR(TEXT(VLOOKUP($AB6,OverallResults!$B$3:$Z$489,17,FALSE),"[h]:mm:ss.0"),"")</f>
        <v>0:23:20.4</v>
      </c>
      <c r="AF6" s="230">
        <f>IFERROR(VLOOKUP($AD6,SortedDownload!$B$3:$Z$489,14,FALSE),"")</f>
        <v>112</v>
      </c>
      <c r="AG6" s="230">
        <f>IFERROR(VLOOKUP($AD6,SortedDownload!$B$3:$Z$489,15,FALSE),"")</f>
        <v>134</v>
      </c>
      <c r="AH6" s="230">
        <f>IFERROR(VLOOKUP($AD6,SortedDownload!$B$3:$Z$489,16,FALSE),"")</f>
        <v>139</v>
      </c>
      <c r="AI6" s="230">
        <f>IFERROR(VLOOKUP($AD6,SortedDownload!$B$3:$Z$489,17,FALSE),"")</f>
        <v>104</v>
      </c>
      <c r="AJ6" s="230">
        <f>IFERROR(VLOOKUP($AD6,SortedDownload!$B$3:$Z$489,18,FALSE),"")</f>
        <v>132</v>
      </c>
      <c r="AK6" s="230" t="str">
        <f>IFERROR(VLOOKUP($AD6,SortedDownload!$B$3:$Z$489,19,FALSE),"")</f>
        <v/>
      </c>
      <c r="AL6" s="230" t="str">
        <f>IFERROR(VLOOKUP($AD6,SortedDownload!$B$3:$Z$489,20,FALSE),"")</f>
        <v/>
      </c>
      <c r="AM6" s="230" t="str">
        <f>IFERROR(VLOOKUP($AD6,SortedDownload!$B$3:$Z$489,21,FALSE),"")</f>
        <v/>
      </c>
      <c r="AO6">
        <v>153</v>
      </c>
      <c r="AP6">
        <f>IFERROR(VLOOKUP($AO6,OverallResults!$B$3:$Z$508,2,FALSE),"")</f>
        <v>15</v>
      </c>
      <c r="AQ6" t="str">
        <f>IFERROR(VLOOKUP($AO6,OverallResults!$B$3:$Z$508,3,FALSE),"")</f>
        <v>Michael Collins</v>
      </c>
      <c r="AR6" t="str">
        <f>IFERROR(TEXT(VLOOKUP($AO6,OverallResults!$B$3:$Z$489,17,FALSE),"[h]:mm:ss.0"),"")</f>
        <v>0:12:55.0</v>
      </c>
      <c r="AS6" s="230" t="str">
        <f>IFERROR(VLOOKUP($AQ6,SortedDownload!$B$3:$Z$489,14,FALSE),"")</f>
        <v/>
      </c>
      <c r="AT6" s="230">
        <f>IFERROR(VLOOKUP($AQ6,SortedDownload!$B$3:$Z$489,15,FALSE),"")</f>
        <v>121</v>
      </c>
      <c r="AU6" s="230">
        <f>IFERROR(VLOOKUP($AQ6,SortedDownload!$B$3:$Z$489,16,FALSE),"")</f>
        <v>179</v>
      </c>
      <c r="AV6" s="230" t="str">
        <f>IFERROR(VLOOKUP($AQ6,SortedDownload!$B$3:$Z$489,17,FALSE),"")</f>
        <v/>
      </c>
      <c r="AW6" s="230">
        <f>IFERROR(VLOOKUP($AQ6,SortedDownload!$B$3:$Z$489,18,FALSE),"")</f>
        <v>93</v>
      </c>
      <c r="AX6" s="230" t="str">
        <f>IFERROR(VLOOKUP($AQ6,SortedDownload!$B$3:$Z$489,19,FALSE),"")</f>
        <v/>
      </c>
      <c r="AY6" s="230" t="str">
        <f>IFERROR(VLOOKUP($AQ6,SortedDownload!$B$3:$Z$489,20,FALSE),"")</f>
        <v/>
      </c>
      <c r="AZ6" s="230" t="str">
        <f>IFERROR(VLOOKUP($AQ6,SortedDownload!$B$3:$Z$489,21,FALSE),"")</f>
        <v/>
      </c>
      <c r="BB6">
        <v>203</v>
      </c>
      <c r="BC6">
        <f>IFERROR(VLOOKUP($BB6,OverallResults!$B$3:$Z$508,2,FALSE),"")</f>
        <v>5</v>
      </c>
      <c r="BD6" t="str">
        <f>IFERROR(VLOOKUP($BB6,OverallResults!$B$3:$Z$508,3,FALSE),"")</f>
        <v>Dylan Wiggill</v>
      </c>
      <c r="BE6" t="str">
        <f>IFERROR(TEXT(VLOOKUP($BB6,OverallResults!$B$3:$Z$489,17,FALSE),"[h]:mm:ss.0"),"")</f>
        <v>0:15:23.0</v>
      </c>
      <c r="BF6" s="230" t="str">
        <f>IFERROR(VLOOKUP($BD6,SortedDownload!$B$3:$Z$489,14,FALSE),"")</f>
        <v/>
      </c>
      <c r="BG6" s="230">
        <f>IFERROR(VLOOKUP($BD6,SortedDownload!$B$3:$Z$489,15,FALSE),"")</f>
        <v>217</v>
      </c>
      <c r="BH6" s="230">
        <f>IFERROR(VLOOKUP($BD6,SortedDownload!$B$3:$Z$489,16,FALSE),"")</f>
        <v>232</v>
      </c>
      <c r="BI6" s="230" t="str">
        <f>IFERROR(VLOOKUP($BD6,SortedDownload!$B$3:$Z$489,17,FALSE),"")</f>
        <v/>
      </c>
      <c r="BJ6" s="230">
        <f>IFERROR(VLOOKUP($BD6,SortedDownload!$B$3:$Z$489,18,FALSE),"")</f>
        <v>200</v>
      </c>
      <c r="BK6" s="230" t="str">
        <f>IFERROR(VLOOKUP($BD6,SortedDownload!$B$3:$Z$489,19,FALSE),"")</f>
        <v/>
      </c>
      <c r="BL6" s="230" t="str">
        <f>IFERROR(VLOOKUP($BD6,SortedDownload!$B$3:$Z$489,20,FALSE),"")</f>
        <v/>
      </c>
      <c r="BM6" s="230" t="str">
        <f>IFERROR(VLOOKUP($BD6,SortedDownload!$B$3:$Z$489,21,FALSE),"")</f>
        <v/>
      </c>
      <c r="BO6">
        <v>253</v>
      </c>
      <c r="BP6" t="str">
        <f>IFERROR(VLOOKUP($BO6,OverallResults!$B$3:$Z$508,2,FALSE),"")</f>
        <v>DNF</v>
      </c>
      <c r="BQ6" t="str">
        <f>IFERROR(VLOOKUP($BO6,OverallResults!$B$3:$Z$508,3,FALSE),"")</f>
        <v/>
      </c>
      <c r="BR6" t="str">
        <f>IFERROR(TEXT(VLOOKUP($BO6,OverallResults!$B$3:$Z$489,17,FALSE),"[h]:mm:ss.0"),"")</f>
        <v/>
      </c>
      <c r="BS6" s="230" t="str">
        <f>IFERROR(VLOOKUP($BQ6,SortedDownload!$B$3:$Z$489,14,FALSE),"")</f>
        <v/>
      </c>
      <c r="BT6" s="230" t="str">
        <f>IFERROR(VLOOKUP($BQ6,SortedDownload!$B$3:$Z$489,15,FALSE),"")</f>
        <v/>
      </c>
      <c r="BU6" s="230" t="str">
        <f>IFERROR(VLOOKUP($BQ6,SortedDownload!$B$3:$Z$489,16,FALSE),"")</f>
        <v/>
      </c>
      <c r="BV6" s="230" t="str">
        <f>IFERROR(VLOOKUP($BQ6,SortedDownload!$B$3:$Z$489,17,FALSE),"")</f>
        <v/>
      </c>
      <c r="BW6" s="230" t="str">
        <f>IFERROR(VLOOKUP($BQ6,SortedDownload!$B$3:$Z$489,18,FALSE),"")</f>
        <v/>
      </c>
      <c r="BX6" s="230" t="str">
        <f>IFERROR(VLOOKUP($BQ6,SortedDownload!$B$3:$Z$489,19,FALSE),"")</f>
        <v/>
      </c>
      <c r="BY6" s="230" t="str">
        <f>IFERROR(VLOOKUP($BQ6,SortedDownload!$B$3:$Z$489,20,FALSE),"")</f>
        <v/>
      </c>
      <c r="BZ6" s="230" t="str">
        <f>IFERROR(VLOOKUP($BQ6,SortedDownload!$B$3:$Z$489,21,FALSE),"")</f>
        <v/>
      </c>
    </row>
    <row r="7" spans="2:78">
      <c r="B7">
        <v>4</v>
      </c>
      <c r="C7">
        <f>IFERROR(VLOOKUP($B7,OverallResults!$B$3:$Z$508,2,FALSE),"")</f>
        <v>1</v>
      </c>
      <c r="D7" t="str">
        <f>IFERROR(VLOOKUP($B7,OverallResults!$B$3:$Z$508,3,FALSE),"")</f>
        <v>Gert Heyns</v>
      </c>
      <c r="E7" t="str">
        <f>IFERROR(TEXT(VLOOKUP($B7,OverallResults!$B$3:$Z$489,17,FALSE),"[h]:mm:ss.0"),"")</f>
        <v>0:17:17.4</v>
      </c>
      <c r="F7" s="230">
        <f>IFERROR(VLOOKUP($D7,SortedDownload!$B$3:$Z$489,14,FALSE),"")</f>
        <v>11</v>
      </c>
      <c r="G7" s="230">
        <f>IFERROR(VLOOKUP($D7,SortedDownload!$B$3:$Z$489,15,FALSE),"")</f>
        <v>7</v>
      </c>
      <c r="H7" s="230">
        <f>IFERROR(VLOOKUP($D7,SortedDownload!$B$3:$Z$489,16,FALSE),"")</f>
        <v>14</v>
      </c>
      <c r="I7" s="230">
        <f>IFERROR(VLOOKUP($D7,SortedDownload!$B$3:$Z$489,17,FALSE),"")</f>
        <v>4</v>
      </c>
      <c r="J7" s="230">
        <f>IFERROR(VLOOKUP($D7,SortedDownload!$B$3:$Z$489,18,FALSE),"")</f>
        <v>2</v>
      </c>
      <c r="K7" s="230" t="str">
        <f>IFERROR(VLOOKUP($D7,SortedDownload!$B$3:$Z$489,19,FALSE),"")</f>
        <v/>
      </c>
      <c r="L7" s="230" t="str">
        <f>IFERROR(VLOOKUP($D7,SortedDownload!$B$3:$Z$489,20,FALSE),"")</f>
        <v/>
      </c>
      <c r="M7" s="230" t="str">
        <f>IFERROR(VLOOKUP($D7,SortedDownload!$B$3:$Z$489,21,FALSE),"")</f>
        <v/>
      </c>
      <c r="O7">
        <v>54</v>
      </c>
      <c r="P7">
        <f>IFERROR(VLOOKUP($O7,OverallResults!$B$3:$Z$508,2,FALSE),"")</f>
        <v>12</v>
      </c>
      <c r="Q7" t="str">
        <f>IFERROR(VLOOKUP($O7,OverallResults!$B$3:$Z$508,3,FALSE),"")</f>
        <v>Dale Barnard</v>
      </c>
      <c r="R7" t="str">
        <f>IFERROR(TEXT(VLOOKUP($O7,OverallResults!$B$3:$Z$489,17,FALSE),"[h]:mm:ss.0"),"")</f>
        <v>0:20:17.8</v>
      </c>
      <c r="S7" s="230">
        <f>IFERROR(VLOOKUP($Q7,SortedDownload!$B$3:$Z$489,14,FALSE),"")</f>
        <v>65</v>
      </c>
      <c r="T7" s="230">
        <f>IFERROR(VLOOKUP($Q7,SortedDownload!$B$3:$Z$489,15,FALSE),"")</f>
        <v>62</v>
      </c>
      <c r="U7" s="230">
        <f>IFERROR(VLOOKUP($Q7,SortedDownload!$B$3:$Z$489,16,FALSE),"")</f>
        <v>56</v>
      </c>
      <c r="V7" s="230">
        <f>IFERROR(VLOOKUP($Q7,SortedDownload!$B$3:$Z$489,17,FALSE),"")</f>
        <v>59</v>
      </c>
      <c r="W7" s="230">
        <f>IFERROR(VLOOKUP($Q7,SortedDownload!$B$3:$Z$489,18,FALSE),"")</f>
        <v>64</v>
      </c>
      <c r="X7" s="230" t="str">
        <f>IFERROR(VLOOKUP($Q7,SortedDownload!$B$3:$Z$489,19,FALSE),"")</f>
        <v/>
      </c>
      <c r="Y7" s="230" t="str">
        <f>IFERROR(VLOOKUP($Q7,SortedDownload!$B$3:$Z$489,20,FALSE),"")</f>
        <v/>
      </c>
      <c r="Z7" s="230" t="str">
        <f>IFERROR(VLOOKUP($Q7,SortedDownload!$B$3:$Z$489,21,FALSE),"")</f>
        <v/>
      </c>
      <c r="AB7">
        <v>104</v>
      </c>
      <c r="AC7">
        <f>IFERROR(VLOOKUP($AB7,OverallResults!$B$3:$Z$508,2,FALSE),"")</f>
        <v>29</v>
      </c>
      <c r="AD7" t="str">
        <f>IFERROR(VLOOKUP($AB7,OverallResults!$B$3:$Z$508,3,FALSE),"")</f>
        <v>James Eatwell</v>
      </c>
      <c r="AE7" t="str">
        <f>IFERROR(TEXT(VLOOKUP($AB7,OverallResults!$B$3:$Z$489,17,FALSE),"[h]:mm:ss.0"),"")</f>
        <v>0:23:27.9</v>
      </c>
      <c r="AF7" s="230">
        <f>IFERROR(VLOOKUP($AD7,SortedDownload!$B$3:$Z$489,14,FALSE),"")</f>
        <v>108</v>
      </c>
      <c r="AG7" s="230">
        <f>IFERROR(VLOOKUP($AD7,SortedDownload!$B$3:$Z$489,15,FALSE),"")</f>
        <v>122</v>
      </c>
      <c r="AH7" s="230">
        <f>IFERROR(VLOOKUP($AD7,SortedDownload!$B$3:$Z$489,16,FALSE),"")</f>
        <v>146</v>
      </c>
      <c r="AI7" s="230">
        <f>IFERROR(VLOOKUP($AD7,SortedDownload!$B$3:$Z$489,17,FALSE),"")</f>
        <v>117</v>
      </c>
      <c r="AJ7" s="230">
        <f>IFERROR(VLOOKUP($AD7,SortedDownload!$B$3:$Z$489,18,FALSE),"")</f>
        <v>142</v>
      </c>
      <c r="AK7" s="230" t="str">
        <f>IFERROR(VLOOKUP($AD7,SortedDownload!$B$3:$Z$489,19,FALSE),"")</f>
        <v/>
      </c>
      <c r="AL7" s="230" t="str">
        <f>IFERROR(VLOOKUP($AD7,SortedDownload!$B$3:$Z$489,20,FALSE),"")</f>
        <v/>
      </c>
      <c r="AM7" s="230" t="str">
        <f>IFERROR(VLOOKUP($AD7,SortedDownload!$B$3:$Z$489,21,FALSE),"")</f>
        <v/>
      </c>
      <c r="AO7">
        <v>154</v>
      </c>
      <c r="AP7">
        <f>IFERROR(VLOOKUP($AO7,OverallResults!$B$3:$Z$508,2,FALSE),"")</f>
        <v>16</v>
      </c>
      <c r="AQ7" t="str">
        <f>IFERROR(VLOOKUP($AO7,OverallResults!$B$3:$Z$508,3,FALSE),"")</f>
        <v>Carlo Stephens</v>
      </c>
      <c r="AR7" t="str">
        <f>IFERROR(TEXT(VLOOKUP($AO7,OverallResults!$B$3:$Z$489,17,FALSE),"[h]:mm:ss.0"),"")</f>
        <v>0:12:58.5</v>
      </c>
      <c r="AS7" s="230" t="str">
        <f>IFERROR(VLOOKUP($AQ7,SortedDownload!$B$3:$Z$489,14,FALSE),"")</f>
        <v/>
      </c>
      <c r="AT7" s="230">
        <f>IFERROR(VLOOKUP($AQ7,SortedDownload!$B$3:$Z$489,15,FALSE),"")</f>
        <v>133</v>
      </c>
      <c r="AU7" s="230">
        <f>IFERROR(VLOOKUP($AQ7,SortedDownload!$B$3:$Z$489,16,FALSE),"")</f>
        <v>159</v>
      </c>
      <c r="AV7" s="230" t="str">
        <f>IFERROR(VLOOKUP($AQ7,SortedDownload!$B$3:$Z$489,17,FALSE),"")</f>
        <v/>
      </c>
      <c r="AW7" s="230">
        <f>IFERROR(VLOOKUP($AQ7,SortedDownload!$B$3:$Z$489,18,FALSE),"")</f>
        <v>106</v>
      </c>
      <c r="AX7" s="230" t="str">
        <f>IFERROR(VLOOKUP($AQ7,SortedDownload!$B$3:$Z$489,19,FALSE),"")</f>
        <v/>
      </c>
      <c r="AY7" s="230" t="str">
        <f>IFERROR(VLOOKUP($AQ7,SortedDownload!$B$3:$Z$489,20,FALSE),"")</f>
        <v/>
      </c>
      <c r="AZ7" s="230" t="str">
        <f>IFERROR(VLOOKUP($AQ7,SortedDownload!$B$3:$Z$489,21,FALSE),"")</f>
        <v/>
      </c>
      <c r="BB7">
        <v>204</v>
      </c>
      <c r="BC7">
        <f>IFERROR(VLOOKUP($BB7,OverallResults!$B$3:$Z$508,2,FALSE),"")</f>
        <v>40</v>
      </c>
      <c r="BD7" t="str">
        <f>IFERROR(VLOOKUP($BB7,OverallResults!$B$3:$Z$508,3,FALSE),"")</f>
        <v>Frans Smit</v>
      </c>
      <c r="BE7" t="str">
        <f>IFERROR(TEXT(VLOOKUP($BB7,OverallResults!$B$3:$Z$489,17,FALSE),"[h]:mm:ss.0"),"")</f>
        <v>0:15:24.5</v>
      </c>
      <c r="BF7" s="230" t="str">
        <f>IFERROR(VLOOKUP($BD7,SortedDownload!$B$3:$Z$489,14,FALSE),"")</f>
        <v/>
      </c>
      <c r="BG7" s="230">
        <f>IFERROR(VLOOKUP($BD7,SortedDownload!$B$3:$Z$489,15,FALSE),"")</f>
        <v>241</v>
      </c>
      <c r="BH7" s="230">
        <f>IFERROR(VLOOKUP($BD7,SortedDownload!$B$3:$Z$489,16,FALSE),"")</f>
        <v>198</v>
      </c>
      <c r="BI7" s="230" t="str">
        <f>IFERROR(VLOOKUP($BD7,SortedDownload!$B$3:$Z$489,17,FALSE),"")</f>
        <v/>
      </c>
      <c r="BJ7" s="230">
        <f>IFERROR(VLOOKUP($BD7,SortedDownload!$B$3:$Z$489,18,FALSE),"")</f>
        <v>179</v>
      </c>
      <c r="BK7" s="230" t="str">
        <f>IFERROR(VLOOKUP($BD7,SortedDownload!$B$3:$Z$489,19,FALSE),"")</f>
        <v/>
      </c>
      <c r="BL7" s="230" t="str">
        <f>IFERROR(VLOOKUP($BD7,SortedDownload!$B$3:$Z$489,20,FALSE),"")</f>
        <v/>
      </c>
      <c r="BM7" s="230" t="str">
        <f>IFERROR(VLOOKUP($BD7,SortedDownload!$B$3:$Z$489,21,FALSE),"")</f>
        <v/>
      </c>
      <c r="BO7">
        <v>254</v>
      </c>
      <c r="BP7" t="str">
        <f>IFERROR(VLOOKUP($BO7,OverallResults!$B$3:$Z$508,2,FALSE),"")</f>
        <v>DNF</v>
      </c>
      <c r="BQ7" t="str">
        <f>IFERROR(VLOOKUP($BO7,OverallResults!$B$3:$Z$508,3,FALSE),"")</f>
        <v/>
      </c>
      <c r="BR7" t="str">
        <f>IFERROR(TEXT(VLOOKUP($BO7,OverallResults!$B$3:$Z$489,17,FALSE),"[h]:mm:ss.0"),"")</f>
        <v/>
      </c>
      <c r="BS7" s="230" t="str">
        <f>IFERROR(VLOOKUP($BQ7,SortedDownload!$B$3:$Z$489,14,FALSE),"")</f>
        <v/>
      </c>
      <c r="BT7" s="230" t="str">
        <f>IFERROR(VLOOKUP($BQ7,SortedDownload!$B$3:$Z$489,15,FALSE),"")</f>
        <v/>
      </c>
      <c r="BU7" s="230" t="str">
        <f>IFERROR(VLOOKUP($BQ7,SortedDownload!$B$3:$Z$489,16,FALSE),"")</f>
        <v/>
      </c>
      <c r="BV7" s="230" t="str">
        <f>IFERROR(VLOOKUP($BQ7,SortedDownload!$B$3:$Z$489,17,FALSE),"")</f>
        <v/>
      </c>
      <c r="BW7" s="230" t="str">
        <f>IFERROR(VLOOKUP($BQ7,SortedDownload!$B$3:$Z$489,18,FALSE),"")</f>
        <v/>
      </c>
      <c r="BX7" s="230" t="str">
        <f>IFERROR(VLOOKUP($BQ7,SortedDownload!$B$3:$Z$489,19,FALSE),"")</f>
        <v/>
      </c>
      <c r="BY7" s="230" t="str">
        <f>IFERROR(VLOOKUP($BQ7,SortedDownload!$B$3:$Z$489,20,FALSE),"")</f>
        <v/>
      </c>
      <c r="BZ7" s="230" t="str">
        <f>IFERROR(VLOOKUP($BQ7,SortedDownload!$B$3:$Z$489,21,FALSE),"")</f>
        <v/>
      </c>
    </row>
    <row r="8" spans="2:78">
      <c r="B8">
        <v>5</v>
      </c>
      <c r="C8">
        <f>IFERROR(VLOOKUP($B8,OverallResults!$B$3:$Z$508,2,FALSE),"")</f>
        <v>2</v>
      </c>
      <c r="D8" t="str">
        <f>IFERROR(VLOOKUP($B8,OverallResults!$B$3:$Z$508,3,FALSE),"")</f>
        <v>Lance Morris</v>
      </c>
      <c r="E8" t="str">
        <f>IFERROR(TEXT(VLOOKUP($B8,OverallResults!$B$3:$Z$489,17,FALSE),"[h]:mm:ss.0"),"")</f>
        <v>0:17:25.4</v>
      </c>
      <c r="F8" s="230">
        <f>IFERROR(VLOOKUP($D8,SortedDownload!$B$3:$Z$489,14,FALSE),"")</f>
        <v>5</v>
      </c>
      <c r="G8" s="230">
        <f>IFERROR(VLOOKUP($D8,SortedDownload!$B$3:$Z$489,15,FALSE),"")</f>
        <v>3</v>
      </c>
      <c r="H8" s="230">
        <f>IFERROR(VLOOKUP($D8,SortedDownload!$B$3:$Z$489,16,FALSE),"")</f>
        <v>12</v>
      </c>
      <c r="I8" s="230">
        <f>IFERROR(VLOOKUP($D8,SortedDownload!$B$3:$Z$489,17,FALSE),"")</f>
        <v>10</v>
      </c>
      <c r="J8" s="230">
        <f>IFERROR(VLOOKUP($D8,SortedDownload!$B$3:$Z$489,18,FALSE),"")</f>
        <v>9</v>
      </c>
      <c r="K8" s="230" t="str">
        <f>IFERROR(VLOOKUP($D8,SortedDownload!$B$3:$Z$489,19,FALSE),"")</f>
        <v/>
      </c>
      <c r="L8" s="230" t="str">
        <f>IFERROR(VLOOKUP($D8,SortedDownload!$B$3:$Z$489,20,FALSE),"")</f>
        <v/>
      </c>
      <c r="M8" s="230" t="str">
        <f>IFERROR(VLOOKUP($D8,SortedDownload!$B$3:$Z$489,21,FALSE),"")</f>
        <v/>
      </c>
      <c r="O8">
        <v>55</v>
      </c>
      <c r="P8">
        <f>IFERROR(VLOOKUP($O8,OverallResults!$B$3:$Z$508,2,FALSE),"")</f>
        <v>14</v>
      </c>
      <c r="Q8" t="str">
        <f>IFERROR(VLOOKUP($O8,OverallResults!$B$3:$Z$508,3,FALSE),"")</f>
        <v>Jano Gildenhuys</v>
      </c>
      <c r="R8" t="str">
        <f>IFERROR(TEXT(VLOOKUP($O8,OverallResults!$B$3:$Z$489,17,FALSE),"[h]:mm:ss.0"),"")</f>
        <v>0:20:24.2</v>
      </c>
      <c r="S8" s="230">
        <f>IFERROR(VLOOKUP($Q8,SortedDownload!$B$3:$Z$489,14,FALSE),"")</f>
        <v>52</v>
      </c>
      <c r="T8" s="230">
        <f>IFERROR(VLOOKUP($Q8,SortedDownload!$B$3:$Z$489,15,FALSE),"")</f>
        <v>98</v>
      </c>
      <c r="U8" s="230">
        <f>IFERROR(VLOOKUP($Q8,SortedDownload!$B$3:$Z$489,16,FALSE),"")</f>
        <v>55</v>
      </c>
      <c r="V8" s="230">
        <f>IFERROR(VLOOKUP($Q8,SortedDownload!$B$3:$Z$489,17,FALSE),"")</f>
        <v>51</v>
      </c>
      <c r="W8" s="230">
        <f>IFERROR(VLOOKUP($Q8,SortedDownload!$B$3:$Z$489,18,FALSE),"")</f>
        <v>89</v>
      </c>
      <c r="X8" s="230" t="str">
        <f>IFERROR(VLOOKUP($Q8,SortedDownload!$B$3:$Z$489,19,FALSE),"")</f>
        <v/>
      </c>
      <c r="Y8" s="230" t="str">
        <f>IFERROR(VLOOKUP($Q8,SortedDownload!$B$3:$Z$489,20,FALSE),"")</f>
        <v/>
      </c>
      <c r="Z8" s="230" t="str">
        <f>IFERROR(VLOOKUP($Q8,SortedDownload!$B$3:$Z$489,21,FALSE),"")</f>
        <v/>
      </c>
      <c r="AB8">
        <v>105</v>
      </c>
      <c r="AC8">
        <f>IFERROR(VLOOKUP($AB8,OverallResults!$B$3:$Z$508,2,FALSE),"")</f>
        <v>30</v>
      </c>
      <c r="AD8" t="str">
        <f>IFERROR(VLOOKUP($AB8,OverallResults!$B$3:$Z$508,3,FALSE),"")</f>
        <v>Ian Williams</v>
      </c>
      <c r="AE8" t="str">
        <f>IFERROR(TEXT(VLOOKUP($AB8,OverallResults!$B$3:$Z$489,17,FALSE),"[h]:mm:ss.0"),"")</f>
        <v>0:23:35.0</v>
      </c>
      <c r="AF8" s="230">
        <f>IFERROR(VLOOKUP($AD8,SortedDownload!$B$3:$Z$489,14,FALSE),"")</f>
        <v>115</v>
      </c>
      <c r="AG8" s="230">
        <f>IFERROR(VLOOKUP($AD8,SortedDownload!$B$3:$Z$489,15,FALSE),"")</f>
        <v>157</v>
      </c>
      <c r="AH8" s="230">
        <f>IFERROR(VLOOKUP($AD8,SortedDownload!$B$3:$Z$489,16,FALSE),"")</f>
        <v>155</v>
      </c>
      <c r="AI8" s="230">
        <f>IFERROR(VLOOKUP($AD8,SortedDownload!$B$3:$Z$489,17,FALSE),"")</f>
        <v>102</v>
      </c>
      <c r="AJ8" s="230">
        <f>IFERROR(VLOOKUP($AD8,SortedDownload!$B$3:$Z$489,18,FALSE),"")</f>
        <v>140</v>
      </c>
      <c r="AK8" s="230" t="str">
        <f>IFERROR(VLOOKUP($AD8,SortedDownload!$B$3:$Z$489,19,FALSE),"")</f>
        <v/>
      </c>
      <c r="AL8" s="230" t="str">
        <f>IFERROR(VLOOKUP($AD8,SortedDownload!$B$3:$Z$489,20,FALSE),"")</f>
        <v/>
      </c>
      <c r="AM8" s="230" t="str">
        <f>IFERROR(VLOOKUP($AD8,SortedDownload!$B$3:$Z$489,21,FALSE),"")</f>
        <v/>
      </c>
      <c r="AO8">
        <v>155</v>
      </c>
      <c r="AP8">
        <f>IFERROR(VLOOKUP($AO8,OverallResults!$B$3:$Z$508,2,FALSE),"")</f>
        <v>5</v>
      </c>
      <c r="AQ8" t="str">
        <f>IFERROR(VLOOKUP($AO8,OverallResults!$B$3:$Z$508,3,FALSE),"")</f>
        <v>Nico De Nysschen</v>
      </c>
      <c r="AR8" t="str">
        <f>IFERROR(TEXT(VLOOKUP($AO8,OverallResults!$B$3:$Z$489,17,FALSE),"[h]:mm:ss.0"),"")</f>
        <v>0:12:59.8</v>
      </c>
      <c r="AS8" s="230" t="str">
        <f>IFERROR(VLOOKUP($AQ8,SortedDownload!$B$3:$Z$489,14,FALSE),"")</f>
        <v/>
      </c>
      <c r="AT8" s="230">
        <f>IFERROR(VLOOKUP($AQ8,SortedDownload!$B$3:$Z$489,15,FALSE),"")</f>
        <v>155</v>
      </c>
      <c r="AU8" s="230">
        <f>IFERROR(VLOOKUP($AQ8,SortedDownload!$B$3:$Z$489,16,FALSE),"")</f>
        <v>133</v>
      </c>
      <c r="AV8" s="230" t="str">
        <f>IFERROR(VLOOKUP($AQ8,SortedDownload!$B$3:$Z$489,17,FALSE),"")</f>
        <v/>
      </c>
      <c r="AW8" s="230">
        <f>IFERROR(VLOOKUP($AQ8,SortedDownload!$B$3:$Z$489,18,FALSE),"")</f>
        <v>104</v>
      </c>
      <c r="AX8" s="230" t="str">
        <f>IFERROR(VLOOKUP($AQ8,SortedDownload!$B$3:$Z$489,19,FALSE),"")</f>
        <v/>
      </c>
      <c r="AY8" s="230" t="str">
        <f>IFERROR(VLOOKUP($AQ8,SortedDownload!$B$3:$Z$489,20,FALSE),"")</f>
        <v/>
      </c>
      <c r="AZ8" s="230" t="str">
        <f>IFERROR(VLOOKUP($AQ8,SortedDownload!$B$3:$Z$489,21,FALSE),"")</f>
        <v/>
      </c>
      <c r="BB8">
        <v>205</v>
      </c>
      <c r="BC8">
        <f>IFERROR(VLOOKUP($BB8,OverallResults!$B$3:$Z$508,2,FALSE),"")</f>
        <v>8</v>
      </c>
      <c r="BD8" t="str">
        <f>IFERROR(VLOOKUP($BB8,OverallResults!$B$3:$Z$508,3,FALSE),"")</f>
        <v>Alisha Myers</v>
      </c>
      <c r="BE8" t="str">
        <f>IFERROR(TEXT(VLOOKUP($BB8,OverallResults!$B$3:$Z$489,17,FALSE),"[h]:mm:ss.0"),"")</f>
        <v>0:15:24.9</v>
      </c>
      <c r="BF8" s="230" t="str">
        <f>IFERROR(VLOOKUP($BD8,SortedDownload!$B$3:$Z$489,14,FALSE),"")</f>
        <v/>
      </c>
      <c r="BG8" s="230">
        <f>IFERROR(VLOOKUP($BD8,SortedDownload!$B$3:$Z$489,15,FALSE),"")</f>
        <v>222</v>
      </c>
      <c r="BH8" s="230">
        <f>IFERROR(VLOOKUP($BD8,SortedDownload!$B$3:$Z$489,16,FALSE),"")</f>
        <v>213</v>
      </c>
      <c r="BI8" s="230" t="str">
        <f>IFERROR(VLOOKUP($BD8,SortedDownload!$B$3:$Z$489,17,FALSE),"")</f>
        <v/>
      </c>
      <c r="BJ8" s="230">
        <f>IFERROR(VLOOKUP($BD8,SortedDownload!$B$3:$Z$489,18,FALSE),"")</f>
        <v>214</v>
      </c>
      <c r="BK8" s="230" t="str">
        <f>IFERROR(VLOOKUP($BD8,SortedDownload!$B$3:$Z$489,19,FALSE),"")</f>
        <v/>
      </c>
      <c r="BL8" s="230" t="str">
        <f>IFERROR(VLOOKUP($BD8,SortedDownload!$B$3:$Z$489,20,FALSE),"")</f>
        <v/>
      </c>
      <c r="BM8" s="230" t="str">
        <f>IFERROR(VLOOKUP($BD8,SortedDownload!$B$3:$Z$489,21,FALSE),"")</f>
        <v/>
      </c>
      <c r="BO8">
        <v>255</v>
      </c>
      <c r="BP8" t="str">
        <f>IFERROR(VLOOKUP($BO8,OverallResults!$B$3:$Z$508,2,FALSE),"")</f>
        <v>DNF</v>
      </c>
      <c r="BQ8" t="str">
        <f>IFERROR(VLOOKUP($BO8,OverallResults!$B$3:$Z$508,3,FALSE),"")</f>
        <v/>
      </c>
      <c r="BR8" t="str">
        <f>IFERROR(TEXT(VLOOKUP($BO8,OverallResults!$B$3:$Z$489,17,FALSE),"[h]:mm:ss.0"),"")</f>
        <v/>
      </c>
      <c r="BS8" s="230" t="str">
        <f>IFERROR(VLOOKUP($BQ8,SortedDownload!$B$3:$Z$489,14,FALSE),"")</f>
        <v/>
      </c>
      <c r="BT8" s="230" t="str">
        <f>IFERROR(VLOOKUP($BQ8,SortedDownload!$B$3:$Z$489,15,FALSE),"")</f>
        <v/>
      </c>
      <c r="BU8" s="230" t="str">
        <f>IFERROR(VLOOKUP($BQ8,SortedDownload!$B$3:$Z$489,16,FALSE),"")</f>
        <v/>
      </c>
      <c r="BV8" s="230" t="str">
        <f>IFERROR(VLOOKUP($BQ8,SortedDownload!$B$3:$Z$489,17,FALSE),"")</f>
        <v/>
      </c>
      <c r="BW8" s="230" t="str">
        <f>IFERROR(VLOOKUP($BQ8,SortedDownload!$B$3:$Z$489,18,FALSE),"")</f>
        <v/>
      </c>
      <c r="BX8" s="230" t="str">
        <f>IFERROR(VLOOKUP($BQ8,SortedDownload!$B$3:$Z$489,19,FALSE),"")</f>
        <v/>
      </c>
      <c r="BY8" s="230" t="str">
        <f>IFERROR(VLOOKUP($BQ8,SortedDownload!$B$3:$Z$489,20,FALSE),"")</f>
        <v/>
      </c>
      <c r="BZ8" s="230" t="str">
        <f>IFERROR(VLOOKUP($BQ8,SortedDownload!$B$3:$Z$489,21,FALSE),"")</f>
        <v/>
      </c>
    </row>
    <row r="9" spans="2:78">
      <c r="B9">
        <v>6</v>
      </c>
      <c r="C9">
        <f>IFERROR(VLOOKUP($B9,OverallResults!$B$3:$Z$508,2,FALSE),"")</f>
        <v>2</v>
      </c>
      <c r="D9" t="str">
        <f>IFERROR(VLOOKUP($B9,OverallResults!$B$3:$Z$508,3,FALSE),"")</f>
        <v>Matt Lombardi</v>
      </c>
      <c r="E9" t="str">
        <f>IFERROR(TEXT(VLOOKUP($B9,OverallResults!$B$3:$Z$489,17,FALSE),"[h]:mm:ss.0"),"")</f>
        <v>0:17:26.6</v>
      </c>
      <c r="F9" s="230">
        <f>IFERROR(VLOOKUP($D9,SortedDownload!$B$3:$Z$489,14,FALSE),"")</f>
        <v>2</v>
      </c>
      <c r="G9" s="230">
        <f>IFERROR(VLOOKUP($D9,SortedDownload!$B$3:$Z$489,15,FALSE),"")</f>
        <v>1</v>
      </c>
      <c r="H9" s="230">
        <f>IFERROR(VLOOKUP($D9,SortedDownload!$B$3:$Z$489,16,FALSE),"")</f>
        <v>3</v>
      </c>
      <c r="I9" s="230">
        <f>IFERROR(VLOOKUP($D9,SortedDownload!$B$3:$Z$489,17,FALSE),"")</f>
        <v>1</v>
      </c>
      <c r="J9" s="230">
        <f>IFERROR(VLOOKUP($D9,SortedDownload!$B$3:$Z$489,18,FALSE),"")</f>
        <v>61</v>
      </c>
      <c r="K9" s="230" t="str">
        <f>IFERROR(VLOOKUP($D9,SortedDownload!$B$3:$Z$489,19,FALSE),"")</f>
        <v/>
      </c>
      <c r="L9" s="230" t="str">
        <f>IFERROR(VLOOKUP($D9,SortedDownload!$B$3:$Z$489,20,FALSE),"")</f>
        <v/>
      </c>
      <c r="M9" s="230" t="str">
        <f>IFERROR(VLOOKUP($D9,SortedDownload!$B$3:$Z$489,21,FALSE),"")</f>
        <v/>
      </c>
      <c r="O9">
        <v>56</v>
      </c>
      <c r="P9">
        <f>IFERROR(VLOOKUP($O9,OverallResults!$B$3:$Z$508,2,FALSE),"")</f>
        <v>8</v>
      </c>
      <c r="Q9" t="str">
        <f>IFERROR(VLOOKUP($O9,OverallResults!$B$3:$Z$508,3,FALSE),"")</f>
        <v>Dewald Oosthuizen</v>
      </c>
      <c r="R9" t="str">
        <f>IFERROR(TEXT(VLOOKUP($O9,OverallResults!$B$3:$Z$489,17,FALSE),"[h]:mm:ss.0"),"")</f>
        <v>0:20:26.1</v>
      </c>
      <c r="S9" s="230">
        <f>IFERROR(VLOOKUP($Q9,SortedDownload!$B$3:$Z$489,14,FALSE),"")</f>
        <v>61</v>
      </c>
      <c r="T9" s="230">
        <f>IFERROR(VLOOKUP($Q9,SortedDownload!$B$3:$Z$489,15,FALSE),"")</f>
        <v>69</v>
      </c>
      <c r="U9" s="230">
        <f>IFERROR(VLOOKUP($Q9,SortedDownload!$B$3:$Z$489,16,FALSE),"")</f>
        <v>73</v>
      </c>
      <c r="V9" s="230">
        <f>IFERROR(VLOOKUP($Q9,SortedDownload!$B$3:$Z$489,17,FALSE),"")</f>
        <v>62</v>
      </c>
      <c r="W9" s="230">
        <f>IFERROR(VLOOKUP($Q9,SortedDownload!$B$3:$Z$489,18,FALSE),"")</f>
        <v>66</v>
      </c>
      <c r="X9" s="230" t="str">
        <f>IFERROR(VLOOKUP($Q9,SortedDownload!$B$3:$Z$489,19,FALSE),"")</f>
        <v/>
      </c>
      <c r="Y9" s="230" t="str">
        <f>IFERROR(VLOOKUP($Q9,SortedDownload!$B$3:$Z$489,20,FALSE),"")</f>
        <v/>
      </c>
      <c r="Z9" s="230" t="str">
        <f>IFERROR(VLOOKUP($Q9,SortedDownload!$B$3:$Z$489,21,FALSE),"")</f>
        <v/>
      </c>
      <c r="AB9">
        <v>106</v>
      </c>
      <c r="AC9">
        <f>IFERROR(VLOOKUP($AB9,OverallResults!$B$3:$Z$508,2,FALSE),"")</f>
        <v>3</v>
      </c>
      <c r="AD9" t="str">
        <f>IFERROR(VLOOKUP($AB9,OverallResults!$B$3:$Z$508,3,FALSE),"")</f>
        <v>Robyn Emslie</v>
      </c>
      <c r="AE9" t="str">
        <f>IFERROR(TEXT(VLOOKUP($AB9,OverallResults!$B$3:$Z$489,17,FALSE),"[h]:mm:ss.0"),"")</f>
        <v>0:23:35.6</v>
      </c>
      <c r="AF9" s="230">
        <f>IFERROR(VLOOKUP($AD9,SortedDownload!$B$3:$Z$489,14,FALSE),"")</f>
        <v>119</v>
      </c>
      <c r="AG9" s="230">
        <f>IFERROR(VLOOKUP($AD9,SortedDownload!$B$3:$Z$489,15,FALSE),"")</f>
        <v>136</v>
      </c>
      <c r="AH9" s="230">
        <f>IFERROR(VLOOKUP($AD9,SortedDownload!$B$3:$Z$489,16,FALSE),"")</f>
        <v>138</v>
      </c>
      <c r="AI9" s="230">
        <f>IFERROR(VLOOKUP($AD9,SortedDownload!$B$3:$Z$489,17,FALSE),"")</f>
        <v>101</v>
      </c>
      <c r="AJ9" s="230">
        <f>IFERROR(VLOOKUP($AD9,SortedDownload!$B$3:$Z$489,18,FALSE),"")</f>
        <v>125</v>
      </c>
      <c r="AK9" s="230" t="str">
        <f>IFERROR(VLOOKUP($AD9,SortedDownload!$B$3:$Z$489,19,FALSE),"")</f>
        <v/>
      </c>
      <c r="AL9" s="230" t="str">
        <f>IFERROR(VLOOKUP($AD9,SortedDownload!$B$3:$Z$489,20,FALSE),"")</f>
        <v/>
      </c>
      <c r="AM9" s="230" t="str">
        <f>IFERROR(VLOOKUP($AD9,SortedDownload!$B$3:$Z$489,21,FALSE),"")</f>
        <v/>
      </c>
      <c r="AO9">
        <v>156</v>
      </c>
      <c r="AP9">
        <f>IFERROR(VLOOKUP($AO9,OverallResults!$B$3:$Z$508,2,FALSE),"")</f>
        <v>17</v>
      </c>
      <c r="AQ9" t="str">
        <f>IFERROR(VLOOKUP($AO9,OverallResults!$B$3:$Z$508,3,FALSE),"")</f>
        <v>Gary Kroukamp</v>
      </c>
      <c r="AR9" t="str">
        <f>IFERROR(TEXT(VLOOKUP($AO9,OverallResults!$B$3:$Z$489,17,FALSE),"[h]:mm:ss.0"),"")</f>
        <v>0:13:04.6</v>
      </c>
      <c r="AS9" s="230" t="str">
        <f>IFERROR(VLOOKUP($AQ9,SortedDownload!$B$3:$Z$489,14,FALSE),"")</f>
        <v/>
      </c>
      <c r="AT9" s="230">
        <f>IFERROR(VLOOKUP($AQ9,SortedDownload!$B$3:$Z$489,15,FALSE),"")</f>
        <v>143</v>
      </c>
      <c r="AU9" s="230">
        <f>IFERROR(VLOOKUP($AQ9,SortedDownload!$B$3:$Z$489,16,FALSE),"")</f>
        <v>126</v>
      </c>
      <c r="AV9" s="230" t="str">
        <f>IFERROR(VLOOKUP($AQ9,SortedDownload!$B$3:$Z$489,17,FALSE),"")</f>
        <v/>
      </c>
      <c r="AW9" s="230">
        <f>IFERROR(VLOOKUP($AQ9,SortedDownload!$B$3:$Z$489,18,FALSE),"")</f>
        <v>134</v>
      </c>
      <c r="AX9" s="230" t="str">
        <f>IFERROR(VLOOKUP($AQ9,SortedDownload!$B$3:$Z$489,19,FALSE),"")</f>
        <v/>
      </c>
      <c r="AY9" s="230" t="str">
        <f>IFERROR(VLOOKUP($AQ9,SortedDownload!$B$3:$Z$489,20,FALSE),"")</f>
        <v/>
      </c>
      <c r="AZ9" s="230" t="str">
        <f>IFERROR(VLOOKUP($AQ9,SortedDownload!$B$3:$Z$489,21,FALSE),"")</f>
        <v/>
      </c>
      <c r="BB9">
        <v>206</v>
      </c>
      <c r="BC9">
        <f>IFERROR(VLOOKUP($BB9,OverallResults!$B$3:$Z$508,2,FALSE),"")</f>
        <v>41</v>
      </c>
      <c r="BD9" t="str">
        <f>IFERROR(VLOOKUP($BB9,OverallResults!$B$3:$Z$508,3,FALSE),"")</f>
        <v>Adam Bethlehem</v>
      </c>
      <c r="BE9" t="str">
        <f>IFERROR(TEXT(VLOOKUP($BB9,OverallResults!$B$3:$Z$489,17,FALSE),"[h]:mm:ss.0"),"")</f>
        <v>0:15:25.2</v>
      </c>
      <c r="BF9" s="230" t="str">
        <f>IFERROR(VLOOKUP($BD9,SortedDownload!$B$3:$Z$489,14,FALSE),"")</f>
        <v/>
      </c>
      <c r="BG9" s="230">
        <f>IFERROR(VLOOKUP($BD9,SortedDownload!$B$3:$Z$489,15,FALSE),"")</f>
        <v>229</v>
      </c>
      <c r="BH9" s="230">
        <f>IFERROR(VLOOKUP($BD9,SortedDownload!$B$3:$Z$489,16,FALSE),"")</f>
        <v>225</v>
      </c>
      <c r="BI9" s="230" t="str">
        <f>IFERROR(VLOOKUP($BD9,SortedDownload!$B$3:$Z$489,17,FALSE),"")</f>
        <v/>
      </c>
      <c r="BJ9" s="230">
        <f>IFERROR(VLOOKUP($BD9,SortedDownload!$B$3:$Z$489,18,FALSE),"")</f>
        <v>198</v>
      </c>
      <c r="BK9" s="230" t="str">
        <f>IFERROR(VLOOKUP($BD9,SortedDownload!$B$3:$Z$489,19,FALSE),"")</f>
        <v/>
      </c>
      <c r="BL9" s="230" t="str">
        <f>IFERROR(VLOOKUP($BD9,SortedDownload!$B$3:$Z$489,20,FALSE),"")</f>
        <v/>
      </c>
      <c r="BM9" s="230" t="str">
        <f>IFERROR(VLOOKUP($BD9,SortedDownload!$B$3:$Z$489,21,FALSE),"")</f>
        <v/>
      </c>
      <c r="BO9">
        <v>256</v>
      </c>
      <c r="BP9" t="str">
        <f>IFERROR(VLOOKUP($BO9,OverallResults!$B$3:$Z$508,2,FALSE),"")</f>
        <v>DNF</v>
      </c>
      <c r="BQ9" t="str">
        <f>IFERROR(VLOOKUP($BO9,OverallResults!$B$3:$Z$508,3,FALSE),"")</f>
        <v/>
      </c>
      <c r="BR9" t="str">
        <f>IFERROR(TEXT(VLOOKUP($BO9,OverallResults!$B$3:$Z$489,17,FALSE),"[h]:mm:ss.0"),"")</f>
        <v/>
      </c>
      <c r="BS9" s="230" t="str">
        <f>IFERROR(VLOOKUP($BQ9,SortedDownload!$B$3:$Z$489,14,FALSE),"")</f>
        <v/>
      </c>
      <c r="BT9" s="230" t="str">
        <f>IFERROR(VLOOKUP($BQ9,SortedDownload!$B$3:$Z$489,15,FALSE),"")</f>
        <v/>
      </c>
      <c r="BU9" s="230" t="str">
        <f>IFERROR(VLOOKUP($BQ9,SortedDownload!$B$3:$Z$489,16,FALSE),"")</f>
        <v/>
      </c>
      <c r="BV9" s="230" t="str">
        <f>IFERROR(VLOOKUP($BQ9,SortedDownload!$B$3:$Z$489,17,FALSE),"")</f>
        <v/>
      </c>
      <c r="BW9" s="230" t="str">
        <f>IFERROR(VLOOKUP($BQ9,SortedDownload!$B$3:$Z$489,18,FALSE),"")</f>
        <v/>
      </c>
      <c r="BX9" s="230" t="str">
        <f>IFERROR(VLOOKUP($BQ9,SortedDownload!$B$3:$Z$489,19,FALSE),"")</f>
        <v/>
      </c>
      <c r="BY9" s="230" t="str">
        <f>IFERROR(VLOOKUP($BQ9,SortedDownload!$B$3:$Z$489,20,FALSE),"")</f>
        <v/>
      </c>
      <c r="BZ9" s="230" t="str">
        <f>IFERROR(VLOOKUP($BQ9,SortedDownload!$B$3:$Z$489,21,FALSE),"")</f>
        <v/>
      </c>
    </row>
    <row r="10" spans="2:78">
      <c r="B10">
        <v>7</v>
      </c>
      <c r="C10">
        <f>IFERROR(VLOOKUP($B10,OverallResults!$B$3:$Z$508,2,FALSE),"")</f>
        <v>2</v>
      </c>
      <c r="D10" t="str">
        <f>IFERROR(VLOOKUP($B10,OverallResults!$B$3:$Z$508,3,FALSE),"")</f>
        <v>Gary Barnard</v>
      </c>
      <c r="E10" t="str">
        <f>IFERROR(TEXT(VLOOKUP($B10,OverallResults!$B$3:$Z$489,17,FALSE),"[h]:mm:ss.0"),"")</f>
        <v>0:17:28.6</v>
      </c>
      <c r="F10" s="230">
        <f>IFERROR(VLOOKUP($D10,SortedDownload!$B$3:$Z$489,14,FALSE),"")</f>
        <v>4</v>
      </c>
      <c r="G10" s="230">
        <f>IFERROR(VLOOKUP($D10,SortedDownload!$B$3:$Z$489,15,FALSE),"")</f>
        <v>6</v>
      </c>
      <c r="H10" s="230">
        <f>IFERROR(VLOOKUP($D10,SortedDownload!$B$3:$Z$489,16,FALSE),"")</f>
        <v>22</v>
      </c>
      <c r="I10" s="230">
        <f>IFERROR(VLOOKUP($D10,SortedDownload!$B$3:$Z$489,17,FALSE),"")</f>
        <v>7</v>
      </c>
      <c r="J10" s="230">
        <f>IFERROR(VLOOKUP($D10,SortedDownload!$B$3:$Z$489,18,FALSE),"")</f>
        <v>10</v>
      </c>
      <c r="K10" s="230" t="str">
        <f>IFERROR(VLOOKUP($D10,SortedDownload!$B$3:$Z$489,19,FALSE),"")</f>
        <v/>
      </c>
      <c r="L10" s="230" t="str">
        <f>IFERROR(VLOOKUP($D10,SortedDownload!$B$3:$Z$489,20,FALSE),"")</f>
        <v/>
      </c>
      <c r="M10" s="230" t="str">
        <f>IFERROR(VLOOKUP($D10,SortedDownload!$B$3:$Z$489,21,FALSE),"")</f>
        <v/>
      </c>
      <c r="O10">
        <v>57</v>
      </c>
      <c r="P10">
        <f>IFERROR(VLOOKUP($O10,OverallResults!$B$3:$Z$508,2,FALSE),"")</f>
        <v>9</v>
      </c>
      <c r="Q10" t="str">
        <f>IFERROR(VLOOKUP($O10,OverallResults!$B$3:$Z$508,3,FALSE),"")</f>
        <v>Marc Carr</v>
      </c>
      <c r="R10" t="str">
        <f>IFERROR(TEXT(VLOOKUP($O10,OverallResults!$B$3:$Z$489,17,FALSE),"[h]:mm:ss.0"),"")</f>
        <v>0:20:31.0</v>
      </c>
      <c r="S10" s="230">
        <f>IFERROR(VLOOKUP($Q10,SortedDownload!$B$3:$Z$489,14,FALSE),"")</f>
        <v>68</v>
      </c>
      <c r="T10" s="230">
        <f>IFERROR(VLOOKUP($Q10,SortedDownload!$B$3:$Z$489,15,FALSE),"")</f>
        <v>64</v>
      </c>
      <c r="U10" s="230">
        <f>IFERROR(VLOOKUP($Q10,SortedDownload!$B$3:$Z$489,16,FALSE),"")</f>
        <v>62</v>
      </c>
      <c r="V10" s="230">
        <f>IFERROR(VLOOKUP($Q10,SortedDownload!$B$3:$Z$489,17,FALSE),"")</f>
        <v>60</v>
      </c>
      <c r="W10" s="230">
        <f>IFERROR(VLOOKUP($Q10,SortedDownload!$B$3:$Z$489,18,FALSE),"")</f>
        <v>72</v>
      </c>
      <c r="X10" s="230" t="str">
        <f>IFERROR(VLOOKUP($Q10,SortedDownload!$B$3:$Z$489,19,FALSE),"")</f>
        <v/>
      </c>
      <c r="Y10" s="230" t="str">
        <f>IFERROR(VLOOKUP($Q10,SortedDownload!$B$3:$Z$489,20,FALSE),"")</f>
        <v/>
      </c>
      <c r="Z10" s="230" t="str">
        <f>IFERROR(VLOOKUP($Q10,SortedDownload!$B$3:$Z$489,21,FALSE),"")</f>
        <v/>
      </c>
      <c r="AB10">
        <v>107</v>
      </c>
      <c r="AC10">
        <f>IFERROR(VLOOKUP($AB10,OverallResults!$B$3:$Z$508,2,FALSE),"")</f>
        <v>31</v>
      </c>
      <c r="AD10" t="str">
        <f>IFERROR(VLOOKUP($AB10,OverallResults!$B$3:$Z$508,3,FALSE),"")</f>
        <v>Jaco Van Der Linde</v>
      </c>
      <c r="AE10" t="str">
        <f>IFERROR(TEXT(VLOOKUP($AB10,OverallResults!$B$3:$Z$489,17,FALSE),"[h]:mm:ss.0"),"")</f>
        <v>0:23:43.7</v>
      </c>
      <c r="AF10" s="230">
        <f>IFERROR(VLOOKUP($AD10,SortedDownload!$B$3:$Z$489,14,FALSE),"")</f>
        <v>132</v>
      </c>
      <c r="AG10" s="230">
        <f>IFERROR(VLOOKUP($AD10,SortedDownload!$B$3:$Z$489,15,FALSE),"")</f>
        <v>71</v>
      </c>
      <c r="AH10" s="230">
        <f>IFERROR(VLOOKUP($AD10,SortedDownload!$B$3:$Z$489,16,FALSE),"")</f>
        <v>100</v>
      </c>
      <c r="AI10" s="230">
        <f>IFERROR(VLOOKUP($AD10,SortedDownload!$B$3:$Z$489,17,FALSE),"")</f>
        <v>84</v>
      </c>
      <c r="AJ10" s="230">
        <f>IFERROR(VLOOKUP($AD10,SortedDownload!$B$3:$Z$489,18,FALSE),"")</f>
        <v>99</v>
      </c>
      <c r="AK10" s="230" t="str">
        <f>IFERROR(VLOOKUP($AD10,SortedDownload!$B$3:$Z$489,19,FALSE),"")</f>
        <v/>
      </c>
      <c r="AL10" s="230" t="str">
        <f>IFERROR(VLOOKUP($AD10,SortedDownload!$B$3:$Z$489,20,FALSE),"")</f>
        <v/>
      </c>
      <c r="AM10" s="230" t="str">
        <f>IFERROR(VLOOKUP($AD10,SortedDownload!$B$3:$Z$489,21,FALSE),"")</f>
        <v/>
      </c>
      <c r="AO10">
        <v>157</v>
      </c>
      <c r="AP10">
        <f>IFERROR(VLOOKUP($AO10,OverallResults!$B$3:$Z$508,2,FALSE),"")</f>
        <v>1</v>
      </c>
      <c r="AQ10" t="str">
        <f>IFERROR(VLOOKUP($AO10,OverallResults!$B$3:$Z$508,3,FALSE),"")</f>
        <v>Kylie Hanekom</v>
      </c>
      <c r="AR10" t="str">
        <f>IFERROR(TEXT(VLOOKUP($AO10,OverallResults!$B$3:$Z$489,17,FALSE),"[h]:mm:ss.0"),"")</f>
        <v>0:13:08.2</v>
      </c>
      <c r="AS10" s="230" t="str">
        <f>IFERROR(VLOOKUP($AQ10,SortedDownload!$B$3:$Z$489,14,FALSE),"")</f>
        <v/>
      </c>
      <c r="AT10" s="230">
        <f>IFERROR(VLOOKUP($AQ10,SortedDownload!$B$3:$Z$489,15,FALSE),"")</f>
        <v>116</v>
      </c>
      <c r="AU10" s="230">
        <f>IFERROR(VLOOKUP($AQ10,SortedDownload!$B$3:$Z$489,16,FALSE),"")</f>
        <v>137</v>
      </c>
      <c r="AV10" s="230" t="str">
        <f>IFERROR(VLOOKUP($AQ10,SortedDownload!$B$3:$Z$489,17,FALSE),"")</f>
        <v/>
      </c>
      <c r="AW10" s="230">
        <f>IFERROR(VLOOKUP($AQ10,SortedDownload!$B$3:$Z$489,18,FALSE),"")</f>
        <v>160</v>
      </c>
      <c r="AX10" s="230" t="str">
        <f>IFERROR(VLOOKUP($AQ10,SortedDownload!$B$3:$Z$489,19,FALSE),"")</f>
        <v/>
      </c>
      <c r="AY10" s="230" t="str">
        <f>IFERROR(VLOOKUP($AQ10,SortedDownload!$B$3:$Z$489,20,FALSE),"")</f>
        <v/>
      </c>
      <c r="AZ10" s="230" t="str">
        <f>IFERROR(VLOOKUP($AQ10,SortedDownload!$B$3:$Z$489,21,FALSE),"")</f>
        <v/>
      </c>
      <c r="BB10">
        <v>207</v>
      </c>
      <c r="BC10">
        <f>IFERROR(VLOOKUP($BB10,OverallResults!$B$3:$Z$508,2,FALSE),"")</f>
        <v>15</v>
      </c>
      <c r="BD10" t="str">
        <f>IFERROR(VLOOKUP($BB10,OverallResults!$B$3:$Z$508,3,FALSE),"")</f>
        <v>Gabriel Cohn</v>
      </c>
      <c r="BE10" t="str">
        <f>IFERROR(TEXT(VLOOKUP($BB10,OverallResults!$B$3:$Z$489,17,FALSE),"[h]:mm:ss.0"),"")</f>
        <v>0:15:34.5</v>
      </c>
      <c r="BF10" s="230" t="str">
        <f>IFERROR(VLOOKUP($BD10,SortedDownload!$B$3:$Z$489,14,FALSE),"")</f>
        <v/>
      </c>
      <c r="BG10" s="230">
        <f>IFERROR(VLOOKUP($BD10,SortedDownload!$B$3:$Z$489,15,FALSE),"")</f>
        <v>232</v>
      </c>
      <c r="BH10" s="230">
        <f>IFERROR(VLOOKUP($BD10,SortedDownload!$B$3:$Z$489,16,FALSE),"")</f>
        <v>227</v>
      </c>
      <c r="BI10" s="230" t="str">
        <f>IFERROR(VLOOKUP($BD10,SortedDownload!$B$3:$Z$489,17,FALSE),"")</f>
        <v/>
      </c>
      <c r="BJ10" s="230">
        <f>IFERROR(VLOOKUP($BD10,SortedDownload!$B$3:$Z$489,18,FALSE),"")</f>
        <v>201</v>
      </c>
      <c r="BK10" s="230" t="str">
        <f>IFERROR(VLOOKUP($BD10,SortedDownload!$B$3:$Z$489,19,FALSE),"")</f>
        <v/>
      </c>
      <c r="BL10" s="230" t="str">
        <f>IFERROR(VLOOKUP($BD10,SortedDownload!$B$3:$Z$489,20,FALSE),"")</f>
        <v/>
      </c>
      <c r="BM10" s="230" t="str">
        <f>IFERROR(VLOOKUP($BD10,SortedDownload!$B$3:$Z$489,21,FALSE),"")</f>
        <v/>
      </c>
      <c r="BO10">
        <v>257</v>
      </c>
      <c r="BP10" t="str">
        <f>IFERROR(VLOOKUP($BO10,OverallResults!$B$3:$Z$508,2,FALSE),"")</f>
        <v>DNF</v>
      </c>
      <c r="BQ10" t="str">
        <f>IFERROR(VLOOKUP($BO10,OverallResults!$B$3:$Z$508,3,FALSE),"")</f>
        <v/>
      </c>
      <c r="BR10" t="str">
        <f>IFERROR(TEXT(VLOOKUP($BO10,OverallResults!$B$3:$Z$489,17,FALSE),"[h]:mm:ss.0"),"")</f>
        <v/>
      </c>
      <c r="BS10" s="230" t="str">
        <f>IFERROR(VLOOKUP($BQ10,SortedDownload!$B$3:$Z$489,14,FALSE),"")</f>
        <v/>
      </c>
      <c r="BT10" s="230" t="str">
        <f>IFERROR(VLOOKUP($BQ10,SortedDownload!$B$3:$Z$489,15,FALSE),"")</f>
        <v/>
      </c>
      <c r="BU10" s="230" t="str">
        <f>IFERROR(VLOOKUP($BQ10,SortedDownload!$B$3:$Z$489,16,FALSE),"")</f>
        <v/>
      </c>
      <c r="BV10" s="230" t="str">
        <f>IFERROR(VLOOKUP($BQ10,SortedDownload!$B$3:$Z$489,17,FALSE),"")</f>
        <v/>
      </c>
      <c r="BW10" s="230" t="str">
        <f>IFERROR(VLOOKUP($BQ10,SortedDownload!$B$3:$Z$489,18,FALSE),"")</f>
        <v/>
      </c>
      <c r="BX10" s="230" t="str">
        <f>IFERROR(VLOOKUP($BQ10,SortedDownload!$B$3:$Z$489,19,FALSE),"")</f>
        <v/>
      </c>
      <c r="BY10" s="230" t="str">
        <f>IFERROR(VLOOKUP($BQ10,SortedDownload!$B$3:$Z$489,20,FALSE),"")</f>
        <v/>
      </c>
      <c r="BZ10" s="230" t="str">
        <f>IFERROR(VLOOKUP($BQ10,SortedDownload!$B$3:$Z$489,21,FALSE),"")</f>
        <v/>
      </c>
    </row>
    <row r="11" spans="2:78">
      <c r="B11">
        <v>8</v>
      </c>
      <c r="C11">
        <f>IFERROR(VLOOKUP($B11,OverallResults!$B$3:$Z$508,2,FALSE),"")</f>
        <v>3</v>
      </c>
      <c r="D11" t="str">
        <f>IFERROR(VLOOKUP($B11,OverallResults!$B$3:$Z$508,3,FALSE),"")</f>
        <v>Michard Meets</v>
      </c>
      <c r="E11" t="str">
        <f>IFERROR(TEXT(VLOOKUP($B11,OverallResults!$B$3:$Z$489,17,FALSE),"[h]:mm:ss.0"),"")</f>
        <v>0:17:31.1</v>
      </c>
      <c r="F11" s="230">
        <f>IFERROR(VLOOKUP($D11,SortedDownload!$B$3:$Z$489,14,FALSE),"")</f>
        <v>9</v>
      </c>
      <c r="G11" s="230">
        <f>IFERROR(VLOOKUP($D11,SortedDownload!$B$3:$Z$489,15,FALSE),"")</f>
        <v>16</v>
      </c>
      <c r="H11" s="230">
        <f>IFERROR(VLOOKUP($D11,SortedDownload!$B$3:$Z$489,16,FALSE),"")</f>
        <v>11</v>
      </c>
      <c r="I11" s="230">
        <f>IFERROR(VLOOKUP($D11,SortedDownload!$B$3:$Z$489,17,FALSE),"")</f>
        <v>8</v>
      </c>
      <c r="J11" s="230">
        <f>IFERROR(VLOOKUP($D11,SortedDownload!$B$3:$Z$489,18,FALSE),"")</f>
        <v>5</v>
      </c>
      <c r="K11" s="230" t="str">
        <f>IFERROR(VLOOKUP($D11,SortedDownload!$B$3:$Z$489,19,FALSE),"")</f>
        <v/>
      </c>
      <c r="L11" s="230" t="str">
        <f>IFERROR(VLOOKUP($D11,SortedDownload!$B$3:$Z$489,20,FALSE),"")</f>
        <v/>
      </c>
      <c r="M11" s="230" t="str">
        <f>IFERROR(VLOOKUP($D11,SortedDownload!$B$3:$Z$489,21,FALSE),"")</f>
        <v/>
      </c>
      <c r="O11">
        <v>58</v>
      </c>
      <c r="P11">
        <f>IFERROR(VLOOKUP($O11,OverallResults!$B$3:$Z$508,2,FALSE),"")</f>
        <v>13</v>
      </c>
      <c r="Q11" t="str">
        <f>IFERROR(VLOOKUP($O11,OverallResults!$B$3:$Z$508,3,FALSE),"")</f>
        <v>Enrique Julyan</v>
      </c>
      <c r="R11" t="str">
        <f>IFERROR(TEXT(VLOOKUP($O11,OverallResults!$B$3:$Z$489,17,FALSE),"[h]:mm:ss.0"),"")</f>
        <v>0:20:35.6</v>
      </c>
      <c r="S11" s="230">
        <f>IFERROR(VLOOKUP($Q11,SortedDownload!$B$3:$Z$489,14,FALSE),"")</f>
        <v>71</v>
      </c>
      <c r="T11" s="230">
        <f>IFERROR(VLOOKUP($Q11,SortedDownload!$B$3:$Z$489,15,FALSE),"")</f>
        <v>76</v>
      </c>
      <c r="U11" s="230">
        <f>IFERROR(VLOOKUP($Q11,SortedDownload!$B$3:$Z$489,16,FALSE),"")</f>
        <v>78</v>
      </c>
      <c r="V11" s="230">
        <f>IFERROR(VLOOKUP($Q11,SortedDownload!$B$3:$Z$489,17,FALSE),"")</f>
        <v>57</v>
      </c>
      <c r="W11" s="230">
        <f>IFERROR(VLOOKUP($Q11,SortedDownload!$B$3:$Z$489,18,FALSE),"")</f>
        <v>69</v>
      </c>
      <c r="X11" s="230" t="str">
        <f>IFERROR(VLOOKUP($Q11,SortedDownload!$B$3:$Z$489,19,FALSE),"")</f>
        <v/>
      </c>
      <c r="Y11" s="230" t="str">
        <f>IFERROR(VLOOKUP($Q11,SortedDownload!$B$3:$Z$489,20,FALSE),"")</f>
        <v/>
      </c>
      <c r="Z11" s="230" t="str">
        <f>IFERROR(VLOOKUP($Q11,SortedDownload!$B$3:$Z$489,21,FALSE),"")</f>
        <v/>
      </c>
      <c r="AB11">
        <v>108</v>
      </c>
      <c r="AC11">
        <f>IFERROR(VLOOKUP($AB11,OverallResults!$B$3:$Z$508,2,FALSE),"")</f>
        <v>13</v>
      </c>
      <c r="AD11" t="str">
        <f>IFERROR(VLOOKUP($AB11,OverallResults!$B$3:$Z$508,3,FALSE),"")</f>
        <v>Stephen Wiggill</v>
      </c>
      <c r="AE11" t="str">
        <f>IFERROR(TEXT(VLOOKUP($AB11,OverallResults!$B$3:$Z$489,17,FALSE),"[h]:mm:ss.0"),"")</f>
        <v>0:23:53.8</v>
      </c>
      <c r="AF11" s="230">
        <f>IFERROR(VLOOKUP($AD11,SortedDownload!$B$3:$Z$489,14,FALSE),"")</f>
        <v>116</v>
      </c>
      <c r="AG11" s="230">
        <f>IFERROR(VLOOKUP($AD11,SortedDownload!$B$3:$Z$489,15,FALSE),"")</f>
        <v>151</v>
      </c>
      <c r="AH11" s="230">
        <f>IFERROR(VLOOKUP($AD11,SortedDownload!$B$3:$Z$489,16,FALSE),"")</f>
        <v>187</v>
      </c>
      <c r="AI11" s="230">
        <f>IFERROR(VLOOKUP($AD11,SortedDownload!$B$3:$Z$489,17,FALSE),"")</f>
        <v>111</v>
      </c>
      <c r="AJ11" s="230">
        <f>IFERROR(VLOOKUP($AD11,SortedDownload!$B$3:$Z$489,18,FALSE),"")</f>
        <v>131</v>
      </c>
      <c r="AK11" s="230" t="str">
        <f>IFERROR(VLOOKUP($AD11,SortedDownload!$B$3:$Z$489,19,FALSE),"")</f>
        <v/>
      </c>
      <c r="AL11" s="230" t="str">
        <f>IFERROR(VLOOKUP($AD11,SortedDownload!$B$3:$Z$489,20,FALSE),"")</f>
        <v/>
      </c>
      <c r="AM11" s="230" t="str">
        <f>IFERROR(VLOOKUP($AD11,SortedDownload!$B$3:$Z$489,21,FALSE),"")</f>
        <v/>
      </c>
      <c r="AO11">
        <v>158</v>
      </c>
      <c r="AP11">
        <f>IFERROR(VLOOKUP($AO11,OverallResults!$B$3:$Z$508,2,FALSE),"")</f>
        <v>18</v>
      </c>
      <c r="AQ11" t="str">
        <f>IFERROR(VLOOKUP($AO11,OverallResults!$B$3:$Z$508,3,FALSE),"")</f>
        <v>Chrisman De Jager</v>
      </c>
      <c r="AR11" t="str">
        <f>IFERROR(TEXT(VLOOKUP($AO11,OverallResults!$B$3:$Z$489,17,FALSE),"[h]:mm:ss.0"),"")</f>
        <v>0:13:08.3</v>
      </c>
      <c r="AS11" s="230" t="str">
        <f>IFERROR(VLOOKUP($AQ11,SortedDownload!$B$3:$Z$489,14,FALSE),"")</f>
        <v/>
      </c>
      <c r="AT11" s="230">
        <f>IFERROR(VLOOKUP($AQ11,SortedDownload!$B$3:$Z$489,15,FALSE),"")</f>
        <v>141</v>
      </c>
      <c r="AU11" s="230">
        <f>IFERROR(VLOOKUP($AQ11,SortedDownload!$B$3:$Z$489,16,FALSE),"")</f>
        <v>147</v>
      </c>
      <c r="AV11" s="230" t="str">
        <f>IFERROR(VLOOKUP($AQ11,SortedDownload!$B$3:$Z$489,17,FALSE),"")</f>
        <v/>
      </c>
      <c r="AW11" s="230">
        <f>IFERROR(VLOOKUP($AQ11,SortedDownload!$B$3:$Z$489,18,FALSE),"")</f>
        <v>129</v>
      </c>
      <c r="AX11" s="230" t="str">
        <f>IFERROR(VLOOKUP($AQ11,SortedDownload!$B$3:$Z$489,19,FALSE),"")</f>
        <v/>
      </c>
      <c r="AY11" s="230" t="str">
        <f>IFERROR(VLOOKUP($AQ11,SortedDownload!$B$3:$Z$489,20,FALSE),"")</f>
        <v/>
      </c>
      <c r="AZ11" s="230" t="str">
        <f>IFERROR(VLOOKUP($AQ11,SortedDownload!$B$3:$Z$489,21,FALSE),"")</f>
        <v/>
      </c>
      <c r="BB11">
        <v>208</v>
      </c>
      <c r="BC11">
        <f>IFERROR(VLOOKUP($BB11,OverallResults!$B$3:$Z$508,2,FALSE),"")</f>
        <v>42</v>
      </c>
      <c r="BD11" t="str">
        <f>IFERROR(VLOOKUP($BB11,OverallResults!$B$3:$Z$508,3,FALSE),"")</f>
        <v>Ridoh Gamildien</v>
      </c>
      <c r="BE11" t="str">
        <f>IFERROR(TEXT(VLOOKUP($BB11,OverallResults!$B$3:$Z$489,17,FALSE),"[h]:mm:ss.0"),"")</f>
        <v>0:15:35.4</v>
      </c>
      <c r="BF11" s="230" t="str">
        <f>IFERROR(VLOOKUP($BD11,SortedDownload!$B$3:$Z$489,14,FALSE),"")</f>
        <v/>
      </c>
      <c r="BG11" s="230">
        <f>IFERROR(VLOOKUP($BD11,SortedDownload!$B$3:$Z$489,15,FALSE),"")</f>
        <v>225</v>
      </c>
      <c r="BH11" s="230">
        <f>IFERROR(VLOOKUP($BD11,SortedDownload!$B$3:$Z$489,16,FALSE),"")</f>
        <v>229</v>
      </c>
      <c r="BI11" s="230" t="str">
        <f>IFERROR(VLOOKUP($BD11,SortedDownload!$B$3:$Z$489,17,FALSE),"")</f>
        <v/>
      </c>
      <c r="BJ11" s="230">
        <f>IFERROR(VLOOKUP($BD11,SortedDownload!$B$3:$Z$489,18,FALSE),"")</f>
        <v>207</v>
      </c>
      <c r="BK11" s="230" t="str">
        <f>IFERROR(VLOOKUP($BD11,SortedDownload!$B$3:$Z$489,19,FALSE),"")</f>
        <v/>
      </c>
      <c r="BL11" s="230" t="str">
        <f>IFERROR(VLOOKUP($BD11,SortedDownload!$B$3:$Z$489,20,FALSE),"")</f>
        <v/>
      </c>
      <c r="BM11" s="230" t="str">
        <f>IFERROR(VLOOKUP($BD11,SortedDownload!$B$3:$Z$489,21,FALSE),"")</f>
        <v/>
      </c>
      <c r="BO11">
        <v>258</v>
      </c>
      <c r="BP11" t="str">
        <f>IFERROR(VLOOKUP($BO11,OverallResults!$B$3:$Z$508,2,FALSE),"")</f>
        <v>DNF</v>
      </c>
      <c r="BQ11" t="str">
        <f>IFERROR(VLOOKUP($BO11,OverallResults!$B$3:$Z$508,3,FALSE),"")</f>
        <v/>
      </c>
      <c r="BR11" t="str">
        <f>IFERROR(TEXT(VLOOKUP($BO11,OverallResults!$B$3:$Z$489,17,FALSE),"[h]:mm:ss.0"),"")</f>
        <v/>
      </c>
      <c r="BS11" s="230" t="str">
        <f>IFERROR(VLOOKUP($BQ11,SortedDownload!$B$3:$Z$489,14,FALSE),"")</f>
        <v/>
      </c>
      <c r="BT11" s="230" t="str">
        <f>IFERROR(VLOOKUP($BQ11,SortedDownload!$B$3:$Z$489,15,FALSE),"")</f>
        <v/>
      </c>
      <c r="BU11" s="230" t="str">
        <f>IFERROR(VLOOKUP($BQ11,SortedDownload!$B$3:$Z$489,16,FALSE),"")</f>
        <v/>
      </c>
      <c r="BV11" s="230" t="str">
        <f>IFERROR(VLOOKUP($BQ11,SortedDownload!$B$3:$Z$489,17,FALSE),"")</f>
        <v/>
      </c>
      <c r="BW11" s="230" t="str">
        <f>IFERROR(VLOOKUP($BQ11,SortedDownload!$B$3:$Z$489,18,FALSE),"")</f>
        <v/>
      </c>
      <c r="BX11" s="230" t="str">
        <f>IFERROR(VLOOKUP($BQ11,SortedDownload!$B$3:$Z$489,19,FALSE),"")</f>
        <v/>
      </c>
      <c r="BY11" s="230" t="str">
        <f>IFERROR(VLOOKUP($BQ11,SortedDownload!$B$3:$Z$489,20,FALSE),"")</f>
        <v/>
      </c>
      <c r="BZ11" s="230" t="str">
        <f>IFERROR(VLOOKUP($BQ11,SortedDownload!$B$3:$Z$489,21,FALSE),"")</f>
        <v/>
      </c>
    </row>
    <row r="12" spans="2:78">
      <c r="B12">
        <v>9</v>
      </c>
      <c r="C12">
        <f>IFERROR(VLOOKUP($B12,OverallResults!$B$3:$Z$508,2,FALSE),"")</f>
        <v>3</v>
      </c>
      <c r="D12" t="str">
        <f>IFERROR(VLOOKUP($B12,OverallResults!$B$3:$Z$508,3,FALSE),"")</f>
        <v>Justin Novella</v>
      </c>
      <c r="E12" t="str">
        <f>IFERROR(TEXT(VLOOKUP($B12,OverallResults!$B$3:$Z$489,17,FALSE),"[h]:mm:ss.0"),"")</f>
        <v>0:17:32.7</v>
      </c>
      <c r="F12" s="230">
        <f>IFERROR(VLOOKUP($D12,SortedDownload!$B$3:$Z$489,14,FALSE),"")</f>
        <v>15</v>
      </c>
      <c r="G12" s="230">
        <f>IFERROR(VLOOKUP($D12,SortedDownload!$B$3:$Z$489,15,FALSE),"")</f>
        <v>13</v>
      </c>
      <c r="H12" s="230">
        <f>IFERROR(VLOOKUP($D12,SortedDownload!$B$3:$Z$489,16,FALSE),"")</f>
        <v>4</v>
      </c>
      <c r="I12" s="230">
        <f>IFERROR(VLOOKUP($D12,SortedDownload!$B$3:$Z$489,17,FALSE),"")</f>
        <v>9</v>
      </c>
      <c r="J12" s="230">
        <f>IFERROR(VLOOKUP($D12,SortedDownload!$B$3:$Z$489,18,FALSE),"")</f>
        <v>6</v>
      </c>
      <c r="K12" s="230" t="str">
        <f>IFERROR(VLOOKUP($D12,SortedDownload!$B$3:$Z$489,19,FALSE),"")</f>
        <v/>
      </c>
      <c r="L12" s="230" t="str">
        <f>IFERROR(VLOOKUP($D12,SortedDownload!$B$3:$Z$489,20,FALSE),"")</f>
        <v/>
      </c>
      <c r="M12" s="230" t="str">
        <f>IFERROR(VLOOKUP($D12,SortedDownload!$B$3:$Z$489,21,FALSE),"")</f>
        <v/>
      </c>
      <c r="O12">
        <v>59</v>
      </c>
      <c r="P12">
        <f>IFERROR(VLOOKUP($O12,OverallResults!$B$3:$Z$508,2,FALSE),"")</f>
        <v>14</v>
      </c>
      <c r="Q12" t="str">
        <f>IFERROR(VLOOKUP($O12,OverallResults!$B$3:$Z$508,3,FALSE),"")</f>
        <v>Christo Van Den Heever</v>
      </c>
      <c r="R12" t="str">
        <f>IFERROR(TEXT(VLOOKUP($O12,OverallResults!$B$3:$Z$489,17,FALSE),"[h]:mm:ss.0"),"")</f>
        <v>0:20:38.3</v>
      </c>
      <c r="S12" s="230">
        <f>IFERROR(VLOOKUP($Q12,SortedDownload!$B$3:$Z$489,14,FALSE),"")</f>
        <v>73</v>
      </c>
      <c r="T12" s="230">
        <f>IFERROR(VLOOKUP($Q12,SortedDownload!$B$3:$Z$489,15,FALSE),"")</f>
        <v>82</v>
      </c>
      <c r="U12" s="230">
        <f>IFERROR(VLOOKUP($Q12,SortedDownload!$B$3:$Z$489,16,FALSE),"")</f>
        <v>61</v>
      </c>
      <c r="V12" s="230">
        <f>IFERROR(VLOOKUP($Q12,SortedDownload!$B$3:$Z$489,17,FALSE),"")</f>
        <v>68</v>
      </c>
      <c r="W12" s="230">
        <f>IFERROR(VLOOKUP($Q12,SortedDownload!$B$3:$Z$489,18,FALSE),"")</f>
        <v>62</v>
      </c>
      <c r="X12" s="230" t="str">
        <f>IFERROR(VLOOKUP($Q12,SortedDownload!$B$3:$Z$489,19,FALSE),"")</f>
        <v/>
      </c>
      <c r="Y12" s="230" t="str">
        <f>IFERROR(VLOOKUP($Q12,SortedDownload!$B$3:$Z$489,20,FALSE),"")</f>
        <v/>
      </c>
      <c r="Z12" s="230" t="str">
        <f>IFERROR(VLOOKUP($Q12,SortedDownload!$B$3:$Z$489,21,FALSE),"")</f>
        <v/>
      </c>
      <c r="AB12">
        <v>109</v>
      </c>
      <c r="AC12">
        <f>IFERROR(VLOOKUP($AB12,OverallResults!$B$3:$Z$508,2,FALSE),"")</f>
        <v>32</v>
      </c>
      <c r="AD12" t="str">
        <f>IFERROR(VLOOKUP($AB12,OverallResults!$B$3:$Z$508,3,FALSE),"")</f>
        <v>Andrew Kenny</v>
      </c>
      <c r="AE12" t="str">
        <f>IFERROR(TEXT(VLOOKUP($AB12,OverallResults!$B$3:$Z$489,17,FALSE),"[h]:mm:ss.0"),"")</f>
        <v>0:23:56.6</v>
      </c>
      <c r="AF12" s="230">
        <f>IFERROR(VLOOKUP($AD12,SortedDownload!$B$3:$Z$489,14,FALSE),"")</f>
        <v>126</v>
      </c>
      <c r="AG12" s="230">
        <f>IFERROR(VLOOKUP($AD12,SortedDownload!$B$3:$Z$489,15,FALSE),"")</f>
        <v>113</v>
      </c>
      <c r="AH12" s="230">
        <f>IFERROR(VLOOKUP($AD12,SortedDownload!$B$3:$Z$489,16,FALSE),"")</f>
        <v>144</v>
      </c>
      <c r="AI12" s="230">
        <f>IFERROR(VLOOKUP($AD12,SortedDownload!$B$3:$Z$489,17,FALSE),"")</f>
        <v>95</v>
      </c>
      <c r="AJ12" s="230">
        <f>IFERROR(VLOOKUP($AD12,SortedDownload!$B$3:$Z$489,18,FALSE),"")</f>
        <v>149</v>
      </c>
      <c r="AK12" s="230" t="str">
        <f>IFERROR(VLOOKUP($AD12,SortedDownload!$B$3:$Z$489,19,FALSE),"")</f>
        <v/>
      </c>
      <c r="AL12" s="230" t="str">
        <f>IFERROR(VLOOKUP($AD12,SortedDownload!$B$3:$Z$489,20,FALSE),"")</f>
        <v/>
      </c>
      <c r="AM12" s="230" t="str">
        <f>IFERROR(VLOOKUP($AD12,SortedDownload!$B$3:$Z$489,21,FALSE),"")</f>
        <v/>
      </c>
      <c r="AO12">
        <v>159</v>
      </c>
      <c r="AP12">
        <f>IFERROR(VLOOKUP($AO12,OverallResults!$B$3:$Z$508,2,FALSE),"")</f>
        <v>6</v>
      </c>
      <c r="AQ12" t="str">
        <f>IFERROR(VLOOKUP($AO12,OverallResults!$B$3:$Z$508,3,FALSE),"")</f>
        <v>Jadon Hunter</v>
      </c>
      <c r="AR12" t="str">
        <f>IFERROR(TEXT(VLOOKUP($AO12,OverallResults!$B$3:$Z$489,17,FALSE),"[h]:mm:ss.0"),"")</f>
        <v>0:13:08.8</v>
      </c>
      <c r="AS12" s="230" t="str">
        <f>IFERROR(VLOOKUP($AQ12,SortedDownload!$B$3:$Z$489,14,FALSE),"")</f>
        <v/>
      </c>
      <c r="AT12" s="230">
        <f>IFERROR(VLOOKUP($AQ12,SortedDownload!$B$3:$Z$489,15,FALSE),"")</f>
        <v>146</v>
      </c>
      <c r="AU12" s="230">
        <f>IFERROR(VLOOKUP($AQ12,SortedDownload!$B$3:$Z$489,16,FALSE),"")</f>
        <v>129</v>
      </c>
      <c r="AV12" s="230" t="str">
        <f>IFERROR(VLOOKUP($AQ12,SortedDownload!$B$3:$Z$489,17,FALSE),"")</f>
        <v/>
      </c>
      <c r="AW12" s="230">
        <f>IFERROR(VLOOKUP($AQ12,SortedDownload!$B$3:$Z$489,18,FALSE),"")</f>
        <v>145</v>
      </c>
      <c r="AX12" s="230" t="str">
        <f>IFERROR(VLOOKUP($AQ12,SortedDownload!$B$3:$Z$489,19,FALSE),"")</f>
        <v/>
      </c>
      <c r="AY12" s="230" t="str">
        <f>IFERROR(VLOOKUP($AQ12,SortedDownload!$B$3:$Z$489,20,FALSE),"")</f>
        <v/>
      </c>
      <c r="AZ12" s="230" t="str">
        <f>IFERROR(VLOOKUP($AQ12,SortedDownload!$B$3:$Z$489,21,FALSE),"")</f>
        <v/>
      </c>
      <c r="BB12">
        <v>209</v>
      </c>
      <c r="BC12">
        <f>IFERROR(VLOOKUP($BB12,OverallResults!$B$3:$Z$508,2,FALSE),"")</f>
        <v>2</v>
      </c>
      <c r="BD12" t="str">
        <f>IFERROR(VLOOKUP($BB12,OverallResults!$B$3:$Z$508,3,FALSE),"")</f>
        <v>Robert-John Behan</v>
      </c>
      <c r="BE12" t="str">
        <f>IFERROR(TEXT(VLOOKUP($BB12,OverallResults!$B$3:$Z$489,17,FALSE),"[h]:mm:ss.0"),"")</f>
        <v>0:15:37.9</v>
      </c>
      <c r="BF12" s="230" t="str">
        <f>IFERROR(VLOOKUP($BD12,SortedDownload!$B$3:$Z$489,14,FALSE),"")</f>
        <v/>
      </c>
      <c r="BG12" s="230">
        <f>IFERROR(VLOOKUP($BD12,SortedDownload!$B$3:$Z$489,15,FALSE),"")</f>
        <v>218</v>
      </c>
      <c r="BH12" s="230">
        <f>IFERROR(VLOOKUP($BD12,SortedDownload!$B$3:$Z$489,16,FALSE),"")</f>
        <v>226</v>
      </c>
      <c r="BI12" s="230" t="str">
        <f>IFERROR(VLOOKUP($BD12,SortedDownload!$B$3:$Z$489,17,FALSE),"")</f>
        <v/>
      </c>
      <c r="BJ12" s="230">
        <f>IFERROR(VLOOKUP($BD12,SortedDownload!$B$3:$Z$489,18,FALSE),"")</f>
        <v>215</v>
      </c>
      <c r="BK12" s="230" t="str">
        <f>IFERROR(VLOOKUP($BD12,SortedDownload!$B$3:$Z$489,19,FALSE),"")</f>
        <v/>
      </c>
      <c r="BL12" s="230" t="str">
        <f>IFERROR(VLOOKUP($BD12,SortedDownload!$B$3:$Z$489,20,FALSE),"")</f>
        <v/>
      </c>
      <c r="BM12" s="230" t="str">
        <f>IFERROR(VLOOKUP($BD12,SortedDownload!$B$3:$Z$489,21,FALSE),"")</f>
        <v/>
      </c>
      <c r="BO12">
        <v>259</v>
      </c>
      <c r="BP12" t="str">
        <f>IFERROR(VLOOKUP($BO12,OverallResults!$B$3:$Z$508,2,FALSE),"")</f>
        <v>DNF</v>
      </c>
      <c r="BQ12" t="str">
        <f>IFERROR(VLOOKUP($BO12,OverallResults!$B$3:$Z$508,3,FALSE),"")</f>
        <v/>
      </c>
      <c r="BR12" t="str">
        <f>IFERROR(TEXT(VLOOKUP($BO12,OverallResults!$B$3:$Z$489,17,FALSE),"[h]:mm:ss.0"),"")</f>
        <v/>
      </c>
      <c r="BS12" s="230" t="str">
        <f>IFERROR(VLOOKUP($BQ12,SortedDownload!$B$3:$Z$489,14,FALSE),"")</f>
        <v/>
      </c>
      <c r="BT12" s="230" t="str">
        <f>IFERROR(VLOOKUP($BQ12,SortedDownload!$B$3:$Z$489,15,FALSE),"")</f>
        <v/>
      </c>
      <c r="BU12" s="230" t="str">
        <f>IFERROR(VLOOKUP($BQ12,SortedDownload!$B$3:$Z$489,16,FALSE),"")</f>
        <v/>
      </c>
      <c r="BV12" s="230" t="str">
        <f>IFERROR(VLOOKUP($BQ12,SortedDownload!$B$3:$Z$489,17,FALSE),"")</f>
        <v/>
      </c>
      <c r="BW12" s="230" t="str">
        <f>IFERROR(VLOOKUP($BQ12,SortedDownload!$B$3:$Z$489,18,FALSE),"")</f>
        <v/>
      </c>
      <c r="BX12" s="230" t="str">
        <f>IFERROR(VLOOKUP($BQ12,SortedDownload!$B$3:$Z$489,19,FALSE),"")</f>
        <v/>
      </c>
      <c r="BY12" s="230" t="str">
        <f>IFERROR(VLOOKUP($BQ12,SortedDownload!$B$3:$Z$489,20,FALSE),"")</f>
        <v/>
      </c>
      <c r="BZ12" s="230" t="str">
        <f>IFERROR(VLOOKUP($BQ12,SortedDownload!$B$3:$Z$489,21,FALSE),"")</f>
        <v/>
      </c>
    </row>
    <row r="13" spans="2:78">
      <c r="B13">
        <v>10</v>
      </c>
      <c r="C13">
        <f>IFERROR(VLOOKUP($B13,OverallResults!$B$3:$Z$508,2,FALSE),"")</f>
        <v>4</v>
      </c>
      <c r="D13" t="str">
        <f>IFERROR(VLOOKUP($B13,OverallResults!$B$3:$Z$508,3,FALSE),"")</f>
        <v>Myles Kelsey</v>
      </c>
      <c r="E13" t="str">
        <f>IFERROR(TEXT(VLOOKUP($B13,OverallResults!$B$3:$Z$489,17,FALSE),"[h]:mm:ss.0"),"")</f>
        <v>0:17:39.4</v>
      </c>
      <c r="F13" s="230">
        <f>IFERROR(VLOOKUP($D13,SortedDownload!$B$3:$Z$489,14,FALSE),"")</f>
        <v>12</v>
      </c>
      <c r="G13" s="230">
        <f>IFERROR(VLOOKUP($D13,SortedDownload!$B$3:$Z$489,15,FALSE),"")</f>
        <v>10</v>
      </c>
      <c r="H13" s="230">
        <f>IFERROR(VLOOKUP($D13,SortedDownload!$B$3:$Z$489,16,FALSE),"")</f>
        <v>9</v>
      </c>
      <c r="I13" s="230">
        <f>IFERROR(VLOOKUP($D13,SortedDownload!$B$3:$Z$489,17,FALSE),"")</f>
        <v>15</v>
      </c>
      <c r="J13" s="230">
        <f>IFERROR(VLOOKUP($D13,SortedDownload!$B$3:$Z$489,18,FALSE),"")</f>
        <v>8</v>
      </c>
      <c r="K13" s="230" t="str">
        <f>IFERROR(VLOOKUP($D13,SortedDownload!$B$3:$Z$489,19,FALSE),"")</f>
        <v/>
      </c>
      <c r="L13" s="230" t="str">
        <f>IFERROR(VLOOKUP($D13,SortedDownload!$B$3:$Z$489,20,FALSE),"")</f>
        <v/>
      </c>
      <c r="M13" s="230" t="str">
        <f>IFERROR(VLOOKUP($D13,SortedDownload!$B$3:$Z$489,21,FALSE),"")</f>
        <v/>
      </c>
      <c r="O13">
        <v>60</v>
      </c>
      <c r="P13">
        <f>IFERROR(VLOOKUP($O13,OverallResults!$B$3:$Z$508,2,FALSE),"")</f>
        <v>15</v>
      </c>
      <c r="Q13" t="str">
        <f>IFERROR(VLOOKUP($O13,OverallResults!$B$3:$Z$508,3,FALSE),"")</f>
        <v>Philip Mccann</v>
      </c>
      <c r="R13" t="str">
        <f>IFERROR(TEXT(VLOOKUP($O13,OverallResults!$B$3:$Z$489,17,FALSE),"[h]:mm:ss.0"),"")</f>
        <v>0:20:40.1</v>
      </c>
      <c r="S13" s="230">
        <f>IFERROR(VLOOKUP($Q13,SortedDownload!$B$3:$Z$489,14,FALSE),"")</f>
        <v>49</v>
      </c>
      <c r="T13" s="230">
        <f>IFERROR(VLOOKUP($Q13,SortedDownload!$B$3:$Z$489,15,FALSE),"")</f>
        <v>94</v>
      </c>
      <c r="U13" s="230">
        <f>IFERROR(VLOOKUP($Q13,SortedDownload!$B$3:$Z$489,16,FALSE),"")</f>
        <v>64</v>
      </c>
      <c r="V13" s="230">
        <f>IFERROR(VLOOKUP($Q13,SortedDownload!$B$3:$Z$489,17,FALSE),"")</f>
        <v>72</v>
      </c>
      <c r="W13" s="230">
        <f>IFERROR(VLOOKUP($Q13,SortedDownload!$B$3:$Z$489,18,FALSE),"")</f>
        <v>95</v>
      </c>
      <c r="X13" s="230" t="str">
        <f>IFERROR(VLOOKUP($Q13,SortedDownload!$B$3:$Z$489,19,FALSE),"")</f>
        <v/>
      </c>
      <c r="Y13" s="230" t="str">
        <f>IFERROR(VLOOKUP($Q13,SortedDownload!$B$3:$Z$489,20,FALSE),"")</f>
        <v/>
      </c>
      <c r="Z13" s="230" t="str">
        <f>IFERROR(VLOOKUP($Q13,SortedDownload!$B$3:$Z$489,21,FALSE),"")</f>
        <v/>
      </c>
      <c r="AB13">
        <v>110</v>
      </c>
      <c r="AC13">
        <f>IFERROR(VLOOKUP($AB13,OverallResults!$B$3:$Z$508,2,FALSE),"")</f>
        <v>26</v>
      </c>
      <c r="AD13" t="str">
        <f>IFERROR(VLOOKUP($AB13,OverallResults!$B$3:$Z$508,3,FALSE),"")</f>
        <v>Angus Fergusson</v>
      </c>
      <c r="AE13" t="str">
        <f>IFERROR(TEXT(VLOOKUP($AB13,OverallResults!$B$3:$Z$489,17,FALSE),"[h]:mm:ss.0"),"")</f>
        <v>0:24:03.9</v>
      </c>
      <c r="AF13" s="230">
        <f>IFERROR(VLOOKUP($AD13,SortedDownload!$B$3:$Z$489,14,FALSE),"")</f>
        <v>120</v>
      </c>
      <c r="AG13" s="230">
        <f>IFERROR(VLOOKUP($AD13,SortedDownload!$B$3:$Z$489,15,FALSE),"")</f>
        <v>163</v>
      </c>
      <c r="AH13" s="230">
        <f>IFERROR(VLOOKUP($AD13,SortedDownload!$B$3:$Z$489,16,FALSE),"")</f>
        <v>135</v>
      </c>
      <c r="AI13" s="230">
        <f>IFERROR(VLOOKUP($AD13,SortedDownload!$B$3:$Z$489,17,FALSE),"")</f>
        <v>105</v>
      </c>
      <c r="AJ13" s="230">
        <f>IFERROR(VLOOKUP($AD13,SortedDownload!$B$3:$Z$489,18,FALSE),"")</f>
        <v>157</v>
      </c>
      <c r="AK13" s="230" t="str">
        <f>IFERROR(VLOOKUP($AD13,SortedDownload!$B$3:$Z$489,19,FALSE),"")</f>
        <v/>
      </c>
      <c r="AL13" s="230" t="str">
        <f>IFERROR(VLOOKUP($AD13,SortedDownload!$B$3:$Z$489,20,FALSE),"")</f>
        <v/>
      </c>
      <c r="AM13" s="230" t="str">
        <f>IFERROR(VLOOKUP($AD13,SortedDownload!$B$3:$Z$489,21,FALSE),"")</f>
        <v/>
      </c>
      <c r="AO13">
        <v>160</v>
      </c>
      <c r="AP13">
        <f>IFERROR(VLOOKUP($AO13,OverallResults!$B$3:$Z$508,2,FALSE),"")</f>
        <v>19</v>
      </c>
      <c r="AQ13" t="str">
        <f>IFERROR(VLOOKUP($AO13,OverallResults!$B$3:$Z$508,3,FALSE),"")</f>
        <v>Ezra Evans</v>
      </c>
      <c r="AR13" t="str">
        <f>IFERROR(TEXT(VLOOKUP($AO13,OverallResults!$B$3:$Z$489,17,FALSE),"[h]:mm:ss.0"),"")</f>
        <v>0:13:09.7</v>
      </c>
      <c r="AS13" s="230" t="str">
        <f>IFERROR(VLOOKUP($AQ13,SortedDownload!$B$3:$Z$489,14,FALSE),"")</f>
        <v/>
      </c>
      <c r="AT13" s="230">
        <f>IFERROR(VLOOKUP($AQ13,SortedDownload!$B$3:$Z$489,15,FALSE),"")</f>
        <v>145</v>
      </c>
      <c r="AU13" s="230">
        <f>IFERROR(VLOOKUP($AQ13,SortedDownload!$B$3:$Z$489,16,FALSE),"")</f>
        <v>118</v>
      </c>
      <c r="AV13" s="230" t="str">
        <f>IFERROR(VLOOKUP($AQ13,SortedDownload!$B$3:$Z$489,17,FALSE),"")</f>
        <v/>
      </c>
      <c r="AW13" s="230">
        <f>IFERROR(VLOOKUP($AQ13,SortedDownload!$B$3:$Z$489,18,FALSE),"")</f>
        <v>150</v>
      </c>
      <c r="AX13" s="230" t="str">
        <f>IFERROR(VLOOKUP($AQ13,SortedDownload!$B$3:$Z$489,19,FALSE),"")</f>
        <v/>
      </c>
      <c r="AY13" s="230" t="str">
        <f>IFERROR(VLOOKUP($AQ13,SortedDownload!$B$3:$Z$489,20,FALSE),"")</f>
        <v/>
      </c>
      <c r="AZ13" s="230" t="str">
        <f>IFERROR(VLOOKUP($AQ13,SortedDownload!$B$3:$Z$489,21,FALSE),"")</f>
        <v/>
      </c>
      <c r="BB13">
        <v>210</v>
      </c>
      <c r="BC13">
        <f>IFERROR(VLOOKUP($BB13,OverallResults!$B$3:$Z$508,2,FALSE),"")</f>
        <v>43</v>
      </c>
      <c r="BD13" t="str">
        <f>IFERROR(VLOOKUP($BB13,OverallResults!$B$3:$Z$508,3,FALSE),"")</f>
        <v>John Kabalin</v>
      </c>
      <c r="BE13" t="str">
        <f>IFERROR(TEXT(VLOOKUP($BB13,OverallResults!$B$3:$Z$489,17,FALSE),"[h]:mm:ss.0"),"")</f>
        <v>0:15:41.4</v>
      </c>
      <c r="BF13" s="230" t="str">
        <f>IFERROR(VLOOKUP($BD13,SortedDownload!$B$3:$Z$489,14,FALSE),"")</f>
        <v/>
      </c>
      <c r="BG13" s="230">
        <f>IFERROR(VLOOKUP($BD13,SortedDownload!$B$3:$Z$489,15,FALSE),"")</f>
        <v>237</v>
      </c>
      <c r="BH13" s="230">
        <f>IFERROR(VLOOKUP($BD13,SortedDownload!$B$3:$Z$489,16,FALSE),"")</f>
        <v>219</v>
      </c>
      <c r="BI13" s="230" t="str">
        <f>IFERROR(VLOOKUP($BD13,SortedDownload!$B$3:$Z$489,17,FALSE),"")</f>
        <v/>
      </c>
      <c r="BJ13" s="230">
        <f>IFERROR(VLOOKUP($BD13,SortedDownload!$B$3:$Z$489,18,FALSE),"")</f>
        <v>210</v>
      </c>
      <c r="BK13" s="230" t="str">
        <f>IFERROR(VLOOKUP($BD13,SortedDownload!$B$3:$Z$489,19,FALSE),"")</f>
        <v/>
      </c>
      <c r="BL13" s="230" t="str">
        <f>IFERROR(VLOOKUP($BD13,SortedDownload!$B$3:$Z$489,20,FALSE),"")</f>
        <v/>
      </c>
      <c r="BM13" s="230" t="str">
        <f>IFERROR(VLOOKUP($BD13,SortedDownload!$B$3:$Z$489,21,FALSE),"")</f>
        <v/>
      </c>
      <c r="BO13">
        <v>260</v>
      </c>
      <c r="BP13" t="str">
        <f>IFERROR(VLOOKUP($BO13,OverallResults!$B$3:$Z$508,2,FALSE),"")</f>
        <v>DNF</v>
      </c>
      <c r="BQ13" t="str">
        <f>IFERROR(VLOOKUP($BO13,OverallResults!$B$3:$Z$508,3,FALSE),"")</f>
        <v/>
      </c>
      <c r="BR13" t="str">
        <f>IFERROR(TEXT(VLOOKUP($BO13,OverallResults!$B$3:$Z$489,17,FALSE),"[h]:mm:ss.0"),"")</f>
        <v/>
      </c>
      <c r="BS13" s="230" t="str">
        <f>IFERROR(VLOOKUP($BQ13,SortedDownload!$B$3:$Z$489,14,FALSE),"")</f>
        <v/>
      </c>
      <c r="BT13" s="230" t="str">
        <f>IFERROR(VLOOKUP($BQ13,SortedDownload!$B$3:$Z$489,15,FALSE),"")</f>
        <v/>
      </c>
      <c r="BU13" s="230" t="str">
        <f>IFERROR(VLOOKUP($BQ13,SortedDownload!$B$3:$Z$489,16,FALSE),"")</f>
        <v/>
      </c>
      <c r="BV13" s="230" t="str">
        <f>IFERROR(VLOOKUP($BQ13,SortedDownload!$B$3:$Z$489,17,FALSE),"")</f>
        <v/>
      </c>
      <c r="BW13" s="230" t="str">
        <f>IFERROR(VLOOKUP($BQ13,SortedDownload!$B$3:$Z$489,18,FALSE),"")</f>
        <v/>
      </c>
      <c r="BX13" s="230" t="str">
        <f>IFERROR(VLOOKUP($BQ13,SortedDownload!$B$3:$Z$489,19,FALSE),"")</f>
        <v/>
      </c>
      <c r="BY13" s="230" t="str">
        <f>IFERROR(VLOOKUP($BQ13,SortedDownload!$B$3:$Z$489,20,FALSE),"")</f>
        <v/>
      </c>
      <c r="BZ13" s="230" t="str">
        <f>IFERROR(VLOOKUP($BQ13,SortedDownload!$B$3:$Z$489,21,FALSE),"")</f>
        <v/>
      </c>
    </row>
    <row r="14" spans="2:78">
      <c r="B14">
        <v>11</v>
      </c>
      <c r="C14">
        <f>IFERROR(VLOOKUP($B14,OverallResults!$B$3:$Z$508,2,FALSE),"")</f>
        <v>4</v>
      </c>
      <c r="D14" t="str">
        <f>IFERROR(VLOOKUP($B14,OverallResults!$B$3:$Z$508,3,FALSE),"")</f>
        <v>Corbin Mann</v>
      </c>
      <c r="E14" t="str">
        <f>IFERROR(TEXT(VLOOKUP($B14,OverallResults!$B$3:$Z$489,17,FALSE),"[h]:mm:ss.0"),"")</f>
        <v>0:17:43.8</v>
      </c>
      <c r="F14" s="230">
        <f>IFERROR(VLOOKUP($D14,SortedDownload!$B$3:$Z$489,14,FALSE),"")</f>
        <v>13</v>
      </c>
      <c r="G14" s="230">
        <f>IFERROR(VLOOKUP($D14,SortedDownload!$B$3:$Z$489,15,FALSE),"")</f>
        <v>14</v>
      </c>
      <c r="H14" s="230">
        <f>IFERROR(VLOOKUP($D14,SortedDownload!$B$3:$Z$489,16,FALSE),"")</f>
        <v>13</v>
      </c>
      <c r="I14" s="230">
        <f>IFERROR(VLOOKUP($D14,SortedDownload!$B$3:$Z$489,17,FALSE),"")</f>
        <v>12</v>
      </c>
      <c r="J14" s="230">
        <f>IFERROR(VLOOKUP($D14,SortedDownload!$B$3:$Z$489,18,FALSE),"")</f>
        <v>12</v>
      </c>
      <c r="K14" s="230" t="str">
        <f>IFERROR(VLOOKUP($D14,SortedDownload!$B$3:$Z$489,19,FALSE),"")</f>
        <v/>
      </c>
      <c r="L14" s="230" t="str">
        <f>IFERROR(VLOOKUP($D14,SortedDownload!$B$3:$Z$489,20,FALSE),"")</f>
        <v/>
      </c>
      <c r="M14" s="230" t="str">
        <f>IFERROR(VLOOKUP($D14,SortedDownload!$B$3:$Z$489,21,FALSE),"")</f>
        <v/>
      </c>
      <c r="O14">
        <v>61</v>
      </c>
      <c r="P14">
        <f>IFERROR(VLOOKUP($O14,OverallResults!$B$3:$Z$508,2,FALSE),"")</f>
        <v>15</v>
      </c>
      <c r="Q14" t="str">
        <f>IFERROR(VLOOKUP($O14,OverallResults!$B$3:$Z$508,3,FALSE),"")</f>
        <v>Rameez Abrahams</v>
      </c>
      <c r="R14" t="str">
        <f>IFERROR(TEXT(VLOOKUP($O14,OverallResults!$B$3:$Z$489,17,FALSE),"[h]:mm:ss.0"),"")</f>
        <v>0:20:42.1</v>
      </c>
      <c r="S14" s="230">
        <f>IFERROR(VLOOKUP($Q14,SortedDownload!$B$3:$Z$489,14,FALSE),"")</f>
        <v>66</v>
      </c>
      <c r="T14" s="230">
        <f>IFERROR(VLOOKUP($Q14,SortedDownload!$B$3:$Z$489,15,FALSE),"")</f>
        <v>60</v>
      </c>
      <c r="U14" s="230">
        <f>IFERROR(VLOOKUP($Q14,SortedDownload!$B$3:$Z$489,16,FALSE),"")</f>
        <v>94</v>
      </c>
      <c r="V14" s="230">
        <f>IFERROR(VLOOKUP($Q14,SortedDownload!$B$3:$Z$489,17,FALSE),"")</f>
        <v>70</v>
      </c>
      <c r="W14" s="230">
        <f>IFERROR(VLOOKUP($Q14,SortedDownload!$B$3:$Z$489,18,FALSE),"")</f>
        <v>68</v>
      </c>
      <c r="X14" s="230" t="str">
        <f>IFERROR(VLOOKUP($Q14,SortedDownload!$B$3:$Z$489,19,FALSE),"")</f>
        <v/>
      </c>
      <c r="Y14" s="230" t="str">
        <f>IFERROR(VLOOKUP($Q14,SortedDownload!$B$3:$Z$489,20,FALSE),"")</f>
        <v/>
      </c>
      <c r="Z14" s="230" t="str">
        <f>IFERROR(VLOOKUP($Q14,SortedDownload!$B$3:$Z$489,21,FALSE),"")</f>
        <v/>
      </c>
      <c r="AB14">
        <v>111</v>
      </c>
      <c r="AC14">
        <f>IFERROR(VLOOKUP($AB14,OverallResults!$B$3:$Z$508,2,FALSE),"")</f>
        <v>14</v>
      </c>
      <c r="AD14" t="str">
        <f>IFERROR(VLOOKUP($AB14,OverallResults!$B$3:$Z$508,3,FALSE),"")</f>
        <v>Miles Henebrey</v>
      </c>
      <c r="AE14" t="str">
        <f>IFERROR(TEXT(VLOOKUP($AB14,OverallResults!$B$3:$Z$489,17,FALSE),"[h]:mm:ss.0"),"")</f>
        <v>0:24:15.8</v>
      </c>
      <c r="AF14" s="230">
        <f>IFERROR(VLOOKUP($AD14,SortedDownload!$B$3:$Z$489,14,FALSE),"")</f>
        <v>121</v>
      </c>
      <c r="AG14" s="230">
        <f>IFERROR(VLOOKUP($AD14,SortedDownload!$B$3:$Z$489,15,FALSE),"")</f>
        <v>156</v>
      </c>
      <c r="AH14" s="230">
        <f>IFERROR(VLOOKUP($AD14,SortedDownload!$B$3:$Z$489,16,FALSE),"")</f>
        <v>116</v>
      </c>
      <c r="AI14" s="230">
        <f>IFERROR(VLOOKUP($AD14,SortedDownload!$B$3:$Z$489,17,FALSE),"")</f>
        <v>112</v>
      </c>
      <c r="AJ14" s="230">
        <f>IFERROR(VLOOKUP($AD14,SortedDownload!$B$3:$Z$489,18,FALSE),"")</f>
        <v>171</v>
      </c>
      <c r="AK14" s="230" t="str">
        <f>IFERROR(VLOOKUP($AD14,SortedDownload!$B$3:$Z$489,19,FALSE),"")</f>
        <v/>
      </c>
      <c r="AL14" s="230" t="str">
        <f>IFERROR(VLOOKUP($AD14,SortedDownload!$B$3:$Z$489,20,FALSE),"")</f>
        <v/>
      </c>
      <c r="AM14" s="230" t="str">
        <f>IFERROR(VLOOKUP($AD14,SortedDownload!$B$3:$Z$489,21,FALSE),"")</f>
        <v/>
      </c>
      <c r="AO14">
        <v>161</v>
      </c>
      <c r="AP14">
        <f>IFERROR(VLOOKUP($AO14,OverallResults!$B$3:$Z$508,2,FALSE),"")</f>
        <v>7</v>
      </c>
      <c r="AQ14" t="str">
        <f>IFERROR(VLOOKUP($AO14,OverallResults!$B$3:$Z$508,3,FALSE),"")</f>
        <v>Adam Dawson</v>
      </c>
      <c r="AR14" t="str">
        <f>IFERROR(TEXT(VLOOKUP($AO14,OverallResults!$B$3:$Z$489,17,FALSE),"[h]:mm:ss.0"),"")</f>
        <v>0:13:11.1</v>
      </c>
      <c r="AS14" s="230" t="str">
        <f>IFERROR(VLOOKUP($AQ14,SortedDownload!$B$3:$Z$489,14,FALSE),"")</f>
        <v/>
      </c>
      <c r="AT14" s="230">
        <f>IFERROR(VLOOKUP($AQ14,SortedDownload!$B$3:$Z$489,15,FALSE),"")</f>
        <v>154</v>
      </c>
      <c r="AU14" s="230">
        <f>IFERROR(VLOOKUP($AQ14,SortedDownload!$B$3:$Z$489,16,FALSE),"")</f>
        <v>168</v>
      </c>
      <c r="AV14" s="230" t="str">
        <f>IFERROR(VLOOKUP($AQ14,SortedDownload!$B$3:$Z$489,17,FALSE),"")</f>
        <v/>
      </c>
      <c r="AW14" s="230">
        <f>IFERROR(VLOOKUP($AQ14,SortedDownload!$B$3:$Z$489,18,FALSE),"")</f>
        <v>117</v>
      </c>
      <c r="AX14" s="230" t="str">
        <f>IFERROR(VLOOKUP($AQ14,SortedDownload!$B$3:$Z$489,19,FALSE),"")</f>
        <v/>
      </c>
      <c r="AY14" s="230" t="str">
        <f>IFERROR(VLOOKUP($AQ14,SortedDownload!$B$3:$Z$489,20,FALSE),"")</f>
        <v/>
      </c>
      <c r="AZ14" s="230" t="str">
        <f>IFERROR(VLOOKUP($AQ14,SortedDownload!$B$3:$Z$489,21,FALSE),"")</f>
        <v/>
      </c>
      <c r="BB14">
        <v>211</v>
      </c>
      <c r="BC14">
        <f>IFERROR(VLOOKUP($BB14,OverallResults!$B$3:$Z$508,2,FALSE),"")</f>
        <v>44</v>
      </c>
      <c r="BD14" t="str">
        <f>IFERROR(VLOOKUP($BB14,OverallResults!$B$3:$Z$508,3,FALSE),"")</f>
        <v>Dean Du Plooy</v>
      </c>
      <c r="BE14" t="str">
        <f>IFERROR(TEXT(VLOOKUP($BB14,OverallResults!$B$3:$Z$489,17,FALSE),"[h]:mm:ss.0"),"")</f>
        <v>0:15:47.5</v>
      </c>
      <c r="BF14" s="230" t="str">
        <f>IFERROR(VLOOKUP($BD14,SortedDownload!$B$3:$Z$489,14,FALSE),"")</f>
        <v/>
      </c>
      <c r="BG14" s="230">
        <f>IFERROR(VLOOKUP($BD14,SortedDownload!$B$3:$Z$489,15,FALSE),"")</f>
        <v>223</v>
      </c>
      <c r="BH14" s="230">
        <f>IFERROR(VLOOKUP($BD14,SortedDownload!$B$3:$Z$489,16,FALSE),"")</f>
        <v>228</v>
      </c>
      <c r="BI14" s="230" t="str">
        <f>IFERROR(VLOOKUP($BD14,SortedDownload!$B$3:$Z$489,17,FALSE),"")</f>
        <v/>
      </c>
      <c r="BJ14" s="230">
        <f>IFERROR(VLOOKUP($BD14,SortedDownload!$B$3:$Z$489,18,FALSE),"")</f>
        <v>217</v>
      </c>
      <c r="BK14" s="230" t="str">
        <f>IFERROR(VLOOKUP($BD14,SortedDownload!$B$3:$Z$489,19,FALSE),"")</f>
        <v/>
      </c>
      <c r="BL14" s="230" t="str">
        <f>IFERROR(VLOOKUP($BD14,SortedDownload!$B$3:$Z$489,20,FALSE),"")</f>
        <v/>
      </c>
      <c r="BM14" s="230" t="str">
        <f>IFERROR(VLOOKUP($BD14,SortedDownload!$B$3:$Z$489,21,FALSE),"")</f>
        <v/>
      </c>
      <c r="BO14">
        <v>261</v>
      </c>
      <c r="BP14" t="str">
        <f>IFERROR(VLOOKUP($BO14,OverallResults!$B$3:$Z$508,2,FALSE),"")</f>
        <v>DNF</v>
      </c>
      <c r="BQ14" t="str">
        <f>IFERROR(VLOOKUP($BO14,OverallResults!$B$3:$Z$508,3,FALSE),"")</f>
        <v/>
      </c>
      <c r="BR14" t="str">
        <f>IFERROR(TEXT(VLOOKUP($BO14,OverallResults!$B$3:$Z$489,17,FALSE),"[h]:mm:ss.0"),"")</f>
        <v/>
      </c>
      <c r="BS14" s="230" t="str">
        <f>IFERROR(VLOOKUP($BQ14,SortedDownload!$B$3:$Z$489,14,FALSE),"")</f>
        <v/>
      </c>
      <c r="BT14" s="230" t="str">
        <f>IFERROR(VLOOKUP($BQ14,SortedDownload!$B$3:$Z$489,15,FALSE),"")</f>
        <v/>
      </c>
      <c r="BU14" s="230" t="str">
        <f>IFERROR(VLOOKUP($BQ14,SortedDownload!$B$3:$Z$489,16,FALSE),"")</f>
        <v/>
      </c>
      <c r="BV14" s="230" t="str">
        <f>IFERROR(VLOOKUP($BQ14,SortedDownload!$B$3:$Z$489,17,FALSE),"")</f>
        <v/>
      </c>
      <c r="BW14" s="230" t="str">
        <f>IFERROR(VLOOKUP($BQ14,SortedDownload!$B$3:$Z$489,18,FALSE),"")</f>
        <v/>
      </c>
      <c r="BX14" s="230" t="str">
        <f>IFERROR(VLOOKUP($BQ14,SortedDownload!$B$3:$Z$489,19,FALSE),"")</f>
        <v/>
      </c>
      <c r="BY14" s="230" t="str">
        <f>IFERROR(VLOOKUP($BQ14,SortedDownload!$B$3:$Z$489,20,FALSE),"")</f>
        <v/>
      </c>
      <c r="BZ14" s="230" t="str">
        <f>IFERROR(VLOOKUP($BQ14,SortedDownload!$B$3:$Z$489,21,FALSE),"")</f>
        <v/>
      </c>
    </row>
    <row r="15" spans="2:78">
      <c r="B15">
        <v>12</v>
      </c>
      <c r="C15">
        <f>IFERROR(VLOOKUP($B15,OverallResults!$B$3:$Z$508,2,FALSE),"")</f>
        <v>1</v>
      </c>
      <c r="D15" t="str">
        <f>IFERROR(VLOOKUP($B15,OverallResults!$B$3:$Z$508,3,FALSE),"")</f>
        <v>Pieter Venter</v>
      </c>
      <c r="E15" t="str">
        <f>IFERROR(TEXT(VLOOKUP($B15,OverallResults!$B$3:$Z$489,17,FALSE),"[h]:mm:ss.0"),"")</f>
        <v>0:17:48.8</v>
      </c>
      <c r="F15" s="230">
        <f>IFERROR(VLOOKUP($D15,SortedDownload!$B$3:$Z$489,14,FALSE),"")</f>
        <v>10</v>
      </c>
      <c r="G15" s="230">
        <f>IFERROR(VLOOKUP($D15,SortedDownload!$B$3:$Z$489,15,FALSE),"")</f>
        <v>24</v>
      </c>
      <c r="H15" s="230">
        <f>IFERROR(VLOOKUP($D15,SortedDownload!$B$3:$Z$489,16,FALSE),"")</f>
        <v>7</v>
      </c>
      <c r="I15" s="230">
        <f>IFERROR(VLOOKUP($D15,SortedDownload!$B$3:$Z$489,17,FALSE),"")</f>
        <v>13</v>
      </c>
      <c r="J15" s="230">
        <f>IFERROR(VLOOKUP($D15,SortedDownload!$B$3:$Z$489,18,FALSE),"")</f>
        <v>13</v>
      </c>
      <c r="K15" s="230" t="str">
        <f>IFERROR(VLOOKUP($D15,SortedDownload!$B$3:$Z$489,19,FALSE),"")</f>
        <v/>
      </c>
      <c r="L15" s="230" t="str">
        <f>IFERROR(VLOOKUP($D15,SortedDownload!$B$3:$Z$489,20,FALSE),"")</f>
        <v/>
      </c>
      <c r="M15" s="230" t="str">
        <f>IFERROR(VLOOKUP($D15,SortedDownload!$B$3:$Z$489,21,FALSE),"")</f>
        <v/>
      </c>
      <c r="O15">
        <v>62</v>
      </c>
      <c r="P15">
        <f>IFERROR(VLOOKUP($O15,OverallResults!$B$3:$Z$508,2,FALSE),"")</f>
        <v>16</v>
      </c>
      <c r="Q15" t="str">
        <f>IFERROR(VLOOKUP($O15,OverallResults!$B$3:$Z$508,3,FALSE),"")</f>
        <v>Nicholas Turvey</v>
      </c>
      <c r="R15" t="str">
        <f>IFERROR(TEXT(VLOOKUP($O15,OverallResults!$B$3:$Z$489,17,FALSE),"[h]:mm:ss.0"),"")</f>
        <v>0:20:44.2</v>
      </c>
      <c r="S15" s="230">
        <f>IFERROR(VLOOKUP($Q15,SortedDownload!$B$3:$Z$489,14,FALSE),"")</f>
        <v>67</v>
      </c>
      <c r="T15" s="230">
        <f>IFERROR(VLOOKUP($Q15,SortedDownload!$B$3:$Z$489,15,FALSE),"")</f>
        <v>75</v>
      </c>
      <c r="U15" s="230">
        <f>IFERROR(VLOOKUP($Q15,SortedDownload!$B$3:$Z$489,16,FALSE),"")</f>
        <v>83</v>
      </c>
      <c r="V15" s="230">
        <f>IFERROR(VLOOKUP($Q15,SortedDownload!$B$3:$Z$489,17,FALSE),"")</f>
        <v>64</v>
      </c>
      <c r="W15" s="230">
        <f>IFERROR(VLOOKUP($Q15,SortedDownload!$B$3:$Z$489,18,FALSE),"")</f>
        <v>77</v>
      </c>
      <c r="X15" s="230" t="str">
        <f>IFERROR(VLOOKUP($Q15,SortedDownload!$B$3:$Z$489,19,FALSE),"")</f>
        <v/>
      </c>
      <c r="Y15" s="230" t="str">
        <f>IFERROR(VLOOKUP($Q15,SortedDownload!$B$3:$Z$489,20,FALSE),"")</f>
        <v/>
      </c>
      <c r="Z15" s="230" t="str">
        <f>IFERROR(VLOOKUP($Q15,SortedDownload!$B$3:$Z$489,21,FALSE),"")</f>
        <v/>
      </c>
      <c r="AB15">
        <v>112</v>
      </c>
      <c r="AC15">
        <f>IFERROR(VLOOKUP($AB15,OverallResults!$B$3:$Z$508,2,FALSE),"")</f>
        <v>33</v>
      </c>
      <c r="AD15" t="str">
        <f>IFERROR(VLOOKUP($AB15,OverallResults!$B$3:$Z$508,3,FALSE),"")</f>
        <v>Robin Moore</v>
      </c>
      <c r="AE15" t="str">
        <f>IFERROR(TEXT(VLOOKUP($AB15,OverallResults!$B$3:$Z$489,17,FALSE),"[h]:mm:ss.0"),"")</f>
        <v>0:24:16.9</v>
      </c>
      <c r="AF15" s="230">
        <f>IFERROR(VLOOKUP($AD15,SortedDownload!$B$3:$Z$489,14,FALSE),"")</f>
        <v>135</v>
      </c>
      <c r="AG15" s="230">
        <f>IFERROR(VLOOKUP($AD15,SortedDownload!$B$3:$Z$489,15,FALSE),"")</f>
        <v>61</v>
      </c>
      <c r="AH15" s="230">
        <f>IFERROR(VLOOKUP($AD15,SortedDownload!$B$3:$Z$489,16,FALSE),"")</f>
        <v>82</v>
      </c>
      <c r="AI15" s="230">
        <f>IFERROR(VLOOKUP($AD15,SortedDownload!$B$3:$Z$489,17,FALSE),"")</f>
        <v>76</v>
      </c>
      <c r="AJ15" s="230">
        <f>IFERROR(VLOOKUP($AD15,SortedDownload!$B$3:$Z$489,18,FALSE),"")</f>
        <v>70</v>
      </c>
      <c r="AK15" s="230" t="str">
        <f>IFERROR(VLOOKUP($AD15,SortedDownload!$B$3:$Z$489,19,FALSE),"")</f>
        <v/>
      </c>
      <c r="AL15" s="230" t="str">
        <f>IFERROR(VLOOKUP($AD15,SortedDownload!$B$3:$Z$489,20,FALSE),"")</f>
        <v/>
      </c>
      <c r="AM15" s="230" t="str">
        <f>IFERROR(VLOOKUP($AD15,SortedDownload!$B$3:$Z$489,21,FALSE),"")</f>
        <v/>
      </c>
      <c r="AO15">
        <v>162</v>
      </c>
      <c r="AP15">
        <f>IFERROR(VLOOKUP($AO15,OverallResults!$B$3:$Z$508,2,FALSE),"")</f>
        <v>20</v>
      </c>
      <c r="AQ15" t="str">
        <f>IFERROR(VLOOKUP($AO15,OverallResults!$B$3:$Z$508,3,FALSE),"")</f>
        <v>Stéphen Du Toit</v>
      </c>
      <c r="AR15" t="str">
        <f>IFERROR(TEXT(VLOOKUP($AO15,OverallResults!$B$3:$Z$489,17,FALSE),"[h]:mm:ss.0"),"")</f>
        <v>0:13:13.3</v>
      </c>
      <c r="AS15" s="230" t="str">
        <f>IFERROR(VLOOKUP($AQ15,SortedDownload!$B$3:$Z$489,14,FALSE),"")</f>
        <v/>
      </c>
      <c r="AT15" s="230">
        <f>IFERROR(VLOOKUP($AQ15,SortedDownload!$B$3:$Z$489,15,FALSE),"")</f>
        <v>148</v>
      </c>
      <c r="AU15" s="230">
        <f>IFERROR(VLOOKUP($AQ15,SortedDownload!$B$3:$Z$489,16,FALSE),"")</f>
        <v>153</v>
      </c>
      <c r="AV15" s="230" t="str">
        <f>IFERROR(VLOOKUP($AQ15,SortedDownload!$B$3:$Z$489,17,FALSE),"")</f>
        <v/>
      </c>
      <c r="AW15" s="230">
        <f>IFERROR(VLOOKUP($AQ15,SortedDownload!$B$3:$Z$489,18,FALSE),"")</f>
        <v>138</v>
      </c>
      <c r="AX15" s="230" t="str">
        <f>IFERROR(VLOOKUP($AQ15,SortedDownload!$B$3:$Z$489,19,FALSE),"")</f>
        <v/>
      </c>
      <c r="AY15" s="230" t="str">
        <f>IFERROR(VLOOKUP($AQ15,SortedDownload!$B$3:$Z$489,20,FALSE),"")</f>
        <v/>
      </c>
      <c r="AZ15" s="230" t="str">
        <f>IFERROR(VLOOKUP($AQ15,SortedDownload!$B$3:$Z$489,21,FALSE),"")</f>
        <v/>
      </c>
      <c r="BB15">
        <v>212</v>
      </c>
      <c r="BC15">
        <f>IFERROR(VLOOKUP($BB15,OverallResults!$B$3:$Z$508,2,FALSE),"")</f>
        <v>45</v>
      </c>
      <c r="BD15" t="str">
        <f>IFERROR(VLOOKUP($BB15,OverallResults!$B$3:$Z$508,3,FALSE),"")</f>
        <v>Alan Chait</v>
      </c>
      <c r="BE15" t="str">
        <f>IFERROR(TEXT(VLOOKUP($BB15,OverallResults!$B$3:$Z$489,17,FALSE),"[h]:mm:ss.0"),"")</f>
        <v>0:15:49.4</v>
      </c>
      <c r="BF15" s="230" t="str">
        <f>IFERROR(VLOOKUP($BD15,SortedDownload!$B$3:$Z$489,14,FALSE),"")</f>
        <v/>
      </c>
      <c r="BG15" s="230">
        <f>IFERROR(VLOOKUP($BD15,SortedDownload!$B$3:$Z$489,15,FALSE),"")</f>
        <v>240</v>
      </c>
      <c r="BH15" s="230">
        <f>IFERROR(VLOOKUP($BD15,SortedDownload!$B$3:$Z$489,16,FALSE),"")</f>
        <v>235</v>
      </c>
      <c r="BI15" s="230" t="str">
        <f>IFERROR(VLOOKUP($BD15,SortedDownload!$B$3:$Z$489,17,FALSE),"")</f>
        <v/>
      </c>
      <c r="BJ15" s="230">
        <f>IFERROR(VLOOKUP($BD15,SortedDownload!$B$3:$Z$489,18,FALSE),"")</f>
        <v>176</v>
      </c>
      <c r="BK15" s="230" t="str">
        <f>IFERROR(VLOOKUP($BD15,SortedDownload!$B$3:$Z$489,19,FALSE),"")</f>
        <v/>
      </c>
      <c r="BL15" s="230" t="str">
        <f>IFERROR(VLOOKUP($BD15,SortedDownload!$B$3:$Z$489,20,FALSE),"")</f>
        <v/>
      </c>
      <c r="BM15" s="230" t="str">
        <f>IFERROR(VLOOKUP($BD15,SortedDownload!$B$3:$Z$489,21,FALSE),"")</f>
        <v/>
      </c>
      <c r="BO15">
        <v>262</v>
      </c>
      <c r="BP15" t="str">
        <f>IFERROR(VLOOKUP($BO15,OverallResults!$B$3:$Z$508,2,FALSE),"")</f>
        <v>DNF</v>
      </c>
      <c r="BQ15" t="str">
        <f>IFERROR(VLOOKUP($BO15,OverallResults!$B$3:$Z$508,3,FALSE),"")</f>
        <v/>
      </c>
      <c r="BR15" t="str">
        <f>IFERROR(TEXT(VLOOKUP($BO15,OverallResults!$B$3:$Z$489,17,FALSE),"[h]:mm:ss.0"),"")</f>
        <v/>
      </c>
      <c r="BS15" s="230" t="str">
        <f>IFERROR(VLOOKUP($BQ15,SortedDownload!$B$3:$Z$489,14,FALSE),"")</f>
        <v/>
      </c>
      <c r="BT15" s="230" t="str">
        <f>IFERROR(VLOOKUP($BQ15,SortedDownload!$B$3:$Z$489,15,FALSE),"")</f>
        <v/>
      </c>
      <c r="BU15" s="230" t="str">
        <f>IFERROR(VLOOKUP($BQ15,SortedDownload!$B$3:$Z$489,16,FALSE),"")</f>
        <v/>
      </c>
      <c r="BV15" s="230" t="str">
        <f>IFERROR(VLOOKUP($BQ15,SortedDownload!$B$3:$Z$489,17,FALSE),"")</f>
        <v/>
      </c>
      <c r="BW15" s="230" t="str">
        <f>IFERROR(VLOOKUP($BQ15,SortedDownload!$B$3:$Z$489,18,FALSE),"")</f>
        <v/>
      </c>
      <c r="BX15" s="230" t="str">
        <f>IFERROR(VLOOKUP($BQ15,SortedDownload!$B$3:$Z$489,19,FALSE),"")</f>
        <v/>
      </c>
      <c r="BY15" s="230" t="str">
        <f>IFERROR(VLOOKUP($BQ15,SortedDownload!$B$3:$Z$489,20,FALSE),"")</f>
        <v/>
      </c>
      <c r="BZ15" s="230" t="str">
        <f>IFERROR(VLOOKUP($BQ15,SortedDownload!$B$3:$Z$489,21,FALSE),"")</f>
        <v/>
      </c>
    </row>
    <row r="16" spans="2:78">
      <c r="B16">
        <v>13</v>
      </c>
      <c r="C16">
        <f>IFERROR(VLOOKUP($B16,OverallResults!$B$3:$Z$508,2,FALSE),"")</f>
        <v>3</v>
      </c>
      <c r="D16" t="str">
        <f>IFERROR(VLOOKUP($B16,OverallResults!$B$3:$Z$508,3,FALSE),"")</f>
        <v>Dane Olsen</v>
      </c>
      <c r="E16" t="str">
        <f>IFERROR(TEXT(VLOOKUP($B16,OverallResults!$B$3:$Z$489,17,FALSE),"[h]:mm:ss.0"),"")</f>
        <v>0:18:03.2</v>
      </c>
      <c r="F16" s="230">
        <f>IFERROR(VLOOKUP($D16,SortedDownload!$B$3:$Z$489,14,FALSE),"")</f>
        <v>19</v>
      </c>
      <c r="G16" s="230">
        <f>IFERROR(VLOOKUP($D16,SortedDownload!$B$3:$Z$489,15,FALSE),"")</f>
        <v>12</v>
      </c>
      <c r="H16" s="230">
        <f>IFERROR(VLOOKUP($D16,SortedDownload!$B$3:$Z$489,16,FALSE),"")</f>
        <v>16</v>
      </c>
      <c r="I16" s="230">
        <f>IFERROR(VLOOKUP($D16,SortedDownload!$B$3:$Z$489,17,FALSE),"")</f>
        <v>11</v>
      </c>
      <c r="J16" s="230">
        <f>IFERROR(VLOOKUP($D16,SortedDownload!$B$3:$Z$489,18,FALSE),"")</f>
        <v>20</v>
      </c>
      <c r="K16" s="230" t="str">
        <f>IFERROR(VLOOKUP($D16,SortedDownload!$B$3:$Z$489,19,FALSE),"")</f>
        <v/>
      </c>
      <c r="L16" s="230" t="str">
        <f>IFERROR(VLOOKUP($D16,SortedDownload!$B$3:$Z$489,20,FALSE),"")</f>
        <v/>
      </c>
      <c r="M16" s="230" t="str">
        <f>IFERROR(VLOOKUP($D16,SortedDownload!$B$3:$Z$489,21,FALSE),"")</f>
        <v/>
      </c>
      <c r="O16">
        <v>63</v>
      </c>
      <c r="P16">
        <f>IFERROR(VLOOKUP($O16,OverallResults!$B$3:$Z$508,2,FALSE),"")</f>
        <v>15</v>
      </c>
      <c r="Q16" t="str">
        <f>IFERROR(VLOOKUP($O16,OverallResults!$B$3:$Z$508,3,FALSE),"")</f>
        <v>Tiaan Van De Merwe</v>
      </c>
      <c r="R16" t="str">
        <f>IFERROR(TEXT(VLOOKUP($O16,OverallResults!$B$3:$Z$489,17,FALSE),"[h]:mm:ss.0"),"")</f>
        <v>0:20:46.0</v>
      </c>
      <c r="S16" s="230">
        <f>IFERROR(VLOOKUP($Q16,SortedDownload!$B$3:$Z$489,14,FALSE),"")</f>
        <v>82</v>
      </c>
      <c r="T16" s="230">
        <f>IFERROR(VLOOKUP($Q16,SortedDownload!$B$3:$Z$489,15,FALSE),"")</f>
        <v>72</v>
      </c>
      <c r="U16" s="230">
        <f>IFERROR(VLOOKUP($Q16,SortedDownload!$B$3:$Z$489,16,FALSE),"")</f>
        <v>69</v>
      </c>
      <c r="V16" s="230">
        <f>IFERROR(VLOOKUP($Q16,SortedDownload!$B$3:$Z$489,17,FALSE),"")</f>
        <v>58</v>
      </c>
      <c r="W16" s="230">
        <f>IFERROR(VLOOKUP($Q16,SortedDownload!$B$3:$Z$489,18,FALSE),"")</f>
        <v>73</v>
      </c>
      <c r="X16" s="230" t="str">
        <f>IFERROR(VLOOKUP($Q16,SortedDownload!$B$3:$Z$489,19,FALSE),"")</f>
        <v/>
      </c>
      <c r="Y16" s="230" t="str">
        <f>IFERROR(VLOOKUP($Q16,SortedDownload!$B$3:$Z$489,20,FALSE),"")</f>
        <v/>
      </c>
      <c r="Z16" s="230" t="str">
        <f>IFERROR(VLOOKUP($Q16,SortedDownload!$B$3:$Z$489,21,FALSE),"")</f>
        <v/>
      </c>
      <c r="AB16">
        <v>113</v>
      </c>
      <c r="AC16">
        <f>IFERROR(VLOOKUP($AB16,OverallResults!$B$3:$Z$508,2,FALSE),"")</f>
        <v>24</v>
      </c>
      <c r="AD16" t="str">
        <f>IFERROR(VLOOKUP($AB16,OverallResults!$B$3:$Z$508,3,FALSE),"")</f>
        <v>Tyler Pearce Denovan</v>
      </c>
      <c r="AE16" t="str">
        <f>IFERROR(TEXT(VLOOKUP($AB16,OverallResults!$B$3:$Z$489,17,FALSE),"[h]:mm:ss.0"),"")</f>
        <v>0:24:17.9</v>
      </c>
      <c r="AF16" s="230">
        <f>IFERROR(VLOOKUP($AD16,SortedDownload!$B$3:$Z$489,14,FALSE),"")</f>
        <v>111</v>
      </c>
      <c r="AG16" s="230">
        <f>IFERROR(VLOOKUP($AD16,SortedDownload!$B$3:$Z$489,15,FALSE),"")</f>
        <v>169</v>
      </c>
      <c r="AH16" s="230">
        <f>IFERROR(VLOOKUP($AD16,SortedDownload!$B$3:$Z$489,16,FALSE),"")</f>
        <v>156</v>
      </c>
      <c r="AI16" s="230">
        <f>IFERROR(VLOOKUP($AD16,SortedDownload!$B$3:$Z$489,17,FALSE),"")</f>
        <v>119</v>
      </c>
      <c r="AJ16" s="230">
        <f>IFERROR(VLOOKUP($AD16,SortedDownload!$B$3:$Z$489,18,FALSE),"")</f>
        <v>175</v>
      </c>
      <c r="AK16" s="230" t="str">
        <f>IFERROR(VLOOKUP($AD16,SortedDownload!$B$3:$Z$489,19,FALSE),"")</f>
        <v/>
      </c>
      <c r="AL16" s="230" t="str">
        <f>IFERROR(VLOOKUP($AD16,SortedDownload!$B$3:$Z$489,20,FALSE),"")</f>
        <v/>
      </c>
      <c r="AM16" s="230" t="str">
        <f>IFERROR(VLOOKUP($AD16,SortedDownload!$B$3:$Z$489,21,FALSE),"")</f>
        <v/>
      </c>
      <c r="AO16">
        <v>163</v>
      </c>
      <c r="AP16">
        <f>IFERROR(VLOOKUP($AO16,OverallResults!$B$3:$Z$508,2,FALSE),"")</f>
        <v>2</v>
      </c>
      <c r="AQ16" t="str">
        <f>IFERROR(VLOOKUP($AO16,OverallResults!$B$3:$Z$508,3,FALSE),"")</f>
        <v>Michelle George</v>
      </c>
      <c r="AR16" t="str">
        <f>IFERROR(TEXT(VLOOKUP($AO16,OverallResults!$B$3:$Z$489,17,FALSE),"[h]:mm:ss.0"),"")</f>
        <v>0:13:16.8</v>
      </c>
      <c r="AS16" s="230" t="str">
        <f>IFERROR(VLOOKUP($AQ16,SortedDownload!$B$3:$Z$489,14,FALSE),"")</f>
        <v/>
      </c>
      <c r="AT16" s="230">
        <f>IFERROR(VLOOKUP($AQ16,SortedDownload!$B$3:$Z$489,15,FALSE),"")</f>
        <v>147</v>
      </c>
      <c r="AU16" s="230">
        <f>IFERROR(VLOOKUP($AQ16,SortedDownload!$B$3:$Z$489,16,FALSE),"")</f>
        <v>170</v>
      </c>
      <c r="AV16" s="230" t="str">
        <f>IFERROR(VLOOKUP($AQ16,SortedDownload!$B$3:$Z$489,17,FALSE),"")</f>
        <v/>
      </c>
      <c r="AW16" s="230">
        <f>IFERROR(VLOOKUP($AQ16,SortedDownload!$B$3:$Z$489,18,FALSE),"")</f>
        <v>139</v>
      </c>
      <c r="AX16" s="230" t="str">
        <f>IFERROR(VLOOKUP($AQ16,SortedDownload!$B$3:$Z$489,19,FALSE),"")</f>
        <v/>
      </c>
      <c r="AY16" s="230" t="str">
        <f>IFERROR(VLOOKUP($AQ16,SortedDownload!$B$3:$Z$489,20,FALSE),"")</f>
        <v/>
      </c>
      <c r="AZ16" s="230" t="str">
        <f>IFERROR(VLOOKUP($AQ16,SortedDownload!$B$3:$Z$489,21,FALSE),"")</f>
        <v/>
      </c>
      <c r="BB16">
        <v>213</v>
      </c>
      <c r="BC16">
        <f>IFERROR(VLOOKUP($BB16,OverallResults!$B$3:$Z$508,2,FALSE),"")</f>
        <v>46</v>
      </c>
      <c r="BD16" t="str">
        <f>IFERROR(VLOOKUP($BB16,OverallResults!$B$3:$Z$508,3,FALSE),"")</f>
        <v>Karl Van Niekerk</v>
      </c>
      <c r="BE16" t="str">
        <f>IFERROR(TEXT(VLOOKUP($BB16,OverallResults!$B$3:$Z$489,17,FALSE),"[h]:mm:ss.0"),"")</f>
        <v>0:15:51.3</v>
      </c>
      <c r="BF16" s="230" t="str">
        <f>IFERROR(VLOOKUP($BD16,SortedDownload!$B$3:$Z$489,14,FALSE),"")</f>
        <v/>
      </c>
      <c r="BG16" s="230">
        <f>IFERROR(VLOOKUP($BD16,SortedDownload!$B$3:$Z$489,15,FALSE),"")</f>
        <v>215</v>
      </c>
      <c r="BH16" s="230">
        <f>IFERROR(VLOOKUP($BD16,SortedDownload!$B$3:$Z$489,16,FALSE),"")</f>
        <v>208</v>
      </c>
      <c r="BI16" s="230" t="str">
        <f>IFERROR(VLOOKUP($BD16,SortedDownload!$B$3:$Z$489,17,FALSE),"")</f>
        <v/>
      </c>
      <c r="BJ16" s="230">
        <f>IFERROR(VLOOKUP($BD16,SortedDownload!$B$3:$Z$489,18,FALSE),"")</f>
        <v>231</v>
      </c>
      <c r="BK16" s="230" t="str">
        <f>IFERROR(VLOOKUP($BD16,SortedDownload!$B$3:$Z$489,19,FALSE),"")</f>
        <v/>
      </c>
      <c r="BL16" s="230" t="str">
        <f>IFERROR(VLOOKUP($BD16,SortedDownload!$B$3:$Z$489,20,FALSE),"")</f>
        <v/>
      </c>
      <c r="BM16" s="230" t="str">
        <f>IFERROR(VLOOKUP($BD16,SortedDownload!$B$3:$Z$489,21,FALSE),"")</f>
        <v/>
      </c>
      <c r="BO16">
        <v>263</v>
      </c>
      <c r="BP16" t="str">
        <f>IFERROR(VLOOKUP($BO16,OverallResults!$B$3:$Z$508,2,FALSE),"")</f>
        <v>DNF</v>
      </c>
      <c r="BQ16" t="str">
        <f>IFERROR(VLOOKUP($BO16,OverallResults!$B$3:$Z$508,3,FALSE),"")</f>
        <v/>
      </c>
      <c r="BR16" t="str">
        <f>IFERROR(TEXT(VLOOKUP($BO16,OverallResults!$B$3:$Z$489,17,FALSE),"[h]:mm:ss.0"),"")</f>
        <v/>
      </c>
      <c r="BS16" s="230" t="str">
        <f>IFERROR(VLOOKUP($BQ16,SortedDownload!$B$3:$Z$489,14,FALSE),"")</f>
        <v/>
      </c>
      <c r="BT16" s="230" t="str">
        <f>IFERROR(VLOOKUP($BQ16,SortedDownload!$B$3:$Z$489,15,FALSE),"")</f>
        <v/>
      </c>
      <c r="BU16" s="230" t="str">
        <f>IFERROR(VLOOKUP($BQ16,SortedDownload!$B$3:$Z$489,16,FALSE),"")</f>
        <v/>
      </c>
      <c r="BV16" s="230" t="str">
        <f>IFERROR(VLOOKUP($BQ16,SortedDownload!$B$3:$Z$489,17,FALSE),"")</f>
        <v/>
      </c>
      <c r="BW16" s="230" t="str">
        <f>IFERROR(VLOOKUP($BQ16,SortedDownload!$B$3:$Z$489,18,FALSE),"")</f>
        <v/>
      </c>
      <c r="BX16" s="230" t="str">
        <f>IFERROR(VLOOKUP($BQ16,SortedDownload!$B$3:$Z$489,19,FALSE),"")</f>
        <v/>
      </c>
      <c r="BY16" s="230" t="str">
        <f>IFERROR(VLOOKUP($BQ16,SortedDownload!$B$3:$Z$489,20,FALSE),"")</f>
        <v/>
      </c>
      <c r="BZ16" s="230" t="str">
        <f>IFERROR(VLOOKUP($BQ16,SortedDownload!$B$3:$Z$489,21,FALSE),"")</f>
        <v/>
      </c>
    </row>
    <row r="17" spans="2:78">
      <c r="B17">
        <v>14</v>
      </c>
      <c r="C17">
        <f>IFERROR(VLOOKUP($B17,OverallResults!$B$3:$Z$508,2,FALSE),"")</f>
        <v>5</v>
      </c>
      <c r="D17" t="str">
        <f>IFERROR(VLOOKUP($B17,OverallResults!$B$3:$Z$508,3,FALSE),"")</f>
        <v>Johan Van Zyl</v>
      </c>
      <c r="E17" t="str">
        <f>IFERROR(TEXT(VLOOKUP($B17,OverallResults!$B$3:$Z$489,17,FALSE),"[h]:mm:ss.0"),"")</f>
        <v>0:18:04.3</v>
      </c>
      <c r="F17" s="230">
        <f>IFERROR(VLOOKUP($D17,SortedDownload!$B$3:$Z$489,14,FALSE),"")</f>
        <v>17</v>
      </c>
      <c r="G17" s="230">
        <f>IFERROR(VLOOKUP($D17,SortedDownload!$B$3:$Z$489,15,FALSE),"")</f>
        <v>18</v>
      </c>
      <c r="H17" s="230">
        <f>IFERROR(VLOOKUP($D17,SortedDownload!$B$3:$Z$489,16,FALSE),"")</f>
        <v>32</v>
      </c>
      <c r="I17" s="230">
        <f>IFERROR(VLOOKUP($D17,SortedDownload!$B$3:$Z$489,17,FALSE),"")</f>
        <v>20</v>
      </c>
      <c r="J17" s="230">
        <f>IFERROR(VLOOKUP($D17,SortedDownload!$B$3:$Z$489,18,FALSE),"")</f>
        <v>11</v>
      </c>
      <c r="K17" s="230" t="str">
        <f>IFERROR(VLOOKUP($D17,SortedDownload!$B$3:$Z$489,19,FALSE),"")</f>
        <v/>
      </c>
      <c r="L17" s="230" t="str">
        <f>IFERROR(VLOOKUP($D17,SortedDownload!$B$3:$Z$489,20,FALSE),"")</f>
        <v/>
      </c>
      <c r="M17" s="230" t="str">
        <f>IFERROR(VLOOKUP($D17,SortedDownload!$B$3:$Z$489,21,FALSE),"")</f>
        <v/>
      </c>
      <c r="O17">
        <v>64</v>
      </c>
      <c r="P17">
        <f>IFERROR(VLOOKUP($O17,OverallResults!$B$3:$Z$508,2,FALSE),"")</f>
        <v>16</v>
      </c>
      <c r="Q17" t="str">
        <f>IFERROR(VLOOKUP($O17,OverallResults!$B$3:$Z$508,3,FALSE),"")</f>
        <v>Dillan Rix</v>
      </c>
      <c r="R17" t="str">
        <f>IFERROR(TEXT(VLOOKUP($O17,OverallResults!$B$3:$Z$489,17,FALSE),"[h]:mm:ss.0"),"")</f>
        <v>0:20:51.6</v>
      </c>
      <c r="S17" s="230">
        <f>IFERROR(VLOOKUP($Q17,SortedDownload!$B$3:$Z$489,14,FALSE),"")</f>
        <v>46</v>
      </c>
      <c r="T17" s="230">
        <f>IFERROR(VLOOKUP($Q17,SortedDownload!$B$3:$Z$489,15,FALSE),"")</f>
        <v>56</v>
      </c>
      <c r="U17" s="230">
        <f>IFERROR(VLOOKUP($Q17,SortedDownload!$B$3:$Z$489,16,FALSE),"")</f>
        <v>74</v>
      </c>
      <c r="V17" s="230">
        <f>IFERROR(VLOOKUP($Q17,SortedDownload!$B$3:$Z$489,17,FALSE),"")</f>
        <v>125</v>
      </c>
      <c r="W17" s="230">
        <f>IFERROR(VLOOKUP($Q17,SortedDownload!$B$3:$Z$489,18,FALSE),"")</f>
        <v>37</v>
      </c>
      <c r="X17" s="230" t="str">
        <f>IFERROR(VLOOKUP($Q17,SortedDownload!$B$3:$Z$489,19,FALSE),"")</f>
        <v/>
      </c>
      <c r="Y17" s="230" t="str">
        <f>IFERROR(VLOOKUP($Q17,SortedDownload!$B$3:$Z$489,20,FALSE),"")</f>
        <v/>
      </c>
      <c r="Z17" s="230" t="str">
        <f>IFERROR(VLOOKUP($Q17,SortedDownload!$B$3:$Z$489,21,FALSE),"")</f>
        <v/>
      </c>
      <c r="AB17">
        <v>114</v>
      </c>
      <c r="AC17">
        <f>IFERROR(VLOOKUP($AB17,OverallResults!$B$3:$Z$508,2,FALSE),"")</f>
        <v>25</v>
      </c>
      <c r="AD17" t="str">
        <f>IFERROR(VLOOKUP($AB17,OverallResults!$B$3:$Z$508,3,FALSE),"")</f>
        <v>Daniel Franken</v>
      </c>
      <c r="AE17" t="str">
        <f>IFERROR(TEXT(VLOOKUP($AB17,OverallResults!$B$3:$Z$489,17,FALSE),"[h]:mm:ss.0"),"")</f>
        <v>0:24:24.0</v>
      </c>
      <c r="AF17" s="230">
        <f>IFERROR(VLOOKUP($AD17,SortedDownload!$B$3:$Z$489,14,FALSE),"")</f>
        <v>122</v>
      </c>
      <c r="AG17" s="230">
        <f>IFERROR(VLOOKUP($AD17,SortedDownload!$B$3:$Z$489,15,FALSE),"")</f>
        <v>180</v>
      </c>
      <c r="AH17" s="230">
        <f>IFERROR(VLOOKUP($AD17,SortedDownload!$B$3:$Z$489,16,FALSE),"")</f>
        <v>160</v>
      </c>
      <c r="AI17" s="230">
        <f>IFERROR(VLOOKUP($AD17,SortedDownload!$B$3:$Z$489,17,FALSE),"")</f>
        <v>110</v>
      </c>
      <c r="AJ17" s="230">
        <f>IFERROR(VLOOKUP($AD17,SortedDownload!$B$3:$Z$489,18,FALSE),"")</f>
        <v>161</v>
      </c>
      <c r="AK17" s="230" t="str">
        <f>IFERROR(VLOOKUP($AD17,SortedDownload!$B$3:$Z$489,19,FALSE),"")</f>
        <v/>
      </c>
      <c r="AL17" s="230" t="str">
        <f>IFERROR(VLOOKUP($AD17,SortedDownload!$B$3:$Z$489,20,FALSE),"")</f>
        <v/>
      </c>
      <c r="AM17" s="230" t="str">
        <f>IFERROR(VLOOKUP($AD17,SortedDownload!$B$3:$Z$489,21,FALSE),"")</f>
        <v/>
      </c>
      <c r="AO17">
        <v>164</v>
      </c>
      <c r="AP17">
        <f>IFERROR(VLOOKUP($AO17,OverallResults!$B$3:$Z$508,2,FALSE),"")</f>
        <v>21</v>
      </c>
      <c r="AQ17" t="str">
        <f>IFERROR(VLOOKUP($AO17,OverallResults!$B$3:$Z$508,3,FALSE),"")</f>
        <v>Fred Lowe</v>
      </c>
      <c r="AR17" t="str">
        <f>IFERROR(TEXT(VLOOKUP($AO17,OverallResults!$B$3:$Z$489,17,FALSE),"[h]:mm:ss.0"),"")</f>
        <v>0:13:18.3</v>
      </c>
      <c r="AS17" s="230" t="str">
        <f>IFERROR(VLOOKUP($AQ17,SortedDownload!$B$3:$Z$489,14,FALSE),"")</f>
        <v/>
      </c>
      <c r="AT17" s="230">
        <f>IFERROR(VLOOKUP($AQ17,SortedDownload!$B$3:$Z$489,15,FALSE),"")</f>
        <v>181</v>
      </c>
      <c r="AU17" s="230">
        <f>IFERROR(VLOOKUP($AQ17,SortedDownload!$B$3:$Z$489,16,FALSE),"")</f>
        <v>165</v>
      </c>
      <c r="AV17" s="230" t="str">
        <f>IFERROR(VLOOKUP($AQ17,SortedDownload!$B$3:$Z$489,17,FALSE),"")</f>
        <v/>
      </c>
      <c r="AW17" s="230">
        <f>IFERROR(VLOOKUP($AQ17,SortedDownload!$B$3:$Z$489,18,FALSE),"")</f>
        <v>115</v>
      </c>
      <c r="AX17" s="230" t="str">
        <f>IFERROR(VLOOKUP($AQ17,SortedDownload!$B$3:$Z$489,19,FALSE),"")</f>
        <v/>
      </c>
      <c r="AY17" s="230" t="str">
        <f>IFERROR(VLOOKUP($AQ17,SortedDownload!$B$3:$Z$489,20,FALSE),"")</f>
        <v/>
      </c>
      <c r="AZ17" s="230" t="str">
        <f>IFERROR(VLOOKUP($AQ17,SortedDownload!$B$3:$Z$489,21,FALSE),"")</f>
        <v/>
      </c>
      <c r="BB17">
        <v>214</v>
      </c>
      <c r="BC17">
        <f>IFERROR(VLOOKUP($BB17,OverallResults!$B$3:$Z$508,2,FALSE),"")</f>
        <v>9</v>
      </c>
      <c r="BD17" t="str">
        <f>IFERROR(VLOOKUP($BB17,OverallResults!$B$3:$Z$508,3,FALSE),"")</f>
        <v>Samantha Sharp</v>
      </c>
      <c r="BE17" t="str">
        <f>IFERROR(TEXT(VLOOKUP($BB17,OverallResults!$B$3:$Z$489,17,FALSE),"[h]:mm:ss.0"),"")</f>
        <v>0:15:57.2</v>
      </c>
      <c r="BF17" s="230" t="str">
        <f>IFERROR(VLOOKUP($BD17,SortedDownload!$B$3:$Z$489,14,FALSE),"")</f>
        <v/>
      </c>
      <c r="BG17" s="230">
        <f>IFERROR(VLOOKUP($BD17,SortedDownload!$B$3:$Z$489,15,FALSE),"")</f>
        <v>235</v>
      </c>
      <c r="BH17" s="230">
        <f>IFERROR(VLOOKUP($BD17,SortedDownload!$B$3:$Z$489,16,FALSE),"")</f>
        <v>218</v>
      </c>
      <c r="BI17" s="230" t="str">
        <f>IFERROR(VLOOKUP($BD17,SortedDownload!$B$3:$Z$489,17,FALSE),"")</f>
        <v/>
      </c>
      <c r="BJ17" s="230">
        <f>IFERROR(VLOOKUP($BD17,SortedDownload!$B$3:$Z$489,18,FALSE),"")</f>
        <v>220</v>
      </c>
      <c r="BK17" s="230" t="str">
        <f>IFERROR(VLOOKUP($BD17,SortedDownload!$B$3:$Z$489,19,FALSE),"")</f>
        <v/>
      </c>
      <c r="BL17" s="230" t="str">
        <f>IFERROR(VLOOKUP($BD17,SortedDownload!$B$3:$Z$489,20,FALSE),"")</f>
        <v/>
      </c>
      <c r="BM17" s="230" t="str">
        <f>IFERROR(VLOOKUP($BD17,SortedDownload!$B$3:$Z$489,21,FALSE),"")</f>
        <v/>
      </c>
      <c r="BO17">
        <v>264</v>
      </c>
      <c r="BP17" t="str">
        <f>IFERROR(VLOOKUP($BO17,OverallResults!$B$3:$Z$508,2,FALSE),"")</f>
        <v>DNF</v>
      </c>
      <c r="BQ17" t="str">
        <f>IFERROR(VLOOKUP($BO17,OverallResults!$B$3:$Z$508,3,FALSE),"")</f>
        <v/>
      </c>
      <c r="BR17" t="str">
        <f>IFERROR(TEXT(VLOOKUP($BO17,OverallResults!$B$3:$Z$489,17,FALSE),"[h]:mm:ss.0"),"")</f>
        <v/>
      </c>
      <c r="BS17" s="230" t="str">
        <f>IFERROR(VLOOKUP($BQ17,SortedDownload!$B$3:$Z$489,14,FALSE),"")</f>
        <v/>
      </c>
      <c r="BT17" s="230" t="str">
        <f>IFERROR(VLOOKUP($BQ17,SortedDownload!$B$3:$Z$489,15,FALSE),"")</f>
        <v/>
      </c>
      <c r="BU17" s="230" t="str">
        <f>IFERROR(VLOOKUP($BQ17,SortedDownload!$B$3:$Z$489,16,FALSE),"")</f>
        <v/>
      </c>
      <c r="BV17" s="230" t="str">
        <f>IFERROR(VLOOKUP($BQ17,SortedDownload!$B$3:$Z$489,17,FALSE),"")</f>
        <v/>
      </c>
      <c r="BW17" s="230" t="str">
        <f>IFERROR(VLOOKUP($BQ17,SortedDownload!$B$3:$Z$489,18,FALSE),"")</f>
        <v/>
      </c>
      <c r="BX17" s="230" t="str">
        <f>IFERROR(VLOOKUP($BQ17,SortedDownload!$B$3:$Z$489,19,FALSE),"")</f>
        <v/>
      </c>
      <c r="BY17" s="230" t="str">
        <f>IFERROR(VLOOKUP($BQ17,SortedDownload!$B$3:$Z$489,20,FALSE),"")</f>
        <v/>
      </c>
      <c r="BZ17" s="230" t="str">
        <f>IFERROR(VLOOKUP($BQ17,SortedDownload!$B$3:$Z$489,21,FALSE),"")</f>
        <v/>
      </c>
    </row>
    <row r="18" spans="2:78">
      <c r="B18">
        <v>15</v>
      </c>
      <c r="C18">
        <f>IFERROR(VLOOKUP($B18,OverallResults!$B$3:$Z$508,2,FALSE),"")</f>
        <v>2</v>
      </c>
      <c r="D18" t="str">
        <f>IFERROR(VLOOKUP($B18,OverallResults!$B$3:$Z$508,3,FALSE),"")</f>
        <v>Henning Venter</v>
      </c>
      <c r="E18" t="str">
        <f>IFERROR(TEXT(VLOOKUP($B18,OverallResults!$B$3:$Z$489,17,FALSE),"[h]:mm:ss.0"),"")</f>
        <v>0:18:13.6</v>
      </c>
      <c r="F18" s="230">
        <f>IFERROR(VLOOKUP($D18,SortedDownload!$B$3:$Z$489,14,FALSE),"")</f>
        <v>24</v>
      </c>
      <c r="G18" s="230">
        <f>IFERROR(VLOOKUP($D18,SortedDownload!$B$3:$Z$489,15,FALSE),"")</f>
        <v>19</v>
      </c>
      <c r="H18" s="230">
        <f>IFERROR(VLOOKUP($D18,SortedDownload!$B$3:$Z$489,16,FALSE),"")</f>
        <v>19</v>
      </c>
      <c r="I18" s="230">
        <f>IFERROR(VLOOKUP($D18,SortedDownload!$B$3:$Z$489,17,FALSE),"")</f>
        <v>19</v>
      </c>
      <c r="J18" s="230">
        <f>IFERROR(VLOOKUP($D18,SortedDownload!$B$3:$Z$489,18,FALSE),"")</f>
        <v>14</v>
      </c>
      <c r="K18" s="230" t="str">
        <f>IFERROR(VLOOKUP($D18,SortedDownload!$B$3:$Z$489,19,FALSE),"")</f>
        <v/>
      </c>
      <c r="L18" s="230" t="str">
        <f>IFERROR(VLOOKUP($D18,SortedDownload!$B$3:$Z$489,20,FALSE),"")</f>
        <v/>
      </c>
      <c r="M18" s="230" t="str">
        <f>IFERROR(VLOOKUP($D18,SortedDownload!$B$3:$Z$489,21,FALSE),"")</f>
        <v/>
      </c>
      <c r="O18">
        <v>65</v>
      </c>
      <c r="P18">
        <f>IFERROR(VLOOKUP($O18,OverallResults!$B$3:$Z$508,2,FALSE),"")</f>
        <v>17</v>
      </c>
      <c r="Q18" t="str">
        <f>IFERROR(VLOOKUP($O18,OverallResults!$B$3:$Z$508,3,FALSE),"")</f>
        <v>Daniel Jacobs</v>
      </c>
      <c r="R18" t="str">
        <f>IFERROR(TEXT(VLOOKUP($O18,OverallResults!$B$3:$Z$489,17,FALSE),"[h]:mm:ss.0"),"")</f>
        <v>0:20:53.8</v>
      </c>
      <c r="S18" s="230">
        <f>IFERROR(VLOOKUP($Q18,SortedDownload!$B$3:$Z$489,14,FALSE),"")</f>
        <v>75</v>
      </c>
      <c r="T18" s="230">
        <f>IFERROR(VLOOKUP($Q18,SortedDownload!$B$3:$Z$489,15,FALSE),"")</f>
        <v>89</v>
      </c>
      <c r="U18" s="230">
        <f>IFERROR(VLOOKUP($Q18,SortedDownload!$B$3:$Z$489,16,FALSE),"")</f>
        <v>65</v>
      </c>
      <c r="V18" s="230">
        <f>IFERROR(VLOOKUP($Q18,SortedDownload!$B$3:$Z$489,17,FALSE),"")</f>
        <v>65</v>
      </c>
      <c r="W18" s="230">
        <f>IFERROR(VLOOKUP($Q18,SortedDownload!$B$3:$Z$489,18,FALSE),"")</f>
        <v>83</v>
      </c>
      <c r="X18" s="230" t="str">
        <f>IFERROR(VLOOKUP($Q18,SortedDownload!$B$3:$Z$489,19,FALSE),"")</f>
        <v/>
      </c>
      <c r="Y18" s="230" t="str">
        <f>IFERROR(VLOOKUP($Q18,SortedDownload!$B$3:$Z$489,20,FALSE),"")</f>
        <v/>
      </c>
      <c r="Z18" s="230" t="str">
        <f>IFERROR(VLOOKUP($Q18,SortedDownload!$B$3:$Z$489,21,FALSE),"")</f>
        <v/>
      </c>
      <c r="AB18">
        <v>115</v>
      </c>
      <c r="AC18">
        <f>IFERROR(VLOOKUP($AB18,OverallResults!$B$3:$Z$508,2,FALSE),"")</f>
        <v>34</v>
      </c>
      <c r="AD18" t="str">
        <f>IFERROR(VLOOKUP($AB18,OverallResults!$B$3:$Z$508,3,FALSE),"")</f>
        <v>Ryan Liversage</v>
      </c>
      <c r="AE18" t="str">
        <f>IFERROR(TEXT(VLOOKUP($AB18,OverallResults!$B$3:$Z$489,17,FALSE),"[h]:mm:ss.0"),"")</f>
        <v>0:24:26.6</v>
      </c>
      <c r="AF18" s="230">
        <f>IFERROR(VLOOKUP($AD18,SortedDownload!$B$3:$Z$489,14,FALSE),"")</f>
        <v>110</v>
      </c>
      <c r="AG18" s="230">
        <f>IFERROR(VLOOKUP($AD18,SortedDownload!$B$3:$Z$489,15,FALSE),"")</f>
        <v>192</v>
      </c>
      <c r="AH18" s="230">
        <f>IFERROR(VLOOKUP($AD18,SortedDownload!$B$3:$Z$489,16,FALSE),"")</f>
        <v>130</v>
      </c>
      <c r="AI18" s="230">
        <f>IFERROR(VLOOKUP($AD18,SortedDownload!$B$3:$Z$489,17,FALSE),"")</f>
        <v>114</v>
      </c>
      <c r="AJ18" s="230">
        <f>IFERROR(VLOOKUP($AD18,SortedDownload!$B$3:$Z$489,18,FALSE),"")</f>
        <v>193</v>
      </c>
      <c r="AK18" s="230" t="str">
        <f>IFERROR(VLOOKUP($AD18,SortedDownload!$B$3:$Z$489,19,FALSE),"")</f>
        <v/>
      </c>
      <c r="AL18" s="230" t="str">
        <f>IFERROR(VLOOKUP($AD18,SortedDownload!$B$3:$Z$489,20,FALSE),"")</f>
        <v/>
      </c>
      <c r="AM18" s="230" t="str">
        <f>IFERROR(VLOOKUP($AD18,SortedDownload!$B$3:$Z$489,21,FALSE),"")</f>
        <v/>
      </c>
      <c r="AO18">
        <v>165</v>
      </c>
      <c r="AP18">
        <f>IFERROR(VLOOKUP($AO18,OverallResults!$B$3:$Z$508,2,FALSE),"")</f>
        <v>3</v>
      </c>
      <c r="AQ18" t="str">
        <f>IFERROR(VLOOKUP($AO18,OverallResults!$B$3:$Z$508,3,FALSE),"")</f>
        <v>Christiaan Steffens</v>
      </c>
      <c r="AR18" t="str">
        <f>IFERROR(TEXT(VLOOKUP($AO18,OverallResults!$B$3:$Z$489,17,FALSE),"[h]:mm:ss.0"),"")</f>
        <v>0:13:18.8</v>
      </c>
      <c r="AS18" s="230" t="str">
        <f>IFERROR(VLOOKUP($AQ18,SortedDownload!$B$3:$Z$489,14,FALSE),"")</f>
        <v/>
      </c>
      <c r="AT18" s="230">
        <f>IFERROR(VLOOKUP($AQ18,SortedDownload!$B$3:$Z$489,15,FALSE),"")</f>
        <v>174</v>
      </c>
      <c r="AU18" s="230">
        <f>IFERROR(VLOOKUP($AQ18,SortedDownload!$B$3:$Z$489,16,FALSE),"")</f>
        <v>163</v>
      </c>
      <c r="AV18" s="230" t="str">
        <f>IFERROR(VLOOKUP($AQ18,SortedDownload!$B$3:$Z$489,17,FALSE),"")</f>
        <v/>
      </c>
      <c r="AW18" s="230">
        <f>IFERROR(VLOOKUP($AQ18,SortedDownload!$B$3:$Z$489,18,FALSE),"")</f>
        <v>128</v>
      </c>
      <c r="AX18" s="230" t="str">
        <f>IFERROR(VLOOKUP($AQ18,SortedDownload!$B$3:$Z$489,19,FALSE),"")</f>
        <v/>
      </c>
      <c r="AY18" s="230" t="str">
        <f>IFERROR(VLOOKUP($AQ18,SortedDownload!$B$3:$Z$489,20,FALSE),"")</f>
        <v/>
      </c>
      <c r="AZ18" s="230" t="str">
        <f>IFERROR(VLOOKUP($AQ18,SortedDownload!$B$3:$Z$489,21,FALSE),"")</f>
        <v/>
      </c>
      <c r="BB18">
        <v>215</v>
      </c>
      <c r="BC18">
        <f>IFERROR(VLOOKUP($BB18,OverallResults!$B$3:$Z$508,2,FALSE),"")</f>
        <v>47</v>
      </c>
      <c r="BD18" t="str">
        <f>IFERROR(VLOOKUP($BB18,OverallResults!$B$3:$Z$508,3,FALSE),"")</f>
        <v>Dacre Ewan</v>
      </c>
      <c r="BE18" t="str">
        <f>IFERROR(TEXT(VLOOKUP($BB18,OverallResults!$B$3:$Z$489,17,FALSE),"[h]:mm:ss.0"),"")</f>
        <v>0:16:03.1</v>
      </c>
      <c r="BF18" s="230" t="str">
        <f>IFERROR(VLOOKUP($BD18,SortedDownload!$B$3:$Z$489,14,FALSE),"")</f>
        <v/>
      </c>
      <c r="BG18" s="230">
        <f>IFERROR(VLOOKUP($BD18,SortedDownload!$B$3:$Z$489,15,FALSE),"")</f>
        <v>227</v>
      </c>
      <c r="BH18" s="230">
        <f>IFERROR(VLOOKUP($BD18,SortedDownload!$B$3:$Z$489,16,FALSE),"")</f>
        <v>231</v>
      </c>
      <c r="BI18" s="230" t="str">
        <f>IFERROR(VLOOKUP($BD18,SortedDownload!$B$3:$Z$489,17,FALSE),"")</f>
        <v/>
      </c>
      <c r="BJ18" s="230">
        <f>IFERROR(VLOOKUP($BD18,SortedDownload!$B$3:$Z$489,18,FALSE),"")</f>
        <v>219</v>
      </c>
      <c r="BK18" s="230" t="str">
        <f>IFERROR(VLOOKUP($BD18,SortedDownload!$B$3:$Z$489,19,FALSE),"")</f>
        <v/>
      </c>
      <c r="BL18" s="230" t="str">
        <f>IFERROR(VLOOKUP($BD18,SortedDownload!$B$3:$Z$489,20,FALSE),"")</f>
        <v/>
      </c>
      <c r="BM18" s="230" t="str">
        <f>IFERROR(VLOOKUP($BD18,SortedDownload!$B$3:$Z$489,21,FALSE),"")</f>
        <v/>
      </c>
      <c r="BO18">
        <v>265</v>
      </c>
      <c r="BP18" t="str">
        <f>IFERROR(VLOOKUP($BO18,OverallResults!$B$3:$Z$508,2,FALSE),"")</f>
        <v>DNF</v>
      </c>
      <c r="BQ18" t="str">
        <f>IFERROR(VLOOKUP($BO18,OverallResults!$B$3:$Z$508,3,FALSE),"")</f>
        <v/>
      </c>
      <c r="BR18" t="str">
        <f>IFERROR(TEXT(VLOOKUP($BO18,OverallResults!$B$3:$Z$489,17,FALSE),"[h]:mm:ss.0"),"")</f>
        <v/>
      </c>
      <c r="BS18" s="230" t="str">
        <f>IFERROR(VLOOKUP($BQ18,SortedDownload!$B$3:$Z$489,14,FALSE),"")</f>
        <v/>
      </c>
      <c r="BT18" s="230" t="str">
        <f>IFERROR(VLOOKUP($BQ18,SortedDownload!$B$3:$Z$489,15,FALSE),"")</f>
        <v/>
      </c>
      <c r="BU18" s="230" t="str">
        <f>IFERROR(VLOOKUP($BQ18,SortedDownload!$B$3:$Z$489,16,FALSE),"")</f>
        <v/>
      </c>
      <c r="BV18" s="230" t="str">
        <f>IFERROR(VLOOKUP($BQ18,SortedDownload!$B$3:$Z$489,17,FALSE),"")</f>
        <v/>
      </c>
      <c r="BW18" s="230" t="str">
        <f>IFERROR(VLOOKUP($BQ18,SortedDownload!$B$3:$Z$489,18,FALSE),"")</f>
        <v/>
      </c>
      <c r="BX18" s="230" t="str">
        <f>IFERROR(VLOOKUP($BQ18,SortedDownload!$B$3:$Z$489,19,FALSE),"")</f>
        <v/>
      </c>
      <c r="BY18" s="230" t="str">
        <f>IFERROR(VLOOKUP($BQ18,SortedDownload!$B$3:$Z$489,20,FALSE),"")</f>
        <v/>
      </c>
      <c r="BZ18" s="230" t="str">
        <f>IFERROR(VLOOKUP($BQ18,SortedDownload!$B$3:$Z$489,21,FALSE),"")</f>
        <v/>
      </c>
    </row>
    <row r="19" spans="2:78">
      <c r="B19">
        <v>16</v>
      </c>
      <c r="C19">
        <f>IFERROR(VLOOKUP($B19,OverallResults!$B$3:$Z$508,2,FALSE),"")</f>
        <v>2</v>
      </c>
      <c r="D19" t="str">
        <f>IFERROR(VLOOKUP($B19,OverallResults!$B$3:$Z$508,3,FALSE),"")</f>
        <v>Fourie Van Wyk</v>
      </c>
      <c r="E19" t="str">
        <f>IFERROR(TEXT(VLOOKUP($B19,OverallResults!$B$3:$Z$489,17,FALSE),"[h]:mm:ss.0"),"")</f>
        <v>0:18:20.9</v>
      </c>
      <c r="F19" s="230">
        <f>IFERROR(VLOOKUP($D19,SortedDownload!$B$3:$Z$489,14,FALSE),"")</f>
        <v>14</v>
      </c>
      <c r="G19" s="230">
        <f>IFERROR(VLOOKUP($D19,SortedDownload!$B$3:$Z$489,15,FALSE),"")</f>
        <v>35</v>
      </c>
      <c r="H19" s="230">
        <f>IFERROR(VLOOKUP($D19,SortedDownload!$B$3:$Z$489,16,FALSE),"")</f>
        <v>15</v>
      </c>
      <c r="I19" s="230">
        <f>IFERROR(VLOOKUP($D19,SortedDownload!$B$3:$Z$489,17,FALSE),"")</f>
        <v>22</v>
      </c>
      <c r="J19" s="230">
        <f>IFERROR(VLOOKUP($D19,SortedDownload!$B$3:$Z$489,18,FALSE),"")</f>
        <v>26</v>
      </c>
      <c r="K19" s="230" t="str">
        <f>IFERROR(VLOOKUP($D19,SortedDownload!$B$3:$Z$489,19,FALSE),"")</f>
        <v/>
      </c>
      <c r="L19" s="230" t="str">
        <f>IFERROR(VLOOKUP($D19,SortedDownload!$B$3:$Z$489,20,FALSE),"")</f>
        <v/>
      </c>
      <c r="M19" s="230" t="str">
        <f>IFERROR(VLOOKUP($D19,SortedDownload!$B$3:$Z$489,21,FALSE),"")</f>
        <v/>
      </c>
      <c r="O19">
        <v>66</v>
      </c>
      <c r="P19">
        <f>IFERROR(VLOOKUP($O19,OverallResults!$B$3:$Z$508,2,FALSE),"")</f>
        <v>10</v>
      </c>
      <c r="Q19" t="str">
        <f>IFERROR(VLOOKUP($O19,OverallResults!$B$3:$Z$508,3,FALSE),"")</f>
        <v>Stirling Kotze</v>
      </c>
      <c r="R19" t="str">
        <f>IFERROR(TEXT(VLOOKUP($O19,OverallResults!$B$3:$Z$489,17,FALSE),"[h]:mm:ss.0"),"")</f>
        <v>0:20:54.0</v>
      </c>
      <c r="S19" s="230">
        <f>IFERROR(VLOOKUP($Q19,SortedDownload!$B$3:$Z$489,14,FALSE),"")</f>
        <v>64</v>
      </c>
      <c r="T19" s="230">
        <f>IFERROR(VLOOKUP($Q19,SortedDownload!$B$3:$Z$489,15,FALSE),"")</f>
        <v>83</v>
      </c>
      <c r="U19" s="230">
        <f>IFERROR(VLOOKUP($Q19,SortedDownload!$B$3:$Z$489,16,FALSE),"")</f>
        <v>103</v>
      </c>
      <c r="V19" s="230">
        <f>IFERROR(VLOOKUP($Q19,SortedDownload!$B$3:$Z$489,17,FALSE),"")</f>
        <v>63</v>
      </c>
      <c r="W19" s="230">
        <f>IFERROR(VLOOKUP($Q19,SortedDownload!$B$3:$Z$489,18,FALSE),"")</f>
        <v>92</v>
      </c>
      <c r="X19" s="230" t="str">
        <f>IFERROR(VLOOKUP($Q19,SortedDownload!$B$3:$Z$489,19,FALSE),"")</f>
        <v/>
      </c>
      <c r="Y19" s="230" t="str">
        <f>IFERROR(VLOOKUP($Q19,SortedDownload!$B$3:$Z$489,20,FALSE),"")</f>
        <v/>
      </c>
      <c r="Z19" s="230" t="str">
        <f>IFERROR(VLOOKUP($Q19,SortedDownload!$B$3:$Z$489,21,FALSE),"")</f>
        <v/>
      </c>
      <c r="AB19">
        <v>116</v>
      </c>
      <c r="AC19">
        <f>IFERROR(VLOOKUP($AB19,OverallResults!$B$3:$Z$508,2,FALSE),"")</f>
        <v>27</v>
      </c>
      <c r="AD19" t="str">
        <f>IFERROR(VLOOKUP($AB19,OverallResults!$B$3:$Z$508,3,FALSE),"")</f>
        <v>Grant Morris</v>
      </c>
      <c r="AE19" t="str">
        <f>IFERROR(TEXT(VLOOKUP($AB19,OverallResults!$B$3:$Z$489,17,FALSE),"[h]:mm:ss.0"),"")</f>
        <v>0:24:27.1</v>
      </c>
      <c r="AF19" s="230">
        <f>IFERROR(VLOOKUP($AD19,SortedDownload!$B$3:$Z$489,14,FALSE),"")</f>
        <v>130</v>
      </c>
      <c r="AG19" s="230">
        <f>IFERROR(VLOOKUP($AD19,SortedDownload!$B$3:$Z$489,15,FALSE),"")</f>
        <v>144</v>
      </c>
      <c r="AH19" s="230">
        <f>IFERROR(VLOOKUP($AD19,SortedDownload!$B$3:$Z$489,16,FALSE),"")</f>
        <v>102</v>
      </c>
      <c r="AI19" s="230">
        <f>IFERROR(VLOOKUP($AD19,SortedDownload!$B$3:$Z$489,17,FALSE),"")</f>
        <v>106</v>
      </c>
      <c r="AJ19" s="230">
        <f>IFERROR(VLOOKUP($AD19,SortedDownload!$B$3:$Z$489,18,FALSE),"")</f>
        <v>122</v>
      </c>
      <c r="AK19" s="230" t="str">
        <f>IFERROR(VLOOKUP($AD19,SortedDownload!$B$3:$Z$489,19,FALSE),"")</f>
        <v/>
      </c>
      <c r="AL19" s="230" t="str">
        <f>IFERROR(VLOOKUP($AD19,SortedDownload!$B$3:$Z$489,20,FALSE),"")</f>
        <v/>
      </c>
      <c r="AM19" s="230" t="str">
        <f>IFERROR(VLOOKUP($AD19,SortedDownload!$B$3:$Z$489,21,FALSE),"")</f>
        <v/>
      </c>
      <c r="AO19">
        <v>166</v>
      </c>
      <c r="AP19">
        <f>IFERROR(VLOOKUP($AO19,OverallResults!$B$3:$Z$508,2,FALSE),"")</f>
        <v>8</v>
      </c>
      <c r="AQ19" t="str">
        <f>IFERROR(VLOOKUP($AO19,OverallResults!$B$3:$Z$508,3,FALSE),"")</f>
        <v>Joshua Ord</v>
      </c>
      <c r="AR19" t="str">
        <f>IFERROR(TEXT(VLOOKUP($AO19,OverallResults!$B$3:$Z$489,17,FALSE),"[h]:mm:ss.0"),"")</f>
        <v>0:13:24.9</v>
      </c>
      <c r="AS19" s="230" t="str">
        <f>IFERROR(VLOOKUP($AQ19,SortedDownload!$B$3:$Z$489,14,FALSE),"")</f>
        <v/>
      </c>
      <c r="AT19" s="230">
        <f>IFERROR(VLOOKUP($AQ19,SortedDownload!$B$3:$Z$489,15,FALSE),"")</f>
        <v>176</v>
      </c>
      <c r="AU19" s="230">
        <f>IFERROR(VLOOKUP($AQ19,SortedDownload!$B$3:$Z$489,16,FALSE),"")</f>
        <v>150</v>
      </c>
      <c r="AV19" s="230" t="str">
        <f>IFERROR(VLOOKUP($AQ19,SortedDownload!$B$3:$Z$489,17,FALSE),"")</f>
        <v/>
      </c>
      <c r="AW19" s="230">
        <f>IFERROR(VLOOKUP($AQ19,SortedDownload!$B$3:$Z$489,18,FALSE),"")</f>
        <v>146</v>
      </c>
      <c r="AX19" s="230" t="str">
        <f>IFERROR(VLOOKUP($AQ19,SortedDownload!$B$3:$Z$489,19,FALSE),"")</f>
        <v/>
      </c>
      <c r="AY19" s="230" t="str">
        <f>IFERROR(VLOOKUP($AQ19,SortedDownload!$B$3:$Z$489,20,FALSE),"")</f>
        <v/>
      </c>
      <c r="AZ19" s="230" t="str">
        <f>IFERROR(VLOOKUP($AQ19,SortedDownload!$B$3:$Z$489,21,FALSE),"")</f>
        <v/>
      </c>
      <c r="BB19">
        <v>216</v>
      </c>
      <c r="BC19">
        <f>IFERROR(VLOOKUP($BB19,OverallResults!$B$3:$Z$508,2,FALSE),"")</f>
        <v>16</v>
      </c>
      <c r="BD19" t="str">
        <f>IFERROR(VLOOKUP($BB19,OverallResults!$B$3:$Z$508,3,FALSE),"")</f>
        <v>Gean Boegman</v>
      </c>
      <c r="BE19" t="str">
        <f>IFERROR(TEXT(VLOOKUP($BB19,OverallResults!$B$3:$Z$489,17,FALSE),"[h]:mm:ss.0"),"")</f>
        <v>0:16:38.5</v>
      </c>
      <c r="BF19" s="230" t="str">
        <f>IFERROR(VLOOKUP($BD19,SortedDownload!$B$3:$Z$489,14,FALSE),"")</f>
        <v/>
      </c>
      <c r="BG19" s="230">
        <f>IFERROR(VLOOKUP($BD19,SortedDownload!$B$3:$Z$489,15,FALSE),"")</f>
        <v>239</v>
      </c>
      <c r="BH19" s="230">
        <f>IFERROR(VLOOKUP($BD19,SortedDownload!$B$3:$Z$489,16,FALSE),"")</f>
        <v>237</v>
      </c>
      <c r="BI19" s="230" t="str">
        <f>IFERROR(VLOOKUP($BD19,SortedDownload!$B$3:$Z$489,17,FALSE),"")</f>
        <v/>
      </c>
      <c r="BJ19" s="230">
        <f>IFERROR(VLOOKUP($BD19,SortedDownload!$B$3:$Z$489,18,FALSE),"")</f>
        <v>222</v>
      </c>
      <c r="BK19" s="230" t="str">
        <f>IFERROR(VLOOKUP($BD19,SortedDownload!$B$3:$Z$489,19,FALSE),"")</f>
        <v/>
      </c>
      <c r="BL19" s="230" t="str">
        <f>IFERROR(VLOOKUP($BD19,SortedDownload!$B$3:$Z$489,20,FALSE),"")</f>
        <v/>
      </c>
      <c r="BM19" s="230" t="str">
        <f>IFERROR(VLOOKUP($BD19,SortedDownload!$B$3:$Z$489,21,FALSE),"")</f>
        <v/>
      </c>
      <c r="BO19">
        <v>266</v>
      </c>
      <c r="BP19" t="str">
        <f>IFERROR(VLOOKUP($BO19,OverallResults!$B$3:$Z$508,2,FALSE),"")</f>
        <v>DNF</v>
      </c>
      <c r="BQ19" t="str">
        <f>IFERROR(VLOOKUP($BO19,OverallResults!$B$3:$Z$508,3,FALSE),"")</f>
        <v/>
      </c>
      <c r="BR19" t="str">
        <f>IFERROR(TEXT(VLOOKUP($BO19,OverallResults!$B$3:$Z$489,17,FALSE),"[h]:mm:ss.0"),"")</f>
        <v/>
      </c>
      <c r="BS19" s="230" t="str">
        <f>IFERROR(VLOOKUP($BQ19,SortedDownload!$B$3:$Z$489,14,FALSE),"")</f>
        <v/>
      </c>
      <c r="BT19" s="230" t="str">
        <f>IFERROR(VLOOKUP($BQ19,SortedDownload!$B$3:$Z$489,15,FALSE),"")</f>
        <v/>
      </c>
      <c r="BU19" s="230" t="str">
        <f>IFERROR(VLOOKUP($BQ19,SortedDownload!$B$3:$Z$489,16,FALSE),"")</f>
        <v/>
      </c>
      <c r="BV19" s="230" t="str">
        <f>IFERROR(VLOOKUP($BQ19,SortedDownload!$B$3:$Z$489,17,FALSE),"")</f>
        <v/>
      </c>
      <c r="BW19" s="230" t="str">
        <f>IFERROR(VLOOKUP($BQ19,SortedDownload!$B$3:$Z$489,18,FALSE),"")</f>
        <v/>
      </c>
      <c r="BX19" s="230" t="str">
        <f>IFERROR(VLOOKUP($BQ19,SortedDownload!$B$3:$Z$489,19,FALSE),"")</f>
        <v/>
      </c>
      <c r="BY19" s="230" t="str">
        <f>IFERROR(VLOOKUP($BQ19,SortedDownload!$B$3:$Z$489,20,FALSE),"")</f>
        <v/>
      </c>
      <c r="BZ19" s="230" t="str">
        <f>IFERROR(VLOOKUP($BQ19,SortedDownload!$B$3:$Z$489,21,FALSE),"")</f>
        <v/>
      </c>
    </row>
    <row r="20" spans="2:78">
      <c r="B20">
        <v>17</v>
      </c>
      <c r="C20">
        <f>IFERROR(VLOOKUP($B20,OverallResults!$B$3:$Z$508,2,FALSE),"")</f>
        <v>6</v>
      </c>
      <c r="D20" t="str">
        <f>IFERROR(VLOOKUP($B20,OverallResults!$B$3:$Z$508,3,FALSE),"")</f>
        <v>Samuel Courts</v>
      </c>
      <c r="E20" t="str">
        <f>IFERROR(TEXT(VLOOKUP($B20,OverallResults!$B$3:$Z$489,17,FALSE),"[h]:mm:ss.0"),"")</f>
        <v>0:18:22.7</v>
      </c>
      <c r="F20" s="230">
        <f>IFERROR(VLOOKUP($D20,SortedDownload!$B$3:$Z$489,14,FALSE),"")</f>
        <v>27</v>
      </c>
      <c r="G20" s="230">
        <f>IFERROR(VLOOKUP($D20,SortedDownload!$B$3:$Z$489,15,FALSE),"")</f>
        <v>15</v>
      </c>
      <c r="H20" s="230">
        <f>IFERROR(VLOOKUP($D20,SortedDownload!$B$3:$Z$489,16,FALSE),"")</f>
        <v>20</v>
      </c>
      <c r="I20" s="230">
        <f>IFERROR(VLOOKUP($D20,SortedDownload!$B$3:$Z$489,17,FALSE),"")</f>
        <v>25</v>
      </c>
      <c r="J20" s="230">
        <f>IFERROR(VLOOKUP($D20,SortedDownload!$B$3:$Z$489,18,FALSE),"")</f>
        <v>19</v>
      </c>
      <c r="K20" s="230" t="str">
        <f>IFERROR(VLOOKUP($D20,SortedDownload!$B$3:$Z$489,19,FALSE),"")</f>
        <v/>
      </c>
      <c r="L20" s="230" t="str">
        <f>IFERROR(VLOOKUP($D20,SortedDownload!$B$3:$Z$489,20,FALSE),"")</f>
        <v/>
      </c>
      <c r="M20" s="230" t="str">
        <f>IFERROR(VLOOKUP($D20,SortedDownload!$B$3:$Z$489,21,FALSE),"")</f>
        <v/>
      </c>
      <c r="O20">
        <v>67</v>
      </c>
      <c r="P20">
        <f>IFERROR(VLOOKUP($O20,OverallResults!$B$3:$Z$508,2,FALSE),"")</f>
        <v>17</v>
      </c>
      <c r="Q20" t="str">
        <f>IFERROR(VLOOKUP($O20,OverallResults!$B$3:$Z$508,3,FALSE),"")</f>
        <v>Jordan De Goede</v>
      </c>
      <c r="R20" t="str">
        <f>IFERROR(TEXT(VLOOKUP($O20,OverallResults!$B$3:$Z$489,17,FALSE),"[h]:mm:ss.0"),"")</f>
        <v>0:20:56.6</v>
      </c>
      <c r="S20" s="230">
        <f>IFERROR(VLOOKUP($Q20,SortedDownload!$B$3:$Z$489,14,FALSE),"")</f>
        <v>20</v>
      </c>
      <c r="T20" s="230">
        <f>IFERROR(VLOOKUP($Q20,SortedDownload!$B$3:$Z$489,15,FALSE),"")</f>
        <v>29</v>
      </c>
      <c r="U20" s="230">
        <f>IFERROR(VLOOKUP($Q20,SortedDownload!$B$3:$Z$489,16,FALSE),"")</f>
        <v>246</v>
      </c>
      <c r="V20" s="230">
        <f>IFERROR(VLOOKUP($Q20,SortedDownload!$B$3:$Z$489,17,FALSE),"")</f>
        <v>17</v>
      </c>
      <c r="W20" s="230">
        <f>IFERROR(VLOOKUP($Q20,SortedDownload!$B$3:$Z$489,18,FALSE),"")</f>
        <v>18</v>
      </c>
      <c r="X20" s="230" t="str">
        <f>IFERROR(VLOOKUP($Q20,SortedDownload!$B$3:$Z$489,19,FALSE),"")</f>
        <v/>
      </c>
      <c r="Y20" s="230" t="str">
        <f>IFERROR(VLOOKUP($Q20,SortedDownload!$B$3:$Z$489,20,FALSE),"")</f>
        <v/>
      </c>
      <c r="Z20" s="230" t="str">
        <f>IFERROR(VLOOKUP($Q20,SortedDownload!$B$3:$Z$489,21,FALSE),"")</f>
        <v/>
      </c>
      <c r="AB20">
        <v>117</v>
      </c>
      <c r="AC20">
        <f>IFERROR(VLOOKUP($AB20,OverallResults!$B$3:$Z$508,2,FALSE),"")</f>
        <v>35</v>
      </c>
      <c r="AD20" t="str">
        <f>IFERROR(VLOOKUP($AB20,OverallResults!$B$3:$Z$508,3,FALSE),"")</f>
        <v>Marc Ruwiel</v>
      </c>
      <c r="AE20" t="str">
        <f>IFERROR(TEXT(VLOOKUP($AB20,OverallResults!$B$3:$Z$489,17,FALSE),"[h]:mm:ss.0"),"")</f>
        <v>0:24:36.8</v>
      </c>
      <c r="AF20" s="230">
        <f>IFERROR(VLOOKUP($AD20,SortedDownload!$B$3:$Z$489,14,FALSE),"")</f>
        <v>123</v>
      </c>
      <c r="AG20" s="230">
        <f>IFERROR(VLOOKUP($AD20,SortedDownload!$B$3:$Z$489,15,FALSE),"")</f>
        <v>160</v>
      </c>
      <c r="AH20" s="230">
        <f>IFERROR(VLOOKUP($AD20,SortedDownload!$B$3:$Z$489,16,FALSE),"")</f>
        <v>190</v>
      </c>
      <c r="AI20" s="230">
        <f>IFERROR(VLOOKUP($AD20,SortedDownload!$B$3:$Z$489,17,FALSE),"")</f>
        <v>120</v>
      </c>
      <c r="AJ20" s="230">
        <f>IFERROR(VLOOKUP($AD20,SortedDownload!$B$3:$Z$489,18,FALSE),"")</f>
        <v>136</v>
      </c>
      <c r="AK20" s="230" t="str">
        <f>IFERROR(VLOOKUP($AD20,SortedDownload!$B$3:$Z$489,19,FALSE),"")</f>
        <v/>
      </c>
      <c r="AL20" s="230" t="str">
        <f>IFERROR(VLOOKUP($AD20,SortedDownload!$B$3:$Z$489,20,FALSE),"")</f>
        <v/>
      </c>
      <c r="AM20" s="230" t="str">
        <f>IFERROR(VLOOKUP($AD20,SortedDownload!$B$3:$Z$489,21,FALSE),"")</f>
        <v/>
      </c>
      <c r="AO20">
        <v>167</v>
      </c>
      <c r="AP20">
        <f>IFERROR(VLOOKUP($AO20,OverallResults!$B$3:$Z$508,2,FALSE),"")</f>
        <v>4</v>
      </c>
      <c r="AQ20" t="str">
        <f>IFERROR(VLOOKUP($AO20,OverallResults!$B$3:$Z$508,3,FALSE),"")</f>
        <v>Robert Du Preez</v>
      </c>
      <c r="AR20" t="str">
        <f>IFERROR(TEXT(VLOOKUP($AO20,OverallResults!$B$3:$Z$489,17,FALSE),"[h]:mm:ss.0"),"")</f>
        <v>0:13:25.3</v>
      </c>
      <c r="AS20" s="230" t="str">
        <f>IFERROR(VLOOKUP($AQ20,SortedDownload!$B$3:$Z$489,14,FALSE),"")</f>
        <v/>
      </c>
      <c r="AT20" s="230">
        <f>IFERROR(VLOOKUP($AQ20,SortedDownload!$B$3:$Z$489,15,FALSE),"")</f>
        <v>127</v>
      </c>
      <c r="AU20" s="230">
        <f>IFERROR(VLOOKUP($AQ20,SortedDownload!$B$3:$Z$489,16,FALSE),"")</f>
        <v>176</v>
      </c>
      <c r="AV20" s="230" t="str">
        <f>IFERROR(VLOOKUP($AQ20,SortedDownload!$B$3:$Z$489,17,FALSE),"")</f>
        <v/>
      </c>
      <c r="AW20" s="230">
        <f>IFERROR(VLOOKUP($AQ20,SortedDownload!$B$3:$Z$489,18,FALSE),"")</f>
        <v>166</v>
      </c>
      <c r="AX20" s="230" t="str">
        <f>IFERROR(VLOOKUP($AQ20,SortedDownload!$B$3:$Z$489,19,FALSE),"")</f>
        <v/>
      </c>
      <c r="AY20" s="230" t="str">
        <f>IFERROR(VLOOKUP($AQ20,SortedDownload!$B$3:$Z$489,20,FALSE),"")</f>
        <v/>
      </c>
      <c r="AZ20" s="230" t="str">
        <f>IFERROR(VLOOKUP($AQ20,SortedDownload!$B$3:$Z$489,21,FALSE),"")</f>
        <v/>
      </c>
      <c r="BB20">
        <v>217</v>
      </c>
      <c r="BC20">
        <f>IFERROR(VLOOKUP($BB20,OverallResults!$B$3:$Z$508,2,FALSE),"")</f>
        <v>48</v>
      </c>
      <c r="BD20" t="str">
        <f>IFERROR(VLOOKUP($BB20,OverallResults!$B$3:$Z$508,3,FALSE),"")</f>
        <v>Daryn Clark</v>
      </c>
      <c r="BE20" t="str">
        <f>IFERROR(TEXT(VLOOKUP($BB20,OverallResults!$B$3:$Z$489,17,FALSE),"[h]:mm:ss.0"),"")</f>
        <v>0:16:43.9</v>
      </c>
      <c r="BF20" s="230">
        <f>IFERROR(VLOOKUP($BD20,SortedDownload!$B$3:$Z$489,14,FALSE),"")</f>
        <v>138</v>
      </c>
      <c r="BG20" s="230">
        <f>IFERROR(VLOOKUP($BD20,SortedDownload!$B$3:$Z$489,15,FALSE),"")</f>
        <v>231</v>
      </c>
      <c r="BH20" s="230">
        <f>IFERROR(VLOOKUP($BD20,SortedDownload!$B$3:$Z$489,16,FALSE),"")</f>
        <v>217</v>
      </c>
      <c r="BI20" s="230" t="str">
        <f>IFERROR(VLOOKUP($BD20,SortedDownload!$B$3:$Z$489,17,FALSE),"")</f>
        <v/>
      </c>
      <c r="BJ20" s="230" t="str">
        <f>IFERROR(VLOOKUP($BD20,SortedDownload!$B$3:$Z$489,18,FALSE),"")</f>
        <v/>
      </c>
      <c r="BK20" s="230" t="str">
        <f>IFERROR(VLOOKUP($BD20,SortedDownload!$B$3:$Z$489,19,FALSE),"")</f>
        <v/>
      </c>
      <c r="BL20" s="230" t="str">
        <f>IFERROR(VLOOKUP($BD20,SortedDownload!$B$3:$Z$489,20,FALSE),"")</f>
        <v/>
      </c>
      <c r="BM20" s="230" t="str">
        <f>IFERROR(VLOOKUP($BD20,SortedDownload!$B$3:$Z$489,21,FALSE),"")</f>
        <v/>
      </c>
      <c r="BO20">
        <v>267</v>
      </c>
      <c r="BP20" t="str">
        <f>IFERROR(VLOOKUP($BO20,OverallResults!$B$3:$Z$508,2,FALSE),"")</f>
        <v>DNF</v>
      </c>
      <c r="BQ20" t="str">
        <f>IFERROR(VLOOKUP($BO20,OverallResults!$B$3:$Z$508,3,FALSE),"")</f>
        <v/>
      </c>
      <c r="BR20" t="str">
        <f>IFERROR(TEXT(VLOOKUP($BO20,OverallResults!$B$3:$Z$489,17,FALSE),"[h]:mm:ss.0"),"")</f>
        <v/>
      </c>
      <c r="BS20" s="230" t="str">
        <f>IFERROR(VLOOKUP($BQ20,SortedDownload!$B$3:$Z$489,14,FALSE),"")</f>
        <v/>
      </c>
      <c r="BT20" s="230" t="str">
        <f>IFERROR(VLOOKUP($BQ20,SortedDownload!$B$3:$Z$489,15,FALSE),"")</f>
        <v/>
      </c>
      <c r="BU20" s="230" t="str">
        <f>IFERROR(VLOOKUP($BQ20,SortedDownload!$B$3:$Z$489,16,FALSE),"")</f>
        <v/>
      </c>
      <c r="BV20" s="230" t="str">
        <f>IFERROR(VLOOKUP($BQ20,SortedDownload!$B$3:$Z$489,17,FALSE),"")</f>
        <v/>
      </c>
      <c r="BW20" s="230" t="str">
        <f>IFERROR(VLOOKUP($BQ20,SortedDownload!$B$3:$Z$489,18,FALSE),"")</f>
        <v/>
      </c>
      <c r="BX20" s="230" t="str">
        <f>IFERROR(VLOOKUP($BQ20,SortedDownload!$B$3:$Z$489,19,FALSE),"")</f>
        <v/>
      </c>
      <c r="BY20" s="230" t="str">
        <f>IFERROR(VLOOKUP($BQ20,SortedDownload!$B$3:$Z$489,20,FALSE),"")</f>
        <v/>
      </c>
      <c r="BZ20" s="230" t="str">
        <f>IFERROR(VLOOKUP($BQ20,SortedDownload!$B$3:$Z$489,21,FALSE),"")</f>
        <v/>
      </c>
    </row>
    <row r="21" spans="2:78">
      <c r="B21">
        <v>18</v>
      </c>
      <c r="C21">
        <f>IFERROR(VLOOKUP($B21,OverallResults!$B$3:$Z$508,2,FALSE),"")</f>
        <v>3</v>
      </c>
      <c r="D21" t="str">
        <f>IFERROR(VLOOKUP($B21,OverallResults!$B$3:$Z$508,3,FALSE),"")</f>
        <v>Samuel Cleary</v>
      </c>
      <c r="E21" t="str">
        <f>IFERROR(TEXT(VLOOKUP($B21,OverallResults!$B$3:$Z$489,17,FALSE),"[h]:mm:ss.0"),"")</f>
        <v>0:18:25.6</v>
      </c>
      <c r="F21" s="230">
        <f>IFERROR(VLOOKUP($D21,SortedDownload!$B$3:$Z$489,14,FALSE),"")</f>
        <v>32</v>
      </c>
      <c r="G21" s="230">
        <f>IFERROR(VLOOKUP($D21,SortedDownload!$B$3:$Z$489,15,FALSE),"")</f>
        <v>20</v>
      </c>
      <c r="H21" s="230">
        <f>IFERROR(VLOOKUP($D21,SortedDownload!$B$3:$Z$489,16,FALSE),"")</f>
        <v>25</v>
      </c>
      <c r="I21" s="230">
        <f>IFERROR(VLOOKUP($D21,SortedDownload!$B$3:$Z$489,17,FALSE),"")</f>
        <v>18</v>
      </c>
      <c r="J21" s="230">
        <f>IFERROR(VLOOKUP($D21,SortedDownload!$B$3:$Z$489,18,FALSE),"")</f>
        <v>15</v>
      </c>
      <c r="K21" s="230" t="str">
        <f>IFERROR(VLOOKUP($D21,SortedDownload!$B$3:$Z$489,19,FALSE),"")</f>
        <v/>
      </c>
      <c r="L21" s="230" t="str">
        <f>IFERROR(VLOOKUP($D21,SortedDownload!$B$3:$Z$489,20,FALSE),"")</f>
        <v/>
      </c>
      <c r="M21" s="230" t="str">
        <f>IFERROR(VLOOKUP($D21,SortedDownload!$B$3:$Z$489,21,FALSE),"")</f>
        <v/>
      </c>
      <c r="O21">
        <v>68</v>
      </c>
      <c r="P21">
        <f>IFERROR(VLOOKUP($O21,OverallResults!$B$3:$Z$508,2,FALSE),"")</f>
        <v>18</v>
      </c>
      <c r="Q21" t="str">
        <f>IFERROR(VLOOKUP($O21,OverallResults!$B$3:$Z$508,3,FALSE),"")</f>
        <v>David B Hartley</v>
      </c>
      <c r="R21" t="str">
        <f>IFERROR(TEXT(VLOOKUP($O21,OverallResults!$B$3:$Z$489,17,FALSE),"[h]:mm:ss.0"),"")</f>
        <v>0:20:58.2</v>
      </c>
      <c r="S21" s="230">
        <f>IFERROR(VLOOKUP($Q21,SortedDownload!$B$3:$Z$489,14,FALSE),"")</f>
        <v>63</v>
      </c>
      <c r="T21" s="230">
        <f>IFERROR(VLOOKUP($Q21,SortedDownload!$B$3:$Z$489,15,FALSE),"")</f>
        <v>79</v>
      </c>
      <c r="U21" s="230">
        <f>IFERROR(VLOOKUP($Q21,SortedDownload!$B$3:$Z$489,16,FALSE),"")</f>
        <v>109</v>
      </c>
      <c r="V21" s="230">
        <f>IFERROR(VLOOKUP($Q21,SortedDownload!$B$3:$Z$489,17,FALSE),"")</f>
        <v>75</v>
      </c>
      <c r="W21" s="230">
        <f>IFERROR(VLOOKUP($Q21,SortedDownload!$B$3:$Z$489,18,FALSE),"")</f>
        <v>82</v>
      </c>
      <c r="X21" s="230" t="str">
        <f>IFERROR(VLOOKUP($Q21,SortedDownload!$B$3:$Z$489,19,FALSE),"")</f>
        <v/>
      </c>
      <c r="Y21" s="230" t="str">
        <f>IFERROR(VLOOKUP($Q21,SortedDownload!$B$3:$Z$489,20,FALSE),"")</f>
        <v/>
      </c>
      <c r="Z21" s="230" t="str">
        <f>IFERROR(VLOOKUP($Q21,SortedDownload!$B$3:$Z$489,21,FALSE),"")</f>
        <v/>
      </c>
      <c r="AB21">
        <v>118</v>
      </c>
      <c r="AC21">
        <f>IFERROR(VLOOKUP($AB21,OverallResults!$B$3:$Z$508,2,FALSE),"")</f>
        <v>36</v>
      </c>
      <c r="AD21" t="str">
        <f>IFERROR(VLOOKUP($AB21,OverallResults!$B$3:$Z$508,3,FALSE),"")</f>
        <v>Chris Kistner</v>
      </c>
      <c r="AE21" t="str">
        <f>IFERROR(TEXT(VLOOKUP($AB21,OverallResults!$B$3:$Z$489,17,FALSE),"[h]:mm:ss.0"),"")</f>
        <v>0:24:38.6</v>
      </c>
      <c r="AF21" s="230">
        <f>IFERROR(VLOOKUP($AD21,SortedDownload!$B$3:$Z$489,14,FALSE),"")</f>
        <v>127</v>
      </c>
      <c r="AG21" s="230">
        <f>IFERROR(VLOOKUP($AD21,SortedDownload!$B$3:$Z$489,15,FALSE),"")</f>
        <v>138</v>
      </c>
      <c r="AH21" s="230">
        <f>IFERROR(VLOOKUP($AD21,SortedDownload!$B$3:$Z$489,16,FALSE),"")</f>
        <v>149</v>
      </c>
      <c r="AI21" s="230">
        <f>IFERROR(VLOOKUP($AD21,SortedDownload!$B$3:$Z$489,17,FALSE),"")</f>
        <v>115</v>
      </c>
      <c r="AJ21" s="230">
        <f>IFERROR(VLOOKUP($AD21,SortedDownload!$B$3:$Z$489,18,FALSE),"")</f>
        <v>162</v>
      </c>
      <c r="AK21" s="230" t="str">
        <f>IFERROR(VLOOKUP($AD21,SortedDownload!$B$3:$Z$489,19,FALSE),"")</f>
        <v/>
      </c>
      <c r="AL21" s="230" t="str">
        <f>IFERROR(VLOOKUP($AD21,SortedDownload!$B$3:$Z$489,20,FALSE),"")</f>
        <v/>
      </c>
      <c r="AM21" s="230" t="str">
        <f>IFERROR(VLOOKUP($AD21,SortedDownload!$B$3:$Z$489,21,FALSE),"")</f>
        <v/>
      </c>
      <c r="AO21">
        <v>168</v>
      </c>
      <c r="AP21">
        <f>IFERROR(VLOOKUP($AO21,OverallResults!$B$3:$Z$508,2,FALSE),"")</f>
        <v>3</v>
      </c>
      <c r="AQ21" t="str">
        <f>IFERROR(VLOOKUP($AO21,OverallResults!$B$3:$Z$508,3,FALSE),"")</f>
        <v>Amy Burton</v>
      </c>
      <c r="AR21" t="str">
        <f>IFERROR(TEXT(VLOOKUP($AO21,OverallResults!$B$3:$Z$489,17,FALSE),"[h]:mm:ss.0"),"")</f>
        <v>0:13:25.8</v>
      </c>
      <c r="AS21" s="230" t="str">
        <f>IFERROR(VLOOKUP($AQ21,SortedDownload!$B$3:$Z$489,14,FALSE),"")</f>
        <v/>
      </c>
      <c r="AT21" s="230">
        <f>IFERROR(VLOOKUP($AQ21,SortedDownload!$B$3:$Z$489,15,FALSE),"")</f>
        <v>175</v>
      </c>
      <c r="AU21" s="230">
        <f>IFERROR(VLOOKUP($AQ21,SortedDownload!$B$3:$Z$489,16,FALSE),"")</f>
        <v>172</v>
      </c>
      <c r="AV21" s="230" t="str">
        <f>IFERROR(VLOOKUP($AQ21,SortedDownload!$B$3:$Z$489,17,FALSE),"")</f>
        <v/>
      </c>
      <c r="AW21" s="230">
        <f>IFERROR(VLOOKUP($AQ21,SortedDownload!$B$3:$Z$489,18,FALSE),"")</f>
        <v>144</v>
      </c>
      <c r="AX21" s="230" t="str">
        <f>IFERROR(VLOOKUP($AQ21,SortedDownload!$B$3:$Z$489,19,FALSE),"")</f>
        <v/>
      </c>
      <c r="AY21" s="230" t="str">
        <f>IFERROR(VLOOKUP($AQ21,SortedDownload!$B$3:$Z$489,20,FALSE),"")</f>
        <v/>
      </c>
      <c r="AZ21" s="230" t="str">
        <f>IFERROR(VLOOKUP($AQ21,SortedDownload!$B$3:$Z$489,21,FALSE),"")</f>
        <v/>
      </c>
      <c r="BB21">
        <v>218</v>
      </c>
      <c r="BC21">
        <f>IFERROR(VLOOKUP($BB21,OverallResults!$B$3:$Z$508,2,FALSE),"")</f>
        <v>49</v>
      </c>
      <c r="BD21" t="str">
        <f>IFERROR(VLOOKUP($BB21,OverallResults!$B$3:$Z$508,3,FALSE),"")</f>
        <v>Ozair Hanware</v>
      </c>
      <c r="BE21" t="str">
        <f>IFERROR(TEXT(VLOOKUP($BB21,OverallResults!$B$3:$Z$489,17,FALSE),"[h]:mm:ss.0"),"")</f>
        <v>0:16:51.7</v>
      </c>
      <c r="BF21" s="230" t="str">
        <f>IFERROR(VLOOKUP($BD21,SortedDownload!$B$3:$Z$489,14,FALSE),"")</f>
        <v/>
      </c>
      <c r="BG21" s="230">
        <f>IFERROR(VLOOKUP($BD21,SortedDownload!$B$3:$Z$489,15,FALSE),"")</f>
        <v>226</v>
      </c>
      <c r="BH21" s="230">
        <f>IFERROR(VLOOKUP($BD21,SortedDownload!$B$3:$Z$489,16,FALSE),"")</f>
        <v>242</v>
      </c>
      <c r="BI21" s="230" t="str">
        <f>IFERROR(VLOOKUP($BD21,SortedDownload!$B$3:$Z$489,17,FALSE),"")</f>
        <v/>
      </c>
      <c r="BJ21" s="230">
        <f>IFERROR(VLOOKUP($BD21,SortedDownload!$B$3:$Z$489,18,FALSE),"")</f>
        <v>225</v>
      </c>
      <c r="BK21" s="230" t="str">
        <f>IFERROR(VLOOKUP($BD21,SortedDownload!$B$3:$Z$489,19,FALSE),"")</f>
        <v/>
      </c>
      <c r="BL21" s="230" t="str">
        <f>IFERROR(VLOOKUP($BD21,SortedDownload!$B$3:$Z$489,20,FALSE),"")</f>
        <v/>
      </c>
      <c r="BM21" s="230" t="str">
        <f>IFERROR(VLOOKUP($BD21,SortedDownload!$B$3:$Z$489,21,FALSE),"")</f>
        <v/>
      </c>
      <c r="BO21">
        <v>268</v>
      </c>
      <c r="BP21" t="str">
        <f>IFERROR(VLOOKUP($BO21,OverallResults!$B$3:$Z$508,2,FALSE),"")</f>
        <v>DNF</v>
      </c>
      <c r="BQ21" t="str">
        <f>IFERROR(VLOOKUP($BO21,OverallResults!$B$3:$Z$508,3,FALSE),"")</f>
        <v/>
      </c>
      <c r="BR21" t="str">
        <f>IFERROR(TEXT(VLOOKUP($BO21,OverallResults!$B$3:$Z$489,17,FALSE),"[h]:mm:ss.0"),"")</f>
        <v/>
      </c>
      <c r="BS21" s="230" t="str">
        <f>IFERROR(VLOOKUP($BQ21,SortedDownload!$B$3:$Z$489,14,FALSE),"")</f>
        <v/>
      </c>
      <c r="BT21" s="230" t="str">
        <f>IFERROR(VLOOKUP($BQ21,SortedDownload!$B$3:$Z$489,15,FALSE),"")</f>
        <v/>
      </c>
      <c r="BU21" s="230" t="str">
        <f>IFERROR(VLOOKUP($BQ21,SortedDownload!$B$3:$Z$489,16,FALSE),"")</f>
        <v/>
      </c>
      <c r="BV21" s="230" t="str">
        <f>IFERROR(VLOOKUP($BQ21,SortedDownload!$B$3:$Z$489,17,FALSE),"")</f>
        <v/>
      </c>
      <c r="BW21" s="230" t="str">
        <f>IFERROR(VLOOKUP($BQ21,SortedDownload!$B$3:$Z$489,18,FALSE),"")</f>
        <v/>
      </c>
      <c r="BX21" s="230" t="str">
        <f>IFERROR(VLOOKUP($BQ21,SortedDownload!$B$3:$Z$489,19,FALSE),"")</f>
        <v/>
      </c>
      <c r="BY21" s="230" t="str">
        <f>IFERROR(VLOOKUP($BQ21,SortedDownload!$B$3:$Z$489,20,FALSE),"")</f>
        <v/>
      </c>
      <c r="BZ21" s="230" t="str">
        <f>IFERROR(VLOOKUP($BQ21,SortedDownload!$B$3:$Z$489,21,FALSE),"")</f>
        <v/>
      </c>
    </row>
    <row r="22" spans="2:78">
      <c r="B22">
        <v>19</v>
      </c>
      <c r="C22">
        <f>IFERROR(VLOOKUP($B22,OverallResults!$B$3:$Z$508,2,FALSE),"")</f>
        <v>4</v>
      </c>
      <c r="D22" t="str">
        <f>IFERROR(VLOOKUP($B22,OverallResults!$B$3:$Z$508,3,FALSE),"")</f>
        <v>Ethan Hunter</v>
      </c>
      <c r="E22" t="str">
        <f>IFERROR(TEXT(VLOOKUP($B22,OverallResults!$B$3:$Z$489,17,FALSE),"[h]:mm:ss.0"),"")</f>
        <v>0:18:35.6</v>
      </c>
      <c r="F22" s="230">
        <f>IFERROR(VLOOKUP($D22,SortedDownload!$B$3:$Z$489,14,FALSE),"")</f>
        <v>33</v>
      </c>
      <c r="G22" s="230">
        <f>IFERROR(VLOOKUP($D22,SortedDownload!$B$3:$Z$489,15,FALSE),"")</f>
        <v>21</v>
      </c>
      <c r="H22" s="230">
        <f>IFERROR(VLOOKUP($D22,SortedDownload!$B$3:$Z$489,16,FALSE),"")</f>
        <v>17</v>
      </c>
      <c r="I22" s="230">
        <f>IFERROR(VLOOKUP($D22,SortedDownload!$B$3:$Z$489,17,FALSE),"")</f>
        <v>26</v>
      </c>
      <c r="J22" s="230">
        <f>IFERROR(VLOOKUP($D22,SortedDownload!$B$3:$Z$489,18,FALSE),"")</f>
        <v>25</v>
      </c>
      <c r="K22" s="230" t="str">
        <f>IFERROR(VLOOKUP($D22,SortedDownload!$B$3:$Z$489,19,FALSE),"")</f>
        <v/>
      </c>
      <c r="L22" s="230" t="str">
        <f>IFERROR(VLOOKUP($D22,SortedDownload!$B$3:$Z$489,20,FALSE),"")</f>
        <v/>
      </c>
      <c r="M22" s="230" t="str">
        <f>IFERROR(VLOOKUP($D22,SortedDownload!$B$3:$Z$489,21,FALSE),"")</f>
        <v/>
      </c>
      <c r="O22">
        <v>69</v>
      </c>
      <c r="P22">
        <f>IFERROR(VLOOKUP($O22,OverallResults!$B$3:$Z$508,2,FALSE),"")</f>
        <v>16</v>
      </c>
      <c r="Q22" t="str">
        <f>IFERROR(VLOOKUP($O22,OverallResults!$B$3:$Z$508,3,FALSE),"")</f>
        <v>Thomas Dunkley</v>
      </c>
      <c r="R22" t="str">
        <f>IFERROR(TEXT(VLOOKUP($O22,OverallResults!$B$3:$Z$489,17,FALSE),"[h]:mm:ss.0"),"")</f>
        <v>0:21:06.2</v>
      </c>
      <c r="S22" s="230">
        <f>IFERROR(VLOOKUP($Q22,SortedDownload!$B$3:$Z$489,14,FALSE),"")</f>
        <v>95</v>
      </c>
      <c r="T22" s="230">
        <f>IFERROR(VLOOKUP($Q22,SortedDownload!$B$3:$Z$489,15,FALSE),"")</f>
        <v>70</v>
      </c>
      <c r="U22" s="230">
        <f>IFERROR(VLOOKUP($Q22,SortedDownload!$B$3:$Z$489,16,FALSE),"")</f>
        <v>90</v>
      </c>
      <c r="V22" s="230">
        <f>IFERROR(VLOOKUP($Q22,SortedDownload!$B$3:$Z$489,17,FALSE),"")</f>
        <v>67</v>
      </c>
      <c r="W22" s="230">
        <f>IFERROR(VLOOKUP($Q22,SortedDownload!$B$3:$Z$489,18,FALSE),"")</f>
        <v>59</v>
      </c>
      <c r="X22" s="230" t="str">
        <f>IFERROR(VLOOKUP($Q22,SortedDownload!$B$3:$Z$489,19,FALSE),"")</f>
        <v/>
      </c>
      <c r="Y22" s="230" t="str">
        <f>IFERROR(VLOOKUP($Q22,SortedDownload!$B$3:$Z$489,20,FALSE),"")</f>
        <v/>
      </c>
      <c r="Z22" s="230" t="str">
        <f>IFERROR(VLOOKUP($Q22,SortedDownload!$B$3:$Z$489,21,FALSE),"")</f>
        <v/>
      </c>
      <c r="AB22">
        <v>119</v>
      </c>
      <c r="AC22">
        <f>IFERROR(VLOOKUP($AB22,OverallResults!$B$3:$Z$508,2,FALSE),"")</f>
        <v>28</v>
      </c>
      <c r="AD22" t="str">
        <f>IFERROR(VLOOKUP($AB22,OverallResults!$B$3:$Z$508,3,FALSE),"")</f>
        <v>Rory Butler</v>
      </c>
      <c r="AE22" t="str">
        <f>IFERROR(TEXT(VLOOKUP($AB22,OverallResults!$B$3:$Z$489,17,FALSE),"[h]:mm:ss.0"),"")</f>
        <v>0:24:45.5</v>
      </c>
      <c r="AF22" s="230">
        <f>IFERROR(VLOOKUP($AD22,SortedDownload!$B$3:$Z$489,14,FALSE),"")</f>
        <v>114</v>
      </c>
      <c r="AG22" s="230">
        <f>IFERROR(VLOOKUP($AD22,SortedDownload!$B$3:$Z$489,15,FALSE),"")</f>
        <v>188</v>
      </c>
      <c r="AH22" s="230">
        <f>IFERROR(VLOOKUP($AD22,SortedDownload!$B$3:$Z$489,16,FALSE),"")</f>
        <v>164</v>
      </c>
      <c r="AI22" s="230">
        <f>IFERROR(VLOOKUP($AD22,SortedDownload!$B$3:$Z$489,17,FALSE),"")</f>
        <v>124</v>
      </c>
      <c r="AJ22" s="230">
        <f>IFERROR(VLOOKUP($AD22,SortedDownload!$B$3:$Z$489,18,FALSE),"")</f>
        <v>182</v>
      </c>
      <c r="AK22" s="230" t="str">
        <f>IFERROR(VLOOKUP($AD22,SortedDownload!$B$3:$Z$489,19,FALSE),"")</f>
        <v/>
      </c>
      <c r="AL22" s="230" t="str">
        <f>IFERROR(VLOOKUP($AD22,SortedDownload!$B$3:$Z$489,20,FALSE),"")</f>
        <v/>
      </c>
      <c r="AM22" s="230" t="str">
        <f>IFERROR(VLOOKUP($AD22,SortedDownload!$B$3:$Z$489,21,FALSE),"")</f>
        <v/>
      </c>
      <c r="AO22">
        <v>169</v>
      </c>
      <c r="AP22">
        <f>IFERROR(VLOOKUP($AO22,OverallResults!$B$3:$Z$508,2,FALSE),"")</f>
        <v>4</v>
      </c>
      <c r="AQ22" t="str">
        <f>IFERROR(VLOOKUP($AO22,OverallResults!$B$3:$Z$508,3,FALSE),"")</f>
        <v>Megan Van Der Helm</v>
      </c>
      <c r="AR22" t="str">
        <f>IFERROR(TEXT(VLOOKUP($AO22,OverallResults!$B$3:$Z$489,17,FALSE),"[h]:mm:ss.0"),"")</f>
        <v>0:13:27.4</v>
      </c>
      <c r="AS22" s="230" t="str">
        <f>IFERROR(VLOOKUP($AQ22,SortedDownload!$B$3:$Z$489,14,FALSE),"")</f>
        <v/>
      </c>
      <c r="AT22" s="230">
        <f>IFERROR(VLOOKUP($AQ22,SortedDownload!$B$3:$Z$489,15,FALSE),"")</f>
        <v>170</v>
      </c>
      <c r="AU22" s="230">
        <f>IFERROR(VLOOKUP($AQ22,SortedDownload!$B$3:$Z$489,16,FALSE),"")</f>
        <v>145</v>
      </c>
      <c r="AV22" s="230" t="str">
        <f>IFERROR(VLOOKUP($AQ22,SortedDownload!$B$3:$Z$489,17,FALSE),"")</f>
        <v/>
      </c>
      <c r="AW22" s="230">
        <f>IFERROR(VLOOKUP($AQ22,SortedDownload!$B$3:$Z$489,18,FALSE),"")</f>
        <v>155</v>
      </c>
      <c r="AX22" s="230" t="str">
        <f>IFERROR(VLOOKUP($AQ22,SortedDownload!$B$3:$Z$489,19,FALSE),"")</f>
        <v/>
      </c>
      <c r="AY22" s="230" t="str">
        <f>IFERROR(VLOOKUP($AQ22,SortedDownload!$B$3:$Z$489,20,FALSE),"")</f>
        <v/>
      </c>
      <c r="AZ22" s="230" t="str">
        <f>IFERROR(VLOOKUP($AQ22,SortedDownload!$B$3:$Z$489,21,FALSE),"")</f>
        <v/>
      </c>
      <c r="BB22">
        <v>219</v>
      </c>
      <c r="BC22">
        <f>IFERROR(VLOOKUP($BB22,OverallResults!$B$3:$Z$508,2,FALSE),"")</f>
        <v>50</v>
      </c>
      <c r="BD22" t="str">
        <f>IFERROR(VLOOKUP($BB22,OverallResults!$B$3:$Z$508,3,FALSE),"")</f>
        <v>Mario Abrahams</v>
      </c>
      <c r="BE22" t="str">
        <f>IFERROR(TEXT(VLOOKUP($BB22,OverallResults!$B$3:$Z$489,17,FALSE),"[h]:mm:ss.0"),"")</f>
        <v>0:17:05.2</v>
      </c>
      <c r="BF22" s="230" t="str">
        <f>IFERROR(VLOOKUP($BD22,SortedDownload!$B$3:$Z$489,14,FALSE),"")</f>
        <v/>
      </c>
      <c r="BG22" s="230">
        <f>IFERROR(VLOOKUP($BD22,SortedDownload!$B$3:$Z$489,15,FALSE),"")</f>
        <v>238</v>
      </c>
      <c r="BH22" s="230">
        <f>IFERROR(VLOOKUP($BD22,SortedDownload!$B$3:$Z$489,16,FALSE),"")</f>
        <v>239</v>
      </c>
      <c r="BI22" s="230" t="str">
        <f>IFERROR(VLOOKUP($BD22,SortedDownload!$B$3:$Z$489,17,FALSE),"")</f>
        <v/>
      </c>
      <c r="BJ22" s="230">
        <f>IFERROR(VLOOKUP($BD22,SortedDownload!$B$3:$Z$489,18,FALSE),"")</f>
        <v>232</v>
      </c>
      <c r="BK22" s="230" t="str">
        <f>IFERROR(VLOOKUP($BD22,SortedDownload!$B$3:$Z$489,19,FALSE),"")</f>
        <v/>
      </c>
      <c r="BL22" s="230" t="str">
        <f>IFERROR(VLOOKUP($BD22,SortedDownload!$B$3:$Z$489,20,FALSE),"")</f>
        <v/>
      </c>
      <c r="BM22" s="230" t="str">
        <f>IFERROR(VLOOKUP($BD22,SortedDownload!$B$3:$Z$489,21,FALSE),"")</f>
        <v/>
      </c>
      <c r="BO22">
        <v>269</v>
      </c>
      <c r="BP22" t="str">
        <f>IFERROR(VLOOKUP($BO22,OverallResults!$B$3:$Z$508,2,FALSE),"")</f>
        <v>DNF</v>
      </c>
      <c r="BQ22" t="str">
        <f>IFERROR(VLOOKUP($BO22,OverallResults!$B$3:$Z$508,3,FALSE),"")</f>
        <v/>
      </c>
      <c r="BR22" t="str">
        <f>IFERROR(TEXT(VLOOKUP($BO22,OverallResults!$B$3:$Z$489,17,FALSE),"[h]:mm:ss.0"),"")</f>
        <v/>
      </c>
      <c r="BS22" s="230" t="str">
        <f>IFERROR(VLOOKUP($BQ22,SortedDownload!$B$3:$Z$489,14,FALSE),"")</f>
        <v/>
      </c>
      <c r="BT22" s="230" t="str">
        <f>IFERROR(VLOOKUP($BQ22,SortedDownload!$B$3:$Z$489,15,FALSE),"")</f>
        <v/>
      </c>
      <c r="BU22" s="230" t="str">
        <f>IFERROR(VLOOKUP($BQ22,SortedDownload!$B$3:$Z$489,16,FALSE),"")</f>
        <v/>
      </c>
      <c r="BV22" s="230" t="str">
        <f>IFERROR(VLOOKUP($BQ22,SortedDownload!$B$3:$Z$489,17,FALSE),"")</f>
        <v/>
      </c>
      <c r="BW22" s="230" t="str">
        <f>IFERROR(VLOOKUP($BQ22,SortedDownload!$B$3:$Z$489,18,FALSE),"")</f>
        <v/>
      </c>
      <c r="BX22" s="230" t="str">
        <f>IFERROR(VLOOKUP($BQ22,SortedDownload!$B$3:$Z$489,19,FALSE),"")</f>
        <v/>
      </c>
      <c r="BY22" s="230" t="str">
        <f>IFERROR(VLOOKUP($BQ22,SortedDownload!$B$3:$Z$489,20,FALSE),"")</f>
        <v/>
      </c>
      <c r="BZ22" s="230" t="str">
        <f>IFERROR(VLOOKUP($BQ22,SortedDownload!$B$3:$Z$489,21,FALSE),"")</f>
        <v/>
      </c>
    </row>
    <row r="23" spans="2:78">
      <c r="B23">
        <v>20</v>
      </c>
      <c r="C23">
        <f>IFERROR(VLOOKUP($B23,OverallResults!$B$3:$Z$508,2,FALSE),"")</f>
        <v>7</v>
      </c>
      <c r="D23" t="str">
        <f>IFERROR(VLOOKUP($B23,OverallResults!$B$3:$Z$508,3,FALSE),"")</f>
        <v>Juri De Bruyn</v>
      </c>
      <c r="E23" t="str">
        <f>IFERROR(TEXT(VLOOKUP($B23,OverallResults!$B$3:$Z$489,17,FALSE),"[h]:mm:ss.0"),"")</f>
        <v>0:18:39.5</v>
      </c>
      <c r="F23" s="230">
        <f>IFERROR(VLOOKUP($D23,SortedDownload!$B$3:$Z$489,14,FALSE),"")</f>
        <v>29</v>
      </c>
      <c r="G23" s="230">
        <f>IFERROR(VLOOKUP($D23,SortedDownload!$B$3:$Z$489,15,FALSE),"")</f>
        <v>25</v>
      </c>
      <c r="H23" s="230">
        <f>IFERROR(VLOOKUP($D23,SortedDownload!$B$3:$Z$489,16,FALSE),"")</f>
        <v>24</v>
      </c>
      <c r="I23" s="230">
        <f>IFERROR(VLOOKUP($D23,SortedDownload!$B$3:$Z$489,17,FALSE),"")</f>
        <v>35</v>
      </c>
      <c r="J23" s="230">
        <f>IFERROR(VLOOKUP($D23,SortedDownload!$B$3:$Z$489,18,FALSE),"")</f>
        <v>22</v>
      </c>
      <c r="K23" s="230" t="str">
        <f>IFERROR(VLOOKUP($D23,SortedDownload!$B$3:$Z$489,19,FALSE),"")</f>
        <v/>
      </c>
      <c r="L23" s="230" t="str">
        <f>IFERROR(VLOOKUP($D23,SortedDownload!$B$3:$Z$489,20,FALSE),"")</f>
        <v/>
      </c>
      <c r="M23" s="230" t="str">
        <f>IFERROR(VLOOKUP($D23,SortedDownload!$B$3:$Z$489,21,FALSE),"")</f>
        <v/>
      </c>
      <c r="O23">
        <v>70</v>
      </c>
      <c r="P23">
        <f>IFERROR(VLOOKUP($O23,OverallResults!$B$3:$Z$508,2,FALSE),"")</f>
        <v>8</v>
      </c>
      <c r="Q23" t="str">
        <f>IFERROR(VLOOKUP($O23,OverallResults!$B$3:$Z$508,3,FALSE),"")</f>
        <v>Jordon Evard</v>
      </c>
      <c r="R23" t="str">
        <f>IFERROR(TEXT(VLOOKUP($O23,OverallResults!$B$3:$Z$489,17,FALSE),"[h]:mm:ss.0"),"")</f>
        <v>0:21:13.3</v>
      </c>
      <c r="S23" s="230">
        <f>IFERROR(VLOOKUP($Q23,SortedDownload!$B$3:$Z$489,14,FALSE),"")</f>
        <v>76</v>
      </c>
      <c r="T23" s="230">
        <f>IFERROR(VLOOKUP($Q23,SortedDownload!$B$3:$Z$489,15,FALSE),"")</f>
        <v>77</v>
      </c>
      <c r="U23" s="230">
        <f>IFERROR(VLOOKUP($Q23,SortedDownload!$B$3:$Z$489,16,FALSE),"")</f>
        <v>93</v>
      </c>
      <c r="V23" s="230">
        <f>IFERROR(VLOOKUP($Q23,SortedDownload!$B$3:$Z$489,17,FALSE),"")</f>
        <v>66</v>
      </c>
      <c r="W23" s="230">
        <f>IFERROR(VLOOKUP($Q23,SortedDownload!$B$3:$Z$489,18,FALSE),"")</f>
        <v>111</v>
      </c>
      <c r="X23" s="230" t="str">
        <f>IFERROR(VLOOKUP($Q23,SortedDownload!$B$3:$Z$489,19,FALSE),"")</f>
        <v/>
      </c>
      <c r="Y23" s="230" t="str">
        <f>IFERROR(VLOOKUP($Q23,SortedDownload!$B$3:$Z$489,20,FALSE),"")</f>
        <v/>
      </c>
      <c r="Z23" s="230" t="str">
        <f>IFERROR(VLOOKUP($Q23,SortedDownload!$B$3:$Z$489,21,FALSE),"")</f>
        <v/>
      </c>
      <c r="AB23">
        <v>120</v>
      </c>
      <c r="AC23">
        <f>IFERROR(VLOOKUP($AB23,OverallResults!$B$3:$Z$508,2,FALSE),"")</f>
        <v>37</v>
      </c>
      <c r="AD23" t="str">
        <f>IFERROR(VLOOKUP($AB23,OverallResults!$B$3:$Z$508,3,FALSE),"")</f>
        <v>Andrew Henwood</v>
      </c>
      <c r="AE23" t="str">
        <f>IFERROR(TEXT(VLOOKUP($AB23,OverallResults!$B$3:$Z$489,17,FALSE),"[h]:mm:ss.0"),"")</f>
        <v>0:25:51.6</v>
      </c>
      <c r="AF23" s="230">
        <f>IFERROR(VLOOKUP($AD23,SortedDownload!$B$3:$Z$489,14,FALSE),"")</f>
        <v>128</v>
      </c>
      <c r="AG23" s="230">
        <f>IFERROR(VLOOKUP($AD23,SortedDownload!$B$3:$Z$489,15,FALSE),"")</f>
        <v>205</v>
      </c>
      <c r="AH23" s="230">
        <f>IFERROR(VLOOKUP($AD23,SortedDownload!$B$3:$Z$489,16,FALSE),"")</f>
        <v>193</v>
      </c>
      <c r="AI23" s="230">
        <f>IFERROR(VLOOKUP($AD23,SortedDownload!$B$3:$Z$489,17,FALSE),"")</f>
        <v>122</v>
      </c>
      <c r="AJ23" s="230">
        <f>IFERROR(VLOOKUP($AD23,SortedDownload!$B$3:$Z$489,18,FALSE),"")</f>
        <v>170</v>
      </c>
      <c r="AK23" s="230" t="str">
        <f>IFERROR(VLOOKUP($AD23,SortedDownload!$B$3:$Z$489,19,FALSE),"")</f>
        <v/>
      </c>
      <c r="AL23" s="230" t="str">
        <f>IFERROR(VLOOKUP($AD23,SortedDownload!$B$3:$Z$489,20,FALSE),"")</f>
        <v/>
      </c>
      <c r="AM23" s="230" t="str">
        <f>IFERROR(VLOOKUP($AD23,SortedDownload!$B$3:$Z$489,21,FALSE),"")</f>
        <v/>
      </c>
      <c r="AO23">
        <v>170</v>
      </c>
      <c r="AP23">
        <f>IFERROR(VLOOKUP($AO23,OverallResults!$B$3:$Z$508,2,FALSE),"")</f>
        <v>3</v>
      </c>
      <c r="AQ23" t="str">
        <f>IFERROR(VLOOKUP($AO23,OverallResults!$B$3:$Z$508,3,FALSE),"")</f>
        <v>Luc Riley Rossouw</v>
      </c>
      <c r="AR23" t="str">
        <f>IFERROR(TEXT(VLOOKUP($AO23,OverallResults!$B$3:$Z$489,17,FALSE),"[h]:mm:ss.0"),"")</f>
        <v>0:13:28.7</v>
      </c>
      <c r="AS23" s="230" t="str">
        <f>IFERROR(VLOOKUP($AQ23,SortedDownload!$B$3:$Z$489,14,FALSE),"")</f>
        <v/>
      </c>
      <c r="AT23" s="230">
        <f>IFERROR(VLOOKUP($AQ23,SortedDownload!$B$3:$Z$489,15,FALSE),"")</f>
        <v>173</v>
      </c>
      <c r="AU23" s="230">
        <f>IFERROR(VLOOKUP($AQ23,SortedDownload!$B$3:$Z$489,16,FALSE),"")</f>
        <v>136</v>
      </c>
      <c r="AV23" s="230" t="str">
        <f>IFERROR(VLOOKUP($AQ23,SortedDownload!$B$3:$Z$489,17,FALSE),"")</f>
        <v/>
      </c>
      <c r="AW23" s="230">
        <f>IFERROR(VLOOKUP($AQ23,SortedDownload!$B$3:$Z$489,18,FALSE),"")</f>
        <v>165</v>
      </c>
      <c r="AX23" s="230" t="str">
        <f>IFERROR(VLOOKUP($AQ23,SortedDownload!$B$3:$Z$489,19,FALSE),"")</f>
        <v/>
      </c>
      <c r="AY23" s="230" t="str">
        <f>IFERROR(VLOOKUP($AQ23,SortedDownload!$B$3:$Z$489,20,FALSE),"")</f>
        <v/>
      </c>
      <c r="AZ23" s="230" t="str">
        <f>IFERROR(VLOOKUP($AQ23,SortedDownload!$B$3:$Z$489,21,FALSE),"")</f>
        <v/>
      </c>
      <c r="BB23">
        <v>220</v>
      </c>
      <c r="BC23">
        <f>IFERROR(VLOOKUP($BB23,OverallResults!$B$3:$Z$508,2,FALSE),"")</f>
        <v>17</v>
      </c>
      <c r="BD23" t="str">
        <f>IFERROR(VLOOKUP($BB23,OverallResults!$B$3:$Z$508,3,FALSE),"")</f>
        <v>Michael Yeates</v>
      </c>
      <c r="BE23" t="str">
        <f>IFERROR(TEXT(VLOOKUP($BB23,OverallResults!$B$3:$Z$489,17,FALSE),"[h]:mm:ss.0"),"")</f>
        <v>0:17:10.0</v>
      </c>
      <c r="BF23" s="230" t="str">
        <f>IFERROR(VLOOKUP($BD23,SortedDownload!$B$3:$Z$489,14,FALSE),"")</f>
        <v/>
      </c>
      <c r="BG23" s="230">
        <f>IFERROR(VLOOKUP($BD23,SortedDownload!$B$3:$Z$489,15,FALSE),"")</f>
        <v>244</v>
      </c>
      <c r="BH23" s="230">
        <f>IFERROR(VLOOKUP($BD23,SortedDownload!$B$3:$Z$489,16,FALSE),"")</f>
        <v>233</v>
      </c>
      <c r="BI23" s="230" t="str">
        <f>IFERROR(VLOOKUP($BD23,SortedDownload!$B$3:$Z$489,17,FALSE),"")</f>
        <v/>
      </c>
      <c r="BJ23" s="230">
        <f>IFERROR(VLOOKUP($BD23,SortedDownload!$B$3:$Z$489,18,FALSE),"")</f>
        <v>230</v>
      </c>
      <c r="BK23" s="230" t="str">
        <f>IFERROR(VLOOKUP($BD23,SortedDownload!$B$3:$Z$489,19,FALSE),"")</f>
        <v/>
      </c>
      <c r="BL23" s="230" t="str">
        <f>IFERROR(VLOOKUP($BD23,SortedDownload!$B$3:$Z$489,20,FALSE),"")</f>
        <v/>
      </c>
      <c r="BM23" s="230" t="str">
        <f>IFERROR(VLOOKUP($BD23,SortedDownload!$B$3:$Z$489,21,FALSE),"")</f>
        <v/>
      </c>
      <c r="BO23">
        <v>270</v>
      </c>
      <c r="BP23" t="str">
        <f>IFERROR(VLOOKUP($BO23,OverallResults!$B$3:$Z$508,2,FALSE),"")</f>
        <v>DNF</v>
      </c>
      <c r="BQ23" t="str">
        <f>IFERROR(VLOOKUP($BO23,OverallResults!$B$3:$Z$508,3,FALSE),"")</f>
        <v/>
      </c>
      <c r="BR23" t="str">
        <f>IFERROR(TEXT(VLOOKUP($BO23,OverallResults!$B$3:$Z$489,17,FALSE),"[h]:mm:ss.0"),"")</f>
        <v/>
      </c>
      <c r="BS23" s="230" t="str">
        <f>IFERROR(VLOOKUP($BQ23,SortedDownload!$B$3:$Z$489,14,FALSE),"")</f>
        <v/>
      </c>
      <c r="BT23" s="230" t="str">
        <f>IFERROR(VLOOKUP($BQ23,SortedDownload!$B$3:$Z$489,15,FALSE),"")</f>
        <v/>
      </c>
      <c r="BU23" s="230" t="str">
        <f>IFERROR(VLOOKUP($BQ23,SortedDownload!$B$3:$Z$489,16,FALSE),"")</f>
        <v/>
      </c>
      <c r="BV23" s="230" t="str">
        <f>IFERROR(VLOOKUP($BQ23,SortedDownload!$B$3:$Z$489,17,FALSE),"")</f>
        <v/>
      </c>
      <c r="BW23" s="230" t="str">
        <f>IFERROR(VLOOKUP($BQ23,SortedDownload!$B$3:$Z$489,18,FALSE),"")</f>
        <v/>
      </c>
      <c r="BX23" s="230" t="str">
        <f>IFERROR(VLOOKUP($BQ23,SortedDownload!$B$3:$Z$489,19,FALSE),"")</f>
        <v/>
      </c>
      <c r="BY23" s="230" t="str">
        <f>IFERROR(VLOOKUP($BQ23,SortedDownload!$B$3:$Z$489,20,FALSE),"")</f>
        <v/>
      </c>
      <c r="BZ23" s="230" t="str">
        <f>IFERROR(VLOOKUP($BQ23,SortedDownload!$B$3:$Z$489,21,FALSE),"")</f>
        <v/>
      </c>
    </row>
    <row r="24" spans="2:78">
      <c r="B24">
        <v>21</v>
      </c>
      <c r="C24">
        <f>IFERROR(VLOOKUP($B24,OverallResults!$B$3:$Z$508,2,FALSE),"")</f>
        <v>8</v>
      </c>
      <c r="D24" t="str">
        <f>IFERROR(VLOOKUP($B24,OverallResults!$B$3:$Z$508,3,FALSE),"")</f>
        <v>Alexander Ham</v>
      </c>
      <c r="E24" t="str">
        <f>IFERROR(TEXT(VLOOKUP($B24,OverallResults!$B$3:$Z$489,17,FALSE),"[h]:mm:ss.0"),"")</f>
        <v>0:18:40.2</v>
      </c>
      <c r="F24" s="230">
        <f>IFERROR(VLOOKUP($D24,SortedDownload!$B$3:$Z$489,14,FALSE),"")</f>
        <v>57</v>
      </c>
      <c r="G24" s="230">
        <f>IFERROR(VLOOKUP($D24,SortedDownload!$B$3:$Z$489,15,FALSE),"")</f>
        <v>8</v>
      </c>
      <c r="H24" s="230">
        <f>IFERROR(VLOOKUP($D24,SortedDownload!$B$3:$Z$489,16,FALSE),"")</f>
        <v>28</v>
      </c>
      <c r="I24" s="230">
        <f>IFERROR(VLOOKUP($D24,SortedDownload!$B$3:$Z$489,17,FALSE),"")</f>
        <v>16</v>
      </c>
      <c r="J24" s="230">
        <f>IFERROR(VLOOKUP($D24,SortedDownload!$B$3:$Z$489,18,FALSE),"")</f>
        <v>21</v>
      </c>
      <c r="K24" s="230" t="str">
        <f>IFERROR(VLOOKUP($D24,SortedDownload!$B$3:$Z$489,19,FALSE),"")</f>
        <v/>
      </c>
      <c r="L24" s="230" t="str">
        <f>IFERROR(VLOOKUP($D24,SortedDownload!$B$3:$Z$489,20,FALSE),"")</f>
        <v/>
      </c>
      <c r="M24" s="230" t="str">
        <f>IFERROR(VLOOKUP($D24,SortedDownload!$B$3:$Z$489,21,FALSE),"")</f>
        <v/>
      </c>
      <c r="O24">
        <v>71</v>
      </c>
      <c r="P24">
        <f>IFERROR(VLOOKUP($O24,OverallResults!$B$3:$Z$508,2,FALSE),"")</f>
        <v>18</v>
      </c>
      <c r="Q24" t="str">
        <f>IFERROR(VLOOKUP($O24,OverallResults!$B$3:$Z$508,3,FALSE),"")</f>
        <v>Jonathan Wareing</v>
      </c>
      <c r="R24" t="str">
        <f>IFERROR(TEXT(VLOOKUP($O24,OverallResults!$B$3:$Z$489,17,FALSE),"[h]:mm:ss.0"),"")</f>
        <v>0:21:17.2</v>
      </c>
      <c r="S24" s="230">
        <f>IFERROR(VLOOKUP($Q24,SortedDownload!$B$3:$Z$489,14,FALSE),"")</f>
        <v>84</v>
      </c>
      <c r="T24" s="230">
        <f>IFERROR(VLOOKUP($Q24,SortedDownload!$B$3:$Z$489,15,FALSE),"")</f>
        <v>97</v>
      </c>
      <c r="U24" s="230">
        <f>IFERROR(VLOOKUP($Q24,SortedDownload!$B$3:$Z$489,16,FALSE),"")</f>
        <v>75</v>
      </c>
      <c r="V24" s="230">
        <f>IFERROR(VLOOKUP($Q24,SortedDownload!$B$3:$Z$489,17,FALSE),"")</f>
        <v>73</v>
      </c>
      <c r="W24" s="230">
        <f>IFERROR(VLOOKUP($Q24,SortedDownload!$B$3:$Z$489,18,FALSE),"")</f>
        <v>88</v>
      </c>
      <c r="X24" s="230" t="str">
        <f>IFERROR(VLOOKUP($Q24,SortedDownload!$B$3:$Z$489,19,FALSE),"")</f>
        <v/>
      </c>
      <c r="Y24" s="230" t="str">
        <f>IFERROR(VLOOKUP($Q24,SortedDownload!$B$3:$Z$489,20,FALSE),"")</f>
        <v/>
      </c>
      <c r="Z24" s="230" t="str">
        <f>IFERROR(VLOOKUP($Q24,SortedDownload!$B$3:$Z$489,21,FALSE),"")</f>
        <v/>
      </c>
      <c r="AB24">
        <v>121</v>
      </c>
      <c r="AC24">
        <f>IFERROR(VLOOKUP($AB24,OverallResults!$B$3:$Z$508,2,FALSE),"")</f>
        <v>38</v>
      </c>
      <c r="AD24" t="str">
        <f>IFERROR(VLOOKUP($AB24,OverallResults!$B$3:$Z$508,3,FALSE),"")</f>
        <v>Jedri Visser</v>
      </c>
      <c r="AE24" t="str">
        <f>IFERROR(TEXT(VLOOKUP($AB24,OverallResults!$B$3:$Z$489,17,FALSE),"[h]:mm:ss.0"),"")</f>
        <v>0:25:52.6</v>
      </c>
      <c r="AF24" s="230">
        <f>IFERROR(VLOOKUP($AD24,SortedDownload!$B$3:$Z$489,14,FALSE),"")</f>
        <v>125</v>
      </c>
      <c r="AG24" s="230">
        <f>IFERROR(VLOOKUP($AD24,SortedDownload!$B$3:$Z$489,15,FALSE),"")</f>
        <v>212</v>
      </c>
      <c r="AH24" s="230">
        <f>IFERROR(VLOOKUP($AD24,SortedDownload!$B$3:$Z$489,16,FALSE),"")</f>
        <v>211</v>
      </c>
      <c r="AI24" s="230">
        <f>IFERROR(VLOOKUP($AD24,SortedDownload!$B$3:$Z$489,17,FALSE),"")</f>
        <v>123</v>
      </c>
      <c r="AJ24" s="230">
        <f>IFERROR(VLOOKUP($AD24,SortedDownload!$B$3:$Z$489,18,FALSE),"")</f>
        <v>172</v>
      </c>
      <c r="AK24" s="230" t="str">
        <f>IFERROR(VLOOKUP($AD24,SortedDownload!$B$3:$Z$489,19,FALSE),"")</f>
        <v/>
      </c>
      <c r="AL24" s="230" t="str">
        <f>IFERROR(VLOOKUP($AD24,SortedDownload!$B$3:$Z$489,20,FALSE),"")</f>
        <v/>
      </c>
      <c r="AM24" s="230" t="str">
        <f>IFERROR(VLOOKUP($AD24,SortedDownload!$B$3:$Z$489,21,FALSE),"")</f>
        <v/>
      </c>
      <c r="AO24">
        <v>171</v>
      </c>
      <c r="AP24">
        <f>IFERROR(VLOOKUP($AO24,OverallResults!$B$3:$Z$508,2,FALSE),"")</f>
        <v>22</v>
      </c>
      <c r="AQ24" t="str">
        <f>IFERROR(VLOOKUP($AO24,OverallResults!$B$3:$Z$508,3,FALSE),"")</f>
        <v>Joffre Venter</v>
      </c>
      <c r="AR24" t="str">
        <f>IFERROR(TEXT(VLOOKUP($AO24,OverallResults!$B$3:$Z$489,17,FALSE),"[h]:mm:ss.0"),"")</f>
        <v>0:13:33.2</v>
      </c>
      <c r="AS24" s="230" t="str">
        <f>IFERROR(VLOOKUP($AQ24,SortedDownload!$B$3:$Z$489,14,FALSE),"")</f>
        <v/>
      </c>
      <c r="AT24" s="230">
        <f>IFERROR(VLOOKUP($AQ24,SortedDownload!$B$3:$Z$489,15,FALSE),"")</f>
        <v>165</v>
      </c>
      <c r="AU24" s="230">
        <f>IFERROR(VLOOKUP($AQ24,SortedDownload!$B$3:$Z$489,16,FALSE),"")</f>
        <v>197</v>
      </c>
      <c r="AV24" s="230" t="str">
        <f>IFERROR(VLOOKUP($AQ24,SortedDownload!$B$3:$Z$489,17,FALSE),"")</f>
        <v/>
      </c>
      <c r="AW24" s="230">
        <f>IFERROR(VLOOKUP($AQ24,SortedDownload!$B$3:$Z$489,18,FALSE),"")</f>
        <v>137</v>
      </c>
      <c r="AX24" s="230" t="str">
        <f>IFERROR(VLOOKUP($AQ24,SortedDownload!$B$3:$Z$489,19,FALSE),"")</f>
        <v/>
      </c>
      <c r="AY24" s="230" t="str">
        <f>IFERROR(VLOOKUP($AQ24,SortedDownload!$B$3:$Z$489,20,FALSE),"")</f>
        <v/>
      </c>
      <c r="AZ24" s="230" t="str">
        <f>IFERROR(VLOOKUP($AQ24,SortedDownload!$B$3:$Z$489,21,FALSE),"")</f>
        <v/>
      </c>
      <c r="BB24">
        <v>221</v>
      </c>
      <c r="BC24">
        <f>IFERROR(VLOOKUP($BB24,OverallResults!$B$3:$Z$508,2,FALSE),"")</f>
        <v>8</v>
      </c>
      <c r="BD24" t="str">
        <f>IFERROR(VLOOKUP($BB24,OverallResults!$B$3:$Z$508,3,FALSE),"")</f>
        <v>Thaabit Toefy</v>
      </c>
      <c r="BE24" t="str">
        <f>IFERROR(TEXT(VLOOKUP($BB24,OverallResults!$B$3:$Z$489,17,FALSE),"[h]:mm:ss.0"),"")</f>
        <v>0:17:10.7</v>
      </c>
      <c r="BF24" s="230" t="str">
        <f>IFERROR(VLOOKUP($BD24,SortedDownload!$B$3:$Z$489,14,FALSE),"")</f>
        <v/>
      </c>
      <c r="BG24" s="230">
        <f>IFERROR(VLOOKUP($BD24,SortedDownload!$B$3:$Z$489,15,FALSE),"")</f>
        <v>249</v>
      </c>
      <c r="BH24" s="230">
        <f>IFERROR(VLOOKUP($BD24,SortedDownload!$B$3:$Z$489,16,FALSE),"")</f>
        <v>224</v>
      </c>
      <c r="BI24" s="230" t="str">
        <f>IFERROR(VLOOKUP($BD24,SortedDownload!$B$3:$Z$489,17,FALSE),"")</f>
        <v/>
      </c>
      <c r="BJ24" s="230">
        <f>IFERROR(VLOOKUP($BD24,SortedDownload!$B$3:$Z$489,18,FALSE),"")</f>
        <v>228</v>
      </c>
      <c r="BK24" s="230" t="str">
        <f>IFERROR(VLOOKUP($BD24,SortedDownload!$B$3:$Z$489,19,FALSE),"")</f>
        <v/>
      </c>
      <c r="BL24" s="230" t="str">
        <f>IFERROR(VLOOKUP($BD24,SortedDownload!$B$3:$Z$489,20,FALSE),"")</f>
        <v/>
      </c>
      <c r="BM24" s="230" t="str">
        <f>IFERROR(VLOOKUP($BD24,SortedDownload!$B$3:$Z$489,21,FALSE),"")</f>
        <v/>
      </c>
      <c r="BO24">
        <v>271</v>
      </c>
      <c r="BP24" t="str">
        <f>IFERROR(VLOOKUP($BO24,OverallResults!$B$3:$Z$508,2,FALSE),"")</f>
        <v>DNF</v>
      </c>
      <c r="BQ24" t="str">
        <f>IFERROR(VLOOKUP($BO24,OverallResults!$B$3:$Z$508,3,FALSE),"")</f>
        <v/>
      </c>
      <c r="BR24" t="str">
        <f>IFERROR(TEXT(VLOOKUP($BO24,OverallResults!$B$3:$Z$489,17,FALSE),"[h]:mm:ss.0"),"")</f>
        <v/>
      </c>
      <c r="BS24" s="230" t="str">
        <f>IFERROR(VLOOKUP($BQ24,SortedDownload!$B$3:$Z$489,14,FALSE),"")</f>
        <v/>
      </c>
      <c r="BT24" s="230" t="str">
        <f>IFERROR(VLOOKUP($BQ24,SortedDownload!$B$3:$Z$489,15,FALSE),"")</f>
        <v/>
      </c>
      <c r="BU24" s="230" t="str">
        <f>IFERROR(VLOOKUP($BQ24,SortedDownload!$B$3:$Z$489,16,FALSE),"")</f>
        <v/>
      </c>
      <c r="BV24" s="230" t="str">
        <f>IFERROR(VLOOKUP($BQ24,SortedDownload!$B$3:$Z$489,17,FALSE),"")</f>
        <v/>
      </c>
      <c r="BW24" s="230" t="str">
        <f>IFERROR(VLOOKUP($BQ24,SortedDownload!$B$3:$Z$489,18,FALSE),"")</f>
        <v/>
      </c>
      <c r="BX24" s="230" t="str">
        <f>IFERROR(VLOOKUP($BQ24,SortedDownload!$B$3:$Z$489,19,FALSE),"")</f>
        <v/>
      </c>
      <c r="BY24" s="230" t="str">
        <f>IFERROR(VLOOKUP($BQ24,SortedDownload!$B$3:$Z$489,20,FALSE),"")</f>
        <v/>
      </c>
      <c r="BZ24" s="230" t="str">
        <f>IFERROR(VLOOKUP($BQ24,SortedDownload!$B$3:$Z$489,21,FALSE),"")</f>
        <v/>
      </c>
    </row>
    <row r="25" spans="2:78">
      <c r="B25">
        <v>22</v>
      </c>
      <c r="C25">
        <f>IFERROR(VLOOKUP($B25,OverallResults!$B$3:$Z$508,2,FALSE),"")</f>
        <v>9</v>
      </c>
      <c r="D25" t="str">
        <f>IFERROR(VLOOKUP($B25,OverallResults!$B$3:$Z$508,3,FALSE),"")</f>
        <v>Luca Ruwiel</v>
      </c>
      <c r="E25" t="str">
        <f>IFERROR(TEXT(VLOOKUP($B25,OverallResults!$B$3:$Z$489,17,FALSE),"[h]:mm:ss.0"),"")</f>
        <v>0:18:41.1</v>
      </c>
      <c r="F25" s="230">
        <f>IFERROR(VLOOKUP($D25,SortedDownload!$B$3:$Z$489,14,FALSE),"")</f>
        <v>23</v>
      </c>
      <c r="G25" s="230">
        <f>IFERROR(VLOOKUP($D25,SortedDownload!$B$3:$Z$489,15,FALSE),"")</f>
        <v>44</v>
      </c>
      <c r="H25" s="230">
        <f>IFERROR(VLOOKUP($D25,SortedDownload!$B$3:$Z$489,16,FALSE),"")</f>
        <v>47</v>
      </c>
      <c r="I25" s="230">
        <f>IFERROR(VLOOKUP($D25,SortedDownload!$B$3:$Z$489,17,FALSE),"")</f>
        <v>23</v>
      </c>
      <c r="J25" s="230">
        <f>IFERROR(VLOOKUP($D25,SortedDownload!$B$3:$Z$489,18,FALSE),"")</f>
        <v>16</v>
      </c>
      <c r="K25" s="230" t="str">
        <f>IFERROR(VLOOKUP($D25,SortedDownload!$B$3:$Z$489,19,FALSE),"")</f>
        <v/>
      </c>
      <c r="L25" s="230" t="str">
        <f>IFERROR(VLOOKUP($D25,SortedDownload!$B$3:$Z$489,20,FALSE),"")</f>
        <v/>
      </c>
      <c r="M25" s="230" t="str">
        <f>IFERROR(VLOOKUP($D25,SortedDownload!$B$3:$Z$489,21,FALSE),"")</f>
        <v/>
      </c>
      <c r="O25">
        <v>72</v>
      </c>
      <c r="P25">
        <f>IFERROR(VLOOKUP($O25,OverallResults!$B$3:$Z$508,2,FALSE),"")</f>
        <v>19</v>
      </c>
      <c r="Q25" t="str">
        <f>IFERROR(VLOOKUP($O25,OverallResults!$B$3:$Z$508,3,FALSE),"")</f>
        <v>John Rostance</v>
      </c>
      <c r="R25" t="str">
        <f>IFERROR(TEXT(VLOOKUP($O25,OverallResults!$B$3:$Z$489,17,FALSE),"[h]:mm:ss.0"),"")</f>
        <v>0:21:18.5</v>
      </c>
      <c r="S25" s="230">
        <f>IFERROR(VLOOKUP($Q25,SortedDownload!$B$3:$Z$489,14,FALSE),"")</f>
        <v>78</v>
      </c>
      <c r="T25" s="230">
        <f>IFERROR(VLOOKUP($Q25,SortedDownload!$B$3:$Z$489,15,FALSE),"")</f>
        <v>90</v>
      </c>
      <c r="U25" s="230">
        <f>IFERROR(VLOOKUP($Q25,SortedDownload!$B$3:$Z$489,16,FALSE),"")</f>
        <v>108</v>
      </c>
      <c r="V25" s="230">
        <f>IFERROR(VLOOKUP($Q25,SortedDownload!$B$3:$Z$489,17,FALSE),"")</f>
        <v>74</v>
      </c>
      <c r="W25" s="230">
        <f>IFERROR(VLOOKUP($Q25,SortedDownload!$B$3:$Z$489,18,FALSE),"")</f>
        <v>91</v>
      </c>
      <c r="X25" s="230" t="str">
        <f>IFERROR(VLOOKUP($Q25,SortedDownload!$B$3:$Z$489,19,FALSE),"")</f>
        <v/>
      </c>
      <c r="Y25" s="230" t="str">
        <f>IFERROR(VLOOKUP($Q25,SortedDownload!$B$3:$Z$489,20,FALSE),"")</f>
        <v/>
      </c>
      <c r="Z25" s="230" t="str">
        <f>IFERROR(VLOOKUP($Q25,SortedDownload!$B$3:$Z$489,21,FALSE),"")</f>
        <v/>
      </c>
      <c r="AB25">
        <v>122</v>
      </c>
      <c r="AC25">
        <f>IFERROR(VLOOKUP($AB25,OverallResults!$B$3:$Z$508,2,FALSE),"")</f>
        <v>15</v>
      </c>
      <c r="AD25" t="str">
        <f>IFERROR(VLOOKUP($AB25,OverallResults!$B$3:$Z$508,3,FALSE),"")</f>
        <v>Conner Morrison</v>
      </c>
      <c r="AE25" t="str">
        <f>IFERROR(TEXT(VLOOKUP($AB25,OverallResults!$B$3:$Z$489,17,FALSE),"[h]:mm:ss.0"),"")</f>
        <v>0:26:06.5</v>
      </c>
      <c r="AF25" s="230">
        <f>IFERROR(VLOOKUP($AD25,SortedDownload!$B$3:$Z$489,14,FALSE),"")</f>
        <v>137</v>
      </c>
      <c r="AG25" s="230">
        <f>IFERROR(VLOOKUP($AD25,SortedDownload!$B$3:$Z$489,15,FALSE),"")</f>
        <v>45</v>
      </c>
      <c r="AH25" s="230">
        <f>IFERROR(VLOOKUP($AD25,SortedDownload!$B$3:$Z$489,16,FALSE),"")</f>
        <v>53</v>
      </c>
      <c r="AI25" s="230">
        <f>IFERROR(VLOOKUP($AD25,SortedDownload!$B$3:$Z$489,17,FALSE),"")</f>
        <v>27</v>
      </c>
      <c r="AJ25" s="230">
        <f>IFERROR(VLOOKUP($AD25,SortedDownload!$B$3:$Z$489,18,FALSE),"")</f>
        <v>237</v>
      </c>
      <c r="AK25" s="230" t="str">
        <f>IFERROR(VLOOKUP($AD25,SortedDownload!$B$3:$Z$489,19,FALSE),"")</f>
        <v/>
      </c>
      <c r="AL25" s="230" t="str">
        <f>IFERROR(VLOOKUP($AD25,SortedDownload!$B$3:$Z$489,20,FALSE),"")</f>
        <v/>
      </c>
      <c r="AM25" s="230" t="str">
        <f>IFERROR(VLOOKUP($AD25,SortedDownload!$B$3:$Z$489,21,FALSE),"")</f>
        <v/>
      </c>
      <c r="AO25">
        <v>172</v>
      </c>
      <c r="AP25">
        <f>IFERROR(VLOOKUP($AO25,OverallResults!$B$3:$Z$508,2,FALSE),"")</f>
        <v>23</v>
      </c>
      <c r="AQ25" t="str">
        <f>IFERROR(VLOOKUP($AO25,OverallResults!$B$3:$Z$508,3,FALSE),"")</f>
        <v>Ebrahiem Van Der Schyff</v>
      </c>
      <c r="AR25" t="str">
        <f>IFERROR(TEXT(VLOOKUP($AO25,OverallResults!$B$3:$Z$489,17,FALSE),"[h]:mm:ss.0"),"")</f>
        <v>0:13:36.2</v>
      </c>
      <c r="AS25" s="230" t="str">
        <f>IFERROR(VLOOKUP($AQ25,SortedDownload!$B$3:$Z$489,14,FALSE),"")</f>
        <v/>
      </c>
      <c r="AT25" s="230">
        <f>IFERROR(VLOOKUP($AQ25,SortedDownload!$B$3:$Z$489,15,FALSE),"")</f>
        <v>172</v>
      </c>
      <c r="AU25" s="230">
        <f>IFERROR(VLOOKUP($AQ25,SortedDownload!$B$3:$Z$489,16,FALSE),"")</f>
        <v>188</v>
      </c>
      <c r="AV25" s="230" t="str">
        <f>IFERROR(VLOOKUP($AQ25,SortedDownload!$B$3:$Z$489,17,FALSE),"")</f>
        <v/>
      </c>
      <c r="AW25" s="230">
        <f>IFERROR(VLOOKUP($AQ25,SortedDownload!$B$3:$Z$489,18,FALSE),"")</f>
        <v>148</v>
      </c>
      <c r="AX25" s="230" t="str">
        <f>IFERROR(VLOOKUP($AQ25,SortedDownload!$B$3:$Z$489,19,FALSE),"")</f>
        <v/>
      </c>
      <c r="AY25" s="230" t="str">
        <f>IFERROR(VLOOKUP($AQ25,SortedDownload!$B$3:$Z$489,20,FALSE),"")</f>
        <v/>
      </c>
      <c r="AZ25" s="230" t="str">
        <f>IFERROR(VLOOKUP($AQ25,SortedDownload!$B$3:$Z$489,21,FALSE),"")</f>
        <v/>
      </c>
      <c r="BB25">
        <v>222</v>
      </c>
      <c r="BC25">
        <f>IFERROR(VLOOKUP($BB25,OverallResults!$B$3:$Z$508,2,FALSE),"")</f>
        <v>51</v>
      </c>
      <c r="BD25" t="str">
        <f>IFERROR(VLOOKUP($BB25,OverallResults!$B$3:$Z$508,3,FALSE),"")</f>
        <v>Brian America</v>
      </c>
      <c r="BE25" t="str">
        <f>IFERROR(TEXT(VLOOKUP($BB25,OverallResults!$B$3:$Z$489,17,FALSE),"[h]:mm:ss.0"),"")</f>
        <v>0:17:50.4</v>
      </c>
      <c r="BF25" s="230" t="str">
        <f>IFERROR(VLOOKUP($BD25,SortedDownload!$B$3:$Z$489,14,FALSE),"")</f>
        <v/>
      </c>
      <c r="BG25" s="230">
        <f>IFERROR(VLOOKUP($BD25,SortedDownload!$B$3:$Z$489,15,FALSE),"")</f>
        <v>250</v>
      </c>
      <c r="BH25" s="230">
        <f>IFERROR(VLOOKUP($BD25,SortedDownload!$B$3:$Z$489,16,FALSE),"")</f>
        <v>238</v>
      </c>
      <c r="BI25" s="230" t="str">
        <f>IFERROR(VLOOKUP($BD25,SortedDownload!$B$3:$Z$489,17,FALSE),"")</f>
        <v/>
      </c>
      <c r="BJ25" s="230">
        <f>IFERROR(VLOOKUP($BD25,SortedDownload!$B$3:$Z$489,18,FALSE),"")</f>
        <v>227</v>
      </c>
      <c r="BK25" s="230" t="str">
        <f>IFERROR(VLOOKUP($BD25,SortedDownload!$B$3:$Z$489,19,FALSE),"")</f>
        <v/>
      </c>
      <c r="BL25" s="230" t="str">
        <f>IFERROR(VLOOKUP($BD25,SortedDownload!$B$3:$Z$489,20,FALSE),"")</f>
        <v/>
      </c>
      <c r="BM25" s="230" t="str">
        <f>IFERROR(VLOOKUP($BD25,SortedDownload!$B$3:$Z$489,21,FALSE),"")</f>
        <v/>
      </c>
      <c r="BO25">
        <v>272</v>
      </c>
      <c r="BP25" t="str">
        <f>IFERROR(VLOOKUP($BO25,OverallResults!$B$3:$Z$508,2,FALSE),"")</f>
        <v>DNF</v>
      </c>
      <c r="BQ25" t="str">
        <f>IFERROR(VLOOKUP($BO25,OverallResults!$B$3:$Z$508,3,FALSE),"")</f>
        <v/>
      </c>
      <c r="BR25" t="str">
        <f>IFERROR(TEXT(VLOOKUP($BO25,OverallResults!$B$3:$Z$489,17,FALSE),"[h]:mm:ss.0"),"")</f>
        <v/>
      </c>
      <c r="BS25" s="230" t="str">
        <f>IFERROR(VLOOKUP($BQ25,SortedDownload!$B$3:$Z$489,14,FALSE),"")</f>
        <v/>
      </c>
      <c r="BT25" s="230" t="str">
        <f>IFERROR(VLOOKUP($BQ25,SortedDownload!$B$3:$Z$489,15,FALSE),"")</f>
        <v/>
      </c>
      <c r="BU25" s="230" t="str">
        <f>IFERROR(VLOOKUP($BQ25,SortedDownload!$B$3:$Z$489,16,FALSE),"")</f>
        <v/>
      </c>
      <c r="BV25" s="230" t="str">
        <f>IFERROR(VLOOKUP($BQ25,SortedDownload!$B$3:$Z$489,17,FALSE),"")</f>
        <v/>
      </c>
      <c r="BW25" s="230" t="str">
        <f>IFERROR(VLOOKUP($BQ25,SortedDownload!$B$3:$Z$489,18,FALSE),"")</f>
        <v/>
      </c>
      <c r="BX25" s="230" t="str">
        <f>IFERROR(VLOOKUP($BQ25,SortedDownload!$B$3:$Z$489,19,FALSE),"")</f>
        <v/>
      </c>
      <c r="BY25" s="230" t="str">
        <f>IFERROR(VLOOKUP($BQ25,SortedDownload!$B$3:$Z$489,20,FALSE),"")</f>
        <v/>
      </c>
      <c r="BZ25" s="230" t="str">
        <f>IFERROR(VLOOKUP($BQ25,SortedDownload!$B$3:$Z$489,21,FALSE),"")</f>
        <v/>
      </c>
    </row>
    <row r="26" spans="2:78">
      <c r="B26">
        <v>23</v>
      </c>
      <c r="C26">
        <f>IFERROR(VLOOKUP($B26,OverallResults!$B$3:$Z$508,2,FALSE),"")</f>
        <v>4</v>
      </c>
      <c r="D26" t="str">
        <f>IFERROR(VLOOKUP($B26,OverallResults!$B$3:$Z$508,3,FALSE),"")</f>
        <v>Henlu Starke</v>
      </c>
      <c r="E26" t="str">
        <f>IFERROR(TEXT(VLOOKUP($B26,OverallResults!$B$3:$Z$489,17,FALSE),"[h]:mm:ss.0"),"")</f>
        <v>0:18:41.5</v>
      </c>
      <c r="F26" s="230">
        <f>IFERROR(VLOOKUP($D26,SortedDownload!$B$3:$Z$489,14,FALSE),"")</f>
        <v>21</v>
      </c>
      <c r="G26" s="230">
        <f>IFERROR(VLOOKUP($D26,SortedDownload!$B$3:$Z$489,15,FALSE),"")</f>
        <v>26</v>
      </c>
      <c r="H26" s="230">
        <f>IFERROR(VLOOKUP($D26,SortedDownload!$B$3:$Z$489,16,FALSE),"")</f>
        <v>27</v>
      </c>
      <c r="I26" s="230">
        <f>IFERROR(VLOOKUP($D26,SortedDownload!$B$3:$Z$489,17,FALSE),"")</f>
        <v>31</v>
      </c>
      <c r="J26" s="230">
        <f>IFERROR(VLOOKUP($D26,SortedDownload!$B$3:$Z$489,18,FALSE),"")</f>
        <v>36</v>
      </c>
      <c r="K26" s="230" t="str">
        <f>IFERROR(VLOOKUP($D26,SortedDownload!$B$3:$Z$489,19,FALSE),"")</f>
        <v/>
      </c>
      <c r="L26" s="230" t="str">
        <f>IFERROR(VLOOKUP($D26,SortedDownload!$B$3:$Z$489,20,FALSE),"")</f>
        <v/>
      </c>
      <c r="M26" s="230" t="str">
        <f>IFERROR(VLOOKUP($D26,SortedDownload!$B$3:$Z$489,21,FALSE),"")</f>
        <v/>
      </c>
      <c r="O26">
        <v>73</v>
      </c>
      <c r="P26">
        <f>IFERROR(VLOOKUP($O26,OverallResults!$B$3:$Z$508,2,FALSE),"")</f>
        <v>19</v>
      </c>
      <c r="Q26" t="str">
        <f>IFERROR(VLOOKUP($O26,OverallResults!$B$3:$Z$508,3,FALSE),"")</f>
        <v>Kyle Ridge</v>
      </c>
      <c r="R26" t="str">
        <f>IFERROR(TEXT(VLOOKUP($O26,OverallResults!$B$3:$Z$489,17,FALSE),"[h]:mm:ss.0"),"")</f>
        <v>0:21:21.2</v>
      </c>
      <c r="S26" s="230">
        <f>IFERROR(VLOOKUP($Q26,SortedDownload!$B$3:$Z$489,14,FALSE),"")</f>
        <v>70</v>
      </c>
      <c r="T26" s="230">
        <f>IFERROR(VLOOKUP($Q26,SortedDownload!$B$3:$Z$489,15,FALSE),"")</f>
        <v>78</v>
      </c>
      <c r="U26" s="230">
        <f>IFERROR(VLOOKUP($Q26,SortedDownload!$B$3:$Z$489,16,FALSE),"")</f>
        <v>84</v>
      </c>
      <c r="V26" s="230">
        <f>IFERROR(VLOOKUP($Q26,SortedDownload!$B$3:$Z$489,17,FALSE),"")</f>
        <v>88</v>
      </c>
      <c r="W26" s="230">
        <f>IFERROR(VLOOKUP($Q26,SortedDownload!$B$3:$Z$489,18,FALSE),"")</f>
        <v>100</v>
      </c>
      <c r="X26" s="230" t="str">
        <f>IFERROR(VLOOKUP($Q26,SortedDownload!$B$3:$Z$489,19,FALSE),"")</f>
        <v/>
      </c>
      <c r="Y26" s="230" t="str">
        <f>IFERROR(VLOOKUP($Q26,SortedDownload!$B$3:$Z$489,20,FALSE),"")</f>
        <v/>
      </c>
      <c r="Z26" s="230" t="str">
        <f>IFERROR(VLOOKUP($Q26,SortedDownload!$B$3:$Z$489,21,FALSE),"")</f>
        <v/>
      </c>
      <c r="AB26">
        <v>123</v>
      </c>
      <c r="AC26">
        <f>IFERROR(VLOOKUP($AB26,OverallResults!$B$3:$Z$508,2,FALSE),"")</f>
        <v>16</v>
      </c>
      <c r="AD26" t="str">
        <f>IFERROR(VLOOKUP($AB26,OverallResults!$B$3:$Z$508,3,FALSE),"")</f>
        <v>Pieter Venter Snr</v>
      </c>
      <c r="AE26" t="str">
        <f>IFERROR(TEXT(VLOOKUP($AB26,OverallResults!$B$3:$Z$489,17,FALSE),"[h]:mm:ss.0"),"")</f>
        <v>0:26:10.7</v>
      </c>
      <c r="AF26" s="230">
        <f>IFERROR(VLOOKUP($AD26,SortedDownload!$B$3:$Z$489,14,FALSE),"")</f>
        <v>136</v>
      </c>
      <c r="AG26" s="230">
        <f>IFERROR(VLOOKUP($AD26,SortedDownload!$B$3:$Z$489,15,FALSE),"")</f>
        <v>130</v>
      </c>
      <c r="AH26" s="230">
        <f>IFERROR(VLOOKUP($AD26,SortedDownload!$B$3:$Z$489,16,FALSE),"")</f>
        <v>182</v>
      </c>
      <c r="AI26" s="230">
        <f>IFERROR(VLOOKUP($AD26,SortedDownload!$B$3:$Z$489,17,FALSE),"")</f>
        <v>103</v>
      </c>
      <c r="AJ26" s="230">
        <f>IFERROR(VLOOKUP($AD26,SortedDownload!$B$3:$Z$489,18,FALSE),"")</f>
        <v>114</v>
      </c>
      <c r="AK26" s="230" t="str">
        <f>IFERROR(VLOOKUP($AD26,SortedDownload!$B$3:$Z$489,19,FALSE),"")</f>
        <v/>
      </c>
      <c r="AL26" s="230" t="str">
        <f>IFERROR(VLOOKUP($AD26,SortedDownload!$B$3:$Z$489,20,FALSE),"")</f>
        <v/>
      </c>
      <c r="AM26" s="230" t="str">
        <f>IFERROR(VLOOKUP($AD26,SortedDownload!$B$3:$Z$489,21,FALSE),"")</f>
        <v/>
      </c>
      <c r="AO26">
        <v>173</v>
      </c>
      <c r="AP26">
        <f>IFERROR(VLOOKUP($AO26,OverallResults!$B$3:$Z$508,2,FALSE),"")</f>
        <v>5</v>
      </c>
      <c r="AQ26" t="str">
        <f>IFERROR(VLOOKUP($AO26,OverallResults!$B$3:$Z$508,3,FALSE),"")</f>
        <v>Lineke Groenewald</v>
      </c>
      <c r="AR26" t="str">
        <f>IFERROR(TEXT(VLOOKUP($AO26,OverallResults!$B$3:$Z$489,17,FALSE),"[h]:mm:ss.0"),"")</f>
        <v>0:13:40.0</v>
      </c>
      <c r="AS26" s="230" t="str">
        <f>IFERROR(VLOOKUP($AQ26,SortedDownload!$B$3:$Z$489,14,FALSE),"")</f>
        <v/>
      </c>
      <c r="AT26" s="230">
        <f>IFERROR(VLOOKUP($AQ26,SortedDownload!$B$3:$Z$489,15,FALSE),"")</f>
        <v>189</v>
      </c>
      <c r="AU26" s="230">
        <f>IFERROR(VLOOKUP($AQ26,SortedDownload!$B$3:$Z$489,16,FALSE),"")</f>
        <v>169</v>
      </c>
      <c r="AV26" s="230" t="str">
        <f>IFERROR(VLOOKUP($AQ26,SortedDownload!$B$3:$Z$489,17,FALSE),"")</f>
        <v/>
      </c>
      <c r="AW26" s="230">
        <f>IFERROR(VLOOKUP($AQ26,SortedDownload!$B$3:$Z$489,18,FALSE),"")</f>
        <v>154</v>
      </c>
      <c r="AX26" s="230" t="str">
        <f>IFERROR(VLOOKUP($AQ26,SortedDownload!$B$3:$Z$489,19,FALSE),"")</f>
        <v/>
      </c>
      <c r="AY26" s="230" t="str">
        <f>IFERROR(VLOOKUP($AQ26,SortedDownload!$B$3:$Z$489,20,FALSE),"")</f>
        <v/>
      </c>
      <c r="AZ26" s="230" t="str">
        <f>IFERROR(VLOOKUP($AQ26,SortedDownload!$B$3:$Z$489,21,FALSE),"")</f>
        <v/>
      </c>
      <c r="BB26">
        <v>223</v>
      </c>
      <c r="BC26">
        <f>IFERROR(VLOOKUP($BB26,OverallResults!$B$3:$Z$508,2,FALSE),"")</f>
        <v>52</v>
      </c>
      <c r="BD26" t="str">
        <f>IFERROR(VLOOKUP($BB26,OverallResults!$B$3:$Z$508,3,FALSE),"")</f>
        <v>Geoff Dye</v>
      </c>
      <c r="BE26" t="str">
        <f>IFERROR(TEXT(VLOOKUP($BB26,OverallResults!$B$3:$Z$489,17,FALSE),"[h]:mm:ss.0"),"")</f>
        <v>0:18:09.0</v>
      </c>
      <c r="BF26" s="230" t="str">
        <f>IFERROR(VLOOKUP($BD26,SortedDownload!$B$3:$Z$489,14,FALSE),"")</f>
        <v/>
      </c>
      <c r="BG26" s="230">
        <f>IFERROR(VLOOKUP($BD26,SortedDownload!$B$3:$Z$489,15,FALSE),"")</f>
        <v>243</v>
      </c>
      <c r="BH26" s="230">
        <f>IFERROR(VLOOKUP($BD26,SortedDownload!$B$3:$Z$489,16,FALSE),"")</f>
        <v>244</v>
      </c>
      <c r="BI26" s="230" t="str">
        <f>IFERROR(VLOOKUP($BD26,SortedDownload!$B$3:$Z$489,17,FALSE),"")</f>
        <v/>
      </c>
      <c r="BJ26" s="230">
        <f>IFERROR(VLOOKUP($BD26,SortedDownload!$B$3:$Z$489,18,FALSE),"")</f>
        <v>229</v>
      </c>
      <c r="BK26" s="230" t="str">
        <f>IFERROR(VLOOKUP($BD26,SortedDownload!$B$3:$Z$489,19,FALSE),"")</f>
        <v/>
      </c>
      <c r="BL26" s="230" t="str">
        <f>IFERROR(VLOOKUP($BD26,SortedDownload!$B$3:$Z$489,20,FALSE),"")</f>
        <v/>
      </c>
      <c r="BM26" s="230" t="str">
        <f>IFERROR(VLOOKUP($BD26,SortedDownload!$B$3:$Z$489,21,FALSE),"")</f>
        <v/>
      </c>
      <c r="BS26" s="230"/>
      <c r="BT26" s="230"/>
      <c r="BU26" s="230"/>
      <c r="BV26" s="230"/>
      <c r="BW26" s="230" t="str">
        <f>IFERROR(VLOOKUP($BQ26,SortedDownload!$B$3:$Z$489,18,FALSE),"")</f>
        <v/>
      </c>
      <c r="BX26" s="230" t="str">
        <f>IFERROR(VLOOKUP($BQ26,SortedDownload!$B$3:$Z$489,19,FALSE),"")</f>
        <v/>
      </c>
      <c r="BY26" s="230" t="str">
        <f>IFERROR(VLOOKUP($BQ26,SortedDownload!$B$3:$Z$489,20,FALSE),"")</f>
        <v/>
      </c>
      <c r="BZ26" s="230" t="str">
        <f>IFERROR(VLOOKUP($BQ26,SortedDownload!$B$3:$Z$489,21,FALSE),"")</f>
        <v/>
      </c>
    </row>
    <row r="27" spans="2:78">
      <c r="B27">
        <v>24</v>
      </c>
      <c r="C27">
        <f>IFERROR(VLOOKUP($B27,OverallResults!$B$3:$Z$508,2,FALSE),"")</f>
        <v>10</v>
      </c>
      <c r="D27" t="str">
        <f>IFERROR(VLOOKUP($B27,OverallResults!$B$3:$Z$508,3,FALSE),"")</f>
        <v>Brandon Willcocks</v>
      </c>
      <c r="E27" t="str">
        <f>IFERROR(TEXT(VLOOKUP($B27,OverallResults!$B$3:$Z$489,17,FALSE),"[h]:mm:ss.0"),"")</f>
        <v>0:18:45.1</v>
      </c>
      <c r="F27" s="230">
        <f>IFERROR(VLOOKUP($D27,SortedDownload!$B$3:$Z$489,14,FALSE),"")</f>
        <v>30</v>
      </c>
      <c r="G27" s="230">
        <f>IFERROR(VLOOKUP($D27,SortedDownload!$B$3:$Z$489,15,FALSE),"")</f>
        <v>38</v>
      </c>
      <c r="H27" s="230">
        <f>IFERROR(VLOOKUP($D27,SortedDownload!$B$3:$Z$489,16,FALSE),"")</f>
        <v>44</v>
      </c>
      <c r="I27" s="230">
        <f>IFERROR(VLOOKUP($D27,SortedDownload!$B$3:$Z$489,17,FALSE),"")</f>
        <v>21</v>
      </c>
      <c r="J27" s="230">
        <f>IFERROR(VLOOKUP($D27,SortedDownload!$B$3:$Z$489,18,FALSE),"")</f>
        <v>23</v>
      </c>
      <c r="K27" s="230" t="str">
        <f>IFERROR(VLOOKUP($D27,SortedDownload!$B$3:$Z$489,19,FALSE),"")</f>
        <v/>
      </c>
      <c r="L27" s="230" t="str">
        <f>IFERROR(VLOOKUP($D27,SortedDownload!$B$3:$Z$489,20,FALSE),"")</f>
        <v/>
      </c>
      <c r="M27" s="230" t="str">
        <f>IFERROR(VLOOKUP($D27,SortedDownload!$B$3:$Z$489,21,FALSE),"")</f>
        <v/>
      </c>
      <c r="O27">
        <v>74</v>
      </c>
      <c r="P27">
        <f>IFERROR(VLOOKUP($O27,OverallResults!$B$3:$Z$508,2,FALSE),"")</f>
        <v>9</v>
      </c>
      <c r="Q27" t="str">
        <f>IFERROR(VLOOKUP($O27,OverallResults!$B$3:$Z$508,3,FALSE),"")</f>
        <v>Altus Rossouw</v>
      </c>
      <c r="R27" t="str">
        <f>IFERROR(TEXT(VLOOKUP($O27,OverallResults!$B$3:$Z$489,17,FALSE),"[h]:mm:ss.0"),"")</f>
        <v>0:21:23.2</v>
      </c>
      <c r="S27" s="230">
        <f>IFERROR(VLOOKUP($Q27,SortedDownload!$B$3:$Z$489,14,FALSE),"")</f>
        <v>85</v>
      </c>
      <c r="T27" s="230">
        <f>IFERROR(VLOOKUP($Q27,SortedDownload!$B$3:$Z$489,15,FALSE),"")</f>
        <v>86</v>
      </c>
      <c r="U27" s="230">
        <f>IFERROR(VLOOKUP($Q27,SortedDownload!$B$3:$Z$489,16,FALSE),"")</f>
        <v>87</v>
      </c>
      <c r="V27" s="230">
        <f>IFERROR(VLOOKUP($Q27,SortedDownload!$B$3:$Z$489,17,FALSE),"")</f>
        <v>81</v>
      </c>
      <c r="W27" s="230">
        <f>IFERROR(VLOOKUP($Q27,SortedDownload!$B$3:$Z$489,18,FALSE),"")</f>
        <v>75</v>
      </c>
      <c r="X27" s="230" t="str">
        <f>IFERROR(VLOOKUP($Q27,SortedDownload!$B$3:$Z$489,19,FALSE),"")</f>
        <v/>
      </c>
      <c r="Y27" s="230" t="str">
        <f>IFERROR(VLOOKUP($Q27,SortedDownload!$B$3:$Z$489,20,FALSE),"")</f>
        <v/>
      </c>
      <c r="Z27" s="230" t="str">
        <f>IFERROR(VLOOKUP($Q27,SortedDownload!$B$3:$Z$489,21,FALSE),"")</f>
        <v/>
      </c>
      <c r="AB27">
        <v>124</v>
      </c>
      <c r="AC27">
        <f>IFERROR(VLOOKUP($AB27,OverallResults!$B$3:$Z$508,2,FALSE),"")</f>
        <v>26</v>
      </c>
      <c r="AD27" t="str">
        <f>IFERROR(VLOOKUP($AB27,OverallResults!$B$3:$Z$508,3,FALSE),"")</f>
        <v>Tristan Harley</v>
      </c>
      <c r="AE27" t="str">
        <f>IFERROR(TEXT(VLOOKUP($AB27,OverallResults!$B$3:$Z$489,17,FALSE),"[h]:mm:ss.0"),"")</f>
        <v>0:26:20.9</v>
      </c>
      <c r="AF27" s="230">
        <f>IFERROR(VLOOKUP($AD27,SortedDownload!$B$3:$Z$489,14,FALSE),"")</f>
        <v>134</v>
      </c>
      <c r="AG27" s="230">
        <f>IFERROR(VLOOKUP($AD27,SortedDownload!$B$3:$Z$489,15,FALSE),"")</f>
        <v>149</v>
      </c>
      <c r="AH27" s="230">
        <f>IFERROR(VLOOKUP($AD27,SortedDownload!$B$3:$Z$489,16,FALSE),"")</f>
        <v>186</v>
      </c>
      <c r="AI27" s="230">
        <f>IFERROR(VLOOKUP($AD27,SortedDownload!$B$3:$Z$489,17,FALSE),"")</f>
        <v>128</v>
      </c>
      <c r="AJ27" s="230">
        <f>IFERROR(VLOOKUP($AD27,SortedDownload!$B$3:$Z$489,18,FALSE),"")</f>
        <v>163</v>
      </c>
      <c r="AK27" s="230" t="str">
        <f>IFERROR(VLOOKUP($AD27,SortedDownload!$B$3:$Z$489,19,FALSE),"")</f>
        <v/>
      </c>
      <c r="AL27" s="230" t="str">
        <f>IFERROR(VLOOKUP($AD27,SortedDownload!$B$3:$Z$489,20,FALSE),"")</f>
        <v/>
      </c>
      <c r="AM27" s="230" t="str">
        <f>IFERROR(VLOOKUP($AD27,SortedDownload!$B$3:$Z$489,21,FALSE),"")</f>
        <v/>
      </c>
      <c r="AO27">
        <v>174</v>
      </c>
      <c r="AP27">
        <f>IFERROR(VLOOKUP($AO27,OverallResults!$B$3:$Z$508,2,FALSE),"")</f>
        <v>5</v>
      </c>
      <c r="AQ27" t="str">
        <f>IFERROR(VLOOKUP($AO27,OverallResults!$B$3:$Z$508,3,FALSE),"")</f>
        <v>Charl Du Plessis</v>
      </c>
      <c r="AR27" t="str">
        <f>IFERROR(TEXT(VLOOKUP($AO27,OverallResults!$B$3:$Z$489,17,FALSE),"[h]:mm:ss.0"),"")</f>
        <v>0:13:41.6</v>
      </c>
      <c r="AS27" s="230" t="str">
        <f>IFERROR(VLOOKUP($AQ27,SortedDownload!$B$3:$Z$489,14,FALSE),"")</f>
        <v/>
      </c>
      <c r="AT27" s="230">
        <f>IFERROR(VLOOKUP($AQ27,SortedDownload!$B$3:$Z$489,15,FALSE),"")</f>
        <v>162</v>
      </c>
      <c r="AU27" s="230">
        <f>IFERROR(VLOOKUP($AQ27,SortedDownload!$B$3:$Z$489,16,FALSE),"")</f>
        <v>184</v>
      </c>
      <c r="AV27" s="230" t="str">
        <f>IFERROR(VLOOKUP($AQ27,SortedDownload!$B$3:$Z$489,17,FALSE),"")</f>
        <v/>
      </c>
      <c r="AW27" s="230">
        <f>IFERROR(VLOOKUP($AQ27,SortedDownload!$B$3:$Z$489,18,FALSE),"")</f>
        <v>168</v>
      </c>
      <c r="AX27" s="230" t="str">
        <f>IFERROR(VLOOKUP($AQ27,SortedDownload!$B$3:$Z$489,19,FALSE),"")</f>
        <v/>
      </c>
      <c r="AY27" s="230" t="str">
        <f>IFERROR(VLOOKUP($AQ27,SortedDownload!$B$3:$Z$489,20,FALSE),"")</f>
        <v/>
      </c>
      <c r="AZ27" s="230" t="str">
        <f>IFERROR(VLOOKUP($AQ27,SortedDownload!$B$3:$Z$489,21,FALSE),"")</f>
        <v/>
      </c>
      <c r="BB27">
        <v>224</v>
      </c>
      <c r="BC27">
        <f>IFERROR(VLOOKUP($BB27,OverallResults!$B$3:$Z$508,2,FALSE),"")</f>
        <v>3</v>
      </c>
      <c r="BD27" t="str">
        <f>IFERROR(VLOOKUP($BB27,OverallResults!$B$3:$Z$508,3,FALSE),"")</f>
        <v>Spencer Van Zyl</v>
      </c>
      <c r="BE27" t="str">
        <f>IFERROR(TEXT(VLOOKUP($BB27,OverallResults!$B$3:$Z$489,17,FALSE),"[h]:mm:ss.0"),"")</f>
        <v>0:18:10.9</v>
      </c>
      <c r="BF27" s="230" t="str">
        <f>IFERROR(VLOOKUP($BD27,SortedDownload!$B$3:$Z$489,14,FALSE),"")</f>
        <v/>
      </c>
      <c r="BG27" s="230">
        <f>IFERROR(VLOOKUP($BD27,SortedDownload!$B$3:$Z$489,15,FALSE),"")</f>
        <v>253</v>
      </c>
      <c r="BH27" s="230">
        <f>IFERROR(VLOOKUP($BD27,SortedDownload!$B$3:$Z$489,16,FALSE),"")</f>
        <v>236</v>
      </c>
      <c r="BI27" s="230" t="str">
        <f>IFERROR(VLOOKUP($BD27,SortedDownload!$B$3:$Z$489,17,FALSE),"")</f>
        <v/>
      </c>
      <c r="BJ27" s="230">
        <f>IFERROR(VLOOKUP($BD27,SortedDownload!$B$3:$Z$489,18,FALSE),"")</f>
        <v>223</v>
      </c>
      <c r="BK27" s="230" t="str">
        <f>IFERROR(VLOOKUP($BD27,SortedDownload!$B$3:$Z$489,19,FALSE),"")</f>
        <v/>
      </c>
      <c r="BL27" s="230" t="str">
        <f>IFERROR(VLOOKUP($BD27,SortedDownload!$B$3:$Z$489,20,FALSE),"")</f>
        <v/>
      </c>
      <c r="BM27" s="230" t="str">
        <f>IFERROR(VLOOKUP($BD27,SortedDownload!$B$3:$Z$489,21,FALSE),"")</f>
        <v/>
      </c>
      <c r="BS27" s="230"/>
      <c r="BT27" s="230"/>
      <c r="BU27" s="230"/>
      <c r="BV27" s="230"/>
      <c r="BW27" s="230" t="str">
        <f>IFERROR(VLOOKUP($BQ27,SortedDownload!$B$3:$Z$489,18,FALSE),"")</f>
        <v/>
      </c>
      <c r="BX27" s="230" t="str">
        <f>IFERROR(VLOOKUP($BQ27,SortedDownload!$B$3:$Z$489,19,FALSE),"")</f>
        <v/>
      </c>
      <c r="BY27" s="230" t="str">
        <f>IFERROR(VLOOKUP($BQ27,SortedDownload!$B$3:$Z$489,20,FALSE),"")</f>
        <v/>
      </c>
      <c r="BZ27" s="230" t="str">
        <f>IFERROR(VLOOKUP($BQ27,SortedDownload!$B$3:$Z$489,21,FALSE),"")</f>
        <v/>
      </c>
    </row>
    <row r="28" spans="2:78">
      <c r="B28">
        <v>25</v>
      </c>
      <c r="C28">
        <f>IFERROR(VLOOKUP($B28,OverallResults!$B$3:$Z$508,2,FALSE),"")</f>
        <v>3</v>
      </c>
      <c r="D28" t="str">
        <f>IFERROR(VLOOKUP($B28,OverallResults!$B$3:$Z$508,3,FALSE),"")</f>
        <v>Hendre De Villiers</v>
      </c>
      <c r="E28" t="str">
        <f>IFERROR(TEXT(VLOOKUP($B28,OverallResults!$B$3:$Z$489,17,FALSE),"[h]:mm:ss.0"),"")</f>
        <v>0:18:48.1</v>
      </c>
      <c r="F28" s="230">
        <f>IFERROR(VLOOKUP($D28,SortedDownload!$B$3:$Z$489,14,FALSE),"")</f>
        <v>25</v>
      </c>
      <c r="G28" s="230">
        <f>IFERROR(VLOOKUP($D28,SortedDownload!$B$3:$Z$489,15,FALSE),"")</f>
        <v>36</v>
      </c>
      <c r="H28" s="230">
        <f>IFERROR(VLOOKUP($D28,SortedDownload!$B$3:$Z$489,16,FALSE),"")</f>
        <v>42</v>
      </c>
      <c r="I28" s="230">
        <f>IFERROR(VLOOKUP($D28,SortedDownload!$B$3:$Z$489,17,FALSE),"")</f>
        <v>36</v>
      </c>
      <c r="J28" s="230">
        <f>IFERROR(VLOOKUP($D28,SortedDownload!$B$3:$Z$489,18,FALSE),"")</f>
        <v>17</v>
      </c>
      <c r="K28" s="230" t="str">
        <f>IFERROR(VLOOKUP($D28,SortedDownload!$B$3:$Z$489,19,FALSE),"")</f>
        <v/>
      </c>
      <c r="L28" s="230" t="str">
        <f>IFERROR(VLOOKUP($D28,SortedDownload!$B$3:$Z$489,20,FALSE),"")</f>
        <v/>
      </c>
      <c r="M28" s="230" t="str">
        <f>IFERROR(VLOOKUP($D28,SortedDownload!$B$3:$Z$489,21,FALSE),"")</f>
        <v/>
      </c>
      <c r="O28">
        <v>75</v>
      </c>
      <c r="P28">
        <f>IFERROR(VLOOKUP($O28,OverallResults!$B$3:$Z$508,2,FALSE),"")</f>
        <v>17</v>
      </c>
      <c r="Q28" t="str">
        <f>IFERROR(VLOOKUP($O28,OverallResults!$B$3:$Z$508,3,FALSE),"")</f>
        <v>Liam Coetzee</v>
      </c>
      <c r="R28" t="str">
        <f>IFERROR(TEXT(VLOOKUP($O28,OverallResults!$B$3:$Z$489,17,FALSE),"[h]:mm:ss.0"),"")</f>
        <v>0:21:30.8</v>
      </c>
      <c r="S28" s="230">
        <f>IFERROR(VLOOKUP($Q28,SortedDownload!$B$3:$Z$489,14,FALSE),"")</f>
        <v>94</v>
      </c>
      <c r="T28" s="230">
        <f>IFERROR(VLOOKUP($Q28,SortedDownload!$B$3:$Z$489,15,FALSE),"")</f>
        <v>87</v>
      </c>
      <c r="U28" s="230">
        <f>IFERROR(VLOOKUP($Q28,SortedDownload!$B$3:$Z$489,16,FALSE),"")</f>
        <v>89</v>
      </c>
      <c r="V28" s="230">
        <f>IFERROR(VLOOKUP($Q28,SortedDownload!$B$3:$Z$489,17,FALSE),"")</f>
        <v>61</v>
      </c>
      <c r="W28" s="230">
        <f>IFERROR(VLOOKUP($Q28,SortedDownload!$B$3:$Z$489,18,FALSE),"")</f>
        <v>103</v>
      </c>
      <c r="X28" s="230" t="str">
        <f>IFERROR(VLOOKUP($Q28,SortedDownload!$B$3:$Z$489,19,FALSE),"")</f>
        <v/>
      </c>
      <c r="Y28" s="230" t="str">
        <f>IFERROR(VLOOKUP($Q28,SortedDownload!$B$3:$Z$489,20,FALSE),"")</f>
        <v/>
      </c>
      <c r="Z28" s="230" t="str">
        <f>IFERROR(VLOOKUP($Q28,SortedDownload!$B$3:$Z$489,21,FALSE),"")</f>
        <v/>
      </c>
      <c r="AB28">
        <v>125</v>
      </c>
      <c r="AC28">
        <f>IFERROR(VLOOKUP($AB28,OverallResults!$B$3:$Z$508,2,FALSE),"")</f>
        <v>17</v>
      </c>
      <c r="AD28" t="str">
        <f>IFERROR(VLOOKUP($AB28,OverallResults!$B$3:$Z$508,3,FALSE),"")</f>
        <v>Max Sullivan</v>
      </c>
      <c r="AE28" t="str">
        <f>IFERROR(TEXT(VLOOKUP($AB28,OverallResults!$B$3:$Z$489,17,FALSE),"[h]:mm:ss.0"),"")</f>
        <v>0:26:26.0</v>
      </c>
      <c r="AF28" s="230">
        <f>IFERROR(VLOOKUP($AD28,SortedDownload!$B$3:$Z$489,14,FALSE),"")</f>
        <v>141</v>
      </c>
      <c r="AG28" s="230">
        <f>IFERROR(VLOOKUP($AD28,SortedDownload!$B$3:$Z$489,15,FALSE),"")</f>
        <v>9</v>
      </c>
      <c r="AH28" s="230">
        <f>IFERROR(VLOOKUP($AD28,SortedDownload!$B$3:$Z$489,16,FALSE),"")</f>
        <v>5</v>
      </c>
      <c r="AI28" s="230">
        <f>IFERROR(VLOOKUP($AD28,SortedDownload!$B$3:$Z$489,17,FALSE),"")</f>
        <v>3</v>
      </c>
      <c r="AJ28" s="230">
        <f>IFERROR(VLOOKUP($AD28,SortedDownload!$B$3:$Z$489,18,FALSE),"")</f>
        <v>30</v>
      </c>
      <c r="AK28" s="230" t="str">
        <f>IFERROR(VLOOKUP($AD28,SortedDownload!$B$3:$Z$489,19,FALSE),"")</f>
        <v/>
      </c>
      <c r="AL28" s="230" t="str">
        <f>IFERROR(VLOOKUP($AD28,SortedDownload!$B$3:$Z$489,20,FALSE),"")</f>
        <v/>
      </c>
      <c r="AM28" s="230" t="str">
        <f>IFERROR(VLOOKUP($AD28,SortedDownload!$B$3:$Z$489,21,FALSE),"")</f>
        <v/>
      </c>
      <c r="AO28">
        <v>175</v>
      </c>
      <c r="AP28">
        <f>IFERROR(VLOOKUP($AO28,OverallResults!$B$3:$Z$508,2,FALSE),"")</f>
        <v>9</v>
      </c>
      <c r="AQ28" t="str">
        <f>IFERROR(VLOOKUP($AO28,OverallResults!$B$3:$Z$508,3,FALSE),"")</f>
        <v>Hanru Van Heyningen</v>
      </c>
      <c r="AR28" t="str">
        <f>IFERROR(TEXT(VLOOKUP($AO28,OverallResults!$B$3:$Z$489,17,FALSE),"[h]:mm:ss.0"),"")</f>
        <v>0:13:47.1</v>
      </c>
      <c r="AS28" s="230" t="str">
        <f>IFERROR(VLOOKUP($AQ28,SortedDownload!$B$3:$Z$489,14,FALSE),"")</f>
        <v/>
      </c>
      <c r="AT28" s="230">
        <f>IFERROR(VLOOKUP($AQ28,SortedDownload!$B$3:$Z$489,15,FALSE),"")</f>
        <v>194</v>
      </c>
      <c r="AU28" s="230">
        <f>IFERROR(VLOOKUP($AQ28,SortedDownload!$B$3:$Z$489,16,FALSE),"")</f>
        <v>166</v>
      </c>
      <c r="AV28" s="230" t="str">
        <f>IFERROR(VLOOKUP($AQ28,SortedDownload!$B$3:$Z$489,17,FALSE),"")</f>
        <v/>
      </c>
      <c r="AW28" s="230">
        <f>IFERROR(VLOOKUP($AQ28,SortedDownload!$B$3:$Z$489,18,FALSE),"")</f>
        <v>164</v>
      </c>
      <c r="AX28" s="230" t="str">
        <f>IFERROR(VLOOKUP($AQ28,SortedDownload!$B$3:$Z$489,19,FALSE),"")</f>
        <v/>
      </c>
      <c r="AY28" s="230" t="str">
        <f>IFERROR(VLOOKUP($AQ28,SortedDownload!$B$3:$Z$489,20,FALSE),"")</f>
        <v/>
      </c>
      <c r="AZ28" s="230" t="str">
        <f>IFERROR(VLOOKUP($AQ28,SortedDownload!$B$3:$Z$489,21,FALSE),"")</f>
        <v/>
      </c>
      <c r="BB28">
        <v>225</v>
      </c>
      <c r="BC28">
        <f>IFERROR(VLOOKUP($BB28,OverallResults!$B$3:$Z$508,2,FALSE),"")</f>
        <v>1</v>
      </c>
      <c r="BD28" t="str">
        <f>IFERROR(VLOOKUP($BB28,OverallResults!$B$3:$Z$508,3,FALSE),"")</f>
        <v>Isabella Stermin</v>
      </c>
      <c r="BE28" t="str">
        <f>IFERROR(TEXT(VLOOKUP($BB28,OverallResults!$B$3:$Z$489,17,FALSE),"[h]:mm:ss.0"),"")</f>
        <v>0:18:21.6</v>
      </c>
      <c r="BF28" s="230" t="str">
        <f>IFERROR(VLOOKUP($BD28,SortedDownload!$B$3:$Z$489,14,FALSE),"")</f>
        <v/>
      </c>
      <c r="BG28" s="230">
        <f>IFERROR(VLOOKUP($BD28,SortedDownload!$B$3:$Z$489,15,FALSE),"")</f>
        <v>246</v>
      </c>
      <c r="BH28" s="230">
        <f>IFERROR(VLOOKUP($BD28,SortedDownload!$B$3:$Z$489,16,FALSE),"")</f>
        <v>243</v>
      </c>
      <c r="BI28" s="230" t="str">
        <f>IFERROR(VLOOKUP($BD28,SortedDownload!$B$3:$Z$489,17,FALSE),"")</f>
        <v/>
      </c>
      <c r="BJ28" s="230">
        <f>IFERROR(VLOOKUP($BD28,SortedDownload!$B$3:$Z$489,18,FALSE),"")</f>
        <v>239</v>
      </c>
      <c r="BK28" s="230" t="str">
        <f>IFERROR(VLOOKUP($BD28,SortedDownload!$B$3:$Z$489,19,FALSE),"")</f>
        <v/>
      </c>
      <c r="BL28" s="230" t="str">
        <f>IFERROR(VLOOKUP($BD28,SortedDownload!$B$3:$Z$489,20,FALSE),"")</f>
        <v/>
      </c>
      <c r="BM28" s="230" t="str">
        <f>IFERROR(VLOOKUP($BD28,SortedDownload!$B$3:$Z$489,21,FALSE),"")</f>
        <v/>
      </c>
      <c r="BS28" s="230"/>
      <c r="BT28" s="230"/>
      <c r="BU28" s="230"/>
      <c r="BV28" s="230"/>
      <c r="BW28" s="230" t="str">
        <f>IFERROR(VLOOKUP($BQ28,SortedDownload!$B$3:$Z$489,18,FALSE),"")</f>
        <v/>
      </c>
      <c r="BX28" s="230" t="str">
        <f>IFERROR(VLOOKUP($BQ28,SortedDownload!$B$3:$Z$489,19,FALSE),"")</f>
        <v/>
      </c>
      <c r="BY28" s="230" t="str">
        <f>IFERROR(VLOOKUP($BQ28,SortedDownload!$B$3:$Z$489,20,FALSE),"")</f>
        <v/>
      </c>
      <c r="BZ28" s="230" t="str">
        <f>IFERROR(VLOOKUP($BQ28,SortedDownload!$B$3:$Z$489,21,FALSE),"")</f>
        <v/>
      </c>
    </row>
    <row r="29" spans="2:78">
      <c r="B29">
        <v>26</v>
      </c>
      <c r="C29">
        <f>IFERROR(VLOOKUP($B29,OverallResults!$B$3:$Z$508,2,FALSE),"")</f>
        <v>5</v>
      </c>
      <c r="D29" t="str">
        <f>IFERROR(VLOOKUP($B29,OverallResults!$B$3:$Z$508,3,FALSE),"")</f>
        <v>Zander Du Plessis</v>
      </c>
      <c r="E29" t="str">
        <f>IFERROR(TEXT(VLOOKUP($B29,OverallResults!$B$3:$Z$489,17,FALSE),"[h]:mm:ss.0"),"")</f>
        <v>0:18:48.9</v>
      </c>
      <c r="F29" s="230">
        <f>IFERROR(VLOOKUP($D29,SortedDownload!$B$3:$Z$489,14,FALSE),"")</f>
        <v>7</v>
      </c>
      <c r="G29" s="230">
        <f>IFERROR(VLOOKUP($D29,SortedDownload!$B$3:$Z$489,15,FALSE),"")</f>
        <v>11</v>
      </c>
      <c r="H29" s="230">
        <f>IFERROR(VLOOKUP($D29,SortedDownload!$B$3:$Z$489,16,FALSE),"")</f>
        <v>8</v>
      </c>
      <c r="I29" s="230">
        <f>IFERROR(VLOOKUP($D29,SortedDownload!$B$3:$Z$489,17,FALSE),"")</f>
        <v>14</v>
      </c>
      <c r="J29" s="230">
        <f>IFERROR(VLOOKUP($D29,SortedDownload!$B$3:$Z$489,18,FALSE),"")</f>
        <v>152</v>
      </c>
      <c r="K29" s="230" t="str">
        <f>IFERROR(VLOOKUP($D29,SortedDownload!$B$3:$Z$489,19,FALSE),"")</f>
        <v/>
      </c>
      <c r="L29" s="230" t="str">
        <f>IFERROR(VLOOKUP($D29,SortedDownload!$B$3:$Z$489,20,FALSE),"")</f>
        <v/>
      </c>
      <c r="M29" s="230" t="str">
        <f>IFERROR(VLOOKUP($D29,SortedDownload!$B$3:$Z$489,21,FALSE),"")</f>
        <v/>
      </c>
      <c r="O29">
        <v>76</v>
      </c>
      <c r="P29">
        <f>IFERROR(VLOOKUP($O29,OverallResults!$B$3:$Z$508,2,FALSE),"")</f>
        <v>20</v>
      </c>
      <c r="Q29" t="str">
        <f>IFERROR(VLOOKUP($O29,OverallResults!$B$3:$Z$508,3,FALSE),"")</f>
        <v>Jean-Pierre Whitfield</v>
      </c>
      <c r="R29" t="str">
        <f>IFERROR(TEXT(VLOOKUP($O29,OverallResults!$B$3:$Z$489,17,FALSE),"[h]:mm:ss.0"),"")</f>
        <v>0:21:32.8</v>
      </c>
      <c r="S29" s="230">
        <f>IFERROR(VLOOKUP($Q29,SortedDownload!$B$3:$Z$489,14,FALSE),"")</f>
        <v>55</v>
      </c>
      <c r="T29" s="230">
        <f>IFERROR(VLOOKUP($Q29,SortedDownload!$B$3:$Z$489,15,FALSE),"")</f>
        <v>96</v>
      </c>
      <c r="U29" s="230">
        <f>IFERROR(VLOOKUP($Q29,SortedDownload!$B$3:$Z$489,16,FALSE),"")</f>
        <v>92</v>
      </c>
      <c r="V29" s="230">
        <f>IFERROR(VLOOKUP($Q29,SortedDownload!$B$3:$Z$489,17,FALSE),"")</f>
        <v>96</v>
      </c>
      <c r="W29" s="230">
        <f>IFERROR(VLOOKUP($Q29,SortedDownload!$B$3:$Z$489,18,FALSE),"")</f>
        <v>119</v>
      </c>
      <c r="X29" s="230" t="str">
        <f>IFERROR(VLOOKUP($Q29,SortedDownload!$B$3:$Z$489,19,FALSE),"")</f>
        <v/>
      </c>
      <c r="Y29" s="230" t="str">
        <f>IFERROR(VLOOKUP($Q29,SortedDownload!$B$3:$Z$489,20,FALSE),"")</f>
        <v/>
      </c>
      <c r="Z29" s="230" t="str">
        <f>IFERROR(VLOOKUP($Q29,SortedDownload!$B$3:$Z$489,21,FALSE),"")</f>
        <v/>
      </c>
      <c r="AB29">
        <v>126</v>
      </c>
      <c r="AC29">
        <f>IFERROR(VLOOKUP($AB29,OverallResults!$B$3:$Z$508,2,FALSE),"")</f>
        <v>29</v>
      </c>
      <c r="AD29" t="str">
        <f>IFERROR(VLOOKUP($AB29,OverallResults!$B$3:$Z$508,3,FALSE),"")</f>
        <v>Marc Van Der Meer</v>
      </c>
      <c r="AE29" t="str">
        <f>IFERROR(TEXT(VLOOKUP($AB29,OverallResults!$B$3:$Z$489,17,FALSE),"[h]:mm:ss.0"),"")</f>
        <v>0:27:01.9</v>
      </c>
      <c r="AF29" s="230">
        <f>IFERROR(VLOOKUP($AD29,SortedDownload!$B$3:$Z$489,14,FALSE),"")</f>
        <v>133</v>
      </c>
      <c r="AG29" s="230">
        <f>IFERROR(VLOOKUP($AD29,SortedDownload!$B$3:$Z$489,15,FALSE),"")</f>
        <v>198</v>
      </c>
      <c r="AH29" s="230">
        <f>IFERROR(VLOOKUP($AD29,SortedDownload!$B$3:$Z$489,16,FALSE),"")</f>
        <v>173</v>
      </c>
      <c r="AI29" s="230">
        <f>IFERROR(VLOOKUP($AD29,SortedDownload!$B$3:$Z$489,17,FALSE),"")</f>
        <v>127</v>
      </c>
      <c r="AJ29" s="230">
        <f>IFERROR(VLOOKUP($AD29,SortedDownload!$B$3:$Z$489,18,FALSE),"")</f>
        <v>205</v>
      </c>
      <c r="AK29" s="230" t="str">
        <f>IFERROR(VLOOKUP($AD29,SortedDownload!$B$3:$Z$489,19,FALSE),"")</f>
        <v/>
      </c>
      <c r="AL29" s="230" t="str">
        <f>IFERROR(VLOOKUP($AD29,SortedDownload!$B$3:$Z$489,20,FALSE),"")</f>
        <v/>
      </c>
      <c r="AM29" s="230" t="str">
        <f>IFERROR(VLOOKUP($AD29,SortedDownload!$B$3:$Z$489,21,FALSE),"")</f>
        <v/>
      </c>
      <c r="AO29">
        <v>176</v>
      </c>
      <c r="AP29">
        <f>IFERROR(VLOOKUP($AO29,OverallResults!$B$3:$Z$508,2,FALSE),"")</f>
        <v>24</v>
      </c>
      <c r="AQ29" t="str">
        <f>IFERROR(VLOOKUP($AO29,OverallResults!$B$3:$Z$508,3,FALSE),"")</f>
        <v>Andrew Hunter</v>
      </c>
      <c r="AR29" t="str">
        <f>IFERROR(TEXT(VLOOKUP($AO29,OverallResults!$B$3:$Z$489,17,FALSE),"[h]:mm:ss.0"),"")</f>
        <v>0:13:54.3</v>
      </c>
      <c r="AS29" s="230" t="str">
        <f>IFERROR(VLOOKUP($AQ29,SortedDownload!$B$3:$Z$489,14,FALSE),"")</f>
        <v/>
      </c>
      <c r="AT29" s="230">
        <f>IFERROR(VLOOKUP($AQ29,SortedDownload!$B$3:$Z$489,15,FALSE),"")</f>
        <v>187</v>
      </c>
      <c r="AU29" s="230">
        <f>IFERROR(VLOOKUP($AQ29,SortedDownload!$B$3:$Z$489,16,FALSE),"")</f>
        <v>189</v>
      </c>
      <c r="AV29" s="230" t="str">
        <f>IFERROR(VLOOKUP($AQ29,SortedDownload!$B$3:$Z$489,17,FALSE),"")</f>
        <v/>
      </c>
      <c r="AW29" s="230">
        <f>IFERROR(VLOOKUP($AQ29,SortedDownload!$B$3:$Z$489,18,FALSE),"")</f>
        <v>167</v>
      </c>
      <c r="AX29" s="230" t="str">
        <f>IFERROR(VLOOKUP($AQ29,SortedDownload!$B$3:$Z$489,19,FALSE),"")</f>
        <v/>
      </c>
      <c r="AY29" s="230" t="str">
        <f>IFERROR(VLOOKUP($AQ29,SortedDownload!$B$3:$Z$489,20,FALSE),"")</f>
        <v/>
      </c>
      <c r="AZ29" s="230" t="str">
        <f>IFERROR(VLOOKUP($AQ29,SortedDownload!$B$3:$Z$489,21,FALSE),"")</f>
        <v/>
      </c>
      <c r="BB29">
        <v>226</v>
      </c>
      <c r="BC29">
        <f>IFERROR(VLOOKUP($BB29,OverallResults!$B$3:$Z$508,2,FALSE),"")</f>
        <v>53</v>
      </c>
      <c r="BD29" t="str">
        <f>IFERROR(VLOOKUP($BB29,OverallResults!$B$3:$Z$508,3,FALSE),"")</f>
        <v>Morne Share</v>
      </c>
      <c r="BE29" t="str">
        <f>IFERROR(TEXT(VLOOKUP($BB29,OverallResults!$B$3:$Z$489,17,FALSE),"[h]:mm:ss.0"),"")</f>
        <v>0:18:51.5</v>
      </c>
      <c r="BF29" s="230" t="str">
        <f>IFERROR(VLOOKUP($BD29,SortedDownload!$B$3:$Z$489,14,FALSE),"")</f>
        <v/>
      </c>
      <c r="BG29" s="230">
        <f>IFERROR(VLOOKUP($BD29,SortedDownload!$B$3:$Z$489,15,FALSE),"")</f>
        <v>247</v>
      </c>
      <c r="BH29" s="230">
        <f>IFERROR(VLOOKUP($BD29,SortedDownload!$B$3:$Z$489,16,FALSE),"")</f>
        <v>247</v>
      </c>
      <c r="BI29" s="230" t="str">
        <f>IFERROR(VLOOKUP($BD29,SortedDownload!$B$3:$Z$489,17,FALSE),"")</f>
        <v/>
      </c>
      <c r="BJ29" s="230">
        <f>IFERROR(VLOOKUP($BD29,SortedDownload!$B$3:$Z$489,18,FALSE),"")</f>
        <v>234</v>
      </c>
      <c r="BK29" s="230" t="str">
        <f>IFERROR(VLOOKUP($BD29,SortedDownload!$B$3:$Z$489,19,FALSE),"")</f>
        <v/>
      </c>
      <c r="BL29" s="230" t="str">
        <f>IFERROR(VLOOKUP($BD29,SortedDownload!$B$3:$Z$489,20,FALSE),"")</f>
        <v/>
      </c>
      <c r="BM29" s="230" t="str">
        <f>IFERROR(VLOOKUP($BD29,SortedDownload!$B$3:$Z$489,21,FALSE),"")</f>
        <v/>
      </c>
      <c r="BS29" s="230"/>
      <c r="BT29" s="230"/>
      <c r="BU29" s="230"/>
      <c r="BV29" s="230"/>
      <c r="BW29" s="230" t="str">
        <f>IFERROR(VLOOKUP($BQ29,SortedDownload!$B$3:$Z$489,18,FALSE),"")</f>
        <v/>
      </c>
      <c r="BX29" s="230" t="str">
        <f>IFERROR(VLOOKUP($BQ29,SortedDownload!$B$3:$Z$489,19,FALSE),"")</f>
        <v/>
      </c>
      <c r="BY29" s="230" t="str">
        <f>IFERROR(VLOOKUP($BQ29,SortedDownload!$B$3:$Z$489,20,FALSE),"")</f>
        <v/>
      </c>
      <c r="BZ29" s="230" t="str">
        <f>IFERROR(VLOOKUP($BQ29,SortedDownload!$B$3:$Z$489,21,FALSE),"")</f>
        <v/>
      </c>
    </row>
    <row r="30" spans="2:78">
      <c r="B30">
        <v>27</v>
      </c>
      <c r="C30">
        <f>IFERROR(VLOOKUP($B30,OverallResults!$B$3:$Z$508,2,FALSE),"")</f>
        <v>5</v>
      </c>
      <c r="D30" t="str">
        <f>IFERROR(VLOOKUP($B30,OverallResults!$B$3:$Z$508,3,FALSE),"")</f>
        <v>Jacobus Johannes Veldsman</v>
      </c>
      <c r="E30" t="str">
        <f>IFERROR(TEXT(VLOOKUP($B30,OverallResults!$B$3:$Z$489,17,FALSE),"[h]:mm:ss.0"),"")</f>
        <v>0:18:50.6</v>
      </c>
      <c r="F30" s="230">
        <f>IFERROR(VLOOKUP($D30,SortedDownload!$B$3:$Z$489,14,FALSE),"")</f>
        <v>31</v>
      </c>
      <c r="G30" s="230">
        <f>IFERROR(VLOOKUP($D30,SortedDownload!$B$3:$Z$489,15,FALSE),"")</f>
        <v>31</v>
      </c>
      <c r="H30" s="230">
        <f>IFERROR(VLOOKUP($D30,SortedDownload!$B$3:$Z$489,16,FALSE),"")</f>
        <v>41</v>
      </c>
      <c r="I30" s="230">
        <f>IFERROR(VLOOKUP($D30,SortedDownload!$B$3:$Z$489,17,FALSE),"")</f>
        <v>28</v>
      </c>
      <c r="J30" s="230">
        <f>IFERROR(VLOOKUP($D30,SortedDownload!$B$3:$Z$489,18,FALSE),"")</f>
        <v>27</v>
      </c>
      <c r="K30" s="230" t="str">
        <f>IFERROR(VLOOKUP($D30,SortedDownload!$B$3:$Z$489,19,FALSE),"")</f>
        <v/>
      </c>
      <c r="L30" s="230" t="str">
        <f>IFERROR(VLOOKUP($D30,SortedDownload!$B$3:$Z$489,20,FALSE),"")</f>
        <v/>
      </c>
      <c r="M30" s="230" t="str">
        <f>IFERROR(VLOOKUP($D30,SortedDownload!$B$3:$Z$489,21,FALSE),"")</f>
        <v/>
      </c>
      <c r="O30">
        <v>77</v>
      </c>
      <c r="P30">
        <f>IFERROR(VLOOKUP($O30,OverallResults!$B$3:$Z$508,2,FALSE),"")</f>
        <v>10</v>
      </c>
      <c r="Q30" t="str">
        <f>IFERROR(VLOOKUP($O30,OverallResults!$B$3:$Z$508,3,FALSE),"")</f>
        <v>Matthew Halbert</v>
      </c>
      <c r="R30" t="str">
        <f>IFERROR(TEXT(VLOOKUP($O30,OverallResults!$B$3:$Z$489,17,FALSE),"[h]:mm:ss.0"),"")</f>
        <v>0:21:38.0</v>
      </c>
      <c r="S30" s="230">
        <f>IFERROR(VLOOKUP($Q30,SortedDownload!$B$3:$Z$489,14,FALSE),"")</f>
        <v>105</v>
      </c>
      <c r="T30" s="230">
        <f>IFERROR(VLOOKUP($Q30,SortedDownload!$B$3:$Z$489,15,FALSE),"")</f>
        <v>93</v>
      </c>
      <c r="U30" s="230">
        <f>IFERROR(VLOOKUP($Q30,SortedDownload!$B$3:$Z$489,16,FALSE),"")</f>
        <v>80</v>
      </c>
      <c r="V30" s="230">
        <f>IFERROR(VLOOKUP($Q30,SortedDownload!$B$3:$Z$489,17,FALSE),"")</f>
        <v>71</v>
      </c>
      <c r="W30" s="230">
        <f>IFERROR(VLOOKUP($Q30,SortedDownload!$B$3:$Z$489,18,FALSE),"")</f>
        <v>81</v>
      </c>
      <c r="X30" s="230" t="str">
        <f>IFERROR(VLOOKUP($Q30,SortedDownload!$B$3:$Z$489,19,FALSE),"")</f>
        <v/>
      </c>
      <c r="Y30" s="230" t="str">
        <f>IFERROR(VLOOKUP($Q30,SortedDownload!$B$3:$Z$489,20,FALSE),"")</f>
        <v/>
      </c>
      <c r="Z30" s="230" t="str">
        <f>IFERROR(VLOOKUP($Q30,SortedDownload!$B$3:$Z$489,21,FALSE),"")</f>
        <v/>
      </c>
      <c r="AB30">
        <v>127</v>
      </c>
      <c r="AC30">
        <f>IFERROR(VLOOKUP($AB30,OverallResults!$B$3:$Z$508,2,FALSE),"")</f>
        <v>39</v>
      </c>
      <c r="AD30" t="str">
        <f>IFERROR(VLOOKUP($AB30,OverallResults!$B$3:$Z$508,3,FALSE),"")</f>
        <v>Nicholas Thompson</v>
      </c>
      <c r="AE30" t="str">
        <f>IFERROR(TEXT(VLOOKUP($AB30,OverallResults!$B$3:$Z$489,17,FALSE),"[h]:mm:ss.0"),"")</f>
        <v>0:27:30.3</v>
      </c>
      <c r="AF30" s="230">
        <f>IFERROR(VLOOKUP($AD30,SortedDownload!$B$3:$Z$489,14,FALSE),"")</f>
        <v>129</v>
      </c>
      <c r="AG30" s="230">
        <f>IFERROR(VLOOKUP($AD30,SortedDownload!$B$3:$Z$489,15,FALSE),"")</f>
        <v>193</v>
      </c>
      <c r="AH30" s="230">
        <f>IFERROR(VLOOKUP($AD30,SortedDownload!$B$3:$Z$489,16,FALSE),"")</f>
        <v>215</v>
      </c>
      <c r="AI30" s="230">
        <f>IFERROR(VLOOKUP($AD30,SortedDownload!$B$3:$Z$489,17,FALSE),"")</f>
        <v>132</v>
      </c>
      <c r="AJ30" s="230">
        <f>IFERROR(VLOOKUP($AD30,SortedDownload!$B$3:$Z$489,18,FALSE),"")</f>
        <v>211</v>
      </c>
      <c r="AK30" s="230" t="str">
        <f>IFERROR(VLOOKUP($AD30,SortedDownload!$B$3:$Z$489,19,FALSE),"")</f>
        <v/>
      </c>
      <c r="AL30" s="230" t="str">
        <f>IFERROR(VLOOKUP($AD30,SortedDownload!$B$3:$Z$489,20,FALSE),"")</f>
        <v/>
      </c>
      <c r="AM30" s="230" t="str">
        <f>IFERROR(VLOOKUP($AD30,SortedDownload!$B$3:$Z$489,21,FALSE),"")</f>
        <v/>
      </c>
      <c r="AO30">
        <v>177</v>
      </c>
      <c r="AP30">
        <f>IFERROR(VLOOKUP($AO30,OverallResults!$B$3:$Z$508,2,FALSE),"")</f>
        <v>1</v>
      </c>
      <c r="AQ30" t="str">
        <f>IFERROR(VLOOKUP($AO30,OverallResults!$B$3:$Z$508,3,FALSE),"")</f>
        <v>James Marais</v>
      </c>
      <c r="AR30" t="str">
        <f>IFERROR(TEXT(VLOOKUP($AO30,OverallResults!$B$3:$Z$489,17,FALSE),"[h]:mm:ss.0"),"")</f>
        <v>0:13:55.0</v>
      </c>
      <c r="AS30" s="230" t="str">
        <f>IFERROR(VLOOKUP($AQ30,SortedDownload!$B$3:$Z$489,14,FALSE),"")</f>
        <v/>
      </c>
      <c r="AT30" s="230">
        <f>IFERROR(VLOOKUP($AQ30,SortedDownload!$B$3:$Z$489,15,FALSE),"")</f>
        <v>159</v>
      </c>
      <c r="AU30" s="230">
        <f>IFERROR(VLOOKUP($AQ30,SortedDownload!$B$3:$Z$489,16,FALSE),"")</f>
        <v>201</v>
      </c>
      <c r="AV30" s="230" t="str">
        <f>IFERROR(VLOOKUP($AQ30,SortedDownload!$B$3:$Z$489,17,FALSE),"")</f>
        <v/>
      </c>
      <c r="AW30" s="230">
        <f>IFERROR(VLOOKUP($AQ30,SortedDownload!$B$3:$Z$489,18,FALSE),"")</f>
        <v>178</v>
      </c>
      <c r="AX30" s="230" t="str">
        <f>IFERROR(VLOOKUP($AQ30,SortedDownload!$B$3:$Z$489,19,FALSE),"")</f>
        <v/>
      </c>
      <c r="AY30" s="230" t="str">
        <f>IFERROR(VLOOKUP($AQ30,SortedDownload!$B$3:$Z$489,20,FALSE),"")</f>
        <v/>
      </c>
      <c r="AZ30" s="230" t="str">
        <f>IFERROR(VLOOKUP($AQ30,SortedDownload!$B$3:$Z$489,21,FALSE),"")</f>
        <v/>
      </c>
      <c r="BB30">
        <v>227</v>
      </c>
      <c r="BC30">
        <f>IFERROR(VLOOKUP($BB30,OverallResults!$B$3:$Z$508,2,FALSE),"")</f>
        <v>54</v>
      </c>
      <c r="BD30" t="str">
        <f>IFERROR(VLOOKUP($BB30,OverallResults!$B$3:$Z$508,3,FALSE),"")</f>
        <v>Rushdie Lagardien</v>
      </c>
      <c r="BE30" t="str">
        <f>IFERROR(TEXT(VLOOKUP($BB30,OverallResults!$B$3:$Z$489,17,FALSE),"[h]:mm:ss.0"),"")</f>
        <v>0:20:05.7</v>
      </c>
      <c r="BF30" s="230" t="str">
        <f>IFERROR(VLOOKUP($BD30,SortedDownload!$B$3:$Z$489,14,FALSE),"")</f>
        <v/>
      </c>
      <c r="BG30" s="230">
        <f>IFERROR(VLOOKUP($BD30,SortedDownload!$B$3:$Z$489,15,FALSE),"")</f>
        <v>251</v>
      </c>
      <c r="BH30" s="230">
        <f>IFERROR(VLOOKUP($BD30,SortedDownload!$B$3:$Z$489,16,FALSE),"")</f>
        <v>240</v>
      </c>
      <c r="BI30" s="230" t="str">
        <f>IFERROR(VLOOKUP($BD30,SortedDownload!$B$3:$Z$489,17,FALSE),"")</f>
        <v/>
      </c>
      <c r="BJ30" s="230">
        <f>IFERROR(VLOOKUP($BD30,SortedDownload!$B$3:$Z$489,18,FALSE),"")</f>
        <v>241</v>
      </c>
      <c r="BK30" s="230" t="str">
        <f>IFERROR(VLOOKUP($BD30,SortedDownload!$B$3:$Z$489,19,FALSE),"")</f>
        <v/>
      </c>
      <c r="BL30" s="230" t="str">
        <f>IFERROR(VLOOKUP($BD30,SortedDownload!$B$3:$Z$489,20,FALSE),"")</f>
        <v/>
      </c>
      <c r="BM30" s="230" t="str">
        <f>IFERROR(VLOOKUP($BD30,SortedDownload!$B$3:$Z$489,21,FALSE),"")</f>
        <v/>
      </c>
      <c r="BS30" s="230"/>
      <c r="BT30" s="230"/>
      <c r="BU30" s="230"/>
      <c r="BV30" s="230"/>
      <c r="BW30" s="230" t="str">
        <f>IFERROR(VLOOKUP($BQ30,SortedDownload!$B$3:$Z$489,18,FALSE),"")</f>
        <v/>
      </c>
      <c r="BX30" s="230" t="str">
        <f>IFERROR(VLOOKUP($BQ30,SortedDownload!$B$3:$Z$489,19,FALSE),"")</f>
        <v/>
      </c>
      <c r="BY30" s="230" t="str">
        <f>IFERROR(VLOOKUP($BQ30,SortedDownload!$B$3:$Z$489,20,FALSE),"")</f>
        <v/>
      </c>
      <c r="BZ30" s="230" t="str">
        <f>IFERROR(VLOOKUP($BQ30,SortedDownload!$B$3:$Z$489,21,FALSE),"")</f>
        <v/>
      </c>
    </row>
    <row r="31" spans="2:78">
      <c r="B31">
        <v>28</v>
      </c>
      <c r="C31">
        <f>IFERROR(VLOOKUP($B31,OverallResults!$B$3:$Z$508,2,FALSE),"")</f>
        <v>6</v>
      </c>
      <c r="D31" t="str">
        <f>IFERROR(VLOOKUP($B31,OverallResults!$B$3:$Z$508,3,FALSE),"")</f>
        <v>Luca Zietsman</v>
      </c>
      <c r="E31" t="str">
        <f>IFERROR(TEXT(VLOOKUP($B31,OverallResults!$B$3:$Z$489,17,FALSE),"[h]:mm:ss.0"),"")</f>
        <v>0:18:51.5</v>
      </c>
      <c r="F31" s="230">
        <f>IFERROR(VLOOKUP($D31,SortedDownload!$B$3:$Z$489,14,FALSE),"")</f>
        <v>28</v>
      </c>
      <c r="G31" s="230">
        <f>IFERROR(VLOOKUP($D31,SortedDownload!$B$3:$Z$489,15,FALSE),"")</f>
        <v>32</v>
      </c>
      <c r="H31" s="230">
        <f>IFERROR(VLOOKUP($D31,SortedDownload!$B$3:$Z$489,16,FALSE),"")</f>
        <v>33</v>
      </c>
      <c r="I31" s="230">
        <f>IFERROR(VLOOKUP($D31,SortedDownload!$B$3:$Z$489,17,FALSE),"")</f>
        <v>34</v>
      </c>
      <c r="J31" s="230">
        <f>IFERROR(VLOOKUP($D31,SortedDownload!$B$3:$Z$489,18,FALSE),"")</f>
        <v>29</v>
      </c>
      <c r="K31" s="230" t="str">
        <f>IFERROR(VLOOKUP($D31,SortedDownload!$B$3:$Z$489,19,FALSE),"")</f>
        <v/>
      </c>
      <c r="L31" s="230" t="str">
        <f>IFERROR(VLOOKUP($D31,SortedDownload!$B$3:$Z$489,20,FALSE),"")</f>
        <v/>
      </c>
      <c r="M31" s="230" t="str">
        <f>IFERROR(VLOOKUP($D31,SortedDownload!$B$3:$Z$489,21,FALSE),"")</f>
        <v/>
      </c>
      <c r="O31">
        <v>78</v>
      </c>
      <c r="P31">
        <f>IFERROR(VLOOKUP($O31,OverallResults!$B$3:$Z$508,2,FALSE),"")</f>
        <v>21</v>
      </c>
      <c r="Q31" t="str">
        <f>IFERROR(VLOOKUP($O31,OverallResults!$B$3:$Z$508,3,FALSE),"")</f>
        <v>Luca Hewitson</v>
      </c>
      <c r="R31" t="str">
        <f>IFERROR(TEXT(VLOOKUP($O31,OverallResults!$B$3:$Z$489,17,FALSE),"[h]:mm:ss.0"),"")</f>
        <v>0:21:40.5</v>
      </c>
      <c r="S31" s="230">
        <f>IFERROR(VLOOKUP($Q31,SortedDownload!$B$3:$Z$489,14,FALSE),"")</f>
        <v>69</v>
      </c>
      <c r="T31" s="230">
        <f>IFERROR(VLOOKUP($Q31,SortedDownload!$B$3:$Z$489,15,FALSE),"")</f>
        <v>112</v>
      </c>
      <c r="U31" s="230">
        <f>IFERROR(VLOOKUP($Q31,SortedDownload!$B$3:$Z$489,16,FALSE),"")</f>
        <v>99</v>
      </c>
      <c r="V31" s="230">
        <f>IFERROR(VLOOKUP($Q31,SortedDownload!$B$3:$Z$489,17,FALSE),"")</f>
        <v>80</v>
      </c>
      <c r="W31" s="230">
        <f>IFERROR(VLOOKUP($Q31,SortedDownload!$B$3:$Z$489,18,FALSE),"")</f>
        <v>123</v>
      </c>
      <c r="X31" s="230" t="str">
        <f>IFERROR(VLOOKUP($Q31,SortedDownload!$B$3:$Z$489,19,FALSE),"")</f>
        <v/>
      </c>
      <c r="Y31" s="230" t="str">
        <f>IFERROR(VLOOKUP($Q31,SortedDownload!$B$3:$Z$489,20,FALSE),"")</f>
        <v/>
      </c>
      <c r="Z31" s="230" t="str">
        <f>IFERROR(VLOOKUP($Q31,SortedDownload!$B$3:$Z$489,21,FALSE),"")</f>
        <v/>
      </c>
      <c r="AB31">
        <v>128</v>
      </c>
      <c r="AC31">
        <f>IFERROR(VLOOKUP($AB31,OverallResults!$B$3:$Z$508,2,FALSE),"")</f>
        <v>27</v>
      </c>
      <c r="AD31" t="str">
        <f>IFERROR(VLOOKUP($AB31,OverallResults!$B$3:$Z$508,3,FALSE),"")</f>
        <v>Jan Cilliers</v>
      </c>
      <c r="AE31" t="str">
        <f>IFERROR(TEXT(VLOOKUP($AB31,OverallResults!$B$3:$Z$489,17,FALSE),"[h]:mm:ss.0"),"")</f>
        <v>0:28:29.1</v>
      </c>
      <c r="AF31" s="230">
        <f>IFERROR(VLOOKUP($AD31,SortedDownload!$B$3:$Z$489,14,FALSE),"")</f>
        <v>131</v>
      </c>
      <c r="AG31" s="230">
        <f>IFERROR(VLOOKUP($AD31,SortedDownload!$B$3:$Z$489,15,FALSE),"")</f>
        <v>224</v>
      </c>
      <c r="AH31" s="230">
        <f>IFERROR(VLOOKUP($AD31,SortedDownload!$B$3:$Z$489,16,FALSE),"")</f>
        <v>206</v>
      </c>
      <c r="AI31" s="230">
        <f>IFERROR(VLOOKUP($AD31,SortedDownload!$B$3:$Z$489,17,FALSE),"")</f>
        <v>131</v>
      </c>
      <c r="AJ31" s="230">
        <f>IFERROR(VLOOKUP($AD31,SortedDownload!$B$3:$Z$489,18,FALSE),"")</f>
        <v>226</v>
      </c>
      <c r="AK31" s="230" t="str">
        <f>IFERROR(VLOOKUP($AD31,SortedDownload!$B$3:$Z$489,19,FALSE),"")</f>
        <v/>
      </c>
      <c r="AL31" s="230" t="str">
        <f>IFERROR(VLOOKUP($AD31,SortedDownload!$B$3:$Z$489,20,FALSE),"")</f>
        <v/>
      </c>
      <c r="AM31" s="230" t="str">
        <f>IFERROR(VLOOKUP($AD31,SortedDownload!$B$3:$Z$489,21,FALSE),"")</f>
        <v/>
      </c>
      <c r="AO31">
        <v>178</v>
      </c>
      <c r="AP31">
        <f>IFERROR(VLOOKUP($AO31,OverallResults!$B$3:$Z$508,2,FALSE),"")</f>
        <v>25</v>
      </c>
      <c r="AQ31" t="str">
        <f>IFERROR(VLOOKUP($AO31,OverallResults!$B$3:$Z$508,3,FALSE),"")</f>
        <v>Marc Dawson</v>
      </c>
      <c r="AR31" t="str">
        <f>IFERROR(TEXT(VLOOKUP($AO31,OverallResults!$B$3:$Z$489,17,FALSE),"[h]:mm:ss.0"),"")</f>
        <v>0:13:59.3</v>
      </c>
      <c r="AS31" s="230" t="str">
        <f>IFERROR(VLOOKUP($AQ31,SortedDownload!$B$3:$Z$489,14,FALSE),"")</f>
        <v/>
      </c>
      <c r="AT31" s="230">
        <f>IFERROR(VLOOKUP($AQ31,SortedDownload!$B$3:$Z$489,15,FALSE),"")</f>
        <v>179</v>
      </c>
      <c r="AU31" s="230">
        <f>IFERROR(VLOOKUP($AQ31,SortedDownload!$B$3:$Z$489,16,FALSE),"")</f>
        <v>203</v>
      </c>
      <c r="AV31" s="230" t="str">
        <f>IFERROR(VLOOKUP($AQ31,SortedDownload!$B$3:$Z$489,17,FALSE),"")</f>
        <v/>
      </c>
      <c r="AW31" s="230">
        <f>IFERROR(VLOOKUP($AQ31,SortedDownload!$B$3:$Z$489,18,FALSE),"")</f>
        <v>173</v>
      </c>
      <c r="AX31" s="230" t="str">
        <f>IFERROR(VLOOKUP($AQ31,SortedDownload!$B$3:$Z$489,19,FALSE),"")</f>
        <v/>
      </c>
      <c r="AY31" s="230" t="str">
        <f>IFERROR(VLOOKUP($AQ31,SortedDownload!$B$3:$Z$489,20,FALSE),"")</f>
        <v/>
      </c>
      <c r="AZ31" s="230" t="str">
        <f>IFERROR(VLOOKUP($AQ31,SortedDownload!$B$3:$Z$489,21,FALSE),"")</f>
        <v/>
      </c>
      <c r="BB31">
        <v>228</v>
      </c>
      <c r="BC31" t="str">
        <f>IFERROR(VLOOKUP($BB31,OverallResults!$B$3:$Z$508,2,FALSE),"")</f>
        <v>DNF</v>
      </c>
      <c r="BD31" t="str">
        <f>IFERROR(VLOOKUP($BB31,OverallResults!$B$3:$Z$508,3,FALSE),"")</f>
        <v/>
      </c>
      <c r="BE31" t="str">
        <f>IFERROR(TEXT(VLOOKUP($BB31,OverallResults!$B$3:$Z$489,17,FALSE),"[h]:mm:ss.0"),"")</f>
        <v/>
      </c>
      <c r="BF31" s="230" t="str">
        <f>IFERROR(VLOOKUP($BD31,SortedDownload!$B$3:$Z$489,14,FALSE),"")</f>
        <v/>
      </c>
      <c r="BG31" s="230" t="str">
        <f>IFERROR(VLOOKUP($BD31,SortedDownload!$B$3:$Z$489,15,FALSE),"")</f>
        <v/>
      </c>
      <c r="BH31" s="230" t="str">
        <f>IFERROR(VLOOKUP($BD31,SortedDownload!$B$3:$Z$489,16,FALSE),"")</f>
        <v/>
      </c>
      <c r="BI31" s="230" t="str">
        <f>IFERROR(VLOOKUP($BD31,SortedDownload!$B$3:$Z$489,17,FALSE),"")</f>
        <v/>
      </c>
      <c r="BJ31" s="230" t="str">
        <f>IFERROR(VLOOKUP($BD31,SortedDownload!$B$3:$Z$489,18,FALSE),"")</f>
        <v/>
      </c>
      <c r="BK31" s="230" t="str">
        <f>IFERROR(VLOOKUP($BD31,SortedDownload!$B$3:$Z$489,19,FALSE),"")</f>
        <v/>
      </c>
      <c r="BL31" s="230" t="str">
        <f>IFERROR(VLOOKUP($BD31,SortedDownload!$B$3:$Z$489,20,FALSE),"")</f>
        <v/>
      </c>
      <c r="BM31" s="230" t="str">
        <f>IFERROR(VLOOKUP($BD31,SortedDownload!$B$3:$Z$489,21,FALSE),"")</f>
        <v/>
      </c>
      <c r="BS31" s="230"/>
      <c r="BT31" s="230"/>
      <c r="BU31" s="230"/>
      <c r="BV31" s="230"/>
      <c r="BW31" s="230" t="str">
        <f>IFERROR(VLOOKUP($BQ31,SortedDownload!$B$3:$Z$489,18,FALSE),"")</f>
        <v/>
      </c>
      <c r="BX31" s="230" t="str">
        <f>IFERROR(VLOOKUP($BQ31,SortedDownload!$B$3:$Z$489,19,FALSE),"")</f>
        <v/>
      </c>
      <c r="BY31" s="230" t="str">
        <f>IFERROR(VLOOKUP($BQ31,SortedDownload!$B$3:$Z$489,20,FALSE),"")</f>
        <v/>
      </c>
      <c r="BZ31" s="230" t="str">
        <f>IFERROR(VLOOKUP($BQ31,SortedDownload!$B$3:$Z$489,21,FALSE),"")</f>
        <v/>
      </c>
    </row>
    <row r="32" spans="2:78">
      <c r="B32">
        <v>29</v>
      </c>
      <c r="C32">
        <f>IFERROR(VLOOKUP($B32,OverallResults!$B$3:$Z$508,2,FALSE),"")</f>
        <v>7</v>
      </c>
      <c r="D32" t="str">
        <f>IFERROR(VLOOKUP($B32,OverallResults!$B$3:$Z$508,3,FALSE),"")</f>
        <v>Myndert Laubscher</v>
      </c>
      <c r="E32" t="str">
        <f>IFERROR(TEXT(VLOOKUP($B32,OverallResults!$B$3:$Z$489,17,FALSE),"[h]:mm:ss.0"),"")</f>
        <v>0:18:54.3</v>
      </c>
      <c r="F32" s="230">
        <f>IFERROR(VLOOKUP($D32,SortedDownload!$B$3:$Z$489,14,FALSE),"")</f>
        <v>18</v>
      </c>
      <c r="G32" s="230">
        <f>IFERROR(VLOOKUP($D32,SortedDownload!$B$3:$Z$489,15,FALSE),"")</f>
        <v>37</v>
      </c>
      <c r="H32" s="230">
        <f>IFERROR(VLOOKUP($D32,SortedDownload!$B$3:$Z$489,16,FALSE),"")</f>
        <v>36</v>
      </c>
      <c r="I32" s="230">
        <f>IFERROR(VLOOKUP($D32,SortedDownload!$B$3:$Z$489,17,FALSE),"")</f>
        <v>40</v>
      </c>
      <c r="J32" s="230">
        <f>IFERROR(VLOOKUP($D32,SortedDownload!$B$3:$Z$489,18,FALSE),"")</f>
        <v>40</v>
      </c>
      <c r="K32" s="230" t="str">
        <f>IFERROR(VLOOKUP($D32,SortedDownload!$B$3:$Z$489,19,FALSE),"")</f>
        <v/>
      </c>
      <c r="L32" s="230" t="str">
        <f>IFERROR(VLOOKUP($D32,SortedDownload!$B$3:$Z$489,20,FALSE),"")</f>
        <v/>
      </c>
      <c r="M32" s="230" t="str">
        <f>IFERROR(VLOOKUP($D32,SortedDownload!$B$3:$Z$489,21,FALSE),"")</f>
        <v/>
      </c>
      <c r="O32">
        <v>79</v>
      </c>
      <c r="P32">
        <f>IFERROR(VLOOKUP($O32,OverallResults!$B$3:$Z$508,2,FALSE),"")</f>
        <v>2</v>
      </c>
      <c r="Q32" t="str">
        <f>IFERROR(VLOOKUP($O32,OverallResults!$B$3:$Z$508,3,FALSE),"")</f>
        <v>Jessi Nixon</v>
      </c>
      <c r="R32" t="str">
        <f>IFERROR(TEXT(VLOOKUP($O32,OverallResults!$B$3:$Z$489,17,FALSE),"[h]:mm:ss.0"),"")</f>
        <v>0:21:42.6</v>
      </c>
      <c r="S32" s="230">
        <f>IFERROR(VLOOKUP($Q32,SortedDownload!$B$3:$Z$489,14,FALSE),"")</f>
        <v>72</v>
      </c>
      <c r="T32" s="230">
        <f>IFERROR(VLOOKUP($Q32,SortedDownload!$B$3:$Z$489,15,FALSE),"")</f>
        <v>111</v>
      </c>
      <c r="U32" s="230">
        <f>IFERROR(VLOOKUP($Q32,SortedDownload!$B$3:$Z$489,16,FALSE),"")</f>
        <v>95</v>
      </c>
      <c r="V32" s="230">
        <f>IFERROR(VLOOKUP($Q32,SortedDownload!$B$3:$Z$489,17,FALSE),"")</f>
        <v>86</v>
      </c>
      <c r="W32" s="230">
        <f>IFERROR(VLOOKUP($Q32,SortedDownload!$B$3:$Z$489,18,FALSE),"")</f>
        <v>112</v>
      </c>
      <c r="X32" s="230" t="str">
        <f>IFERROR(VLOOKUP($Q32,SortedDownload!$B$3:$Z$489,19,FALSE),"")</f>
        <v/>
      </c>
      <c r="Y32" s="230" t="str">
        <f>IFERROR(VLOOKUP($Q32,SortedDownload!$B$3:$Z$489,20,FALSE),"")</f>
        <v/>
      </c>
      <c r="Z32" s="230" t="str">
        <f>IFERROR(VLOOKUP($Q32,SortedDownload!$B$3:$Z$489,21,FALSE),"")</f>
        <v/>
      </c>
      <c r="AB32">
        <v>129</v>
      </c>
      <c r="AC32">
        <f>IFERROR(VLOOKUP($AB32,OverallResults!$B$3:$Z$508,2,FALSE),"")</f>
        <v>30</v>
      </c>
      <c r="AD32" t="str">
        <f>IFERROR(VLOOKUP($AB32,OverallResults!$B$3:$Z$508,3,FALSE),"")</f>
        <v>Devon Coombe</v>
      </c>
      <c r="AE32" t="str">
        <f>IFERROR(TEXT(VLOOKUP($AB32,OverallResults!$B$3:$Z$489,17,FALSE),"[h]:mm:ss.0"),"")</f>
        <v>0:32:09.0</v>
      </c>
      <c r="AF32" s="230">
        <f>IFERROR(VLOOKUP($AD32,SortedDownload!$B$3:$Z$489,14,FALSE),"")</f>
        <v>140</v>
      </c>
      <c r="AG32" s="230">
        <f>IFERROR(VLOOKUP($AD32,SortedDownload!$B$3:$Z$489,15,FALSE),"")</f>
        <v>185</v>
      </c>
      <c r="AH32" s="230">
        <f>IFERROR(VLOOKUP($AD32,SortedDownload!$B$3:$Z$489,16,FALSE),"")</f>
        <v>223</v>
      </c>
      <c r="AI32" s="230">
        <f>IFERROR(VLOOKUP($AD32,SortedDownload!$B$3:$Z$489,17,FALSE),"")</f>
        <v>130</v>
      </c>
      <c r="AJ32" s="230">
        <f>IFERROR(VLOOKUP($AD32,SortedDownload!$B$3:$Z$489,18,FALSE),"")</f>
        <v>181</v>
      </c>
      <c r="AK32" s="230" t="str">
        <f>IFERROR(VLOOKUP($AD32,SortedDownload!$B$3:$Z$489,19,FALSE),"")</f>
        <v/>
      </c>
      <c r="AL32" s="230" t="str">
        <f>IFERROR(VLOOKUP($AD32,SortedDownload!$B$3:$Z$489,20,FALSE),"")</f>
        <v/>
      </c>
      <c r="AM32" s="230" t="str">
        <f>IFERROR(VLOOKUP($AD32,SortedDownload!$B$3:$Z$489,21,FALSE),"")</f>
        <v/>
      </c>
      <c r="AO32">
        <v>179</v>
      </c>
      <c r="AP32">
        <f>IFERROR(VLOOKUP($AO32,OverallResults!$B$3:$Z$508,2,FALSE),"")</f>
        <v>26</v>
      </c>
      <c r="AQ32" t="str">
        <f>IFERROR(VLOOKUP($AO32,OverallResults!$B$3:$Z$508,3,FALSE),"")</f>
        <v>Rezah Levy</v>
      </c>
      <c r="AR32" t="str">
        <f>IFERROR(TEXT(VLOOKUP($AO32,OverallResults!$B$3:$Z$489,17,FALSE),"[h]:mm:ss.0"),"")</f>
        <v>0:14:02.0</v>
      </c>
      <c r="AS32" s="230" t="str">
        <f>IFERROR(VLOOKUP($AQ32,SortedDownload!$B$3:$Z$489,14,FALSE),"")</f>
        <v/>
      </c>
      <c r="AT32" s="230">
        <f>IFERROR(VLOOKUP($AQ32,SortedDownload!$B$3:$Z$489,15,FALSE),"")</f>
        <v>184</v>
      </c>
      <c r="AU32" s="230">
        <f>IFERROR(VLOOKUP($AQ32,SortedDownload!$B$3:$Z$489,16,FALSE),"")</f>
        <v>181</v>
      </c>
      <c r="AV32" s="230" t="str">
        <f>IFERROR(VLOOKUP($AQ32,SortedDownload!$B$3:$Z$489,17,FALSE),"")</f>
        <v/>
      </c>
      <c r="AW32" s="230">
        <f>IFERROR(VLOOKUP($AQ32,SortedDownload!$B$3:$Z$489,18,FALSE),"")</f>
        <v>184</v>
      </c>
      <c r="AX32" s="230" t="str">
        <f>IFERROR(VLOOKUP($AQ32,SortedDownload!$B$3:$Z$489,19,FALSE),"")</f>
        <v/>
      </c>
      <c r="AY32" s="230" t="str">
        <f>IFERROR(VLOOKUP($AQ32,SortedDownload!$B$3:$Z$489,20,FALSE),"")</f>
        <v/>
      </c>
      <c r="AZ32" s="230" t="str">
        <f>IFERROR(VLOOKUP($AQ32,SortedDownload!$B$3:$Z$489,21,FALSE),"")</f>
        <v/>
      </c>
      <c r="BB32">
        <v>229</v>
      </c>
      <c r="BC32" t="str">
        <f>IFERROR(VLOOKUP($BB32,OverallResults!$B$3:$Z$508,2,FALSE),"")</f>
        <v>DNF</v>
      </c>
      <c r="BD32" t="str">
        <f>IFERROR(VLOOKUP($BB32,OverallResults!$B$3:$Z$508,3,FALSE),"")</f>
        <v/>
      </c>
      <c r="BE32" t="str">
        <f>IFERROR(TEXT(VLOOKUP($BB32,OverallResults!$B$3:$Z$489,17,FALSE),"[h]:mm:ss.0"),"")</f>
        <v/>
      </c>
      <c r="BF32" s="230" t="str">
        <f>IFERROR(VLOOKUP($BD32,SortedDownload!$B$3:$Z$489,14,FALSE),"")</f>
        <v/>
      </c>
      <c r="BG32" s="230" t="str">
        <f>IFERROR(VLOOKUP($BD32,SortedDownload!$B$3:$Z$489,15,FALSE),"")</f>
        <v/>
      </c>
      <c r="BH32" s="230" t="str">
        <f>IFERROR(VLOOKUP($BD32,SortedDownload!$B$3:$Z$489,16,FALSE),"")</f>
        <v/>
      </c>
      <c r="BI32" s="230" t="str">
        <f>IFERROR(VLOOKUP($BD32,SortedDownload!$B$3:$Z$489,17,FALSE),"")</f>
        <v/>
      </c>
      <c r="BJ32" s="230" t="str">
        <f>IFERROR(VLOOKUP($BD32,SortedDownload!$B$3:$Z$489,18,FALSE),"")</f>
        <v/>
      </c>
      <c r="BK32" s="230" t="str">
        <f>IFERROR(VLOOKUP($BD32,SortedDownload!$B$3:$Z$489,19,FALSE),"")</f>
        <v/>
      </c>
      <c r="BL32" s="230" t="str">
        <f>IFERROR(VLOOKUP($BD32,SortedDownload!$B$3:$Z$489,20,FALSE),"")</f>
        <v/>
      </c>
      <c r="BM32" s="230" t="str">
        <f>IFERROR(VLOOKUP($BD32,SortedDownload!$B$3:$Z$489,21,FALSE),"")</f>
        <v/>
      </c>
      <c r="BS32" s="230"/>
      <c r="BT32" s="230"/>
      <c r="BU32" s="230"/>
      <c r="BV32" s="230"/>
      <c r="BW32" s="230" t="str">
        <f>IFERROR(VLOOKUP($BQ32,SortedDownload!$B$3:$Z$489,18,FALSE),"")</f>
        <v/>
      </c>
      <c r="BX32" s="230" t="str">
        <f>IFERROR(VLOOKUP($BQ32,SortedDownload!$B$3:$Z$489,19,FALSE),"")</f>
        <v/>
      </c>
      <c r="BY32" s="230" t="str">
        <f>IFERROR(VLOOKUP($BQ32,SortedDownload!$B$3:$Z$489,20,FALSE),"")</f>
        <v/>
      </c>
      <c r="BZ32" s="230" t="str">
        <f>IFERROR(VLOOKUP($BQ32,SortedDownload!$B$3:$Z$489,21,FALSE),"")</f>
        <v/>
      </c>
    </row>
    <row r="33" spans="2:78">
      <c r="B33">
        <v>30</v>
      </c>
      <c r="C33">
        <f>IFERROR(VLOOKUP($B33,OverallResults!$B$3:$Z$508,2,FALSE),"")</f>
        <v>6</v>
      </c>
      <c r="D33" t="str">
        <f>IFERROR(VLOOKUP($B33,OverallResults!$B$3:$Z$508,3,FALSE),"")</f>
        <v>Grant Hulley</v>
      </c>
      <c r="E33" t="str">
        <f>IFERROR(TEXT(VLOOKUP($B33,OverallResults!$B$3:$Z$489,17,FALSE),"[h]:mm:ss.0"),"")</f>
        <v>0:19:03.3</v>
      </c>
      <c r="F33" s="230">
        <f>IFERROR(VLOOKUP($D33,SortedDownload!$B$3:$Z$489,14,FALSE),"")</f>
        <v>38</v>
      </c>
      <c r="G33" s="230">
        <f>IFERROR(VLOOKUP($D33,SortedDownload!$B$3:$Z$489,15,FALSE),"")</f>
        <v>30</v>
      </c>
      <c r="H33" s="230">
        <f>IFERROR(VLOOKUP($D33,SortedDownload!$B$3:$Z$489,16,FALSE),"")</f>
        <v>63</v>
      </c>
      <c r="I33" s="230">
        <f>IFERROR(VLOOKUP($D33,SortedDownload!$B$3:$Z$489,17,FALSE),"")</f>
        <v>30</v>
      </c>
      <c r="J33" s="230">
        <f>IFERROR(VLOOKUP($D33,SortedDownload!$B$3:$Z$489,18,FALSE),"")</f>
        <v>28</v>
      </c>
      <c r="K33" s="230" t="str">
        <f>IFERROR(VLOOKUP($D33,SortedDownload!$B$3:$Z$489,19,FALSE),"")</f>
        <v/>
      </c>
      <c r="L33" s="230" t="str">
        <f>IFERROR(VLOOKUP($D33,SortedDownload!$B$3:$Z$489,20,FALSE),"")</f>
        <v/>
      </c>
      <c r="M33" s="230" t="str">
        <f>IFERROR(VLOOKUP($D33,SortedDownload!$B$3:$Z$489,21,FALSE),"")</f>
        <v/>
      </c>
      <c r="O33">
        <v>80</v>
      </c>
      <c r="P33">
        <f>IFERROR(VLOOKUP($O33,OverallResults!$B$3:$Z$508,2,FALSE),"")</f>
        <v>20</v>
      </c>
      <c r="Q33" t="str">
        <f>IFERROR(VLOOKUP($O33,OverallResults!$B$3:$Z$508,3,FALSE),"")</f>
        <v>Kyle Collair</v>
      </c>
      <c r="R33" t="str">
        <f>IFERROR(TEXT(VLOOKUP($O33,OverallResults!$B$3:$Z$489,17,FALSE),"[h]:mm:ss.0"),"")</f>
        <v>0:21:51.3</v>
      </c>
      <c r="S33" s="230">
        <f>IFERROR(VLOOKUP($Q33,SortedDownload!$B$3:$Z$489,14,FALSE),"")</f>
        <v>96</v>
      </c>
      <c r="T33" s="230">
        <f>IFERROR(VLOOKUP($Q33,SortedDownload!$B$3:$Z$489,15,FALSE),"")</f>
        <v>88</v>
      </c>
      <c r="U33" s="230">
        <f>IFERROR(VLOOKUP($Q33,SortedDownload!$B$3:$Z$489,16,FALSE),"")</f>
        <v>111</v>
      </c>
      <c r="V33" s="230">
        <f>IFERROR(VLOOKUP($Q33,SortedDownload!$B$3:$Z$489,17,FALSE),"")</f>
        <v>83</v>
      </c>
      <c r="W33" s="230">
        <f>IFERROR(VLOOKUP($Q33,SortedDownload!$B$3:$Z$489,18,FALSE),"")</f>
        <v>90</v>
      </c>
      <c r="X33" s="230" t="str">
        <f>IFERROR(VLOOKUP($Q33,SortedDownload!$B$3:$Z$489,19,FALSE),"")</f>
        <v/>
      </c>
      <c r="Y33" s="230" t="str">
        <f>IFERROR(VLOOKUP($Q33,SortedDownload!$B$3:$Z$489,20,FALSE),"")</f>
        <v/>
      </c>
      <c r="Z33" s="230" t="str">
        <f>IFERROR(VLOOKUP($Q33,SortedDownload!$B$3:$Z$489,21,FALSE),"")</f>
        <v/>
      </c>
      <c r="AB33">
        <v>130</v>
      </c>
      <c r="AC33">
        <f>IFERROR(VLOOKUP($AB33,OverallResults!$B$3:$Z$508,2,FALSE),"")</f>
        <v>40</v>
      </c>
      <c r="AD33" t="str">
        <f>IFERROR(VLOOKUP($AB33,OverallResults!$B$3:$Z$508,3,FALSE),"")</f>
        <v>Julian Peter Oosthuizen</v>
      </c>
      <c r="AE33" t="str">
        <f>IFERROR(TEXT(VLOOKUP($AB33,OverallResults!$B$3:$Z$489,17,FALSE),"[h]:mm:ss.0"),"")</f>
        <v>0:33:35.0</v>
      </c>
      <c r="AF33" s="230">
        <f>IFERROR(VLOOKUP($AD33,SortedDownload!$B$3:$Z$489,14,FALSE),"")</f>
        <v>139</v>
      </c>
      <c r="AG33" s="230">
        <f>IFERROR(VLOOKUP($AD33,SortedDownload!$B$3:$Z$489,15,FALSE),"")</f>
        <v>234</v>
      </c>
      <c r="AH33" s="230">
        <f>IFERROR(VLOOKUP($AD33,SortedDownload!$B$3:$Z$489,16,FALSE),"")</f>
        <v>234</v>
      </c>
      <c r="AI33" s="230">
        <f>IFERROR(VLOOKUP($AD33,SortedDownload!$B$3:$Z$489,17,FALSE),"")</f>
        <v>137</v>
      </c>
      <c r="AJ33" s="230">
        <f>IFERROR(VLOOKUP($AD33,SortedDownload!$B$3:$Z$489,18,FALSE),"")</f>
        <v>236</v>
      </c>
      <c r="AK33" s="230" t="str">
        <f>IFERROR(VLOOKUP($AD33,SortedDownload!$B$3:$Z$489,19,FALSE),"")</f>
        <v/>
      </c>
      <c r="AL33" s="230" t="str">
        <f>IFERROR(VLOOKUP($AD33,SortedDownload!$B$3:$Z$489,20,FALSE),"")</f>
        <v/>
      </c>
      <c r="AM33" s="230" t="str">
        <f>IFERROR(VLOOKUP($AD33,SortedDownload!$B$3:$Z$489,21,FALSE),"")</f>
        <v/>
      </c>
      <c r="AO33">
        <v>180</v>
      </c>
      <c r="AP33">
        <f>IFERROR(VLOOKUP($AO33,OverallResults!$B$3:$Z$508,2,FALSE),"")</f>
        <v>27</v>
      </c>
      <c r="AQ33" t="str">
        <f>IFERROR(VLOOKUP($AO33,OverallResults!$B$3:$Z$508,3,FALSE),"")</f>
        <v>Henk De Kock</v>
      </c>
      <c r="AR33" t="str">
        <f>IFERROR(TEXT(VLOOKUP($AO33,OverallResults!$B$3:$Z$489,17,FALSE),"[h]:mm:ss.0"),"")</f>
        <v>0:14:05.2</v>
      </c>
      <c r="AS33" s="230" t="str">
        <f>IFERROR(VLOOKUP($AQ33,SortedDownload!$B$3:$Z$489,14,FALSE),"")</f>
        <v/>
      </c>
      <c r="AT33" s="230">
        <f>IFERROR(VLOOKUP($AQ33,SortedDownload!$B$3:$Z$489,15,FALSE),"")</f>
        <v>190</v>
      </c>
      <c r="AU33" s="230">
        <f>IFERROR(VLOOKUP($AQ33,SortedDownload!$B$3:$Z$489,16,FALSE),"")</f>
        <v>178</v>
      </c>
      <c r="AV33" s="230" t="str">
        <f>IFERROR(VLOOKUP($AQ33,SortedDownload!$B$3:$Z$489,17,FALSE),"")</f>
        <v/>
      </c>
      <c r="AW33" s="230">
        <f>IFERROR(VLOOKUP($AQ33,SortedDownload!$B$3:$Z$489,18,FALSE),"")</f>
        <v>183</v>
      </c>
      <c r="AX33" s="230" t="str">
        <f>IFERROR(VLOOKUP($AQ33,SortedDownload!$B$3:$Z$489,19,FALSE),"")</f>
        <v/>
      </c>
      <c r="AY33" s="230" t="str">
        <f>IFERROR(VLOOKUP($AQ33,SortedDownload!$B$3:$Z$489,20,FALSE),"")</f>
        <v/>
      </c>
      <c r="AZ33" s="230" t="str">
        <f>IFERROR(VLOOKUP($AQ33,SortedDownload!$B$3:$Z$489,21,FALSE),"")</f>
        <v/>
      </c>
      <c r="BB33">
        <v>230</v>
      </c>
      <c r="BC33" t="str">
        <f>IFERROR(VLOOKUP($BB33,OverallResults!$B$3:$Z$508,2,FALSE),"")</f>
        <v>DNF</v>
      </c>
      <c r="BD33" t="str">
        <f>IFERROR(VLOOKUP($BB33,OverallResults!$B$3:$Z$508,3,FALSE),"")</f>
        <v/>
      </c>
      <c r="BE33" t="str">
        <f>IFERROR(TEXT(VLOOKUP($BB33,OverallResults!$B$3:$Z$489,17,FALSE),"[h]:mm:ss.0"),"")</f>
        <v/>
      </c>
      <c r="BF33" s="230" t="str">
        <f>IFERROR(VLOOKUP($BD33,SortedDownload!$B$3:$Z$489,14,FALSE),"")</f>
        <v/>
      </c>
      <c r="BG33" s="230" t="str">
        <f>IFERROR(VLOOKUP($BD33,SortedDownload!$B$3:$Z$489,15,FALSE),"")</f>
        <v/>
      </c>
      <c r="BH33" s="230" t="str">
        <f>IFERROR(VLOOKUP($BD33,SortedDownload!$B$3:$Z$489,16,FALSE),"")</f>
        <v/>
      </c>
      <c r="BI33" s="230" t="str">
        <f>IFERROR(VLOOKUP($BD33,SortedDownload!$B$3:$Z$489,17,FALSE),"")</f>
        <v/>
      </c>
      <c r="BJ33" s="230" t="str">
        <f>IFERROR(VLOOKUP($BD33,SortedDownload!$B$3:$Z$489,18,FALSE),"")</f>
        <v/>
      </c>
      <c r="BK33" s="230" t="str">
        <f>IFERROR(VLOOKUP($BD33,SortedDownload!$B$3:$Z$489,19,FALSE),"")</f>
        <v/>
      </c>
      <c r="BL33" s="230" t="str">
        <f>IFERROR(VLOOKUP($BD33,SortedDownload!$B$3:$Z$489,20,FALSE),"")</f>
        <v/>
      </c>
      <c r="BM33" s="230" t="str">
        <f>IFERROR(VLOOKUP($BD33,SortedDownload!$B$3:$Z$489,21,FALSE),"")</f>
        <v/>
      </c>
      <c r="BS33" s="230"/>
      <c r="BT33" s="230"/>
      <c r="BU33" s="230"/>
      <c r="BV33" s="230"/>
      <c r="BW33" s="230" t="str">
        <f>IFERROR(VLOOKUP($BQ33,SortedDownload!$B$3:$Z$489,18,FALSE),"")</f>
        <v/>
      </c>
      <c r="BX33" s="230" t="str">
        <f>IFERROR(VLOOKUP($BQ33,SortedDownload!$B$3:$Z$489,19,FALSE),"")</f>
        <v/>
      </c>
      <c r="BY33" s="230" t="str">
        <f>IFERROR(VLOOKUP($BQ33,SortedDownload!$B$3:$Z$489,20,FALSE),"")</f>
        <v/>
      </c>
      <c r="BZ33" s="230" t="str">
        <f>IFERROR(VLOOKUP($BQ33,SortedDownload!$B$3:$Z$489,21,FALSE),"")</f>
        <v/>
      </c>
    </row>
    <row r="34" spans="2:78">
      <c r="B34">
        <v>31</v>
      </c>
      <c r="C34">
        <f>IFERROR(VLOOKUP($B34,OverallResults!$B$3:$Z$508,2,FALSE),"")</f>
        <v>5</v>
      </c>
      <c r="D34" t="str">
        <f>IFERROR(VLOOKUP($B34,OverallResults!$B$3:$Z$508,3,FALSE),"")</f>
        <v>James Owen</v>
      </c>
      <c r="E34" t="str">
        <f>IFERROR(TEXT(VLOOKUP($B34,OverallResults!$B$3:$Z$489,17,FALSE),"[h]:mm:ss.0"),"")</f>
        <v>0:19:03.8</v>
      </c>
      <c r="F34" s="230">
        <f>IFERROR(VLOOKUP($D34,SortedDownload!$B$3:$Z$489,14,FALSE),"")</f>
        <v>39</v>
      </c>
      <c r="G34" s="230">
        <f>IFERROR(VLOOKUP($D34,SortedDownload!$B$3:$Z$489,15,FALSE),"")</f>
        <v>22</v>
      </c>
      <c r="H34" s="230">
        <f>IFERROR(VLOOKUP($D34,SortedDownload!$B$3:$Z$489,16,FALSE),"")</f>
        <v>34</v>
      </c>
      <c r="I34" s="230">
        <f>IFERROR(VLOOKUP($D34,SortedDownload!$B$3:$Z$489,17,FALSE),"")</f>
        <v>33</v>
      </c>
      <c r="J34" s="230">
        <f>IFERROR(VLOOKUP($D34,SortedDownload!$B$3:$Z$489,18,FALSE),"")</f>
        <v>50</v>
      </c>
      <c r="K34" s="230" t="str">
        <f>IFERROR(VLOOKUP($D34,SortedDownload!$B$3:$Z$489,19,FALSE),"")</f>
        <v/>
      </c>
      <c r="L34" s="230" t="str">
        <f>IFERROR(VLOOKUP($D34,SortedDownload!$B$3:$Z$489,20,FALSE),"")</f>
        <v/>
      </c>
      <c r="M34" s="230" t="str">
        <f>IFERROR(VLOOKUP($D34,SortedDownload!$B$3:$Z$489,21,FALSE),"")</f>
        <v/>
      </c>
      <c r="O34">
        <v>81</v>
      </c>
      <c r="P34">
        <f>IFERROR(VLOOKUP($O34,OverallResults!$B$3:$Z$508,2,FALSE),"")</f>
        <v>18</v>
      </c>
      <c r="Q34" t="str">
        <f>IFERROR(VLOOKUP($O34,OverallResults!$B$3:$Z$508,3,FALSE),"")</f>
        <v>Gustav Raubenheimer</v>
      </c>
      <c r="R34" t="str">
        <f>IFERROR(TEXT(VLOOKUP($O34,OverallResults!$B$3:$Z$489,17,FALSE),"[h]:mm:ss.0"),"")</f>
        <v>0:21:53.0</v>
      </c>
      <c r="S34" s="230">
        <f>IFERROR(VLOOKUP($Q34,SortedDownload!$B$3:$Z$489,14,FALSE),"")</f>
        <v>86</v>
      </c>
      <c r="T34" s="230">
        <f>IFERROR(VLOOKUP($Q34,SortedDownload!$B$3:$Z$489,15,FALSE),"")</f>
        <v>95</v>
      </c>
      <c r="U34" s="230">
        <f>IFERROR(VLOOKUP($Q34,SortedDownload!$B$3:$Z$489,16,FALSE),"")</f>
        <v>104</v>
      </c>
      <c r="V34" s="230">
        <f>IFERROR(VLOOKUP($Q34,SortedDownload!$B$3:$Z$489,17,FALSE),"")</f>
        <v>78</v>
      </c>
      <c r="W34" s="230">
        <f>IFERROR(VLOOKUP($Q34,SortedDownload!$B$3:$Z$489,18,FALSE),"")</f>
        <v>135</v>
      </c>
      <c r="X34" s="230" t="str">
        <f>IFERROR(VLOOKUP($Q34,SortedDownload!$B$3:$Z$489,19,FALSE),"")</f>
        <v/>
      </c>
      <c r="Y34" s="230" t="str">
        <f>IFERROR(VLOOKUP($Q34,SortedDownload!$B$3:$Z$489,20,FALSE),"")</f>
        <v/>
      </c>
      <c r="Z34" s="230" t="str">
        <f>IFERROR(VLOOKUP($Q34,SortedDownload!$B$3:$Z$489,21,FALSE),"")</f>
        <v/>
      </c>
      <c r="AB34">
        <v>131</v>
      </c>
      <c r="AC34">
        <f>IFERROR(VLOOKUP($AB34,OverallResults!$B$3:$Z$508,2,FALSE),"")</f>
        <v>1</v>
      </c>
      <c r="AD34" t="str">
        <f>IFERROR(VLOOKUP($AB34,OverallResults!$B$3:$Z$508,3,FALSE),"")</f>
        <v>Louis Van Der Walt</v>
      </c>
      <c r="AE34" t="str">
        <f>IFERROR(TEXT(VLOOKUP($AB34,OverallResults!$B$3:$Z$489,17,FALSE),"[h]:mm:ss.0"),"")</f>
        <v>0:11:10.1</v>
      </c>
      <c r="AF34" s="230" t="str">
        <f>IFERROR(VLOOKUP($AD34,SortedDownload!$B$3:$Z$489,14,FALSE),"")</f>
        <v/>
      </c>
      <c r="AG34" s="230">
        <f>IFERROR(VLOOKUP($AD34,SortedDownload!$B$3:$Z$489,15,FALSE),"")</f>
        <v>41</v>
      </c>
      <c r="AH34" s="230">
        <f>IFERROR(VLOOKUP($AD34,SortedDownload!$B$3:$Z$489,16,FALSE),"")</f>
        <v>31</v>
      </c>
      <c r="AI34" s="230" t="str">
        <f>IFERROR(VLOOKUP($AD34,SortedDownload!$B$3:$Z$489,17,FALSE),"")</f>
        <v/>
      </c>
      <c r="AJ34" s="230">
        <f>IFERROR(VLOOKUP($AD34,SortedDownload!$B$3:$Z$489,18,FALSE),"")</f>
        <v>38</v>
      </c>
      <c r="AK34" s="230" t="str">
        <f>IFERROR(VLOOKUP($AD34,SortedDownload!$B$3:$Z$489,19,FALSE),"")</f>
        <v/>
      </c>
      <c r="AL34" s="230" t="str">
        <f>IFERROR(VLOOKUP($AD34,SortedDownload!$B$3:$Z$489,20,FALSE),"")</f>
        <v/>
      </c>
      <c r="AM34" s="230" t="str">
        <f>IFERROR(VLOOKUP($AD34,SortedDownload!$B$3:$Z$489,21,FALSE),"")</f>
        <v/>
      </c>
      <c r="AO34">
        <v>181</v>
      </c>
      <c r="AP34">
        <f>IFERROR(VLOOKUP($AO34,OverallResults!$B$3:$Z$508,2,FALSE),"")</f>
        <v>28</v>
      </c>
      <c r="AQ34" t="str">
        <f>IFERROR(VLOOKUP($AO34,OverallResults!$B$3:$Z$508,3,FALSE),"")</f>
        <v>Jean Ehlers</v>
      </c>
      <c r="AR34" t="str">
        <f>IFERROR(TEXT(VLOOKUP($AO34,OverallResults!$B$3:$Z$489,17,FALSE),"[h]:mm:ss.0"),"")</f>
        <v>0:14:06.9</v>
      </c>
      <c r="AS34" s="230" t="str">
        <f>IFERROR(VLOOKUP($AQ34,SortedDownload!$B$3:$Z$489,14,FALSE),"")</f>
        <v/>
      </c>
      <c r="AT34" s="230">
        <f>IFERROR(VLOOKUP($AQ34,SortedDownload!$B$3:$Z$489,15,FALSE),"")</f>
        <v>203</v>
      </c>
      <c r="AU34" s="230">
        <f>IFERROR(VLOOKUP($AQ34,SortedDownload!$B$3:$Z$489,16,FALSE),"")</f>
        <v>220</v>
      </c>
      <c r="AV34" s="230" t="str">
        <f>IFERROR(VLOOKUP($AQ34,SortedDownload!$B$3:$Z$489,17,FALSE),"")</f>
        <v/>
      </c>
      <c r="AW34" s="230">
        <f>IFERROR(VLOOKUP($AQ34,SortedDownload!$B$3:$Z$489,18,FALSE),"")</f>
        <v>109</v>
      </c>
      <c r="AX34" s="230" t="str">
        <f>IFERROR(VLOOKUP($AQ34,SortedDownload!$B$3:$Z$489,19,FALSE),"")</f>
        <v/>
      </c>
      <c r="AY34" s="230" t="str">
        <f>IFERROR(VLOOKUP($AQ34,SortedDownload!$B$3:$Z$489,20,FALSE),"")</f>
        <v/>
      </c>
      <c r="AZ34" s="230" t="str">
        <f>IFERROR(VLOOKUP($AQ34,SortedDownload!$B$3:$Z$489,21,FALSE),"")</f>
        <v/>
      </c>
      <c r="BB34">
        <v>231</v>
      </c>
      <c r="BC34" t="str">
        <f>IFERROR(VLOOKUP($BB34,OverallResults!$B$3:$Z$508,2,FALSE),"")</f>
        <v>DNF</v>
      </c>
      <c r="BD34" t="str">
        <f>IFERROR(VLOOKUP($BB34,OverallResults!$B$3:$Z$508,3,FALSE),"")</f>
        <v/>
      </c>
      <c r="BE34" t="str">
        <f>IFERROR(TEXT(VLOOKUP($BB34,OverallResults!$B$3:$Z$489,17,FALSE),"[h]:mm:ss.0"),"")</f>
        <v/>
      </c>
      <c r="BF34" s="230" t="str">
        <f>IFERROR(VLOOKUP($BD34,SortedDownload!$B$3:$Z$489,14,FALSE),"")</f>
        <v/>
      </c>
      <c r="BG34" s="230" t="str">
        <f>IFERROR(VLOOKUP($BD34,SortedDownload!$B$3:$Z$489,15,FALSE),"")</f>
        <v/>
      </c>
      <c r="BH34" s="230" t="str">
        <f>IFERROR(VLOOKUP($BD34,SortedDownload!$B$3:$Z$489,16,FALSE),"")</f>
        <v/>
      </c>
      <c r="BI34" s="230" t="str">
        <f>IFERROR(VLOOKUP($BD34,SortedDownload!$B$3:$Z$489,17,FALSE),"")</f>
        <v/>
      </c>
      <c r="BJ34" s="230" t="str">
        <f>IFERROR(VLOOKUP($BD34,SortedDownload!$B$3:$Z$489,18,FALSE),"")</f>
        <v/>
      </c>
      <c r="BK34" s="230" t="str">
        <f>IFERROR(VLOOKUP($BD34,SortedDownload!$B$3:$Z$489,19,FALSE),"")</f>
        <v/>
      </c>
      <c r="BL34" s="230" t="str">
        <f>IFERROR(VLOOKUP($BD34,SortedDownload!$B$3:$Z$489,20,FALSE),"")</f>
        <v/>
      </c>
      <c r="BM34" s="230" t="str">
        <f>IFERROR(VLOOKUP($BD34,SortedDownload!$B$3:$Z$489,21,FALSE),"")</f>
        <v/>
      </c>
      <c r="BS34" s="230"/>
      <c r="BT34" s="230"/>
      <c r="BU34" s="230"/>
      <c r="BV34" s="230"/>
      <c r="BW34" s="230" t="str">
        <f>IFERROR(VLOOKUP($BQ34,SortedDownload!$B$3:$Z$489,18,FALSE),"")</f>
        <v/>
      </c>
      <c r="BX34" s="230" t="str">
        <f>IFERROR(VLOOKUP($BQ34,SortedDownload!$B$3:$Z$489,19,FALSE),"")</f>
        <v/>
      </c>
      <c r="BY34" s="230" t="str">
        <f>IFERROR(VLOOKUP($BQ34,SortedDownload!$B$3:$Z$489,20,FALSE),"")</f>
        <v/>
      </c>
      <c r="BZ34" s="230" t="str">
        <f>IFERROR(VLOOKUP($BQ34,SortedDownload!$B$3:$Z$489,21,FALSE),"")</f>
        <v/>
      </c>
    </row>
    <row r="35" spans="2:78">
      <c r="B35">
        <v>32</v>
      </c>
      <c r="C35">
        <f>IFERROR(VLOOKUP($B35,OverallResults!$B$3:$Z$508,2,FALSE),"")</f>
        <v>7</v>
      </c>
      <c r="D35" t="str">
        <f>IFERROR(VLOOKUP($B35,OverallResults!$B$3:$Z$508,3,FALSE),"")</f>
        <v>Nic Rezelman</v>
      </c>
      <c r="E35" t="str">
        <f>IFERROR(TEXT(VLOOKUP($B35,OverallResults!$B$3:$Z$489,17,FALSE),"[h]:mm:ss.0"),"")</f>
        <v>0:19:04.0</v>
      </c>
      <c r="F35" s="230">
        <f>IFERROR(VLOOKUP($D35,SortedDownload!$B$3:$Z$489,14,FALSE),"")</f>
        <v>53</v>
      </c>
      <c r="G35" s="230">
        <f>IFERROR(VLOOKUP($D35,SortedDownload!$B$3:$Z$489,15,FALSE),"")</f>
        <v>23</v>
      </c>
      <c r="H35" s="230">
        <f>IFERROR(VLOOKUP($D35,SortedDownload!$B$3:$Z$489,16,FALSE),"")</f>
        <v>40</v>
      </c>
      <c r="I35" s="230">
        <f>IFERROR(VLOOKUP($D35,SortedDownload!$B$3:$Z$489,17,FALSE),"")</f>
        <v>29</v>
      </c>
      <c r="J35" s="230">
        <f>IFERROR(VLOOKUP($D35,SortedDownload!$B$3:$Z$489,18,FALSE),"")</f>
        <v>31</v>
      </c>
      <c r="K35" s="230" t="str">
        <f>IFERROR(VLOOKUP($D35,SortedDownload!$B$3:$Z$489,19,FALSE),"")</f>
        <v/>
      </c>
      <c r="L35" s="230" t="str">
        <f>IFERROR(VLOOKUP($D35,SortedDownload!$B$3:$Z$489,20,FALSE),"")</f>
        <v/>
      </c>
      <c r="M35" s="230" t="str">
        <f>IFERROR(VLOOKUP($D35,SortedDownload!$B$3:$Z$489,21,FALSE),"")</f>
        <v/>
      </c>
      <c r="O35">
        <v>82</v>
      </c>
      <c r="P35">
        <f>IFERROR(VLOOKUP($O35,OverallResults!$B$3:$Z$508,2,FALSE),"")</f>
        <v>22</v>
      </c>
      <c r="Q35" t="str">
        <f>IFERROR(VLOOKUP($O35,OverallResults!$B$3:$Z$508,3,FALSE),"")</f>
        <v>Leon Bartel</v>
      </c>
      <c r="R35" t="str">
        <f>IFERROR(TEXT(VLOOKUP($O35,OverallResults!$B$3:$Z$489,17,FALSE),"[h]:mm:ss.0"),"")</f>
        <v>0:22:04.2</v>
      </c>
      <c r="S35" s="230">
        <f>IFERROR(VLOOKUP($Q35,SortedDownload!$B$3:$Z$489,14,FALSE),"")</f>
        <v>92</v>
      </c>
      <c r="T35" s="230">
        <f>IFERROR(VLOOKUP($Q35,SortedDownload!$B$3:$Z$489,15,FALSE),"")</f>
        <v>105</v>
      </c>
      <c r="U35" s="230">
        <f>IFERROR(VLOOKUP($Q35,SortedDownload!$B$3:$Z$489,16,FALSE),"")</f>
        <v>140</v>
      </c>
      <c r="V35" s="230">
        <f>IFERROR(VLOOKUP($Q35,SortedDownload!$B$3:$Z$489,17,FALSE),"")</f>
        <v>87</v>
      </c>
      <c r="W35" s="230">
        <f>IFERROR(VLOOKUP($Q35,SortedDownload!$B$3:$Z$489,18,FALSE),"")</f>
        <v>84</v>
      </c>
      <c r="X35" s="230" t="str">
        <f>IFERROR(VLOOKUP($Q35,SortedDownload!$B$3:$Z$489,19,FALSE),"")</f>
        <v/>
      </c>
      <c r="Y35" s="230" t="str">
        <f>IFERROR(VLOOKUP($Q35,SortedDownload!$B$3:$Z$489,20,FALSE),"")</f>
        <v/>
      </c>
      <c r="Z35" s="230" t="str">
        <f>IFERROR(VLOOKUP($Q35,SortedDownload!$B$3:$Z$489,21,FALSE),"")</f>
        <v/>
      </c>
      <c r="AB35">
        <v>132</v>
      </c>
      <c r="AC35">
        <f>IFERROR(VLOOKUP($AB35,OverallResults!$B$3:$Z$508,2,FALSE),"")</f>
        <v>1</v>
      </c>
      <c r="AD35" t="str">
        <f>IFERROR(VLOOKUP($AB35,OverallResults!$B$3:$Z$508,3,FALSE),"")</f>
        <v>Christiaan De Villiers</v>
      </c>
      <c r="AE35" t="str">
        <f>IFERROR(TEXT(VLOOKUP($AB35,OverallResults!$B$3:$Z$489,17,FALSE),"[h]:mm:ss.0"),"")</f>
        <v>0:11:11.8</v>
      </c>
      <c r="AF35" s="230" t="str">
        <f>IFERROR(VLOOKUP($AD35,SortedDownload!$B$3:$Z$489,14,FALSE),"")</f>
        <v/>
      </c>
      <c r="AG35" s="230">
        <f>IFERROR(VLOOKUP($AD35,SortedDownload!$B$3:$Z$489,15,FALSE),"")</f>
        <v>52</v>
      </c>
      <c r="AH35" s="230">
        <f>IFERROR(VLOOKUP($AD35,SortedDownload!$B$3:$Z$489,16,FALSE),"")</f>
        <v>30</v>
      </c>
      <c r="AI35" s="230" t="str">
        <f>IFERROR(VLOOKUP($AD35,SortedDownload!$B$3:$Z$489,17,FALSE),"")</f>
        <v/>
      </c>
      <c r="AJ35" s="230">
        <f>IFERROR(VLOOKUP($AD35,SortedDownload!$B$3:$Z$489,18,FALSE),"")</f>
        <v>33</v>
      </c>
      <c r="AK35" s="230" t="str">
        <f>IFERROR(VLOOKUP($AD35,SortedDownload!$B$3:$Z$489,19,FALSE),"")</f>
        <v/>
      </c>
      <c r="AL35" s="230" t="str">
        <f>IFERROR(VLOOKUP($AD35,SortedDownload!$B$3:$Z$489,20,FALSE),"")</f>
        <v/>
      </c>
      <c r="AM35" s="230" t="str">
        <f>IFERROR(VLOOKUP($AD35,SortedDownload!$B$3:$Z$489,21,FALSE),"")</f>
        <v/>
      </c>
      <c r="AO35">
        <v>182</v>
      </c>
      <c r="AP35">
        <f>IFERROR(VLOOKUP($AO35,OverallResults!$B$3:$Z$508,2,FALSE),"")</f>
        <v>29</v>
      </c>
      <c r="AQ35" t="str">
        <f>IFERROR(VLOOKUP($AO35,OverallResults!$B$3:$Z$508,3,FALSE),"")</f>
        <v>James Collins</v>
      </c>
      <c r="AR35" t="str">
        <f>IFERROR(TEXT(VLOOKUP($AO35,OverallResults!$B$3:$Z$489,17,FALSE),"[h]:mm:ss.0"),"")</f>
        <v>0:14:10.0</v>
      </c>
      <c r="AS35" s="230" t="str">
        <f>IFERROR(VLOOKUP($AQ35,SortedDownload!$B$3:$Z$489,14,FALSE),"")</f>
        <v/>
      </c>
      <c r="AT35" s="230">
        <f>IFERROR(VLOOKUP($AQ35,SortedDownload!$B$3:$Z$489,15,FALSE),"")</f>
        <v>183</v>
      </c>
      <c r="AU35" s="230">
        <f>IFERROR(VLOOKUP($AQ35,SortedDownload!$B$3:$Z$489,16,FALSE),"")</f>
        <v>158</v>
      </c>
      <c r="AV35" s="230" t="str">
        <f>IFERROR(VLOOKUP($AQ35,SortedDownload!$B$3:$Z$489,17,FALSE),"")</f>
        <v/>
      </c>
      <c r="AW35" s="230">
        <f>IFERROR(VLOOKUP($AQ35,SortedDownload!$B$3:$Z$489,18,FALSE),"")</f>
        <v>206</v>
      </c>
      <c r="AX35" s="230" t="str">
        <f>IFERROR(VLOOKUP($AQ35,SortedDownload!$B$3:$Z$489,19,FALSE),"")</f>
        <v/>
      </c>
      <c r="AY35" s="230" t="str">
        <f>IFERROR(VLOOKUP($AQ35,SortedDownload!$B$3:$Z$489,20,FALSE),"")</f>
        <v/>
      </c>
      <c r="AZ35" s="230" t="str">
        <f>IFERROR(VLOOKUP($AQ35,SortedDownload!$B$3:$Z$489,21,FALSE),"")</f>
        <v/>
      </c>
      <c r="BB35">
        <v>232</v>
      </c>
      <c r="BC35" t="str">
        <f>IFERROR(VLOOKUP($BB35,OverallResults!$B$3:$Z$508,2,FALSE),"")</f>
        <v>DNF</v>
      </c>
      <c r="BD35" t="str">
        <f>IFERROR(VLOOKUP($BB35,OverallResults!$B$3:$Z$508,3,FALSE),"")</f>
        <v/>
      </c>
      <c r="BE35" t="str">
        <f>IFERROR(TEXT(VLOOKUP($BB35,OverallResults!$B$3:$Z$489,17,FALSE),"[h]:mm:ss.0"),"")</f>
        <v/>
      </c>
      <c r="BF35" s="230" t="str">
        <f>IFERROR(VLOOKUP($BD35,SortedDownload!$B$3:$Z$489,14,FALSE),"")</f>
        <v/>
      </c>
      <c r="BG35" s="230" t="str">
        <f>IFERROR(VLOOKUP($BD35,SortedDownload!$B$3:$Z$489,15,FALSE),"")</f>
        <v/>
      </c>
      <c r="BH35" s="230" t="str">
        <f>IFERROR(VLOOKUP($BD35,SortedDownload!$B$3:$Z$489,16,FALSE),"")</f>
        <v/>
      </c>
      <c r="BI35" s="230" t="str">
        <f>IFERROR(VLOOKUP($BD35,SortedDownload!$B$3:$Z$489,17,FALSE),"")</f>
        <v/>
      </c>
      <c r="BJ35" s="230" t="str">
        <f>IFERROR(VLOOKUP($BD35,SortedDownload!$B$3:$Z$489,18,FALSE),"")</f>
        <v/>
      </c>
      <c r="BK35" s="230" t="str">
        <f>IFERROR(VLOOKUP($BD35,SortedDownload!$B$3:$Z$489,19,FALSE),"")</f>
        <v/>
      </c>
      <c r="BL35" s="230" t="str">
        <f>IFERROR(VLOOKUP($BD35,SortedDownload!$B$3:$Z$489,20,FALSE),"")</f>
        <v/>
      </c>
      <c r="BM35" s="230" t="str">
        <f>IFERROR(VLOOKUP($BD35,SortedDownload!$B$3:$Z$489,21,FALSE),"")</f>
        <v/>
      </c>
      <c r="BS35" s="230"/>
      <c r="BT35" s="230"/>
      <c r="BU35" s="230"/>
      <c r="BV35" s="230"/>
      <c r="BW35" s="230" t="str">
        <f>IFERROR(VLOOKUP($BQ35,SortedDownload!$B$3:$Z$489,18,FALSE),"")</f>
        <v/>
      </c>
      <c r="BX35" s="230" t="str">
        <f>IFERROR(VLOOKUP($BQ35,SortedDownload!$B$3:$Z$489,19,FALSE),"")</f>
        <v/>
      </c>
      <c r="BY35" s="230" t="str">
        <f>IFERROR(VLOOKUP($BQ35,SortedDownload!$B$3:$Z$489,20,FALSE),"")</f>
        <v/>
      </c>
      <c r="BZ35" s="230" t="str">
        <f>IFERROR(VLOOKUP($BQ35,SortedDownload!$B$3:$Z$489,21,FALSE),"")</f>
        <v/>
      </c>
    </row>
    <row r="36" spans="2:78">
      <c r="B36">
        <v>33</v>
      </c>
      <c r="C36">
        <f>IFERROR(VLOOKUP($B36,OverallResults!$B$3:$Z$508,2,FALSE),"")</f>
        <v>11</v>
      </c>
      <c r="D36" t="str">
        <f>IFERROR(VLOOKUP($B36,OverallResults!$B$3:$Z$508,3,FALSE),"")</f>
        <v>Francois Van Schalkwyk</v>
      </c>
      <c r="E36" t="str">
        <f>IFERROR(TEXT(VLOOKUP($B36,OverallResults!$B$3:$Z$489,17,FALSE),"[h]:mm:ss.0"),"")</f>
        <v>0:19:10.9</v>
      </c>
      <c r="F36" s="230">
        <f>IFERROR(VLOOKUP($D36,SortedDownload!$B$3:$Z$489,14,FALSE),"")</f>
        <v>35</v>
      </c>
      <c r="G36" s="230">
        <f>IFERROR(VLOOKUP($D36,SortedDownload!$B$3:$Z$489,15,FALSE),"")</f>
        <v>33</v>
      </c>
      <c r="H36" s="230">
        <f>IFERROR(VLOOKUP($D36,SortedDownload!$B$3:$Z$489,16,FALSE),"")</f>
        <v>77</v>
      </c>
      <c r="I36" s="230">
        <f>IFERROR(VLOOKUP($D36,SortedDownload!$B$3:$Z$489,17,FALSE),"")</f>
        <v>24</v>
      </c>
      <c r="J36" s="230">
        <f>IFERROR(VLOOKUP($D36,SortedDownload!$B$3:$Z$489,18,FALSE),"")</f>
        <v>46</v>
      </c>
      <c r="K36" s="230" t="str">
        <f>IFERROR(VLOOKUP($D36,SortedDownload!$B$3:$Z$489,19,FALSE),"")</f>
        <v/>
      </c>
      <c r="L36" s="230" t="str">
        <f>IFERROR(VLOOKUP($D36,SortedDownload!$B$3:$Z$489,20,FALSE),"")</f>
        <v/>
      </c>
      <c r="M36" s="230" t="str">
        <f>IFERROR(VLOOKUP($D36,SortedDownload!$B$3:$Z$489,21,FALSE),"")</f>
        <v/>
      </c>
      <c r="O36">
        <v>83</v>
      </c>
      <c r="P36">
        <f>IFERROR(VLOOKUP($O36,OverallResults!$B$3:$Z$508,2,FALSE),"")</f>
        <v>19</v>
      </c>
      <c r="Q36" t="str">
        <f>IFERROR(VLOOKUP($O36,OverallResults!$B$3:$Z$508,3,FALSE),"")</f>
        <v>Fritz Kolb</v>
      </c>
      <c r="R36" t="str">
        <f>IFERROR(TEXT(VLOOKUP($O36,OverallResults!$B$3:$Z$489,17,FALSE),"[h]:mm:ss.0"),"")</f>
        <v>0:22:04.5</v>
      </c>
      <c r="S36" s="230">
        <f>IFERROR(VLOOKUP($Q36,SortedDownload!$B$3:$Z$489,14,FALSE),"")</f>
        <v>93</v>
      </c>
      <c r="T36" s="230">
        <f>IFERROR(VLOOKUP($Q36,SortedDownload!$B$3:$Z$489,15,FALSE),"")</f>
        <v>124</v>
      </c>
      <c r="U36" s="230">
        <f>IFERROR(VLOOKUP($Q36,SortedDownload!$B$3:$Z$489,16,FALSE),"")</f>
        <v>101</v>
      </c>
      <c r="V36" s="230">
        <f>IFERROR(VLOOKUP($Q36,SortedDownload!$B$3:$Z$489,17,FALSE),"")</f>
        <v>89</v>
      </c>
      <c r="W36" s="230">
        <f>IFERROR(VLOOKUP($Q36,SortedDownload!$B$3:$Z$489,18,FALSE),"")</f>
        <v>87</v>
      </c>
      <c r="X36" s="230" t="str">
        <f>IFERROR(VLOOKUP($Q36,SortedDownload!$B$3:$Z$489,19,FALSE),"")</f>
        <v/>
      </c>
      <c r="Y36" s="230" t="str">
        <f>IFERROR(VLOOKUP($Q36,SortedDownload!$B$3:$Z$489,20,FALSE),"")</f>
        <v/>
      </c>
      <c r="Z36" s="230" t="str">
        <f>IFERROR(VLOOKUP($Q36,SortedDownload!$B$3:$Z$489,21,FALSE),"")</f>
        <v/>
      </c>
      <c r="AB36">
        <v>133</v>
      </c>
      <c r="AC36">
        <f>IFERROR(VLOOKUP($AB36,OverallResults!$B$3:$Z$508,2,FALSE),"")</f>
        <v>1</v>
      </c>
      <c r="AD36" t="str">
        <f>IFERROR(VLOOKUP($AB36,OverallResults!$B$3:$Z$508,3,FALSE),"")</f>
        <v>Sven Etsebeth</v>
      </c>
      <c r="AE36" t="str">
        <f>IFERROR(TEXT(VLOOKUP($AB36,OverallResults!$B$3:$Z$489,17,FALSE),"[h]:mm:ss.0"),"")</f>
        <v>0:11:25.7</v>
      </c>
      <c r="AF36" s="230" t="str">
        <f>IFERROR(VLOOKUP($AD36,SortedDownload!$B$3:$Z$489,14,FALSE),"")</f>
        <v/>
      </c>
      <c r="AG36" s="230">
        <f>IFERROR(VLOOKUP($AD36,SortedDownload!$B$3:$Z$489,15,FALSE),"")</f>
        <v>58</v>
      </c>
      <c r="AH36" s="230">
        <f>IFERROR(VLOOKUP($AD36,SortedDownload!$B$3:$Z$489,16,FALSE),"")</f>
        <v>60</v>
      </c>
      <c r="AI36" s="230" t="str">
        <f>IFERROR(VLOOKUP($AD36,SortedDownload!$B$3:$Z$489,17,FALSE),"")</f>
        <v/>
      </c>
      <c r="AJ36" s="230">
        <f>IFERROR(VLOOKUP($AD36,SortedDownload!$B$3:$Z$489,18,FALSE),"")</f>
        <v>39</v>
      </c>
      <c r="AK36" s="230" t="str">
        <f>IFERROR(VLOOKUP($AD36,SortedDownload!$B$3:$Z$489,19,FALSE),"")</f>
        <v/>
      </c>
      <c r="AL36" s="230" t="str">
        <f>IFERROR(VLOOKUP($AD36,SortedDownload!$B$3:$Z$489,20,FALSE),"")</f>
        <v/>
      </c>
      <c r="AM36" s="230" t="str">
        <f>IFERROR(VLOOKUP($AD36,SortedDownload!$B$3:$Z$489,21,FALSE),"")</f>
        <v/>
      </c>
      <c r="AO36">
        <v>183</v>
      </c>
      <c r="AP36">
        <f>IFERROR(VLOOKUP($AO36,OverallResults!$B$3:$Z$508,2,FALSE),"")</f>
        <v>10</v>
      </c>
      <c r="AQ36" t="str">
        <f>IFERROR(VLOOKUP($AO36,OverallResults!$B$3:$Z$508,3,FALSE),"")</f>
        <v>Julian Robin Oosthuizen</v>
      </c>
      <c r="AR36" t="str">
        <f>IFERROR(TEXT(VLOOKUP($AO36,OverallResults!$B$3:$Z$489,17,FALSE),"[h]:mm:ss.0"),"")</f>
        <v>0:14:15.9</v>
      </c>
      <c r="AS36" s="230" t="str">
        <f>IFERROR(VLOOKUP($AQ36,SortedDownload!$B$3:$Z$489,14,FALSE),"")</f>
        <v/>
      </c>
      <c r="AT36" s="230">
        <f>IFERROR(VLOOKUP($AQ36,SortedDownload!$B$3:$Z$489,15,FALSE),"")</f>
        <v>191</v>
      </c>
      <c r="AU36" s="230">
        <f>IFERROR(VLOOKUP($AQ36,SortedDownload!$B$3:$Z$489,16,FALSE),"")</f>
        <v>230</v>
      </c>
      <c r="AV36" s="230">
        <f>IFERROR(VLOOKUP($AQ36,SortedDownload!$B$3:$Z$489,17,FALSE),"")</f>
        <v>129</v>
      </c>
      <c r="AW36" s="230" t="str">
        <f>IFERROR(VLOOKUP($AQ36,SortedDownload!$B$3:$Z$489,18,FALSE),"")</f>
        <v/>
      </c>
      <c r="AX36" s="230" t="str">
        <f>IFERROR(VLOOKUP($AQ36,SortedDownload!$B$3:$Z$489,19,FALSE),"")</f>
        <v/>
      </c>
      <c r="AY36" s="230" t="str">
        <f>IFERROR(VLOOKUP($AQ36,SortedDownload!$B$3:$Z$489,20,FALSE),"")</f>
        <v/>
      </c>
      <c r="AZ36" s="230" t="str">
        <f>IFERROR(VLOOKUP($AQ36,SortedDownload!$B$3:$Z$489,21,FALSE),"")</f>
        <v/>
      </c>
      <c r="BB36">
        <v>233</v>
      </c>
      <c r="BC36" t="str">
        <f>IFERROR(VLOOKUP($BB36,OverallResults!$B$3:$Z$508,2,FALSE),"")</f>
        <v>DNF</v>
      </c>
      <c r="BD36" t="str">
        <f>IFERROR(VLOOKUP($BB36,OverallResults!$B$3:$Z$508,3,FALSE),"")</f>
        <v/>
      </c>
      <c r="BE36" t="str">
        <f>IFERROR(TEXT(VLOOKUP($BB36,OverallResults!$B$3:$Z$489,17,FALSE),"[h]:mm:ss.0"),"")</f>
        <v/>
      </c>
      <c r="BF36" s="230" t="str">
        <f>IFERROR(VLOOKUP($BD36,SortedDownload!$B$3:$Z$489,14,FALSE),"")</f>
        <v/>
      </c>
      <c r="BG36" s="230" t="str">
        <f>IFERROR(VLOOKUP($BD36,SortedDownload!$B$3:$Z$489,15,FALSE),"")</f>
        <v/>
      </c>
      <c r="BH36" s="230" t="str">
        <f>IFERROR(VLOOKUP($BD36,SortedDownload!$B$3:$Z$489,16,FALSE),"")</f>
        <v/>
      </c>
      <c r="BI36" s="230" t="str">
        <f>IFERROR(VLOOKUP($BD36,SortedDownload!$B$3:$Z$489,17,FALSE),"")</f>
        <v/>
      </c>
      <c r="BJ36" s="230" t="str">
        <f>IFERROR(VLOOKUP($BD36,SortedDownload!$B$3:$Z$489,18,FALSE),"")</f>
        <v/>
      </c>
      <c r="BK36" s="230" t="str">
        <f>IFERROR(VLOOKUP($BD36,SortedDownload!$B$3:$Z$489,19,FALSE),"")</f>
        <v/>
      </c>
      <c r="BL36" s="230" t="str">
        <f>IFERROR(VLOOKUP($BD36,SortedDownload!$B$3:$Z$489,20,FALSE),"")</f>
        <v/>
      </c>
      <c r="BM36" s="230" t="str">
        <f>IFERROR(VLOOKUP($BD36,SortedDownload!$B$3:$Z$489,21,FALSE),"")</f>
        <v/>
      </c>
      <c r="BS36" s="230"/>
      <c r="BT36" s="230"/>
      <c r="BU36" s="230"/>
      <c r="BV36" s="230"/>
      <c r="BW36" s="230" t="str">
        <f>IFERROR(VLOOKUP($BQ36,SortedDownload!$B$3:$Z$489,18,FALSE),"")</f>
        <v/>
      </c>
      <c r="BX36" s="230" t="str">
        <f>IFERROR(VLOOKUP($BQ36,SortedDownload!$B$3:$Z$489,19,FALSE),"")</f>
        <v/>
      </c>
      <c r="BY36" s="230" t="str">
        <f>IFERROR(VLOOKUP($BQ36,SortedDownload!$B$3:$Z$489,20,FALSE),"")</f>
        <v/>
      </c>
      <c r="BZ36" s="230" t="str">
        <f>IFERROR(VLOOKUP($BQ36,SortedDownload!$B$3:$Z$489,21,FALSE),"")</f>
        <v/>
      </c>
    </row>
    <row r="37" spans="2:78">
      <c r="B37">
        <v>34</v>
      </c>
      <c r="C37">
        <f>IFERROR(VLOOKUP($B37,OverallResults!$B$3:$Z$508,2,FALSE),"")</f>
        <v>12</v>
      </c>
      <c r="D37" t="str">
        <f>IFERROR(VLOOKUP($B37,OverallResults!$B$3:$Z$508,3,FALSE),"")</f>
        <v>Piet Brummer</v>
      </c>
      <c r="E37" t="str">
        <f>IFERROR(TEXT(VLOOKUP($B37,OverallResults!$B$3:$Z$489,17,FALSE),"[h]:mm:ss.0"),"")</f>
        <v>0:19:11.0</v>
      </c>
      <c r="F37" s="230">
        <f>IFERROR(VLOOKUP($D37,SortedDownload!$B$3:$Z$489,14,FALSE),"")</f>
        <v>22</v>
      </c>
      <c r="G37" s="230">
        <f>IFERROR(VLOOKUP($D37,SortedDownload!$B$3:$Z$489,15,FALSE),"")</f>
        <v>55</v>
      </c>
      <c r="H37" s="230">
        <f>IFERROR(VLOOKUP($D37,SortedDownload!$B$3:$Z$489,16,FALSE),"")</f>
        <v>46</v>
      </c>
      <c r="I37" s="230">
        <f>IFERROR(VLOOKUP($D37,SortedDownload!$B$3:$Z$489,17,FALSE),"")</f>
        <v>54</v>
      </c>
      <c r="J37" s="230">
        <f>IFERROR(VLOOKUP($D37,SortedDownload!$B$3:$Z$489,18,FALSE),"")</f>
        <v>32</v>
      </c>
      <c r="K37" s="230" t="str">
        <f>IFERROR(VLOOKUP($D37,SortedDownload!$B$3:$Z$489,19,FALSE),"")</f>
        <v/>
      </c>
      <c r="L37" s="230" t="str">
        <f>IFERROR(VLOOKUP($D37,SortedDownload!$B$3:$Z$489,20,FALSE),"")</f>
        <v/>
      </c>
      <c r="M37" s="230" t="str">
        <f>IFERROR(VLOOKUP($D37,SortedDownload!$B$3:$Z$489,21,FALSE),"")</f>
        <v/>
      </c>
      <c r="O37">
        <v>84</v>
      </c>
      <c r="P37">
        <f>IFERROR(VLOOKUP($O37,OverallResults!$B$3:$Z$508,2,FALSE),"")</f>
        <v>23</v>
      </c>
      <c r="Q37" t="str">
        <f>IFERROR(VLOOKUP($O37,OverallResults!$B$3:$Z$508,3,FALSE),"")</f>
        <v>Adriaan De Lange</v>
      </c>
      <c r="R37" t="str">
        <f>IFERROR(TEXT(VLOOKUP($O37,OverallResults!$B$3:$Z$489,17,FALSE),"[h]:mm:ss.0"),"")</f>
        <v>0:22:06.4</v>
      </c>
      <c r="S37" s="230">
        <f>IFERROR(VLOOKUP($Q37,SortedDownload!$B$3:$Z$489,14,FALSE),"")</f>
        <v>118</v>
      </c>
      <c r="T37" s="230">
        <f>IFERROR(VLOOKUP($Q37,SortedDownload!$B$3:$Z$489,15,FALSE),"")</f>
        <v>129</v>
      </c>
      <c r="U37" s="230">
        <f>IFERROR(VLOOKUP($Q37,SortedDownload!$B$3:$Z$489,16,FALSE),"")</f>
        <v>66</v>
      </c>
      <c r="V37" s="230">
        <f>IFERROR(VLOOKUP($Q37,SortedDownload!$B$3:$Z$489,17,FALSE),"")</f>
        <v>69</v>
      </c>
      <c r="W37" s="230">
        <f>IFERROR(VLOOKUP($Q37,SortedDownload!$B$3:$Z$489,18,FALSE),"")</f>
        <v>58</v>
      </c>
      <c r="X37" s="230" t="str">
        <f>IFERROR(VLOOKUP($Q37,SortedDownload!$B$3:$Z$489,19,FALSE),"")</f>
        <v/>
      </c>
      <c r="Y37" s="230" t="str">
        <f>IFERROR(VLOOKUP($Q37,SortedDownload!$B$3:$Z$489,20,FALSE),"")</f>
        <v/>
      </c>
      <c r="Z37" s="230" t="str">
        <f>IFERROR(VLOOKUP($Q37,SortedDownload!$B$3:$Z$489,21,FALSE),"")</f>
        <v/>
      </c>
      <c r="AB37">
        <v>134</v>
      </c>
      <c r="AC37">
        <f>IFERROR(VLOOKUP($AB37,OverallResults!$B$3:$Z$508,2,FALSE),"")</f>
        <v>2</v>
      </c>
      <c r="AD37" t="str">
        <f>IFERROR(VLOOKUP($AB37,OverallResults!$B$3:$Z$508,3,FALSE),"")</f>
        <v>Pieter Heyns</v>
      </c>
      <c r="AE37" t="str">
        <f>IFERROR(TEXT(VLOOKUP($AB37,OverallResults!$B$3:$Z$489,17,FALSE),"[h]:mm:ss.0"),"")</f>
        <v>0:11:33.1</v>
      </c>
      <c r="AF37" s="230" t="str">
        <f>IFERROR(VLOOKUP($AD37,SortedDownload!$B$3:$Z$489,14,FALSE),"")</f>
        <v/>
      </c>
      <c r="AG37" s="230">
        <f>IFERROR(VLOOKUP($AD37,SortedDownload!$B$3:$Z$489,15,FALSE),"")</f>
        <v>59</v>
      </c>
      <c r="AH37" s="230">
        <f>IFERROR(VLOOKUP($AD37,SortedDownload!$B$3:$Z$489,16,FALSE),"")</f>
        <v>43</v>
      </c>
      <c r="AI37" s="230" t="str">
        <f>IFERROR(VLOOKUP($AD37,SortedDownload!$B$3:$Z$489,17,FALSE),"")</f>
        <v/>
      </c>
      <c r="AJ37" s="230">
        <f>IFERROR(VLOOKUP($AD37,SortedDownload!$B$3:$Z$489,18,FALSE),"")</f>
        <v>57</v>
      </c>
      <c r="AK37" s="230" t="str">
        <f>IFERROR(VLOOKUP($AD37,SortedDownload!$B$3:$Z$489,19,FALSE),"")</f>
        <v/>
      </c>
      <c r="AL37" s="230" t="str">
        <f>IFERROR(VLOOKUP($AD37,SortedDownload!$B$3:$Z$489,20,FALSE),"")</f>
        <v/>
      </c>
      <c r="AM37" s="230" t="str">
        <f>IFERROR(VLOOKUP($AD37,SortedDownload!$B$3:$Z$489,21,FALSE),"")</f>
        <v/>
      </c>
      <c r="AO37">
        <v>184</v>
      </c>
      <c r="AP37">
        <f>IFERROR(VLOOKUP($AO37,OverallResults!$B$3:$Z$508,2,FALSE),"")</f>
        <v>4</v>
      </c>
      <c r="AQ37" t="str">
        <f>IFERROR(VLOOKUP($AO37,OverallResults!$B$3:$Z$508,3,FALSE),"")</f>
        <v>Lombard Rousseau</v>
      </c>
      <c r="AR37" t="str">
        <f>IFERROR(TEXT(VLOOKUP($AO37,OverallResults!$B$3:$Z$489,17,FALSE),"[h]:mm:ss.0"),"")</f>
        <v>0:14:26.3</v>
      </c>
      <c r="AS37" s="230" t="str">
        <f>IFERROR(VLOOKUP($AQ37,SortedDownload!$B$3:$Z$489,14,FALSE),"")</f>
        <v/>
      </c>
      <c r="AT37" s="230">
        <f>IFERROR(VLOOKUP($AQ37,SortedDownload!$B$3:$Z$489,15,FALSE),"")</f>
        <v>199</v>
      </c>
      <c r="AU37" s="230">
        <f>IFERROR(VLOOKUP($AQ37,SortedDownload!$B$3:$Z$489,16,FALSE),"")</f>
        <v>180</v>
      </c>
      <c r="AV37" s="230" t="str">
        <f>IFERROR(VLOOKUP($AQ37,SortedDownload!$B$3:$Z$489,17,FALSE),"")</f>
        <v/>
      </c>
      <c r="AW37" s="230">
        <f>IFERROR(VLOOKUP($AQ37,SortedDownload!$B$3:$Z$489,18,FALSE),"")</f>
        <v>204</v>
      </c>
      <c r="AX37" s="230" t="str">
        <f>IFERROR(VLOOKUP($AQ37,SortedDownload!$B$3:$Z$489,19,FALSE),"")</f>
        <v/>
      </c>
      <c r="AY37" s="230" t="str">
        <f>IFERROR(VLOOKUP($AQ37,SortedDownload!$B$3:$Z$489,20,FALSE),"")</f>
        <v/>
      </c>
      <c r="AZ37" s="230" t="str">
        <f>IFERROR(VLOOKUP($AQ37,SortedDownload!$B$3:$Z$489,21,FALSE),"")</f>
        <v/>
      </c>
      <c r="BB37">
        <v>234</v>
      </c>
      <c r="BC37" t="str">
        <f>IFERROR(VLOOKUP($BB37,OverallResults!$B$3:$Z$508,2,FALSE),"")</f>
        <v>DNF</v>
      </c>
      <c r="BD37" t="str">
        <f>IFERROR(VLOOKUP($BB37,OverallResults!$B$3:$Z$508,3,FALSE),"")</f>
        <v/>
      </c>
      <c r="BE37" t="str">
        <f>IFERROR(TEXT(VLOOKUP($BB37,OverallResults!$B$3:$Z$489,17,FALSE),"[h]:mm:ss.0"),"")</f>
        <v/>
      </c>
      <c r="BF37" s="230" t="str">
        <f>IFERROR(VLOOKUP($BD37,SortedDownload!$B$3:$Z$489,14,FALSE),"")</f>
        <v/>
      </c>
      <c r="BG37" s="230" t="str">
        <f>IFERROR(VLOOKUP($BD37,SortedDownload!$B$3:$Z$489,15,FALSE),"")</f>
        <v/>
      </c>
      <c r="BH37" s="230" t="str">
        <f>IFERROR(VLOOKUP($BD37,SortedDownload!$B$3:$Z$489,16,FALSE),"")</f>
        <v/>
      </c>
      <c r="BI37" s="230" t="str">
        <f>IFERROR(VLOOKUP($BD37,SortedDownload!$B$3:$Z$489,17,FALSE),"")</f>
        <v/>
      </c>
      <c r="BJ37" s="230" t="str">
        <f>IFERROR(VLOOKUP($BD37,SortedDownload!$B$3:$Z$489,18,FALSE),"")</f>
        <v/>
      </c>
      <c r="BK37" s="230" t="str">
        <f>IFERROR(VLOOKUP($BD37,SortedDownload!$B$3:$Z$489,19,FALSE),"")</f>
        <v/>
      </c>
      <c r="BL37" s="230" t="str">
        <f>IFERROR(VLOOKUP($BD37,SortedDownload!$B$3:$Z$489,20,FALSE),"")</f>
        <v/>
      </c>
      <c r="BM37" s="230" t="str">
        <f>IFERROR(VLOOKUP($BD37,SortedDownload!$B$3:$Z$489,21,FALSE),"")</f>
        <v/>
      </c>
      <c r="BS37" s="230"/>
      <c r="BT37" s="230"/>
      <c r="BU37" s="230"/>
      <c r="BV37" s="230"/>
      <c r="BW37" s="230" t="str">
        <f>IFERROR(VLOOKUP($BQ37,SortedDownload!$B$3:$Z$489,18,FALSE),"")</f>
        <v/>
      </c>
      <c r="BX37" s="230" t="str">
        <f>IFERROR(VLOOKUP($BQ37,SortedDownload!$B$3:$Z$489,19,FALSE),"")</f>
        <v/>
      </c>
      <c r="BY37" s="230" t="str">
        <f>IFERROR(VLOOKUP($BQ37,SortedDownload!$B$3:$Z$489,20,FALSE),"")</f>
        <v/>
      </c>
      <c r="BZ37" s="230" t="str">
        <f>IFERROR(VLOOKUP($BQ37,SortedDownload!$B$3:$Z$489,21,FALSE),"")</f>
        <v/>
      </c>
    </row>
    <row r="38" spans="2:78">
      <c r="B38">
        <v>35</v>
      </c>
      <c r="C38">
        <f>IFERROR(VLOOKUP($B38,OverallResults!$B$3:$Z$508,2,FALSE),"")</f>
        <v>4</v>
      </c>
      <c r="D38" t="str">
        <f>IFERROR(VLOOKUP($B38,OverallResults!$B$3:$Z$508,3,FALSE),"")</f>
        <v>Lood Goosen</v>
      </c>
      <c r="E38" t="str">
        <f>IFERROR(TEXT(VLOOKUP($B38,OverallResults!$B$3:$Z$489,17,FALSE),"[h]:mm:ss.0"),"")</f>
        <v>0:19:11.3</v>
      </c>
      <c r="F38" s="230">
        <f>IFERROR(VLOOKUP($D38,SortedDownload!$B$3:$Z$489,14,FALSE),"")</f>
        <v>44</v>
      </c>
      <c r="G38" s="230">
        <f>IFERROR(VLOOKUP($D38,SortedDownload!$B$3:$Z$489,15,FALSE),"")</f>
        <v>43</v>
      </c>
      <c r="H38" s="230">
        <f>IFERROR(VLOOKUP($D38,SortedDownload!$B$3:$Z$489,16,FALSE),"")</f>
        <v>50</v>
      </c>
      <c r="I38" s="230">
        <f>IFERROR(VLOOKUP($D38,SortedDownload!$B$3:$Z$489,17,FALSE),"")</f>
        <v>41</v>
      </c>
      <c r="J38" s="230">
        <f>IFERROR(VLOOKUP($D38,SortedDownload!$B$3:$Z$489,18,FALSE),"")</f>
        <v>24</v>
      </c>
      <c r="K38" s="230" t="str">
        <f>IFERROR(VLOOKUP($D38,SortedDownload!$B$3:$Z$489,19,FALSE),"")</f>
        <v/>
      </c>
      <c r="L38" s="230" t="str">
        <f>IFERROR(VLOOKUP($D38,SortedDownload!$B$3:$Z$489,20,FALSE),"")</f>
        <v/>
      </c>
      <c r="M38" s="230" t="str">
        <f>IFERROR(VLOOKUP($D38,SortedDownload!$B$3:$Z$489,21,FALSE),"")</f>
        <v/>
      </c>
      <c r="O38">
        <v>85</v>
      </c>
      <c r="P38">
        <f>IFERROR(VLOOKUP($O38,OverallResults!$B$3:$Z$508,2,FALSE),"")</f>
        <v>1</v>
      </c>
      <c r="Q38" t="str">
        <f>IFERROR(VLOOKUP($O38,OverallResults!$B$3:$Z$508,3,FALSE),"")</f>
        <v>Gina Nixon</v>
      </c>
      <c r="R38" t="str">
        <f>IFERROR(TEXT(VLOOKUP($O38,OverallResults!$B$3:$Z$489,17,FALSE),"[h]:mm:ss.0"),"")</f>
        <v>0:22:14.7</v>
      </c>
      <c r="S38" s="230">
        <f>IFERROR(VLOOKUP($Q38,SortedDownload!$B$3:$Z$489,14,FALSE),"")</f>
        <v>99</v>
      </c>
      <c r="T38" s="230">
        <f>IFERROR(VLOOKUP($Q38,SortedDownload!$B$3:$Z$489,15,FALSE),"")</f>
        <v>100</v>
      </c>
      <c r="U38" s="230">
        <f>IFERROR(VLOOKUP($Q38,SortedDownload!$B$3:$Z$489,16,FALSE),"")</f>
        <v>134</v>
      </c>
      <c r="V38" s="230">
        <f>IFERROR(VLOOKUP($Q38,SortedDownload!$B$3:$Z$489,17,FALSE),"")</f>
        <v>85</v>
      </c>
      <c r="W38" s="230">
        <f>IFERROR(VLOOKUP($Q38,SortedDownload!$B$3:$Z$489,18,FALSE),"")</f>
        <v>107</v>
      </c>
      <c r="X38" s="230" t="str">
        <f>IFERROR(VLOOKUP($Q38,SortedDownload!$B$3:$Z$489,19,FALSE),"")</f>
        <v/>
      </c>
      <c r="Y38" s="230" t="str">
        <f>IFERROR(VLOOKUP($Q38,SortedDownload!$B$3:$Z$489,20,FALSE),"")</f>
        <v/>
      </c>
      <c r="Z38" s="230" t="str">
        <f>IFERROR(VLOOKUP($Q38,SortedDownload!$B$3:$Z$489,21,FALSE),"")</f>
        <v/>
      </c>
      <c r="AB38">
        <v>135</v>
      </c>
      <c r="AC38">
        <f>IFERROR(VLOOKUP($AB38,OverallResults!$B$3:$Z$508,2,FALSE),"")</f>
        <v>3</v>
      </c>
      <c r="AD38" t="str">
        <f>IFERROR(VLOOKUP($AB38,OverallResults!$B$3:$Z$508,3,FALSE),"")</f>
        <v>Wynand Mostert</v>
      </c>
      <c r="AE38" t="str">
        <f>IFERROR(TEXT(VLOOKUP($AB38,OverallResults!$B$3:$Z$489,17,FALSE),"[h]:mm:ss.0"),"")</f>
        <v>0:11:36.2</v>
      </c>
      <c r="AF38" s="230" t="str">
        <f>IFERROR(VLOOKUP($AD38,SortedDownload!$B$3:$Z$489,14,FALSE),"")</f>
        <v/>
      </c>
      <c r="AG38" s="230">
        <f>IFERROR(VLOOKUP($AD38,SortedDownload!$B$3:$Z$489,15,FALSE),"")</f>
        <v>53</v>
      </c>
      <c r="AH38" s="230">
        <f>IFERROR(VLOOKUP($AD38,SortedDownload!$B$3:$Z$489,16,FALSE),"")</f>
        <v>59</v>
      </c>
      <c r="AI38" s="230" t="str">
        <f>IFERROR(VLOOKUP($AD38,SortedDownload!$B$3:$Z$489,17,FALSE),"")</f>
        <v/>
      </c>
      <c r="AJ38" s="230">
        <f>IFERROR(VLOOKUP($AD38,SortedDownload!$B$3:$Z$489,18,FALSE),"")</f>
        <v>60</v>
      </c>
      <c r="AK38" s="230" t="str">
        <f>IFERROR(VLOOKUP($AD38,SortedDownload!$B$3:$Z$489,19,FALSE),"")</f>
        <v/>
      </c>
      <c r="AL38" s="230" t="str">
        <f>IFERROR(VLOOKUP($AD38,SortedDownload!$B$3:$Z$489,20,FALSE),"")</f>
        <v/>
      </c>
      <c r="AM38" s="230" t="str">
        <f>IFERROR(VLOOKUP($AD38,SortedDownload!$B$3:$Z$489,21,FALSE),"")</f>
        <v/>
      </c>
      <c r="AO38">
        <v>185</v>
      </c>
      <c r="AP38">
        <f>IFERROR(VLOOKUP($AO38,OverallResults!$B$3:$Z$508,2,FALSE),"")</f>
        <v>11</v>
      </c>
      <c r="AQ38" t="str">
        <f>IFERROR(VLOOKUP($AO38,OverallResults!$B$3:$Z$508,3,FALSE),"")</f>
        <v>Ben Kroukamp</v>
      </c>
      <c r="AR38" t="str">
        <f>IFERROR(TEXT(VLOOKUP($AO38,OverallResults!$B$3:$Z$489,17,FALSE),"[h]:mm:ss.0"),"")</f>
        <v>0:14:29.4</v>
      </c>
      <c r="AS38" s="230" t="str">
        <f>IFERROR(VLOOKUP($AQ38,SortedDownload!$B$3:$Z$489,14,FALSE),"")</f>
        <v/>
      </c>
      <c r="AT38" s="230">
        <f>IFERROR(VLOOKUP($AQ38,SortedDownload!$B$3:$Z$489,15,FALSE),"")</f>
        <v>210</v>
      </c>
      <c r="AU38" s="230">
        <f>IFERROR(VLOOKUP($AQ38,SortedDownload!$B$3:$Z$489,16,FALSE),"")</f>
        <v>192</v>
      </c>
      <c r="AV38" s="230" t="str">
        <f>IFERROR(VLOOKUP($AQ38,SortedDownload!$B$3:$Z$489,17,FALSE),"")</f>
        <v/>
      </c>
      <c r="AW38" s="230">
        <f>IFERROR(VLOOKUP($AQ38,SortedDownload!$B$3:$Z$489,18,FALSE),"")</f>
        <v>185</v>
      </c>
      <c r="AX38" s="230" t="str">
        <f>IFERROR(VLOOKUP($AQ38,SortedDownload!$B$3:$Z$489,19,FALSE),"")</f>
        <v/>
      </c>
      <c r="AY38" s="230" t="str">
        <f>IFERROR(VLOOKUP($AQ38,SortedDownload!$B$3:$Z$489,20,FALSE),"")</f>
        <v/>
      </c>
      <c r="AZ38" s="230" t="str">
        <f>IFERROR(VLOOKUP($AQ38,SortedDownload!$B$3:$Z$489,21,FALSE),"")</f>
        <v/>
      </c>
      <c r="BB38">
        <v>235</v>
      </c>
      <c r="BC38" t="str">
        <f>IFERROR(VLOOKUP($BB38,OverallResults!$B$3:$Z$508,2,FALSE),"")</f>
        <v>DNF</v>
      </c>
      <c r="BD38" t="str">
        <f>IFERROR(VLOOKUP($BB38,OverallResults!$B$3:$Z$508,3,FALSE),"")</f>
        <v/>
      </c>
      <c r="BE38" t="str">
        <f>IFERROR(TEXT(VLOOKUP($BB38,OverallResults!$B$3:$Z$489,17,FALSE),"[h]:mm:ss.0"),"")</f>
        <v/>
      </c>
      <c r="BF38" s="230" t="str">
        <f>IFERROR(VLOOKUP($BD38,SortedDownload!$B$3:$Z$489,14,FALSE),"")</f>
        <v/>
      </c>
      <c r="BG38" s="230" t="str">
        <f>IFERROR(VLOOKUP($BD38,SortedDownload!$B$3:$Z$489,15,FALSE),"")</f>
        <v/>
      </c>
      <c r="BH38" s="230" t="str">
        <f>IFERROR(VLOOKUP($BD38,SortedDownload!$B$3:$Z$489,16,FALSE),"")</f>
        <v/>
      </c>
      <c r="BI38" s="230" t="str">
        <f>IFERROR(VLOOKUP($BD38,SortedDownload!$B$3:$Z$489,17,FALSE),"")</f>
        <v/>
      </c>
      <c r="BJ38" s="230" t="str">
        <f>IFERROR(VLOOKUP($BD38,SortedDownload!$B$3:$Z$489,18,FALSE),"")</f>
        <v/>
      </c>
      <c r="BK38" s="230" t="str">
        <f>IFERROR(VLOOKUP($BD38,SortedDownload!$B$3:$Z$489,19,FALSE),"")</f>
        <v/>
      </c>
      <c r="BL38" s="230" t="str">
        <f>IFERROR(VLOOKUP($BD38,SortedDownload!$B$3:$Z$489,20,FALSE),"")</f>
        <v/>
      </c>
      <c r="BM38" s="230" t="str">
        <f>IFERROR(VLOOKUP($BD38,SortedDownload!$B$3:$Z$489,21,FALSE),"")</f>
        <v/>
      </c>
      <c r="BS38" s="230"/>
      <c r="BT38" s="230"/>
      <c r="BU38" s="230"/>
      <c r="BV38" s="230"/>
      <c r="BW38" s="230" t="str">
        <f>IFERROR(VLOOKUP($BQ38,SortedDownload!$B$3:$Z$489,18,FALSE),"")</f>
        <v/>
      </c>
      <c r="BX38" s="230" t="str">
        <f>IFERROR(VLOOKUP($BQ38,SortedDownload!$B$3:$Z$489,19,FALSE),"")</f>
        <v/>
      </c>
      <c r="BY38" s="230" t="str">
        <f>IFERROR(VLOOKUP($BQ38,SortedDownload!$B$3:$Z$489,20,FALSE),"")</f>
        <v/>
      </c>
      <c r="BZ38" s="230" t="str">
        <f>IFERROR(VLOOKUP($BQ38,SortedDownload!$B$3:$Z$489,21,FALSE),"")</f>
        <v/>
      </c>
    </row>
    <row r="39" spans="2:78">
      <c r="B39">
        <v>36</v>
      </c>
      <c r="C39">
        <f>IFERROR(VLOOKUP($B39,OverallResults!$B$3:$Z$508,2,FALSE),"")</f>
        <v>8</v>
      </c>
      <c r="D39" t="str">
        <f>IFERROR(VLOOKUP($B39,OverallResults!$B$3:$Z$508,3,FALSE),"")</f>
        <v>Seth Barnard</v>
      </c>
      <c r="E39" t="str">
        <f>IFERROR(TEXT(VLOOKUP($B39,OverallResults!$B$3:$Z$489,17,FALSE),"[h]:mm:ss.0"),"")</f>
        <v>0:19:13.2</v>
      </c>
      <c r="F39" s="230">
        <f>IFERROR(VLOOKUP($D39,SortedDownload!$B$3:$Z$489,14,FALSE),"")</f>
        <v>45</v>
      </c>
      <c r="G39" s="230">
        <f>IFERROR(VLOOKUP($D39,SortedDownload!$B$3:$Z$489,15,FALSE),"")</f>
        <v>47</v>
      </c>
      <c r="H39" s="230">
        <f>IFERROR(VLOOKUP($D39,SortedDownload!$B$3:$Z$489,16,FALSE),"")</f>
        <v>29</v>
      </c>
      <c r="I39" s="230">
        <f>IFERROR(VLOOKUP($D39,SortedDownload!$B$3:$Z$489,17,FALSE),"")</f>
        <v>32</v>
      </c>
      <c r="J39" s="230">
        <f>IFERROR(VLOOKUP($D39,SortedDownload!$B$3:$Z$489,18,FALSE),"")</f>
        <v>44</v>
      </c>
      <c r="K39" s="230" t="str">
        <f>IFERROR(VLOOKUP($D39,SortedDownload!$B$3:$Z$489,19,FALSE),"")</f>
        <v/>
      </c>
      <c r="L39" s="230" t="str">
        <f>IFERROR(VLOOKUP($D39,SortedDownload!$B$3:$Z$489,20,FALSE),"")</f>
        <v/>
      </c>
      <c r="M39" s="230" t="str">
        <f>IFERROR(VLOOKUP($D39,SortedDownload!$B$3:$Z$489,21,FALSE),"")</f>
        <v/>
      </c>
      <c r="O39">
        <v>86</v>
      </c>
      <c r="P39">
        <f>IFERROR(VLOOKUP($O39,OverallResults!$B$3:$Z$508,2,FALSE),"")</f>
        <v>20</v>
      </c>
      <c r="Q39" t="str">
        <f>IFERROR(VLOOKUP($O39,OverallResults!$B$3:$Z$508,3,FALSE),"")</f>
        <v>James Mccann</v>
      </c>
      <c r="R39" t="str">
        <f>IFERROR(TEXT(VLOOKUP($O39,OverallResults!$B$3:$Z$489,17,FALSE),"[h]:mm:ss.0"),"")</f>
        <v>0:22:18.1</v>
      </c>
      <c r="S39" s="230">
        <f>IFERROR(VLOOKUP($Q39,SortedDownload!$B$3:$Z$489,14,FALSE),"")</f>
        <v>81</v>
      </c>
      <c r="T39" s="230">
        <f>IFERROR(VLOOKUP($Q39,SortedDownload!$B$3:$Z$489,15,FALSE),"")</f>
        <v>182</v>
      </c>
      <c r="U39" s="230">
        <f>IFERROR(VLOOKUP($Q39,SortedDownload!$B$3:$Z$489,16,FALSE),"")</f>
        <v>106</v>
      </c>
      <c r="V39" s="230">
        <f>IFERROR(VLOOKUP($Q39,SortedDownload!$B$3:$Z$489,17,FALSE),"")</f>
        <v>82</v>
      </c>
      <c r="W39" s="230">
        <f>IFERROR(VLOOKUP($Q39,SortedDownload!$B$3:$Z$489,18,FALSE),"")</f>
        <v>133</v>
      </c>
      <c r="X39" s="230" t="str">
        <f>IFERROR(VLOOKUP($Q39,SortedDownload!$B$3:$Z$489,19,FALSE),"")</f>
        <v/>
      </c>
      <c r="Y39" s="230" t="str">
        <f>IFERROR(VLOOKUP($Q39,SortedDownload!$B$3:$Z$489,20,FALSE),"")</f>
        <v/>
      </c>
      <c r="Z39" s="230" t="str">
        <f>IFERROR(VLOOKUP($Q39,SortedDownload!$B$3:$Z$489,21,FALSE),"")</f>
        <v/>
      </c>
      <c r="AB39">
        <v>136</v>
      </c>
      <c r="AC39">
        <f>IFERROR(VLOOKUP($AB39,OverallResults!$B$3:$Z$508,2,FALSE),"")</f>
        <v>2</v>
      </c>
      <c r="AD39" t="str">
        <f>IFERROR(VLOOKUP($AB39,OverallResults!$B$3:$Z$508,3,FALSE),"")</f>
        <v>Benjamin Fourie</v>
      </c>
      <c r="AE39" t="str">
        <f>IFERROR(TEXT(VLOOKUP($AB39,OverallResults!$B$3:$Z$489,17,FALSE),"[h]:mm:ss.0"),"")</f>
        <v>0:11:39.6</v>
      </c>
      <c r="AF39" s="230" t="str">
        <f>IFERROR(VLOOKUP($AD39,SortedDownload!$B$3:$Z$489,14,FALSE),"")</f>
        <v/>
      </c>
      <c r="AG39" s="230">
        <f>IFERROR(VLOOKUP($AD39,SortedDownload!$B$3:$Z$489,15,FALSE),"")</f>
        <v>80</v>
      </c>
      <c r="AH39" s="230">
        <f>IFERROR(VLOOKUP($AD39,SortedDownload!$B$3:$Z$489,16,FALSE),"")</f>
        <v>71</v>
      </c>
      <c r="AI39" s="230" t="str">
        <f>IFERROR(VLOOKUP($AD39,SortedDownload!$B$3:$Z$489,17,FALSE),"")</f>
        <v/>
      </c>
      <c r="AJ39" s="230">
        <f>IFERROR(VLOOKUP($AD39,SortedDownload!$B$3:$Z$489,18,FALSE),"")</f>
        <v>42</v>
      </c>
      <c r="AK39" s="230" t="str">
        <f>IFERROR(VLOOKUP($AD39,SortedDownload!$B$3:$Z$489,19,FALSE),"")</f>
        <v/>
      </c>
      <c r="AL39" s="230" t="str">
        <f>IFERROR(VLOOKUP($AD39,SortedDownload!$B$3:$Z$489,20,FALSE),"")</f>
        <v/>
      </c>
      <c r="AM39" s="230" t="str">
        <f>IFERROR(VLOOKUP($AD39,SortedDownload!$B$3:$Z$489,21,FALSE),"")</f>
        <v/>
      </c>
      <c r="AO39">
        <v>186</v>
      </c>
      <c r="AP39">
        <f>IFERROR(VLOOKUP($AO39,OverallResults!$B$3:$Z$508,2,FALSE),"")</f>
        <v>12</v>
      </c>
      <c r="AQ39" t="str">
        <f>IFERROR(VLOOKUP($AO39,OverallResults!$B$3:$Z$508,3,FALSE),"")</f>
        <v>Alec Retief</v>
      </c>
      <c r="AR39" t="str">
        <f>IFERROR(TEXT(VLOOKUP($AO39,OverallResults!$B$3:$Z$489,17,FALSE),"[h]:mm:ss.0"),"")</f>
        <v>0:14:30.0</v>
      </c>
      <c r="AS39" s="230" t="str">
        <f>IFERROR(VLOOKUP($AQ39,SortedDownload!$B$3:$Z$489,14,FALSE),"")</f>
        <v/>
      </c>
      <c r="AT39" s="230">
        <f>IFERROR(VLOOKUP($AQ39,SortedDownload!$B$3:$Z$489,15,FALSE),"")</f>
        <v>219</v>
      </c>
      <c r="AU39" s="230">
        <f>IFERROR(VLOOKUP($AQ39,SortedDownload!$B$3:$Z$489,16,FALSE),"")</f>
        <v>175</v>
      </c>
      <c r="AV39" s="230" t="str">
        <f>IFERROR(VLOOKUP($AQ39,SortedDownload!$B$3:$Z$489,17,FALSE),"")</f>
        <v/>
      </c>
      <c r="AW39" s="230">
        <f>IFERROR(VLOOKUP($AQ39,SortedDownload!$B$3:$Z$489,18,FALSE),"")</f>
        <v>180</v>
      </c>
      <c r="AX39" s="230" t="str">
        <f>IFERROR(VLOOKUP($AQ39,SortedDownload!$B$3:$Z$489,19,FALSE),"")</f>
        <v/>
      </c>
      <c r="AY39" s="230" t="str">
        <f>IFERROR(VLOOKUP($AQ39,SortedDownload!$B$3:$Z$489,20,FALSE),"")</f>
        <v/>
      </c>
      <c r="AZ39" s="230" t="str">
        <f>IFERROR(VLOOKUP($AQ39,SortedDownload!$B$3:$Z$489,21,FALSE),"")</f>
        <v/>
      </c>
      <c r="BB39">
        <v>236</v>
      </c>
      <c r="BC39" t="str">
        <f>IFERROR(VLOOKUP($BB39,OverallResults!$B$3:$Z$508,2,FALSE),"")</f>
        <v>DNF</v>
      </c>
      <c r="BD39" t="str">
        <f>IFERROR(VLOOKUP($BB39,OverallResults!$B$3:$Z$508,3,FALSE),"")</f>
        <v/>
      </c>
      <c r="BE39" t="str">
        <f>IFERROR(TEXT(VLOOKUP($BB39,OverallResults!$B$3:$Z$489,17,FALSE),"[h]:mm:ss.0"),"")</f>
        <v/>
      </c>
      <c r="BF39" s="230" t="str">
        <f>IFERROR(VLOOKUP($BD39,SortedDownload!$B$3:$Z$489,14,FALSE),"")</f>
        <v/>
      </c>
      <c r="BG39" s="230" t="str">
        <f>IFERROR(VLOOKUP($BD39,SortedDownload!$B$3:$Z$489,15,FALSE),"")</f>
        <v/>
      </c>
      <c r="BH39" s="230" t="str">
        <f>IFERROR(VLOOKUP($BD39,SortedDownload!$B$3:$Z$489,16,FALSE),"")</f>
        <v/>
      </c>
      <c r="BI39" s="230" t="str">
        <f>IFERROR(VLOOKUP($BD39,SortedDownload!$B$3:$Z$489,17,FALSE),"")</f>
        <v/>
      </c>
      <c r="BJ39" s="230" t="str">
        <f>IFERROR(VLOOKUP($BD39,SortedDownload!$B$3:$Z$489,18,FALSE),"")</f>
        <v/>
      </c>
      <c r="BK39" s="230" t="str">
        <f>IFERROR(VLOOKUP($BD39,SortedDownload!$B$3:$Z$489,19,FALSE),"")</f>
        <v/>
      </c>
      <c r="BL39" s="230" t="str">
        <f>IFERROR(VLOOKUP($BD39,SortedDownload!$B$3:$Z$489,20,FALSE),"")</f>
        <v/>
      </c>
      <c r="BM39" s="230" t="str">
        <f>IFERROR(VLOOKUP($BD39,SortedDownload!$B$3:$Z$489,21,FALSE),"")</f>
        <v/>
      </c>
      <c r="BS39" s="230"/>
      <c r="BT39" s="230"/>
      <c r="BU39" s="230"/>
      <c r="BV39" s="230"/>
      <c r="BW39" s="230" t="str">
        <f>IFERROR(VLOOKUP($BQ39,SortedDownload!$B$3:$Z$489,18,FALSE),"")</f>
        <v/>
      </c>
      <c r="BX39" s="230" t="str">
        <f>IFERROR(VLOOKUP($BQ39,SortedDownload!$B$3:$Z$489,19,FALSE),"")</f>
        <v/>
      </c>
      <c r="BY39" s="230" t="str">
        <f>IFERROR(VLOOKUP($BQ39,SortedDownload!$B$3:$Z$489,20,FALSE),"")</f>
        <v/>
      </c>
      <c r="BZ39" s="230" t="str">
        <f>IFERROR(VLOOKUP($BQ39,SortedDownload!$B$3:$Z$489,21,FALSE),"")</f>
        <v/>
      </c>
    </row>
    <row r="40" spans="2:78">
      <c r="B40">
        <v>37</v>
      </c>
      <c r="C40">
        <f>IFERROR(VLOOKUP($B40,OverallResults!$B$3:$Z$508,2,FALSE),"")</f>
        <v>13</v>
      </c>
      <c r="D40" t="str">
        <f>IFERROR(VLOOKUP($B40,OverallResults!$B$3:$Z$508,3,FALSE),"")</f>
        <v>Luke Moir</v>
      </c>
      <c r="E40" t="str">
        <f>IFERROR(TEXT(VLOOKUP($B40,OverallResults!$B$3:$Z$489,17,FALSE),"[h]:mm:ss.0"),"")</f>
        <v>0:19:14.4</v>
      </c>
      <c r="F40" s="230">
        <f>IFERROR(VLOOKUP($D40,SortedDownload!$B$3:$Z$489,14,FALSE),"")</f>
        <v>8</v>
      </c>
      <c r="G40" s="230">
        <f>IFERROR(VLOOKUP($D40,SortedDownload!$B$3:$Z$489,15,FALSE),"")</f>
        <v>17</v>
      </c>
      <c r="H40" s="230">
        <f>IFERROR(VLOOKUP($D40,SortedDownload!$B$3:$Z$489,16,FALSE),"")</f>
        <v>10</v>
      </c>
      <c r="I40" s="230">
        <f>IFERROR(VLOOKUP($D40,SortedDownload!$B$3:$Z$489,17,FALSE),"")</f>
        <v>126</v>
      </c>
      <c r="J40" s="230">
        <f>IFERROR(VLOOKUP($D40,SortedDownload!$B$3:$Z$489,18,FALSE),"")</f>
        <v>3</v>
      </c>
      <c r="K40" s="230" t="str">
        <f>IFERROR(VLOOKUP($D40,SortedDownload!$B$3:$Z$489,19,FALSE),"")</f>
        <v/>
      </c>
      <c r="L40" s="230" t="str">
        <f>IFERROR(VLOOKUP($D40,SortedDownload!$B$3:$Z$489,20,FALSE),"")</f>
        <v/>
      </c>
      <c r="M40" s="230" t="str">
        <f>IFERROR(VLOOKUP($D40,SortedDownload!$B$3:$Z$489,21,FALSE),"")</f>
        <v/>
      </c>
      <c r="O40">
        <v>87</v>
      </c>
      <c r="P40">
        <f>IFERROR(VLOOKUP($O40,OverallResults!$B$3:$Z$508,2,FALSE),"")</f>
        <v>21</v>
      </c>
      <c r="Q40" t="str">
        <f>IFERROR(VLOOKUP($O40,OverallResults!$B$3:$Z$508,3,FALSE),"")</f>
        <v>Dane Clifton</v>
      </c>
      <c r="R40" t="str">
        <f>IFERROR(TEXT(VLOOKUP($O40,OverallResults!$B$3:$Z$489,17,FALSE),"[h]:mm:ss.0"),"")</f>
        <v>0:22:20.2</v>
      </c>
      <c r="S40" s="230">
        <f>IFERROR(VLOOKUP($Q40,SortedDownload!$B$3:$Z$489,14,FALSE),"")</f>
        <v>79</v>
      </c>
      <c r="T40" s="230">
        <f>IFERROR(VLOOKUP($Q40,SortedDownload!$B$3:$Z$489,15,FALSE),"")</f>
        <v>128</v>
      </c>
      <c r="U40" s="230">
        <f>IFERROR(VLOOKUP($Q40,SortedDownload!$B$3:$Z$489,16,FALSE),"")</f>
        <v>86</v>
      </c>
      <c r="V40" s="230">
        <f>IFERROR(VLOOKUP($Q40,SortedDownload!$B$3:$Z$489,17,FALSE),"")</f>
        <v>116</v>
      </c>
      <c r="W40" s="230">
        <f>IFERROR(VLOOKUP($Q40,SortedDownload!$B$3:$Z$489,18,FALSE),"")</f>
        <v>116</v>
      </c>
      <c r="X40" s="230" t="str">
        <f>IFERROR(VLOOKUP($Q40,SortedDownload!$B$3:$Z$489,19,FALSE),"")</f>
        <v/>
      </c>
      <c r="Y40" s="230" t="str">
        <f>IFERROR(VLOOKUP($Q40,SortedDownload!$B$3:$Z$489,20,FALSE),"")</f>
        <v/>
      </c>
      <c r="Z40" s="230" t="str">
        <f>IFERROR(VLOOKUP($Q40,SortedDownload!$B$3:$Z$489,21,FALSE),"")</f>
        <v/>
      </c>
      <c r="AB40">
        <v>137</v>
      </c>
      <c r="AC40">
        <f>IFERROR(VLOOKUP($AB40,OverallResults!$B$3:$Z$508,2,FALSE),"")</f>
        <v>4</v>
      </c>
      <c r="AD40" t="str">
        <f>IFERROR(VLOOKUP($AB40,OverallResults!$B$3:$Z$508,3,FALSE),"")</f>
        <v>Johmar Loubser</v>
      </c>
      <c r="AE40" t="str">
        <f>IFERROR(TEXT(VLOOKUP($AB40,OverallResults!$B$3:$Z$489,17,FALSE),"[h]:mm:ss.0"),"")</f>
        <v>0:11:40.5</v>
      </c>
      <c r="AF40" s="230" t="str">
        <f>IFERROR(VLOOKUP($AD40,SortedDownload!$B$3:$Z$489,14,FALSE),"")</f>
        <v/>
      </c>
      <c r="AG40" s="230">
        <f>IFERROR(VLOOKUP($AD40,SortedDownload!$B$3:$Z$489,15,FALSE),"")</f>
        <v>74</v>
      </c>
      <c r="AH40" s="230">
        <f>IFERROR(VLOOKUP($AD40,SortedDownload!$B$3:$Z$489,16,FALSE),"")</f>
        <v>67</v>
      </c>
      <c r="AI40" s="230" t="str">
        <f>IFERROR(VLOOKUP($AD40,SortedDownload!$B$3:$Z$489,17,FALSE),"")</f>
        <v/>
      </c>
      <c r="AJ40" s="230">
        <f>IFERROR(VLOOKUP($AD40,SortedDownload!$B$3:$Z$489,18,FALSE),"")</f>
        <v>51</v>
      </c>
      <c r="AK40" s="230" t="str">
        <f>IFERROR(VLOOKUP($AD40,SortedDownload!$B$3:$Z$489,19,FALSE),"")</f>
        <v/>
      </c>
      <c r="AL40" s="230" t="str">
        <f>IFERROR(VLOOKUP($AD40,SortedDownload!$B$3:$Z$489,20,FALSE),"")</f>
        <v/>
      </c>
      <c r="AM40" s="230" t="str">
        <f>IFERROR(VLOOKUP($AD40,SortedDownload!$B$3:$Z$489,21,FALSE),"")</f>
        <v/>
      </c>
      <c r="AO40">
        <v>187</v>
      </c>
      <c r="AP40">
        <f>IFERROR(VLOOKUP($AO40,OverallResults!$B$3:$Z$508,2,FALSE),"")</f>
        <v>30</v>
      </c>
      <c r="AQ40" t="str">
        <f>IFERROR(VLOOKUP($AO40,OverallResults!$B$3:$Z$508,3,FALSE),"")</f>
        <v>Taegan Felton</v>
      </c>
      <c r="AR40" t="str">
        <f>IFERROR(TEXT(VLOOKUP($AO40,OverallResults!$B$3:$Z$489,17,FALSE),"[h]:mm:ss.0"),"")</f>
        <v>0:14:31.7</v>
      </c>
      <c r="AS40" s="230" t="str">
        <f>IFERROR(VLOOKUP($AQ40,SortedDownload!$B$3:$Z$489,14,FALSE),"")</f>
        <v/>
      </c>
      <c r="AT40" s="230">
        <f>IFERROR(VLOOKUP($AQ40,SortedDownload!$B$3:$Z$489,15,FALSE),"")</f>
        <v>206</v>
      </c>
      <c r="AU40" s="230">
        <f>IFERROR(VLOOKUP($AQ40,SortedDownload!$B$3:$Z$489,16,FALSE),"")</f>
        <v>202</v>
      </c>
      <c r="AV40" s="230" t="str">
        <f>IFERROR(VLOOKUP($AQ40,SortedDownload!$B$3:$Z$489,17,FALSE),"")</f>
        <v/>
      </c>
      <c r="AW40" s="230">
        <f>IFERROR(VLOOKUP($AQ40,SortedDownload!$B$3:$Z$489,18,FALSE),"")</f>
        <v>189</v>
      </c>
      <c r="AX40" s="230" t="str">
        <f>IFERROR(VLOOKUP($AQ40,SortedDownload!$B$3:$Z$489,19,FALSE),"")</f>
        <v/>
      </c>
      <c r="AY40" s="230" t="str">
        <f>IFERROR(VLOOKUP($AQ40,SortedDownload!$B$3:$Z$489,20,FALSE),"")</f>
        <v/>
      </c>
      <c r="AZ40" s="230" t="str">
        <f>IFERROR(VLOOKUP($AQ40,SortedDownload!$B$3:$Z$489,21,FALSE),"")</f>
        <v/>
      </c>
      <c r="BB40">
        <v>237</v>
      </c>
      <c r="BC40" t="str">
        <f>IFERROR(VLOOKUP($BB40,OverallResults!$B$3:$Z$508,2,FALSE),"")</f>
        <v>DNF</v>
      </c>
      <c r="BD40" t="str">
        <f>IFERROR(VLOOKUP($BB40,OverallResults!$B$3:$Z$508,3,FALSE),"")</f>
        <v/>
      </c>
      <c r="BE40" t="str">
        <f>IFERROR(TEXT(VLOOKUP($BB40,OverallResults!$B$3:$Z$489,17,FALSE),"[h]:mm:ss.0"),"")</f>
        <v/>
      </c>
      <c r="BF40" s="230" t="str">
        <f>IFERROR(VLOOKUP($BD40,SortedDownload!$B$3:$Z$489,14,FALSE),"")</f>
        <v/>
      </c>
      <c r="BG40" s="230" t="str">
        <f>IFERROR(VLOOKUP($BD40,SortedDownload!$B$3:$Z$489,15,FALSE),"")</f>
        <v/>
      </c>
      <c r="BH40" s="230" t="str">
        <f>IFERROR(VLOOKUP($BD40,SortedDownload!$B$3:$Z$489,16,FALSE),"")</f>
        <v/>
      </c>
      <c r="BI40" s="230" t="str">
        <f>IFERROR(VLOOKUP($BD40,SortedDownload!$B$3:$Z$489,17,FALSE),"")</f>
        <v/>
      </c>
      <c r="BJ40" s="230" t="str">
        <f>IFERROR(VLOOKUP($BD40,SortedDownload!$B$3:$Z$489,18,FALSE),"")</f>
        <v/>
      </c>
      <c r="BK40" s="230" t="str">
        <f>IFERROR(VLOOKUP($BD40,SortedDownload!$B$3:$Z$489,19,FALSE),"")</f>
        <v/>
      </c>
      <c r="BL40" s="230" t="str">
        <f>IFERROR(VLOOKUP($BD40,SortedDownload!$B$3:$Z$489,20,FALSE),"")</f>
        <v/>
      </c>
      <c r="BM40" s="230" t="str">
        <f>IFERROR(VLOOKUP($BD40,SortedDownload!$B$3:$Z$489,21,FALSE),"")</f>
        <v/>
      </c>
      <c r="BS40" s="230"/>
      <c r="BT40" s="230"/>
      <c r="BU40" s="230"/>
      <c r="BV40" s="230"/>
      <c r="BW40" s="230" t="str">
        <f>IFERROR(VLOOKUP($BQ40,SortedDownload!$B$3:$Z$489,18,FALSE),"")</f>
        <v/>
      </c>
      <c r="BX40" s="230" t="str">
        <f>IFERROR(VLOOKUP($BQ40,SortedDownload!$B$3:$Z$489,19,FALSE),"")</f>
        <v/>
      </c>
      <c r="BY40" s="230" t="str">
        <f>IFERROR(VLOOKUP($BQ40,SortedDownload!$B$3:$Z$489,20,FALSE),"")</f>
        <v/>
      </c>
      <c r="BZ40" s="230" t="str">
        <f>IFERROR(VLOOKUP($BQ40,SortedDownload!$B$3:$Z$489,21,FALSE),"")</f>
        <v/>
      </c>
    </row>
    <row r="41" spans="2:78">
      <c r="B41">
        <v>38</v>
      </c>
      <c r="C41">
        <f>IFERROR(VLOOKUP($B41,OverallResults!$B$3:$Z$508,2,FALSE),"")</f>
        <v>6</v>
      </c>
      <c r="D41" t="str">
        <f>IFERROR(VLOOKUP($B41,OverallResults!$B$3:$Z$508,3,FALSE),"")</f>
        <v>Stefan Boshoff</v>
      </c>
      <c r="E41" t="str">
        <f>IFERROR(TEXT(VLOOKUP($B41,OverallResults!$B$3:$Z$489,17,FALSE),"[h]:mm:ss.0"),"")</f>
        <v>0:19:15.3</v>
      </c>
      <c r="F41" s="230">
        <f>IFERROR(VLOOKUP($D41,SortedDownload!$B$3:$Z$489,14,FALSE),"")</f>
        <v>37</v>
      </c>
      <c r="G41" s="230">
        <f>IFERROR(VLOOKUP($D41,SortedDownload!$B$3:$Z$489,15,FALSE),"")</f>
        <v>46</v>
      </c>
      <c r="H41" s="230">
        <f>IFERROR(VLOOKUP($D41,SortedDownload!$B$3:$Z$489,16,FALSE),"")</f>
        <v>26</v>
      </c>
      <c r="I41" s="230">
        <f>IFERROR(VLOOKUP($D41,SortedDownload!$B$3:$Z$489,17,FALSE),"")</f>
        <v>38</v>
      </c>
      <c r="J41" s="230">
        <f>IFERROR(VLOOKUP($D41,SortedDownload!$B$3:$Z$489,18,FALSE),"")</f>
        <v>54</v>
      </c>
      <c r="K41" s="230" t="str">
        <f>IFERROR(VLOOKUP($D41,SortedDownload!$B$3:$Z$489,19,FALSE),"")</f>
        <v/>
      </c>
      <c r="L41" s="230" t="str">
        <f>IFERROR(VLOOKUP($D41,SortedDownload!$B$3:$Z$489,20,FALSE),"")</f>
        <v/>
      </c>
      <c r="M41" s="230" t="str">
        <f>IFERROR(VLOOKUP($D41,SortedDownload!$B$3:$Z$489,21,FALSE),"")</f>
        <v/>
      </c>
      <c r="O41">
        <v>88</v>
      </c>
      <c r="P41">
        <f>IFERROR(VLOOKUP($O41,OverallResults!$B$3:$Z$508,2,FALSE),"")</f>
        <v>24</v>
      </c>
      <c r="Q41" t="str">
        <f>IFERROR(VLOOKUP($O41,OverallResults!$B$3:$Z$508,3,FALSE),"")</f>
        <v>Bjorn Train</v>
      </c>
      <c r="R41" t="str">
        <f>IFERROR(TEXT(VLOOKUP($O41,OverallResults!$B$3:$Z$489,17,FALSE),"[h]:mm:ss.0"),"")</f>
        <v>0:22:25.6</v>
      </c>
      <c r="S41" s="230">
        <f>IFERROR(VLOOKUP($Q41,SortedDownload!$B$3:$Z$489,14,FALSE),"")</f>
        <v>109</v>
      </c>
      <c r="T41" s="230">
        <f>IFERROR(VLOOKUP($Q41,SortedDownload!$B$3:$Z$489,15,FALSE),"")</f>
        <v>118</v>
      </c>
      <c r="U41" s="230">
        <f>IFERROR(VLOOKUP($Q41,SortedDownload!$B$3:$Z$489,16,FALSE),"")</f>
        <v>91</v>
      </c>
      <c r="V41" s="230">
        <f>IFERROR(VLOOKUP($Q41,SortedDownload!$B$3:$Z$489,17,FALSE),"")</f>
        <v>79</v>
      </c>
      <c r="W41" s="230">
        <f>IFERROR(VLOOKUP($Q41,SortedDownload!$B$3:$Z$489,18,FALSE),"")</f>
        <v>105</v>
      </c>
      <c r="X41" s="230" t="str">
        <f>IFERROR(VLOOKUP($Q41,SortedDownload!$B$3:$Z$489,19,FALSE),"")</f>
        <v/>
      </c>
      <c r="Y41" s="230" t="str">
        <f>IFERROR(VLOOKUP($Q41,SortedDownload!$B$3:$Z$489,20,FALSE),"")</f>
        <v/>
      </c>
      <c r="Z41" s="230" t="str">
        <f>IFERROR(VLOOKUP($Q41,SortedDownload!$B$3:$Z$489,21,FALSE),"")</f>
        <v/>
      </c>
      <c r="AB41">
        <v>138</v>
      </c>
      <c r="AC41">
        <f>IFERROR(VLOOKUP($AB41,OverallResults!$B$3:$Z$508,2,FALSE),"")</f>
        <v>5</v>
      </c>
      <c r="AD41" t="str">
        <f>IFERROR(VLOOKUP($AB41,OverallResults!$B$3:$Z$508,3,FALSE),"")</f>
        <v>Heinrich Vreken</v>
      </c>
      <c r="AE41" t="str">
        <f>IFERROR(TEXT(VLOOKUP($AB41,OverallResults!$B$3:$Z$489,17,FALSE),"[h]:mm:ss.0"),"")</f>
        <v>0:11:58.7</v>
      </c>
      <c r="AF41" s="230" t="str">
        <f>IFERROR(VLOOKUP($AD41,SortedDownload!$B$3:$Z$489,14,FALSE),"")</f>
        <v/>
      </c>
      <c r="AG41" s="230">
        <f>IFERROR(VLOOKUP($AD41,SortedDownload!$B$3:$Z$489,15,FALSE),"")</f>
        <v>85</v>
      </c>
      <c r="AH41" s="230">
        <f>IFERROR(VLOOKUP($AD41,SortedDownload!$B$3:$Z$489,16,FALSE),"")</f>
        <v>68</v>
      </c>
      <c r="AI41" s="230" t="str">
        <f>IFERROR(VLOOKUP($AD41,SortedDownload!$B$3:$Z$489,17,FALSE),"")</f>
        <v/>
      </c>
      <c r="AJ41" s="230">
        <f>IFERROR(VLOOKUP($AD41,SortedDownload!$B$3:$Z$489,18,FALSE),"")</f>
        <v>71</v>
      </c>
      <c r="AK41" s="230" t="str">
        <f>IFERROR(VLOOKUP($AD41,SortedDownload!$B$3:$Z$489,19,FALSE),"")</f>
        <v/>
      </c>
      <c r="AL41" s="230" t="str">
        <f>IFERROR(VLOOKUP($AD41,SortedDownload!$B$3:$Z$489,20,FALSE),"")</f>
        <v/>
      </c>
      <c r="AM41" s="230" t="str">
        <f>IFERROR(VLOOKUP($AD41,SortedDownload!$B$3:$Z$489,21,FALSE),"")</f>
        <v/>
      </c>
      <c r="AO41">
        <v>188</v>
      </c>
      <c r="AP41">
        <f>IFERROR(VLOOKUP($AO41,OverallResults!$B$3:$Z$508,2,FALSE),"")</f>
        <v>31</v>
      </c>
      <c r="AQ41" t="str">
        <f>IFERROR(VLOOKUP($AO41,OverallResults!$B$3:$Z$508,3,FALSE),"")</f>
        <v>Shane Robert</v>
      </c>
      <c r="AR41" t="str">
        <f>IFERROR(TEXT(VLOOKUP($AO41,OverallResults!$B$3:$Z$489,17,FALSE),"[h]:mm:ss.0"),"")</f>
        <v>0:14:33.3</v>
      </c>
      <c r="AS41" s="230" t="str">
        <f>IFERROR(VLOOKUP($AQ41,SortedDownload!$B$3:$Z$489,14,FALSE),"")</f>
        <v/>
      </c>
      <c r="AT41" s="230">
        <f>IFERROR(VLOOKUP($AQ41,SortedDownload!$B$3:$Z$489,15,FALSE),"")</f>
        <v>195</v>
      </c>
      <c r="AU41" s="230">
        <f>IFERROR(VLOOKUP($AQ41,SortedDownload!$B$3:$Z$489,16,FALSE),"")</f>
        <v>210</v>
      </c>
      <c r="AV41" s="230" t="str">
        <f>IFERROR(VLOOKUP($AQ41,SortedDownload!$B$3:$Z$489,17,FALSE),"")</f>
        <v/>
      </c>
      <c r="AW41" s="230">
        <f>IFERROR(VLOOKUP($AQ41,SortedDownload!$B$3:$Z$489,18,FALSE),"")</f>
        <v>196</v>
      </c>
      <c r="AX41" s="230" t="str">
        <f>IFERROR(VLOOKUP($AQ41,SortedDownload!$B$3:$Z$489,19,FALSE),"")</f>
        <v/>
      </c>
      <c r="AY41" s="230" t="str">
        <f>IFERROR(VLOOKUP($AQ41,SortedDownload!$B$3:$Z$489,20,FALSE),"")</f>
        <v/>
      </c>
      <c r="AZ41" s="230" t="str">
        <f>IFERROR(VLOOKUP($AQ41,SortedDownload!$B$3:$Z$489,21,FALSE),"")</f>
        <v/>
      </c>
      <c r="BB41">
        <v>238</v>
      </c>
      <c r="BC41" t="str">
        <f>IFERROR(VLOOKUP($BB41,OverallResults!$B$3:$Z$508,2,FALSE),"")</f>
        <v>DNF</v>
      </c>
      <c r="BD41" t="str">
        <f>IFERROR(VLOOKUP($BB41,OverallResults!$B$3:$Z$508,3,FALSE),"")</f>
        <v/>
      </c>
      <c r="BE41" t="str">
        <f>IFERROR(TEXT(VLOOKUP($BB41,OverallResults!$B$3:$Z$489,17,FALSE),"[h]:mm:ss.0"),"")</f>
        <v/>
      </c>
      <c r="BF41" s="230" t="str">
        <f>IFERROR(VLOOKUP($BD41,SortedDownload!$B$3:$Z$489,14,FALSE),"")</f>
        <v/>
      </c>
      <c r="BG41" s="230" t="str">
        <f>IFERROR(VLOOKUP($BD41,SortedDownload!$B$3:$Z$489,15,FALSE),"")</f>
        <v/>
      </c>
      <c r="BH41" s="230" t="str">
        <f>IFERROR(VLOOKUP($BD41,SortedDownload!$B$3:$Z$489,16,FALSE),"")</f>
        <v/>
      </c>
      <c r="BI41" s="230" t="str">
        <f>IFERROR(VLOOKUP($BD41,SortedDownload!$B$3:$Z$489,17,FALSE),"")</f>
        <v/>
      </c>
      <c r="BJ41" s="230" t="str">
        <f>IFERROR(VLOOKUP($BD41,SortedDownload!$B$3:$Z$489,18,FALSE),"")</f>
        <v/>
      </c>
      <c r="BK41" s="230" t="str">
        <f>IFERROR(VLOOKUP($BD41,SortedDownload!$B$3:$Z$489,19,FALSE),"")</f>
        <v/>
      </c>
      <c r="BL41" s="230" t="str">
        <f>IFERROR(VLOOKUP($BD41,SortedDownload!$B$3:$Z$489,20,FALSE),"")</f>
        <v/>
      </c>
      <c r="BM41" s="230" t="str">
        <f>IFERROR(VLOOKUP($BD41,SortedDownload!$B$3:$Z$489,21,FALSE),"")</f>
        <v/>
      </c>
      <c r="BS41" s="230"/>
      <c r="BT41" s="230"/>
      <c r="BU41" s="230"/>
      <c r="BV41" s="230"/>
      <c r="BW41" s="230" t="str">
        <f>IFERROR(VLOOKUP($BQ41,SortedDownload!$B$3:$Z$489,18,FALSE),"")</f>
        <v/>
      </c>
      <c r="BX41" s="230" t="str">
        <f>IFERROR(VLOOKUP($BQ41,SortedDownload!$B$3:$Z$489,19,FALSE),"")</f>
        <v/>
      </c>
      <c r="BY41" s="230" t="str">
        <f>IFERROR(VLOOKUP($BQ41,SortedDownload!$B$3:$Z$489,20,FALSE),"")</f>
        <v/>
      </c>
      <c r="BZ41" s="230" t="str">
        <f>IFERROR(VLOOKUP($BQ41,SortedDownload!$B$3:$Z$489,21,FALSE),"")</f>
        <v/>
      </c>
    </row>
    <row r="42" spans="2:78">
      <c r="B42">
        <v>39</v>
      </c>
      <c r="C42">
        <f>IFERROR(VLOOKUP($B42,OverallResults!$B$3:$Z$508,2,FALSE),"")</f>
        <v>9</v>
      </c>
      <c r="D42" t="str">
        <f>IFERROR(VLOOKUP($B42,OverallResults!$B$3:$Z$508,3,FALSE),"")</f>
        <v>Alexander Jonker</v>
      </c>
      <c r="E42" t="str">
        <f>IFERROR(TEXT(VLOOKUP($B42,OverallResults!$B$3:$Z$489,17,FALSE),"[h]:mm:ss.0"),"")</f>
        <v>0:19:17.8</v>
      </c>
      <c r="F42" s="230">
        <f>IFERROR(VLOOKUP($D42,SortedDownload!$B$3:$Z$489,14,FALSE),"")</f>
        <v>26</v>
      </c>
      <c r="G42" s="230">
        <f>IFERROR(VLOOKUP($D42,SortedDownload!$B$3:$Z$489,15,FALSE),"")</f>
        <v>73</v>
      </c>
      <c r="H42" s="230">
        <f>IFERROR(VLOOKUP($D42,SortedDownload!$B$3:$Z$489,16,FALSE),"")</f>
        <v>51</v>
      </c>
      <c r="I42" s="230">
        <f>IFERROR(VLOOKUP($D42,SortedDownload!$B$3:$Z$489,17,FALSE),"")</f>
        <v>43</v>
      </c>
      <c r="J42" s="230">
        <f>IFERROR(VLOOKUP($D42,SortedDownload!$B$3:$Z$489,18,FALSE),"")</f>
        <v>35</v>
      </c>
      <c r="K42" s="230" t="str">
        <f>IFERROR(VLOOKUP($D42,SortedDownload!$B$3:$Z$489,19,FALSE),"")</f>
        <v/>
      </c>
      <c r="L42" s="230" t="str">
        <f>IFERROR(VLOOKUP($D42,SortedDownload!$B$3:$Z$489,20,FALSE),"")</f>
        <v/>
      </c>
      <c r="M42" s="230" t="str">
        <f>IFERROR(VLOOKUP($D42,SortedDownload!$B$3:$Z$489,21,FALSE),"")</f>
        <v/>
      </c>
      <c r="O42">
        <v>89</v>
      </c>
      <c r="P42">
        <f>IFERROR(VLOOKUP($O42,OverallResults!$B$3:$Z$508,2,FALSE),"")</f>
        <v>21</v>
      </c>
      <c r="Q42" t="str">
        <f>IFERROR(VLOOKUP($O42,OverallResults!$B$3:$Z$508,3,FALSE),"")</f>
        <v>Adriaan De Waard</v>
      </c>
      <c r="R42" t="str">
        <f>IFERROR(TEXT(VLOOKUP($O42,OverallResults!$B$3:$Z$489,17,FALSE),"[h]:mm:ss.0"),"")</f>
        <v>0:22:27.1</v>
      </c>
      <c r="S42" s="230">
        <f>IFERROR(VLOOKUP($Q42,SortedDownload!$B$3:$Z$489,14,FALSE),"")</f>
        <v>74</v>
      </c>
      <c r="T42" s="230">
        <f>IFERROR(VLOOKUP($Q42,SortedDownload!$B$3:$Z$489,15,FALSE),"")</f>
        <v>119</v>
      </c>
      <c r="U42" s="230">
        <f>IFERROR(VLOOKUP($Q42,SortedDownload!$B$3:$Z$489,16,FALSE),"")</f>
        <v>105</v>
      </c>
      <c r="V42" s="230">
        <f>IFERROR(VLOOKUP($Q42,SortedDownload!$B$3:$Z$489,17,FALSE),"")</f>
        <v>109</v>
      </c>
      <c r="W42" s="230">
        <f>IFERROR(VLOOKUP($Q42,SortedDownload!$B$3:$Z$489,18,FALSE),"")</f>
        <v>159</v>
      </c>
      <c r="X42" s="230" t="str">
        <f>IFERROR(VLOOKUP($Q42,SortedDownload!$B$3:$Z$489,19,FALSE),"")</f>
        <v/>
      </c>
      <c r="Y42" s="230" t="str">
        <f>IFERROR(VLOOKUP($Q42,SortedDownload!$B$3:$Z$489,20,FALSE),"")</f>
        <v/>
      </c>
      <c r="Z42" s="230" t="str">
        <f>IFERROR(VLOOKUP($Q42,SortedDownload!$B$3:$Z$489,21,FALSE),"")</f>
        <v/>
      </c>
      <c r="AB42">
        <v>139</v>
      </c>
      <c r="AC42">
        <f>IFERROR(VLOOKUP($AB42,OverallResults!$B$3:$Z$508,2,FALSE),"")</f>
        <v>1</v>
      </c>
      <c r="AD42" t="str">
        <f>IFERROR(VLOOKUP($AB42,OverallResults!$B$3:$Z$508,3,FALSE),"")</f>
        <v>Phil Hulse</v>
      </c>
      <c r="AE42" t="str">
        <f>IFERROR(TEXT(VLOOKUP($AB42,OverallResults!$B$3:$Z$489,17,FALSE),"[h]:mm:ss.0"),"")</f>
        <v>0:11:59.4</v>
      </c>
      <c r="AF42" s="230" t="str">
        <f>IFERROR(VLOOKUP($AD42,SortedDownload!$B$3:$Z$489,14,FALSE),"")</f>
        <v/>
      </c>
      <c r="AG42" s="230">
        <f>IFERROR(VLOOKUP($AD42,SortedDownload!$B$3:$Z$489,15,FALSE),"")</f>
        <v>81</v>
      </c>
      <c r="AH42" s="230">
        <f>IFERROR(VLOOKUP($AD42,SortedDownload!$B$3:$Z$489,16,FALSE),"")</f>
        <v>70</v>
      </c>
      <c r="AI42" s="230" t="str">
        <f>IFERROR(VLOOKUP($AD42,SortedDownload!$B$3:$Z$489,17,FALSE),"")</f>
        <v/>
      </c>
      <c r="AJ42" s="230">
        <f>IFERROR(VLOOKUP($AD42,SortedDownload!$B$3:$Z$489,18,FALSE),"")</f>
        <v>74</v>
      </c>
      <c r="AK42" s="230" t="str">
        <f>IFERROR(VLOOKUP($AD42,SortedDownload!$B$3:$Z$489,19,FALSE),"")</f>
        <v/>
      </c>
      <c r="AL42" s="230" t="str">
        <f>IFERROR(VLOOKUP($AD42,SortedDownload!$B$3:$Z$489,20,FALSE),"")</f>
        <v/>
      </c>
      <c r="AM42" s="230" t="str">
        <f>IFERROR(VLOOKUP($AD42,SortedDownload!$B$3:$Z$489,21,FALSE),"")</f>
        <v/>
      </c>
      <c r="AO42">
        <v>189</v>
      </c>
      <c r="AP42">
        <f>IFERROR(VLOOKUP($AO42,OverallResults!$B$3:$Z$508,2,FALSE),"")</f>
        <v>13</v>
      </c>
      <c r="AQ42" t="str">
        <f>IFERROR(VLOOKUP($AO42,OverallResults!$B$3:$Z$508,3,FALSE),"")</f>
        <v>Carter Spolander</v>
      </c>
      <c r="AR42" t="str">
        <f>IFERROR(TEXT(VLOOKUP($AO42,OverallResults!$B$3:$Z$489,17,FALSE),"[h]:mm:ss.0"),"")</f>
        <v>0:14:35.8</v>
      </c>
      <c r="AS42" s="230" t="str">
        <f>IFERROR(VLOOKUP($AQ42,SortedDownload!$B$3:$Z$489,14,FALSE),"")</f>
        <v/>
      </c>
      <c r="AT42" s="230">
        <f>IFERROR(VLOOKUP($AQ42,SortedDownload!$B$3:$Z$489,15,FALSE),"")</f>
        <v>202</v>
      </c>
      <c r="AU42" s="230">
        <f>IFERROR(VLOOKUP($AQ42,SortedDownload!$B$3:$Z$489,16,FALSE),"")</f>
        <v>195</v>
      </c>
      <c r="AV42" s="230" t="str">
        <f>IFERROR(VLOOKUP($AQ42,SortedDownload!$B$3:$Z$489,17,FALSE),"")</f>
        <v/>
      </c>
      <c r="AW42" s="230">
        <f>IFERROR(VLOOKUP($AQ42,SortedDownload!$B$3:$Z$489,18,FALSE),"")</f>
        <v>203</v>
      </c>
      <c r="AX42" s="230" t="str">
        <f>IFERROR(VLOOKUP($AQ42,SortedDownload!$B$3:$Z$489,19,FALSE),"")</f>
        <v/>
      </c>
      <c r="AY42" s="230" t="str">
        <f>IFERROR(VLOOKUP($AQ42,SortedDownload!$B$3:$Z$489,20,FALSE),"")</f>
        <v/>
      </c>
      <c r="AZ42" s="230" t="str">
        <f>IFERROR(VLOOKUP($AQ42,SortedDownload!$B$3:$Z$489,21,FALSE),"")</f>
        <v/>
      </c>
      <c r="BB42">
        <v>239</v>
      </c>
      <c r="BC42" t="str">
        <f>IFERROR(VLOOKUP($BB42,OverallResults!$B$3:$Z$508,2,FALSE),"")</f>
        <v>DNF</v>
      </c>
      <c r="BD42" t="str">
        <f>IFERROR(VLOOKUP($BB42,OverallResults!$B$3:$Z$508,3,FALSE),"")</f>
        <v/>
      </c>
      <c r="BE42" t="str">
        <f>IFERROR(TEXT(VLOOKUP($BB42,OverallResults!$B$3:$Z$489,17,FALSE),"[h]:mm:ss.0"),"")</f>
        <v/>
      </c>
      <c r="BF42" s="230" t="str">
        <f>IFERROR(VLOOKUP($BD42,SortedDownload!$B$3:$Z$489,14,FALSE),"")</f>
        <v/>
      </c>
      <c r="BG42" s="230" t="str">
        <f>IFERROR(VLOOKUP($BD42,SortedDownload!$B$3:$Z$489,15,FALSE),"")</f>
        <v/>
      </c>
      <c r="BH42" s="230" t="str">
        <f>IFERROR(VLOOKUP($BD42,SortedDownload!$B$3:$Z$489,16,FALSE),"")</f>
        <v/>
      </c>
      <c r="BI42" s="230" t="str">
        <f>IFERROR(VLOOKUP($BD42,SortedDownload!$B$3:$Z$489,17,FALSE),"")</f>
        <v/>
      </c>
      <c r="BJ42" s="230" t="str">
        <f>IFERROR(VLOOKUP($BD42,SortedDownload!$B$3:$Z$489,18,FALSE),"")</f>
        <v/>
      </c>
      <c r="BK42" s="230" t="str">
        <f>IFERROR(VLOOKUP($BD42,SortedDownload!$B$3:$Z$489,19,FALSE),"")</f>
        <v/>
      </c>
      <c r="BL42" s="230" t="str">
        <f>IFERROR(VLOOKUP($BD42,SortedDownload!$B$3:$Z$489,20,FALSE),"")</f>
        <v/>
      </c>
      <c r="BM42" s="230" t="str">
        <f>IFERROR(VLOOKUP($BD42,SortedDownload!$B$3:$Z$489,21,FALSE),"")</f>
        <v/>
      </c>
      <c r="BS42" s="230"/>
      <c r="BT42" s="230"/>
      <c r="BU42" s="230"/>
      <c r="BV42" s="230"/>
      <c r="BW42" s="230" t="str">
        <f>IFERROR(VLOOKUP($BQ42,SortedDownload!$B$3:$Z$489,18,FALSE),"")</f>
        <v/>
      </c>
      <c r="BX42" s="230" t="str">
        <f>IFERROR(VLOOKUP($BQ42,SortedDownload!$B$3:$Z$489,19,FALSE),"")</f>
        <v/>
      </c>
      <c r="BY42" s="230" t="str">
        <f>IFERROR(VLOOKUP($BQ42,SortedDownload!$B$3:$Z$489,20,FALSE),"")</f>
        <v/>
      </c>
      <c r="BZ42" s="230" t="str">
        <f>IFERROR(VLOOKUP($BQ42,SortedDownload!$B$3:$Z$489,21,FALSE),"")</f>
        <v/>
      </c>
    </row>
    <row r="43" spans="2:78">
      <c r="B43">
        <v>40</v>
      </c>
      <c r="C43">
        <f>IFERROR(VLOOKUP($B43,OverallResults!$B$3:$Z$508,2,FALSE),"")</f>
        <v>7</v>
      </c>
      <c r="D43" t="str">
        <f>IFERROR(VLOOKUP($B43,OverallResults!$B$3:$Z$508,3,FALSE),"")</f>
        <v>Devin Toselli</v>
      </c>
      <c r="E43" t="str">
        <f>IFERROR(TEXT(VLOOKUP($B43,OverallResults!$B$3:$Z$489,17,FALSE),"[h]:mm:ss.0"),"")</f>
        <v>0:19:21.7</v>
      </c>
      <c r="F43" s="230">
        <f>IFERROR(VLOOKUP($D43,SortedDownload!$B$3:$Z$489,14,FALSE),"")</f>
        <v>43</v>
      </c>
      <c r="G43" s="230">
        <f>IFERROR(VLOOKUP($D43,SortedDownload!$B$3:$Z$489,15,FALSE),"")</f>
        <v>34</v>
      </c>
      <c r="H43" s="230">
        <f>IFERROR(VLOOKUP($D43,SortedDownload!$B$3:$Z$489,16,FALSE),"")</f>
        <v>45</v>
      </c>
      <c r="I43" s="230">
        <f>IFERROR(VLOOKUP($D43,SortedDownload!$B$3:$Z$489,17,FALSE),"")</f>
        <v>53</v>
      </c>
      <c r="J43" s="230">
        <f>IFERROR(VLOOKUP($D43,SortedDownload!$B$3:$Z$489,18,FALSE),"")</f>
        <v>41</v>
      </c>
      <c r="K43" s="230" t="str">
        <f>IFERROR(VLOOKUP($D43,SortedDownload!$B$3:$Z$489,19,FALSE),"")</f>
        <v/>
      </c>
      <c r="L43" s="230" t="str">
        <f>IFERROR(VLOOKUP($D43,SortedDownload!$B$3:$Z$489,20,FALSE),"")</f>
        <v/>
      </c>
      <c r="M43" s="230" t="str">
        <f>IFERROR(VLOOKUP($D43,SortedDownload!$B$3:$Z$489,21,FALSE),"")</f>
        <v/>
      </c>
      <c r="O43">
        <v>90</v>
      </c>
      <c r="P43">
        <f>IFERROR(VLOOKUP($O43,OverallResults!$B$3:$Z$508,2,FALSE),"")</f>
        <v>11</v>
      </c>
      <c r="Q43" t="str">
        <f>IFERROR(VLOOKUP($O43,OverallResults!$B$3:$Z$508,3,FALSE),"")</f>
        <v>Brett Wienburg</v>
      </c>
      <c r="R43" t="str">
        <f>IFERROR(TEXT(VLOOKUP($O43,OverallResults!$B$3:$Z$489,17,FALSE),"[h]:mm:ss.0"),"")</f>
        <v>0:22:29.9</v>
      </c>
      <c r="S43" s="230">
        <f>IFERROR(VLOOKUP($Q43,SortedDownload!$B$3:$Z$489,14,FALSE),"")</f>
        <v>89</v>
      </c>
      <c r="T43" s="230">
        <f>IFERROR(VLOOKUP($Q43,SortedDownload!$B$3:$Z$489,15,FALSE),"")</f>
        <v>101</v>
      </c>
      <c r="U43" s="230">
        <f>IFERROR(VLOOKUP($Q43,SortedDownload!$B$3:$Z$489,16,FALSE),"")</f>
        <v>132</v>
      </c>
      <c r="V43" s="230">
        <f>IFERROR(VLOOKUP($Q43,SortedDownload!$B$3:$Z$489,17,FALSE),"")</f>
        <v>113</v>
      </c>
      <c r="W43" s="230">
        <f>IFERROR(VLOOKUP($Q43,SortedDownload!$B$3:$Z$489,18,FALSE),"")</f>
        <v>102</v>
      </c>
      <c r="X43" s="230" t="str">
        <f>IFERROR(VLOOKUP($Q43,SortedDownload!$B$3:$Z$489,19,FALSE),"")</f>
        <v/>
      </c>
      <c r="Y43" s="230" t="str">
        <f>IFERROR(VLOOKUP($Q43,SortedDownload!$B$3:$Z$489,20,FALSE),"")</f>
        <v/>
      </c>
      <c r="Z43" s="230" t="str">
        <f>IFERROR(VLOOKUP($Q43,SortedDownload!$B$3:$Z$489,21,FALSE),"")</f>
        <v/>
      </c>
      <c r="AB43">
        <v>140</v>
      </c>
      <c r="AC43">
        <f>IFERROR(VLOOKUP($AB43,OverallResults!$B$3:$Z$508,2,FALSE),"")</f>
        <v>2</v>
      </c>
      <c r="AD43" t="str">
        <f>IFERROR(VLOOKUP($AB43,OverallResults!$B$3:$Z$508,3,FALSE),"")</f>
        <v>Paul Combrinck</v>
      </c>
      <c r="AE43" t="str">
        <f>IFERROR(TEXT(VLOOKUP($AB43,OverallResults!$B$3:$Z$489,17,FALSE),"[h]:mm:ss.0"),"")</f>
        <v>0:12:17.2</v>
      </c>
      <c r="AF43" s="230" t="str">
        <f>IFERROR(VLOOKUP($AD43,SortedDownload!$B$3:$Z$489,14,FALSE),"")</f>
        <v/>
      </c>
      <c r="AG43" s="230">
        <f>IFERROR(VLOOKUP($AD43,SortedDownload!$B$3:$Z$489,15,FALSE),"")</f>
        <v>84</v>
      </c>
      <c r="AH43" s="230">
        <f>IFERROR(VLOOKUP($AD43,SortedDownload!$B$3:$Z$489,16,FALSE),"")</f>
        <v>114</v>
      </c>
      <c r="AI43" s="230" t="str">
        <f>IFERROR(VLOOKUP($AD43,SortedDownload!$B$3:$Z$489,17,FALSE),"")</f>
        <v/>
      </c>
      <c r="AJ43" s="230">
        <f>IFERROR(VLOOKUP($AD43,SortedDownload!$B$3:$Z$489,18,FALSE),"")</f>
        <v>79</v>
      </c>
      <c r="AK43" s="230" t="str">
        <f>IFERROR(VLOOKUP($AD43,SortedDownload!$B$3:$Z$489,19,FALSE),"")</f>
        <v/>
      </c>
      <c r="AL43" s="230" t="str">
        <f>IFERROR(VLOOKUP($AD43,SortedDownload!$B$3:$Z$489,20,FALSE),"")</f>
        <v/>
      </c>
      <c r="AM43" s="230" t="str">
        <f>IFERROR(VLOOKUP($AD43,SortedDownload!$B$3:$Z$489,21,FALSE),"")</f>
        <v/>
      </c>
      <c r="AO43">
        <v>190</v>
      </c>
      <c r="AP43">
        <f>IFERROR(VLOOKUP($AO43,OverallResults!$B$3:$Z$508,2,FALSE),"")</f>
        <v>32</v>
      </c>
      <c r="AQ43" t="str">
        <f>IFERROR(VLOOKUP($AO43,OverallResults!$B$3:$Z$508,3,FALSE),"")</f>
        <v>Schalk Duvenage</v>
      </c>
      <c r="AR43" t="str">
        <f>IFERROR(TEXT(VLOOKUP($AO43,OverallResults!$B$3:$Z$489,17,FALSE),"[h]:mm:ss.0"),"")</f>
        <v>0:14:43.1</v>
      </c>
      <c r="AS43" s="230" t="str">
        <f>IFERROR(VLOOKUP($AQ43,SortedDownload!$B$3:$Z$489,14,FALSE),"")</f>
        <v/>
      </c>
      <c r="AT43" s="230">
        <f>IFERROR(VLOOKUP($AQ43,SortedDownload!$B$3:$Z$489,15,FALSE),"")</f>
        <v>213</v>
      </c>
      <c r="AU43" s="230">
        <f>IFERROR(VLOOKUP($AQ43,SortedDownload!$B$3:$Z$489,16,FALSE),"")</f>
        <v>199</v>
      </c>
      <c r="AV43" s="230" t="str">
        <f>IFERROR(VLOOKUP($AQ43,SortedDownload!$B$3:$Z$489,17,FALSE),"")</f>
        <v/>
      </c>
      <c r="AW43" s="230">
        <f>IFERROR(VLOOKUP($AQ43,SortedDownload!$B$3:$Z$489,18,FALSE),"")</f>
        <v>194</v>
      </c>
      <c r="AX43" s="230" t="str">
        <f>IFERROR(VLOOKUP($AQ43,SortedDownload!$B$3:$Z$489,19,FALSE),"")</f>
        <v/>
      </c>
      <c r="AY43" s="230" t="str">
        <f>IFERROR(VLOOKUP($AQ43,SortedDownload!$B$3:$Z$489,20,FALSE),"")</f>
        <v/>
      </c>
      <c r="AZ43" s="230" t="str">
        <f>IFERROR(VLOOKUP($AQ43,SortedDownload!$B$3:$Z$489,21,FALSE),"")</f>
        <v/>
      </c>
      <c r="BB43">
        <v>240</v>
      </c>
      <c r="BC43" t="str">
        <f>IFERROR(VLOOKUP($BB43,OverallResults!$B$3:$Z$508,2,FALSE),"")</f>
        <v>DNF</v>
      </c>
      <c r="BD43" t="str">
        <f>IFERROR(VLOOKUP($BB43,OverallResults!$B$3:$Z$508,3,FALSE),"")</f>
        <v/>
      </c>
      <c r="BE43" t="str">
        <f>IFERROR(TEXT(VLOOKUP($BB43,OverallResults!$B$3:$Z$489,17,FALSE),"[h]:mm:ss.0"),"")</f>
        <v/>
      </c>
      <c r="BF43" s="230" t="str">
        <f>IFERROR(VLOOKUP($BD43,SortedDownload!$B$3:$Z$489,14,FALSE),"")</f>
        <v/>
      </c>
      <c r="BG43" s="230" t="str">
        <f>IFERROR(VLOOKUP($BD43,SortedDownload!$B$3:$Z$489,15,FALSE),"")</f>
        <v/>
      </c>
      <c r="BH43" s="230" t="str">
        <f>IFERROR(VLOOKUP($BD43,SortedDownload!$B$3:$Z$489,16,FALSE),"")</f>
        <v/>
      </c>
      <c r="BI43" s="230" t="str">
        <f>IFERROR(VLOOKUP($BD43,SortedDownload!$B$3:$Z$489,17,FALSE),"")</f>
        <v/>
      </c>
      <c r="BJ43" s="230" t="str">
        <f>IFERROR(VLOOKUP($BD43,SortedDownload!$B$3:$Z$489,18,FALSE),"")</f>
        <v/>
      </c>
      <c r="BK43" s="230" t="str">
        <f>IFERROR(VLOOKUP($BD43,SortedDownload!$B$3:$Z$489,19,FALSE),"")</f>
        <v/>
      </c>
      <c r="BL43" s="230" t="str">
        <f>IFERROR(VLOOKUP($BD43,SortedDownload!$B$3:$Z$489,20,FALSE),"")</f>
        <v/>
      </c>
      <c r="BM43" s="230" t="str">
        <f>IFERROR(VLOOKUP($BD43,SortedDownload!$B$3:$Z$489,21,FALSE),"")</f>
        <v/>
      </c>
      <c r="BS43" s="230"/>
      <c r="BT43" s="230"/>
      <c r="BU43" s="230"/>
      <c r="BV43" s="230"/>
      <c r="BW43" s="230" t="str">
        <f>IFERROR(VLOOKUP($BQ43,SortedDownload!$B$3:$Z$489,18,FALSE),"")</f>
        <v/>
      </c>
      <c r="BX43" s="230" t="str">
        <f>IFERROR(VLOOKUP($BQ43,SortedDownload!$B$3:$Z$489,19,FALSE),"")</f>
        <v/>
      </c>
      <c r="BY43" s="230" t="str">
        <f>IFERROR(VLOOKUP($BQ43,SortedDownload!$B$3:$Z$489,20,FALSE),"")</f>
        <v/>
      </c>
      <c r="BZ43" s="230" t="str">
        <f>IFERROR(VLOOKUP($BQ43,SortedDownload!$B$3:$Z$489,21,FALSE),"")</f>
        <v/>
      </c>
    </row>
    <row r="44" spans="2:78">
      <c r="B44">
        <v>41</v>
      </c>
      <c r="C44">
        <f>IFERROR(VLOOKUP($B44,OverallResults!$B$3:$Z$508,2,FALSE),"")</f>
        <v>10</v>
      </c>
      <c r="D44" t="str">
        <f>IFERROR(VLOOKUP($B44,OverallResults!$B$3:$Z$508,3,FALSE),"")</f>
        <v>Christian Mocke'</v>
      </c>
      <c r="E44" t="str">
        <f>IFERROR(TEXT(VLOOKUP($B44,OverallResults!$B$3:$Z$489,17,FALSE),"[h]:mm:ss.0"),"")</f>
        <v>0:19:24.3</v>
      </c>
      <c r="F44" s="230">
        <f>IFERROR(VLOOKUP($D44,SortedDownload!$B$3:$Z$489,14,FALSE),"")</f>
        <v>36</v>
      </c>
      <c r="G44" s="230">
        <f>IFERROR(VLOOKUP($D44,SortedDownload!$B$3:$Z$489,15,FALSE),"")</f>
        <v>68</v>
      </c>
      <c r="H44" s="230">
        <f>IFERROR(VLOOKUP($D44,SortedDownload!$B$3:$Z$489,16,FALSE),"")</f>
        <v>49</v>
      </c>
      <c r="I44" s="230">
        <f>IFERROR(VLOOKUP($D44,SortedDownload!$B$3:$Z$489,17,FALSE),"")</f>
        <v>37</v>
      </c>
      <c r="J44" s="230">
        <f>IFERROR(VLOOKUP($D44,SortedDownload!$B$3:$Z$489,18,FALSE),"")</f>
        <v>45</v>
      </c>
      <c r="K44" s="230" t="str">
        <f>IFERROR(VLOOKUP($D44,SortedDownload!$B$3:$Z$489,19,FALSE),"")</f>
        <v/>
      </c>
      <c r="L44" s="230" t="str">
        <f>IFERROR(VLOOKUP($D44,SortedDownload!$B$3:$Z$489,20,FALSE),"")</f>
        <v/>
      </c>
      <c r="M44" s="230" t="str">
        <f>IFERROR(VLOOKUP($D44,SortedDownload!$B$3:$Z$489,21,FALSE),"")</f>
        <v/>
      </c>
      <c r="O44">
        <v>91</v>
      </c>
      <c r="P44">
        <f>IFERROR(VLOOKUP($O44,OverallResults!$B$3:$Z$508,2,FALSE),"")</f>
        <v>22</v>
      </c>
      <c r="Q44" t="str">
        <f>IFERROR(VLOOKUP($O44,OverallResults!$B$3:$Z$508,3,FALSE),"")</f>
        <v>Julian Burke</v>
      </c>
      <c r="R44" t="str">
        <f>IFERROR(TEXT(VLOOKUP($O44,OverallResults!$B$3:$Z$489,17,FALSE),"[h]:mm:ss.0"),"")</f>
        <v>0:22:30.6</v>
      </c>
      <c r="S44" s="230">
        <f>IFERROR(VLOOKUP($Q44,SortedDownload!$B$3:$Z$489,14,FALSE),"")</f>
        <v>91</v>
      </c>
      <c r="T44" s="230">
        <f>IFERROR(VLOOKUP($Q44,SortedDownload!$B$3:$Z$489,15,FALSE),"")</f>
        <v>123</v>
      </c>
      <c r="U44" s="230">
        <f>IFERROR(VLOOKUP($Q44,SortedDownload!$B$3:$Z$489,16,FALSE),"")</f>
        <v>154</v>
      </c>
      <c r="V44" s="230">
        <f>IFERROR(VLOOKUP($Q44,SortedDownload!$B$3:$Z$489,17,FALSE),"")</f>
        <v>90</v>
      </c>
      <c r="W44" s="230">
        <f>IFERROR(VLOOKUP($Q44,SortedDownload!$B$3:$Z$489,18,FALSE),"")</f>
        <v>121</v>
      </c>
      <c r="X44" s="230" t="str">
        <f>IFERROR(VLOOKUP($Q44,SortedDownload!$B$3:$Z$489,19,FALSE),"")</f>
        <v/>
      </c>
      <c r="Y44" s="230" t="str">
        <f>IFERROR(VLOOKUP($Q44,SortedDownload!$B$3:$Z$489,20,FALSE),"")</f>
        <v/>
      </c>
      <c r="Z44" s="230" t="str">
        <f>IFERROR(VLOOKUP($Q44,SortedDownload!$B$3:$Z$489,21,FALSE),"")</f>
        <v/>
      </c>
      <c r="AB44">
        <v>141</v>
      </c>
      <c r="AC44">
        <f>IFERROR(VLOOKUP($AB44,OverallResults!$B$3:$Z$508,2,FALSE),"")</f>
        <v>3</v>
      </c>
      <c r="AD44" t="str">
        <f>IFERROR(VLOOKUP($AB44,OverallResults!$B$3:$Z$508,3,FALSE),"")</f>
        <v>Jack Goosen</v>
      </c>
      <c r="AE44" t="str">
        <f>IFERROR(TEXT(VLOOKUP($AB44,OverallResults!$B$3:$Z$489,17,FALSE),"[h]:mm:ss.0"),"")</f>
        <v>0:12:26.8</v>
      </c>
      <c r="AF44" s="230" t="str">
        <f>IFERROR(VLOOKUP($AD44,SortedDownload!$B$3:$Z$489,14,FALSE),"")</f>
        <v/>
      </c>
      <c r="AG44" s="230">
        <f>IFERROR(VLOOKUP($AD44,SortedDownload!$B$3:$Z$489,15,FALSE),"")</f>
        <v>126</v>
      </c>
      <c r="AH44" s="230">
        <f>IFERROR(VLOOKUP($AD44,SortedDownload!$B$3:$Z$489,16,FALSE),"")</f>
        <v>85</v>
      </c>
      <c r="AI44" s="230" t="str">
        <f>IFERROR(VLOOKUP($AD44,SortedDownload!$B$3:$Z$489,17,FALSE),"")</f>
        <v/>
      </c>
      <c r="AJ44" s="230">
        <f>IFERROR(VLOOKUP($AD44,SortedDownload!$B$3:$Z$489,18,FALSE),"")</f>
        <v>80</v>
      </c>
      <c r="AK44" s="230" t="str">
        <f>IFERROR(VLOOKUP($AD44,SortedDownload!$B$3:$Z$489,19,FALSE),"")</f>
        <v/>
      </c>
      <c r="AL44" s="230" t="str">
        <f>IFERROR(VLOOKUP($AD44,SortedDownload!$B$3:$Z$489,20,FALSE),"")</f>
        <v/>
      </c>
      <c r="AM44" s="230" t="str">
        <f>IFERROR(VLOOKUP($AD44,SortedDownload!$B$3:$Z$489,21,FALSE),"")</f>
        <v/>
      </c>
      <c r="AO44">
        <v>191</v>
      </c>
      <c r="AP44">
        <f>IFERROR(VLOOKUP($AO44,OverallResults!$B$3:$Z$508,2,FALSE),"")</f>
        <v>6</v>
      </c>
      <c r="AQ44" t="str">
        <f>IFERROR(VLOOKUP($AO44,OverallResults!$B$3:$Z$508,3,FALSE),"")</f>
        <v>Jeanie De Villiers</v>
      </c>
      <c r="AR44" t="str">
        <f>IFERROR(TEXT(VLOOKUP($AO44,OverallResults!$B$3:$Z$489,17,FALSE),"[h]:mm:ss.0"),"")</f>
        <v>0:14:43.6</v>
      </c>
      <c r="AS44" s="230" t="str">
        <f>IFERROR(VLOOKUP($AQ44,SortedDownload!$B$3:$Z$489,14,FALSE),"")</f>
        <v/>
      </c>
      <c r="AT44" s="230">
        <f>IFERROR(VLOOKUP($AQ44,SortedDownload!$B$3:$Z$489,15,FALSE),"")</f>
        <v>216</v>
      </c>
      <c r="AU44" s="230">
        <f>IFERROR(VLOOKUP($AQ44,SortedDownload!$B$3:$Z$489,16,FALSE),"")</f>
        <v>204</v>
      </c>
      <c r="AV44" s="230" t="str">
        <f>IFERROR(VLOOKUP($AQ44,SortedDownload!$B$3:$Z$489,17,FALSE),"")</f>
        <v/>
      </c>
      <c r="AW44" s="230">
        <f>IFERROR(VLOOKUP($AQ44,SortedDownload!$B$3:$Z$489,18,FALSE),"")</f>
        <v>187</v>
      </c>
      <c r="AX44" s="230" t="str">
        <f>IFERROR(VLOOKUP($AQ44,SortedDownload!$B$3:$Z$489,19,FALSE),"")</f>
        <v/>
      </c>
      <c r="AY44" s="230" t="str">
        <f>IFERROR(VLOOKUP($AQ44,SortedDownload!$B$3:$Z$489,20,FALSE),"")</f>
        <v/>
      </c>
      <c r="AZ44" s="230" t="str">
        <f>IFERROR(VLOOKUP($AQ44,SortedDownload!$B$3:$Z$489,21,FALSE),"")</f>
        <v/>
      </c>
      <c r="BB44">
        <v>241</v>
      </c>
      <c r="BC44" t="str">
        <f>IFERROR(VLOOKUP($BB44,OverallResults!$B$3:$Z$508,2,FALSE),"")</f>
        <v>DNF</v>
      </c>
      <c r="BD44" t="str">
        <f>IFERROR(VLOOKUP($BB44,OverallResults!$B$3:$Z$508,3,FALSE),"")</f>
        <v/>
      </c>
      <c r="BE44" t="str">
        <f>IFERROR(TEXT(VLOOKUP($BB44,OverallResults!$B$3:$Z$489,17,FALSE),"[h]:mm:ss.0"),"")</f>
        <v/>
      </c>
      <c r="BF44" s="230" t="str">
        <f>IFERROR(VLOOKUP($BD44,SortedDownload!$B$3:$Z$489,14,FALSE),"")</f>
        <v/>
      </c>
      <c r="BG44" s="230" t="str">
        <f>IFERROR(VLOOKUP($BD44,SortedDownload!$B$3:$Z$489,15,FALSE),"")</f>
        <v/>
      </c>
      <c r="BH44" s="230" t="str">
        <f>IFERROR(VLOOKUP($BD44,SortedDownload!$B$3:$Z$489,16,FALSE),"")</f>
        <v/>
      </c>
      <c r="BI44" s="230" t="str">
        <f>IFERROR(VLOOKUP($BD44,SortedDownload!$B$3:$Z$489,17,FALSE),"")</f>
        <v/>
      </c>
      <c r="BJ44" s="230" t="str">
        <f>IFERROR(VLOOKUP($BD44,SortedDownload!$B$3:$Z$489,18,FALSE),"")</f>
        <v/>
      </c>
      <c r="BK44" s="230" t="str">
        <f>IFERROR(VLOOKUP($BD44,SortedDownload!$B$3:$Z$489,19,FALSE),"")</f>
        <v/>
      </c>
      <c r="BL44" s="230" t="str">
        <f>IFERROR(VLOOKUP($BD44,SortedDownload!$B$3:$Z$489,20,FALSE),"")</f>
        <v/>
      </c>
      <c r="BM44" s="230" t="str">
        <f>IFERROR(VLOOKUP($BD44,SortedDownload!$B$3:$Z$489,21,FALSE),"")</f>
        <v/>
      </c>
      <c r="BS44" s="230"/>
      <c r="BT44" s="230"/>
      <c r="BU44" s="230"/>
      <c r="BV44" s="230"/>
      <c r="BW44" s="230" t="str">
        <f>IFERROR(VLOOKUP($BQ44,SortedDownload!$B$3:$Z$489,18,FALSE),"")</f>
        <v/>
      </c>
      <c r="BX44" s="230" t="str">
        <f>IFERROR(VLOOKUP($BQ44,SortedDownload!$B$3:$Z$489,19,FALSE),"")</f>
        <v/>
      </c>
      <c r="BY44" s="230" t="str">
        <f>IFERROR(VLOOKUP($BQ44,SortedDownload!$B$3:$Z$489,20,FALSE),"")</f>
        <v/>
      </c>
      <c r="BZ44" s="230" t="str">
        <f>IFERROR(VLOOKUP($BQ44,SortedDownload!$B$3:$Z$489,21,FALSE),"")</f>
        <v/>
      </c>
    </row>
    <row r="45" spans="2:78">
      <c r="B45">
        <v>42</v>
      </c>
      <c r="C45">
        <f>IFERROR(VLOOKUP($B45,OverallResults!$B$3:$Z$508,2,FALSE),"")</f>
        <v>11</v>
      </c>
      <c r="D45" t="str">
        <f>IFERROR(VLOOKUP($B45,OverallResults!$B$3:$Z$508,3,FALSE),"")</f>
        <v>Jaco Van Zyl</v>
      </c>
      <c r="E45" t="str">
        <f>IFERROR(TEXT(VLOOKUP($B45,OverallResults!$B$3:$Z$489,17,FALSE),"[h]:mm:ss.0"),"")</f>
        <v>0:19:28.1</v>
      </c>
      <c r="F45" s="230">
        <f>IFERROR(VLOOKUP($D45,SortedDownload!$B$3:$Z$489,14,FALSE),"")</f>
        <v>50</v>
      </c>
      <c r="G45" s="230">
        <f>IFERROR(VLOOKUP($D45,SortedDownload!$B$3:$Z$489,15,FALSE),"")</f>
        <v>54</v>
      </c>
      <c r="H45" s="230">
        <f>IFERROR(VLOOKUP($D45,SortedDownload!$B$3:$Z$489,16,FALSE),"")</f>
        <v>35</v>
      </c>
      <c r="I45" s="230">
        <f>IFERROR(VLOOKUP($D45,SortedDownload!$B$3:$Z$489,17,FALSE),"")</f>
        <v>39</v>
      </c>
      <c r="J45" s="230">
        <f>IFERROR(VLOOKUP($D45,SortedDownload!$B$3:$Z$489,18,FALSE),"")</f>
        <v>47</v>
      </c>
      <c r="K45" s="230" t="str">
        <f>IFERROR(VLOOKUP($D45,SortedDownload!$B$3:$Z$489,19,FALSE),"")</f>
        <v/>
      </c>
      <c r="L45" s="230" t="str">
        <f>IFERROR(VLOOKUP($D45,SortedDownload!$B$3:$Z$489,20,FALSE),"")</f>
        <v/>
      </c>
      <c r="M45" s="230" t="str">
        <f>IFERROR(VLOOKUP($D45,SortedDownload!$B$3:$Z$489,21,FALSE),"")</f>
        <v/>
      </c>
      <c r="O45">
        <v>92</v>
      </c>
      <c r="P45">
        <f>IFERROR(VLOOKUP($O45,OverallResults!$B$3:$Z$508,2,FALSE),"")</f>
        <v>23</v>
      </c>
      <c r="Q45" t="str">
        <f>IFERROR(VLOOKUP($O45,OverallResults!$B$3:$Z$508,3,FALSE),"")</f>
        <v>Eugene Elliott</v>
      </c>
      <c r="R45" t="str">
        <f>IFERROR(TEXT(VLOOKUP($O45,OverallResults!$B$3:$Z$489,17,FALSE),"[h]:mm:ss.0"),"")</f>
        <v>0:22:32.8</v>
      </c>
      <c r="S45" s="230">
        <f>IFERROR(VLOOKUP($Q45,SortedDownload!$B$3:$Z$489,14,FALSE),"")</f>
        <v>104</v>
      </c>
      <c r="T45" s="230">
        <f>IFERROR(VLOOKUP($Q45,SortedDownload!$B$3:$Z$489,15,FALSE),"")</f>
        <v>135</v>
      </c>
      <c r="U45" s="230">
        <f>IFERROR(VLOOKUP($Q45,SortedDownload!$B$3:$Z$489,16,FALSE),"")</f>
        <v>128</v>
      </c>
      <c r="V45" s="230">
        <f>IFERROR(VLOOKUP($Q45,SortedDownload!$B$3:$Z$489,17,FALSE),"")</f>
        <v>91</v>
      </c>
      <c r="W45" s="230">
        <f>IFERROR(VLOOKUP($Q45,SortedDownload!$B$3:$Z$489,18,FALSE),"")</f>
        <v>97</v>
      </c>
      <c r="X45" s="230" t="str">
        <f>IFERROR(VLOOKUP($Q45,SortedDownload!$B$3:$Z$489,19,FALSE),"")</f>
        <v/>
      </c>
      <c r="Y45" s="230" t="str">
        <f>IFERROR(VLOOKUP($Q45,SortedDownload!$B$3:$Z$489,20,FALSE),"")</f>
        <v/>
      </c>
      <c r="Z45" s="230" t="str">
        <f>IFERROR(VLOOKUP($Q45,SortedDownload!$B$3:$Z$489,21,FALSE),"")</f>
        <v/>
      </c>
      <c r="AB45">
        <v>142</v>
      </c>
      <c r="AC45">
        <f>IFERROR(VLOOKUP($AB45,OverallResults!$B$3:$Z$508,2,FALSE),"")</f>
        <v>4</v>
      </c>
      <c r="AD45" t="str">
        <f>IFERROR(VLOOKUP($AB45,OverallResults!$B$3:$Z$508,3,FALSE),"")</f>
        <v>Jonathan Dunkley</v>
      </c>
      <c r="AE45" t="str">
        <f>IFERROR(TEXT(VLOOKUP($AB45,OverallResults!$B$3:$Z$489,17,FALSE),"[h]:mm:ss.0"),"")</f>
        <v>0:12:28.2</v>
      </c>
      <c r="AF45" s="230" t="str">
        <f>IFERROR(VLOOKUP($AD45,SortedDownload!$B$3:$Z$489,14,FALSE),"")</f>
        <v/>
      </c>
      <c r="AG45" s="230">
        <f>IFERROR(VLOOKUP($AD45,SortedDownload!$B$3:$Z$489,15,FALSE),"")</f>
        <v>91</v>
      </c>
      <c r="AH45" s="230">
        <f>IFERROR(VLOOKUP($AD45,SortedDownload!$B$3:$Z$489,16,FALSE),"")</f>
        <v>120</v>
      </c>
      <c r="AI45" s="230" t="str">
        <f>IFERROR(VLOOKUP($AD45,SortedDownload!$B$3:$Z$489,17,FALSE),"")</f>
        <v/>
      </c>
      <c r="AJ45" s="230">
        <f>IFERROR(VLOOKUP($AD45,SortedDownload!$B$3:$Z$489,18,FALSE),"")</f>
        <v>96</v>
      </c>
      <c r="AK45" s="230" t="str">
        <f>IFERROR(VLOOKUP($AD45,SortedDownload!$B$3:$Z$489,19,FALSE),"")</f>
        <v/>
      </c>
      <c r="AL45" s="230" t="str">
        <f>IFERROR(VLOOKUP($AD45,SortedDownload!$B$3:$Z$489,20,FALSE),"")</f>
        <v/>
      </c>
      <c r="AM45" s="230" t="str">
        <f>IFERROR(VLOOKUP($AD45,SortedDownload!$B$3:$Z$489,21,FALSE),"")</f>
        <v/>
      </c>
      <c r="AO45">
        <v>192</v>
      </c>
      <c r="AP45">
        <f>IFERROR(VLOOKUP($AO45,OverallResults!$B$3:$Z$508,2,FALSE),"")</f>
        <v>33</v>
      </c>
      <c r="AQ45" t="str">
        <f>IFERROR(VLOOKUP($AO45,OverallResults!$B$3:$Z$508,3,FALSE),"")</f>
        <v>Adeeb Said</v>
      </c>
      <c r="AR45" t="str">
        <f>IFERROR(TEXT(VLOOKUP($AO45,OverallResults!$B$3:$Z$489,17,FALSE),"[h]:mm:ss.0"),"")</f>
        <v>0:14:45.3</v>
      </c>
      <c r="AS45" s="230" t="str">
        <f>IFERROR(VLOOKUP($AQ45,SortedDownload!$B$3:$Z$489,14,FALSE),"")</f>
        <v/>
      </c>
      <c r="AT45" s="230">
        <f>IFERROR(VLOOKUP($AQ45,SortedDownload!$B$3:$Z$489,15,FALSE),"")</f>
        <v>211</v>
      </c>
      <c r="AU45" s="230">
        <f>IFERROR(VLOOKUP($AQ45,SortedDownload!$B$3:$Z$489,16,FALSE),"")</f>
        <v>191</v>
      </c>
      <c r="AV45" s="230" t="str">
        <f>IFERROR(VLOOKUP($AQ45,SortedDownload!$B$3:$Z$489,17,FALSE),"")</f>
        <v/>
      </c>
      <c r="AW45" s="230">
        <f>IFERROR(VLOOKUP($AQ45,SortedDownload!$B$3:$Z$489,18,FALSE),"")</f>
        <v>202</v>
      </c>
      <c r="AX45" s="230" t="str">
        <f>IFERROR(VLOOKUP($AQ45,SortedDownload!$B$3:$Z$489,19,FALSE),"")</f>
        <v/>
      </c>
      <c r="AY45" s="230" t="str">
        <f>IFERROR(VLOOKUP($AQ45,SortedDownload!$B$3:$Z$489,20,FALSE),"")</f>
        <v/>
      </c>
      <c r="AZ45" s="230" t="str">
        <f>IFERROR(VLOOKUP($AQ45,SortedDownload!$B$3:$Z$489,21,FALSE),"")</f>
        <v/>
      </c>
      <c r="BB45">
        <v>242</v>
      </c>
      <c r="BC45" t="str">
        <f>IFERROR(VLOOKUP($BB45,OverallResults!$B$3:$Z$508,2,FALSE),"")</f>
        <v>DNF</v>
      </c>
      <c r="BD45" t="str">
        <f>IFERROR(VLOOKUP($BB45,OverallResults!$B$3:$Z$508,3,FALSE),"")</f>
        <v/>
      </c>
      <c r="BE45" t="str">
        <f>IFERROR(TEXT(VLOOKUP($BB45,OverallResults!$B$3:$Z$489,17,FALSE),"[h]:mm:ss.0"),"")</f>
        <v/>
      </c>
      <c r="BF45" s="230" t="str">
        <f>IFERROR(VLOOKUP($BD45,SortedDownload!$B$3:$Z$489,14,FALSE),"")</f>
        <v/>
      </c>
      <c r="BG45" s="230" t="str">
        <f>IFERROR(VLOOKUP($BD45,SortedDownload!$B$3:$Z$489,15,FALSE),"")</f>
        <v/>
      </c>
      <c r="BH45" s="230" t="str">
        <f>IFERROR(VLOOKUP($BD45,SortedDownload!$B$3:$Z$489,16,FALSE),"")</f>
        <v/>
      </c>
      <c r="BI45" s="230" t="str">
        <f>IFERROR(VLOOKUP($BD45,SortedDownload!$B$3:$Z$489,17,FALSE),"")</f>
        <v/>
      </c>
      <c r="BJ45" s="230" t="str">
        <f>IFERROR(VLOOKUP($BD45,SortedDownload!$B$3:$Z$489,18,FALSE),"")</f>
        <v/>
      </c>
      <c r="BK45" s="230" t="str">
        <f>IFERROR(VLOOKUP($BD45,SortedDownload!$B$3:$Z$489,19,FALSE),"")</f>
        <v/>
      </c>
      <c r="BL45" s="230" t="str">
        <f>IFERROR(VLOOKUP($BD45,SortedDownload!$B$3:$Z$489,20,FALSE),"")</f>
        <v/>
      </c>
      <c r="BM45" s="230" t="str">
        <f>IFERROR(VLOOKUP($BD45,SortedDownload!$B$3:$Z$489,21,FALSE),"")</f>
        <v/>
      </c>
      <c r="BS45" s="230"/>
      <c r="BT45" s="230"/>
      <c r="BU45" s="230"/>
      <c r="BV45" s="230"/>
      <c r="BW45" s="230" t="str">
        <f>IFERROR(VLOOKUP($BQ45,SortedDownload!$B$3:$Z$489,18,FALSE),"")</f>
        <v/>
      </c>
      <c r="BX45" s="230" t="str">
        <f>IFERROR(VLOOKUP($BQ45,SortedDownload!$B$3:$Z$489,19,FALSE),"")</f>
        <v/>
      </c>
      <c r="BY45" s="230" t="str">
        <f>IFERROR(VLOOKUP($BQ45,SortedDownload!$B$3:$Z$489,20,FALSE),"")</f>
        <v/>
      </c>
      <c r="BZ45" s="230" t="str">
        <f>IFERROR(VLOOKUP($BQ45,SortedDownload!$B$3:$Z$489,21,FALSE),"")</f>
        <v/>
      </c>
    </row>
    <row r="46" spans="2:78">
      <c r="B46">
        <v>43</v>
      </c>
      <c r="C46">
        <f>IFERROR(VLOOKUP($B46,OverallResults!$B$3:$Z$508,2,FALSE),"")</f>
        <v>5</v>
      </c>
      <c r="D46" t="str">
        <f>IFERROR(VLOOKUP($B46,OverallResults!$B$3:$Z$508,3,FALSE),"")</f>
        <v>Neo Dekker</v>
      </c>
      <c r="E46" t="str">
        <f>IFERROR(TEXT(VLOOKUP($B46,OverallResults!$B$3:$Z$489,17,FALSE),"[h]:mm:ss.0"),"")</f>
        <v>0:19:29.3</v>
      </c>
      <c r="F46" s="230">
        <f>IFERROR(VLOOKUP($D46,SortedDownload!$B$3:$Z$489,14,FALSE),"")</f>
        <v>59</v>
      </c>
      <c r="G46" s="230">
        <f>IFERROR(VLOOKUP($D46,SortedDownload!$B$3:$Z$489,15,FALSE),"")</f>
        <v>28</v>
      </c>
      <c r="H46" s="230">
        <f>IFERROR(VLOOKUP($D46,SortedDownload!$B$3:$Z$489,16,FALSE),"")</f>
        <v>23</v>
      </c>
      <c r="I46" s="230">
        <f>IFERROR(VLOOKUP($D46,SortedDownload!$B$3:$Z$489,17,FALSE),"")</f>
        <v>46</v>
      </c>
      <c r="J46" s="230">
        <f>IFERROR(VLOOKUP($D46,SortedDownload!$B$3:$Z$489,18,FALSE),"")</f>
        <v>48</v>
      </c>
      <c r="K46" s="230" t="str">
        <f>IFERROR(VLOOKUP($D46,SortedDownload!$B$3:$Z$489,19,FALSE),"")</f>
        <v/>
      </c>
      <c r="L46" s="230" t="str">
        <f>IFERROR(VLOOKUP($D46,SortedDownload!$B$3:$Z$489,20,FALSE),"")</f>
        <v/>
      </c>
      <c r="M46" s="230" t="str">
        <f>IFERROR(VLOOKUP($D46,SortedDownload!$B$3:$Z$489,21,FALSE),"")</f>
        <v/>
      </c>
      <c r="O46">
        <v>93</v>
      </c>
      <c r="P46">
        <f>IFERROR(VLOOKUP($O46,OverallResults!$B$3:$Z$508,2,FALSE),"")</f>
        <v>22</v>
      </c>
      <c r="Q46" t="str">
        <f>IFERROR(VLOOKUP($O46,OverallResults!$B$3:$Z$508,3,FALSE),"")</f>
        <v>Evan Lategan</v>
      </c>
      <c r="R46" t="str">
        <f>IFERROR(TEXT(VLOOKUP($O46,OverallResults!$B$3:$Z$489,17,FALSE),"[h]:mm:ss.0"),"")</f>
        <v>0:22:34.4</v>
      </c>
      <c r="S46" s="230">
        <f>IFERROR(VLOOKUP($Q46,SortedDownload!$B$3:$Z$489,14,FALSE),"")</f>
        <v>87</v>
      </c>
      <c r="T46" s="230">
        <f>IFERROR(VLOOKUP($Q46,SortedDownload!$B$3:$Z$489,15,FALSE),"")</f>
        <v>164</v>
      </c>
      <c r="U46" s="230">
        <f>IFERROR(VLOOKUP($Q46,SortedDownload!$B$3:$Z$489,16,FALSE),"")</f>
        <v>122</v>
      </c>
      <c r="V46" s="230">
        <f>IFERROR(VLOOKUP($Q46,SortedDownload!$B$3:$Z$489,17,FALSE),"")</f>
        <v>97</v>
      </c>
      <c r="W46" s="230">
        <f>IFERROR(VLOOKUP($Q46,SortedDownload!$B$3:$Z$489,18,FALSE),"")</f>
        <v>118</v>
      </c>
      <c r="X46" s="230" t="str">
        <f>IFERROR(VLOOKUP($Q46,SortedDownload!$B$3:$Z$489,19,FALSE),"")</f>
        <v/>
      </c>
      <c r="Y46" s="230" t="str">
        <f>IFERROR(VLOOKUP($Q46,SortedDownload!$B$3:$Z$489,20,FALSE),"")</f>
        <v/>
      </c>
      <c r="Z46" s="230" t="str">
        <f>IFERROR(VLOOKUP($Q46,SortedDownload!$B$3:$Z$489,21,FALSE),"")</f>
        <v/>
      </c>
      <c r="AB46">
        <v>143</v>
      </c>
      <c r="AC46">
        <f>IFERROR(VLOOKUP($AB46,OverallResults!$B$3:$Z$508,2,FALSE),"")</f>
        <v>6</v>
      </c>
      <c r="AD46" t="str">
        <f>IFERROR(VLOOKUP($AB46,OverallResults!$B$3:$Z$508,3,FALSE),"")</f>
        <v>Aaron Budke</v>
      </c>
      <c r="AE46" t="str">
        <f>IFERROR(TEXT(VLOOKUP($AB46,OverallResults!$B$3:$Z$489,17,FALSE),"[h]:mm:ss.0"),"")</f>
        <v>0:12:29.5</v>
      </c>
      <c r="AF46" s="230" t="str">
        <f>IFERROR(VLOOKUP($AD46,SortedDownload!$B$3:$Z$489,14,FALSE),"")</f>
        <v/>
      </c>
      <c r="AG46" s="230">
        <f>IFERROR(VLOOKUP($AD46,SortedDownload!$B$3:$Z$489,15,FALSE),"")</f>
        <v>125</v>
      </c>
      <c r="AH46" s="230">
        <f>IFERROR(VLOOKUP($AD46,SortedDownload!$B$3:$Z$489,16,FALSE),"")</f>
        <v>107</v>
      </c>
      <c r="AI46" s="230" t="str">
        <f>IFERROR(VLOOKUP($AD46,SortedDownload!$B$3:$Z$489,17,FALSE),"")</f>
        <v/>
      </c>
      <c r="AJ46" s="230">
        <f>IFERROR(VLOOKUP($AD46,SortedDownload!$B$3:$Z$489,18,FALSE),"")</f>
        <v>76</v>
      </c>
      <c r="AK46" s="230" t="str">
        <f>IFERROR(VLOOKUP($AD46,SortedDownload!$B$3:$Z$489,19,FALSE),"")</f>
        <v/>
      </c>
      <c r="AL46" s="230" t="str">
        <f>IFERROR(VLOOKUP($AD46,SortedDownload!$B$3:$Z$489,20,FALSE),"")</f>
        <v/>
      </c>
      <c r="AM46" s="230" t="str">
        <f>IFERROR(VLOOKUP($AD46,SortedDownload!$B$3:$Z$489,21,FALSE),"")</f>
        <v/>
      </c>
      <c r="AO46">
        <v>193</v>
      </c>
      <c r="AP46">
        <f>IFERROR(VLOOKUP($AO46,OverallResults!$B$3:$Z$508,2,FALSE),"")</f>
        <v>6</v>
      </c>
      <c r="AQ46" t="str">
        <f>IFERROR(VLOOKUP($AO46,OverallResults!$B$3:$Z$508,3,FALSE),"")</f>
        <v>Warren Lawrence</v>
      </c>
      <c r="AR46" t="str">
        <f>IFERROR(TEXT(VLOOKUP($AO46,OverallResults!$B$3:$Z$489,17,FALSE),"[h]:mm:ss.0"),"")</f>
        <v>0:14:46.7</v>
      </c>
      <c r="AS46" s="230" t="str">
        <f>IFERROR(VLOOKUP($AQ46,SortedDownload!$B$3:$Z$489,14,FALSE),"")</f>
        <v/>
      </c>
      <c r="AT46" s="230">
        <f>IFERROR(VLOOKUP($AQ46,SortedDownload!$B$3:$Z$489,15,FALSE),"")</f>
        <v>204</v>
      </c>
      <c r="AU46" s="230">
        <f>IFERROR(VLOOKUP($AQ46,SortedDownload!$B$3:$Z$489,16,FALSE),"")</f>
        <v>200</v>
      </c>
      <c r="AV46" s="230" t="str">
        <f>IFERROR(VLOOKUP($AQ46,SortedDownload!$B$3:$Z$489,17,FALSE),"")</f>
        <v/>
      </c>
      <c r="AW46" s="230">
        <f>IFERROR(VLOOKUP($AQ46,SortedDownload!$B$3:$Z$489,18,FALSE),"")</f>
        <v>209</v>
      </c>
      <c r="AX46" s="230" t="str">
        <f>IFERROR(VLOOKUP($AQ46,SortedDownload!$B$3:$Z$489,19,FALSE),"")</f>
        <v/>
      </c>
      <c r="AY46" s="230" t="str">
        <f>IFERROR(VLOOKUP($AQ46,SortedDownload!$B$3:$Z$489,20,FALSE),"")</f>
        <v/>
      </c>
      <c r="AZ46" s="230" t="str">
        <f>IFERROR(VLOOKUP($AQ46,SortedDownload!$B$3:$Z$489,21,FALSE),"")</f>
        <v/>
      </c>
      <c r="BB46">
        <v>243</v>
      </c>
      <c r="BC46" t="str">
        <f>IFERROR(VLOOKUP($BB46,OverallResults!$B$3:$Z$508,2,FALSE),"")</f>
        <v>DNF</v>
      </c>
      <c r="BD46" t="str">
        <f>IFERROR(VLOOKUP($BB46,OverallResults!$B$3:$Z$508,3,FALSE),"")</f>
        <v/>
      </c>
      <c r="BE46" t="str">
        <f>IFERROR(TEXT(VLOOKUP($BB46,OverallResults!$B$3:$Z$489,17,FALSE),"[h]:mm:ss.0"),"")</f>
        <v/>
      </c>
      <c r="BF46" s="230" t="str">
        <f>IFERROR(VLOOKUP($BD46,SortedDownload!$B$3:$Z$489,14,FALSE),"")</f>
        <v/>
      </c>
      <c r="BG46" s="230" t="str">
        <f>IFERROR(VLOOKUP($BD46,SortedDownload!$B$3:$Z$489,15,FALSE),"")</f>
        <v/>
      </c>
      <c r="BH46" s="230" t="str">
        <f>IFERROR(VLOOKUP($BD46,SortedDownload!$B$3:$Z$489,16,FALSE),"")</f>
        <v/>
      </c>
      <c r="BI46" s="230" t="str">
        <f>IFERROR(VLOOKUP($BD46,SortedDownload!$B$3:$Z$489,17,FALSE),"")</f>
        <v/>
      </c>
      <c r="BJ46" s="230" t="str">
        <f>IFERROR(VLOOKUP($BD46,SortedDownload!$B$3:$Z$489,18,FALSE),"")</f>
        <v/>
      </c>
      <c r="BK46" s="230" t="str">
        <f>IFERROR(VLOOKUP($BD46,SortedDownload!$B$3:$Z$489,19,FALSE),"")</f>
        <v/>
      </c>
      <c r="BL46" s="230" t="str">
        <f>IFERROR(VLOOKUP($BD46,SortedDownload!$B$3:$Z$489,20,FALSE),"")</f>
        <v/>
      </c>
      <c r="BM46" s="230" t="str">
        <f>IFERROR(VLOOKUP($BD46,SortedDownload!$B$3:$Z$489,21,FALSE),"")</f>
        <v/>
      </c>
      <c r="BS46" s="230"/>
      <c r="BT46" s="230"/>
      <c r="BU46" s="230"/>
      <c r="BV46" s="230"/>
      <c r="BW46" s="230" t="str">
        <f>IFERROR(VLOOKUP($BQ46,SortedDownload!$B$3:$Z$489,18,FALSE),"")</f>
        <v/>
      </c>
      <c r="BX46" s="230" t="str">
        <f>IFERROR(VLOOKUP($BQ46,SortedDownload!$B$3:$Z$489,19,FALSE),"")</f>
        <v/>
      </c>
      <c r="BY46" s="230" t="str">
        <f>IFERROR(VLOOKUP($BQ46,SortedDownload!$B$3:$Z$489,20,FALSE),"")</f>
        <v/>
      </c>
      <c r="BZ46" s="230" t="str">
        <f>IFERROR(VLOOKUP($BQ46,SortedDownload!$B$3:$Z$489,21,FALSE),"")</f>
        <v/>
      </c>
    </row>
    <row r="47" spans="2:78">
      <c r="B47">
        <v>44</v>
      </c>
      <c r="C47">
        <f>IFERROR(VLOOKUP($B47,OverallResults!$B$3:$Z$508,2,FALSE),"")</f>
        <v>8</v>
      </c>
      <c r="D47" t="str">
        <f>IFERROR(VLOOKUP($B47,OverallResults!$B$3:$Z$508,3,FALSE),"")</f>
        <v>Theuns Louw</v>
      </c>
      <c r="E47" t="str">
        <f>IFERROR(TEXT(VLOOKUP($B47,OverallResults!$B$3:$Z$489,17,FALSE),"[h]:mm:ss.0"),"")</f>
        <v>0:19:30.8</v>
      </c>
      <c r="F47" s="230">
        <f>IFERROR(VLOOKUP($D47,SortedDownload!$B$3:$Z$489,14,FALSE),"")</f>
        <v>47</v>
      </c>
      <c r="G47" s="230">
        <f>IFERROR(VLOOKUP($D47,SortedDownload!$B$3:$Z$489,15,FALSE),"")</f>
        <v>49</v>
      </c>
      <c r="H47" s="230">
        <f>IFERROR(VLOOKUP($D47,SortedDownload!$B$3:$Z$489,16,FALSE),"")</f>
        <v>37</v>
      </c>
      <c r="I47" s="230">
        <f>IFERROR(VLOOKUP($D47,SortedDownload!$B$3:$Z$489,17,FALSE),"")</f>
        <v>44</v>
      </c>
      <c r="J47" s="230">
        <f>IFERROR(VLOOKUP($D47,SortedDownload!$B$3:$Z$489,18,FALSE),"")</f>
        <v>56</v>
      </c>
      <c r="K47" s="230" t="str">
        <f>IFERROR(VLOOKUP($D47,SortedDownload!$B$3:$Z$489,19,FALSE),"")</f>
        <v/>
      </c>
      <c r="L47" s="230" t="str">
        <f>IFERROR(VLOOKUP($D47,SortedDownload!$B$3:$Z$489,20,FALSE),"")</f>
        <v/>
      </c>
      <c r="M47" s="230" t="str">
        <f>IFERROR(VLOOKUP($D47,SortedDownload!$B$3:$Z$489,21,FALSE),"")</f>
        <v/>
      </c>
      <c r="O47">
        <v>94</v>
      </c>
      <c r="P47">
        <f>IFERROR(VLOOKUP($O47,OverallResults!$B$3:$Z$508,2,FALSE),"")</f>
        <v>24</v>
      </c>
      <c r="Q47" t="str">
        <f>IFERROR(VLOOKUP($O47,OverallResults!$B$3:$Z$508,3,FALSE),"")</f>
        <v>Warren Galley</v>
      </c>
      <c r="R47" t="str">
        <f>IFERROR(TEXT(VLOOKUP($O47,OverallResults!$B$3:$Z$489,17,FALSE),"[h]:mm:ss.0"),"")</f>
        <v>0:22:40.0</v>
      </c>
      <c r="S47" s="230">
        <f>IFERROR(VLOOKUP($Q47,SortedDownload!$B$3:$Z$489,14,FALSE),"")</f>
        <v>103</v>
      </c>
      <c r="T47" s="230">
        <f>IFERROR(VLOOKUP($Q47,SortedDownload!$B$3:$Z$489,15,FALSE),"")</f>
        <v>107</v>
      </c>
      <c r="U47" s="230">
        <f>IFERROR(VLOOKUP($Q47,SortedDownload!$B$3:$Z$489,16,FALSE),"")</f>
        <v>123</v>
      </c>
      <c r="V47" s="230">
        <f>IFERROR(VLOOKUP($Q47,SortedDownload!$B$3:$Z$489,17,FALSE),"")</f>
        <v>99</v>
      </c>
      <c r="W47" s="230">
        <f>IFERROR(VLOOKUP($Q47,SortedDownload!$B$3:$Z$489,18,FALSE),"")</f>
        <v>130</v>
      </c>
      <c r="X47" s="230" t="str">
        <f>IFERROR(VLOOKUP($Q47,SortedDownload!$B$3:$Z$489,19,FALSE),"")</f>
        <v/>
      </c>
      <c r="Y47" s="230" t="str">
        <f>IFERROR(VLOOKUP($Q47,SortedDownload!$B$3:$Z$489,20,FALSE),"")</f>
        <v/>
      </c>
      <c r="Z47" s="230" t="str">
        <f>IFERROR(VLOOKUP($Q47,SortedDownload!$B$3:$Z$489,21,FALSE),"")</f>
        <v/>
      </c>
      <c r="AB47">
        <v>144</v>
      </c>
      <c r="AC47">
        <f>IFERROR(VLOOKUP($AB47,OverallResults!$B$3:$Z$508,2,FALSE),"")</f>
        <v>2</v>
      </c>
      <c r="AD47" t="str">
        <f>IFERROR(VLOOKUP($AB47,OverallResults!$B$3:$Z$508,3,FALSE),"")</f>
        <v>Lian De Jager</v>
      </c>
      <c r="AE47" t="str">
        <f>IFERROR(TEXT(VLOOKUP($AB47,OverallResults!$B$3:$Z$489,17,FALSE),"[h]:mm:ss.0"),"")</f>
        <v>0:12:33.5</v>
      </c>
      <c r="AF47" s="230" t="str">
        <f>IFERROR(VLOOKUP($AD47,SortedDownload!$B$3:$Z$489,14,FALSE),"")</f>
        <v/>
      </c>
      <c r="AG47" s="230">
        <f>IFERROR(VLOOKUP($AD47,SortedDownload!$B$3:$Z$489,15,FALSE),"")</f>
        <v>153</v>
      </c>
      <c r="AH47" s="230">
        <f>IFERROR(VLOOKUP($AD47,SortedDownload!$B$3:$Z$489,16,FALSE),"")</f>
        <v>81</v>
      </c>
      <c r="AI47" s="230" t="str">
        <f>IFERROR(VLOOKUP($AD47,SortedDownload!$B$3:$Z$489,17,FALSE),"")</f>
        <v/>
      </c>
      <c r="AJ47" s="230">
        <f>IFERROR(VLOOKUP($AD47,SortedDownload!$B$3:$Z$489,18,FALSE),"")</f>
        <v>78</v>
      </c>
      <c r="AK47" s="230" t="str">
        <f>IFERROR(VLOOKUP($AD47,SortedDownload!$B$3:$Z$489,19,FALSE),"")</f>
        <v/>
      </c>
      <c r="AL47" s="230" t="str">
        <f>IFERROR(VLOOKUP($AD47,SortedDownload!$B$3:$Z$489,20,FALSE),"")</f>
        <v/>
      </c>
      <c r="AM47" s="230" t="str">
        <f>IFERROR(VLOOKUP($AD47,SortedDownload!$B$3:$Z$489,21,FALSE),"")</f>
        <v/>
      </c>
      <c r="AO47">
        <v>194</v>
      </c>
      <c r="AP47">
        <f>IFERROR(VLOOKUP($AO47,OverallResults!$B$3:$Z$508,2,FALSE),"")</f>
        <v>34</v>
      </c>
      <c r="AQ47" t="str">
        <f>IFERROR(VLOOKUP($AO47,OverallResults!$B$3:$Z$508,3,FALSE),"")</f>
        <v>Mike Fairbrother</v>
      </c>
      <c r="AR47" t="str">
        <f>IFERROR(TEXT(VLOOKUP($AO47,OverallResults!$B$3:$Z$489,17,FALSE),"[h]:mm:ss.0"),"")</f>
        <v>0:14:51.1</v>
      </c>
      <c r="AS47" s="230" t="str">
        <f>IFERROR(VLOOKUP($AQ47,SortedDownload!$B$3:$Z$489,14,FALSE),"")</f>
        <v/>
      </c>
      <c r="AT47" s="230">
        <f>IFERROR(VLOOKUP($AQ47,SortedDownload!$B$3:$Z$489,15,FALSE),"")</f>
        <v>209</v>
      </c>
      <c r="AU47" s="230">
        <f>IFERROR(VLOOKUP($AQ47,SortedDownload!$B$3:$Z$489,16,FALSE),"")</f>
        <v>216</v>
      </c>
      <c r="AV47" s="230" t="str">
        <f>IFERROR(VLOOKUP($AQ47,SortedDownload!$B$3:$Z$489,17,FALSE),"")</f>
        <v/>
      </c>
      <c r="AW47" s="230">
        <f>IFERROR(VLOOKUP($AQ47,SortedDownload!$B$3:$Z$489,18,FALSE),"")</f>
        <v>192</v>
      </c>
      <c r="AX47" s="230" t="str">
        <f>IFERROR(VLOOKUP($AQ47,SortedDownload!$B$3:$Z$489,19,FALSE),"")</f>
        <v/>
      </c>
      <c r="AY47" s="230" t="str">
        <f>IFERROR(VLOOKUP($AQ47,SortedDownload!$B$3:$Z$489,20,FALSE),"")</f>
        <v/>
      </c>
      <c r="AZ47" s="230" t="str">
        <f>IFERROR(VLOOKUP($AQ47,SortedDownload!$B$3:$Z$489,21,FALSE),"")</f>
        <v/>
      </c>
      <c r="BB47">
        <v>244</v>
      </c>
      <c r="BC47" t="str">
        <f>IFERROR(VLOOKUP($BB47,OverallResults!$B$3:$Z$508,2,FALSE),"")</f>
        <v>DNF</v>
      </c>
      <c r="BD47" t="str">
        <f>IFERROR(VLOOKUP($BB47,OverallResults!$B$3:$Z$508,3,FALSE),"")</f>
        <v/>
      </c>
      <c r="BE47" t="str">
        <f>IFERROR(TEXT(VLOOKUP($BB47,OverallResults!$B$3:$Z$489,17,FALSE),"[h]:mm:ss.0"),"")</f>
        <v/>
      </c>
      <c r="BF47" s="230" t="str">
        <f>IFERROR(VLOOKUP($BD47,SortedDownload!$B$3:$Z$489,14,FALSE),"")</f>
        <v/>
      </c>
      <c r="BG47" s="230" t="str">
        <f>IFERROR(VLOOKUP($BD47,SortedDownload!$B$3:$Z$489,15,FALSE),"")</f>
        <v/>
      </c>
      <c r="BH47" s="230" t="str">
        <f>IFERROR(VLOOKUP($BD47,SortedDownload!$B$3:$Z$489,16,FALSE),"")</f>
        <v/>
      </c>
      <c r="BI47" s="230" t="str">
        <f>IFERROR(VLOOKUP($BD47,SortedDownload!$B$3:$Z$489,17,FALSE),"")</f>
        <v/>
      </c>
      <c r="BJ47" s="230" t="str">
        <f>IFERROR(VLOOKUP($BD47,SortedDownload!$B$3:$Z$489,18,FALSE),"")</f>
        <v/>
      </c>
      <c r="BK47" s="230" t="str">
        <f>IFERROR(VLOOKUP($BD47,SortedDownload!$B$3:$Z$489,19,FALSE),"")</f>
        <v/>
      </c>
      <c r="BL47" s="230" t="str">
        <f>IFERROR(VLOOKUP($BD47,SortedDownload!$B$3:$Z$489,20,FALSE),"")</f>
        <v/>
      </c>
      <c r="BM47" s="230" t="str">
        <f>IFERROR(VLOOKUP($BD47,SortedDownload!$B$3:$Z$489,21,FALSE),"")</f>
        <v/>
      </c>
      <c r="BS47" s="230"/>
      <c r="BT47" s="230"/>
      <c r="BU47" s="230"/>
      <c r="BV47" s="230"/>
      <c r="BW47" s="230" t="str">
        <f>IFERROR(VLOOKUP($BQ47,SortedDownload!$B$3:$Z$489,18,FALSE),"")</f>
        <v/>
      </c>
      <c r="BX47" s="230" t="str">
        <f>IFERROR(VLOOKUP($BQ47,SortedDownload!$B$3:$Z$489,19,FALSE),"")</f>
        <v/>
      </c>
      <c r="BY47" s="230" t="str">
        <f>IFERROR(VLOOKUP($BQ47,SortedDownload!$B$3:$Z$489,20,FALSE),"")</f>
        <v/>
      </c>
      <c r="BZ47" s="230" t="str">
        <f>IFERROR(VLOOKUP($BQ47,SortedDownload!$B$3:$Z$489,21,FALSE),"")</f>
        <v/>
      </c>
    </row>
    <row r="48" spans="2:78">
      <c r="B48">
        <v>45</v>
      </c>
      <c r="C48">
        <f>IFERROR(VLOOKUP($B48,OverallResults!$B$3:$Z$508,2,FALSE),"")</f>
        <v>6</v>
      </c>
      <c r="D48" t="str">
        <f>IFERROR(VLOOKUP($B48,OverallResults!$B$3:$Z$508,3,FALSE),"")</f>
        <v>Kevin De Kock</v>
      </c>
      <c r="E48" t="str">
        <f>IFERROR(TEXT(VLOOKUP($B48,OverallResults!$B$3:$Z$489,17,FALSE),"[h]:mm:ss.0"),"")</f>
        <v>0:19:31.2</v>
      </c>
      <c r="F48" s="230">
        <f>IFERROR(VLOOKUP($D48,SortedDownload!$B$3:$Z$489,14,FALSE),"")</f>
        <v>40</v>
      </c>
      <c r="G48" s="230">
        <f>IFERROR(VLOOKUP($D48,SortedDownload!$B$3:$Z$489,15,FALSE),"")</f>
        <v>51</v>
      </c>
      <c r="H48" s="230">
        <f>IFERROR(VLOOKUP($D48,SortedDownload!$B$3:$Z$489,16,FALSE),"")</f>
        <v>54</v>
      </c>
      <c r="I48" s="230">
        <f>IFERROR(VLOOKUP($D48,SortedDownload!$B$3:$Z$489,17,FALSE),"")</f>
        <v>45</v>
      </c>
      <c r="J48" s="230">
        <f>IFERROR(VLOOKUP($D48,SortedDownload!$B$3:$Z$489,18,FALSE),"")</f>
        <v>55</v>
      </c>
      <c r="K48" s="230" t="str">
        <f>IFERROR(VLOOKUP($D48,SortedDownload!$B$3:$Z$489,19,FALSE),"")</f>
        <v/>
      </c>
      <c r="L48" s="230" t="str">
        <f>IFERROR(VLOOKUP($D48,SortedDownload!$B$3:$Z$489,20,FALSE),"")</f>
        <v/>
      </c>
      <c r="M48" s="230" t="str">
        <f>IFERROR(VLOOKUP($D48,SortedDownload!$B$3:$Z$489,21,FALSE),"")</f>
        <v/>
      </c>
      <c r="O48">
        <v>95</v>
      </c>
      <c r="P48">
        <f>IFERROR(VLOOKUP($O48,OverallResults!$B$3:$Z$508,2,FALSE),"")</f>
        <v>11</v>
      </c>
      <c r="Q48" t="str">
        <f>IFERROR(VLOOKUP($O48,OverallResults!$B$3:$Z$508,3,FALSE),"")</f>
        <v>Gavin Dingley</v>
      </c>
      <c r="R48" t="str">
        <f>IFERROR(TEXT(VLOOKUP($O48,OverallResults!$B$3:$Z$489,17,FALSE),"[h]:mm:ss.0"),"")</f>
        <v>0:22:45.8</v>
      </c>
      <c r="S48" s="230">
        <f>IFERROR(VLOOKUP($Q48,SortedDownload!$B$3:$Z$489,14,FALSE),"")</f>
        <v>124</v>
      </c>
      <c r="T48" s="230">
        <f>IFERROR(VLOOKUP($Q48,SortedDownload!$B$3:$Z$489,15,FALSE),"")</f>
        <v>92</v>
      </c>
      <c r="U48" s="230">
        <f>IFERROR(VLOOKUP($Q48,SortedDownload!$B$3:$Z$489,16,FALSE),"")</f>
        <v>88</v>
      </c>
      <c r="V48" s="230">
        <f>IFERROR(VLOOKUP($Q48,SortedDownload!$B$3:$Z$489,17,FALSE),"")</f>
        <v>77</v>
      </c>
      <c r="W48" s="230">
        <f>IFERROR(VLOOKUP($Q48,SortedDownload!$B$3:$Z$489,18,FALSE),"")</f>
        <v>98</v>
      </c>
      <c r="X48" s="230" t="str">
        <f>IFERROR(VLOOKUP($Q48,SortedDownload!$B$3:$Z$489,19,FALSE),"")</f>
        <v/>
      </c>
      <c r="Y48" s="230" t="str">
        <f>IFERROR(VLOOKUP($Q48,SortedDownload!$B$3:$Z$489,20,FALSE),"")</f>
        <v/>
      </c>
      <c r="Z48" s="230" t="str">
        <f>IFERROR(VLOOKUP($Q48,SortedDownload!$B$3:$Z$489,21,FALSE),"")</f>
        <v/>
      </c>
      <c r="AB48">
        <v>145</v>
      </c>
      <c r="AC48">
        <f>IFERROR(VLOOKUP($AB48,OverallResults!$B$3:$Z$508,2,FALSE),"")</f>
        <v>7</v>
      </c>
      <c r="AD48" t="str">
        <f>IFERROR(VLOOKUP($AB48,OverallResults!$B$3:$Z$508,3,FALSE),"")</f>
        <v>Calum Marriott</v>
      </c>
      <c r="AE48" t="str">
        <f>IFERROR(TEXT(VLOOKUP($AB48,OverallResults!$B$3:$Z$489,17,FALSE),"[h]:mm:ss.0"),"")</f>
        <v>0:12:34.4</v>
      </c>
      <c r="AF48" s="230" t="str">
        <f>IFERROR(VLOOKUP($AD48,SortedDownload!$B$3:$Z$489,14,FALSE),"")</f>
        <v/>
      </c>
      <c r="AG48" s="230">
        <f>IFERROR(VLOOKUP($AD48,SortedDownload!$B$3:$Z$489,15,FALSE),"")</f>
        <v>106</v>
      </c>
      <c r="AH48" s="230">
        <f>IFERROR(VLOOKUP($AD48,SortedDownload!$B$3:$Z$489,16,FALSE),"")</f>
        <v>97</v>
      </c>
      <c r="AI48" s="230" t="str">
        <f>IFERROR(VLOOKUP($AD48,SortedDownload!$B$3:$Z$489,17,FALSE),"")</f>
        <v/>
      </c>
      <c r="AJ48" s="230">
        <f>IFERROR(VLOOKUP($AD48,SortedDownload!$B$3:$Z$489,18,FALSE),"")</f>
        <v>108</v>
      </c>
      <c r="AK48" s="230" t="str">
        <f>IFERROR(VLOOKUP($AD48,SortedDownload!$B$3:$Z$489,19,FALSE),"")</f>
        <v/>
      </c>
      <c r="AL48" s="230" t="str">
        <f>IFERROR(VLOOKUP($AD48,SortedDownload!$B$3:$Z$489,20,FALSE),"")</f>
        <v/>
      </c>
      <c r="AM48" s="230" t="str">
        <f>IFERROR(VLOOKUP($AD48,SortedDownload!$B$3:$Z$489,21,FALSE),"")</f>
        <v/>
      </c>
      <c r="AO48">
        <v>195</v>
      </c>
      <c r="AP48">
        <f>IFERROR(VLOOKUP($AO48,OverallResults!$B$3:$Z$508,2,FALSE),"")</f>
        <v>14</v>
      </c>
      <c r="AQ48" t="str">
        <f>IFERROR(VLOOKUP($AO48,OverallResults!$B$3:$Z$508,3,FALSE),"")</f>
        <v>Chris Groeneveld</v>
      </c>
      <c r="AR48" t="str">
        <f>IFERROR(TEXT(VLOOKUP($AO48,OverallResults!$B$3:$Z$489,17,FALSE),"[h]:mm:ss.0"),"")</f>
        <v>0:14:51.9</v>
      </c>
      <c r="AS48" s="230" t="str">
        <f>IFERROR(VLOOKUP($AQ48,SortedDownload!$B$3:$Z$489,14,FALSE),"")</f>
        <v/>
      </c>
      <c r="AT48" s="230">
        <f>IFERROR(VLOOKUP($AQ48,SortedDownload!$B$3:$Z$489,15,FALSE),"")</f>
        <v>220</v>
      </c>
      <c r="AU48" s="230">
        <f>IFERROR(VLOOKUP($AQ48,SortedDownload!$B$3:$Z$489,16,FALSE),"")</f>
        <v>196</v>
      </c>
      <c r="AV48" s="230" t="str">
        <f>IFERROR(VLOOKUP($AQ48,SortedDownload!$B$3:$Z$489,17,FALSE),"")</f>
        <v/>
      </c>
      <c r="AW48" s="230">
        <f>IFERROR(VLOOKUP($AQ48,SortedDownload!$B$3:$Z$489,18,FALSE),"")</f>
        <v>195</v>
      </c>
      <c r="AX48" s="230" t="str">
        <f>IFERROR(VLOOKUP($AQ48,SortedDownload!$B$3:$Z$489,19,FALSE),"")</f>
        <v/>
      </c>
      <c r="AY48" s="230" t="str">
        <f>IFERROR(VLOOKUP($AQ48,SortedDownload!$B$3:$Z$489,20,FALSE),"")</f>
        <v/>
      </c>
      <c r="AZ48" s="230" t="str">
        <f>IFERROR(VLOOKUP($AQ48,SortedDownload!$B$3:$Z$489,21,FALSE),"")</f>
        <v/>
      </c>
      <c r="BB48">
        <v>245</v>
      </c>
      <c r="BC48" t="str">
        <f>IFERROR(VLOOKUP($BB48,OverallResults!$B$3:$Z$508,2,FALSE),"")</f>
        <v>DNF</v>
      </c>
      <c r="BD48" t="str">
        <f>IFERROR(VLOOKUP($BB48,OverallResults!$B$3:$Z$508,3,FALSE),"")</f>
        <v/>
      </c>
      <c r="BE48" t="str">
        <f>IFERROR(TEXT(VLOOKUP($BB48,OverallResults!$B$3:$Z$489,17,FALSE),"[h]:mm:ss.0"),"")</f>
        <v/>
      </c>
      <c r="BF48" s="230" t="str">
        <f>IFERROR(VLOOKUP($BD48,SortedDownload!$B$3:$Z$489,14,FALSE),"")</f>
        <v/>
      </c>
      <c r="BG48" s="230" t="str">
        <f>IFERROR(VLOOKUP($BD48,SortedDownload!$B$3:$Z$489,15,FALSE),"")</f>
        <v/>
      </c>
      <c r="BH48" s="230" t="str">
        <f>IFERROR(VLOOKUP($BD48,SortedDownload!$B$3:$Z$489,16,FALSE),"")</f>
        <v/>
      </c>
      <c r="BI48" s="230" t="str">
        <f>IFERROR(VLOOKUP($BD48,SortedDownload!$B$3:$Z$489,17,FALSE),"")</f>
        <v/>
      </c>
      <c r="BJ48" s="230" t="str">
        <f>IFERROR(VLOOKUP($BD48,SortedDownload!$B$3:$Z$489,18,FALSE),"")</f>
        <v/>
      </c>
      <c r="BK48" s="230" t="str">
        <f>IFERROR(VLOOKUP($BD48,SortedDownload!$B$3:$Z$489,19,FALSE),"")</f>
        <v/>
      </c>
      <c r="BL48" s="230" t="str">
        <f>IFERROR(VLOOKUP($BD48,SortedDownload!$B$3:$Z$489,20,FALSE),"")</f>
        <v/>
      </c>
      <c r="BM48" s="230" t="str">
        <f>IFERROR(VLOOKUP($BD48,SortedDownload!$B$3:$Z$489,21,FALSE),"")</f>
        <v/>
      </c>
      <c r="BS48" s="230"/>
      <c r="BT48" s="230"/>
      <c r="BU48" s="230"/>
      <c r="BV48" s="230"/>
      <c r="BW48" s="230" t="str">
        <f>IFERROR(VLOOKUP($BQ48,SortedDownload!$B$3:$Z$489,18,FALSE),"")</f>
        <v/>
      </c>
      <c r="BX48" s="230" t="str">
        <f>IFERROR(VLOOKUP($BQ48,SortedDownload!$B$3:$Z$489,19,FALSE),"")</f>
        <v/>
      </c>
      <c r="BY48" s="230" t="str">
        <f>IFERROR(VLOOKUP($BQ48,SortedDownload!$B$3:$Z$489,20,FALSE),"")</f>
        <v/>
      </c>
      <c r="BZ48" s="230" t="str">
        <f>IFERROR(VLOOKUP($BQ48,SortedDownload!$B$3:$Z$489,21,FALSE),"")</f>
        <v/>
      </c>
    </row>
    <row r="49" spans="2:78">
      <c r="B49">
        <v>46</v>
      </c>
      <c r="C49">
        <f>IFERROR(VLOOKUP($B49,OverallResults!$B$3:$Z$508,2,FALSE),"")</f>
        <v>9</v>
      </c>
      <c r="D49" t="str">
        <f>IFERROR(VLOOKUP($B49,OverallResults!$B$3:$Z$508,3,FALSE),"")</f>
        <v>Waldo De Wet</v>
      </c>
      <c r="E49" t="str">
        <f>IFERROR(TEXT(VLOOKUP($B49,OverallResults!$B$3:$Z$489,17,FALSE),"[h]:mm:ss.0"),"")</f>
        <v>0:19:31.6</v>
      </c>
      <c r="F49" s="230">
        <f>IFERROR(VLOOKUP($D49,SortedDownload!$B$3:$Z$489,14,FALSE),"")</f>
        <v>34</v>
      </c>
      <c r="G49" s="230">
        <f>IFERROR(VLOOKUP($D49,SortedDownload!$B$3:$Z$489,15,FALSE),"")</f>
        <v>40</v>
      </c>
      <c r="H49" s="230">
        <f>IFERROR(VLOOKUP($D49,SortedDownload!$B$3:$Z$489,16,FALSE),"")</f>
        <v>39</v>
      </c>
      <c r="I49" s="230">
        <f>IFERROR(VLOOKUP($D49,SortedDownload!$B$3:$Z$489,17,FALSE),"")</f>
        <v>48</v>
      </c>
      <c r="J49" s="230">
        <f>IFERROR(VLOOKUP($D49,SortedDownload!$B$3:$Z$489,18,FALSE),"")</f>
        <v>65</v>
      </c>
      <c r="K49" s="230" t="str">
        <f>IFERROR(VLOOKUP($D49,SortedDownload!$B$3:$Z$489,19,FALSE),"")</f>
        <v/>
      </c>
      <c r="L49" s="230" t="str">
        <f>IFERROR(VLOOKUP($D49,SortedDownload!$B$3:$Z$489,20,FALSE),"")</f>
        <v/>
      </c>
      <c r="M49" s="230" t="str">
        <f>IFERROR(VLOOKUP($D49,SortedDownload!$B$3:$Z$489,21,FALSE),"")</f>
        <v/>
      </c>
      <c r="O49">
        <v>96</v>
      </c>
      <c r="P49">
        <f>IFERROR(VLOOKUP($O49,OverallResults!$B$3:$Z$508,2,FALSE),"")</f>
        <v>25</v>
      </c>
      <c r="Q49" t="str">
        <f>IFERROR(VLOOKUP($O49,OverallResults!$B$3:$Z$508,3,FALSE),"")</f>
        <v>Adrian Kritzinger</v>
      </c>
      <c r="R49" t="str">
        <f>IFERROR(TEXT(VLOOKUP($O49,OverallResults!$B$3:$Z$489,17,FALSE),"[h]:mm:ss.0"),"")</f>
        <v>0:22:56.6</v>
      </c>
      <c r="S49" s="230">
        <f>IFERROR(VLOOKUP($Q49,SortedDownload!$B$3:$Z$489,14,FALSE),"")</f>
        <v>90</v>
      </c>
      <c r="T49" s="230">
        <f>IFERROR(VLOOKUP($Q49,SortedDownload!$B$3:$Z$489,15,FALSE),"")</f>
        <v>171</v>
      </c>
      <c r="U49" s="230">
        <f>IFERROR(VLOOKUP($Q49,SortedDownload!$B$3:$Z$489,16,FALSE),"")</f>
        <v>143</v>
      </c>
      <c r="V49" s="230">
        <f>IFERROR(VLOOKUP($Q49,SortedDownload!$B$3:$Z$489,17,FALSE),"")</f>
        <v>100</v>
      </c>
      <c r="W49" s="230">
        <f>IFERROR(VLOOKUP($Q49,SortedDownload!$B$3:$Z$489,18,FALSE),"")</f>
        <v>141</v>
      </c>
      <c r="X49" s="230" t="str">
        <f>IFERROR(VLOOKUP($Q49,SortedDownload!$B$3:$Z$489,19,FALSE),"")</f>
        <v/>
      </c>
      <c r="Y49" s="230" t="str">
        <f>IFERROR(VLOOKUP($Q49,SortedDownload!$B$3:$Z$489,20,FALSE),"")</f>
        <v/>
      </c>
      <c r="Z49" s="230" t="str">
        <f>IFERROR(VLOOKUP($Q49,SortedDownload!$B$3:$Z$489,21,FALSE),"")</f>
        <v/>
      </c>
      <c r="AB49">
        <v>146</v>
      </c>
      <c r="AC49">
        <f>IFERROR(VLOOKUP($AB49,OverallResults!$B$3:$Z$508,2,FALSE),"")</f>
        <v>8</v>
      </c>
      <c r="AD49" t="str">
        <f>IFERROR(VLOOKUP($AB49,OverallResults!$B$3:$Z$508,3,FALSE),"")</f>
        <v>Thomas Dawson</v>
      </c>
      <c r="AE49" t="str">
        <f>IFERROR(TEXT(VLOOKUP($AB49,OverallResults!$B$3:$Z$489,17,FALSE),"[h]:mm:ss.0"),"")</f>
        <v>0:12:34.9</v>
      </c>
      <c r="AF49" s="230" t="str">
        <f>IFERROR(VLOOKUP($AD49,SortedDownload!$B$3:$Z$489,14,FALSE),"")</f>
        <v/>
      </c>
      <c r="AG49" s="230">
        <f>IFERROR(VLOOKUP($AD49,SortedDownload!$B$3:$Z$489,15,FALSE),"")</f>
        <v>99</v>
      </c>
      <c r="AH49" s="230">
        <f>IFERROR(VLOOKUP($AD49,SortedDownload!$B$3:$Z$489,16,FALSE),"")</f>
        <v>98</v>
      </c>
      <c r="AI49" s="230" t="str">
        <f>IFERROR(VLOOKUP($AD49,SortedDownload!$B$3:$Z$489,17,FALSE),"")</f>
        <v/>
      </c>
      <c r="AJ49" s="230">
        <f>IFERROR(VLOOKUP($AD49,SortedDownload!$B$3:$Z$489,18,FALSE),"")</f>
        <v>113</v>
      </c>
      <c r="AK49" s="230" t="str">
        <f>IFERROR(VLOOKUP($AD49,SortedDownload!$B$3:$Z$489,19,FALSE),"")</f>
        <v/>
      </c>
      <c r="AL49" s="230" t="str">
        <f>IFERROR(VLOOKUP($AD49,SortedDownload!$B$3:$Z$489,20,FALSE),"")</f>
        <v/>
      </c>
      <c r="AM49" s="230" t="str">
        <f>IFERROR(VLOOKUP($AD49,SortedDownload!$B$3:$Z$489,21,FALSE),"")</f>
        <v/>
      </c>
      <c r="AO49">
        <v>196</v>
      </c>
      <c r="AP49">
        <f>IFERROR(VLOOKUP($AO49,OverallResults!$B$3:$Z$508,2,FALSE),"")</f>
        <v>7</v>
      </c>
      <c r="AQ49" t="str">
        <f>IFERROR(VLOOKUP($AO49,OverallResults!$B$3:$Z$508,3,FALSE),"")</f>
        <v>Shandri Erasmus</v>
      </c>
      <c r="AR49" t="str">
        <f>IFERROR(TEXT(VLOOKUP($AO49,OverallResults!$B$3:$Z$489,17,FALSE),"[h]:mm:ss.0"),"")</f>
        <v>0:14:54.4</v>
      </c>
      <c r="AS49" s="230" t="str">
        <f>IFERROR(VLOOKUP($AQ49,SortedDownload!$B$3:$Z$489,14,FALSE),"")</f>
        <v/>
      </c>
      <c r="AT49" s="230">
        <f>IFERROR(VLOOKUP($AQ49,SortedDownload!$B$3:$Z$489,15,FALSE),"")</f>
        <v>208</v>
      </c>
      <c r="AU49" s="230">
        <f>IFERROR(VLOOKUP($AQ49,SortedDownload!$B$3:$Z$489,16,FALSE),"")</f>
        <v>222</v>
      </c>
      <c r="AV49" s="230" t="str">
        <f>IFERROR(VLOOKUP($AQ49,SortedDownload!$B$3:$Z$489,17,FALSE),"")</f>
        <v/>
      </c>
      <c r="AW49" s="230">
        <f>IFERROR(VLOOKUP($AQ49,SortedDownload!$B$3:$Z$489,18,FALSE),"")</f>
        <v>188</v>
      </c>
      <c r="AX49" s="230" t="str">
        <f>IFERROR(VLOOKUP($AQ49,SortedDownload!$B$3:$Z$489,19,FALSE),"")</f>
        <v/>
      </c>
      <c r="AY49" s="230" t="str">
        <f>IFERROR(VLOOKUP($AQ49,SortedDownload!$B$3:$Z$489,20,FALSE),"")</f>
        <v/>
      </c>
      <c r="AZ49" s="230" t="str">
        <f>IFERROR(VLOOKUP($AQ49,SortedDownload!$B$3:$Z$489,21,FALSE),"")</f>
        <v/>
      </c>
      <c r="BB49">
        <v>246</v>
      </c>
      <c r="BC49" t="str">
        <f>IFERROR(VLOOKUP($BB49,OverallResults!$B$3:$Z$508,2,FALSE),"")</f>
        <v>DNF</v>
      </c>
      <c r="BD49" t="str">
        <f>IFERROR(VLOOKUP($BB49,OverallResults!$B$3:$Z$508,3,FALSE),"")</f>
        <v/>
      </c>
      <c r="BE49" t="str">
        <f>IFERROR(TEXT(VLOOKUP($BB49,OverallResults!$B$3:$Z$489,17,FALSE),"[h]:mm:ss.0"),"")</f>
        <v/>
      </c>
      <c r="BF49" s="230" t="str">
        <f>IFERROR(VLOOKUP($BD49,SortedDownload!$B$3:$Z$489,14,FALSE),"")</f>
        <v/>
      </c>
      <c r="BG49" s="230" t="str">
        <f>IFERROR(VLOOKUP($BD49,SortedDownload!$B$3:$Z$489,15,FALSE),"")</f>
        <v/>
      </c>
      <c r="BH49" s="230" t="str">
        <f>IFERROR(VLOOKUP($BD49,SortedDownload!$B$3:$Z$489,16,FALSE),"")</f>
        <v/>
      </c>
      <c r="BI49" s="230" t="str">
        <f>IFERROR(VLOOKUP($BD49,SortedDownload!$B$3:$Z$489,17,FALSE),"")</f>
        <v/>
      </c>
      <c r="BJ49" s="230" t="str">
        <f>IFERROR(VLOOKUP($BD49,SortedDownload!$B$3:$Z$489,18,FALSE),"")</f>
        <v/>
      </c>
      <c r="BK49" s="230" t="str">
        <f>IFERROR(VLOOKUP($BD49,SortedDownload!$B$3:$Z$489,19,FALSE),"")</f>
        <v/>
      </c>
      <c r="BL49" s="230" t="str">
        <f>IFERROR(VLOOKUP($BD49,SortedDownload!$B$3:$Z$489,20,FALSE),"")</f>
        <v/>
      </c>
      <c r="BM49" s="230" t="str">
        <f>IFERROR(VLOOKUP($BD49,SortedDownload!$B$3:$Z$489,21,FALSE),"")</f>
        <v/>
      </c>
      <c r="BS49" s="230"/>
      <c r="BT49" s="230"/>
      <c r="BU49" s="230"/>
      <c r="BV49" s="230"/>
      <c r="BW49" s="230" t="str">
        <f>IFERROR(VLOOKUP($BQ49,SortedDownload!$B$3:$Z$489,18,FALSE),"")</f>
        <v/>
      </c>
      <c r="BX49" s="230" t="str">
        <f>IFERROR(VLOOKUP($BQ49,SortedDownload!$B$3:$Z$489,19,FALSE),"")</f>
        <v/>
      </c>
      <c r="BY49" s="230" t="str">
        <f>IFERROR(VLOOKUP($BQ49,SortedDownload!$B$3:$Z$489,20,FALSE),"")</f>
        <v/>
      </c>
      <c r="BZ49" s="230" t="str">
        <f>IFERROR(VLOOKUP($BQ49,SortedDownload!$B$3:$Z$489,21,FALSE),"")</f>
        <v/>
      </c>
    </row>
    <row r="50" spans="2:78">
      <c r="B50">
        <v>47</v>
      </c>
      <c r="C50">
        <f>IFERROR(VLOOKUP($B50,OverallResults!$B$3:$Z$508,2,FALSE),"")</f>
        <v>14</v>
      </c>
      <c r="D50" t="str">
        <f>IFERROR(VLOOKUP($B50,OverallResults!$B$3:$Z$508,3,FALSE),"")</f>
        <v>Ethan Paton</v>
      </c>
      <c r="E50" t="str">
        <f>IFERROR(TEXT(VLOOKUP($B50,OverallResults!$B$3:$Z$489,17,FALSE),"[h]:mm:ss.0"),"")</f>
        <v>0:19:37.8</v>
      </c>
      <c r="F50" s="230">
        <f>IFERROR(VLOOKUP($D50,SortedDownload!$B$3:$Z$489,14,FALSE),"")</f>
        <v>62</v>
      </c>
      <c r="G50" s="230">
        <f>IFERROR(VLOOKUP($D50,SortedDownload!$B$3:$Z$489,15,FALSE),"")</f>
        <v>27</v>
      </c>
      <c r="H50" s="230">
        <f>IFERROR(VLOOKUP($D50,SortedDownload!$B$3:$Z$489,16,FALSE),"")</f>
        <v>79</v>
      </c>
      <c r="I50" s="230">
        <f>IFERROR(VLOOKUP($D50,SortedDownload!$B$3:$Z$489,17,FALSE),"")</f>
        <v>42</v>
      </c>
      <c r="J50" s="230">
        <f>IFERROR(VLOOKUP($D50,SortedDownload!$B$3:$Z$489,18,FALSE),"")</f>
        <v>34</v>
      </c>
      <c r="K50" s="230" t="str">
        <f>IFERROR(VLOOKUP($D50,SortedDownload!$B$3:$Z$489,19,FALSE),"")</f>
        <v/>
      </c>
      <c r="L50" s="230" t="str">
        <f>IFERROR(VLOOKUP($D50,SortedDownload!$B$3:$Z$489,20,FALSE),"")</f>
        <v/>
      </c>
      <c r="M50" s="230" t="str">
        <f>IFERROR(VLOOKUP($D50,SortedDownload!$B$3:$Z$489,21,FALSE),"")</f>
        <v/>
      </c>
      <c r="O50">
        <v>97</v>
      </c>
      <c r="P50">
        <f>IFERROR(VLOOKUP($O50,OverallResults!$B$3:$Z$508,2,FALSE),"")</f>
        <v>26</v>
      </c>
      <c r="Q50" t="str">
        <f>IFERROR(VLOOKUP($O50,OverallResults!$B$3:$Z$508,3,FALSE),"")</f>
        <v>John Dalton</v>
      </c>
      <c r="R50" t="str">
        <f>IFERROR(TEXT(VLOOKUP($O50,OverallResults!$B$3:$Z$489,17,FALSE),"[h]:mm:ss.0"),"")</f>
        <v>0:22:58.6</v>
      </c>
      <c r="S50" s="230">
        <f>IFERROR(VLOOKUP($Q50,SortedDownload!$B$3:$Z$489,14,FALSE),"")</f>
        <v>100</v>
      </c>
      <c r="T50" s="230">
        <f>IFERROR(VLOOKUP($Q50,SortedDownload!$B$3:$Z$489,15,FALSE),"")</f>
        <v>186</v>
      </c>
      <c r="U50" s="230">
        <f>IFERROR(VLOOKUP($Q50,SortedDownload!$B$3:$Z$489,16,FALSE),"")</f>
        <v>141</v>
      </c>
      <c r="V50" s="230">
        <f>IFERROR(VLOOKUP($Q50,SortedDownload!$B$3:$Z$489,17,FALSE),"")</f>
        <v>92</v>
      </c>
      <c r="W50" s="230">
        <f>IFERROR(VLOOKUP($Q50,SortedDownload!$B$3:$Z$489,18,FALSE),"")</f>
        <v>120</v>
      </c>
      <c r="X50" s="230" t="str">
        <f>IFERROR(VLOOKUP($Q50,SortedDownload!$B$3:$Z$489,19,FALSE),"")</f>
        <v/>
      </c>
      <c r="Y50" s="230" t="str">
        <f>IFERROR(VLOOKUP($Q50,SortedDownload!$B$3:$Z$489,20,FALSE),"")</f>
        <v/>
      </c>
      <c r="Z50" s="230" t="str">
        <f>IFERROR(VLOOKUP($Q50,SortedDownload!$B$3:$Z$489,21,FALSE),"")</f>
        <v/>
      </c>
      <c r="AB50">
        <v>147</v>
      </c>
      <c r="AC50">
        <f>IFERROR(VLOOKUP($AB50,OverallResults!$B$3:$Z$508,2,FALSE),"")</f>
        <v>9</v>
      </c>
      <c r="AD50" t="str">
        <f>IFERROR(VLOOKUP($AB50,OverallResults!$B$3:$Z$508,3,FALSE),"")</f>
        <v>Sean Stephens</v>
      </c>
      <c r="AE50" t="str">
        <f>IFERROR(TEXT(VLOOKUP($AB50,OverallResults!$B$3:$Z$489,17,FALSE),"[h]:mm:ss.0"),"")</f>
        <v>0:12:39.3</v>
      </c>
      <c r="AF50" s="230" t="str">
        <f>IFERROR(VLOOKUP($AD50,SortedDownload!$B$3:$Z$489,14,FALSE),"")</f>
        <v/>
      </c>
      <c r="AG50" s="230">
        <f>IFERROR(VLOOKUP($AD50,SortedDownload!$B$3:$Z$489,15,FALSE),"")</f>
        <v>104</v>
      </c>
      <c r="AH50" s="230">
        <f>IFERROR(VLOOKUP($AD50,SortedDownload!$B$3:$Z$489,16,FALSE),"")</f>
        <v>110</v>
      </c>
      <c r="AI50" s="230" t="str">
        <f>IFERROR(VLOOKUP($AD50,SortedDownload!$B$3:$Z$489,17,FALSE),"")</f>
        <v/>
      </c>
      <c r="AJ50" s="230">
        <f>IFERROR(VLOOKUP($AD50,SortedDownload!$B$3:$Z$489,18,FALSE),"")</f>
        <v>110</v>
      </c>
      <c r="AK50" s="230" t="str">
        <f>IFERROR(VLOOKUP($AD50,SortedDownload!$B$3:$Z$489,19,FALSE),"")</f>
        <v/>
      </c>
      <c r="AL50" s="230" t="str">
        <f>IFERROR(VLOOKUP($AD50,SortedDownload!$B$3:$Z$489,20,FALSE),"")</f>
        <v/>
      </c>
      <c r="AM50" s="230" t="str">
        <f>IFERROR(VLOOKUP($AD50,SortedDownload!$B$3:$Z$489,21,FALSE),"")</f>
        <v/>
      </c>
      <c r="AO50">
        <v>197</v>
      </c>
      <c r="AP50">
        <f>IFERROR(VLOOKUP($AO50,OverallResults!$B$3:$Z$508,2,FALSE),"")</f>
        <v>35</v>
      </c>
      <c r="AQ50" t="str">
        <f>IFERROR(VLOOKUP($AO50,OverallResults!$B$3:$Z$508,3,FALSE),"")</f>
        <v>Gregg Blomeyer</v>
      </c>
      <c r="AR50" t="str">
        <f>IFERROR(TEXT(VLOOKUP($AO50,OverallResults!$B$3:$Z$489,17,FALSE),"[h]:mm:ss.0"),"")</f>
        <v>0:14:55.5</v>
      </c>
      <c r="AS50" s="230" t="str">
        <f>IFERROR(VLOOKUP($AQ50,SortedDownload!$B$3:$Z$489,14,FALSE),"")</f>
        <v/>
      </c>
      <c r="AT50" s="230">
        <f>IFERROR(VLOOKUP($AQ50,SortedDownload!$B$3:$Z$489,15,FALSE),"")</f>
        <v>196</v>
      </c>
      <c r="AU50" s="230">
        <f>IFERROR(VLOOKUP($AQ50,SortedDownload!$B$3:$Z$489,16,FALSE),"")</f>
        <v>205</v>
      </c>
      <c r="AV50" s="230" t="str">
        <f>IFERROR(VLOOKUP($AQ50,SortedDownload!$B$3:$Z$489,17,FALSE),"")</f>
        <v/>
      </c>
      <c r="AW50" s="230">
        <f>IFERROR(VLOOKUP($AQ50,SortedDownload!$B$3:$Z$489,18,FALSE),"")</f>
        <v>216</v>
      </c>
      <c r="AX50" s="230" t="str">
        <f>IFERROR(VLOOKUP($AQ50,SortedDownload!$B$3:$Z$489,19,FALSE),"")</f>
        <v/>
      </c>
      <c r="AY50" s="230" t="str">
        <f>IFERROR(VLOOKUP($AQ50,SortedDownload!$B$3:$Z$489,20,FALSE),"")</f>
        <v/>
      </c>
      <c r="AZ50" s="230" t="str">
        <f>IFERROR(VLOOKUP($AQ50,SortedDownload!$B$3:$Z$489,21,FALSE),"")</f>
        <v/>
      </c>
      <c r="BB50">
        <v>247</v>
      </c>
      <c r="BC50" t="str">
        <f>IFERROR(VLOOKUP($BB50,OverallResults!$B$3:$Z$508,2,FALSE),"")</f>
        <v>DNF</v>
      </c>
      <c r="BD50" t="str">
        <f>IFERROR(VLOOKUP($BB50,OverallResults!$B$3:$Z$508,3,FALSE),"")</f>
        <v/>
      </c>
      <c r="BE50" t="str">
        <f>IFERROR(TEXT(VLOOKUP($BB50,OverallResults!$B$3:$Z$489,17,FALSE),"[h]:mm:ss.0"),"")</f>
        <v/>
      </c>
      <c r="BF50" s="230" t="str">
        <f>IFERROR(VLOOKUP($BD50,SortedDownload!$B$3:$Z$489,14,FALSE),"")</f>
        <v/>
      </c>
      <c r="BG50" s="230" t="str">
        <f>IFERROR(VLOOKUP($BD50,SortedDownload!$B$3:$Z$489,15,FALSE),"")</f>
        <v/>
      </c>
      <c r="BH50" s="230" t="str">
        <f>IFERROR(VLOOKUP($BD50,SortedDownload!$B$3:$Z$489,16,FALSE),"")</f>
        <v/>
      </c>
      <c r="BI50" s="230" t="str">
        <f>IFERROR(VLOOKUP($BD50,SortedDownload!$B$3:$Z$489,17,FALSE),"")</f>
        <v/>
      </c>
      <c r="BJ50" s="230" t="str">
        <f>IFERROR(VLOOKUP($BD50,SortedDownload!$B$3:$Z$489,18,FALSE),"")</f>
        <v/>
      </c>
      <c r="BK50" s="230" t="str">
        <f>IFERROR(VLOOKUP($BD50,SortedDownload!$B$3:$Z$489,19,FALSE),"")</f>
        <v/>
      </c>
      <c r="BL50" s="230" t="str">
        <f>IFERROR(VLOOKUP($BD50,SortedDownload!$B$3:$Z$489,20,FALSE),"")</f>
        <v/>
      </c>
      <c r="BM50" s="230" t="str">
        <f>IFERROR(VLOOKUP($BD50,SortedDownload!$B$3:$Z$489,21,FALSE),"")</f>
        <v/>
      </c>
      <c r="BS50" s="230"/>
      <c r="BT50" s="230"/>
      <c r="BU50" s="230"/>
      <c r="BV50" s="230"/>
      <c r="BW50" s="230" t="str">
        <f>IFERROR(VLOOKUP($BQ50,SortedDownload!$B$3:$Z$489,18,FALSE),"")</f>
        <v/>
      </c>
      <c r="BX50" s="230" t="str">
        <f>IFERROR(VLOOKUP($BQ50,SortedDownload!$B$3:$Z$489,19,FALSE),"")</f>
        <v/>
      </c>
      <c r="BY50" s="230" t="str">
        <f>IFERROR(VLOOKUP($BQ50,SortedDownload!$B$3:$Z$489,20,FALSE),"")</f>
        <v/>
      </c>
      <c r="BZ50" s="230" t="str">
        <f>IFERROR(VLOOKUP($BQ50,SortedDownload!$B$3:$Z$489,21,FALSE),"")</f>
        <v/>
      </c>
    </row>
    <row r="51" spans="2:78">
      <c r="B51">
        <v>48</v>
      </c>
      <c r="C51">
        <f>IFERROR(VLOOKUP($B51,OverallResults!$B$3:$Z$508,2,FALSE),"")</f>
        <v>10</v>
      </c>
      <c r="D51" t="str">
        <f>IFERROR(VLOOKUP($B51,OverallResults!$B$3:$Z$508,3,FALSE),"")</f>
        <v>Dr Katzen</v>
      </c>
      <c r="E51" t="str">
        <f>IFERROR(TEXT(VLOOKUP($B51,OverallResults!$B$3:$Z$489,17,FALSE),"[h]:mm:ss.0"),"")</f>
        <v>0:19:41.9</v>
      </c>
      <c r="F51" s="230">
        <f>IFERROR(VLOOKUP($D51,SortedDownload!$B$3:$Z$489,14,FALSE),"")</f>
        <v>54</v>
      </c>
      <c r="G51" s="230">
        <f>IFERROR(VLOOKUP($D51,SortedDownload!$B$3:$Z$489,15,FALSE),"")</f>
        <v>48</v>
      </c>
      <c r="H51" s="230">
        <f>IFERROR(VLOOKUP($D51,SortedDownload!$B$3:$Z$489,16,FALSE),"")</f>
        <v>58</v>
      </c>
      <c r="I51" s="230">
        <f>IFERROR(VLOOKUP($D51,SortedDownload!$B$3:$Z$489,17,FALSE),"")</f>
        <v>50</v>
      </c>
      <c r="J51" s="230">
        <f>IFERROR(VLOOKUP($D51,SortedDownload!$B$3:$Z$489,18,FALSE),"")</f>
        <v>49</v>
      </c>
      <c r="K51" s="230" t="str">
        <f>IFERROR(VLOOKUP($D51,SortedDownload!$B$3:$Z$489,19,FALSE),"")</f>
        <v/>
      </c>
      <c r="L51" s="230" t="str">
        <f>IFERROR(VLOOKUP($D51,SortedDownload!$B$3:$Z$489,20,FALSE),"")</f>
        <v/>
      </c>
      <c r="M51" s="230" t="str">
        <f>IFERROR(VLOOKUP($D51,SortedDownload!$B$3:$Z$489,21,FALSE),"")</f>
        <v/>
      </c>
      <c r="O51">
        <v>98</v>
      </c>
      <c r="P51">
        <f>IFERROR(VLOOKUP($O51,OverallResults!$B$3:$Z$508,2,FALSE),"")</f>
        <v>12</v>
      </c>
      <c r="Q51" t="str">
        <f>IFERROR(VLOOKUP($O51,OverallResults!$B$3:$Z$508,3,FALSE),"")</f>
        <v>Roger Hartley</v>
      </c>
      <c r="R51" t="str">
        <f>IFERROR(TEXT(VLOOKUP($O51,OverallResults!$B$3:$Z$489,17,FALSE),"[h]:mm:ss.0"),"")</f>
        <v>0:23:13.0</v>
      </c>
      <c r="S51" s="230">
        <f>IFERROR(VLOOKUP($Q51,SortedDownload!$B$3:$Z$489,14,FALSE),"")</f>
        <v>88</v>
      </c>
      <c r="T51" s="230">
        <f>IFERROR(VLOOKUP($Q51,SortedDownload!$B$3:$Z$489,15,FALSE),"")</f>
        <v>178</v>
      </c>
      <c r="U51" s="230">
        <f>IFERROR(VLOOKUP($Q51,SortedDownload!$B$3:$Z$489,16,FALSE),"")</f>
        <v>148</v>
      </c>
      <c r="V51" s="230">
        <f>IFERROR(VLOOKUP($Q51,SortedDownload!$B$3:$Z$489,17,FALSE),"")</f>
        <v>107</v>
      </c>
      <c r="W51" s="230">
        <f>IFERROR(VLOOKUP($Q51,SortedDownload!$B$3:$Z$489,18,FALSE),"")</f>
        <v>158</v>
      </c>
      <c r="X51" s="230" t="str">
        <f>IFERROR(VLOOKUP($Q51,SortedDownload!$B$3:$Z$489,19,FALSE),"")</f>
        <v/>
      </c>
      <c r="Y51" s="230" t="str">
        <f>IFERROR(VLOOKUP($Q51,SortedDownload!$B$3:$Z$489,20,FALSE),"")</f>
        <v/>
      </c>
      <c r="Z51" s="230" t="str">
        <f>IFERROR(VLOOKUP($Q51,SortedDownload!$B$3:$Z$489,21,FALSE),"")</f>
        <v/>
      </c>
      <c r="AB51">
        <v>148</v>
      </c>
      <c r="AC51">
        <f>IFERROR(VLOOKUP($AB51,OverallResults!$B$3:$Z$508,2,FALSE),"")</f>
        <v>10</v>
      </c>
      <c r="AD51" t="str">
        <f>IFERROR(VLOOKUP($AB51,OverallResults!$B$3:$Z$508,3,FALSE),"")</f>
        <v>Christiaan De Villiers Snr</v>
      </c>
      <c r="AE51" t="str">
        <f>IFERROR(TEXT(VLOOKUP($AB51,OverallResults!$B$3:$Z$489,17,FALSE),"[h]:mm:ss.0"),"")</f>
        <v>0:12:39.5</v>
      </c>
      <c r="AF51" s="230" t="str">
        <f>IFERROR(VLOOKUP($AD51,SortedDownload!$B$3:$Z$489,14,FALSE),"")</f>
        <v/>
      </c>
      <c r="AG51" s="230">
        <f>IFERROR(VLOOKUP($AD51,SortedDownload!$B$3:$Z$489,15,FALSE),"")</f>
        <v>110</v>
      </c>
      <c r="AH51" s="230">
        <f>IFERROR(VLOOKUP($AD51,SortedDownload!$B$3:$Z$489,16,FALSE),"")</f>
        <v>152</v>
      </c>
      <c r="AI51" s="230" t="str">
        <f>IFERROR(VLOOKUP($AD51,SortedDownload!$B$3:$Z$489,17,FALSE),"")</f>
        <v/>
      </c>
      <c r="AJ51" s="230">
        <f>IFERROR(VLOOKUP($AD51,SortedDownload!$B$3:$Z$489,18,FALSE),"")</f>
        <v>86</v>
      </c>
      <c r="AK51" s="230" t="str">
        <f>IFERROR(VLOOKUP($AD51,SortedDownload!$B$3:$Z$489,19,FALSE),"")</f>
        <v/>
      </c>
      <c r="AL51" s="230" t="str">
        <f>IFERROR(VLOOKUP($AD51,SortedDownload!$B$3:$Z$489,20,FALSE),"")</f>
        <v/>
      </c>
      <c r="AM51" s="230" t="str">
        <f>IFERROR(VLOOKUP($AD51,SortedDownload!$B$3:$Z$489,21,FALSE),"")</f>
        <v/>
      </c>
      <c r="AO51">
        <v>198</v>
      </c>
      <c r="AP51">
        <f>IFERROR(VLOOKUP($AO51,OverallResults!$B$3:$Z$508,2,FALSE),"")</f>
        <v>36</v>
      </c>
      <c r="AQ51" t="str">
        <f>IFERROR(VLOOKUP($AO51,OverallResults!$B$3:$Z$508,3,FALSE),"")</f>
        <v>Michael Morgan</v>
      </c>
      <c r="AR51" t="str">
        <f>IFERROR(TEXT(VLOOKUP($AO51,OverallResults!$B$3:$Z$489,17,FALSE),"[h]:mm:ss.0"),"")</f>
        <v>0:15:02.3</v>
      </c>
      <c r="AS51" s="230" t="str">
        <f>IFERROR(VLOOKUP($AQ51,SortedDownload!$B$3:$Z$489,14,FALSE),"")</f>
        <v/>
      </c>
      <c r="AT51" s="230">
        <f>IFERROR(VLOOKUP($AQ51,SortedDownload!$B$3:$Z$489,15,FALSE),"")</f>
        <v>214</v>
      </c>
      <c r="AU51" s="230">
        <f>IFERROR(VLOOKUP($AQ51,SortedDownload!$B$3:$Z$489,16,FALSE),"")</f>
        <v>209</v>
      </c>
      <c r="AV51" s="230" t="str">
        <f>IFERROR(VLOOKUP($AQ51,SortedDownload!$B$3:$Z$489,17,FALSE),"")</f>
        <v/>
      </c>
      <c r="AW51" s="230">
        <f>IFERROR(VLOOKUP($AQ51,SortedDownload!$B$3:$Z$489,18,FALSE),"")</f>
        <v>208</v>
      </c>
      <c r="AX51" s="230" t="str">
        <f>IFERROR(VLOOKUP($AQ51,SortedDownload!$B$3:$Z$489,19,FALSE),"")</f>
        <v/>
      </c>
      <c r="AY51" s="230" t="str">
        <f>IFERROR(VLOOKUP($AQ51,SortedDownload!$B$3:$Z$489,20,FALSE),"")</f>
        <v/>
      </c>
      <c r="AZ51" s="230" t="str">
        <f>IFERROR(VLOOKUP($AQ51,SortedDownload!$B$3:$Z$489,21,FALSE),"")</f>
        <v/>
      </c>
      <c r="BB51">
        <v>248</v>
      </c>
      <c r="BC51" t="str">
        <f>IFERROR(VLOOKUP($BB51,OverallResults!$B$3:$Z$508,2,FALSE),"")</f>
        <v>DNF</v>
      </c>
      <c r="BD51" t="str">
        <f>IFERROR(VLOOKUP($BB51,OverallResults!$B$3:$Z$508,3,FALSE),"")</f>
        <v/>
      </c>
      <c r="BE51" t="str">
        <f>IFERROR(TEXT(VLOOKUP($BB51,OverallResults!$B$3:$Z$489,17,FALSE),"[h]:mm:ss.0"),"")</f>
        <v/>
      </c>
      <c r="BF51" s="230" t="str">
        <f>IFERROR(VLOOKUP($BD51,SortedDownload!$B$3:$Z$489,14,FALSE),"")</f>
        <v/>
      </c>
      <c r="BG51" s="230" t="str">
        <f>IFERROR(VLOOKUP($BD51,SortedDownload!$B$3:$Z$489,15,FALSE),"")</f>
        <v/>
      </c>
      <c r="BH51" s="230" t="str">
        <f>IFERROR(VLOOKUP($BD51,SortedDownload!$B$3:$Z$489,16,FALSE),"")</f>
        <v/>
      </c>
      <c r="BI51" s="230" t="str">
        <f>IFERROR(VLOOKUP($BD51,SortedDownload!$B$3:$Z$489,17,FALSE),"")</f>
        <v/>
      </c>
      <c r="BJ51" s="230" t="str">
        <f>IFERROR(VLOOKUP($BD51,SortedDownload!$B$3:$Z$489,18,FALSE),"")</f>
        <v/>
      </c>
      <c r="BK51" s="230" t="str">
        <f>IFERROR(VLOOKUP($BD51,SortedDownload!$B$3:$Z$489,19,FALSE),"")</f>
        <v/>
      </c>
      <c r="BL51" s="230" t="str">
        <f>IFERROR(VLOOKUP($BD51,SortedDownload!$B$3:$Z$489,20,FALSE),"")</f>
        <v/>
      </c>
      <c r="BM51" s="230" t="str">
        <f>IFERROR(VLOOKUP($BD51,SortedDownload!$B$3:$Z$489,21,FALSE),"")</f>
        <v/>
      </c>
      <c r="BS51" s="230"/>
      <c r="BT51" s="230"/>
      <c r="BU51" s="230"/>
      <c r="BV51" s="230"/>
      <c r="BW51" s="230" t="str">
        <f>IFERROR(VLOOKUP($BQ51,SortedDownload!$B$3:$Z$489,18,FALSE),"")</f>
        <v/>
      </c>
      <c r="BX51" s="230" t="str">
        <f>IFERROR(VLOOKUP($BQ51,SortedDownload!$B$3:$Z$489,19,FALSE),"")</f>
        <v/>
      </c>
      <c r="BY51" s="230" t="str">
        <f>IFERROR(VLOOKUP($BQ51,SortedDownload!$B$3:$Z$489,20,FALSE),"")</f>
        <v/>
      </c>
      <c r="BZ51" s="230" t="str">
        <f>IFERROR(VLOOKUP($BQ51,SortedDownload!$B$3:$Z$489,21,FALSE),"")</f>
        <v/>
      </c>
    </row>
    <row r="52" spans="2:78">
      <c r="B52">
        <v>49</v>
      </c>
      <c r="C52">
        <f>IFERROR(VLOOKUP($B52,OverallResults!$B$3:$Z$508,2,FALSE),"")</f>
        <v>1</v>
      </c>
      <c r="D52" t="str">
        <f>IFERROR(VLOOKUP($B52,OverallResults!$B$3:$Z$508,3,FALSE),"")</f>
        <v>Frankie Du Toit</v>
      </c>
      <c r="E52" t="str">
        <f>IFERROR(TEXT(VLOOKUP($B52,OverallResults!$B$3:$Z$489,17,FALSE),"[h]:mm:ss.0"),"")</f>
        <v>0:19:42.5</v>
      </c>
      <c r="F52" s="230">
        <f>IFERROR(VLOOKUP($D52,SortedDownload!$B$3:$Z$489,14,FALSE),"")</f>
        <v>58</v>
      </c>
      <c r="G52" s="230">
        <f>IFERROR(VLOOKUP($D52,SortedDownload!$B$3:$Z$489,15,FALSE),"")</f>
        <v>42</v>
      </c>
      <c r="H52" s="230">
        <f>IFERROR(VLOOKUP($D52,SortedDownload!$B$3:$Z$489,16,FALSE),"")</f>
        <v>52</v>
      </c>
      <c r="I52" s="230">
        <f>IFERROR(VLOOKUP($D52,SortedDownload!$B$3:$Z$489,17,FALSE),"")</f>
        <v>52</v>
      </c>
      <c r="J52" s="230">
        <f>IFERROR(VLOOKUP($D52,SortedDownload!$B$3:$Z$489,18,FALSE),"")</f>
        <v>43</v>
      </c>
      <c r="K52" s="230" t="str">
        <f>IFERROR(VLOOKUP($D52,SortedDownload!$B$3:$Z$489,19,FALSE),"")</f>
        <v/>
      </c>
      <c r="L52" s="230" t="str">
        <f>IFERROR(VLOOKUP($D52,SortedDownload!$B$3:$Z$489,20,FALSE),"")</f>
        <v/>
      </c>
      <c r="M52" s="230" t="str">
        <f>IFERROR(VLOOKUP($D52,SortedDownload!$B$3:$Z$489,21,FALSE),"")</f>
        <v/>
      </c>
      <c r="O52">
        <v>99</v>
      </c>
      <c r="P52">
        <f>IFERROR(VLOOKUP($O52,OverallResults!$B$3:$Z$508,2,FALSE),"")</f>
        <v>23</v>
      </c>
      <c r="Q52" t="str">
        <f>IFERROR(VLOOKUP($O52,OverallResults!$B$3:$Z$508,3,FALSE),"")</f>
        <v>Jean-Luc Roux</v>
      </c>
      <c r="R52" t="str">
        <f>IFERROR(TEXT(VLOOKUP($O52,OverallResults!$B$3:$Z$489,17,FALSE),"[h]:mm:ss.0"),"")</f>
        <v>0:23:14.3</v>
      </c>
      <c r="S52" s="230">
        <f>IFERROR(VLOOKUP($Q52,SortedDownload!$B$3:$Z$489,14,FALSE),"")</f>
        <v>102</v>
      </c>
      <c r="T52" s="230">
        <f>IFERROR(VLOOKUP($Q52,SortedDownload!$B$3:$Z$489,15,FALSE),"")</f>
        <v>168</v>
      </c>
      <c r="U52" s="230">
        <f>IFERROR(VLOOKUP($Q52,SortedDownload!$B$3:$Z$489,16,FALSE),"")</f>
        <v>167</v>
      </c>
      <c r="V52" s="230">
        <f>IFERROR(VLOOKUP($Q52,SortedDownload!$B$3:$Z$489,17,FALSE),"")</f>
        <v>108</v>
      </c>
      <c r="W52" s="230">
        <f>IFERROR(VLOOKUP($Q52,SortedDownload!$B$3:$Z$489,18,FALSE),"")</f>
        <v>124</v>
      </c>
      <c r="X52" s="230" t="str">
        <f>IFERROR(VLOOKUP($Q52,SortedDownload!$B$3:$Z$489,19,FALSE),"")</f>
        <v/>
      </c>
      <c r="Y52" s="230" t="str">
        <f>IFERROR(VLOOKUP($Q52,SortedDownload!$B$3:$Z$489,20,FALSE),"")</f>
        <v/>
      </c>
      <c r="Z52" s="230" t="str">
        <f>IFERROR(VLOOKUP($Q52,SortedDownload!$B$3:$Z$489,21,FALSE),"")</f>
        <v/>
      </c>
      <c r="AB52">
        <v>149</v>
      </c>
      <c r="AC52">
        <f>IFERROR(VLOOKUP($AB52,OverallResults!$B$3:$Z$508,2,FALSE),"")</f>
        <v>11</v>
      </c>
      <c r="AD52" t="str">
        <f>IFERROR(VLOOKUP($AB52,OverallResults!$B$3:$Z$508,3,FALSE),"")</f>
        <v>Duncan Sephton</v>
      </c>
      <c r="AE52" t="str">
        <f>IFERROR(TEXT(VLOOKUP($AB52,OverallResults!$B$3:$Z$489,17,FALSE),"[h]:mm:ss.0"),"")</f>
        <v>0:12:43.0</v>
      </c>
      <c r="AF52" s="230" t="str">
        <f>IFERROR(VLOOKUP($AD52,SortedDownload!$B$3:$Z$489,14,FALSE),"")</f>
        <v/>
      </c>
      <c r="AG52" s="230">
        <f>IFERROR(VLOOKUP($AD52,SortedDownload!$B$3:$Z$489,15,FALSE),"")</f>
        <v>108</v>
      </c>
      <c r="AH52" s="230">
        <f>IFERROR(VLOOKUP($AD52,SortedDownload!$B$3:$Z$489,16,FALSE),"")</f>
        <v>157</v>
      </c>
      <c r="AI52" s="230" t="str">
        <f>IFERROR(VLOOKUP($AD52,SortedDownload!$B$3:$Z$489,17,FALSE),"")</f>
        <v/>
      </c>
      <c r="AJ52" s="230">
        <f>IFERROR(VLOOKUP($AD52,SortedDownload!$B$3:$Z$489,18,FALSE),"")</f>
        <v>94</v>
      </c>
      <c r="AK52" s="230" t="str">
        <f>IFERROR(VLOOKUP($AD52,SortedDownload!$B$3:$Z$489,19,FALSE),"")</f>
        <v/>
      </c>
      <c r="AL52" s="230" t="str">
        <f>IFERROR(VLOOKUP($AD52,SortedDownload!$B$3:$Z$489,20,FALSE),"")</f>
        <v/>
      </c>
      <c r="AM52" s="230" t="str">
        <f>IFERROR(VLOOKUP($AD52,SortedDownload!$B$3:$Z$489,21,FALSE),"")</f>
        <v/>
      </c>
      <c r="AO52">
        <v>199</v>
      </c>
      <c r="AP52">
        <f>IFERROR(VLOOKUP($AO52,OverallResults!$B$3:$Z$508,2,FALSE),"")</f>
        <v>37</v>
      </c>
      <c r="AQ52" t="str">
        <f>IFERROR(VLOOKUP($AO52,OverallResults!$B$3:$Z$508,3,FALSE),"")</f>
        <v>Dj Oosthuizen</v>
      </c>
      <c r="AR52" t="str">
        <f>IFERROR(TEXT(VLOOKUP($AO52,OverallResults!$B$3:$Z$489,17,FALSE),"[h]:mm:ss.0"),"")</f>
        <v>0:15:05.8</v>
      </c>
      <c r="AS52" s="230" t="str">
        <f>IFERROR(VLOOKUP($AQ52,SortedDownload!$B$3:$Z$489,14,FALSE),"")</f>
        <v/>
      </c>
      <c r="AT52" s="230">
        <f>IFERROR(VLOOKUP($AQ52,SortedDownload!$B$3:$Z$489,15,FALSE),"")</f>
        <v>197</v>
      </c>
      <c r="AU52" s="230">
        <f>IFERROR(VLOOKUP($AQ52,SortedDownload!$B$3:$Z$489,16,FALSE),"")</f>
        <v>207</v>
      </c>
      <c r="AV52" s="230" t="str">
        <f>IFERROR(VLOOKUP($AQ52,SortedDownload!$B$3:$Z$489,17,FALSE),"")</f>
        <v/>
      </c>
      <c r="AW52" s="230">
        <f>IFERROR(VLOOKUP($AQ52,SortedDownload!$B$3:$Z$489,18,FALSE),"")</f>
        <v>221</v>
      </c>
      <c r="AX52" s="230" t="str">
        <f>IFERROR(VLOOKUP($AQ52,SortedDownload!$B$3:$Z$489,19,FALSE),"")</f>
        <v/>
      </c>
      <c r="AY52" s="230" t="str">
        <f>IFERROR(VLOOKUP($AQ52,SortedDownload!$B$3:$Z$489,20,FALSE),"")</f>
        <v/>
      </c>
      <c r="AZ52" s="230" t="str">
        <f>IFERROR(VLOOKUP($AQ52,SortedDownload!$B$3:$Z$489,21,FALSE),"")</f>
        <v/>
      </c>
      <c r="BB52">
        <v>249</v>
      </c>
      <c r="BC52" t="str">
        <f>IFERROR(VLOOKUP($BB52,OverallResults!$B$3:$Z$508,2,FALSE),"")</f>
        <v>DNF</v>
      </c>
      <c r="BD52" t="str">
        <f>IFERROR(VLOOKUP($BB52,OverallResults!$B$3:$Z$508,3,FALSE),"")</f>
        <v/>
      </c>
      <c r="BE52" t="str">
        <f>IFERROR(TEXT(VLOOKUP($BB52,OverallResults!$B$3:$Z$489,17,FALSE),"[h]:mm:ss.0"),"")</f>
        <v/>
      </c>
      <c r="BF52" s="230" t="str">
        <f>IFERROR(VLOOKUP($BD52,SortedDownload!$B$3:$Z$489,14,FALSE),"")</f>
        <v/>
      </c>
      <c r="BG52" s="230" t="str">
        <f>IFERROR(VLOOKUP($BD52,SortedDownload!$B$3:$Z$489,15,FALSE),"")</f>
        <v/>
      </c>
      <c r="BH52" s="230" t="str">
        <f>IFERROR(VLOOKUP($BD52,SortedDownload!$B$3:$Z$489,16,FALSE),"")</f>
        <v/>
      </c>
      <c r="BI52" s="230" t="str">
        <f>IFERROR(VLOOKUP($BD52,SortedDownload!$B$3:$Z$489,17,FALSE),"")</f>
        <v/>
      </c>
      <c r="BJ52" s="230" t="str">
        <f>IFERROR(VLOOKUP($BD52,SortedDownload!$B$3:$Z$489,18,FALSE),"")</f>
        <v/>
      </c>
      <c r="BK52" s="230" t="str">
        <f>IFERROR(VLOOKUP($BD52,SortedDownload!$B$3:$Z$489,19,FALSE),"")</f>
        <v/>
      </c>
      <c r="BL52" s="230" t="str">
        <f>IFERROR(VLOOKUP($BD52,SortedDownload!$B$3:$Z$489,20,FALSE),"")</f>
        <v/>
      </c>
      <c r="BM52" s="230" t="str">
        <f>IFERROR(VLOOKUP($BD52,SortedDownload!$B$3:$Z$489,21,FALSE),"")</f>
        <v/>
      </c>
      <c r="BS52" s="230"/>
      <c r="BT52" s="230"/>
      <c r="BU52" s="230"/>
      <c r="BV52" s="230"/>
      <c r="BW52" s="230" t="str">
        <f>IFERROR(VLOOKUP($BQ52,SortedDownload!$B$3:$Z$489,18,FALSE),"")</f>
        <v/>
      </c>
      <c r="BX52" s="230" t="str">
        <f>IFERROR(VLOOKUP($BQ52,SortedDownload!$B$3:$Z$489,19,FALSE),"")</f>
        <v/>
      </c>
      <c r="BY52" s="230" t="str">
        <f>IFERROR(VLOOKUP($BQ52,SortedDownload!$B$3:$Z$489,20,FALSE),"")</f>
        <v/>
      </c>
      <c r="BZ52" s="230" t="str">
        <f>IFERROR(VLOOKUP($BQ52,SortedDownload!$B$3:$Z$489,21,FALSE),"")</f>
        <v/>
      </c>
    </row>
    <row r="53" spans="2:78">
      <c r="B53">
        <v>50</v>
      </c>
      <c r="C53">
        <f>IFERROR(VLOOKUP($B53,OverallResults!$B$3:$Z$508,2,FALSE),"")</f>
        <v>12</v>
      </c>
      <c r="D53" t="str">
        <f>IFERROR(VLOOKUP($B53,OverallResults!$B$3:$Z$508,3,FALSE),"")</f>
        <v>Zivan Venter</v>
      </c>
      <c r="E53" t="str">
        <f>IFERROR(TEXT(VLOOKUP($B53,OverallResults!$B$3:$Z$489,17,FALSE),"[h]:mm:ss.0"),"")</f>
        <v>0:19:45.2</v>
      </c>
      <c r="F53" s="230">
        <f>IFERROR(VLOOKUP($D53,SortedDownload!$B$3:$Z$489,14,FALSE),"")</f>
        <v>51</v>
      </c>
      <c r="G53" s="230">
        <f>IFERROR(VLOOKUP($D53,SortedDownload!$B$3:$Z$489,15,FALSE),"")</f>
        <v>57</v>
      </c>
      <c r="H53" s="230">
        <f>IFERROR(VLOOKUP($D53,SortedDownload!$B$3:$Z$489,16,FALSE),"")</f>
        <v>48</v>
      </c>
      <c r="I53" s="230">
        <f>IFERROR(VLOOKUP($D53,SortedDownload!$B$3:$Z$489,17,FALSE),"")</f>
        <v>56</v>
      </c>
      <c r="J53" s="230">
        <f>IFERROR(VLOOKUP($D53,SortedDownload!$B$3:$Z$489,18,FALSE),"")</f>
        <v>52</v>
      </c>
      <c r="K53" s="230" t="str">
        <f>IFERROR(VLOOKUP($D53,SortedDownload!$B$3:$Z$489,19,FALSE),"")</f>
        <v/>
      </c>
      <c r="L53" s="230" t="str">
        <f>IFERROR(VLOOKUP($D53,SortedDownload!$B$3:$Z$489,20,FALSE),"")</f>
        <v/>
      </c>
      <c r="M53" s="230" t="str">
        <f>IFERROR(VLOOKUP($D53,SortedDownload!$B$3:$Z$489,21,FALSE),"")</f>
        <v/>
      </c>
      <c r="O53">
        <v>100</v>
      </c>
      <c r="P53">
        <f>IFERROR(VLOOKUP($O53,OverallResults!$B$3:$Z$508,2,FALSE),"")</f>
        <v>27</v>
      </c>
      <c r="Q53" t="str">
        <f>IFERROR(VLOOKUP($O53,OverallResults!$B$3:$Z$508,3,FALSE),"")</f>
        <v>Dylan Jones</v>
      </c>
      <c r="R53" t="str">
        <f>IFERROR(TEXT(VLOOKUP($O53,OverallResults!$B$3:$Z$489,17,FALSE),"[h]:mm:ss.0"),"")</f>
        <v>0:23:15.4</v>
      </c>
      <c r="S53" s="230">
        <f>IFERROR(VLOOKUP($Q53,SortedDownload!$B$3:$Z$489,14,FALSE),"")</f>
        <v>106</v>
      </c>
      <c r="T53" s="230">
        <f>IFERROR(VLOOKUP($Q53,SortedDownload!$B$3:$Z$489,15,FALSE),"")</f>
        <v>142</v>
      </c>
      <c r="U53" s="230">
        <f>IFERROR(VLOOKUP($Q53,SortedDownload!$B$3:$Z$489,16,FALSE),"")</f>
        <v>113</v>
      </c>
      <c r="V53" s="230">
        <f>IFERROR(VLOOKUP($Q53,SortedDownload!$B$3:$Z$489,17,FALSE),"")</f>
        <v>94</v>
      </c>
      <c r="W53" s="230">
        <f>IFERROR(VLOOKUP($Q53,SortedDownload!$B$3:$Z$489,18,FALSE),"")</f>
        <v>174</v>
      </c>
      <c r="X53" s="230" t="str">
        <f>IFERROR(VLOOKUP($Q53,SortedDownload!$B$3:$Z$489,19,FALSE),"")</f>
        <v/>
      </c>
      <c r="Y53" s="230" t="str">
        <f>IFERROR(VLOOKUP($Q53,SortedDownload!$B$3:$Z$489,20,FALSE),"")</f>
        <v/>
      </c>
      <c r="Z53" s="230" t="str">
        <f>IFERROR(VLOOKUP($Q53,SortedDownload!$B$3:$Z$489,21,FALSE),"")</f>
        <v/>
      </c>
      <c r="AB53">
        <v>150</v>
      </c>
      <c r="AC53">
        <f>IFERROR(VLOOKUP($AB53,OverallResults!$B$3:$Z$508,2,FALSE),"")</f>
        <v>12</v>
      </c>
      <c r="AD53" t="str">
        <f>IFERROR(VLOOKUP($AB53,OverallResults!$B$3:$Z$508,3,FALSE),"")</f>
        <v>Ridha Davids</v>
      </c>
      <c r="AE53" t="str">
        <f>IFERROR(TEXT(VLOOKUP($AB53,OverallResults!$B$3:$Z$489,17,FALSE),"[h]:mm:ss.0"),"")</f>
        <v>0:12:48.0</v>
      </c>
      <c r="AF53" s="230" t="str">
        <f>IFERROR(VLOOKUP($AD53,SortedDownload!$B$3:$Z$489,14,FALSE),"")</f>
        <v/>
      </c>
      <c r="AG53" s="230">
        <f>IFERROR(VLOOKUP($AD53,SortedDownload!$B$3:$Z$489,15,FALSE),"")</f>
        <v>131</v>
      </c>
      <c r="AH53" s="230">
        <f>IFERROR(VLOOKUP($AD53,SortedDownload!$B$3:$Z$489,16,FALSE),"")</f>
        <v>117</v>
      </c>
      <c r="AI53" s="230" t="str">
        <f>IFERROR(VLOOKUP($AD53,SortedDownload!$B$3:$Z$489,17,FALSE),"")</f>
        <v/>
      </c>
      <c r="AJ53" s="230">
        <f>IFERROR(VLOOKUP($AD53,SortedDownload!$B$3:$Z$489,18,FALSE),"")</f>
        <v>101</v>
      </c>
      <c r="AK53" s="230" t="str">
        <f>IFERROR(VLOOKUP($AD53,SortedDownload!$B$3:$Z$489,19,FALSE),"")</f>
        <v/>
      </c>
      <c r="AL53" s="230" t="str">
        <f>IFERROR(VLOOKUP($AD53,SortedDownload!$B$3:$Z$489,20,FALSE),"")</f>
        <v/>
      </c>
      <c r="AM53" s="230" t="str">
        <f>IFERROR(VLOOKUP($AD53,SortedDownload!$B$3:$Z$489,21,FALSE),"")</f>
        <v/>
      </c>
      <c r="AO53">
        <v>200</v>
      </c>
      <c r="AP53">
        <f>IFERROR(VLOOKUP($AO53,OverallResults!$B$3:$Z$508,2,FALSE),"")</f>
        <v>38</v>
      </c>
      <c r="AQ53" t="str">
        <f>IFERROR(VLOOKUP($AO53,OverallResults!$B$3:$Z$508,3,FALSE),"")</f>
        <v>Bradley Stow</v>
      </c>
      <c r="AR53" t="str">
        <f>IFERROR(TEXT(VLOOKUP($AO53,OverallResults!$B$3:$Z$489,17,FALSE),"[h]:mm:ss.0"),"")</f>
        <v>0:15:11.7</v>
      </c>
      <c r="AS53" s="230" t="str">
        <f>IFERROR(VLOOKUP($AQ53,SortedDownload!$B$3:$Z$489,14,FALSE),"")</f>
        <v/>
      </c>
      <c r="AT53" s="230">
        <f>IFERROR(VLOOKUP($AQ53,SortedDownload!$B$3:$Z$489,15,FALSE),"")</f>
        <v>117</v>
      </c>
      <c r="AU53" s="230">
        <f>IFERROR(VLOOKUP($AQ53,SortedDownload!$B$3:$Z$489,16,FALSE),"")</f>
        <v>194</v>
      </c>
      <c r="AV53" s="230" t="str">
        <f>IFERROR(VLOOKUP($AQ53,SortedDownload!$B$3:$Z$489,17,FALSE),"")</f>
        <v/>
      </c>
      <c r="AW53" s="230">
        <f>IFERROR(VLOOKUP($AQ53,SortedDownload!$B$3:$Z$489,18,FALSE),"")</f>
        <v>238</v>
      </c>
      <c r="AX53" s="230" t="str">
        <f>IFERROR(VLOOKUP($AQ53,SortedDownload!$B$3:$Z$489,19,FALSE),"")</f>
        <v/>
      </c>
      <c r="AY53" s="230" t="str">
        <f>IFERROR(VLOOKUP($AQ53,SortedDownload!$B$3:$Z$489,20,FALSE),"")</f>
        <v/>
      </c>
      <c r="AZ53" s="230" t="str">
        <f>IFERROR(VLOOKUP($AQ53,SortedDownload!$B$3:$Z$489,21,FALSE),"")</f>
        <v/>
      </c>
      <c r="BB53">
        <v>250</v>
      </c>
      <c r="BC53" t="str">
        <f>IFERROR(VLOOKUP($BB53,OverallResults!$B$3:$Z$508,2,FALSE),"")</f>
        <v>DNF</v>
      </c>
      <c r="BD53" t="str">
        <f>IFERROR(VLOOKUP($BB53,OverallResults!$B$3:$Z$508,3,FALSE),"")</f>
        <v/>
      </c>
      <c r="BE53" t="str">
        <f>IFERROR(TEXT(VLOOKUP($BB53,OverallResults!$B$3:$Z$489,17,FALSE),"[h]:mm:ss.0"),"")</f>
        <v/>
      </c>
      <c r="BF53" s="230" t="str">
        <f>IFERROR(VLOOKUP($BD53,SortedDownload!$B$3:$Z$489,14,FALSE),"")</f>
        <v/>
      </c>
      <c r="BG53" s="230" t="str">
        <f>IFERROR(VLOOKUP($BD53,SortedDownload!$B$3:$Z$489,15,FALSE),"")</f>
        <v/>
      </c>
      <c r="BH53" s="230" t="str">
        <f>IFERROR(VLOOKUP($BD53,SortedDownload!$B$3:$Z$489,16,FALSE),"")</f>
        <v/>
      </c>
      <c r="BI53" s="230" t="str">
        <f>IFERROR(VLOOKUP($BD53,SortedDownload!$B$3:$Z$489,17,FALSE),"")</f>
        <v/>
      </c>
      <c r="BJ53" s="230" t="str">
        <f>IFERROR(VLOOKUP($BD53,SortedDownload!$B$3:$Z$489,18,FALSE),"")</f>
        <v/>
      </c>
      <c r="BK53" s="230" t="str">
        <f>IFERROR(VLOOKUP($BD53,SortedDownload!$B$3:$Z$489,19,FALSE),"")</f>
        <v/>
      </c>
      <c r="BL53" s="230" t="str">
        <f>IFERROR(VLOOKUP($BD53,SortedDownload!$B$3:$Z$489,20,FALSE),"")</f>
        <v/>
      </c>
      <c r="BM53" s="230" t="str">
        <f>IFERROR(VLOOKUP($BD53,SortedDownload!$B$3:$Z$489,21,FALSE),"")</f>
        <v/>
      </c>
      <c r="BS53" s="230"/>
      <c r="BT53" s="230"/>
      <c r="BU53" s="230"/>
      <c r="BV53" s="230"/>
      <c r="BW53" s="230" t="str">
        <f>IFERROR(VLOOKUP($BQ53,SortedDownload!$B$3:$Z$489,18,FALSE),"")</f>
        <v/>
      </c>
      <c r="BX53" s="230" t="str">
        <f>IFERROR(VLOOKUP($BQ53,SortedDownload!$B$3:$Z$489,19,FALSE),"")</f>
        <v/>
      </c>
      <c r="BY53" s="230" t="str">
        <f>IFERROR(VLOOKUP($BQ53,SortedDownload!$B$3:$Z$489,20,FALSE),"")</f>
        <v/>
      </c>
      <c r="BZ53" s="230" t="str">
        <f>IFERROR(VLOOKUP($BQ53,SortedDownload!$B$3:$Z$489,21,FALSE),"")</f>
        <v/>
      </c>
    </row>
  </sheetData>
  <mergeCells count="6">
    <mergeCell ref="BO2:BZ2"/>
    <mergeCell ref="B2:M2"/>
    <mergeCell ref="O2:Z2"/>
    <mergeCell ref="AB2:AM2"/>
    <mergeCell ref="AO2:AZ2"/>
    <mergeCell ref="BB2:BM2"/>
  </mergeCells>
  <conditionalFormatting sqref="F4:M53">
    <cfRule type="colorScale" priority="13">
      <colorScale>
        <cfvo type="min"/>
        <cfvo type="percentile" val="50"/>
        <cfvo type="max"/>
        <color theme="9"/>
        <color rgb="FFFFEB84"/>
        <color rgb="FFFF0000"/>
      </colorScale>
    </cfRule>
  </conditionalFormatting>
  <conditionalFormatting sqref="S4:Z53">
    <cfRule type="colorScale" priority="7">
      <colorScale>
        <cfvo type="min"/>
        <cfvo type="percentile" val="50"/>
        <cfvo type="max"/>
        <color theme="9"/>
        <color rgb="FFFFEB84"/>
        <color rgb="FFFF0000"/>
      </colorScale>
    </cfRule>
  </conditionalFormatting>
  <conditionalFormatting sqref="AF4:AM53">
    <cfRule type="colorScale" priority="6">
      <colorScale>
        <cfvo type="min"/>
        <cfvo type="percentile" val="50"/>
        <cfvo type="max"/>
        <color theme="9"/>
        <color rgb="FFFFEB84"/>
        <color rgb="FFFF0000"/>
      </colorScale>
    </cfRule>
  </conditionalFormatting>
  <conditionalFormatting sqref="AS4:AZ53">
    <cfRule type="colorScale" priority="5">
      <colorScale>
        <cfvo type="min"/>
        <cfvo type="percentile" val="50"/>
        <cfvo type="max"/>
        <color theme="9"/>
        <color rgb="FFFFEB84"/>
        <color rgb="FFFF0000"/>
      </colorScale>
    </cfRule>
  </conditionalFormatting>
  <conditionalFormatting sqref="BF4:BM53">
    <cfRule type="colorScale" priority="4">
      <colorScale>
        <cfvo type="min"/>
        <cfvo type="percentile" val="50"/>
        <cfvo type="max"/>
        <color theme="9"/>
        <color rgb="FFFFEB84"/>
        <color rgb="FFFF0000"/>
      </colorScale>
    </cfRule>
  </conditionalFormatting>
  <conditionalFormatting sqref="BS26:BZ53">
    <cfRule type="colorScale" priority="3">
      <colorScale>
        <cfvo type="min"/>
        <cfvo type="percentile" val="50"/>
        <cfvo type="max"/>
        <color theme="9"/>
        <color rgb="FFFFEB84"/>
        <color rgb="FFFF0000"/>
      </colorScale>
    </cfRule>
  </conditionalFormatting>
  <conditionalFormatting sqref="BS4:BZ25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rintOptions horizontalCentered="1"/>
  <pageMargins left="0.19685039370078741" right="0.19685039370078741" top="0.19685039370078741" bottom="0.19685039370078741" header="0.19685039370078741" footer="0.19685039370078741"/>
  <pageSetup paperSize="121" scale="80" orientation="landscape" horizontalDpi="203" verticalDpi="203" r:id="rId1"/>
  <colBreaks count="1" manualBreakCount="1">
    <brk id="26" max="1048575" man="1"/>
  </colBreaks>
  <tableParts count="6"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M53"/>
  <sheetViews>
    <sheetView topLeftCell="B1" workbookViewId="0">
      <selection activeCell="M11" sqref="M11"/>
    </sheetView>
  </sheetViews>
  <sheetFormatPr defaultRowHeight="12.75"/>
  <cols>
    <col min="2" max="2" width="4.140625" bestFit="1" customWidth="1"/>
    <col min="3" max="3" width="3.85546875" bestFit="1" customWidth="1"/>
    <col min="4" max="4" width="16.42578125" bestFit="1" customWidth="1"/>
    <col min="5" max="5" width="8.7109375" bestFit="1" customWidth="1"/>
    <col min="6" max="9" width="3.85546875" bestFit="1" customWidth="1"/>
    <col min="10" max="13" width="3.85546875" customWidth="1"/>
    <col min="15" max="15" width="4.140625" bestFit="1" customWidth="1"/>
    <col min="16" max="16" width="3.85546875" bestFit="1" customWidth="1"/>
    <col min="17" max="17" width="15.7109375" bestFit="1" customWidth="1"/>
    <col min="18" max="18" width="8.7109375" bestFit="1" customWidth="1"/>
    <col min="19" max="26" width="3.85546875" bestFit="1" customWidth="1"/>
    <col min="28" max="28" width="4.140625" bestFit="1" customWidth="1"/>
    <col min="29" max="29" width="3.85546875" bestFit="1" customWidth="1"/>
    <col min="30" max="30" width="15.7109375" bestFit="1" customWidth="1"/>
    <col min="31" max="31" width="8.7109375" bestFit="1" customWidth="1"/>
    <col min="32" max="39" width="3.85546875" bestFit="1" customWidth="1"/>
  </cols>
  <sheetData>
    <row r="1" spans="1:65" ht="42" customHeight="1"/>
    <row r="2" spans="1:65" ht="15.75">
      <c r="B2" s="387" t="s">
        <v>409</v>
      </c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O2" s="387" t="s">
        <v>410</v>
      </c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B2" s="387" t="s">
        <v>411</v>
      </c>
      <c r="AC2" s="387"/>
      <c r="AD2" s="387"/>
      <c r="AE2" s="387"/>
      <c r="AF2" s="387"/>
      <c r="AG2" s="387"/>
      <c r="AH2" s="387"/>
      <c r="AI2" s="387"/>
      <c r="AJ2" s="387"/>
      <c r="AK2" s="387"/>
      <c r="AL2" s="387"/>
      <c r="AM2" s="387"/>
      <c r="AO2" s="387" t="s">
        <v>413</v>
      </c>
      <c r="AP2" s="387"/>
      <c r="AQ2" s="387"/>
      <c r="AR2" s="387"/>
      <c r="AS2" s="387"/>
      <c r="AT2" s="387"/>
      <c r="AU2" s="387"/>
      <c r="AV2" s="387"/>
      <c r="AW2" s="387"/>
      <c r="AX2" s="387"/>
      <c r="AY2" s="387"/>
      <c r="AZ2" s="387"/>
      <c r="BB2" s="387" t="s">
        <v>414</v>
      </c>
      <c r="BC2" s="387"/>
      <c r="BD2" s="387"/>
      <c r="BE2" s="387"/>
      <c r="BF2" s="387"/>
      <c r="BG2" s="387"/>
      <c r="BH2" s="387"/>
      <c r="BI2" s="387"/>
      <c r="BJ2" s="387"/>
      <c r="BK2" s="387"/>
      <c r="BL2" s="387"/>
      <c r="BM2" s="387"/>
    </row>
    <row r="3" spans="1:65" ht="46.5">
      <c r="A3" s="209"/>
      <c r="B3" s="229" t="s">
        <v>398</v>
      </c>
      <c r="C3" s="229" t="s">
        <v>134</v>
      </c>
      <c r="D3" s="229" t="s">
        <v>135</v>
      </c>
      <c r="E3" s="229" t="s">
        <v>221</v>
      </c>
      <c r="F3" s="229" t="s">
        <v>399</v>
      </c>
      <c r="G3" s="229" t="s">
        <v>400</v>
      </c>
      <c r="H3" s="229" t="s">
        <v>401</v>
      </c>
      <c r="I3" s="229" t="s">
        <v>402</v>
      </c>
      <c r="J3" s="229" t="s">
        <v>403</v>
      </c>
      <c r="K3" s="229" t="s">
        <v>406</v>
      </c>
      <c r="L3" s="229" t="s">
        <v>405</v>
      </c>
      <c r="M3" s="229" t="s">
        <v>404</v>
      </c>
      <c r="N3" s="209"/>
      <c r="O3" s="229" t="s">
        <v>398</v>
      </c>
      <c r="P3" s="229" t="s">
        <v>134</v>
      </c>
      <c r="Q3" s="229" t="s">
        <v>135</v>
      </c>
      <c r="R3" s="229" t="s">
        <v>221</v>
      </c>
      <c r="S3" s="229" t="s">
        <v>399</v>
      </c>
      <c r="T3" s="229" t="s">
        <v>400</v>
      </c>
      <c r="U3" s="229" t="s">
        <v>401</v>
      </c>
      <c r="V3" s="229" t="s">
        <v>402</v>
      </c>
      <c r="W3" s="229" t="s">
        <v>403</v>
      </c>
      <c r="X3" s="229" t="s">
        <v>406</v>
      </c>
      <c r="Y3" s="229" t="s">
        <v>405</v>
      </c>
      <c r="Z3" s="229" t="s">
        <v>404</v>
      </c>
      <c r="AA3" s="208"/>
      <c r="AB3" s="229" t="s">
        <v>398</v>
      </c>
      <c r="AC3" s="229" t="s">
        <v>134</v>
      </c>
      <c r="AD3" s="229" t="s">
        <v>135</v>
      </c>
      <c r="AE3" s="229" t="s">
        <v>221</v>
      </c>
      <c r="AF3" s="229" t="s">
        <v>399</v>
      </c>
      <c r="AG3" s="229" t="s">
        <v>400</v>
      </c>
      <c r="AH3" s="229" t="s">
        <v>401</v>
      </c>
      <c r="AI3" s="229" t="s">
        <v>402</v>
      </c>
      <c r="AJ3" s="229" t="s">
        <v>403</v>
      </c>
      <c r="AK3" s="229" t="s">
        <v>406</v>
      </c>
      <c r="AL3" s="229" t="s">
        <v>405</v>
      </c>
      <c r="AM3" s="229" t="s">
        <v>404</v>
      </c>
      <c r="AO3" s="229" t="s">
        <v>398</v>
      </c>
      <c r="AP3" s="229" t="s">
        <v>134</v>
      </c>
      <c r="AQ3" s="229" t="s">
        <v>135</v>
      </c>
      <c r="AR3" s="229" t="s">
        <v>221</v>
      </c>
      <c r="AS3" s="229" t="s">
        <v>399</v>
      </c>
      <c r="AT3" s="229" t="s">
        <v>400</v>
      </c>
      <c r="AU3" s="229" t="s">
        <v>401</v>
      </c>
      <c r="AV3" s="229" t="s">
        <v>402</v>
      </c>
      <c r="AW3" s="229" t="s">
        <v>403</v>
      </c>
      <c r="AX3" s="229" t="s">
        <v>406</v>
      </c>
      <c r="AY3" s="229" t="s">
        <v>405</v>
      </c>
      <c r="AZ3" s="229" t="s">
        <v>404</v>
      </c>
      <c r="BB3" s="229" t="s">
        <v>398</v>
      </c>
      <c r="BC3" s="229" t="s">
        <v>134</v>
      </c>
      <c r="BD3" s="229" t="s">
        <v>135</v>
      </c>
      <c r="BE3" s="229" t="s">
        <v>221</v>
      </c>
      <c r="BF3" s="229" t="s">
        <v>399</v>
      </c>
      <c r="BG3" s="229" t="s">
        <v>400</v>
      </c>
      <c r="BH3" s="229" t="s">
        <v>401</v>
      </c>
      <c r="BI3" s="229" t="s">
        <v>402</v>
      </c>
      <c r="BJ3" s="229" t="s">
        <v>403</v>
      </c>
      <c r="BK3" s="229" t="s">
        <v>406</v>
      </c>
      <c r="BL3" s="229" t="s">
        <v>405</v>
      </c>
      <c r="BM3" s="229" t="s">
        <v>404</v>
      </c>
    </row>
    <row r="4" spans="1:65">
      <c r="B4">
        <v>251</v>
      </c>
      <c r="C4" t="str">
        <f>IFERROR(VLOOKUP($B4,OverallResults!$B$3:$Z$508,2,FALSE),"")</f>
        <v>DNF</v>
      </c>
      <c r="D4" t="str">
        <f>IFERROR(VLOOKUP($B4,OverallResults!$B$3:$Z$508,3,FALSE),"")</f>
        <v/>
      </c>
      <c r="E4" t="str">
        <f>IFERROR(TEXT(VLOOKUP($B4,OverallResults!$B$3:$Z$489,17,FALSE),"[h]:mm:ss.0"),"")</f>
        <v/>
      </c>
      <c r="F4" s="230" t="str">
        <f>IFERROR(VLOOKUP($D4,SortedDownload!$B$3:$Z$489,14,FALSE),"")</f>
        <v/>
      </c>
      <c r="G4" s="230" t="str">
        <f>IFERROR(VLOOKUP($D4,SortedDownload!$B$3:$Z$489,15,FALSE),"")</f>
        <v/>
      </c>
      <c r="H4" s="230" t="str">
        <f>IFERROR(VLOOKUP($D4,SortedDownload!$B$3:$Z$489,16,FALSE),"")</f>
        <v/>
      </c>
      <c r="I4" s="230" t="str">
        <f>IFERROR(VLOOKUP($D4,SortedDownload!$B$3:$Z$489,17,FALSE),"")</f>
        <v/>
      </c>
      <c r="J4" s="230" t="str">
        <f>IFERROR(VLOOKUP($D4,SortedDownload!$B$3:$Z$489,18,FALSE),"")</f>
        <v/>
      </c>
      <c r="K4" s="230" t="str">
        <f>IFERROR(VLOOKUP($D4,SortedDownload!$B$3:$Z$489,19,FALSE),"")</f>
        <v/>
      </c>
      <c r="L4" s="230" t="str">
        <f>IFERROR(VLOOKUP($D4,SortedDownload!$B$3:$Z$489,20,FALSE),"")</f>
        <v/>
      </c>
      <c r="M4" s="230" t="str">
        <f>IFERROR(VLOOKUP($D4,SortedDownload!$B$3:$Z$489,21,FALSE),"")</f>
        <v/>
      </c>
      <c r="O4">
        <v>301</v>
      </c>
      <c r="P4" t="str">
        <f>IFERROR(VLOOKUP($O4,OverallResults!$B$3:$Z$508,2,FALSE),"")</f>
        <v>DNF</v>
      </c>
      <c r="Q4" t="str">
        <f>IFERROR(VLOOKUP($O4,OverallResults!$B$3:$Z$508,3,FALSE),"")</f>
        <v/>
      </c>
      <c r="R4" t="str">
        <f>IFERROR(TEXT(VLOOKUP($O4,OverallResults!$B$3:$Z$489,17,FALSE),"[h]:mm:ss.0"),"")</f>
        <v/>
      </c>
      <c r="S4" s="230" t="str">
        <f>IFERROR(VLOOKUP($Q4,SortedDownload!$B$3:$Z$489,14,FALSE),"")</f>
        <v/>
      </c>
      <c r="T4" s="230" t="str">
        <f>IFERROR(VLOOKUP($Q4,SortedDownload!$B$3:$Z$489,15,FALSE),"")</f>
        <v/>
      </c>
      <c r="U4" s="230" t="str">
        <f>IFERROR(VLOOKUP($Q4,SortedDownload!$B$3:$Z$489,16,FALSE),"")</f>
        <v/>
      </c>
      <c r="V4" s="230" t="str">
        <f>IFERROR(VLOOKUP($Q4,SortedDownload!$B$3:$Z$489,17,FALSE),"")</f>
        <v/>
      </c>
      <c r="W4" s="230" t="str">
        <f>IFERROR(VLOOKUP($Q4,SortedDownload!$B$3:$Z$489,18,FALSE),"")</f>
        <v/>
      </c>
      <c r="X4" s="230" t="str">
        <f>IFERROR(VLOOKUP($Q4,SortedDownload!$B$3:$Z$489,19,FALSE),"")</f>
        <v/>
      </c>
      <c r="Y4" s="230" t="str">
        <f>IFERROR(VLOOKUP($Q4,SortedDownload!$B$3:$Z$489,20,FALSE),"")</f>
        <v/>
      </c>
      <c r="Z4" s="230" t="str">
        <f>IFERROR(VLOOKUP($Q4,SortedDownload!$B$3:$Z$489,21,FALSE),"")</f>
        <v/>
      </c>
      <c r="AB4">
        <v>351</v>
      </c>
      <c r="AC4" t="str">
        <f>IFERROR(VLOOKUP($AB4,OverallResults!$B$3:$Z$508,2,FALSE),"")</f>
        <v>DNF</v>
      </c>
      <c r="AD4" t="str">
        <f>IFERROR(VLOOKUP($AB4,OverallResults!$B$3:$Z$508,3,FALSE),"")</f>
        <v/>
      </c>
      <c r="AE4" t="str">
        <f>IFERROR(TEXT(VLOOKUP($AB4,OverallResults!$B$3:$Z$489,17,FALSE),"[h]:mm:ss.0"),"")</f>
        <v/>
      </c>
      <c r="AF4" s="230" t="str">
        <f>IFERROR(VLOOKUP($AD4,SortedDownload!$B$3:$Z$489,14,FALSE),"")</f>
        <v/>
      </c>
      <c r="AG4" s="230" t="str">
        <f>IFERROR(VLOOKUP($AD4,SortedDownload!$B$3:$Z$489,15,FALSE),"")</f>
        <v/>
      </c>
      <c r="AH4" s="230" t="str">
        <f>IFERROR(VLOOKUP($AD4,SortedDownload!$B$3:$Z$489,16,FALSE),"")</f>
        <v/>
      </c>
      <c r="AI4" s="230" t="str">
        <f>IFERROR(VLOOKUP($AD4,SortedDownload!$B$3:$Z$489,17,FALSE),"")</f>
        <v/>
      </c>
      <c r="AJ4" s="230" t="str">
        <f>IFERROR(VLOOKUP($AD4,SortedDownload!$B$3:$Z$489,18,FALSE),"")</f>
        <v/>
      </c>
      <c r="AK4" s="230" t="str">
        <f>IFERROR(VLOOKUP($AD4,SortedDownload!$B$3:$Z$489,19,FALSE),"")</f>
        <v/>
      </c>
      <c r="AL4" s="230" t="str">
        <f>IFERROR(VLOOKUP($AD4,SortedDownload!$B$3:$Z$489,20,FALSE),"")</f>
        <v/>
      </c>
      <c r="AM4" s="230" t="str">
        <f>IFERROR(VLOOKUP($AD4,SortedDownload!$B$3:$Z$489,21,FALSE),"")</f>
        <v/>
      </c>
      <c r="AO4">
        <v>401</v>
      </c>
      <c r="AP4" t="str">
        <f>IFERROR(VLOOKUP($AO4,OverallResults!$B$3:$Z$508,2,FALSE),"")</f>
        <v>DNF</v>
      </c>
      <c r="AQ4" t="str">
        <f>IFERROR(VLOOKUP($AO4,OverallResults!$B$3:$Z$508,3,FALSE),"")</f>
        <v/>
      </c>
      <c r="AR4" t="str">
        <f>IFERROR(TEXT(VLOOKUP($AO4,OverallResults!$B$3:$Z$489,17,FALSE),"[h]:mm:ss.0"),"")</f>
        <v/>
      </c>
      <c r="AS4" s="230" t="str">
        <f>IFERROR(VLOOKUP($AQ4,SortedDownload!$B$3:$Z$489,14,FALSE),"")</f>
        <v/>
      </c>
      <c r="AT4" s="230" t="str">
        <f>IFERROR(VLOOKUP($AQ4,SortedDownload!$B$3:$Z$489,15,FALSE),"")</f>
        <v/>
      </c>
      <c r="AU4" s="230" t="str">
        <f>IFERROR(VLOOKUP($AQ4,SortedDownload!$B$3:$Z$489,16,FALSE),"")</f>
        <v/>
      </c>
      <c r="AV4" s="230" t="str">
        <f>IFERROR(VLOOKUP($AQ4,SortedDownload!$B$3:$Z$489,17,FALSE),"")</f>
        <v/>
      </c>
      <c r="AW4" s="230" t="str">
        <f>IFERROR(VLOOKUP($AQ4,SortedDownload!$B$3:$Z$489,18,FALSE),"")</f>
        <v/>
      </c>
      <c r="AX4" s="230" t="str">
        <f>IFERROR(VLOOKUP($AQ4,SortedDownload!$B$3:$Z$489,19,FALSE),"")</f>
        <v/>
      </c>
      <c r="AY4" s="230" t="str">
        <f>IFERROR(VLOOKUP($AQ4,SortedDownload!$B$3:$Z$489,20,FALSE),"")</f>
        <v/>
      </c>
      <c r="AZ4" s="230" t="str">
        <f>IFERROR(VLOOKUP($AQ4,SortedDownload!$B$3:$Z$489,21,FALSE),"")</f>
        <v/>
      </c>
      <c r="BB4">
        <v>451</v>
      </c>
      <c r="BC4" t="str">
        <f>IFERROR(VLOOKUP($BB4,OverallResults!$B$3:$Z$508,2,FALSE),"")</f>
        <v>DNF</v>
      </c>
      <c r="BD4" t="str">
        <f>IFERROR(VLOOKUP($BB4,OverallResults!$B$3:$Z$508,3,FALSE),"")</f>
        <v/>
      </c>
      <c r="BE4" t="str">
        <f>IFERROR(TEXT(VLOOKUP($BB4,OverallResults!$B$3:$Z$489,17,FALSE),"[h]:mm:ss.0"),"")</f>
        <v/>
      </c>
      <c r="BF4" s="230" t="str">
        <f>IFERROR(VLOOKUP($BD4,SortedDownload!$B$3:$Z$489,14,FALSE),"")</f>
        <v/>
      </c>
      <c r="BG4" s="230" t="str">
        <f>IFERROR(VLOOKUP($BD4,SortedDownload!$B$3:$Z$489,15,FALSE),"")</f>
        <v/>
      </c>
      <c r="BH4" s="230" t="str">
        <f>IFERROR(VLOOKUP($BD4,SortedDownload!$B$3:$Z$489,16,FALSE),"")</f>
        <v/>
      </c>
      <c r="BI4" s="230" t="str">
        <f>IFERROR(VLOOKUP($BD4,SortedDownload!$B$3:$Z$489,17,FALSE),"")</f>
        <v/>
      </c>
      <c r="BJ4" s="230" t="str">
        <f>IFERROR(VLOOKUP($BD4,SortedDownload!$B$3:$Z$489,18,FALSE),"")</f>
        <v/>
      </c>
      <c r="BK4" s="230" t="str">
        <f>IFERROR(VLOOKUP($BD4,SortedDownload!$B$3:$Z$489,19,FALSE),"")</f>
        <v/>
      </c>
      <c r="BL4" s="230" t="str">
        <f>IFERROR(VLOOKUP($BD4,SortedDownload!$B$3:$Z$489,20,FALSE),"")</f>
        <v/>
      </c>
      <c r="BM4" s="230" t="str">
        <f>IFERROR(VLOOKUP($BD4,SortedDownload!$B$3:$Z$489,21,FALSE),"")</f>
        <v/>
      </c>
    </row>
    <row r="5" spans="1:65">
      <c r="B5">
        <v>252</v>
      </c>
      <c r="C5" t="str">
        <f>IFERROR(VLOOKUP($B5,OverallResults!$B$3:$Z$508,2,FALSE),"")</f>
        <v>DNF</v>
      </c>
      <c r="D5" t="str">
        <f>IFERROR(VLOOKUP($B5,OverallResults!$B$3:$Z$508,3,FALSE),"")</f>
        <v/>
      </c>
      <c r="E5" t="str">
        <f>IFERROR(TEXT(VLOOKUP($B5,OverallResults!$B$3:$Z$489,17,FALSE),"[h]:mm:ss.0"),"")</f>
        <v/>
      </c>
      <c r="F5" s="230" t="str">
        <f>IFERROR(VLOOKUP($D5,SortedDownload!$B$3:$Z$489,14,FALSE),"")</f>
        <v/>
      </c>
      <c r="G5" s="230" t="str">
        <f>IFERROR(VLOOKUP($D5,SortedDownload!$B$3:$Z$489,15,FALSE),"")</f>
        <v/>
      </c>
      <c r="H5" s="230" t="str">
        <f>IFERROR(VLOOKUP($D5,SortedDownload!$B$3:$Z$489,16,FALSE),"")</f>
        <v/>
      </c>
      <c r="I5" s="230" t="str">
        <f>IFERROR(VLOOKUP($D5,SortedDownload!$B$3:$Z$489,17,FALSE),"")</f>
        <v/>
      </c>
      <c r="J5" s="230" t="str">
        <f>IFERROR(VLOOKUP($D5,SortedDownload!$B$3:$Z$489,18,FALSE),"")</f>
        <v/>
      </c>
      <c r="K5" s="230" t="str">
        <f>IFERROR(VLOOKUP($D5,SortedDownload!$B$3:$Z$489,19,FALSE),"")</f>
        <v/>
      </c>
      <c r="L5" s="230" t="str">
        <f>IFERROR(VLOOKUP($D5,SortedDownload!$B$3:$Z$489,20,FALSE),"")</f>
        <v/>
      </c>
      <c r="M5" s="230" t="str">
        <f>IFERROR(VLOOKUP($D5,SortedDownload!$B$3:$Z$489,21,FALSE),"")</f>
        <v/>
      </c>
      <c r="O5">
        <v>302</v>
      </c>
      <c r="P5" t="str">
        <f>IFERROR(VLOOKUP($O5,OverallResults!$B$3:$Z$508,2,FALSE),"")</f>
        <v>DNF</v>
      </c>
      <c r="Q5" t="str">
        <f>IFERROR(VLOOKUP($O5,OverallResults!$B$3:$Z$508,3,FALSE),"")</f>
        <v/>
      </c>
      <c r="R5" t="str">
        <f>IFERROR(TEXT(VLOOKUP($O5,OverallResults!$B$3:$Z$489,17,FALSE),"[h]:mm:ss.0"),"")</f>
        <v/>
      </c>
      <c r="S5" s="230" t="str">
        <f>IFERROR(VLOOKUP($Q5,SortedDownload!$B$3:$Z$489,14,FALSE),"")</f>
        <v/>
      </c>
      <c r="T5" s="230" t="str">
        <f>IFERROR(VLOOKUP($Q5,SortedDownload!$B$3:$Z$489,15,FALSE),"")</f>
        <v/>
      </c>
      <c r="U5" s="230" t="str">
        <f>IFERROR(VLOOKUP($Q5,SortedDownload!$B$3:$Z$489,16,FALSE),"")</f>
        <v/>
      </c>
      <c r="V5" s="230" t="str">
        <f>IFERROR(VLOOKUP($Q5,SortedDownload!$B$3:$Z$489,17,FALSE),"")</f>
        <v/>
      </c>
      <c r="W5" s="230" t="str">
        <f>IFERROR(VLOOKUP($Q5,SortedDownload!$B$3:$Z$489,18,FALSE),"")</f>
        <v/>
      </c>
      <c r="X5" s="230" t="str">
        <f>IFERROR(VLOOKUP($Q5,SortedDownload!$B$3:$Z$489,19,FALSE),"")</f>
        <v/>
      </c>
      <c r="Y5" s="230" t="str">
        <f>IFERROR(VLOOKUP($Q5,SortedDownload!$B$3:$Z$489,20,FALSE),"")</f>
        <v/>
      </c>
      <c r="Z5" s="230" t="str">
        <f>IFERROR(VLOOKUP($Q5,SortedDownload!$B$3:$Z$489,21,FALSE),"")</f>
        <v/>
      </c>
      <c r="AB5">
        <v>352</v>
      </c>
      <c r="AC5" t="str">
        <f>IFERROR(VLOOKUP($AB5,OverallResults!$B$3:$Z$508,2,FALSE),"")</f>
        <v>DNF</v>
      </c>
      <c r="AD5" t="str">
        <f>IFERROR(VLOOKUP($AB5,OverallResults!$B$3:$Z$508,3,FALSE),"")</f>
        <v/>
      </c>
      <c r="AE5" t="str">
        <f>IFERROR(TEXT(VLOOKUP($AB5,OverallResults!$B$3:$Z$489,17,FALSE),"[h]:mm:ss.0"),"")</f>
        <v/>
      </c>
      <c r="AF5" s="230" t="str">
        <f>IFERROR(VLOOKUP($AD5,SortedDownload!$B$3:$Z$489,14,FALSE),"")</f>
        <v/>
      </c>
      <c r="AG5" s="230" t="str">
        <f>IFERROR(VLOOKUP($AD5,SortedDownload!$B$3:$Z$489,15,FALSE),"")</f>
        <v/>
      </c>
      <c r="AH5" s="230" t="str">
        <f>IFERROR(VLOOKUP($AD5,SortedDownload!$B$3:$Z$489,16,FALSE),"")</f>
        <v/>
      </c>
      <c r="AI5" s="230" t="str">
        <f>IFERROR(VLOOKUP($AD5,SortedDownload!$B$3:$Z$489,17,FALSE),"")</f>
        <v/>
      </c>
      <c r="AJ5" s="230" t="str">
        <f>IFERROR(VLOOKUP($AD5,SortedDownload!$B$3:$Z$489,18,FALSE),"")</f>
        <v/>
      </c>
      <c r="AK5" s="230" t="str">
        <f>IFERROR(VLOOKUP($AD5,SortedDownload!$B$3:$Z$489,19,FALSE),"")</f>
        <v/>
      </c>
      <c r="AL5" s="230" t="str">
        <f>IFERROR(VLOOKUP($AD5,SortedDownload!$B$3:$Z$489,20,FALSE),"")</f>
        <v/>
      </c>
      <c r="AM5" s="230" t="str">
        <f>IFERROR(VLOOKUP($AD5,SortedDownload!$B$3:$Z$489,21,FALSE),"")</f>
        <v/>
      </c>
      <c r="AO5">
        <v>402</v>
      </c>
      <c r="AP5" t="str">
        <f>IFERROR(VLOOKUP(#REF!,OverallResults!$A$3:$Z$489,3,FALSE),"")</f>
        <v/>
      </c>
      <c r="AQ5" t="str">
        <f>IFERROR(VLOOKUP(#REF!,EntryList!$A$3:$Z$291,26,FALSE),"")</f>
        <v/>
      </c>
      <c r="AR5" t="str">
        <f>IFERROR(TEXT(VLOOKUP(#REF!,SortedDownload!$A$3:$Z$489,14,FALSE),"[h]:mm:ss.0"),"")</f>
        <v/>
      </c>
      <c r="AS5" s="230" t="str">
        <f>IFERROR(VLOOKUP(#REF!,SortedDownload!$A$3:$Z$489,15,FALSE),"")</f>
        <v/>
      </c>
      <c r="AT5" s="230" t="str">
        <f>IFERROR(VLOOKUP(#REF!,SortedDownload!$A$3:$Z$489,16,FALSE),"")</f>
        <v/>
      </c>
      <c r="AU5" s="230" t="str">
        <f>IFERROR(VLOOKUP(#REF!,SortedDownload!$A$3:$Z$489,17,FALSE),"")</f>
        <v/>
      </c>
      <c r="AV5" s="230" t="str">
        <f>IFERROR(VLOOKUP(#REF!,SortedDownload!$A$3:$Z$489,18,FALSE),"")</f>
        <v/>
      </c>
      <c r="AW5" s="230" t="str">
        <f>IFERROR(VLOOKUP(#REF!,SortedDownload!$A$3:$Z$489,19,FALSE),"")</f>
        <v/>
      </c>
      <c r="AX5" s="230" t="str">
        <f>IFERROR(VLOOKUP(#REF!,SortedDownload!$A$3:$Z$489,20,FALSE),"")</f>
        <v/>
      </c>
      <c r="AY5" s="230" t="str">
        <f>IFERROR(VLOOKUP(#REF!,SortedDownload!$A$3:$Z$489,21,FALSE),"")</f>
        <v/>
      </c>
      <c r="AZ5" s="230" t="str">
        <f>IFERROR(VLOOKUP(#REF!,SortedDownload!$A$3:$Z$489,22,FALSE),"")</f>
        <v/>
      </c>
      <c r="BB5">
        <v>452</v>
      </c>
      <c r="BC5" t="str">
        <f>IFERROR(VLOOKUP($BB5,OverallResults!$B$3:$Z$508,2,FALSE),"")</f>
        <v>DNF</v>
      </c>
      <c r="BD5" t="str">
        <f>IFERROR(VLOOKUP($BB5,OverallResults!$B$3:$Z$508,3,FALSE),"")</f>
        <v/>
      </c>
      <c r="BE5" t="str">
        <f>IFERROR(TEXT(VLOOKUP($BB5,OverallResults!$B$3:$Z$489,17,FALSE),"[h]:mm:ss.0"),"")</f>
        <v/>
      </c>
      <c r="BF5" s="230" t="str">
        <f>IFERROR(VLOOKUP($BD5,SortedDownload!$B$3:$Z$489,14,FALSE),"")</f>
        <v/>
      </c>
      <c r="BG5" s="230" t="str">
        <f>IFERROR(VLOOKUP($BD5,SortedDownload!$B$3:$Z$489,15,FALSE),"")</f>
        <v/>
      </c>
      <c r="BH5" s="230" t="str">
        <f>IFERROR(VLOOKUP($BD5,SortedDownload!$B$3:$Z$489,16,FALSE),"")</f>
        <v/>
      </c>
      <c r="BI5" s="230" t="str">
        <f>IFERROR(VLOOKUP($BD5,SortedDownload!$B$3:$Z$489,17,FALSE),"")</f>
        <v/>
      </c>
      <c r="BJ5" s="230" t="str">
        <f>IFERROR(VLOOKUP($BD5,SortedDownload!$B$3:$Z$489,18,FALSE),"")</f>
        <v/>
      </c>
      <c r="BK5" s="230" t="str">
        <f>IFERROR(VLOOKUP($BD5,SortedDownload!$B$3:$Z$489,19,FALSE),"")</f>
        <v/>
      </c>
      <c r="BL5" s="230" t="str">
        <f>IFERROR(VLOOKUP($BD5,SortedDownload!$B$3:$Z$489,20,FALSE),"")</f>
        <v/>
      </c>
      <c r="BM5" s="230" t="str">
        <f>IFERROR(VLOOKUP($BD5,SortedDownload!$B$3:$Z$489,21,FALSE),"")</f>
        <v/>
      </c>
    </row>
    <row r="6" spans="1:65">
      <c r="B6">
        <v>253</v>
      </c>
      <c r="C6" t="str">
        <f>IFERROR(VLOOKUP($B6,OverallResults!$B$3:$Z$508,2,FALSE),"")</f>
        <v>DNF</v>
      </c>
      <c r="D6" t="str">
        <f>IFERROR(VLOOKUP($B6,OverallResults!$B$3:$Z$508,3,FALSE),"")</f>
        <v/>
      </c>
      <c r="E6" t="str">
        <f>IFERROR(TEXT(VLOOKUP($B6,OverallResults!$B$3:$Z$489,17,FALSE),"[h]:mm:ss.0"),"")</f>
        <v/>
      </c>
      <c r="F6" s="230" t="str">
        <f>IFERROR(VLOOKUP($D6,SortedDownload!$B$3:$Z$489,14,FALSE),"")</f>
        <v/>
      </c>
      <c r="G6" s="230" t="str">
        <f>IFERROR(VLOOKUP($D6,SortedDownload!$B$3:$Z$489,15,FALSE),"")</f>
        <v/>
      </c>
      <c r="H6" s="230" t="str">
        <f>IFERROR(VLOOKUP($D6,SortedDownload!$B$3:$Z$489,16,FALSE),"")</f>
        <v/>
      </c>
      <c r="I6" s="230" t="str">
        <f>IFERROR(VLOOKUP($D6,SortedDownload!$B$3:$Z$489,17,FALSE),"")</f>
        <v/>
      </c>
      <c r="J6" s="230" t="str">
        <f>IFERROR(VLOOKUP($D6,SortedDownload!$B$3:$Z$489,18,FALSE),"")</f>
        <v/>
      </c>
      <c r="K6" s="230" t="str">
        <f>IFERROR(VLOOKUP($D6,SortedDownload!$B$3:$Z$489,19,FALSE),"")</f>
        <v/>
      </c>
      <c r="L6" s="230" t="str">
        <f>IFERROR(VLOOKUP($D6,SortedDownload!$B$3:$Z$489,20,FALSE),"")</f>
        <v/>
      </c>
      <c r="M6" s="230" t="str">
        <f>IFERROR(VLOOKUP($D6,SortedDownload!$B$3:$Z$489,21,FALSE),"")</f>
        <v/>
      </c>
      <c r="O6">
        <v>303</v>
      </c>
      <c r="P6" t="str">
        <f>IFERROR(VLOOKUP($O6,OverallResults!$B$3:$Z$508,2,FALSE),"")</f>
        <v>DNF</v>
      </c>
      <c r="Q6" t="str">
        <f>IFERROR(VLOOKUP($O6,OverallResults!$B$3:$Z$508,3,FALSE),"")</f>
        <v/>
      </c>
      <c r="R6" t="str">
        <f>IFERROR(TEXT(VLOOKUP($O6,OverallResults!$B$3:$Z$489,17,FALSE),"[h]:mm:ss.0"),"")</f>
        <v/>
      </c>
      <c r="S6" s="230" t="str">
        <f>IFERROR(VLOOKUP($Q6,SortedDownload!$B$3:$Z$489,14,FALSE),"")</f>
        <v/>
      </c>
      <c r="T6" s="230" t="str">
        <f>IFERROR(VLOOKUP($Q6,SortedDownload!$B$3:$Z$489,15,FALSE),"")</f>
        <v/>
      </c>
      <c r="U6" s="230" t="str">
        <f>IFERROR(VLOOKUP($Q6,SortedDownload!$B$3:$Z$489,16,FALSE),"")</f>
        <v/>
      </c>
      <c r="V6" s="230" t="str">
        <f>IFERROR(VLOOKUP($Q6,SortedDownload!$B$3:$Z$489,17,FALSE),"")</f>
        <v/>
      </c>
      <c r="W6" s="230" t="str">
        <f>IFERROR(VLOOKUP($Q6,SortedDownload!$B$3:$Z$489,18,FALSE),"")</f>
        <v/>
      </c>
      <c r="X6" s="230" t="str">
        <f>IFERROR(VLOOKUP($Q6,SortedDownload!$B$3:$Z$489,19,FALSE),"")</f>
        <v/>
      </c>
      <c r="Y6" s="230" t="str">
        <f>IFERROR(VLOOKUP($Q6,SortedDownload!$B$3:$Z$489,20,FALSE),"")</f>
        <v/>
      </c>
      <c r="Z6" s="230" t="str">
        <f>IFERROR(VLOOKUP($Q6,SortedDownload!$B$3:$Z$489,21,FALSE),"")</f>
        <v/>
      </c>
      <c r="AB6">
        <v>353</v>
      </c>
      <c r="AC6" t="str">
        <f>IFERROR(VLOOKUP($AB6,OverallResults!$B$3:$Z$508,2,FALSE),"")</f>
        <v>DNF</v>
      </c>
      <c r="AD6" t="str">
        <f>IFERROR(VLOOKUP($AB6,OverallResults!$B$3:$Z$508,3,FALSE),"")</f>
        <v/>
      </c>
      <c r="AE6" t="str">
        <f>IFERROR(TEXT(VLOOKUP($AB6,OverallResults!$B$3:$Z$489,17,FALSE),"[h]:mm:ss.0"),"")</f>
        <v/>
      </c>
      <c r="AF6" s="230" t="str">
        <f>IFERROR(VLOOKUP($AD6,SortedDownload!$B$3:$Z$489,14,FALSE),"")</f>
        <v/>
      </c>
      <c r="AG6" s="230" t="str">
        <f>IFERROR(VLOOKUP($AD6,SortedDownload!$B$3:$Z$489,15,FALSE),"")</f>
        <v/>
      </c>
      <c r="AH6" s="230" t="str">
        <f>IFERROR(VLOOKUP($AD6,SortedDownload!$B$3:$Z$489,16,FALSE),"")</f>
        <v/>
      </c>
      <c r="AI6" s="230" t="str">
        <f>IFERROR(VLOOKUP($AD6,SortedDownload!$B$3:$Z$489,17,FALSE),"")</f>
        <v/>
      </c>
      <c r="AJ6" s="230" t="str">
        <f>IFERROR(VLOOKUP($AD6,SortedDownload!$B$3:$Z$489,18,FALSE),"")</f>
        <v/>
      </c>
      <c r="AK6" s="230" t="str">
        <f>IFERROR(VLOOKUP($AD6,SortedDownload!$B$3:$Z$489,19,FALSE),"")</f>
        <v/>
      </c>
      <c r="AL6" s="230" t="str">
        <f>IFERROR(VLOOKUP($AD6,SortedDownload!$B$3:$Z$489,20,FALSE),"")</f>
        <v/>
      </c>
      <c r="AM6" s="230" t="str">
        <f>IFERROR(VLOOKUP($AD6,SortedDownload!$B$3:$Z$489,21,FALSE),"")</f>
        <v/>
      </c>
      <c r="AO6">
        <v>403</v>
      </c>
      <c r="AP6" t="str">
        <f>IFERROR(VLOOKUP(#REF!,OverallResults!$A$3:$Z$489,3,FALSE),"")</f>
        <v/>
      </c>
      <c r="AQ6" t="str">
        <f>IFERROR(VLOOKUP(#REF!,EntryList!$A$3:$Z$291,26,FALSE),"")</f>
        <v/>
      </c>
      <c r="AR6" t="str">
        <f>IFERROR(TEXT(VLOOKUP(#REF!,SortedDownload!$A$3:$Z$489,14,FALSE),"[h]:mm:ss.0"),"")</f>
        <v/>
      </c>
      <c r="AS6" s="230" t="str">
        <f>IFERROR(VLOOKUP(#REF!,SortedDownload!$A$3:$Z$489,15,FALSE),"")</f>
        <v/>
      </c>
      <c r="AT6" s="230" t="str">
        <f>IFERROR(VLOOKUP(#REF!,SortedDownload!$A$3:$Z$489,16,FALSE),"")</f>
        <v/>
      </c>
      <c r="AU6" s="230" t="str">
        <f>IFERROR(VLOOKUP(#REF!,SortedDownload!$A$3:$Z$489,17,FALSE),"")</f>
        <v/>
      </c>
      <c r="AV6" s="230" t="str">
        <f>IFERROR(VLOOKUP(#REF!,SortedDownload!$A$3:$Z$489,18,FALSE),"")</f>
        <v/>
      </c>
      <c r="AW6" s="230" t="str">
        <f>IFERROR(VLOOKUP(#REF!,SortedDownload!$A$3:$Z$489,19,FALSE),"")</f>
        <v/>
      </c>
      <c r="AX6" s="230" t="str">
        <f>IFERROR(VLOOKUP(#REF!,SortedDownload!$A$3:$Z$489,20,FALSE),"")</f>
        <v/>
      </c>
      <c r="AY6" s="230" t="str">
        <f>IFERROR(VLOOKUP(#REF!,SortedDownload!$A$3:$Z$489,21,FALSE),"")</f>
        <v/>
      </c>
      <c r="AZ6" s="230" t="str">
        <f>IFERROR(VLOOKUP(#REF!,SortedDownload!$A$3:$Z$489,22,FALSE),"")</f>
        <v/>
      </c>
      <c r="BB6">
        <v>453</v>
      </c>
      <c r="BC6" t="str">
        <f>IFERROR(VLOOKUP($BB6,OverallResults!$B$3:$Z$508,2,FALSE),"")</f>
        <v>DNF</v>
      </c>
      <c r="BD6" t="str">
        <f>IFERROR(VLOOKUP($BB6,OverallResults!$B$3:$Z$508,3,FALSE),"")</f>
        <v/>
      </c>
      <c r="BE6" t="str">
        <f>IFERROR(TEXT(VLOOKUP($BB6,OverallResults!$B$3:$Z$489,17,FALSE),"[h]:mm:ss.0"),"")</f>
        <v/>
      </c>
      <c r="BF6" s="230" t="str">
        <f>IFERROR(VLOOKUP($BD6,SortedDownload!$B$3:$Z$489,14,FALSE),"")</f>
        <v/>
      </c>
      <c r="BG6" s="230" t="str">
        <f>IFERROR(VLOOKUP($BD6,SortedDownload!$B$3:$Z$489,15,FALSE),"")</f>
        <v/>
      </c>
      <c r="BH6" s="230" t="str">
        <f>IFERROR(VLOOKUP($BD6,SortedDownload!$B$3:$Z$489,16,FALSE),"")</f>
        <v/>
      </c>
      <c r="BI6" s="230" t="str">
        <f>IFERROR(VLOOKUP($BD6,SortedDownload!$B$3:$Z$489,17,FALSE),"")</f>
        <v/>
      </c>
      <c r="BJ6" s="230" t="str">
        <f>IFERROR(VLOOKUP($BD6,SortedDownload!$B$3:$Z$489,18,FALSE),"")</f>
        <v/>
      </c>
      <c r="BK6" s="230" t="str">
        <f>IFERROR(VLOOKUP($BD6,SortedDownload!$B$3:$Z$489,19,FALSE),"")</f>
        <v/>
      </c>
      <c r="BL6" s="230" t="str">
        <f>IFERROR(VLOOKUP($BD6,SortedDownload!$B$3:$Z$489,20,FALSE),"")</f>
        <v/>
      </c>
      <c r="BM6" s="230" t="str">
        <f>IFERROR(VLOOKUP($BD6,SortedDownload!$B$3:$Z$489,21,FALSE),"")</f>
        <v/>
      </c>
    </row>
    <row r="7" spans="1:65">
      <c r="B7">
        <v>254</v>
      </c>
      <c r="C7" t="str">
        <f>IFERROR(VLOOKUP($B7,OverallResults!$B$3:$Z$508,2,FALSE),"")</f>
        <v>DNF</v>
      </c>
      <c r="D7" t="str">
        <f>IFERROR(VLOOKUP($B7,OverallResults!$B$3:$Z$508,3,FALSE),"")</f>
        <v/>
      </c>
      <c r="E7" t="str">
        <f>IFERROR(TEXT(VLOOKUP($B7,OverallResults!$B$3:$Z$489,17,FALSE),"[h]:mm:ss.0"),"")</f>
        <v/>
      </c>
      <c r="F7" s="230" t="str">
        <f>IFERROR(VLOOKUP($D7,SortedDownload!$B$3:$Z$489,14,FALSE),"")</f>
        <v/>
      </c>
      <c r="G7" s="230" t="str">
        <f>IFERROR(VLOOKUP($D7,SortedDownload!$B$3:$Z$489,15,FALSE),"")</f>
        <v/>
      </c>
      <c r="H7" s="230" t="str">
        <f>IFERROR(VLOOKUP($D7,SortedDownload!$B$3:$Z$489,16,FALSE),"")</f>
        <v/>
      </c>
      <c r="I7" s="230" t="str">
        <f>IFERROR(VLOOKUP($D7,SortedDownload!$B$3:$Z$489,17,FALSE),"")</f>
        <v/>
      </c>
      <c r="J7" s="230" t="str">
        <f>IFERROR(VLOOKUP($D7,SortedDownload!$B$3:$Z$489,18,FALSE),"")</f>
        <v/>
      </c>
      <c r="K7" s="230" t="str">
        <f>IFERROR(VLOOKUP($D7,SortedDownload!$B$3:$Z$489,19,FALSE),"")</f>
        <v/>
      </c>
      <c r="L7" s="230" t="str">
        <f>IFERROR(VLOOKUP($D7,SortedDownload!$B$3:$Z$489,20,FALSE),"")</f>
        <v/>
      </c>
      <c r="M7" s="230" t="str">
        <f>IFERROR(VLOOKUP($D7,SortedDownload!$B$3:$Z$489,21,FALSE),"")</f>
        <v/>
      </c>
      <c r="O7">
        <v>304</v>
      </c>
      <c r="P7" t="str">
        <f>IFERROR(VLOOKUP($O7,OverallResults!$B$3:$Z$508,2,FALSE),"")</f>
        <v>DNF</v>
      </c>
      <c r="Q7" t="str">
        <f>IFERROR(VLOOKUP($O7,OverallResults!$B$3:$Z$508,3,FALSE),"")</f>
        <v/>
      </c>
      <c r="R7" t="str">
        <f>IFERROR(TEXT(VLOOKUP($O7,OverallResults!$B$3:$Z$489,17,FALSE),"[h]:mm:ss.0"),"")</f>
        <v/>
      </c>
      <c r="S7" s="230" t="str">
        <f>IFERROR(VLOOKUP($Q7,SortedDownload!$B$3:$Z$489,14,FALSE),"")</f>
        <v/>
      </c>
      <c r="T7" s="230" t="str">
        <f>IFERROR(VLOOKUP($Q7,SortedDownload!$B$3:$Z$489,15,FALSE),"")</f>
        <v/>
      </c>
      <c r="U7" s="230" t="str">
        <f>IFERROR(VLOOKUP($Q7,SortedDownload!$B$3:$Z$489,16,FALSE),"")</f>
        <v/>
      </c>
      <c r="V7" s="230" t="str">
        <f>IFERROR(VLOOKUP($Q7,SortedDownload!$B$3:$Z$489,17,FALSE),"")</f>
        <v/>
      </c>
      <c r="W7" s="230" t="str">
        <f>IFERROR(VLOOKUP($Q7,SortedDownload!$B$3:$Z$489,18,FALSE),"")</f>
        <v/>
      </c>
      <c r="X7" s="230" t="str">
        <f>IFERROR(VLOOKUP($Q7,SortedDownload!$B$3:$Z$489,19,FALSE),"")</f>
        <v/>
      </c>
      <c r="Y7" s="230" t="str">
        <f>IFERROR(VLOOKUP($Q7,SortedDownload!$B$3:$Z$489,20,FALSE),"")</f>
        <v/>
      </c>
      <c r="Z7" s="230" t="str">
        <f>IFERROR(VLOOKUP($Q7,SortedDownload!$B$3:$Z$489,21,FALSE),"")</f>
        <v/>
      </c>
      <c r="AB7">
        <v>354</v>
      </c>
      <c r="AC7" t="str">
        <f>IFERROR(VLOOKUP($AB7,OverallResults!$B$3:$Z$508,2,FALSE),"")</f>
        <v>DNF</v>
      </c>
      <c r="AD7" t="str">
        <f>IFERROR(VLOOKUP($AB7,OverallResults!$B$3:$Z$508,3,FALSE),"")</f>
        <v/>
      </c>
      <c r="AE7" t="str">
        <f>IFERROR(TEXT(VLOOKUP($AB7,OverallResults!$B$3:$Z$489,17,FALSE),"[h]:mm:ss.0"),"")</f>
        <v/>
      </c>
      <c r="AF7" s="230" t="str">
        <f>IFERROR(VLOOKUP($AD7,SortedDownload!$B$3:$Z$489,14,FALSE),"")</f>
        <v/>
      </c>
      <c r="AG7" s="230" t="str">
        <f>IFERROR(VLOOKUP($AD7,SortedDownload!$B$3:$Z$489,15,FALSE),"")</f>
        <v/>
      </c>
      <c r="AH7" s="230" t="str">
        <f>IFERROR(VLOOKUP($AD7,SortedDownload!$B$3:$Z$489,16,FALSE),"")</f>
        <v/>
      </c>
      <c r="AI7" s="230" t="str">
        <f>IFERROR(VLOOKUP($AD7,SortedDownload!$B$3:$Z$489,17,FALSE),"")</f>
        <v/>
      </c>
      <c r="AJ7" s="230" t="str">
        <f>IFERROR(VLOOKUP($AD7,SortedDownload!$B$3:$Z$489,18,FALSE),"")</f>
        <v/>
      </c>
      <c r="AK7" s="230" t="str">
        <f>IFERROR(VLOOKUP($AD7,SortedDownload!$B$3:$Z$489,19,FALSE),"")</f>
        <v/>
      </c>
      <c r="AL7" s="230" t="str">
        <f>IFERROR(VLOOKUP($AD7,SortedDownload!$B$3:$Z$489,20,FALSE),"")</f>
        <v/>
      </c>
      <c r="AM7" s="230" t="str">
        <f>IFERROR(VLOOKUP($AD7,SortedDownload!$B$3:$Z$489,21,FALSE),"")</f>
        <v/>
      </c>
      <c r="AO7">
        <v>404</v>
      </c>
      <c r="AP7" t="str">
        <f>IFERROR(VLOOKUP(#REF!,OverallResults!$A$3:$Z$489,3,FALSE),"")</f>
        <v/>
      </c>
      <c r="AQ7" t="str">
        <f>IFERROR(VLOOKUP(#REF!,EntryList!$A$3:$Z$291,26,FALSE),"")</f>
        <v/>
      </c>
      <c r="AR7" t="str">
        <f>IFERROR(TEXT(VLOOKUP(#REF!,SortedDownload!$A$3:$Z$489,14,FALSE),"[h]:mm:ss.0"),"")</f>
        <v/>
      </c>
      <c r="AS7" s="230" t="str">
        <f>IFERROR(VLOOKUP(#REF!,SortedDownload!$A$3:$Z$489,15,FALSE),"")</f>
        <v/>
      </c>
      <c r="AT7" s="230" t="str">
        <f>IFERROR(VLOOKUP(#REF!,SortedDownload!$A$3:$Z$489,16,FALSE),"")</f>
        <v/>
      </c>
      <c r="AU7" s="230" t="str">
        <f>IFERROR(VLOOKUP(#REF!,SortedDownload!$A$3:$Z$489,17,FALSE),"")</f>
        <v/>
      </c>
      <c r="AV7" s="230" t="str">
        <f>IFERROR(VLOOKUP(#REF!,SortedDownload!$A$3:$Z$489,18,FALSE),"")</f>
        <v/>
      </c>
      <c r="AW7" s="230" t="str">
        <f>IFERROR(VLOOKUP(#REF!,SortedDownload!$A$3:$Z$489,19,FALSE),"")</f>
        <v/>
      </c>
      <c r="AX7" s="230" t="str">
        <f>IFERROR(VLOOKUP(#REF!,SortedDownload!$A$3:$Z$489,20,FALSE),"")</f>
        <v/>
      </c>
      <c r="AY7" s="230" t="str">
        <f>IFERROR(VLOOKUP(#REF!,SortedDownload!$A$3:$Z$489,21,FALSE),"")</f>
        <v/>
      </c>
      <c r="AZ7" s="230" t="str">
        <f>IFERROR(VLOOKUP(#REF!,SortedDownload!$A$3:$Z$489,22,FALSE),"")</f>
        <v/>
      </c>
      <c r="BB7">
        <v>454</v>
      </c>
      <c r="BC7" t="str">
        <f>IFERROR(VLOOKUP($BB7,OverallResults!$B$3:$Z$508,2,FALSE),"")</f>
        <v>DNF</v>
      </c>
      <c r="BD7" t="str">
        <f>IFERROR(VLOOKUP($BB7,OverallResults!$B$3:$Z$508,3,FALSE),"")</f>
        <v/>
      </c>
      <c r="BE7" t="str">
        <f>IFERROR(TEXT(VLOOKUP($BB7,OverallResults!$B$3:$Z$489,17,FALSE),"[h]:mm:ss.0"),"")</f>
        <v/>
      </c>
      <c r="BF7" s="230" t="str">
        <f>IFERROR(VLOOKUP($BD7,SortedDownload!$B$3:$Z$489,14,FALSE),"")</f>
        <v/>
      </c>
      <c r="BG7" s="230" t="str">
        <f>IFERROR(VLOOKUP($BD7,SortedDownload!$B$3:$Z$489,15,FALSE),"")</f>
        <v/>
      </c>
      <c r="BH7" s="230" t="str">
        <f>IFERROR(VLOOKUP($BD7,SortedDownload!$B$3:$Z$489,16,FALSE),"")</f>
        <v/>
      </c>
      <c r="BI7" s="230" t="str">
        <f>IFERROR(VLOOKUP($BD7,SortedDownload!$B$3:$Z$489,17,FALSE),"")</f>
        <v/>
      </c>
      <c r="BJ7" s="230" t="str">
        <f>IFERROR(VLOOKUP($BD7,SortedDownload!$B$3:$Z$489,18,FALSE),"")</f>
        <v/>
      </c>
      <c r="BK7" s="230" t="str">
        <f>IFERROR(VLOOKUP($BD7,SortedDownload!$B$3:$Z$489,19,FALSE),"")</f>
        <v/>
      </c>
      <c r="BL7" s="230" t="str">
        <f>IFERROR(VLOOKUP($BD7,SortedDownload!$B$3:$Z$489,20,FALSE),"")</f>
        <v/>
      </c>
      <c r="BM7" s="230" t="str">
        <f>IFERROR(VLOOKUP($BD7,SortedDownload!$B$3:$Z$489,21,FALSE),"")</f>
        <v/>
      </c>
    </row>
    <row r="8" spans="1:65">
      <c r="B8">
        <v>255</v>
      </c>
      <c r="C8" t="str">
        <f>IFERROR(VLOOKUP($B8,OverallResults!$B$3:$Z$508,2,FALSE),"")</f>
        <v>DNF</v>
      </c>
      <c r="D8" t="str">
        <f>IFERROR(VLOOKUP($B8,OverallResults!$B$3:$Z$508,3,FALSE),"")</f>
        <v/>
      </c>
      <c r="E8" t="str">
        <f>IFERROR(TEXT(VLOOKUP($B8,OverallResults!$B$3:$Z$489,17,FALSE),"[h]:mm:ss.0"),"")</f>
        <v/>
      </c>
      <c r="F8" s="230" t="str">
        <f>IFERROR(VLOOKUP($D8,SortedDownload!$B$3:$Z$489,14,FALSE),"")</f>
        <v/>
      </c>
      <c r="G8" s="230" t="str">
        <f>IFERROR(VLOOKUP($D8,SortedDownload!$B$3:$Z$489,15,FALSE),"")</f>
        <v/>
      </c>
      <c r="H8" s="230" t="str">
        <f>IFERROR(VLOOKUP($D8,SortedDownload!$B$3:$Z$489,16,FALSE),"")</f>
        <v/>
      </c>
      <c r="I8" s="230" t="str">
        <f>IFERROR(VLOOKUP($D8,SortedDownload!$B$3:$Z$489,17,FALSE),"")</f>
        <v/>
      </c>
      <c r="J8" s="230" t="str">
        <f>IFERROR(VLOOKUP($D8,SortedDownload!$B$3:$Z$489,18,FALSE),"")</f>
        <v/>
      </c>
      <c r="K8" s="230" t="str">
        <f>IFERROR(VLOOKUP($D8,SortedDownload!$B$3:$Z$489,19,FALSE),"")</f>
        <v/>
      </c>
      <c r="L8" s="230" t="str">
        <f>IFERROR(VLOOKUP($D8,SortedDownload!$B$3:$Z$489,20,FALSE),"")</f>
        <v/>
      </c>
      <c r="M8" s="230" t="str">
        <f>IFERROR(VLOOKUP($D8,SortedDownload!$B$3:$Z$489,21,FALSE),"")</f>
        <v/>
      </c>
      <c r="O8">
        <v>305</v>
      </c>
      <c r="P8" t="str">
        <f>IFERROR(VLOOKUP($O8,OverallResults!$B$3:$Z$508,2,FALSE),"")</f>
        <v>DNF</v>
      </c>
      <c r="Q8" t="str">
        <f>IFERROR(VLOOKUP($O8,OverallResults!$B$3:$Z$508,3,FALSE),"")</f>
        <v/>
      </c>
      <c r="R8" t="str">
        <f>IFERROR(TEXT(VLOOKUP($O8,OverallResults!$B$3:$Z$489,17,FALSE),"[h]:mm:ss.0"),"")</f>
        <v/>
      </c>
      <c r="S8" s="230" t="str">
        <f>IFERROR(VLOOKUP($Q8,SortedDownload!$B$3:$Z$489,14,FALSE),"")</f>
        <v/>
      </c>
      <c r="T8" s="230" t="str">
        <f>IFERROR(VLOOKUP($Q8,SortedDownload!$B$3:$Z$489,15,FALSE),"")</f>
        <v/>
      </c>
      <c r="U8" s="230" t="str">
        <f>IFERROR(VLOOKUP($Q8,SortedDownload!$B$3:$Z$489,16,FALSE),"")</f>
        <v/>
      </c>
      <c r="V8" s="230" t="str">
        <f>IFERROR(VLOOKUP($Q8,SortedDownload!$B$3:$Z$489,17,FALSE),"")</f>
        <v/>
      </c>
      <c r="W8" s="230" t="str">
        <f>IFERROR(VLOOKUP($Q8,SortedDownload!$B$3:$Z$489,18,FALSE),"")</f>
        <v/>
      </c>
      <c r="X8" s="230" t="str">
        <f>IFERROR(VLOOKUP($Q8,SortedDownload!$B$3:$Z$489,19,FALSE),"")</f>
        <v/>
      </c>
      <c r="Y8" s="230" t="str">
        <f>IFERROR(VLOOKUP($Q8,SortedDownload!$B$3:$Z$489,20,FALSE),"")</f>
        <v/>
      </c>
      <c r="Z8" s="230" t="str">
        <f>IFERROR(VLOOKUP($Q8,SortedDownload!$B$3:$Z$489,21,FALSE),"")</f>
        <v/>
      </c>
      <c r="AB8">
        <v>355</v>
      </c>
      <c r="AC8" t="str">
        <f>IFERROR(VLOOKUP($AB8,OverallResults!$B$3:$Z$508,2,FALSE),"")</f>
        <v>DNF</v>
      </c>
      <c r="AD8" t="str">
        <f>IFERROR(VLOOKUP($AB8,OverallResults!$B$3:$Z$508,3,FALSE),"")</f>
        <v/>
      </c>
      <c r="AE8" t="str">
        <f>IFERROR(TEXT(VLOOKUP($AB8,OverallResults!$B$3:$Z$489,17,FALSE),"[h]:mm:ss.0"),"")</f>
        <v/>
      </c>
      <c r="AF8" s="230" t="str">
        <f>IFERROR(VLOOKUP($AD8,SortedDownload!$B$3:$Z$489,14,FALSE),"")</f>
        <v/>
      </c>
      <c r="AG8" s="230" t="str">
        <f>IFERROR(VLOOKUP($AD8,SortedDownload!$B$3:$Z$489,15,FALSE),"")</f>
        <v/>
      </c>
      <c r="AH8" s="230" t="str">
        <f>IFERROR(VLOOKUP($AD8,SortedDownload!$B$3:$Z$489,16,FALSE),"")</f>
        <v/>
      </c>
      <c r="AI8" s="230" t="str">
        <f>IFERROR(VLOOKUP($AD8,SortedDownload!$B$3:$Z$489,17,FALSE),"")</f>
        <v/>
      </c>
      <c r="AJ8" s="230" t="str">
        <f>IFERROR(VLOOKUP($AD8,SortedDownload!$B$3:$Z$489,18,FALSE),"")</f>
        <v/>
      </c>
      <c r="AK8" s="230" t="str">
        <f>IFERROR(VLOOKUP($AD8,SortedDownload!$B$3:$Z$489,19,FALSE),"")</f>
        <v/>
      </c>
      <c r="AL8" s="230" t="str">
        <f>IFERROR(VLOOKUP($AD8,SortedDownload!$B$3:$Z$489,20,FALSE),"")</f>
        <v/>
      </c>
      <c r="AM8" s="230" t="str">
        <f>IFERROR(VLOOKUP($AD8,SortedDownload!$B$3:$Z$489,21,FALSE),"")</f>
        <v/>
      </c>
      <c r="AO8">
        <v>405</v>
      </c>
      <c r="AP8" t="str">
        <f>IFERROR(VLOOKUP(#REF!,OverallResults!$A$3:$Z$489,3,FALSE),"")</f>
        <v/>
      </c>
      <c r="AQ8" t="str">
        <f>IFERROR(VLOOKUP(#REF!,EntryList!$A$3:$Z$291,26,FALSE),"")</f>
        <v/>
      </c>
      <c r="AR8" t="str">
        <f>IFERROR(TEXT(VLOOKUP(#REF!,SortedDownload!$A$3:$Z$489,14,FALSE),"[h]:mm:ss.0"),"")</f>
        <v/>
      </c>
      <c r="AS8" s="230" t="str">
        <f>IFERROR(VLOOKUP(#REF!,SortedDownload!$A$3:$Z$489,15,FALSE),"")</f>
        <v/>
      </c>
      <c r="AT8" s="230" t="str">
        <f>IFERROR(VLOOKUP(#REF!,SortedDownload!$A$3:$Z$489,16,FALSE),"")</f>
        <v/>
      </c>
      <c r="AU8" s="230" t="str">
        <f>IFERROR(VLOOKUP(#REF!,SortedDownload!$A$3:$Z$489,17,FALSE),"")</f>
        <v/>
      </c>
      <c r="AV8" s="230" t="str">
        <f>IFERROR(VLOOKUP(#REF!,SortedDownload!$A$3:$Z$489,18,FALSE),"")</f>
        <v/>
      </c>
      <c r="AW8" s="230" t="str">
        <f>IFERROR(VLOOKUP(#REF!,SortedDownload!$A$3:$Z$489,19,FALSE),"")</f>
        <v/>
      </c>
      <c r="AX8" s="230" t="str">
        <f>IFERROR(VLOOKUP(#REF!,SortedDownload!$A$3:$Z$489,20,FALSE),"")</f>
        <v/>
      </c>
      <c r="AY8" s="230" t="str">
        <f>IFERROR(VLOOKUP(#REF!,SortedDownload!$A$3:$Z$489,21,FALSE),"")</f>
        <v/>
      </c>
      <c r="AZ8" s="230" t="str">
        <f>IFERROR(VLOOKUP(#REF!,SortedDownload!$A$3:$Z$489,22,FALSE),"")</f>
        <v/>
      </c>
      <c r="BB8">
        <v>455</v>
      </c>
      <c r="BC8" t="str">
        <f>IFERROR(VLOOKUP($BB8,OverallResults!$B$3:$Z$508,2,FALSE),"")</f>
        <v>DNF</v>
      </c>
      <c r="BD8" t="str">
        <f>IFERROR(VLOOKUP($BB8,OverallResults!$B$3:$Z$508,3,FALSE),"")</f>
        <v/>
      </c>
      <c r="BE8" t="str">
        <f>IFERROR(TEXT(VLOOKUP($BB8,OverallResults!$B$3:$Z$489,17,FALSE),"[h]:mm:ss.0"),"")</f>
        <v/>
      </c>
      <c r="BF8" s="230" t="str">
        <f>IFERROR(VLOOKUP($BD8,SortedDownload!$B$3:$Z$489,14,FALSE),"")</f>
        <v/>
      </c>
      <c r="BG8" s="230" t="str">
        <f>IFERROR(VLOOKUP($BD8,SortedDownload!$B$3:$Z$489,15,FALSE),"")</f>
        <v/>
      </c>
      <c r="BH8" s="230" t="str">
        <f>IFERROR(VLOOKUP($BD8,SortedDownload!$B$3:$Z$489,16,FALSE),"")</f>
        <v/>
      </c>
      <c r="BI8" s="230" t="str">
        <f>IFERROR(VLOOKUP($BD8,SortedDownload!$B$3:$Z$489,17,FALSE),"")</f>
        <v/>
      </c>
      <c r="BJ8" s="230" t="str">
        <f>IFERROR(VLOOKUP($BD8,SortedDownload!$B$3:$Z$489,18,FALSE),"")</f>
        <v/>
      </c>
      <c r="BK8" s="230" t="str">
        <f>IFERROR(VLOOKUP($BD8,SortedDownload!$B$3:$Z$489,19,FALSE),"")</f>
        <v/>
      </c>
      <c r="BL8" s="230" t="str">
        <f>IFERROR(VLOOKUP($BD8,SortedDownload!$B$3:$Z$489,20,FALSE),"")</f>
        <v/>
      </c>
      <c r="BM8" s="230" t="str">
        <f>IFERROR(VLOOKUP($BD8,SortedDownload!$B$3:$Z$489,21,FALSE),"")</f>
        <v/>
      </c>
    </row>
    <row r="9" spans="1:65">
      <c r="B9">
        <v>256</v>
      </c>
      <c r="C9" t="str">
        <f>IFERROR(VLOOKUP($B9,OverallResults!$B$3:$Z$508,2,FALSE),"")</f>
        <v>DNF</v>
      </c>
      <c r="D9" t="str">
        <f>IFERROR(VLOOKUP($B9,OverallResults!$B$3:$Z$508,3,FALSE),"")</f>
        <v/>
      </c>
      <c r="E9" t="str">
        <f>IFERROR(TEXT(VLOOKUP($B9,OverallResults!$B$3:$Z$489,17,FALSE),"[h]:mm:ss.0"),"")</f>
        <v/>
      </c>
      <c r="F9" s="230" t="str">
        <f>IFERROR(VLOOKUP($D9,SortedDownload!$B$3:$Z$489,14,FALSE),"")</f>
        <v/>
      </c>
      <c r="G9" s="230" t="str">
        <f>IFERROR(VLOOKUP($D9,SortedDownload!$B$3:$Z$489,15,FALSE),"")</f>
        <v/>
      </c>
      <c r="H9" s="230" t="str">
        <f>IFERROR(VLOOKUP($D9,SortedDownload!$B$3:$Z$489,16,FALSE),"")</f>
        <v/>
      </c>
      <c r="I9" s="230" t="str">
        <f>IFERROR(VLOOKUP($D9,SortedDownload!$B$3:$Z$489,17,FALSE),"")</f>
        <v/>
      </c>
      <c r="J9" s="230" t="str">
        <f>IFERROR(VLOOKUP($D9,SortedDownload!$B$3:$Z$489,18,FALSE),"")</f>
        <v/>
      </c>
      <c r="K9" s="230" t="str">
        <f>IFERROR(VLOOKUP($D9,SortedDownload!$B$3:$Z$489,19,FALSE),"")</f>
        <v/>
      </c>
      <c r="L9" s="230" t="str">
        <f>IFERROR(VLOOKUP($D9,SortedDownload!$B$3:$Z$489,20,FALSE),"")</f>
        <v/>
      </c>
      <c r="M9" s="230" t="str">
        <f>IFERROR(VLOOKUP($D9,SortedDownload!$B$3:$Z$489,21,FALSE),"")</f>
        <v/>
      </c>
      <c r="O9">
        <v>306</v>
      </c>
      <c r="P9" t="str">
        <f>IFERROR(VLOOKUP($O9,OverallResults!$B$3:$Z$508,2,FALSE),"")</f>
        <v>DNF</v>
      </c>
      <c r="Q9" t="str">
        <f>IFERROR(VLOOKUP($O9,OverallResults!$B$3:$Z$508,3,FALSE),"")</f>
        <v/>
      </c>
      <c r="R9" t="str">
        <f>IFERROR(TEXT(VLOOKUP($O9,OverallResults!$B$3:$Z$489,17,FALSE),"[h]:mm:ss.0"),"")</f>
        <v/>
      </c>
      <c r="S9" s="230" t="str">
        <f>IFERROR(VLOOKUP($Q9,SortedDownload!$B$3:$Z$489,14,FALSE),"")</f>
        <v/>
      </c>
      <c r="T9" s="230" t="str">
        <f>IFERROR(VLOOKUP($Q9,SortedDownload!$B$3:$Z$489,15,FALSE),"")</f>
        <v/>
      </c>
      <c r="U9" s="230" t="str">
        <f>IFERROR(VLOOKUP($Q9,SortedDownload!$B$3:$Z$489,16,FALSE),"")</f>
        <v/>
      </c>
      <c r="V9" s="230" t="str">
        <f>IFERROR(VLOOKUP($Q9,SortedDownload!$B$3:$Z$489,17,FALSE),"")</f>
        <v/>
      </c>
      <c r="W9" s="230" t="str">
        <f>IFERROR(VLOOKUP($Q9,SortedDownload!$B$3:$Z$489,18,FALSE),"")</f>
        <v/>
      </c>
      <c r="X9" s="230" t="str">
        <f>IFERROR(VLOOKUP($Q9,SortedDownload!$B$3:$Z$489,19,FALSE),"")</f>
        <v/>
      </c>
      <c r="Y9" s="230" t="str">
        <f>IFERROR(VLOOKUP($Q9,SortedDownload!$B$3:$Z$489,20,FALSE),"")</f>
        <v/>
      </c>
      <c r="Z9" s="230" t="str">
        <f>IFERROR(VLOOKUP($Q9,SortedDownload!$B$3:$Z$489,21,FALSE),"")</f>
        <v/>
      </c>
      <c r="AB9">
        <v>356</v>
      </c>
      <c r="AC9" t="str">
        <f>IFERROR(VLOOKUP($AB9,OverallResults!$B$3:$Z$508,2,FALSE),"")</f>
        <v>DNF</v>
      </c>
      <c r="AD9" t="str">
        <f>IFERROR(VLOOKUP($AB9,OverallResults!$B$3:$Z$508,3,FALSE),"")</f>
        <v/>
      </c>
      <c r="AE9" t="str">
        <f>IFERROR(TEXT(VLOOKUP($AB9,OverallResults!$B$3:$Z$489,17,FALSE),"[h]:mm:ss.0"),"")</f>
        <v/>
      </c>
      <c r="AF9" s="230" t="str">
        <f>IFERROR(VLOOKUP($AD9,SortedDownload!$B$3:$Z$489,14,FALSE),"")</f>
        <v/>
      </c>
      <c r="AG9" s="230" t="str">
        <f>IFERROR(VLOOKUP($AD9,SortedDownload!$B$3:$Z$489,15,FALSE),"")</f>
        <v/>
      </c>
      <c r="AH9" s="230" t="str">
        <f>IFERROR(VLOOKUP($AD9,SortedDownload!$B$3:$Z$489,16,FALSE),"")</f>
        <v/>
      </c>
      <c r="AI9" s="230" t="str">
        <f>IFERROR(VLOOKUP($AD9,SortedDownload!$B$3:$Z$489,17,FALSE),"")</f>
        <v/>
      </c>
      <c r="AJ9" s="230" t="str">
        <f>IFERROR(VLOOKUP($AD9,SortedDownload!$B$3:$Z$489,18,FALSE),"")</f>
        <v/>
      </c>
      <c r="AK9" s="230" t="str">
        <f>IFERROR(VLOOKUP($AD9,SortedDownload!$B$3:$Z$489,19,FALSE),"")</f>
        <v/>
      </c>
      <c r="AL9" s="230" t="str">
        <f>IFERROR(VLOOKUP($AD9,SortedDownload!$B$3:$Z$489,20,FALSE),"")</f>
        <v/>
      </c>
      <c r="AM9" s="230" t="str">
        <f>IFERROR(VLOOKUP($AD9,SortedDownload!$B$3:$Z$489,21,FALSE),"")</f>
        <v/>
      </c>
      <c r="AO9">
        <v>406</v>
      </c>
      <c r="AP9" t="str">
        <f>IFERROR(VLOOKUP(#REF!,OverallResults!$A$3:$Z$489,3,FALSE),"")</f>
        <v/>
      </c>
      <c r="AQ9" t="str">
        <f>IFERROR(VLOOKUP(#REF!,EntryList!$A$3:$Z$291,26,FALSE),"")</f>
        <v/>
      </c>
      <c r="AR9" t="str">
        <f>IFERROR(TEXT(VLOOKUP(#REF!,SortedDownload!$A$3:$Z$489,14,FALSE),"[h]:mm:ss.0"),"")</f>
        <v/>
      </c>
      <c r="AS9" s="230" t="str">
        <f>IFERROR(VLOOKUP(#REF!,SortedDownload!$A$3:$Z$489,15,FALSE),"")</f>
        <v/>
      </c>
      <c r="AT9" s="230" t="str">
        <f>IFERROR(VLOOKUP(#REF!,SortedDownload!$A$3:$Z$489,16,FALSE),"")</f>
        <v/>
      </c>
      <c r="AU9" s="230" t="str">
        <f>IFERROR(VLOOKUP(#REF!,SortedDownload!$A$3:$Z$489,17,FALSE),"")</f>
        <v/>
      </c>
      <c r="AV9" s="230" t="str">
        <f>IFERROR(VLOOKUP(#REF!,SortedDownload!$A$3:$Z$489,18,FALSE),"")</f>
        <v/>
      </c>
      <c r="AW9" s="230" t="str">
        <f>IFERROR(VLOOKUP(#REF!,SortedDownload!$A$3:$Z$489,19,FALSE),"")</f>
        <v/>
      </c>
      <c r="AX9" s="230" t="str">
        <f>IFERROR(VLOOKUP(#REF!,SortedDownload!$A$3:$Z$489,20,FALSE),"")</f>
        <v/>
      </c>
      <c r="AY9" s="230" t="str">
        <f>IFERROR(VLOOKUP(#REF!,SortedDownload!$A$3:$Z$489,21,FALSE),"")</f>
        <v/>
      </c>
      <c r="AZ9" s="230" t="str">
        <f>IFERROR(VLOOKUP(#REF!,SortedDownload!$A$3:$Z$489,22,FALSE),"")</f>
        <v/>
      </c>
      <c r="BB9">
        <v>456</v>
      </c>
      <c r="BC9" t="str">
        <f>IFERROR(VLOOKUP($BB9,OverallResults!$B$3:$Z$508,2,FALSE),"")</f>
        <v>DNF</v>
      </c>
      <c r="BD9" t="str">
        <f>IFERROR(VLOOKUP($BB9,OverallResults!$B$3:$Z$508,3,FALSE),"")</f>
        <v/>
      </c>
      <c r="BE9" t="str">
        <f>IFERROR(TEXT(VLOOKUP($BB9,OverallResults!$B$3:$Z$489,17,FALSE),"[h]:mm:ss.0"),"")</f>
        <v/>
      </c>
      <c r="BF9" s="230" t="str">
        <f>IFERROR(VLOOKUP($BD9,SortedDownload!$B$3:$Z$489,14,FALSE),"")</f>
        <v/>
      </c>
      <c r="BG9" s="230" t="str">
        <f>IFERROR(VLOOKUP($BD9,SortedDownload!$B$3:$Z$489,15,FALSE),"")</f>
        <v/>
      </c>
      <c r="BH9" s="230" t="str">
        <f>IFERROR(VLOOKUP($BD9,SortedDownload!$B$3:$Z$489,16,FALSE),"")</f>
        <v/>
      </c>
      <c r="BI9" s="230" t="str">
        <f>IFERROR(VLOOKUP($BD9,SortedDownload!$B$3:$Z$489,17,FALSE),"")</f>
        <v/>
      </c>
      <c r="BJ9" s="230" t="str">
        <f>IFERROR(VLOOKUP($BD9,SortedDownload!$B$3:$Z$489,18,FALSE),"")</f>
        <v/>
      </c>
      <c r="BK9" s="230" t="str">
        <f>IFERROR(VLOOKUP($BD9,SortedDownload!$B$3:$Z$489,19,FALSE),"")</f>
        <v/>
      </c>
      <c r="BL9" s="230" t="str">
        <f>IFERROR(VLOOKUP($BD9,SortedDownload!$B$3:$Z$489,20,FALSE),"")</f>
        <v/>
      </c>
      <c r="BM9" s="230" t="str">
        <f>IFERROR(VLOOKUP($BD9,SortedDownload!$B$3:$Z$489,21,FALSE),"")</f>
        <v/>
      </c>
    </row>
    <row r="10" spans="1:65">
      <c r="B10">
        <v>257</v>
      </c>
      <c r="C10" t="str">
        <f>IFERROR(VLOOKUP($B10,OverallResults!$B$3:$Z$508,2,FALSE),"")</f>
        <v>DNF</v>
      </c>
      <c r="D10" t="str">
        <f>IFERROR(VLOOKUP($B10,OverallResults!$B$3:$Z$508,3,FALSE),"")</f>
        <v/>
      </c>
      <c r="E10" t="str">
        <f>IFERROR(TEXT(VLOOKUP($B10,OverallResults!$B$3:$Z$489,17,FALSE),"[h]:mm:ss.0"),"")</f>
        <v/>
      </c>
      <c r="F10" s="230" t="str">
        <f>IFERROR(VLOOKUP($D10,SortedDownload!$B$3:$Z$489,14,FALSE),"")</f>
        <v/>
      </c>
      <c r="G10" s="230" t="str">
        <f>IFERROR(VLOOKUP($D10,SortedDownload!$B$3:$Z$489,15,FALSE),"")</f>
        <v/>
      </c>
      <c r="H10" s="230" t="str">
        <f>IFERROR(VLOOKUP($D10,SortedDownload!$B$3:$Z$489,16,FALSE),"")</f>
        <v/>
      </c>
      <c r="I10" s="230" t="str">
        <f>IFERROR(VLOOKUP($D10,SortedDownload!$B$3:$Z$489,17,FALSE),"")</f>
        <v/>
      </c>
      <c r="J10" s="230" t="str">
        <f>IFERROR(VLOOKUP($D10,SortedDownload!$B$3:$Z$489,18,FALSE),"")</f>
        <v/>
      </c>
      <c r="K10" s="230" t="str">
        <f>IFERROR(VLOOKUP($D10,SortedDownload!$B$3:$Z$489,19,FALSE),"")</f>
        <v/>
      </c>
      <c r="L10" s="230" t="str">
        <f>IFERROR(VLOOKUP($D10,SortedDownload!$B$3:$Z$489,20,FALSE),"")</f>
        <v/>
      </c>
      <c r="M10" s="230" t="str">
        <f>IFERROR(VLOOKUP($D10,SortedDownload!$B$3:$Z$489,21,FALSE),"")</f>
        <v/>
      </c>
      <c r="O10">
        <v>307</v>
      </c>
      <c r="P10" t="str">
        <f>IFERROR(VLOOKUP($O10,OverallResults!$B$3:$Z$508,2,FALSE),"")</f>
        <v>DNF</v>
      </c>
      <c r="Q10" t="str">
        <f>IFERROR(VLOOKUP($O10,OverallResults!$B$3:$Z$508,3,FALSE),"")</f>
        <v/>
      </c>
      <c r="R10" t="str">
        <f>IFERROR(TEXT(VLOOKUP($O10,OverallResults!$B$3:$Z$489,17,FALSE),"[h]:mm:ss.0"),"")</f>
        <v/>
      </c>
      <c r="S10" s="230" t="str">
        <f>IFERROR(VLOOKUP($Q10,SortedDownload!$B$3:$Z$489,14,FALSE),"")</f>
        <v/>
      </c>
      <c r="T10" s="230" t="str">
        <f>IFERROR(VLOOKUP($Q10,SortedDownload!$B$3:$Z$489,15,FALSE),"")</f>
        <v/>
      </c>
      <c r="U10" s="230" t="str">
        <f>IFERROR(VLOOKUP($Q10,SortedDownload!$B$3:$Z$489,16,FALSE),"")</f>
        <v/>
      </c>
      <c r="V10" s="230" t="str">
        <f>IFERROR(VLOOKUP($Q10,SortedDownload!$B$3:$Z$489,17,FALSE),"")</f>
        <v/>
      </c>
      <c r="W10" s="230" t="str">
        <f>IFERROR(VLOOKUP($Q10,SortedDownload!$B$3:$Z$489,18,FALSE),"")</f>
        <v/>
      </c>
      <c r="X10" s="230" t="str">
        <f>IFERROR(VLOOKUP($Q10,SortedDownload!$B$3:$Z$489,19,FALSE),"")</f>
        <v/>
      </c>
      <c r="Y10" s="230" t="str">
        <f>IFERROR(VLOOKUP($Q10,SortedDownload!$B$3:$Z$489,20,FALSE),"")</f>
        <v/>
      </c>
      <c r="Z10" s="230" t="str">
        <f>IFERROR(VLOOKUP($Q10,SortedDownload!$B$3:$Z$489,21,FALSE),"")</f>
        <v/>
      </c>
      <c r="AB10">
        <v>357</v>
      </c>
      <c r="AC10" t="str">
        <f>IFERROR(VLOOKUP($AB10,OverallResults!$B$3:$Z$508,2,FALSE),"")</f>
        <v>DNF</v>
      </c>
      <c r="AD10" t="str">
        <f>IFERROR(VLOOKUP($AB10,OverallResults!$B$3:$Z$508,3,FALSE),"")</f>
        <v/>
      </c>
      <c r="AE10" t="str">
        <f>IFERROR(TEXT(VLOOKUP($AB10,OverallResults!$B$3:$Z$489,17,FALSE),"[h]:mm:ss.0"),"")</f>
        <v/>
      </c>
      <c r="AF10" s="230" t="str">
        <f>IFERROR(VLOOKUP($AD10,SortedDownload!$B$3:$Z$489,14,FALSE),"")</f>
        <v/>
      </c>
      <c r="AG10" s="230" t="str">
        <f>IFERROR(VLOOKUP($AD10,SortedDownload!$B$3:$Z$489,15,FALSE),"")</f>
        <v/>
      </c>
      <c r="AH10" s="230" t="str">
        <f>IFERROR(VLOOKUP($AD10,SortedDownload!$B$3:$Z$489,16,FALSE),"")</f>
        <v/>
      </c>
      <c r="AI10" s="230" t="str">
        <f>IFERROR(VLOOKUP($AD10,SortedDownload!$B$3:$Z$489,17,FALSE),"")</f>
        <v/>
      </c>
      <c r="AJ10" s="230" t="str">
        <f>IFERROR(VLOOKUP($AD10,SortedDownload!$B$3:$Z$489,18,FALSE),"")</f>
        <v/>
      </c>
      <c r="AK10" s="230" t="str">
        <f>IFERROR(VLOOKUP($AD10,SortedDownload!$B$3:$Z$489,19,FALSE),"")</f>
        <v/>
      </c>
      <c r="AL10" s="230" t="str">
        <f>IFERROR(VLOOKUP($AD10,SortedDownload!$B$3:$Z$489,20,FALSE),"")</f>
        <v/>
      </c>
      <c r="AM10" s="230" t="str">
        <f>IFERROR(VLOOKUP($AD10,SortedDownload!$B$3:$Z$489,21,FALSE),"")</f>
        <v/>
      </c>
      <c r="AO10">
        <v>407</v>
      </c>
      <c r="AP10" t="str">
        <f>IFERROR(VLOOKUP(#REF!,OverallResults!$A$3:$Z$489,3,FALSE),"")</f>
        <v/>
      </c>
      <c r="AQ10" t="str">
        <f>IFERROR(VLOOKUP(#REF!,EntryList!$A$3:$Z$291,26,FALSE),"")</f>
        <v/>
      </c>
      <c r="AR10" t="str">
        <f>IFERROR(TEXT(VLOOKUP(#REF!,SortedDownload!$A$3:$Z$489,14,FALSE),"[h]:mm:ss.0"),"")</f>
        <v/>
      </c>
      <c r="AS10" s="230" t="str">
        <f>IFERROR(VLOOKUP(#REF!,SortedDownload!$A$3:$Z$489,15,FALSE),"")</f>
        <v/>
      </c>
      <c r="AT10" s="230" t="str">
        <f>IFERROR(VLOOKUP(#REF!,SortedDownload!$A$3:$Z$489,16,FALSE),"")</f>
        <v/>
      </c>
      <c r="AU10" s="230" t="str">
        <f>IFERROR(VLOOKUP(#REF!,SortedDownload!$A$3:$Z$489,17,FALSE),"")</f>
        <v/>
      </c>
      <c r="AV10" s="230" t="str">
        <f>IFERROR(VLOOKUP(#REF!,SortedDownload!$A$3:$Z$489,18,FALSE),"")</f>
        <v/>
      </c>
      <c r="AW10" s="230" t="str">
        <f>IFERROR(VLOOKUP(#REF!,SortedDownload!$A$3:$Z$489,19,FALSE),"")</f>
        <v/>
      </c>
      <c r="AX10" s="230" t="str">
        <f>IFERROR(VLOOKUP(#REF!,SortedDownload!$A$3:$Z$489,20,FALSE),"")</f>
        <v/>
      </c>
      <c r="AY10" s="230" t="str">
        <f>IFERROR(VLOOKUP(#REF!,SortedDownload!$A$3:$Z$489,21,FALSE),"")</f>
        <v/>
      </c>
      <c r="AZ10" s="230" t="str">
        <f>IFERROR(VLOOKUP(#REF!,SortedDownload!$A$3:$Z$489,22,FALSE),"")</f>
        <v/>
      </c>
      <c r="BB10">
        <v>457</v>
      </c>
      <c r="BC10" t="str">
        <f>IFERROR(VLOOKUP($BB10,OverallResults!$B$3:$Z$508,2,FALSE),"")</f>
        <v>DNF</v>
      </c>
      <c r="BD10" t="str">
        <f>IFERROR(VLOOKUP($BB10,OverallResults!$B$3:$Z$508,3,FALSE),"")</f>
        <v/>
      </c>
      <c r="BE10" t="str">
        <f>IFERROR(TEXT(VLOOKUP($BB10,OverallResults!$B$3:$Z$489,17,FALSE),"[h]:mm:ss.0"),"")</f>
        <v/>
      </c>
      <c r="BF10" s="230" t="str">
        <f>IFERROR(VLOOKUP($BD10,SortedDownload!$B$3:$Z$489,14,FALSE),"")</f>
        <v/>
      </c>
      <c r="BG10" s="230" t="str">
        <f>IFERROR(VLOOKUP($BD10,SortedDownload!$B$3:$Z$489,15,FALSE),"")</f>
        <v/>
      </c>
      <c r="BH10" s="230" t="str">
        <f>IFERROR(VLOOKUP($BD10,SortedDownload!$B$3:$Z$489,16,FALSE),"")</f>
        <v/>
      </c>
      <c r="BI10" s="230" t="str">
        <f>IFERROR(VLOOKUP($BD10,SortedDownload!$B$3:$Z$489,17,FALSE),"")</f>
        <v/>
      </c>
      <c r="BJ10" s="230" t="str">
        <f>IFERROR(VLOOKUP($BD10,SortedDownload!$B$3:$Z$489,18,FALSE),"")</f>
        <v/>
      </c>
      <c r="BK10" s="230" t="str">
        <f>IFERROR(VLOOKUP($BD10,SortedDownload!$B$3:$Z$489,19,FALSE),"")</f>
        <v/>
      </c>
      <c r="BL10" s="230" t="str">
        <f>IFERROR(VLOOKUP($BD10,SortedDownload!$B$3:$Z$489,20,FALSE),"")</f>
        <v/>
      </c>
      <c r="BM10" s="230" t="str">
        <f>IFERROR(VLOOKUP($BD10,SortedDownload!$B$3:$Z$489,21,FALSE),"")</f>
        <v/>
      </c>
    </row>
    <row r="11" spans="1:65">
      <c r="B11">
        <v>258</v>
      </c>
      <c r="C11" t="str">
        <f>IFERROR(VLOOKUP($B11,OverallResults!$B$3:$Z$508,2,FALSE),"")</f>
        <v>DNF</v>
      </c>
      <c r="D11" t="str">
        <f>IFERROR(VLOOKUP($B11,OverallResults!$B$3:$Z$508,3,FALSE),"")</f>
        <v/>
      </c>
      <c r="E11" t="str">
        <f>IFERROR(TEXT(VLOOKUP($B11,OverallResults!$B$3:$Z$489,17,FALSE),"[h]:mm:ss.0"),"")</f>
        <v/>
      </c>
      <c r="F11" s="230" t="str">
        <f>IFERROR(VLOOKUP($D11,SortedDownload!$B$3:$Z$489,14,FALSE),"")</f>
        <v/>
      </c>
      <c r="G11" s="230" t="str">
        <f>IFERROR(VLOOKUP($D11,SortedDownload!$B$3:$Z$489,15,FALSE),"")</f>
        <v/>
      </c>
      <c r="H11" s="230" t="str">
        <f>IFERROR(VLOOKUP($D11,SortedDownload!$B$3:$Z$489,16,FALSE),"")</f>
        <v/>
      </c>
      <c r="I11" s="230" t="str">
        <f>IFERROR(VLOOKUP($D11,SortedDownload!$B$3:$Z$489,17,FALSE),"")</f>
        <v/>
      </c>
      <c r="J11" s="230" t="str">
        <f>IFERROR(VLOOKUP($D11,SortedDownload!$B$3:$Z$489,18,FALSE),"")</f>
        <v/>
      </c>
      <c r="K11" s="230" t="str">
        <f>IFERROR(VLOOKUP($D11,SortedDownload!$B$3:$Z$489,19,FALSE),"")</f>
        <v/>
      </c>
      <c r="L11" s="230" t="str">
        <f>IFERROR(VLOOKUP($D11,SortedDownload!$B$3:$Z$489,20,FALSE),"")</f>
        <v/>
      </c>
      <c r="M11" s="230" t="str">
        <f>IFERROR(VLOOKUP($D11,SortedDownload!$B$3:$Z$489,21,FALSE),"")</f>
        <v/>
      </c>
      <c r="O11">
        <v>308</v>
      </c>
      <c r="P11" t="str">
        <f>IFERROR(VLOOKUP($O11,OverallResults!$B$3:$Z$508,2,FALSE),"")</f>
        <v>DNF</v>
      </c>
      <c r="Q11" t="str">
        <f>IFERROR(VLOOKUP($O11,OverallResults!$B$3:$Z$508,3,FALSE),"")</f>
        <v/>
      </c>
      <c r="R11" t="str">
        <f>IFERROR(TEXT(VLOOKUP($O11,OverallResults!$B$3:$Z$489,17,FALSE),"[h]:mm:ss.0"),"")</f>
        <v/>
      </c>
      <c r="S11" s="230" t="str">
        <f>IFERROR(VLOOKUP($Q11,SortedDownload!$B$3:$Z$489,14,FALSE),"")</f>
        <v/>
      </c>
      <c r="T11" s="230" t="str">
        <f>IFERROR(VLOOKUP($Q11,SortedDownload!$B$3:$Z$489,15,FALSE),"")</f>
        <v/>
      </c>
      <c r="U11" s="230" t="str">
        <f>IFERROR(VLOOKUP($Q11,SortedDownload!$B$3:$Z$489,16,FALSE),"")</f>
        <v/>
      </c>
      <c r="V11" s="230" t="str">
        <f>IFERROR(VLOOKUP($Q11,SortedDownload!$B$3:$Z$489,17,FALSE),"")</f>
        <v/>
      </c>
      <c r="W11" s="230" t="str">
        <f>IFERROR(VLOOKUP($Q11,SortedDownload!$B$3:$Z$489,18,FALSE),"")</f>
        <v/>
      </c>
      <c r="X11" s="230" t="str">
        <f>IFERROR(VLOOKUP($Q11,SortedDownload!$B$3:$Z$489,19,FALSE),"")</f>
        <v/>
      </c>
      <c r="Y11" s="230" t="str">
        <f>IFERROR(VLOOKUP($Q11,SortedDownload!$B$3:$Z$489,20,FALSE),"")</f>
        <v/>
      </c>
      <c r="Z11" s="230" t="str">
        <f>IFERROR(VLOOKUP($Q11,SortedDownload!$B$3:$Z$489,21,FALSE),"")</f>
        <v/>
      </c>
      <c r="AB11">
        <v>358</v>
      </c>
      <c r="AC11" t="str">
        <f>IFERROR(VLOOKUP($AB11,OverallResults!$B$3:$Z$508,2,FALSE),"")</f>
        <v>DNF</v>
      </c>
      <c r="AD11" t="str">
        <f>IFERROR(VLOOKUP($AB11,OverallResults!$B$3:$Z$508,3,FALSE),"")</f>
        <v/>
      </c>
      <c r="AE11" t="str">
        <f>IFERROR(TEXT(VLOOKUP($AB11,OverallResults!$B$3:$Z$489,17,FALSE),"[h]:mm:ss.0"),"")</f>
        <v/>
      </c>
      <c r="AF11" s="230" t="str">
        <f>IFERROR(VLOOKUP($AD11,SortedDownload!$B$3:$Z$489,14,FALSE),"")</f>
        <v/>
      </c>
      <c r="AG11" s="230" t="str">
        <f>IFERROR(VLOOKUP($AD11,SortedDownload!$B$3:$Z$489,15,FALSE),"")</f>
        <v/>
      </c>
      <c r="AH11" s="230" t="str">
        <f>IFERROR(VLOOKUP($AD11,SortedDownload!$B$3:$Z$489,16,FALSE),"")</f>
        <v/>
      </c>
      <c r="AI11" s="230" t="str">
        <f>IFERROR(VLOOKUP($AD11,SortedDownload!$B$3:$Z$489,17,FALSE),"")</f>
        <v/>
      </c>
      <c r="AJ11" s="230" t="str">
        <f>IFERROR(VLOOKUP($AD11,SortedDownload!$B$3:$Z$489,18,FALSE),"")</f>
        <v/>
      </c>
      <c r="AK11" s="230" t="str">
        <f>IFERROR(VLOOKUP($AD11,SortedDownload!$B$3:$Z$489,19,FALSE),"")</f>
        <v/>
      </c>
      <c r="AL11" s="230" t="str">
        <f>IFERROR(VLOOKUP($AD11,SortedDownload!$B$3:$Z$489,20,FALSE),"")</f>
        <v/>
      </c>
      <c r="AM11" s="230" t="str">
        <f>IFERROR(VLOOKUP($AD11,SortedDownload!$B$3:$Z$489,21,FALSE),"")</f>
        <v/>
      </c>
      <c r="AO11">
        <v>408</v>
      </c>
      <c r="AP11" t="str">
        <f>IFERROR(VLOOKUP(#REF!,OverallResults!$A$3:$Z$489,3,FALSE),"")</f>
        <v/>
      </c>
      <c r="AQ11" t="str">
        <f>IFERROR(VLOOKUP(#REF!,EntryList!$A$3:$Z$291,26,FALSE),"")</f>
        <v/>
      </c>
      <c r="AR11" t="str">
        <f>IFERROR(TEXT(VLOOKUP(#REF!,SortedDownload!$A$3:$Z$489,14,FALSE),"[h]:mm:ss.0"),"")</f>
        <v/>
      </c>
      <c r="AS11" s="230" t="str">
        <f>IFERROR(VLOOKUP(#REF!,SortedDownload!$A$3:$Z$489,15,FALSE),"")</f>
        <v/>
      </c>
      <c r="AT11" s="230" t="str">
        <f>IFERROR(VLOOKUP(#REF!,SortedDownload!$A$3:$Z$489,16,FALSE),"")</f>
        <v/>
      </c>
      <c r="AU11" s="230" t="str">
        <f>IFERROR(VLOOKUP(#REF!,SortedDownload!$A$3:$Z$489,17,FALSE),"")</f>
        <v/>
      </c>
      <c r="AV11" s="230" t="str">
        <f>IFERROR(VLOOKUP(#REF!,SortedDownload!$A$3:$Z$489,18,FALSE),"")</f>
        <v/>
      </c>
      <c r="AW11" s="230" t="str">
        <f>IFERROR(VLOOKUP(#REF!,SortedDownload!$A$3:$Z$489,19,FALSE),"")</f>
        <v/>
      </c>
      <c r="AX11" s="230" t="str">
        <f>IFERROR(VLOOKUP(#REF!,SortedDownload!$A$3:$Z$489,20,FALSE),"")</f>
        <v/>
      </c>
      <c r="AY11" s="230" t="str">
        <f>IFERROR(VLOOKUP(#REF!,SortedDownload!$A$3:$Z$489,21,FALSE),"")</f>
        <v/>
      </c>
      <c r="AZ11" s="230" t="str">
        <f>IFERROR(VLOOKUP(#REF!,SortedDownload!$A$3:$Z$489,22,FALSE),"")</f>
        <v/>
      </c>
      <c r="BB11">
        <v>458</v>
      </c>
      <c r="BC11" t="str">
        <f>IFERROR(VLOOKUP($BB11,OverallResults!$B$3:$Z$508,2,FALSE),"")</f>
        <v>DNF</v>
      </c>
      <c r="BD11" t="str">
        <f>IFERROR(VLOOKUP($BB11,OverallResults!$B$3:$Z$508,3,FALSE),"")</f>
        <v/>
      </c>
      <c r="BE11" t="str">
        <f>IFERROR(TEXT(VLOOKUP($BB11,OverallResults!$B$3:$Z$489,17,FALSE),"[h]:mm:ss.0"),"")</f>
        <v/>
      </c>
      <c r="BF11" s="230" t="str">
        <f>IFERROR(VLOOKUP($BD11,SortedDownload!$B$3:$Z$489,14,FALSE),"")</f>
        <v/>
      </c>
      <c r="BG11" s="230" t="str">
        <f>IFERROR(VLOOKUP($BD11,SortedDownload!$B$3:$Z$489,15,FALSE),"")</f>
        <v/>
      </c>
      <c r="BH11" s="230" t="str">
        <f>IFERROR(VLOOKUP($BD11,SortedDownload!$B$3:$Z$489,16,FALSE),"")</f>
        <v/>
      </c>
      <c r="BI11" s="230" t="str">
        <f>IFERROR(VLOOKUP($BD11,SortedDownload!$B$3:$Z$489,17,FALSE),"")</f>
        <v/>
      </c>
      <c r="BJ11" s="230" t="str">
        <f>IFERROR(VLOOKUP($BD11,SortedDownload!$B$3:$Z$489,18,FALSE),"")</f>
        <v/>
      </c>
      <c r="BK11" s="230" t="str">
        <f>IFERROR(VLOOKUP($BD11,SortedDownload!$B$3:$Z$489,19,FALSE),"")</f>
        <v/>
      </c>
      <c r="BL11" s="230" t="str">
        <f>IFERROR(VLOOKUP($BD11,SortedDownload!$B$3:$Z$489,20,FALSE),"")</f>
        <v/>
      </c>
      <c r="BM11" s="230" t="str">
        <f>IFERROR(VLOOKUP($BD11,SortedDownload!$B$3:$Z$489,21,FALSE),"")</f>
        <v/>
      </c>
    </row>
    <row r="12" spans="1:65">
      <c r="B12">
        <v>259</v>
      </c>
      <c r="C12" t="str">
        <f>IFERROR(VLOOKUP($B12,OverallResults!$B$3:$Z$508,2,FALSE),"")</f>
        <v>DNF</v>
      </c>
      <c r="D12" t="str">
        <f>IFERROR(VLOOKUP($B12,OverallResults!$B$3:$Z$508,3,FALSE),"")</f>
        <v/>
      </c>
      <c r="E12" t="str">
        <f>IFERROR(TEXT(VLOOKUP($B12,OverallResults!$B$3:$Z$489,17,FALSE),"[h]:mm:ss.0"),"")</f>
        <v/>
      </c>
      <c r="F12" s="230" t="str">
        <f>IFERROR(VLOOKUP($D12,SortedDownload!$B$3:$Z$489,14,FALSE),"")</f>
        <v/>
      </c>
      <c r="G12" s="230" t="str">
        <f>IFERROR(VLOOKUP($D12,SortedDownload!$B$3:$Z$489,15,FALSE),"")</f>
        <v/>
      </c>
      <c r="H12" s="230" t="str">
        <f>IFERROR(VLOOKUP($D12,SortedDownload!$B$3:$Z$489,16,FALSE),"")</f>
        <v/>
      </c>
      <c r="I12" s="230" t="str">
        <f>IFERROR(VLOOKUP($D12,SortedDownload!$B$3:$Z$489,17,FALSE),"")</f>
        <v/>
      </c>
      <c r="J12" s="230" t="str">
        <f>IFERROR(VLOOKUP($D12,SortedDownload!$B$3:$Z$489,18,FALSE),"")</f>
        <v/>
      </c>
      <c r="K12" s="230" t="str">
        <f>IFERROR(VLOOKUP($D12,SortedDownload!$B$3:$Z$489,19,FALSE),"")</f>
        <v/>
      </c>
      <c r="L12" s="230" t="str">
        <f>IFERROR(VLOOKUP($D12,SortedDownload!$B$3:$Z$489,20,FALSE),"")</f>
        <v/>
      </c>
      <c r="M12" s="230" t="str">
        <f>IFERROR(VLOOKUP($D12,SortedDownload!$B$3:$Z$489,21,FALSE),"")</f>
        <v/>
      </c>
      <c r="O12">
        <v>309</v>
      </c>
      <c r="P12" t="str">
        <f>IFERROR(VLOOKUP($O12,OverallResults!$B$3:$Z$508,2,FALSE),"")</f>
        <v>DNF</v>
      </c>
      <c r="Q12" t="str">
        <f>IFERROR(VLOOKUP($O12,OverallResults!$B$3:$Z$508,3,FALSE),"")</f>
        <v/>
      </c>
      <c r="R12" t="str">
        <f>IFERROR(TEXT(VLOOKUP($O12,OverallResults!$B$3:$Z$489,17,FALSE),"[h]:mm:ss.0"),"")</f>
        <v/>
      </c>
      <c r="S12" s="230" t="str">
        <f>IFERROR(VLOOKUP($Q12,SortedDownload!$B$3:$Z$489,14,FALSE),"")</f>
        <v/>
      </c>
      <c r="T12" s="230" t="str">
        <f>IFERROR(VLOOKUP($Q12,SortedDownload!$B$3:$Z$489,15,FALSE),"")</f>
        <v/>
      </c>
      <c r="U12" s="230" t="str">
        <f>IFERROR(VLOOKUP($Q12,SortedDownload!$B$3:$Z$489,16,FALSE),"")</f>
        <v/>
      </c>
      <c r="V12" s="230" t="str">
        <f>IFERROR(VLOOKUP($Q12,SortedDownload!$B$3:$Z$489,17,FALSE),"")</f>
        <v/>
      </c>
      <c r="W12" s="230" t="str">
        <f>IFERROR(VLOOKUP($Q12,SortedDownload!$B$3:$Z$489,18,FALSE),"")</f>
        <v/>
      </c>
      <c r="X12" s="230" t="str">
        <f>IFERROR(VLOOKUP($Q12,SortedDownload!$B$3:$Z$489,19,FALSE),"")</f>
        <v/>
      </c>
      <c r="Y12" s="230" t="str">
        <f>IFERROR(VLOOKUP($Q12,SortedDownload!$B$3:$Z$489,20,FALSE),"")</f>
        <v/>
      </c>
      <c r="Z12" s="230" t="str">
        <f>IFERROR(VLOOKUP($Q12,SortedDownload!$B$3:$Z$489,21,FALSE),"")</f>
        <v/>
      </c>
      <c r="AB12">
        <v>359</v>
      </c>
      <c r="AC12" t="str">
        <f>IFERROR(VLOOKUP($AB12,OverallResults!$B$3:$Z$508,2,FALSE),"")</f>
        <v>DNF</v>
      </c>
      <c r="AD12" t="str">
        <f>IFERROR(VLOOKUP($AB12,OverallResults!$B$3:$Z$508,3,FALSE),"")</f>
        <v/>
      </c>
      <c r="AE12" t="str">
        <f>IFERROR(TEXT(VLOOKUP($AB12,OverallResults!$B$3:$Z$489,17,FALSE),"[h]:mm:ss.0"),"")</f>
        <v/>
      </c>
      <c r="AF12" s="230" t="str">
        <f>IFERROR(VLOOKUP($AD12,SortedDownload!$B$3:$Z$489,14,FALSE),"")</f>
        <v/>
      </c>
      <c r="AG12" s="230" t="str">
        <f>IFERROR(VLOOKUP($AD12,SortedDownload!$B$3:$Z$489,15,FALSE),"")</f>
        <v/>
      </c>
      <c r="AH12" s="230" t="str">
        <f>IFERROR(VLOOKUP($AD12,SortedDownload!$B$3:$Z$489,16,FALSE),"")</f>
        <v/>
      </c>
      <c r="AI12" s="230" t="str">
        <f>IFERROR(VLOOKUP($AD12,SortedDownload!$B$3:$Z$489,17,FALSE),"")</f>
        <v/>
      </c>
      <c r="AJ12" s="230" t="str">
        <f>IFERROR(VLOOKUP($AD12,SortedDownload!$B$3:$Z$489,18,FALSE),"")</f>
        <v/>
      </c>
      <c r="AK12" s="230" t="str">
        <f>IFERROR(VLOOKUP($AD12,SortedDownload!$B$3:$Z$489,19,FALSE),"")</f>
        <v/>
      </c>
      <c r="AL12" s="230" t="str">
        <f>IFERROR(VLOOKUP($AD12,SortedDownload!$B$3:$Z$489,20,FALSE),"")</f>
        <v/>
      </c>
      <c r="AM12" s="230" t="str">
        <f>IFERROR(VLOOKUP($AD12,SortedDownload!$B$3:$Z$489,21,FALSE),"")</f>
        <v/>
      </c>
      <c r="AO12">
        <v>409</v>
      </c>
      <c r="AP12" t="str">
        <f>IFERROR(VLOOKUP(#REF!,OverallResults!$A$3:$Z$489,3,FALSE),"")</f>
        <v/>
      </c>
      <c r="AQ12" t="str">
        <f>IFERROR(VLOOKUP(#REF!,EntryList!$A$3:$Z$291,26,FALSE),"")</f>
        <v/>
      </c>
      <c r="AR12" t="str">
        <f>IFERROR(TEXT(VLOOKUP(#REF!,SortedDownload!$A$3:$Z$489,14,FALSE),"[h]:mm:ss.0"),"")</f>
        <v/>
      </c>
      <c r="AS12" s="230" t="str">
        <f>IFERROR(VLOOKUP(#REF!,SortedDownload!$A$3:$Z$489,15,FALSE),"")</f>
        <v/>
      </c>
      <c r="AT12" s="230" t="str">
        <f>IFERROR(VLOOKUP(#REF!,SortedDownload!$A$3:$Z$489,16,FALSE),"")</f>
        <v/>
      </c>
      <c r="AU12" s="230" t="str">
        <f>IFERROR(VLOOKUP(#REF!,SortedDownload!$A$3:$Z$489,17,FALSE),"")</f>
        <v/>
      </c>
      <c r="AV12" s="230" t="str">
        <f>IFERROR(VLOOKUP(#REF!,SortedDownload!$A$3:$Z$489,18,FALSE),"")</f>
        <v/>
      </c>
      <c r="AW12" s="230" t="str">
        <f>IFERROR(VLOOKUP(#REF!,SortedDownload!$A$3:$Z$489,19,FALSE),"")</f>
        <v/>
      </c>
      <c r="AX12" s="230" t="str">
        <f>IFERROR(VLOOKUP(#REF!,SortedDownload!$A$3:$Z$489,20,FALSE),"")</f>
        <v/>
      </c>
      <c r="AY12" s="230" t="str">
        <f>IFERROR(VLOOKUP(#REF!,SortedDownload!$A$3:$Z$489,21,FALSE),"")</f>
        <v/>
      </c>
      <c r="AZ12" s="230" t="str">
        <f>IFERROR(VLOOKUP(#REF!,SortedDownload!$A$3:$Z$489,22,FALSE),"")</f>
        <v/>
      </c>
      <c r="BB12">
        <v>459</v>
      </c>
      <c r="BC12" t="str">
        <f>IFERROR(VLOOKUP($BB12,OverallResults!$B$3:$Z$508,2,FALSE),"")</f>
        <v>DNF</v>
      </c>
      <c r="BD12" t="str">
        <f>IFERROR(VLOOKUP($BB12,OverallResults!$B$3:$Z$508,3,FALSE),"")</f>
        <v/>
      </c>
      <c r="BE12" t="str">
        <f>IFERROR(TEXT(VLOOKUP($BB12,OverallResults!$B$3:$Z$489,17,FALSE),"[h]:mm:ss.0"),"")</f>
        <v/>
      </c>
      <c r="BF12" s="230" t="str">
        <f>IFERROR(VLOOKUP($BD12,SortedDownload!$B$3:$Z$489,14,FALSE),"")</f>
        <v/>
      </c>
      <c r="BG12" s="230" t="str">
        <f>IFERROR(VLOOKUP($BD12,SortedDownload!$B$3:$Z$489,15,FALSE),"")</f>
        <v/>
      </c>
      <c r="BH12" s="230" t="str">
        <f>IFERROR(VLOOKUP($BD12,SortedDownload!$B$3:$Z$489,16,FALSE),"")</f>
        <v/>
      </c>
      <c r="BI12" s="230" t="str">
        <f>IFERROR(VLOOKUP($BD12,SortedDownload!$B$3:$Z$489,17,FALSE),"")</f>
        <v/>
      </c>
      <c r="BJ12" s="230" t="str">
        <f>IFERROR(VLOOKUP($BD12,SortedDownload!$B$3:$Z$489,18,FALSE),"")</f>
        <v/>
      </c>
      <c r="BK12" s="230" t="str">
        <f>IFERROR(VLOOKUP($BD12,SortedDownload!$B$3:$Z$489,19,FALSE),"")</f>
        <v/>
      </c>
      <c r="BL12" s="230" t="str">
        <f>IFERROR(VLOOKUP($BD12,SortedDownload!$B$3:$Z$489,20,FALSE),"")</f>
        <v/>
      </c>
      <c r="BM12" s="230" t="str">
        <f>IFERROR(VLOOKUP($BD12,SortedDownload!$B$3:$Z$489,21,FALSE),"")</f>
        <v/>
      </c>
    </row>
    <row r="13" spans="1:65">
      <c r="B13">
        <v>260</v>
      </c>
      <c r="C13" t="str">
        <f>IFERROR(VLOOKUP($B13,OverallResults!$B$3:$Z$508,2,FALSE),"")</f>
        <v>DNF</v>
      </c>
      <c r="D13" t="str">
        <f>IFERROR(VLOOKUP($B13,OverallResults!$B$3:$Z$508,3,FALSE),"")</f>
        <v/>
      </c>
      <c r="E13" t="str">
        <f>IFERROR(TEXT(VLOOKUP($B13,OverallResults!$B$3:$Z$489,17,FALSE),"[h]:mm:ss.0"),"")</f>
        <v/>
      </c>
      <c r="F13" s="230" t="str">
        <f>IFERROR(VLOOKUP($D13,SortedDownload!$B$3:$Z$489,14,FALSE),"")</f>
        <v/>
      </c>
      <c r="G13" s="230" t="str">
        <f>IFERROR(VLOOKUP($D13,SortedDownload!$B$3:$Z$489,15,FALSE),"")</f>
        <v/>
      </c>
      <c r="H13" s="230" t="str">
        <f>IFERROR(VLOOKUP($D13,SortedDownload!$B$3:$Z$489,16,FALSE),"")</f>
        <v/>
      </c>
      <c r="I13" s="230" t="str">
        <f>IFERROR(VLOOKUP($D13,SortedDownload!$B$3:$Z$489,17,FALSE),"")</f>
        <v/>
      </c>
      <c r="J13" s="230" t="str">
        <f>IFERROR(VLOOKUP($D13,SortedDownload!$B$3:$Z$489,18,FALSE),"")</f>
        <v/>
      </c>
      <c r="K13" s="230" t="str">
        <f>IFERROR(VLOOKUP($D13,SortedDownload!$B$3:$Z$489,19,FALSE),"")</f>
        <v/>
      </c>
      <c r="L13" s="230" t="str">
        <f>IFERROR(VLOOKUP($D13,SortedDownload!$B$3:$Z$489,20,FALSE),"")</f>
        <v/>
      </c>
      <c r="M13" s="230" t="str">
        <f>IFERROR(VLOOKUP($D13,SortedDownload!$B$3:$Z$489,21,FALSE),"")</f>
        <v/>
      </c>
      <c r="O13">
        <v>310</v>
      </c>
      <c r="P13" t="str">
        <f>IFERROR(VLOOKUP($O13,OverallResults!$B$3:$Z$508,2,FALSE),"")</f>
        <v>DNF</v>
      </c>
      <c r="Q13" t="str">
        <f>IFERROR(VLOOKUP($O13,OverallResults!$B$3:$Z$508,3,FALSE),"")</f>
        <v/>
      </c>
      <c r="R13" t="str">
        <f>IFERROR(TEXT(VLOOKUP($O13,OverallResults!$B$3:$Z$489,17,FALSE),"[h]:mm:ss.0"),"")</f>
        <v/>
      </c>
      <c r="S13" s="230" t="str">
        <f>IFERROR(VLOOKUP($Q13,SortedDownload!$B$3:$Z$489,14,FALSE),"")</f>
        <v/>
      </c>
      <c r="T13" s="230" t="str">
        <f>IFERROR(VLOOKUP($Q13,SortedDownload!$B$3:$Z$489,15,FALSE),"")</f>
        <v/>
      </c>
      <c r="U13" s="230" t="str">
        <f>IFERROR(VLOOKUP($Q13,SortedDownload!$B$3:$Z$489,16,FALSE),"")</f>
        <v/>
      </c>
      <c r="V13" s="230" t="str">
        <f>IFERROR(VLOOKUP($Q13,SortedDownload!$B$3:$Z$489,17,FALSE),"")</f>
        <v/>
      </c>
      <c r="W13" s="230" t="str">
        <f>IFERROR(VLOOKUP($Q13,SortedDownload!$B$3:$Z$489,18,FALSE),"")</f>
        <v/>
      </c>
      <c r="X13" s="230" t="str">
        <f>IFERROR(VLOOKUP($Q13,SortedDownload!$B$3:$Z$489,19,FALSE),"")</f>
        <v/>
      </c>
      <c r="Y13" s="230" t="str">
        <f>IFERROR(VLOOKUP($Q13,SortedDownload!$B$3:$Z$489,20,FALSE),"")</f>
        <v/>
      </c>
      <c r="Z13" s="230" t="str">
        <f>IFERROR(VLOOKUP($Q13,SortedDownload!$B$3:$Z$489,21,FALSE),"")</f>
        <v/>
      </c>
      <c r="AB13">
        <v>360</v>
      </c>
      <c r="AC13" t="str">
        <f>IFERROR(VLOOKUP($AB13,OverallResults!$B$3:$Z$508,2,FALSE),"")</f>
        <v>DNF</v>
      </c>
      <c r="AD13" t="str">
        <f>IFERROR(VLOOKUP($AB13,OverallResults!$B$3:$Z$508,3,FALSE),"")</f>
        <v/>
      </c>
      <c r="AE13" t="str">
        <f>IFERROR(TEXT(VLOOKUP($AB13,OverallResults!$B$3:$Z$489,17,FALSE),"[h]:mm:ss.0"),"")</f>
        <v/>
      </c>
      <c r="AF13" s="230" t="str">
        <f>IFERROR(VLOOKUP($AD13,SortedDownload!$B$3:$Z$489,14,FALSE),"")</f>
        <v/>
      </c>
      <c r="AG13" s="230" t="str">
        <f>IFERROR(VLOOKUP($AD13,SortedDownload!$B$3:$Z$489,15,FALSE),"")</f>
        <v/>
      </c>
      <c r="AH13" s="230" t="str">
        <f>IFERROR(VLOOKUP($AD13,SortedDownload!$B$3:$Z$489,16,FALSE),"")</f>
        <v/>
      </c>
      <c r="AI13" s="230" t="str">
        <f>IFERROR(VLOOKUP($AD13,SortedDownload!$B$3:$Z$489,17,FALSE),"")</f>
        <v/>
      </c>
      <c r="AJ13" s="230" t="str">
        <f>IFERROR(VLOOKUP($AD13,SortedDownload!$B$3:$Z$489,18,FALSE),"")</f>
        <v/>
      </c>
      <c r="AK13" s="230" t="str">
        <f>IFERROR(VLOOKUP($AD13,SortedDownload!$B$3:$Z$489,19,FALSE),"")</f>
        <v/>
      </c>
      <c r="AL13" s="230" t="str">
        <f>IFERROR(VLOOKUP($AD13,SortedDownload!$B$3:$Z$489,20,FALSE),"")</f>
        <v/>
      </c>
      <c r="AM13" s="230" t="str">
        <f>IFERROR(VLOOKUP($AD13,SortedDownload!$B$3:$Z$489,21,FALSE),"")</f>
        <v/>
      </c>
      <c r="AO13">
        <v>410</v>
      </c>
      <c r="AP13" t="str">
        <f>IFERROR(VLOOKUP(#REF!,OverallResults!$A$3:$Z$489,3,FALSE),"")</f>
        <v/>
      </c>
      <c r="AQ13" t="str">
        <f>IFERROR(VLOOKUP(#REF!,EntryList!$A$3:$Z$291,26,FALSE),"")</f>
        <v/>
      </c>
      <c r="AR13" t="str">
        <f>IFERROR(TEXT(VLOOKUP(#REF!,SortedDownload!$A$3:$Z$489,14,FALSE),"[h]:mm:ss.0"),"")</f>
        <v/>
      </c>
      <c r="AS13" s="230" t="str">
        <f>IFERROR(VLOOKUP(#REF!,SortedDownload!$A$3:$Z$489,15,FALSE),"")</f>
        <v/>
      </c>
      <c r="AT13" s="230" t="str">
        <f>IFERROR(VLOOKUP(#REF!,SortedDownload!$A$3:$Z$489,16,FALSE),"")</f>
        <v/>
      </c>
      <c r="AU13" s="230" t="str">
        <f>IFERROR(VLOOKUP(#REF!,SortedDownload!$A$3:$Z$489,17,FALSE),"")</f>
        <v/>
      </c>
      <c r="AV13" s="230" t="str">
        <f>IFERROR(VLOOKUP(#REF!,SortedDownload!$A$3:$Z$489,18,FALSE),"")</f>
        <v/>
      </c>
      <c r="AW13" s="230" t="str">
        <f>IFERROR(VLOOKUP(#REF!,SortedDownload!$A$3:$Z$489,19,FALSE),"")</f>
        <v/>
      </c>
      <c r="AX13" s="230" t="str">
        <f>IFERROR(VLOOKUP(#REF!,SortedDownload!$A$3:$Z$489,20,FALSE),"")</f>
        <v/>
      </c>
      <c r="AY13" s="230" t="str">
        <f>IFERROR(VLOOKUP(#REF!,SortedDownload!$A$3:$Z$489,21,FALSE),"")</f>
        <v/>
      </c>
      <c r="AZ13" s="230" t="str">
        <f>IFERROR(VLOOKUP(#REF!,SortedDownload!$A$3:$Z$489,22,FALSE),"")</f>
        <v/>
      </c>
      <c r="BB13">
        <v>460</v>
      </c>
      <c r="BC13" t="str">
        <f>IFERROR(VLOOKUP($BB13,OverallResults!$B$3:$Z$508,2,FALSE),"")</f>
        <v>DNF</v>
      </c>
      <c r="BD13" t="str">
        <f>IFERROR(VLOOKUP($BB13,OverallResults!$B$3:$Z$508,3,FALSE),"")</f>
        <v/>
      </c>
      <c r="BE13" t="str">
        <f>IFERROR(TEXT(VLOOKUP($BB13,OverallResults!$B$3:$Z$489,17,FALSE),"[h]:mm:ss.0"),"")</f>
        <v/>
      </c>
      <c r="BF13" s="230" t="str">
        <f>IFERROR(VLOOKUP($BD13,SortedDownload!$B$3:$Z$489,14,FALSE),"")</f>
        <v/>
      </c>
      <c r="BG13" s="230" t="str">
        <f>IFERROR(VLOOKUP($BD13,SortedDownload!$B$3:$Z$489,15,FALSE),"")</f>
        <v/>
      </c>
      <c r="BH13" s="230" t="str">
        <f>IFERROR(VLOOKUP($BD13,SortedDownload!$B$3:$Z$489,16,FALSE),"")</f>
        <v/>
      </c>
      <c r="BI13" s="230" t="str">
        <f>IFERROR(VLOOKUP($BD13,SortedDownload!$B$3:$Z$489,17,FALSE),"")</f>
        <v/>
      </c>
      <c r="BJ13" s="230" t="str">
        <f>IFERROR(VLOOKUP($BD13,SortedDownload!$B$3:$Z$489,18,FALSE),"")</f>
        <v/>
      </c>
      <c r="BK13" s="230" t="str">
        <f>IFERROR(VLOOKUP($BD13,SortedDownload!$B$3:$Z$489,19,FALSE),"")</f>
        <v/>
      </c>
      <c r="BL13" s="230" t="str">
        <f>IFERROR(VLOOKUP($BD13,SortedDownload!$B$3:$Z$489,20,FALSE),"")</f>
        <v/>
      </c>
      <c r="BM13" s="230" t="str">
        <f>IFERROR(VLOOKUP($BD13,SortedDownload!$B$3:$Z$489,21,FALSE),"")</f>
        <v/>
      </c>
    </row>
    <row r="14" spans="1:65">
      <c r="B14">
        <v>261</v>
      </c>
      <c r="C14" t="str">
        <f>IFERROR(VLOOKUP($B14,OverallResults!$B$3:$Z$508,2,FALSE),"")</f>
        <v>DNF</v>
      </c>
      <c r="D14" t="str">
        <f>IFERROR(VLOOKUP($B14,OverallResults!$B$3:$Z$508,3,FALSE),"")</f>
        <v/>
      </c>
      <c r="E14" t="str">
        <f>IFERROR(TEXT(VLOOKUP($B14,OverallResults!$B$3:$Z$489,17,FALSE),"[h]:mm:ss.0"),"")</f>
        <v/>
      </c>
      <c r="F14" s="230" t="str">
        <f>IFERROR(VLOOKUP($D14,SortedDownload!$B$3:$Z$489,14,FALSE),"")</f>
        <v/>
      </c>
      <c r="G14" s="230" t="str">
        <f>IFERROR(VLOOKUP($D14,SortedDownload!$B$3:$Z$489,15,FALSE),"")</f>
        <v/>
      </c>
      <c r="H14" s="230" t="str">
        <f>IFERROR(VLOOKUP($D14,SortedDownload!$B$3:$Z$489,16,FALSE),"")</f>
        <v/>
      </c>
      <c r="I14" s="230" t="str">
        <f>IFERROR(VLOOKUP($D14,SortedDownload!$B$3:$Z$489,17,FALSE),"")</f>
        <v/>
      </c>
      <c r="J14" s="230" t="str">
        <f>IFERROR(VLOOKUP($D14,SortedDownload!$B$3:$Z$489,18,FALSE),"")</f>
        <v/>
      </c>
      <c r="K14" s="230" t="str">
        <f>IFERROR(VLOOKUP($D14,SortedDownload!$B$3:$Z$489,19,FALSE),"")</f>
        <v/>
      </c>
      <c r="L14" s="230" t="str">
        <f>IFERROR(VLOOKUP($D14,SortedDownload!$B$3:$Z$489,20,FALSE),"")</f>
        <v/>
      </c>
      <c r="M14" s="230" t="str">
        <f>IFERROR(VLOOKUP($D14,SortedDownload!$B$3:$Z$489,21,FALSE),"")</f>
        <v/>
      </c>
      <c r="O14">
        <v>311</v>
      </c>
      <c r="P14" t="str">
        <f>IFERROR(VLOOKUP($O14,OverallResults!$B$3:$Z$508,2,FALSE),"")</f>
        <v>DNF</v>
      </c>
      <c r="Q14" t="str">
        <f>IFERROR(VLOOKUP($O14,OverallResults!$B$3:$Z$508,3,FALSE),"")</f>
        <v/>
      </c>
      <c r="R14" t="str">
        <f>IFERROR(TEXT(VLOOKUP($O14,OverallResults!$B$3:$Z$489,17,FALSE),"[h]:mm:ss.0"),"")</f>
        <v/>
      </c>
      <c r="S14" s="230" t="str">
        <f>IFERROR(VLOOKUP($Q14,SortedDownload!$B$3:$Z$489,14,FALSE),"")</f>
        <v/>
      </c>
      <c r="T14" s="230" t="str">
        <f>IFERROR(VLOOKUP($Q14,SortedDownload!$B$3:$Z$489,15,FALSE),"")</f>
        <v/>
      </c>
      <c r="U14" s="230" t="str">
        <f>IFERROR(VLOOKUP($Q14,SortedDownload!$B$3:$Z$489,16,FALSE),"")</f>
        <v/>
      </c>
      <c r="V14" s="230" t="str">
        <f>IFERROR(VLOOKUP($Q14,SortedDownload!$B$3:$Z$489,17,FALSE),"")</f>
        <v/>
      </c>
      <c r="W14" s="230" t="str">
        <f>IFERROR(VLOOKUP($Q14,SortedDownload!$B$3:$Z$489,18,FALSE),"")</f>
        <v/>
      </c>
      <c r="X14" s="230" t="str">
        <f>IFERROR(VLOOKUP($Q14,SortedDownload!$B$3:$Z$489,19,FALSE),"")</f>
        <v/>
      </c>
      <c r="Y14" s="230" t="str">
        <f>IFERROR(VLOOKUP($Q14,SortedDownload!$B$3:$Z$489,20,FALSE),"")</f>
        <v/>
      </c>
      <c r="Z14" s="230" t="str">
        <f>IFERROR(VLOOKUP($Q14,SortedDownload!$B$3:$Z$489,21,FALSE),"")</f>
        <v/>
      </c>
      <c r="AB14">
        <v>361</v>
      </c>
      <c r="AC14" t="str">
        <f>IFERROR(VLOOKUP($AB14,OverallResults!$B$3:$Z$508,2,FALSE),"")</f>
        <v>DNF</v>
      </c>
      <c r="AD14" t="str">
        <f>IFERROR(VLOOKUP($AB14,OverallResults!$B$3:$Z$508,3,FALSE),"")</f>
        <v/>
      </c>
      <c r="AE14" t="str">
        <f>IFERROR(TEXT(VLOOKUP($AB14,OverallResults!$B$3:$Z$489,17,FALSE),"[h]:mm:ss.0"),"")</f>
        <v/>
      </c>
      <c r="AF14" s="230" t="str">
        <f>IFERROR(VLOOKUP($AD14,SortedDownload!$B$3:$Z$489,14,FALSE),"")</f>
        <v/>
      </c>
      <c r="AG14" s="230" t="str">
        <f>IFERROR(VLOOKUP($AD14,SortedDownload!$B$3:$Z$489,15,FALSE),"")</f>
        <v/>
      </c>
      <c r="AH14" s="230" t="str">
        <f>IFERROR(VLOOKUP($AD14,SortedDownload!$B$3:$Z$489,16,FALSE),"")</f>
        <v/>
      </c>
      <c r="AI14" s="230" t="str">
        <f>IFERROR(VLOOKUP($AD14,SortedDownload!$B$3:$Z$489,17,FALSE),"")</f>
        <v/>
      </c>
      <c r="AJ14" s="230" t="str">
        <f>IFERROR(VLOOKUP($AD14,SortedDownload!$B$3:$Z$489,18,FALSE),"")</f>
        <v/>
      </c>
      <c r="AK14" s="230" t="str">
        <f>IFERROR(VLOOKUP($AD14,SortedDownload!$B$3:$Z$489,19,FALSE),"")</f>
        <v/>
      </c>
      <c r="AL14" s="230" t="str">
        <f>IFERROR(VLOOKUP($AD14,SortedDownload!$B$3:$Z$489,20,FALSE),"")</f>
        <v/>
      </c>
      <c r="AM14" s="230" t="str">
        <f>IFERROR(VLOOKUP($AD14,SortedDownload!$B$3:$Z$489,21,FALSE),"")</f>
        <v/>
      </c>
      <c r="AO14">
        <v>411</v>
      </c>
      <c r="AP14" t="str">
        <f>IFERROR(VLOOKUP(#REF!,OverallResults!$A$3:$Z$489,3,FALSE),"")</f>
        <v/>
      </c>
      <c r="AQ14" t="str">
        <f>IFERROR(VLOOKUP(#REF!,EntryList!$A$3:$Z$291,26,FALSE),"")</f>
        <v/>
      </c>
      <c r="AR14" t="str">
        <f>IFERROR(TEXT(VLOOKUP(#REF!,SortedDownload!$A$3:$Z$489,14,FALSE),"[h]:mm:ss.0"),"")</f>
        <v/>
      </c>
      <c r="AS14" s="230" t="str">
        <f>IFERROR(VLOOKUP(#REF!,SortedDownload!$A$3:$Z$489,15,FALSE),"")</f>
        <v/>
      </c>
      <c r="AT14" s="230" t="str">
        <f>IFERROR(VLOOKUP(#REF!,SortedDownload!$A$3:$Z$489,16,FALSE),"")</f>
        <v/>
      </c>
      <c r="AU14" s="230" t="str">
        <f>IFERROR(VLOOKUP(#REF!,SortedDownload!$A$3:$Z$489,17,FALSE),"")</f>
        <v/>
      </c>
      <c r="AV14" s="230" t="str">
        <f>IFERROR(VLOOKUP(#REF!,SortedDownload!$A$3:$Z$489,18,FALSE),"")</f>
        <v/>
      </c>
      <c r="AW14" s="230" t="str">
        <f>IFERROR(VLOOKUP(#REF!,SortedDownload!$A$3:$Z$489,19,FALSE),"")</f>
        <v/>
      </c>
      <c r="AX14" s="230" t="str">
        <f>IFERROR(VLOOKUP(#REF!,SortedDownload!$A$3:$Z$489,20,FALSE),"")</f>
        <v/>
      </c>
      <c r="AY14" s="230" t="str">
        <f>IFERROR(VLOOKUP(#REF!,SortedDownload!$A$3:$Z$489,21,FALSE),"")</f>
        <v/>
      </c>
      <c r="AZ14" s="230" t="str">
        <f>IFERROR(VLOOKUP(#REF!,SortedDownload!$A$3:$Z$489,22,FALSE),"")</f>
        <v/>
      </c>
      <c r="BB14">
        <v>461</v>
      </c>
      <c r="BC14" t="str">
        <f>IFERROR(VLOOKUP($BB14,OverallResults!$B$3:$Z$508,2,FALSE),"")</f>
        <v>DNF</v>
      </c>
      <c r="BD14" t="str">
        <f>IFERROR(VLOOKUP($BB14,OverallResults!$B$3:$Z$508,3,FALSE),"")</f>
        <v/>
      </c>
      <c r="BE14" t="str">
        <f>IFERROR(TEXT(VLOOKUP($BB14,OverallResults!$B$3:$Z$489,17,FALSE),"[h]:mm:ss.0"),"")</f>
        <v/>
      </c>
      <c r="BF14" s="230" t="str">
        <f>IFERROR(VLOOKUP($BD14,SortedDownload!$B$3:$Z$489,14,FALSE),"")</f>
        <v/>
      </c>
      <c r="BG14" s="230" t="str">
        <f>IFERROR(VLOOKUP($BD14,SortedDownload!$B$3:$Z$489,15,FALSE),"")</f>
        <v/>
      </c>
      <c r="BH14" s="230" t="str">
        <f>IFERROR(VLOOKUP($BD14,SortedDownload!$B$3:$Z$489,16,FALSE),"")</f>
        <v/>
      </c>
      <c r="BI14" s="230" t="str">
        <f>IFERROR(VLOOKUP($BD14,SortedDownload!$B$3:$Z$489,17,FALSE),"")</f>
        <v/>
      </c>
      <c r="BJ14" s="230" t="str">
        <f>IFERROR(VLOOKUP($BD14,SortedDownload!$B$3:$Z$489,18,FALSE),"")</f>
        <v/>
      </c>
      <c r="BK14" s="230" t="str">
        <f>IFERROR(VLOOKUP($BD14,SortedDownload!$B$3:$Z$489,19,FALSE),"")</f>
        <v/>
      </c>
      <c r="BL14" s="230" t="str">
        <f>IFERROR(VLOOKUP($BD14,SortedDownload!$B$3:$Z$489,20,FALSE),"")</f>
        <v/>
      </c>
      <c r="BM14" s="230" t="str">
        <f>IFERROR(VLOOKUP($BD14,SortedDownload!$B$3:$Z$489,21,FALSE),"")</f>
        <v/>
      </c>
    </row>
    <row r="15" spans="1:65">
      <c r="B15">
        <v>262</v>
      </c>
      <c r="C15" t="str">
        <f>IFERROR(VLOOKUP($B15,OverallResults!$B$3:$Z$508,2,FALSE),"")</f>
        <v>DNF</v>
      </c>
      <c r="D15" t="str">
        <f>IFERROR(VLOOKUP($B15,OverallResults!$B$3:$Z$508,3,FALSE),"")</f>
        <v/>
      </c>
      <c r="E15" t="str">
        <f>IFERROR(TEXT(VLOOKUP($B15,OverallResults!$B$3:$Z$489,17,FALSE),"[h]:mm:ss.0"),"")</f>
        <v/>
      </c>
      <c r="F15" s="230" t="str">
        <f>IFERROR(VLOOKUP($D15,SortedDownload!$B$3:$Z$489,14,FALSE),"")</f>
        <v/>
      </c>
      <c r="G15" s="230" t="str">
        <f>IFERROR(VLOOKUP($D15,SortedDownload!$B$3:$Z$489,15,FALSE),"")</f>
        <v/>
      </c>
      <c r="H15" s="230" t="str">
        <f>IFERROR(VLOOKUP($D15,SortedDownload!$B$3:$Z$489,16,FALSE),"")</f>
        <v/>
      </c>
      <c r="I15" s="230" t="str">
        <f>IFERROR(VLOOKUP($D15,SortedDownload!$B$3:$Z$489,17,FALSE),"")</f>
        <v/>
      </c>
      <c r="J15" s="230" t="str">
        <f>IFERROR(VLOOKUP($D15,SortedDownload!$B$3:$Z$489,18,FALSE),"")</f>
        <v/>
      </c>
      <c r="K15" s="230" t="str">
        <f>IFERROR(VLOOKUP($D15,SortedDownload!$B$3:$Z$489,19,FALSE),"")</f>
        <v/>
      </c>
      <c r="L15" s="230" t="str">
        <f>IFERROR(VLOOKUP($D15,SortedDownload!$B$3:$Z$489,20,FALSE),"")</f>
        <v/>
      </c>
      <c r="M15" s="230" t="str">
        <f>IFERROR(VLOOKUP($D15,SortedDownload!$B$3:$Z$489,21,FALSE),"")</f>
        <v/>
      </c>
      <c r="O15">
        <v>312</v>
      </c>
      <c r="P15" t="str">
        <f>IFERROR(VLOOKUP($O15,OverallResults!$B$3:$Z$508,2,FALSE),"")</f>
        <v>DNF</v>
      </c>
      <c r="Q15" t="str">
        <f>IFERROR(VLOOKUP($O15,OverallResults!$B$3:$Z$508,3,FALSE),"")</f>
        <v/>
      </c>
      <c r="R15" t="str">
        <f>IFERROR(TEXT(VLOOKUP($O15,OverallResults!$B$3:$Z$489,17,FALSE),"[h]:mm:ss.0"),"")</f>
        <v/>
      </c>
      <c r="S15" s="230" t="str">
        <f>IFERROR(VLOOKUP($Q15,SortedDownload!$B$3:$Z$489,14,FALSE),"")</f>
        <v/>
      </c>
      <c r="T15" s="230" t="str">
        <f>IFERROR(VLOOKUP($Q15,SortedDownload!$B$3:$Z$489,15,FALSE),"")</f>
        <v/>
      </c>
      <c r="U15" s="230" t="str">
        <f>IFERROR(VLOOKUP($Q15,SortedDownload!$B$3:$Z$489,16,FALSE),"")</f>
        <v/>
      </c>
      <c r="V15" s="230" t="str">
        <f>IFERROR(VLOOKUP($Q15,SortedDownload!$B$3:$Z$489,17,FALSE),"")</f>
        <v/>
      </c>
      <c r="W15" s="230" t="str">
        <f>IFERROR(VLOOKUP($Q15,SortedDownload!$B$3:$Z$489,18,FALSE),"")</f>
        <v/>
      </c>
      <c r="X15" s="230" t="str">
        <f>IFERROR(VLOOKUP($Q15,SortedDownload!$B$3:$Z$489,19,FALSE),"")</f>
        <v/>
      </c>
      <c r="Y15" s="230" t="str">
        <f>IFERROR(VLOOKUP($Q15,SortedDownload!$B$3:$Z$489,20,FALSE),"")</f>
        <v/>
      </c>
      <c r="Z15" s="230" t="str">
        <f>IFERROR(VLOOKUP($Q15,SortedDownload!$B$3:$Z$489,21,FALSE),"")</f>
        <v/>
      </c>
      <c r="AB15">
        <v>362</v>
      </c>
      <c r="AC15" t="str">
        <f>IFERROR(VLOOKUP($AB15,OverallResults!$B$3:$Z$508,2,FALSE),"")</f>
        <v>DNF</v>
      </c>
      <c r="AD15" t="str">
        <f>IFERROR(VLOOKUP($AB15,OverallResults!$B$3:$Z$508,3,FALSE),"")</f>
        <v/>
      </c>
      <c r="AE15" t="str">
        <f>IFERROR(TEXT(VLOOKUP($AB15,OverallResults!$B$3:$Z$489,17,FALSE),"[h]:mm:ss.0"),"")</f>
        <v/>
      </c>
      <c r="AF15" s="230" t="str">
        <f>IFERROR(VLOOKUP($AD15,SortedDownload!$B$3:$Z$489,14,FALSE),"")</f>
        <v/>
      </c>
      <c r="AG15" s="230" t="str">
        <f>IFERROR(VLOOKUP($AD15,SortedDownload!$B$3:$Z$489,15,FALSE),"")</f>
        <v/>
      </c>
      <c r="AH15" s="230" t="str">
        <f>IFERROR(VLOOKUP($AD15,SortedDownload!$B$3:$Z$489,16,FALSE),"")</f>
        <v/>
      </c>
      <c r="AI15" s="230" t="str">
        <f>IFERROR(VLOOKUP($AD15,SortedDownload!$B$3:$Z$489,17,FALSE),"")</f>
        <v/>
      </c>
      <c r="AJ15" s="230" t="str">
        <f>IFERROR(VLOOKUP($AD15,SortedDownload!$B$3:$Z$489,18,FALSE),"")</f>
        <v/>
      </c>
      <c r="AK15" s="230" t="str">
        <f>IFERROR(VLOOKUP($AD15,SortedDownload!$B$3:$Z$489,19,FALSE),"")</f>
        <v/>
      </c>
      <c r="AL15" s="230" t="str">
        <f>IFERROR(VLOOKUP($AD15,SortedDownload!$B$3:$Z$489,20,FALSE),"")</f>
        <v/>
      </c>
      <c r="AM15" s="230" t="str">
        <f>IFERROR(VLOOKUP($AD15,SortedDownload!$B$3:$Z$489,21,FALSE),"")</f>
        <v/>
      </c>
      <c r="AO15">
        <v>412</v>
      </c>
      <c r="AP15" t="str">
        <f>IFERROR(VLOOKUP(#REF!,OverallResults!$A$3:$Z$489,3,FALSE),"")</f>
        <v/>
      </c>
      <c r="AQ15" t="str">
        <f>IFERROR(VLOOKUP(#REF!,EntryList!$A$3:$Z$291,26,FALSE),"")</f>
        <v/>
      </c>
      <c r="AR15" t="str">
        <f>IFERROR(TEXT(VLOOKUP(#REF!,SortedDownload!$A$3:$Z$489,14,FALSE),"[h]:mm:ss.0"),"")</f>
        <v/>
      </c>
      <c r="AS15" s="230" t="str">
        <f>IFERROR(VLOOKUP(#REF!,SortedDownload!$A$3:$Z$489,15,FALSE),"")</f>
        <v/>
      </c>
      <c r="AT15" s="230" t="str">
        <f>IFERROR(VLOOKUP(#REF!,SortedDownload!$A$3:$Z$489,16,FALSE),"")</f>
        <v/>
      </c>
      <c r="AU15" s="230" t="str">
        <f>IFERROR(VLOOKUP(#REF!,SortedDownload!$A$3:$Z$489,17,FALSE),"")</f>
        <v/>
      </c>
      <c r="AV15" s="230" t="str">
        <f>IFERROR(VLOOKUP(#REF!,SortedDownload!$A$3:$Z$489,18,FALSE),"")</f>
        <v/>
      </c>
      <c r="AW15" s="230" t="str">
        <f>IFERROR(VLOOKUP(#REF!,SortedDownload!$A$3:$Z$489,19,FALSE),"")</f>
        <v/>
      </c>
      <c r="AX15" s="230" t="str">
        <f>IFERROR(VLOOKUP(#REF!,SortedDownload!$A$3:$Z$489,20,FALSE),"")</f>
        <v/>
      </c>
      <c r="AY15" s="230" t="str">
        <f>IFERROR(VLOOKUP(#REF!,SortedDownload!$A$3:$Z$489,21,FALSE),"")</f>
        <v/>
      </c>
      <c r="AZ15" s="230" t="str">
        <f>IFERROR(VLOOKUP(#REF!,SortedDownload!$A$3:$Z$489,22,FALSE),"")</f>
        <v/>
      </c>
      <c r="BB15">
        <v>462</v>
      </c>
      <c r="BC15" t="str">
        <f>IFERROR(VLOOKUP($BB15,OverallResults!$B$3:$Z$508,2,FALSE),"")</f>
        <v>DNF</v>
      </c>
      <c r="BD15" t="str">
        <f>IFERROR(VLOOKUP($BB15,OverallResults!$B$3:$Z$508,3,FALSE),"")</f>
        <v/>
      </c>
      <c r="BE15" t="str">
        <f>IFERROR(TEXT(VLOOKUP($BB15,OverallResults!$B$3:$Z$489,17,FALSE),"[h]:mm:ss.0"),"")</f>
        <v/>
      </c>
      <c r="BF15" s="230" t="str">
        <f>IFERROR(VLOOKUP($BD15,SortedDownload!$B$3:$Z$489,14,FALSE),"")</f>
        <v/>
      </c>
      <c r="BG15" s="230" t="str">
        <f>IFERROR(VLOOKUP($BD15,SortedDownload!$B$3:$Z$489,15,FALSE),"")</f>
        <v/>
      </c>
      <c r="BH15" s="230" t="str">
        <f>IFERROR(VLOOKUP($BD15,SortedDownload!$B$3:$Z$489,16,FALSE),"")</f>
        <v/>
      </c>
      <c r="BI15" s="230" t="str">
        <f>IFERROR(VLOOKUP($BD15,SortedDownload!$B$3:$Z$489,17,FALSE),"")</f>
        <v/>
      </c>
      <c r="BJ15" s="230" t="str">
        <f>IFERROR(VLOOKUP($BD15,SortedDownload!$B$3:$Z$489,18,FALSE),"")</f>
        <v/>
      </c>
      <c r="BK15" s="230" t="str">
        <f>IFERROR(VLOOKUP($BD15,SortedDownload!$B$3:$Z$489,19,FALSE),"")</f>
        <v/>
      </c>
      <c r="BL15" s="230" t="str">
        <f>IFERROR(VLOOKUP($BD15,SortedDownload!$B$3:$Z$489,20,FALSE),"")</f>
        <v/>
      </c>
      <c r="BM15" s="230" t="str">
        <f>IFERROR(VLOOKUP($BD15,SortedDownload!$B$3:$Z$489,21,FALSE),"")</f>
        <v/>
      </c>
    </row>
    <row r="16" spans="1:65">
      <c r="B16">
        <v>263</v>
      </c>
      <c r="C16" t="str">
        <f>IFERROR(VLOOKUP($B16,OverallResults!$B$3:$Z$508,2,FALSE),"")</f>
        <v>DNF</v>
      </c>
      <c r="D16" t="str">
        <f>IFERROR(VLOOKUP($B16,OverallResults!$B$3:$Z$508,3,FALSE),"")</f>
        <v/>
      </c>
      <c r="E16" t="str">
        <f>IFERROR(TEXT(VLOOKUP($B16,OverallResults!$B$3:$Z$489,17,FALSE),"[h]:mm:ss.0"),"")</f>
        <v/>
      </c>
      <c r="F16" s="230" t="str">
        <f>IFERROR(VLOOKUP($D16,SortedDownload!$B$3:$Z$489,14,FALSE),"")</f>
        <v/>
      </c>
      <c r="G16" s="230" t="str">
        <f>IFERROR(VLOOKUP($D16,SortedDownload!$B$3:$Z$489,15,FALSE),"")</f>
        <v/>
      </c>
      <c r="H16" s="230" t="str">
        <f>IFERROR(VLOOKUP($D16,SortedDownload!$B$3:$Z$489,16,FALSE),"")</f>
        <v/>
      </c>
      <c r="I16" s="230" t="str">
        <f>IFERROR(VLOOKUP($D16,SortedDownload!$B$3:$Z$489,17,FALSE),"")</f>
        <v/>
      </c>
      <c r="J16" s="230" t="str">
        <f>IFERROR(VLOOKUP($D16,SortedDownload!$B$3:$Z$489,18,FALSE),"")</f>
        <v/>
      </c>
      <c r="K16" s="230" t="str">
        <f>IFERROR(VLOOKUP($D16,SortedDownload!$B$3:$Z$489,19,FALSE),"")</f>
        <v/>
      </c>
      <c r="L16" s="230" t="str">
        <f>IFERROR(VLOOKUP($D16,SortedDownload!$B$3:$Z$489,20,FALSE),"")</f>
        <v/>
      </c>
      <c r="M16" s="230" t="str">
        <f>IFERROR(VLOOKUP($D16,SortedDownload!$B$3:$Z$489,21,FALSE),"")</f>
        <v/>
      </c>
      <c r="O16">
        <v>313</v>
      </c>
      <c r="P16" t="str">
        <f>IFERROR(VLOOKUP($O16,OverallResults!$B$3:$Z$508,2,FALSE),"")</f>
        <v>DNF</v>
      </c>
      <c r="Q16" t="str">
        <f>IFERROR(VLOOKUP($O16,OverallResults!$B$3:$Z$508,3,FALSE),"")</f>
        <v/>
      </c>
      <c r="R16" t="str">
        <f>IFERROR(TEXT(VLOOKUP($O16,OverallResults!$B$3:$Z$489,17,FALSE),"[h]:mm:ss.0"),"")</f>
        <v/>
      </c>
      <c r="S16" s="230" t="str">
        <f>IFERROR(VLOOKUP($Q16,SortedDownload!$B$3:$Z$489,14,FALSE),"")</f>
        <v/>
      </c>
      <c r="T16" s="230" t="str">
        <f>IFERROR(VLOOKUP($Q16,SortedDownload!$B$3:$Z$489,15,FALSE),"")</f>
        <v/>
      </c>
      <c r="U16" s="230" t="str">
        <f>IFERROR(VLOOKUP($Q16,SortedDownload!$B$3:$Z$489,16,FALSE),"")</f>
        <v/>
      </c>
      <c r="V16" s="230" t="str">
        <f>IFERROR(VLOOKUP($Q16,SortedDownload!$B$3:$Z$489,17,FALSE),"")</f>
        <v/>
      </c>
      <c r="W16" s="230" t="str">
        <f>IFERROR(VLOOKUP($Q16,SortedDownload!$B$3:$Z$489,18,FALSE),"")</f>
        <v/>
      </c>
      <c r="X16" s="230" t="str">
        <f>IFERROR(VLOOKUP($Q16,SortedDownload!$B$3:$Z$489,19,FALSE),"")</f>
        <v/>
      </c>
      <c r="Y16" s="230" t="str">
        <f>IFERROR(VLOOKUP($Q16,SortedDownload!$B$3:$Z$489,20,FALSE),"")</f>
        <v/>
      </c>
      <c r="Z16" s="230" t="str">
        <f>IFERROR(VLOOKUP($Q16,SortedDownload!$B$3:$Z$489,21,FALSE),"")</f>
        <v/>
      </c>
      <c r="AB16">
        <v>363</v>
      </c>
      <c r="AC16" t="str">
        <f>IFERROR(VLOOKUP($AB16,OverallResults!$B$3:$Z$508,2,FALSE),"")</f>
        <v>DNF</v>
      </c>
      <c r="AD16" t="str">
        <f>IFERROR(VLOOKUP($AB16,OverallResults!$B$3:$Z$508,3,FALSE),"")</f>
        <v/>
      </c>
      <c r="AE16" t="str">
        <f>IFERROR(TEXT(VLOOKUP($AB16,OverallResults!$B$3:$Z$489,17,FALSE),"[h]:mm:ss.0"),"")</f>
        <v/>
      </c>
      <c r="AF16" s="230" t="str">
        <f>IFERROR(VLOOKUP($AD16,SortedDownload!$B$3:$Z$489,14,FALSE),"")</f>
        <v/>
      </c>
      <c r="AG16" s="230" t="str">
        <f>IFERROR(VLOOKUP($AD16,SortedDownload!$B$3:$Z$489,15,FALSE),"")</f>
        <v/>
      </c>
      <c r="AH16" s="230" t="str">
        <f>IFERROR(VLOOKUP($AD16,SortedDownload!$B$3:$Z$489,16,FALSE),"")</f>
        <v/>
      </c>
      <c r="AI16" s="230" t="str">
        <f>IFERROR(VLOOKUP($AD16,SortedDownload!$B$3:$Z$489,17,FALSE),"")</f>
        <v/>
      </c>
      <c r="AJ16" s="230" t="str">
        <f>IFERROR(VLOOKUP($AD16,SortedDownload!$B$3:$Z$489,18,FALSE),"")</f>
        <v/>
      </c>
      <c r="AK16" s="230" t="str">
        <f>IFERROR(VLOOKUP($AD16,SortedDownload!$B$3:$Z$489,19,FALSE),"")</f>
        <v/>
      </c>
      <c r="AL16" s="230" t="str">
        <f>IFERROR(VLOOKUP($AD16,SortedDownload!$B$3:$Z$489,20,FALSE),"")</f>
        <v/>
      </c>
      <c r="AM16" s="230" t="str">
        <f>IFERROR(VLOOKUP($AD16,SortedDownload!$B$3:$Z$489,21,FALSE),"")</f>
        <v/>
      </c>
      <c r="AO16">
        <v>413</v>
      </c>
      <c r="AP16" t="str">
        <f>IFERROR(VLOOKUP(#REF!,OverallResults!$A$3:$Z$489,3,FALSE),"")</f>
        <v/>
      </c>
      <c r="AQ16" t="str">
        <f>IFERROR(VLOOKUP(#REF!,EntryList!$A$3:$Z$291,26,FALSE),"")</f>
        <v/>
      </c>
      <c r="AR16" t="str">
        <f>IFERROR(TEXT(VLOOKUP(#REF!,SortedDownload!$A$3:$Z$489,14,FALSE),"[h]:mm:ss.0"),"")</f>
        <v/>
      </c>
      <c r="AS16" s="230" t="str">
        <f>IFERROR(VLOOKUP(#REF!,SortedDownload!$A$3:$Z$489,15,FALSE),"")</f>
        <v/>
      </c>
      <c r="AT16" s="230" t="str">
        <f>IFERROR(VLOOKUP(#REF!,SortedDownload!$A$3:$Z$489,16,FALSE),"")</f>
        <v/>
      </c>
      <c r="AU16" s="230" t="str">
        <f>IFERROR(VLOOKUP(#REF!,SortedDownload!$A$3:$Z$489,17,FALSE),"")</f>
        <v/>
      </c>
      <c r="AV16" s="230" t="str">
        <f>IFERROR(VLOOKUP(#REF!,SortedDownload!$A$3:$Z$489,18,FALSE),"")</f>
        <v/>
      </c>
      <c r="AW16" s="230" t="str">
        <f>IFERROR(VLOOKUP(#REF!,SortedDownload!$A$3:$Z$489,19,FALSE),"")</f>
        <v/>
      </c>
      <c r="AX16" s="230" t="str">
        <f>IFERROR(VLOOKUP(#REF!,SortedDownload!$A$3:$Z$489,20,FALSE),"")</f>
        <v/>
      </c>
      <c r="AY16" s="230" t="str">
        <f>IFERROR(VLOOKUP(#REF!,SortedDownload!$A$3:$Z$489,21,FALSE),"")</f>
        <v/>
      </c>
      <c r="AZ16" s="230" t="str">
        <f>IFERROR(VLOOKUP(#REF!,SortedDownload!$A$3:$Z$489,22,FALSE),"")</f>
        <v/>
      </c>
      <c r="BB16">
        <v>463</v>
      </c>
      <c r="BC16" t="str">
        <f>IFERROR(VLOOKUP($BB16,OverallResults!$B$3:$Z$508,2,FALSE),"")</f>
        <v>DNF</v>
      </c>
      <c r="BD16" t="str">
        <f>IFERROR(VLOOKUP($BB16,OverallResults!$B$3:$Z$508,3,FALSE),"")</f>
        <v/>
      </c>
      <c r="BE16" t="str">
        <f>IFERROR(TEXT(VLOOKUP($BB16,OverallResults!$B$3:$Z$489,17,FALSE),"[h]:mm:ss.0"),"")</f>
        <v/>
      </c>
      <c r="BF16" s="230" t="str">
        <f>IFERROR(VLOOKUP($BD16,SortedDownload!$B$3:$Z$489,14,FALSE),"")</f>
        <v/>
      </c>
      <c r="BG16" s="230" t="str">
        <f>IFERROR(VLOOKUP($BD16,SortedDownload!$B$3:$Z$489,15,FALSE),"")</f>
        <v/>
      </c>
      <c r="BH16" s="230" t="str">
        <f>IFERROR(VLOOKUP($BD16,SortedDownload!$B$3:$Z$489,16,FALSE),"")</f>
        <v/>
      </c>
      <c r="BI16" s="230" t="str">
        <f>IFERROR(VLOOKUP($BD16,SortedDownload!$B$3:$Z$489,17,FALSE),"")</f>
        <v/>
      </c>
      <c r="BJ16" s="230" t="str">
        <f>IFERROR(VLOOKUP($BD16,SortedDownload!$B$3:$Z$489,18,FALSE),"")</f>
        <v/>
      </c>
      <c r="BK16" s="230" t="str">
        <f>IFERROR(VLOOKUP($BD16,SortedDownload!$B$3:$Z$489,19,FALSE),"")</f>
        <v/>
      </c>
      <c r="BL16" s="230" t="str">
        <f>IFERROR(VLOOKUP($BD16,SortedDownload!$B$3:$Z$489,20,FALSE),"")</f>
        <v/>
      </c>
      <c r="BM16" s="230" t="str">
        <f>IFERROR(VLOOKUP($BD16,SortedDownload!$B$3:$Z$489,21,FALSE),"")</f>
        <v/>
      </c>
    </row>
    <row r="17" spans="2:65">
      <c r="B17">
        <v>264</v>
      </c>
      <c r="C17" t="str">
        <f>IFERROR(VLOOKUP($B17,OverallResults!$B$3:$Z$508,2,FALSE),"")</f>
        <v>DNF</v>
      </c>
      <c r="D17" t="str">
        <f>IFERROR(VLOOKUP($B17,OverallResults!$B$3:$Z$508,3,FALSE),"")</f>
        <v/>
      </c>
      <c r="E17" t="str">
        <f>IFERROR(TEXT(VLOOKUP($B17,OverallResults!$B$3:$Z$489,17,FALSE),"[h]:mm:ss.0"),"")</f>
        <v/>
      </c>
      <c r="F17" s="230" t="str">
        <f>IFERROR(VLOOKUP($D17,SortedDownload!$B$3:$Z$489,14,FALSE),"")</f>
        <v/>
      </c>
      <c r="G17" s="230" t="str">
        <f>IFERROR(VLOOKUP($D17,SortedDownload!$B$3:$Z$489,15,FALSE),"")</f>
        <v/>
      </c>
      <c r="H17" s="230" t="str">
        <f>IFERROR(VLOOKUP($D17,SortedDownload!$B$3:$Z$489,16,FALSE),"")</f>
        <v/>
      </c>
      <c r="I17" s="230" t="str">
        <f>IFERROR(VLOOKUP($D17,SortedDownload!$B$3:$Z$489,17,FALSE),"")</f>
        <v/>
      </c>
      <c r="J17" s="230" t="str">
        <f>IFERROR(VLOOKUP($D17,SortedDownload!$B$3:$Z$489,18,FALSE),"")</f>
        <v/>
      </c>
      <c r="K17" s="230" t="str">
        <f>IFERROR(VLOOKUP($D17,SortedDownload!$B$3:$Z$489,19,FALSE),"")</f>
        <v/>
      </c>
      <c r="L17" s="230" t="str">
        <f>IFERROR(VLOOKUP($D17,SortedDownload!$B$3:$Z$489,20,FALSE),"")</f>
        <v/>
      </c>
      <c r="M17" s="230" t="str">
        <f>IFERROR(VLOOKUP($D17,SortedDownload!$B$3:$Z$489,21,FALSE),"")</f>
        <v/>
      </c>
      <c r="O17">
        <v>314</v>
      </c>
      <c r="P17" t="str">
        <f>IFERROR(VLOOKUP($O17,OverallResults!$B$3:$Z$508,2,FALSE),"")</f>
        <v>DNF</v>
      </c>
      <c r="Q17" t="str">
        <f>IFERROR(VLOOKUP($O17,OverallResults!$B$3:$Z$508,3,FALSE),"")</f>
        <v/>
      </c>
      <c r="R17" t="str">
        <f>IFERROR(TEXT(VLOOKUP($O17,OverallResults!$B$3:$Z$489,17,FALSE),"[h]:mm:ss.0"),"")</f>
        <v/>
      </c>
      <c r="S17" s="230" t="str">
        <f>IFERROR(VLOOKUP($Q17,SortedDownload!$B$3:$Z$489,14,FALSE),"")</f>
        <v/>
      </c>
      <c r="T17" s="230" t="str">
        <f>IFERROR(VLOOKUP($Q17,SortedDownload!$B$3:$Z$489,15,FALSE),"")</f>
        <v/>
      </c>
      <c r="U17" s="230" t="str">
        <f>IFERROR(VLOOKUP($Q17,SortedDownload!$B$3:$Z$489,16,FALSE),"")</f>
        <v/>
      </c>
      <c r="V17" s="230" t="str">
        <f>IFERROR(VLOOKUP($Q17,SortedDownload!$B$3:$Z$489,17,FALSE),"")</f>
        <v/>
      </c>
      <c r="W17" s="230" t="str">
        <f>IFERROR(VLOOKUP($Q17,SortedDownload!$B$3:$Z$489,18,FALSE),"")</f>
        <v/>
      </c>
      <c r="X17" s="230" t="str">
        <f>IFERROR(VLOOKUP($Q17,SortedDownload!$B$3:$Z$489,19,FALSE),"")</f>
        <v/>
      </c>
      <c r="Y17" s="230" t="str">
        <f>IFERROR(VLOOKUP($Q17,SortedDownload!$B$3:$Z$489,20,FALSE),"")</f>
        <v/>
      </c>
      <c r="Z17" s="230" t="str">
        <f>IFERROR(VLOOKUP($Q17,SortedDownload!$B$3:$Z$489,21,FALSE),"")</f>
        <v/>
      </c>
      <c r="AB17">
        <v>364</v>
      </c>
      <c r="AC17" t="str">
        <f>IFERROR(VLOOKUP($AB17,OverallResults!$B$3:$Z$508,2,FALSE),"")</f>
        <v>DNF</v>
      </c>
      <c r="AD17" t="str">
        <f>IFERROR(VLOOKUP($AB17,OverallResults!$B$3:$Z$508,3,FALSE),"")</f>
        <v/>
      </c>
      <c r="AE17" t="str">
        <f>IFERROR(TEXT(VLOOKUP($AB17,OverallResults!$B$3:$Z$489,17,FALSE),"[h]:mm:ss.0"),"")</f>
        <v/>
      </c>
      <c r="AF17" s="230" t="str">
        <f>IFERROR(VLOOKUP($AD17,SortedDownload!$B$3:$Z$489,14,FALSE),"")</f>
        <v/>
      </c>
      <c r="AG17" s="230" t="str">
        <f>IFERROR(VLOOKUP($AD17,SortedDownload!$B$3:$Z$489,15,FALSE),"")</f>
        <v/>
      </c>
      <c r="AH17" s="230" t="str">
        <f>IFERROR(VLOOKUP($AD17,SortedDownload!$B$3:$Z$489,16,FALSE),"")</f>
        <v/>
      </c>
      <c r="AI17" s="230" t="str">
        <f>IFERROR(VLOOKUP($AD17,SortedDownload!$B$3:$Z$489,17,FALSE),"")</f>
        <v/>
      </c>
      <c r="AJ17" s="230" t="str">
        <f>IFERROR(VLOOKUP($AD17,SortedDownload!$B$3:$Z$489,18,FALSE),"")</f>
        <v/>
      </c>
      <c r="AK17" s="230" t="str">
        <f>IFERROR(VLOOKUP($AD17,SortedDownload!$B$3:$Z$489,19,FALSE),"")</f>
        <v/>
      </c>
      <c r="AL17" s="230" t="str">
        <f>IFERROR(VLOOKUP($AD17,SortedDownload!$B$3:$Z$489,20,FALSE),"")</f>
        <v/>
      </c>
      <c r="AM17" s="230" t="str">
        <f>IFERROR(VLOOKUP($AD17,SortedDownload!$B$3:$Z$489,21,FALSE),"")</f>
        <v/>
      </c>
      <c r="AO17">
        <v>414</v>
      </c>
      <c r="AP17" t="str">
        <f>IFERROR(VLOOKUP(#REF!,OverallResults!$A$3:$Z$489,3,FALSE),"")</f>
        <v/>
      </c>
      <c r="AQ17" t="str">
        <f>IFERROR(VLOOKUP(#REF!,EntryList!$A$3:$Z$291,26,FALSE),"")</f>
        <v/>
      </c>
      <c r="AR17" t="str">
        <f>IFERROR(TEXT(VLOOKUP(#REF!,SortedDownload!$A$3:$Z$489,14,FALSE),"[h]:mm:ss.0"),"")</f>
        <v/>
      </c>
      <c r="AS17" s="230" t="str">
        <f>IFERROR(VLOOKUP(#REF!,SortedDownload!$A$3:$Z$489,15,FALSE),"")</f>
        <v/>
      </c>
      <c r="AT17" s="230" t="str">
        <f>IFERROR(VLOOKUP(#REF!,SortedDownload!$A$3:$Z$489,16,FALSE),"")</f>
        <v/>
      </c>
      <c r="AU17" s="230" t="str">
        <f>IFERROR(VLOOKUP(#REF!,SortedDownload!$A$3:$Z$489,17,FALSE),"")</f>
        <v/>
      </c>
      <c r="AV17" s="230" t="str">
        <f>IFERROR(VLOOKUP(#REF!,SortedDownload!$A$3:$Z$489,18,FALSE),"")</f>
        <v/>
      </c>
      <c r="AW17" s="230" t="str">
        <f>IFERROR(VLOOKUP(#REF!,SortedDownload!$A$3:$Z$489,19,FALSE),"")</f>
        <v/>
      </c>
      <c r="AX17" s="230" t="str">
        <f>IFERROR(VLOOKUP(#REF!,SortedDownload!$A$3:$Z$489,20,FALSE),"")</f>
        <v/>
      </c>
      <c r="AY17" s="230" t="str">
        <f>IFERROR(VLOOKUP(#REF!,SortedDownload!$A$3:$Z$489,21,FALSE),"")</f>
        <v/>
      </c>
      <c r="AZ17" s="230" t="str">
        <f>IFERROR(VLOOKUP(#REF!,SortedDownload!$A$3:$Z$489,22,FALSE),"")</f>
        <v/>
      </c>
      <c r="BB17">
        <v>464</v>
      </c>
      <c r="BC17" t="str">
        <f>IFERROR(VLOOKUP($BB17,OverallResults!$B$3:$Z$508,2,FALSE),"")</f>
        <v>DNF</v>
      </c>
      <c r="BD17" t="str">
        <f>IFERROR(VLOOKUP($BB17,OverallResults!$B$3:$Z$508,3,FALSE),"")</f>
        <v/>
      </c>
      <c r="BE17" t="str">
        <f>IFERROR(TEXT(VLOOKUP($BB17,OverallResults!$B$3:$Z$489,17,FALSE),"[h]:mm:ss.0"),"")</f>
        <v/>
      </c>
      <c r="BF17" s="230" t="str">
        <f>IFERROR(VLOOKUP($BD17,SortedDownload!$B$3:$Z$489,14,FALSE),"")</f>
        <v/>
      </c>
      <c r="BG17" s="230" t="str">
        <f>IFERROR(VLOOKUP($BD17,SortedDownload!$B$3:$Z$489,15,FALSE),"")</f>
        <v/>
      </c>
      <c r="BH17" s="230" t="str">
        <f>IFERROR(VLOOKUP($BD17,SortedDownload!$B$3:$Z$489,16,FALSE),"")</f>
        <v/>
      </c>
      <c r="BI17" s="230" t="str">
        <f>IFERROR(VLOOKUP($BD17,SortedDownload!$B$3:$Z$489,17,FALSE),"")</f>
        <v/>
      </c>
      <c r="BJ17" s="230" t="str">
        <f>IFERROR(VLOOKUP($BD17,SortedDownload!$B$3:$Z$489,18,FALSE),"")</f>
        <v/>
      </c>
      <c r="BK17" s="230" t="str">
        <f>IFERROR(VLOOKUP($BD17,SortedDownload!$B$3:$Z$489,19,FALSE),"")</f>
        <v/>
      </c>
      <c r="BL17" s="230" t="str">
        <f>IFERROR(VLOOKUP($BD17,SortedDownload!$B$3:$Z$489,20,FALSE),"")</f>
        <v/>
      </c>
      <c r="BM17" s="230" t="str">
        <f>IFERROR(VLOOKUP($BD17,SortedDownload!$B$3:$Z$489,21,FALSE),"")</f>
        <v/>
      </c>
    </row>
    <row r="18" spans="2:65">
      <c r="B18">
        <v>265</v>
      </c>
      <c r="C18" t="str">
        <f>IFERROR(VLOOKUP($B18,OverallResults!$B$3:$Z$508,2,FALSE),"")</f>
        <v>DNF</v>
      </c>
      <c r="D18" t="str">
        <f>IFERROR(VLOOKUP($B18,OverallResults!$B$3:$Z$508,3,FALSE),"")</f>
        <v/>
      </c>
      <c r="E18" t="str">
        <f>IFERROR(TEXT(VLOOKUP($B18,OverallResults!$B$3:$Z$489,17,FALSE),"[h]:mm:ss.0"),"")</f>
        <v/>
      </c>
      <c r="F18" s="230" t="str">
        <f>IFERROR(VLOOKUP($D18,SortedDownload!$B$3:$Z$489,14,FALSE),"")</f>
        <v/>
      </c>
      <c r="G18" s="230" t="str">
        <f>IFERROR(VLOOKUP($D18,SortedDownload!$B$3:$Z$489,15,FALSE),"")</f>
        <v/>
      </c>
      <c r="H18" s="230" t="str">
        <f>IFERROR(VLOOKUP($D18,SortedDownload!$B$3:$Z$489,16,FALSE),"")</f>
        <v/>
      </c>
      <c r="I18" s="230" t="str">
        <f>IFERROR(VLOOKUP($D18,SortedDownload!$B$3:$Z$489,17,FALSE),"")</f>
        <v/>
      </c>
      <c r="J18" s="230" t="str">
        <f>IFERROR(VLOOKUP($D18,SortedDownload!$B$3:$Z$489,18,FALSE),"")</f>
        <v/>
      </c>
      <c r="K18" s="230" t="str">
        <f>IFERROR(VLOOKUP($D18,SortedDownload!$B$3:$Z$489,19,FALSE),"")</f>
        <v/>
      </c>
      <c r="L18" s="230" t="str">
        <f>IFERROR(VLOOKUP($D18,SortedDownload!$B$3:$Z$489,20,FALSE),"")</f>
        <v/>
      </c>
      <c r="M18" s="230" t="str">
        <f>IFERROR(VLOOKUP($D18,SortedDownload!$B$3:$Z$489,21,FALSE),"")</f>
        <v/>
      </c>
      <c r="O18">
        <v>315</v>
      </c>
      <c r="P18" t="str">
        <f>IFERROR(VLOOKUP($O18,OverallResults!$B$3:$Z$508,2,FALSE),"")</f>
        <v>DNF</v>
      </c>
      <c r="Q18" t="str">
        <f>IFERROR(VLOOKUP($O18,OverallResults!$B$3:$Z$508,3,FALSE),"")</f>
        <v/>
      </c>
      <c r="R18" t="str">
        <f>IFERROR(TEXT(VLOOKUP($O18,OverallResults!$B$3:$Z$489,17,FALSE),"[h]:mm:ss.0"),"")</f>
        <v/>
      </c>
      <c r="S18" s="230" t="str">
        <f>IFERROR(VLOOKUP($Q18,SortedDownload!$B$3:$Z$489,14,FALSE),"")</f>
        <v/>
      </c>
      <c r="T18" s="230" t="str">
        <f>IFERROR(VLOOKUP($Q18,SortedDownload!$B$3:$Z$489,15,FALSE),"")</f>
        <v/>
      </c>
      <c r="U18" s="230" t="str">
        <f>IFERROR(VLOOKUP($Q18,SortedDownload!$B$3:$Z$489,16,FALSE),"")</f>
        <v/>
      </c>
      <c r="V18" s="230" t="str">
        <f>IFERROR(VLOOKUP($Q18,SortedDownload!$B$3:$Z$489,17,FALSE),"")</f>
        <v/>
      </c>
      <c r="W18" s="230" t="str">
        <f>IFERROR(VLOOKUP($Q18,SortedDownload!$B$3:$Z$489,18,FALSE),"")</f>
        <v/>
      </c>
      <c r="X18" s="230" t="str">
        <f>IFERROR(VLOOKUP($Q18,SortedDownload!$B$3:$Z$489,19,FALSE),"")</f>
        <v/>
      </c>
      <c r="Y18" s="230" t="str">
        <f>IFERROR(VLOOKUP($Q18,SortedDownload!$B$3:$Z$489,20,FALSE),"")</f>
        <v/>
      </c>
      <c r="Z18" s="230" t="str">
        <f>IFERROR(VLOOKUP($Q18,SortedDownload!$B$3:$Z$489,21,FALSE),"")</f>
        <v/>
      </c>
      <c r="AB18">
        <v>365</v>
      </c>
      <c r="AC18" t="str">
        <f>IFERROR(VLOOKUP($AB18,OverallResults!$B$3:$Z$508,2,FALSE),"")</f>
        <v>DNF</v>
      </c>
      <c r="AD18" t="str">
        <f>IFERROR(VLOOKUP($AB18,OverallResults!$B$3:$Z$508,3,FALSE),"")</f>
        <v/>
      </c>
      <c r="AE18" t="str">
        <f>IFERROR(TEXT(VLOOKUP($AB18,OverallResults!$B$3:$Z$489,17,FALSE),"[h]:mm:ss.0"),"")</f>
        <v/>
      </c>
      <c r="AF18" s="230" t="str">
        <f>IFERROR(VLOOKUP($AD18,SortedDownload!$B$3:$Z$489,14,FALSE),"")</f>
        <v/>
      </c>
      <c r="AG18" s="230" t="str">
        <f>IFERROR(VLOOKUP($AD18,SortedDownload!$B$3:$Z$489,15,FALSE),"")</f>
        <v/>
      </c>
      <c r="AH18" s="230" t="str">
        <f>IFERROR(VLOOKUP($AD18,SortedDownload!$B$3:$Z$489,16,FALSE),"")</f>
        <v/>
      </c>
      <c r="AI18" s="230" t="str">
        <f>IFERROR(VLOOKUP($AD18,SortedDownload!$B$3:$Z$489,17,FALSE),"")</f>
        <v/>
      </c>
      <c r="AJ18" s="230" t="str">
        <f>IFERROR(VLOOKUP($AD18,SortedDownload!$B$3:$Z$489,18,FALSE),"")</f>
        <v/>
      </c>
      <c r="AK18" s="230" t="str">
        <f>IFERROR(VLOOKUP($AD18,SortedDownload!$B$3:$Z$489,19,FALSE),"")</f>
        <v/>
      </c>
      <c r="AL18" s="230" t="str">
        <f>IFERROR(VLOOKUP($AD18,SortedDownload!$B$3:$Z$489,20,FALSE),"")</f>
        <v/>
      </c>
      <c r="AM18" s="230" t="str">
        <f>IFERROR(VLOOKUP($AD18,SortedDownload!$B$3:$Z$489,21,FALSE),"")</f>
        <v/>
      </c>
      <c r="AO18">
        <v>415</v>
      </c>
      <c r="AP18" t="str">
        <f>IFERROR(VLOOKUP(#REF!,OverallResults!$A$3:$Z$489,3,FALSE),"")</f>
        <v/>
      </c>
      <c r="AQ18" t="str">
        <f>IFERROR(VLOOKUP(#REF!,EntryList!$A$3:$Z$291,26,FALSE),"")</f>
        <v/>
      </c>
      <c r="AR18" t="str">
        <f>IFERROR(TEXT(VLOOKUP(#REF!,SortedDownload!$A$3:$Z$489,14,FALSE),"[h]:mm:ss.0"),"")</f>
        <v/>
      </c>
      <c r="AS18" s="230" t="str">
        <f>IFERROR(VLOOKUP(#REF!,SortedDownload!$A$3:$Z$489,15,FALSE),"")</f>
        <v/>
      </c>
      <c r="AT18" s="230" t="str">
        <f>IFERROR(VLOOKUP(#REF!,SortedDownload!$A$3:$Z$489,16,FALSE),"")</f>
        <v/>
      </c>
      <c r="AU18" s="230" t="str">
        <f>IFERROR(VLOOKUP(#REF!,SortedDownload!$A$3:$Z$489,17,FALSE),"")</f>
        <v/>
      </c>
      <c r="AV18" s="230" t="str">
        <f>IFERROR(VLOOKUP(#REF!,SortedDownload!$A$3:$Z$489,18,FALSE),"")</f>
        <v/>
      </c>
      <c r="AW18" s="230" t="str">
        <f>IFERROR(VLOOKUP(#REF!,SortedDownload!$A$3:$Z$489,19,FALSE),"")</f>
        <v/>
      </c>
      <c r="AX18" s="230" t="str">
        <f>IFERROR(VLOOKUP(#REF!,SortedDownload!$A$3:$Z$489,20,FALSE),"")</f>
        <v/>
      </c>
      <c r="AY18" s="230" t="str">
        <f>IFERROR(VLOOKUP(#REF!,SortedDownload!$A$3:$Z$489,21,FALSE),"")</f>
        <v/>
      </c>
      <c r="AZ18" s="230" t="str">
        <f>IFERROR(VLOOKUP(#REF!,SortedDownload!$A$3:$Z$489,22,FALSE),"")</f>
        <v/>
      </c>
      <c r="BB18">
        <v>465</v>
      </c>
      <c r="BC18" t="str">
        <f>IFERROR(VLOOKUP($BB18,OverallResults!$B$3:$Z$508,2,FALSE),"")</f>
        <v>DNF</v>
      </c>
      <c r="BD18" t="str">
        <f>IFERROR(VLOOKUP($BB18,OverallResults!$B$3:$Z$508,3,FALSE),"")</f>
        <v/>
      </c>
      <c r="BE18" t="str">
        <f>IFERROR(TEXT(VLOOKUP($BB18,OverallResults!$B$3:$Z$489,17,FALSE),"[h]:mm:ss.0"),"")</f>
        <v/>
      </c>
      <c r="BF18" s="230" t="str">
        <f>IFERROR(VLOOKUP($BD18,SortedDownload!$B$3:$Z$489,14,FALSE),"")</f>
        <v/>
      </c>
      <c r="BG18" s="230" t="str">
        <f>IFERROR(VLOOKUP($BD18,SortedDownload!$B$3:$Z$489,15,FALSE),"")</f>
        <v/>
      </c>
      <c r="BH18" s="230" t="str">
        <f>IFERROR(VLOOKUP($BD18,SortedDownload!$B$3:$Z$489,16,FALSE),"")</f>
        <v/>
      </c>
      <c r="BI18" s="230" t="str">
        <f>IFERROR(VLOOKUP($BD18,SortedDownload!$B$3:$Z$489,17,FALSE),"")</f>
        <v/>
      </c>
      <c r="BJ18" s="230" t="str">
        <f>IFERROR(VLOOKUP($BD18,SortedDownload!$B$3:$Z$489,18,FALSE),"")</f>
        <v/>
      </c>
      <c r="BK18" s="230" t="str">
        <f>IFERROR(VLOOKUP($BD18,SortedDownload!$B$3:$Z$489,19,FALSE),"")</f>
        <v/>
      </c>
      <c r="BL18" s="230" t="str">
        <f>IFERROR(VLOOKUP($BD18,SortedDownload!$B$3:$Z$489,20,FALSE),"")</f>
        <v/>
      </c>
      <c r="BM18" s="230" t="str">
        <f>IFERROR(VLOOKUP($BD18,SortedDownload!$B$3:$Z$489,21,FALSE),"")</f>
        <v/>
      </c>
    </row>
    <row r="19" spans="2:65">
      <c r="B19">
        <v>266</v>
      </c>
      <c r="C19" t="str">
        <f>IFERROR(VLOOKUP($B19,OverallResults!$B$3:$Z$508,2,FALSE),"")</f>
        <v>DNF</v>
      </c>
      <c r="D19" t="str">
        <f>IFERROR(VLOOKUP($B19,OverallResults!$B$3:$Z$508,3,FALSE),"")</f>
        <v/>
      </c>
      <c r="E19" t="str">
        <f>IFERROR(TEXT(VLOOKUP($B19,OverallResults!$B$3:$Z$489,17,FALSE),"[h]:mm:ss.0"),"")</f>
        <v/>
      </c>
      <c r="F19" s="230" t="str">
        <f>IFERROR(VLOOKUP($D19,SortedDownload!$B$3:$Z$489,14,FALSE),"")</f>
        <v/>
      </c>
      <c r="G19" s="230" t="str">
        <f>IFERROR(VLOOKUP($D19,SortedDownload!$B$3:$Z$489,15,FALSE),"")</f>
        <v/>
      </c>
      <c r="H19" s="230" t="str">
        <f>IFERROR(VLOOKUP($D19,SortedDownload!$B$3:$Z$489,16,FALSE),"")</f>
        <v/>
      </c>
      <c r="I19" s="230" t="str">
        <f>IFERROR(VLOOKUP($D19,SortedDownload!$B$3:$Z$489,17,FALSE),"")</f>
        <v/>
      </c>
      <c r="J19" s="230" t="str">
        <f>IFERROR(VLOOKUP($D19,SortedDownload!$B$3:$Z$489,18,FALSE),"")</f>
        <v/>
      </c>
      <c r="K19" s="230" t="str">
        <f>IFERROR(VLOOKUP($D19,SortedDownload!$B$3:$Z$489,19,FALSE),"")</f>
        <v/>
      </c>
      <c r="L19" s="230" t="str">
        <f>IFERROR(VLOOKUP($D19,SortedDownload!$B$3:$Z$489,20,FALSE),"")</f>
        <v/>
      </c>
      <c r="M19" s="230" t="str">
        <f>IFERROR(VLOOKUP($D19,SortedDownload!$B$3:$Z$489,21,FALSE),"")</f>
        <v/>
      </c>
      <c r="O19">
        <v>316</v>
      </c>
      <c r="P19" t="str">
        <f>IFERROR(VLOOKUP($O19,OverallResults!$B$3:$Z$508,2,FALSE),"")</f>
        <v>DNF</v>
      </c>
      <c r="Q19" t="str">
        <f>IFERROR(VLOOKUP($O19,OverallResults!$B$3:$Z$508,3,FALSE),"")</f>
        <v/>
      </c>
      <c r="R19" t="str">
        <f>IFERROR(TEXT(VLOOKUP($O19,OverallResults!$B$3:$Z$489,17,FALSE),"[h]:mm:ss.0"),"")</f>
        <v/>
      </c>
      <c r="S19" s="230" t="str">
        <f>IFERROR(VLOOKUP($Q19,SortedDownload!$B$3:$Z$489,14,FALSE),"")</f>
        <v/>
      </c>
      <c r="T19" s="230" t="str">
        <f>IFERROR(VLOOKUP($Q19,SortedDownload!$B$3:$Z$489,15,FALSE),"")</f>
        <v/>
      </c>
      <c r="U19" s="230" t="str">
        <f>IFERROR(VLOOKUP($Q19,SortedDownload!$B$3:$Z$489,16,FALSE),"")</f>
        <v/>
      </c>
      <c r="V19" s="230" t="str">
        <f>IFERROR(VLOOKUP($Q19,SortedDownload!$B$3:$Z$489,17,FALSE),"")</f>
        <v/>
      </c>
      <c r="W19" s="230" t="str">
        <f>IFERROR(VLOOKUP($Q19,SortedDownload!$B$3:$Z$489,18,FALSE),"")</f>
        <v/>
      </c>
      <c r="X19" s="230" t="str">
        <f>IFERROR(VLOOKUP($Q19,SortedDownload!$B$3:$Z$489,19,FALSE),"")</f>
        <v/>
      </c>
      <c r="Y19" s="230" t="str">
        <f>IFERROR(VLOOKUP($Q19,SortedDownload!$B$3:$Z$489,20,FALSE),"")</f>
        <v/>
      </c>
      <c r="Z19" s="230" t="str">
        <f>IFERROR(VLOOKUP($Q19,SortedDownload!$B$3:$Z$489,21,FALSE),"")</f>
        <v/>
      </c>
      <c r="AB19">
        <v>366</v>
      </c>
      <c r="AC19" t="str">
        <f>IFERROR(VLOOKUP($AB19,OverallResults!$B$3:$Z$508,2,FALSE),"")</f>
        <v>DNF</v>
      </c>
      <c r="AD19" t="str">
        <f>IFERROR(VLOOKUP($AB19,OverallResults!$B$3:$Z$508,3,FALSE),"")</f>
        <v/>
      </c>
      <c r="AE19" t="str">
        <f>IFERROR(TEXT(VLOOKUP($AB19,OverallResults!$B$3:$Z$489,17,FALSE),"[h]:mm:ss.0"),"")</f>
        <v/>
      </c>
      <c r="AF19" s="230" t="str">
        <f>IFERROR(VLOOKUP($AD19,SortedDownload!$B$3:$Z$489,14,FALSE),"")</f>
        <v/>
      </c>
      <c r="AG19" s="230" t="str">
        <f>IFERROR(VLOOKUP($AD19,SortedDownload!$B$3:$Z$489,15,FALSE),"")</f>
        <v/>
      </c>
      <c r="AH19" s="230" t="str">
        <f>IFERROR(VLOOKUP($AD19,SortedDownload!$B$3:$Z$489,16,FALSE),"")</f>
        <v/>
      </c>
      <c r="AI19" s="230" t="str">
        <f>IFERROR(VLOOKUP($AD19,SortedDownload!$B$3:$Z$489,17,FALSE),"")</f>
        <v/>
      </c>
      <c r="AJ19" s="230" t="str">
        <f>IFERROR(VLOOKUP($AD19,SortedDownload!$B$3:$Z$489,18,FALSE),"")</f>
        <v/>
      </c>
      <c r="AK19" s="230" t="str">
        <f>IFERROR(VLOOKUP($AD19,SortedDownload!$B$3:$Z$489,19,FALSE),"")</f>
        <v/>
      </c>
      <c r="AL19" s="230" t="str">
        <f>IFERROR(VLOOKUP($AD19,SortedDownload!$B$3:$Z$489,20,FALSE),"")</f>
        <v/>
      </c>
      <c r="AM19" s="230" t="str">
        <f>IFERROR(VLOOKUP($AD19,SortedDownload!$B$3:$Z$489,21,FALSE),"")</f>
        <v/>
      </c>
      <c r="AO19">
        <v>416</v>
      </c>
      <c r="AP19" t="str">
        <f>IFERROR(VLOOKUP(#REF!,OverallResults!$A$3:$Z$489,3,FALSE),"")</f>
        <v/>
      </c>
      <c r="AQ19" t="str">
        <f>IFERROR(VLOOKUP(#REF!,EntryList!$A$3:$Z$291,26,FALSE),"")</f>
        <v/>
      </c>
      <c r="AR19" t="str">
        <f>IFERROR(TEXT(VLOOKUP(#REF!,SortedDownload!$A$3:$Z$489,14,FALSE),"[h]:mm:ss.0"),"")</f>
        <v/>
      </c>
      <c r="AS19" s="230" t="str">
        <f>IFERROR(VLOOKUP(#REF!,SortedDownload!$A$3:$Z$489,15,FALSE),"")</f>
        <v/>
      </c>
      <c r="AT19" s="230" t="str">
        <f>IFERROR(VLOOKUP(#REF!,SortedDownload!$A$3:$Z$489,16,FALSE),"")</f>
        <v/>
      </c>
      <c r="AU19" s="230" t="str">
        <f>IFERROR(VLOOKUP(#REF!,SortedDownload!$A$3:$Z$489,17,FALSE),"")</f>
        <v/>
      </c>
      <c r="AV19" s="230" t="str">
        <f>IFERROR(VLOOKUP(#REF!,SortedDownload!$A$3:$Z$489,18,FALSE),"")</f>
        <v/>
      </c>
      <c r="AW19" s="230" t="str">
        <f>IFERROR(VLOOKUP(#REF!,SortedDownload!$A$3:$Z$489,19,FALSE),"")</f>
        <v/>
      </c>
      <c r="AX19" s="230" t="str">
        <f>IFERROR(VLOOKUP(#REF!,SortedDownload!$A$3:$Z$489,20,FALSE),"")</f>
        <v/>
      </c>
      <c r="AY19" s="230" t="str">
        <f>IFERROR(VLOOKUP(#REF!,SortedDownload!$A$3:$Z$489,21,FALSE),"")</f>
        <v/>
      </c>
      <c r="AZ19" s="230" t="str">
        <f>IFERROR(VLOOKUP(#REF!,SortedDownload!$A$3:$Z$489,22,FALSE),"")</f>
        <v/>
      </c>
      <c r="BB19">
        <v>466</v>
      </c>
      <c r="BC19" t="str">
        <f>IFERROR(VLOOKUP($BB19,OverallResults!$B$3:$Z$508,2,FALSE),"")</f>
        <v>DNF</v>
      </c>
      <c r="BD19" t="str">
        <f>IFERROR(VLOOKUP($BB19,OverallResults!$B$3:$Z$508,3,FALSE),"")</f>
        <v/>
      </c>
      <c r="BE19" t="str">
        <f>IFERROR(TEXT(VLOOKUP($BB19,OverallResults!$B$3:$Z$489,17,FALSE),"[h]:mm:ss.0"),"")</f>
        <v/>
      </c>
      <c r="BF19" s="230" t="str">
        <f>IFERROR(VLOOKUP($BD19,SortedDownload!$B$3:$Z$489,14,FALSE),"")</f>
        <v/>
      </c>
      <c r="BG19" s="230" t="str">
        <f>IFERROR(VLOOKUP($BD19,SortedDownload!$B$3:$Z$489,15,FALSE),"")</f>
        <v/>
      </c>
      <c r="BH19" s="230" t="str">
        <f>IFERROR(VLOOKUP($BD19,SortedDownload!$B$3:$Z$489,16,FALSE),"")</f>
        <v/>
      </c>
      <c r="BI19" s="230" t="str">
        <f>IFERROR(VLOOKUP($BD19,SortedDownload!$B$3:$Z$489,17,FALSE),"")</f>
        <v/>
      </c>
      <c r="BJ19" s="230" t="str">
        <f>IFERROR(VLOOKUP($BD19,SortedDownload!$B$3:$Z$489,18,FALSE),"")</f>
        <v/>
      </c>
      <c r="BK19" s="230" t="str">
        <f>IFERROR(VLOOKUP($BD19,SortedDownload!$B$3:$Z$489,19,FALSE),"")</f>
        <v/>
      </c>
      <c r="BL19" s="230" t="str">
        <f>IFERROR(VLOOKUP($BD19,SortedDownload!$B$3:$Z$489,20,FALSE),"")</f>
        <v/>
      </c>
      <c r="BM19" s="230" t="str">
        <f>IFERROR(VLOOKUP($BD19,SortedDownload!$B$3:$Z$489,21,FALSE),"")</f>
        <v/>
      </c>
    </row>
    <row r="20" spans="2:65">
      <c r="B20">
        <v>267</v>
      </c>
      <c r="C20" t="str">
        <f>IFERROR(VLOOKUP($B20,OverallResults!$B$3:$Z$508,2,FALSE),"")</f>
        <v>DNF</v>
      </c>
      <c r="D20" t="str">
        <f>IFERROR(VLOOKUP($B20,OverallResults!$B$3:$Z$508,3,FALSE),"")</f>
        <v/>
      </c>
      <c r="E20" t="str">
        <f>IFERROR(TEXT(VLOOKUP($B20,OverallResults!$B$3:$Z$489,17,FALSE),"[h]:mm:ss.0"),"")</f>
        <v/>
      </c>
      <c r="F20" s="230" t="str">
        <f>IFERROR(VLOOKUP($D20,SortedDownload!$B$3:$Z$489,14,FALSE),"")</f>
        <v/>
      </c>
      <c r="G20" s="230" t="str">
        <f>IFERROR(VLOOKUP($D20,SortedDownload!$B$3:$Z$489,15,FALSE),"")</f>
        <v/>
      </c>
      <c r="H20" s="230" t="str">
        <f>IFERROR(VLOOKUP($D20,SortedDownload!$B$3:$Z$489,16,FALSE),"")</f>
        <v/>
      </c>
      <c r="I20" s="230" t="str">
        <f>IFERROR(VLOOKUP($D20,SortedDownload!$B$3:$Z$489,17,FALSE),"")</f>
        <v/>
      </c>
      <c r="J20" s="230" t="str">
        <f>IFERROR(VLOOKUP($D20,SortedDownload!$B$3:$Z$489,18,FALSE),"")</f>
        <v/>
      </c>
      <c r="K20" s="230" t="str">
        <f>IFERROR(VLOOKUP($D20,SortedDownload!$B$3:$Z$489,19,FALSE),"")</f>
        <v/>
      </c>
      <c r="L20" s="230" t="str">
        <f>IFERROR(VLOOKUP($D20,SortedDownload!$B$3:$Z$489,20,FALSE),"")</f>
        <v/>
      </c>
      <c r="M20" s="230" t="str">
        <f>IFERROR(VLOOKUP($D20,SortedDownload!$B$3:$Z$489,21,FALSE),"")</f>
        <v/>
      </c>
      <c r="O20">
        <v>317</v>
      </c>
      <c r="P20" t="str">
        <f>IFERROR(VLOOKUP($O20,OverallResults!$B$3:$Z$508,2,FALSE),"")</f>
        <v>DNF</v>
      </c>
      <c r="Q20" t="str">
        <f>IFERROR(VLOOKUP($O20,OverallResults!$B$3:$Z$508,3,FALSE),"")</f>
        <v/>
      </c>
      <c r="R20" t="str">
        <f>IFERROR(TEXT(VLOOKUP($O20,OverallResults!$B$3:$Z$489,17,FALSE),"[h]:mm:ss.0"),"")</f>
        <v/>
      </c>
      <c r="S20" s="230" t="str">
        <f>IFERROR(VLOOKUP($Q20,SortedDownload!$B$3:$Z$489,14,FALSE),"")</f>
        <v/>
      </c>
      <c r="T20" s="230" t="str">
        <f>IFERROR(VLOOKUP($Q20,SortedDownload!$B$3:$Z$489,15,FALSE),"")</f>
        <v/>
      </c>
      <c r="U20" s="230" t="str">
        <f>IFERROR(VLOOKUP($Q20,SortedDownload!$B$3:$Z$489,16,FALSE),"")</f>
        <v/>
      </c>
      <c r="V20" s="230" t="str">
        <f>IFERROR(VLOOKUP($Q20,SortedDownload!$B$3:$Z$489,17,FALSE),"")</f>
        <v/>
      </c>
      <c r="W20" s="230" t="str">
        <f>IFERROR(VLOOKUP($Q20,SortedDownload!$B$3:$Z$489,18,FALSE),"")</f>
        <v/>
      </c>
      <c r="X20" s="230" t="str">
        <f>IFERROR(VLOOKUP($Q20,SortedDownload!$B$3:$Z$489,19,FALSE),"")</f>
        <v/>
      </c>
      <c r="Y20" s="230" t="str">
        <f>IFERROR(VLOOKUP($Q20,SortedDownload!$B$3:$Z$489,20,FALSE),"")</f>
        <v/>
      </c>
      <c r="Z20" s="230" t="str">
        <f>IFERROR(VLOOKUP($Q20,SortedDownload!$B$3:$Z$489,21,FALSE),"")</f>
        <v/>
      </c>
      <c r="AB20">
        <v>367</v>
      </c>
      <c r="AC20" t="str">
        <f>IFERROR(VLOOKUP($AB20,OverallResults!$B$3:$Z$508,2,FALSE),"")</f>
        <v>DNF</v>
      </c>
      <c r="AD20" t="str">
        <f>IFERROR(VLOOKUP($AB20,OverallResults!$B$3:$Z$508,3,FALSE),"")</f>
        <v/>
      </c>
      <c r="AE20" t="str">
        <f>IFERROR(TEXT(VLOOKUP($AB20,OverallResults!$B$3:$Z$489,17,FALSE),"[h]:mm:ss.0"),"")</f>
        <v/>
      </c>
      <c r="AF20" s="230" t="str">
        <f>IFERROR(VLOOKUP($AD20,SortedDownload!$B$3:$Z$489,14,FALSE),"")</f>
        <v/>
      </c>
      <c r="AG20" s="230" t="str">
        <f>IFERROR(VLOOKUP($AD20,SortedDownload!$B$3:$Z$489,15,FALSE),"")</f>
        <v/>
      </c>
      <c r="AH20" s="230" t="str">
        <f>IFERROR(VLOOKUP($AD20,SortedDownload!$B$3:$Z$489,16,FALSE),"")</f>
        <v/>
      </c>
      <c r="AI20" s="230" t="str">
        <f>IFERROR(VLOOKUP($AD20,SortedDownload!$B$3:$Z$489,17,FALSE),"")</f>
        <v/>
      </c>
      <c r="AJ20" s="230" t="str">
        <f>IFERROR(VLOOKUP($AD20,SortedDownload!$B$3:$Z$489,18,FALSE),"")</f>
        <v/>
      </c>
      <c r="AK20" s="230" t="str">
        <f>IFERROR(VLOOKUP($AD20,SortedDownload!$B$3:$Z$489,19,FALSE),"")</f>
        <v/>
      </c>
      <c r="AL20" s="230" t="str">
        <f>IFERROR(VLOOKUP($AD20,SortedDownload!$B$3:$Z$489,20,FALSE),"")</f>
        <v/>
      </c>
      <c r="AM20" s="230" t="str">
        <f>IFERROR(VLOOKUP($AD20,SortedDownload!$B$3:$Z$489,21,FALSE),"")</f>
        <v/>
      </c>
      <c r="AO20">
        <v>417</v>
      </c>
      <c r="AP20" t="str">
        <f>IFERROR(VLOOKUP(#REF!,OverallResults!$A$3:$Z$489,3,FALSE),"")</f>
        <v/>
      </c>
      <c r="AQ20" t="str">
        <f>IFERROR(VLOOKUP(#REF!,EntryList!$A$3:$Z$291,26,FALSE),"")</f>
        <v/>
      </c>
      <c r="AR20" t="str">
        <f>IFERROR(TEXT(VLOOKUP(#REF!,SortedDownload!$A$3:$Z$489,14,FALSE),"[h]:mm:ss.0"),"")</f>
        <v/>
      </c>
      <c r="AS20" s="230" t="str">
        <f>IFERROR(VLOOKUP(#REF!,SortedDownload!$A$3:$Z$489,15,FALSE),"")</f>
        <v/>
      </c>
      <c r="AT20" s="230" t="str">
        <f>IFERROR(VLOOKUP(#REF!,SortedDownload!$A$3:$Z$489,16,FALSE),"")</f>
        <v/>
      </c>
      <c r="AU20" s="230" t="str">
        <f>IFERROR(VLOOKUP(#REF!,SortedDownload!$A$3:$Z$489,17,FALSE),"")</f>
        <v/>
      </c>
      <c r="AV20" s="230" t="str">
        <f>IFERROR(VLOOKUP(#REF!,SortedDownload!$A$3:$Z$489,18,FALSE),"")</f>
        <v/>
      </c>
      <c r="AW20" s="230" t="str">
        <f>IFERROR(VLOOKUP(#REF!,SortedDownload!$A$3:$Z$489,19,FALSE),"")</f>
        <v/>
      </c>
      <c r="AX20" s="230" t="str">
        <f>IFERROR(VLOOKUP(#REF!,SortedDownload!$A$3:$Z$489,20,FALSE),"")</f>
        <v/>
      </c>
      <c r="AY20" s="230" t="str">
        <f>IFERROR(VLOOKUP(#REF!,SortedDownload!$A$3:$Z$489,21,FALSE),"")</f>
        <v/>
      </c>
      <c r="AZ20" s="230" t="str">
        <f>IFERROR(VLOOKUP(#REF!,SortedDownload!$A$3:$Z$489,22,FALSE),"")</f>
        <v/>
      </c>
      <c r="BB20">
        <v>467</v>
      </c>
      <c r="BC20" t="str">
        <f>IFERROR(VLOOKUP($BB20,OverallResults!$B$3:$Z$508,2,FALSE),"")</f>
        <v>DNF</v>
      </c>
      <c r="BD20" t="str">
        <f>IFERROR(VLOOKUP($BB20,OverallResults!$B$3:$Z$508,3,FALSE),"")</f>
        <v/>
      </c>
      <c r="BE20" t="str">
        <f>IFERROR(TEXT(VLOOKUP($BB20,OverallResults!$B$3:$Z$489,17,FALSE),"[h]:mm:ss.0"),"")</f>
        <v/>
      </c>
      <c r="BF20" s="230" t="str">
        <f>IFERROR(VLOOKUP($BD20,SortedDownload!$B$3:$Z$489,14,FALSE),"")</f>
        <v/>
      </c>
      <c r="BG20" s="230" t="str">
        <f>IFERROR(VLOOKUP($BD20,SortedDownload!$B$3:$Z$489,15,FALSE),"")</f>
        <v/>
      </c>
      <c r="BH20" s="230" t="str">
        <f>IFERROR(VLOOKUP($BD20,SortedDownload!$B$3:$Z$489,16,FALSE),"")</f>
        <v/>
      </c>
      <c r="BI20" s="230" t="str">
        <f>IFERROR(VLOOKUP($BD20,SortedDownload!$B$3:$Z$489,17,FALSE),"")</f>
        <v/>
      </c>
      <c r="BJ20" s="230" t="str">
        <f>IFERROR(VLOOKUP($BD20,SortedDownload!$B$3:$Z$489,18,FALSE),"")</f>
        <v/>
      </c>
      <c r="BK20" s="230" t="str">
        <f>IFERROR(VLOOKUP($BD20,SortedDownload!$B$3:$Z$489,19,FALSE),"")</f>
        <v/>
      </c>
      <c r="BL20" s="230" t="str">
        <f>IFERROR(VLOOKUP($BD20,SortedDownload!$B$3:$Z$489,20,FALSE),"")</f>
        <v/>
      </c>
      <c r="BM20" s="230" t="str">
        <f>IFERROR(VLOOKUP($BD20,SortedDownload!$B$3:$Z$489,21,FALSE),"")</f>
        <v/>
      </c>
    </row>
    <row r="21" spans="2:65">
      <c r="B21">
        <v>268</v>
      </c>
      <c r="C21" t="str">
        <f>IFERROR(VLOOKUP($B21,OverallResults!$B$3:$Z$508,2,FALSE),"")</f>
        <v>DNF</v>
      </c>
      <c r="D21" t="str">
        <f>IFERROR(VLOOKUP($B21,OverallResults!$B$3:$Z$508,3,FALSE),"")</f>
        <v/>
      </c>
      <c r="E21" t="str">
        <f>IFERROR(TEXT(VLOOKUP($B21,OverallResults!$B$3:$Z$489,17,FALSE),"[h]:mm:ss.0"),"")</f>
        <v/>
      </c>
      <c r="F21" s="230" t="str">
        <f>IFERROR(VLOOKUP($D21,SortedDownload!$B$3:$Z$489,14,FALSE),"")</f>
        <v/>
      </c>
      <c r="G21" s="230" t="str">
        <f>IFERROR(VLOOKUP($D21,SortedDownload!$B$3:$Z$489,15,FALSE),"")</f>
        <v/>
      </c>
      <c r="H21" s="230" t="str">
        <f>IFERROR(VLOOKUP($D21,SortedDownload!$B$3:$Z$489,16,FALSE),"")</f>
        <v/>
      </c>
      <c r="I21" s="230" t="str">
        <f>IFERROR(VLOOKUP($D21,SortedDownload!$B$3:$Z$489,17,FALSE),"")</f>
        <v/>
      </c>
      <c r="J21" s="230" t="str">
        <f>IFERROR(VLOOKUP($D21,SortedDownload!$B$3:$Z$489,18,FALSE),"")</f>
        <v/>
      </c>
      <c r="K21" s="230" t="str">
        <f>IFERROR(VLOOKUP($D21,SortedDownload!$B$3:$Z$489,19,FALSE),"")</f>
        <v/>
      </c>
      <c r="L21" s="230" t="str">
        <f>IFERROR(VLOOKUP($D21,SortedDownload!$B$3:$Z$489,20,FALSE),"")</f>
        <v/>
      </c>
      <c r="M21" s="230" t="str">
        <f>IFERROR(VLOOKUP($D21,SortedDownload!$B$3:$Z$489,21,FALSE),"")</f>
        <v/>
      </c>
      <c r="O21">
        <v>318</v>
      </c>
      <c r="P21" t="str">
        <f>IFERROR(VLOOKUP($O21,OverallResults!$B$3:$Z$508,2,FALSE),"")</f>
        <v>DNF</v>
      </c>
      <c r="Q21" t="str">
        <f>IFERROR(VLOOKUP($O21,OverallResults!$B$3:$Z$508,3,FALSE),"")</f>
        <v/>
      </c>
      <c r="R21" t="str">
        <f>IFERROR(TEXT(VLOOKUP($O21,OverallResults!$B$3:$Z$489,17,FALSE),"[h]:mm:ss.0"),"")</f>
        <v/>
      </c>
      <c r="S21" s="230" t="str">
        <f>IFERROR(VLOOKUP($Q21,SortedDownload!$B$3:$Z$489,14,FALSE),"")</f>
        <v/>
      </c>
      <c r="T21" s="230" t="str">
        <f>IFERROR(VLOOKUP($Q21,SortedDownload!$B$3:$Z$489,15,FALSE),"")</f>
        <v/>
      </c>
      <c r="U21" s="230" t="str">
        <f>IFERROR(VLOOKUP($Q21,SortedDownload!$B$3:$Z$489,16,FALSE),"")</f>
        <v/>
      </c>
      <c r="V21" s="230" t="str">
        <f>IFERROR(VLOOKUP($Q21,SortedDownload!$B$3:$Z$489,17,FALSE),"")</f>
        <v/>
      </c>
      <c r="W21" s="230" t="str">
        <f>IFERROR(VLOOKUP($Q21,SortedDownload!$B$3:$Z$489,18,FALSE),"")</f>
        <v/>
      </c>
      <c r="X21" s="230" t="str">
        <f>IFERROR(VLOOKUP($Q21,SortedDownload!$B$3:$Z$489,19,FALSE),"")</f>
        <v/>
      </c>
      <c r="Y21" s="230" t="str">
        <f>IFERROR(VLOOKUP($Q21,SortedDownload!$B$3:$Z$489,20,FALSE),"")</f>
        <v/>
      </c>
      <c r="Z21" s="230" t="str">
        <f>IFERROR(VLOOKUP($Q21,SortedDownload!$B$3:$Z$489,21,FALSE),"")</f>
        <v/>
      </c>
      <c r="AB21">
        <v>368</v>
      </c>
      <c r="AC21" t="str">
        <f>IFERROR(VLOOKUP($AB21,OverallResults!$B$3:$Z$508,2,FALSE),"")</f>
        <v>DNF</v>
      </c>
      <c r="AD21" t="str">
        <f>IFERROR(VLOOKUP($AB21,OverallResults!$B$3:$Z$508,3,FALSE),"")</f>
        <v/>
      </c>
      <c r="AE21" t="str">
        <f>IFERROR(TEXT(VLOOKUP($AB21,OverallResults!$B$3:$Z$489,17,FALSE),"[h]:mm:ss.0"),"")</f>
        <v/>
      </c>
      <c r="AF21" s="230" t="str">
        <f>IFERROR(VLOOKUP($AD21,SortedDownload!$B$3:$Z$489,14,FALSE),"")</f>
        <v/>
      </c>
      <c r="AG21" s="230" t="str">
        <f>IFERROR(VLOOKUP($AD21,SortedDownload!$B$3:$Z$489,15,FALSE),"")</f>
        <v/>
      </c>
      <c r="AH21" s="230" t="str">
        <f>IFERROR(VLOOKUP($AD21,SortedDownload!$B$3:$Z$489,16,FALSE),"")</f>
        <v/>
      </c>
      <c r="AI21" s="230" t="str">
        <f>IFERROR(VLOOKUP($AD21,SortedDownload!$B$3:$Z$489,17,FALSE),"")</f>
        <v/>
      </c>
      <c r="AJ21" s="230" t="str">
        <f>IFERROR(VLOOKUP($AD21,SortedDownload!$B$3:$Z$489,18,FALSE),"")</f>
        <v/>
      </c>
      <c r="AK21" s="230" t="str">
        <f>IFERROR(VLOOKUP($AD21,SortedDownload!$B$3:$Z$489,19,FALSE),"")</f>
        <v/>
      </c>
      <c r="AL21" s="230" t="str">
        <f>IFERROR(VLOOKUP($AD21,SortedDownload!$B$3:$Z$489,20,FALSE),"")</f>
        <v/>
      </c>
      <c r="AM21" s="230" t="str">
        <f>IFERROR(VLOOKUP($AD21,SortedDownload!$B$3:$Z$489,21,FALSE),"")</f>
        <v/>
      </c>
      <c r="AO21">
        <v>418</v>
      </c>
      <c r="AP21" t="str">
        <f>IFERROR(VLOOKUP(#REF!,OverallResults!$A$3:$Z$489,3,FALSE),"")</f>
        <v/>
      </c>
      <c r="AQ21" t="str">
        <f>IFERROR(VLOOKUP(#REF!,EntryList!$A$3:$Z$291,26,FALSE),"")</f>
        <v/>
      </c>
      <c r="AR21" t="str">
        <f>IFERROR(TEXT(VLOOKUP(#REF!,SortedDownload!$A$3:$Z$489,14,FALSE),"[h]:mm:ss.0"),"")</f>
        <v/>
      </c>
      <c r="AS21" s="230" t="str">
        <f>IFERROR(VLOOKUP(#REF!,SortedDownload!$A$3:$Z$489,15,FALSE),"")</f>
        <v/>
      </c>
      <c r="AT21" s="230" t="str">
        <f>IFERROR(VLOOKUP(#REF!,SortedDownload!$A$3:$Z$489,16,FALSE),"")</f>
        <v/>
      </c>
      <c r="AU21" s="230" t="str">
        <f>IFERROR(VLOOKUP(#REF!,SortedDownload!$A$3:$Z$489,17,FALSE),"")</f>
        <v/>
      </c>
      <c r="AV21" s="230" t="str">
        <f>IFERROR(VLOOKUP(#REF!,SortedDownload!$A$3:$Z$489,18,FALSE),"")</f>
        <v/>
      </c>
      <c r="AW21" s="230" t="str">
        <f>IFERROR(VLOOKUP(#REF!,SortedDownload!$A$3:$Z$489,19,FALSE),"")</f>
        <v/>
      </c>
      <c r="AX21" s="230" t="str">
        <f>IFERROR(VLOOKUP(#REF!,SortedDownload!$A$3:$Z$489,20,FALSE),"")</f>
        <v/>
      </c>
      <c r="AY21" s="230" t="str">
        <f>IFERROR(VLOOKUP(#REF!,SortedDownload!$A$3:$Z$489,21,FALSE),"")</f>
        <v/>
      </c>
      <c r="AZ21" s="230" t="str">
        <f>IFERROR(VLOOKUP(#REF!,SortedDownload!$A$3:$Z$489,22,FALSE),"")</f>
        <v/>
      </c>
      <c r="BB21">
        <v>468</v>
      </c>
      <c r="BC21" t="str">
        <f>IFERROR(VLOOKUP($BB21,OverallResults!$B$3:$Z$508,2,FALSE),"")</f>
        <v>DNF</v>
      </c>
      <c r="BD21" t="str">
        <f>IFERROR(VLOOKUP($BB21,OverallResults!$B$3:$Z$508,3,FALSE),"")</f>
        <v/>
      </c>
      <c r="BE21" t="str">
        <f>IFERROR(TEXT(VLOOKUP($BB21,OverallResults!$B$3:$Z$489,17,FALSE),"[h]:mm:ss.0"),"")</f>
        <v/>
      </c>
      <c r="BF21" s="230" t="str">
        <f>IFERROR(VLOOKUP($BD21,SortedDownload!$B$3:$Z$489,14,FALSE),"")</f>
        <v/>
      </c>
      <c r="BG21" s="230" t="str">
        <f>IFERROR(VLOOKUP($BD21,SortedDownload!$B$3:$Z$489,15,FALSE),"")</f>
        <v/>
      </c>
      <c r="BH21" s="230" t="str">
        <f>IFERROR(VLOOKUP($BD21,SortedDownload!$B$3:$Z$489,16,FALSE),"")</f>
        <v/>
      </c>
      <c r="BI21" s="230" t="str">
        <f>IFERROR(VLOOKUP($BD21,SortedDownload!$B$3:$Z$489,17,FALSE),"")</f>
        <v/>
      </c>
      <c r="BJ21" s="230" t="str">
        <f>IFERROR(VLOOKUP($BD21,SortedDownload!$B$3:$Z$489,18,FALSE),"")</f>
        <v/>
      </c>
      <c r="BK21" s="230" t="str">
        <f>IFERROR(VLOOKUP($BD21,SortedDownload!$B$3:$Z$489,19,FALSE),"")</f>
        <v/>
      </c>
      <c r="BL21" s="230" t="str">
        <f>IFERROR(VLOOKUP($BD21,SortedDownload!$B$3:$Z$489,20,FALSE),"")</f>
        <v/>
      </c>
      <c r="BM21" s="230" t="str">
        <f>IFERROR(VLOOKUP($BD21,SortedDownload!$B$3:$Z$489,21,FALSE),"")</f>
        <v/>
      </c>
    </row>
    <row r="22" spans="2:65">
      <c r="B22">
        <v>269</v>
      </c>
      <c r="C22" t="str">
        <f>IFERROR(VLOOKUP($B22,OverallResults!$B$3:$Z$508,2,FALSE),"")</f>
        <v>DNF</v>
      </c>
      <c r="D22" t="str">
        <f>IFERROR(VLOOKUP($B22,OverallResults!$B$3:$Z$508,3,FALSE),"")</f>
        <v/>
      </c>
      <c r="E22" t="str">
        <f>IFERROR(TEXT(VLOOKUP($B22,OverallResults!$B$3:$Z$489,17,FALSE),"[h]:mm:ss.0"),"")</f>
        <v/>
      </c>
      <c r="F22" s="230" t="str">
        <f>IFERROR(VLOOKUP($D22,SortedDownload!$B$3:$Z$489,14,FALSE),"")</f>
        <v/>
      </c>
      <c r="G22" s="230" t="str">
        <f>IFERROR(VLOOKUP($D22,SortedDownload!$B$3:$Z$489,15,FALSE),"")</f>
        <v/>
      </c>
      <c r="H22" s="230" t="str">
        <f>IFERROR(VLOOKUP($D22,SortedDownload!$B$3:$Z$489,16,FALSE),"")</f>
        <v/>
      </c>
      <c r="I22" s="230" t="str">
        <f>IFERROR(VLOOKUP($D22,SortedDownload!$B$3:$Z$489,17,FALSE),"")</f>
        <v/>
      </c>
      <c r="J22" s="230" t="str">
        <f>IFERROR(VLOOKUP($D22,SortedDownload!$B$3:$Z$489,18,FALSE),"")</f>
        <v/>
      </c>
      <c r="K22" s="230" t="str">
        <f>IFERROR(VLOOKUP($D22,SortedDownload!$B$3:$Z$489,19,FALSE),"")</f>
        <v/>
      </c>
      <c r="L22" s="230" t="str">
        <f>IFERROR(VLOOKUP($D22,SortedDownload!$B$3:$Z$489,20,FALSE),"")</f>
        <v/>
      </c>
      <c r="M22" s="230" t="str">
        <f>IFERROR(VLOOKUP($D22,SortedDownload!$B$3:$Z$489,21,FALSE),"")</f>
        <v/>
      </c>
      <c r="O22">
        <v>319</v>
      </c>
      <c r="P22" t="str">
        <f>IFERROR(VLOOKUP($O22,OverallResults!$B$3:$Z$508,2,FALSE),"")</f>
        <v>DNF</v>
      </c>
      <c r="Q22" t="str">
        <f>IFERROR(VLOOKUP($O22,OverallResults!$B$3:$Z$508,3,FALSE),"")</f>
        <v/>
      </c>
      <c r="R22" t="str">
        <f>IFERROR(TEXT(VLOOKUP($O22,OverallResults!$B$3:$Z$489,17,FALSE),"[h]:mm:ss.0"),"")</f>
        <v/>
      </c>
      <c r="S22" s="230" t="str">
        <f>IFERROR(VLOOKUP($Q22,SortedDownload!$B$3:$Z$489,14,FALSE),"")</f>
        <v/>
      </c>
      <c r="T22" s="230" t="str">
        <f>IFERROR(VLOOKUP($Q22,SortedDownload!$B$3:$Z$489,15,FALSE),"")</f>
        <v/>
      </c>
      <c r="U22" s="230" t="str">
        <f>IFERROR(VLOOKUP($Q22,SortedDownload!$B$3:$Z$489,16,FALSE),"")</f>
        <v/>
      </c>
      <c r="V22" s="230" t="str">
        <f>IFERROR(VLOOKUP($Q22,SortedDownload!$B$3:$Z$489,17,FALSE),"")</f>
        <v/>
      </c>
      <c r="W22" s="230" t="str">
        <f>IFERROR(VLOOKUP($Q22,SortedDownload!$B$3:$Z$489,18,FALSE),"")</f>
        <v/>
      </c>
      <c r="X22" s="230" t="str">
        <f>IFERROR(VLOOKUP($Q22,SortedDownload!$B$3:$Z$489,19,FALSE),"")</f>
        <v/>
      </c>
      <c r="Y22" s="230" t="str">
        <f>IFERROR(VLOOKUP($Q22,SortedDownload!$B$3:$Z$489,20,FALSE),"")</f>
        <v/>
      </c>
      <c r="Z22" s="230" t="str">
        <f>IFERROR(VLOOKUP($Q22,SortedDownload!$B$3:$Z$489,21,FALSE),"")</f>
        <v/>
      </c>
      <c r="AB22">
        <v>369</v>
      </c>
      <c r="AC22" t="str">
        <f>IFERROR(VLOOKUP($AB22,OverallResults!$B$3:$Z$508,2,FALSE),"")</f>
        <v>DNF</v>
      </c>
      <c r="AD22" t="str">
        <f>IFERROR(VLOOKUP($AB22,OverallResults!$B$3:$Z$508,3,FALSE),"")</f>
        <v/>
      </c>
      <c r="AE22" t="str">
        <f>IFERROR(TEXT(VLOOKUP($AB22,OverallResults!$B$3:$Z$489,17,FALSE),"[h]:mm:ss.0"),"")</f>
        <v/>
      </c>
      <c r="AF22" s="230" t="str">
        <f>IFERROR(VLOOKUP($AD22,SortedDownload!$B$3:$Z$489,14,FALSE),"")</f>
        <v/>
      </c>
      <c r="AG22" s="230" t="str">
        <f>IFERROR(VLOOKUP($AD22,SortedDownload!$B$3:$Z$489,15,FALSE),"")</f>
        <v/>
      </c>
      <c r="AH22" s="230" t="str">
        <f>IFERROR(VLOOKUP($AD22,SortedDownload!$B$3:$Z$489,16,FALSE),"")</f>
        <v/>
      </c>
      <c r="AI22" s="230" t="str">
        <f>IFERROR(VLOOKUP($AD22,SortedDownload!$B$3:$Z$489,17,FALSE),"")</f>
        <v/>
      </c>
      <c r="AJ22" s="230" t="str">
        <f>IFERROR(VLOOKUP($AD22,SortedDownload!$B$3:$Z$489,18,FALSE),"")</f>
        <v/>
      </c>
      <c r="AK22" s="230" t="str">
        <f>IFERROR(VLOOKUP($AD22,SortedDownload!$B$3:$Z$489,19,FALSE),"")</f>
        <v/>
      </c>
      <c r="AL22" s="230" t="str">
        <f>IFERROR(VLOOKUP($AD22,SortedDownload!$B$3:$Z$489,20,FALSE),"")</f>
        <v/>
      </c>
      <c r="AM22" s="230" t="str">
        <f>IFERROR(VLOOKUP($AD22,SortedDownload!$B$3:$Z$489,21,FALSE),"")</f>
        <v/>
      </c>
      <c r="AO22">
        <v>419</v>
      </c>
      <c r="AP22" t="str">
        <f>IFERROR(VLOOKUP(#REF!,OverallResults!$A$3:$Z$489,3,FALSE),"")</f>
        <v/>
      </c>
      <c r="AQ22" t="str">
        <f>IFERROR(VLOOKUP(#REF!,EntryList!$A$3:$Z$291,26,FALSE),"")</f>
        <v/>
      </c>
      <c r="AR22" t="str">
        <f>IFERROR(TEXT(VLOOKUP(#REF!,SortedDownload!$A$3:$Z$489,14,FALSE),"[h]:mm:ss.0"),"")</f>
        <v/>
      </c>
      <c r="AS22" s="230" t="str">
        <f>IFERROR(VLOOKUP(#REF!,SortedDownload!$A$3:$Z$489,15,FALSE),"")</f>
        <v/>
      </c>
      <c r="AT22" s="230" t="str">
        <f>IFERROR(VLOOKUP(#REF!,SortedDownload!$A$3:$Z$489,16,FALSE),"")</f>
        <v/>
      </c>
      <c r="AU22" s="230" t="str">
        <f>IFERROR(VLOOKUP(#REF!,SortedDownload!$A$3:$Z$489,17,FALSE),"")</f>
        <v/>
      </c>
      <c r="AV22" s="230" t="str">
        <f>IFERROR(VLOOKUP(#REF!,SortedDownload!$A$3:$Z$489,18,FALSE),"")</f>
        <v/>
      </c>
      <c r="AW22" s="230" t="str">
        <f>IFERROR(VLOOKUP(#REF!,SortedDownload!$A$3:$Z$489,19,FALSE),"")</f>
        <v/>
      </c>
      <c r="AX22" s="230" t="str">
        <f>IFERROR(VLOOKUP(#REF!,SortedDownload!$A$3:$Z$489,20,FALSE),"")</f>
        <v/>
      </c>
      <c r="AY22" s="230" t="str">
        <f>IFERROR(VLOOKUP(#REF!,SortedDownload!$A$3:$Z$489,21,FALSE),"")</f>
        <v/>
      </c>
      <c r="AZ22" s="230" t="str">
        <f>IFERROR(VLOOKUP(#REF!,SortedDownload!$A$3:$Z$489,22,FALSE),"")</f>
        <v/>
      </c>
      <c r="BB22">
        <v>469</v>
      </c>
      <c r="BC22" t="str">
        <f>IFERROR(VLOOKUP($BB22,OverallResults!$B$3:$Z$508,2,FALSE),"")</f>
        <v>DNF</v>
      </c>
      <c r="BD22" t="str">
        <f>IFERROR(VLOOKUP($BB22,OverallResults!$B$3:$Z$508,3,FALSE),"")</f>
        <v/>
      </c>
      <c r="BE22" t="str">
        <f>IFERROR(TEXT(VLOOKUP($BB22,OverallResults!$B$3:$Z$489,17,FALSE),"[h]:mm:ss.0"),"")</f>
        <v/>
      </c>
      <c r="BF22" s="230" t="str">
        <f>IFERROR(VLOOKUP($BD22,SortedDownload!$B$3:$Z$489,14,FALSE),"")</f>
        <v/>
      </c>
      <c r="BG22" s="230" t="str">
        <f>IFERROR(VLOOKUP($BD22,SortedDownload!$B$3:$Z$489,15,FALSE),"")</f>
        <v/>
      </c>
      <c r="BH22" s="230" t="str">
        <f>IFERROR(VLOOKUP($BD22,SortedDownload!$B$3:$Z$489,16,FALSE),"")</f>
        <v/>
      </c>
      <c r="BI22" s="230" t="str">
        <f>IFERROR(VLOOKUP($BD22,SortedDownload!$B$3:$Z$489,17,FALSE),"")</f>
        <v/>
      </c>
      <c r="BJ22" s="230" t="str">
        <f>IFERROR(VLOOKUP($BD22,SortedDownload!$B$3:$Z$489,18,FALSE),"")</f>
        <v/>
      </c>
      <c r="BK22" s="230" t="str">
        <f>IFERROR(VLOOKUP($BD22,SortedDownload!$B$3:$Z$489,19,FALSE),"")</f>
        <v/>
      </c>
      <c r="BL22" s="230" t="str">
        <f>IFERROR(VLOOKUP($BD22,SortedDownload!$B$3:$Z$489,20,FALSE),"")</f>
        <v/>
      </c>
      <c r="BM22" s="230" t="str">
        <f>IFERROR(VLOOKUP($BD22,SortedDownload!$B$3:$Z$489,21,FALSE),"")</f>
        <v/>
      </c>
    </row>
    <row r="23" spans="2:65">
      <c r="B23">
        <v>270</v>
      </c>
      <c r="C23" t="str">
        <f>IFERROR(VLOOKUP($B23,OverallResults!$B$3:$Z$508,2,FALSE),"")</f>
        <v>DNF</v>
      </c>
      <c r="D23" t="str">
        <f>IFERROR(VLOOKUP($B23,OverallResults!$B$3:$Z$508,3,FALSE),"")</f>
        <v/>
      </c>
      <c r="E23" t="str">
        <f>IFERROR(TEXT(VLOOKUP($B23,OverallResults!$B$3:$Z$489,17,FALSE),"[h]:mm:ss.0"),"")</f>
        <v/>
      </c>
      <c r="F23" s="230" t="str">
        <f>IFERROR(VLOOKUP($D23,SortedDownload!$B$3:$Z$489,14,FALSE),"")</f>
        <v/>
      </c>
      <c r="G23" s="230" t="str">
        <f>IFERROR(VLOOKUP($D23,SortedDownload!$B$3:$Z$489,15,FALSE),"")</f>
        <v/>
      </c>
      <c r="H23" s="230" t="str">
        <f>IFERROR(VLOOKUP($D23,SortedDownload!$B$3:$Z$489,16,FALSE),"")</f>
        <v/>
      </c>
      <c r="I23" s="230" t="str">
        <f>IFERROR(VLOOKUP($D23,SortedDownload!$B$3:$Z$489,17,FALSE),"")</f>
        <v/>
      </c>
      <c r="J23" s="230" t="str">
        <f>IFERROR(VLOOKUP($D23,SortedDownload!$B$3:$Z$489,18,FALSE),"")</f>
        <v/>
      </c>
      <c r="K23" s="230" t="str">
        <f>IFERROR(VLOOKUP($D23,SortedDownload!$B$3:$Z$489,19,FALSE),"")</f>
        <v/>
      </c>
      <c r="L23" s="230" t="str">
        <f>IFERROR(VLOOKUP($D23,SortedDownload!$B$3:$Z$489,20,FALSE),"")</f>
        <v/>
      </c>
      <c r="M23" s="230" t="str">
        <f>IFERROR(VLOOKUP($D23,SortedDownload!$B$3:$Z$489,21,FALSE),"")</f>
        <v/>
      </c>
      <c r="O23">
        <v>320</v>
      </c>
      <c r="P23" t="str">
        <f>IFERROR(VLOOKUP($O23,OverallResults!$B$3:$Z$508,2,FALSE),"")</f>
        <v>DNF</v>
      </c>
      <c r="Q23" t="str">
        <f>IFERROR(VLOOKUP($O23,OverallResults!$B$3:$Z$508,3,FALSE),"")</f>
        <v/>
      </c>
      <c r="R23" t="str">
        <f>IFERROR(TEXT(VLOOKUP($O23,OverallResults!$B$3:$Z$489,17,FALSE),"[h]:mm:ss.0"),"")</f>
        <v/>
      </c>
      <c r="S23" s="230" t="str">
        <f>IFERROR(VLOOKUP($Q23,SortedDownload!$B$3:$Z$489,14,FALSE),"")</f>
        <v/>
      </c>
      <c r="T23" s="230" t="str">
        <f>IFERROR(VLOOKUP($Q23,SortedDownload!$B$3:$Z$489,15,FALSE),"")</f>
        <v/>
      </c>
      <c r="U23" s="230" t="str">
        <f>IFERROR(VLOOKUP($Q23,SortedDownload!$B$3:$Z$489,16,FALSE),"")</f>
        <v/>
      </c>
      <c r="V23" s="230" t="str">
        <f>IFERROR(VLOOKUP($Q23,SortedDownload!$B$3:$Z$489,17,FALSE),"")</f>
        <v/>
      </c>
      <c r="W23" s="230" t="str">
        <f>IFERROR(VLOOKUP($Q23,SortedDownload!$B$3:$Z$489,18,FALSE),"")</f>
        <v/>
      </c>
      <c r="X23" s="230" t="str">
        <f>IFERROR(VLOOKUP($Q23,SortedDownload!$B$3:$Z$489,19,FALSE),"")</f>
        <v/>
      </c>
      <c r="Y23" s="230" t="str">
        <f>IFERROR(VLOOKUP($Q23,SortedDownload!$B$3:$Z$489,20,FALSE),"")</f>
        <v/>
      </c>
      <c r="Z23" s="230" t="str">
        <f>IFERROR(VLOOKUP($Q23,SortedDownload!$B$3:$Z$489,21,FALSE),"")</f>
        <v/>
      </c>
      <c r="AB23">
        <v>370</v>
      </c>
      <c r="AC23" t="str">
        <f>IFERROR(VLOOKUP($AB23,OverallResults!$B$3:$Z$508,2,FALSE),"")</f>
        <v>DNF</v>
      </c>
      <c r="AD23" t="str">
        <f>IFERROR(VLOOKUP($AB23,OverallResults!$B$3:$Z$508,3,FALSE),"")</f>
        <v/>
      </c>
      <c r="AE23" t="str">
        <f>IFERROR(TEXT(VLOOKUP($AB23,OverallResults!$B$3:$Z$489,17,FALSE),"[h]:mm:ss.0"),"")</f>
        <v/>
      </c>
      <c r="AF23" s="230" t="str">
        <f>IFERROR(VLOOKUP($AD23,SortedDownload!$B$3:$Z$489,14,FALSE),"")</f>
        <v/>
      </c>
      <c r="AG23" s="230" t="str">
        <f>IFERROR(VLOOKUP($AD23,SortedDownload!$B$3:$Z$489,15,FALSE),"")</f>
        <v/>
      </c>
      <c r="AH23" s="230" t="str">
        <f>IFERROR(VLOOKUP($AD23,SortedDownload!$B$3:$Z$489,16,FALSE),"")</f>
        <v/>
      </c>
      <c r="AI23" s="230" t="str">
        <f>IFERROR(VLOOKUP($AD23,SortedDownload!$B$3:$Z$489,17,FALSE),"")</f>
        <v/>
      </c>
      <c r="AJ23" s="230" t="str">
        <f>IFERROR(VLOOKUP($AD23,SortedDownload!$B$3:$Z$489,18,FALSE),"")</f>
        <v/>
      </c>
      <c r="AK23" s="230" t="str">
        <f>IFERROR(VLOOKUP($AD23,SortedDownload!$B$3:$Z$489,19,FALSE),"")</f>
        <v/>
      </c>
      <c r="AL23" s="230" t="str">
        <f>IFERROR(VLOOKUP($AD23,SortedDownload!$B$3:$Z$489,20,FALSE),"")</f>
        <v/>
      </c>
      <c r="AM23" s="230" t="str">
        <f>IFERROR(VLOOKUP($AD23,SortedDownload!$B$3:$Z$489,21,FALSE),"")</f>
        <v/>
      </c>
      <c r="AO23">
        <v>420</v>
      </c>
      <c r="AP23" t="str">
        <f>IFERROR(VLOOKUP(#REF!,OverallResults!$A$3:$Z$489,3,FALSE),"")</f>
        <v/>
      </c>
      <c r="AQ23" t="str">
        <f>IFERROR(VLOOKUP(#REF!,EntryList!$A$3:$Z$291,26,FALSE),"")</f>
        <v/>
      </c>
      <c r="AR23" t="str">
        <f>IFERROR(TEXT(VLOOKUP(#REF!,SortedDownload!$A$3:$Z$489,14,FALSE),"[h]:mm:ss.0"),"")</f>
        <v/>
      </c>
      <c r="AS23" s="230" t="str">
        <f>IFERROR(VLOOKUP(#REF!,SortedDownload!$A$3:$Z$489,15,FALSE),"")</f>
        <v/>
      </c>
      <c r="AT23" s="230" t="str">
        <f>IFERROR(VLOOKUP(#REF!,SortedDownload!$A$3:$Z$489,16,FALSE),"")</f>
        <v/>
      </c>
      <c r="AU23" s="230" t="str">
        <f>IFERROR(VLOOKUP(#REF!,SortedDownload!$A$3:$Z$489,17,FALSE),"")</f>
        <v/>
      </c>
      <c r="AV23" s="230" t="str">
        <f>IFERROR(VLOOKUP(#REF!,SortedDownload!$A$3:$Z$489,18,FALSE),"")</f>
        <v/>
      </c>
      <c r="AW23" s="230" t="str">
        <f>IFERROR(VLOOKUP(#REF!,SortedDownload!$A$3:$Z$489,19,FALSE),"")</f>
        <v/>
      </c>
      <c r="AX23" s="230" t="str">
        <f>IFERROR(VLOOKUP(#REF!,SortedDownload!$A$3:$Z$489,20,FALSE),"")</f>
        <v/>
      </c>
      <c r="AY23" s="230" t="str">
        <f>IFERROR(VLOOKUP(#REF!,SortedDownload!$A$3:$Z$489,21,FALSE),"")</f>
        <v/>
      </c>
      <c r="AZ23" s="230" t="str">
        <f>IFERROR(VLOOKUP(#REF!,SortedDownload!$A$3:$Z$489,22,FALSE),"")</f>
        <v/>
      </c>
      <c r="BB23">
        <v>470</v>
      </c>
      <c r="BC23" t="str">
        <f>IFERROR(VLOOKUP($BB23,OverallResults!$B$3:$Z$508,2,FALSE),"")</f>
        <v>DNF</v>
      </c>
      <c r="BD23" t="str">
        <f>IFERROR(VLOOKUP($BB23,OverallResults!$B$3:$Z$508,3,FALSE),"")</f>
        <v/>
      </c>
      <c r="BE23" t="str">
        <f>IFERROR(TEXT(VLOOKUP($BB23,OverallResults!$B$3:$Z$489,17,FALSE),"[h]:mm:ss.0"),"")</f>
        <v/>
      </c>
      <c r="BF23" s="230" t="str">
        <f>IFERROR(VLOOKUP($BD23,SortedDownload!$B$3:$Z$489,14,FALSE),"")</f>
        <v/>
      </c>
      <c r="BG23" s="230" t="str">
        <f>IFERROR(VLOOKUP($BD23,SortedDownload!$B$3:$Z$489,15,FALSE),"")</f>
        <v/>
      </c>
      <c r="BH23" s="230" t="str">
        <f>IFERROR(VLOOKUP($BD23,SortedDownload!$B$3:$Z$489,16,FALSE),"")</f>
        <v/>
      </c>
      <c r="BI23" s="230" t="str">
        <f>IFERROR(VLOOKUP($BD23,SortedDownload!$B$3:$Z$489,17,FALSE),"")</f>
        <v/>
      </c>
      <c r="BJ23" s="230" t="str">
        <f>IFERROR(VLOOKUP($BD23,SortedDownload!$B$3:$Z$489,18,FALSE),"")</f>
        <v/>
      </c>
      <c r="BK23" s="230" t="str">
        <f>IFERROR(VLOOKUP($BD23,SortedDownload!$B$3:$Z$489,19,FALSE),"")</f>
        <v/>
      </c>
      <c r="BL23" s="230" t="str">
        <f>IFERROR(VLOOKUP($BD23,SortedDownload!$B$3:$Z$489,20,FALSE),"")</f>
        <v/>
      </c>
      <c r="BM23" s="230" t="str">
        <f>IFERROR(VLOOKUP($BD23,SortedDownload!$B$3:$Z$489,21,FALSE),"")</f>
        <v/>
      </c>
    </row>
    <row r="24" spans="2:65">
      <c r="B24">
        <v>271</v>
      </c>
      <c r="C24" t="str">
        <f>IFERROR(VLOOKUP($B24,OverallResults!$B$3:$Z$508,2,FALSE),"")</f>
        <v>DNF</v>
      </c>
      <c r="D24" t="str">
        <f>IFERROR(VLOOKUP($B24,OverallResults!$B$3:$Z$508,3,FALSE),"")</f>
        <v/>
      </c>
      <c r="E24" t="str">
        <f>IFERROR(TEXT(VLOOKUP($B24,OverallResults!$B$3:$Z$489,17,FALSE),"[h]:mm:ss.0"),"")</f>
        <v/>
      </c>
      <c r="F24" s="230" t="str">
        <f>IFERROR(VLOOKUP($D24,SortedDownload!$B$3:$Z$489,14,FALSE),"")</f>
        <v/>
      </c>
      <c r="G24" s="230" t="str">
        <f>IFERROR(VLOOKUP($D24,SortedDownload!$B$3:$Z$489,15,FALSE),"")</f>
        <v/>
      </c>
      <c r="H24" s="230" t="str">
        <f>IFERROR(VLOOKUP($D24,SortedDownload!$B$3:$Z$489,16,FALSE),"")</f>
        <v/>
      </c>
      <c r="I24" s="230" t="str">
        <f>IFERROR(VLOOKUP($D24,SortedDownload!$B$3:$Z$489,17,FALSE),"")</f>
        <v/>
      </c>
      <c r="J24" s="230" t="str">
        <f>IFERROR(VLOOKUP($D24,SortedDownload!$B$3:$Z$489,18,FALSE),"")</f>
        <v/>
      </c>
      <c r="K24" s="230" t="str">
        <f>IFERROR(VLOOKUP($D24,SortedDownload!$B$3:$Z$489,19,FALSE),"")</f>
        <v/>
      </c>
      <c r="L24" s="230" t="str">
        <f>IFERROR(VLOOKUP($D24,SortedDownload!$B$3:$Z$489,20,FALSE),"")</f>
        <v/>
      </c>
      <c r="M24" s="230" t="str">
        <f>IFERROR(VLOOKUP($D24,SortedDownload!$B$3:$Z$489,21,FALSE),"")</f>
        <v/>
      </c>
      <c r="O24">
        <v>321</v>
      </c>
      <c r="P24" t="str">
        <f>IFERROR(VLOOKUP($O24,OverallResults!$B$3:$Z$508,2,FALSE),"")</f>
        <v>DNF</v>
      </c>
      <c r="Q24" t="str">
        <f>IFERROR(VLOOKUP($O24,OverallResults!$B$3:$Z$508,3,FALSE),"")</f>
        <v/>
      </c>
      <c r="R24" t="str">
        <f>IFERROR(TEXT(VLOOKUP($O24,OverallResults!$B$3:$Z$489,17,FALSE),"[h]:mm:ss.0"),"")</f>
        <v/>
      </c>
      <c r="S24" s="230" t="str">
        <f>IFERROR(VLOOKUP($Q24,SortedDownload!$B$3:$Z$489,14,FALSE),"")</f>
        <v/>
      </c>
      <c r="T24" s="230" t="str">
        <f>IFERROR(VLOOKUP($Q24,SortedDownload!$B$3:$Z$489,15,FALSE),"")</f>
        <v/>
      </c>
      <c r="U24" s="230" t="str">
        <f>IFERROR(VLOOKUP($Q24,SortedDownload!$B$3:$Z$489,16,FALSE),"")</f>
        <v/>
      </c>
      <c r="V24" s="230" t="str">
        <f>IFERROR(VLOOKUP($Q24,SortedDownload!$B$3:$Z$489,17,FALSE),"")</f>
        <v/>
      </c>
      <c r="W24" s="230" t="str">
        <f>IFERROR(VLOOKUP($Q24,SortedDownload!$B$3:$Z$489,18,FALSE),"")</f>
        <v/>
      </c>
      <c r="X24" s="230" t="str">
        <f>IFERROR(VLOOKUP($Q24,SortedDownload!$B$3:$Z$489,19,FALSE),"")</f>
        <v/>
      </c>
      <c r="Y24" s="230" t="str">
        <f>IFERROR(VLOOKUP($Q24,SortedDownload!$B$3:$Z$489,20,FALSE),"")</f>
        <v/>
      </c>
      <c r="Z24" s="230" t="str">
        <f>IFERROR(VLOOKUP($Q24,SortedDownload!$B$3:$Z$489,21,FALSE),"")</f>
        <v/>
      </c>
      <c r="AB24">
        <v>371</v>
      </c>
      <c r="AC24" t="str">
        <f>IFERROR(VLOOKUP($AB24,OverallResults!$B$3:$Z$508,2,FALSE),"")</f>
        <v>DNF</v>
      </c>
      <c r="AD24" t="str">
        <f>IFERROR(VLOOKUP($AB24,OverallResults!$B$3:$Z$508,3,FALSE),"")</f>
        <v/>
      </c>
      <c r="AE24" t="str">
        <f>IFERROR(TEXT(VLOOKUP($AB24,OverallResults!$B$3:$Z$489,17,FALSE),"[h]:mm:ss.0"),"")</f>
        <v/>
      </c>
      <c r="AF24" s="230" t="str">
        <f>IFERROR(VLOOKUP($AD24,SortedDownload!$B$3:$Z$489,14,FALSE),"")</f>
        <v/>
      </c>
      <c r="AG24" s="230" t="str">
        <f>IFERROR(VLOOKUP($AD24,SortedDownload!$B$3:$Z$489,15,FALSE),"")</f>
        <v/>
      </c>
      <c r="AH24" s="230" t="str">
        <f>IFERROR(VLOOKUP($AD24,SortedDownload!$B$3:$Z$489,16,FALSE),"")</f>
        <v/>
      </c>
      <c r="AI24" s="230" t="str">
        <f>IFERROR(VLOOKUP($AD24,SortedDownload!$B$3:$Z$489,17,FALSE),"")</f>
        <v/>
      </c>
      <c r="AJ24" s="230" t="str">
        <f>IFERROR(VLOOKUP($AD24,SortedDownload!$B$3:$Z$489,18,FALSE),"")</f>
        <v/>
      </c>
      <c r="AK24" s="230" t="str">
        <f>IFERROR(VLOOKUP($AD24,SortedDownload!$B$3:$Z$489,19,FALSE),"")</f>
        <v/>
      </c>
      <c r="AL24" s="230" t="str">
        <f>IFERROR(VLOOKUP($AD24,SortedDownload!$B$3:$Z$489,20,FALSE),"")</f>
        <v/>
      </c>
      <c r="AM24" s="230" t="str">
        <f>IFERROR(VLOOKUP($AD24,SortedDownload!$B$3:$Z$489,21,FALSE),"")</f>
        <v/>
      </c>
      <c r="AO24">
        <v>421</v>
      </c>
      <c r="AP24" t="str">
        <f>IFERROR(VLOOKUP(#REF!,OverallResults!$A$3:$Z$489,3,FALSE),"")</f>
        <v/>
      </c>
      <c r="AQ24" t="str">
        <f>IFERROR(VLOOKUP(#REF!,EntryList!$A$3:$Z$291,26,FALSE),"")</f>
        <v/>
      </c>
      <c r="AR24" t="str">
        <f>IFERROR(TEXT(VLOOKUP(#REF!,SortedDownload!$A$3:$Z$489,14,FALSE),"[h]:mm:ss.0"),"")</f>
        <v/>
      </c>
      <c r="AS24" s="230" t="str">
        <f>IFERROR(VLOOKUP(#REF!,SortedDownload!$A$3:$Z$489,15,FALSE),"")</f>
        <v/>
      </c>
      <c r="AT24" s="230" t="str">
        <f>IFERROR(VLOOKUP(#REF!,SortedDownload!$A$3:$Z$489,16,FALSE),"")</f>
        <v/>
      </c>
      <c r="AU24" s="230" t="str">
        <f>IFERROR(VLOOKUP(#REF!,SortedDownload!$A$3:$Z$489,17,FALSE),"")</f>
        <v/>
      </c>
      <c r="AV24" s="230" t="str">
        <f>IFERROR(VLOOKUP(#REF!,SortedDownload!$A$3:$Z$489,18,FALSE),"")</f>
        <v/>
      </c>
      <c r="AW24" s="230" t="str">
        <f>IFERROR(VLOOKUP(#REF!,SortedDownload!$A$3:$Z$489,19,FALSE),"")</f>
        <v/>
      </c>
      <c r="AX24" s="230" t="str">
        <f>IFERROR(VLOOKUP(#REF!,SortedDownload!$A$3:$Z$489,20,FALSE),"")</f>
        <v/>
      </c>
      <c r="AY24" s="230" t="str">
        <f>IFERROR(VLOOKUP(#REF!,SortedDownload!$A$3:$Z$489,21,FALSE),"")</f>
        <v/>
      </c>
      <c r="AZ24" s="230" t="str">
        <f>IFERROR(VLOOKUP(#REF!,SortedDownload!$A$3:$Z$489,22,FALSE),"")</f>
        <v/>
      </c>
      <c r="BB24">
        <v>471</v>
      </c>
      <c r="BC24" t="str">
        <f>IFERROR(VLOOKUP($BB24,OverallResults!$B$3:$Z$508,2,FALSE),"")</f>
        <v/>
      </c>
      <c r="BD24" t="str">
        <f>IFERROR(VLOOKUP($BB24,OverallResults!$B$3:$Z$508,3,FALSE),"")</f>
        <v/>
      </c>
      <c r="BE24" t="str">
        <f>IFERROR(TEXT(VLOOKUP($BB24,OverallResults!$B$3:$Z$489,17,FALSE),"[h]:mm:ss.0"),"")</f>
        <v/>
      </c>
      <c r="BF24" s="230" t="str">
        <f>IFERROR(VLOOKUP($BD24,SortedDownload!$B$3:$Z$489,14,FALSE),"")</f>
        <v/>
      </c>
      <c r="BG24" s="230" t="str">
        <f>IFERROR(VLOOKUP($BD24,SortedDownload!$B$3:$Z$489,15,FALSE),"")</f>
        <v/>
      </c>
      <c r="BH24" s="230" t="str">
        <f>IFERROR(VLOOKUP($BD24,SortedDownload!$B$3:$Z$489,16,FALSE),"")</f>
        <v/>
      </c>
      <c r="BI24" s="230" t="str">
        <f>IFERROR(VLOOKUP($BD24,SortedDownload!$B$3:$Z$489,17,FALSE),"")</f>
        <v/>
      </c>
      <c r="BJ24" s="230" t="str">
        <f>IFERROR(VLOOKUP($BD24,SortedDownload!$B$3:$Z$489,18,FALSE),"")</f>
        <v/>
      </c>
      <c r="BK24" s="230" t="str">
        <f>IFERROR(VLOOKUP($BD24,SortedDownload!$B$3:$Z$489,19,FALSE),"")</f>
        <v/>
      </c>
      <c r="BL24" s="230" t="str">
        <f>IFERROR(VLOOKUP($BD24,SortedDownload!$B$3:$Z$489,20,FALSE),"")</f>
        <v/>
      </c>
      <c r="BM24" s="230" t="str">
        <f>IFERROR(VLOOKUP($BD24,SortedDownload!$B$3:$Z$489,21,FALSE),"")</f>
        <v/>
      </c>
    </row>
    <row r="25" spans="2:65">
      <c r="B25">
        <v>272</v>
      </c>
      <c r="C25" t="str">
        <f>IFERROR(VLOOKUP($B25,OverallResults!$B$3:$Z$508,2,FALSE),"")</f>
        <v>DNF</v>
      </c>
      <c r="D25" t="str">
        <f>IFERROR(VLOOKUP($B25,OverallResults!$B$3:$Z$508,3,FALSE),"")</f>
        <v/>
      </c>
      <c r="E25" t="str">
        <f>IFERROR(TEXT(VLOOKUP($B25,OverallResults!$B$3:$Z$489,17,FALSE),"[h]:mm:ss.0"),"")</f>
        <v/>
      </c>
      <c r="F25" s="230" t="str">
        <f>IFERROR(VLOOKUP($D25,SortedDownload!$B$3:$Z$489,14,FALSE),"")</f>
        <v/>
      </c>
      <c r="G25" s="230" t="str">
        <f>IFERROR(VLOOKUP($D25,SortedDownload!$B$3:$Z$489,15,FALSE),"")</f>
        <v/>
      </c>
      <c r="H25" s="230" t="str">
        <f>IFERROR(VLOOKUP($D25,SortedDownload!$B$3:$Z$489,16,FALSE),"")</f>
        <v/>
      </c>
      <c r="I25" s="230" t="str">
        <f>IFERROR(VLOOKUP($D25,SortedDownload!$B$3:$Z$489,17,FALSE),"")</f>
        <v/>
      </c>
      <c r="J25" s="230" t="str">
        <f>IFERROR(VLOOKUP($D25,SortedDownload!$B$3:$Z$489,18,FALSE),"")</f>
        <v/>
      </c>
      <c r="K25" s="230" t="str">
        <f>IFERROR(VLOOKUP($D25,SortedDownload!$B$3:$Z$489,19,FALSE),"")</f>
        <v/>
      </c>
      <c r="L25" s="230" t="str">
        <f>IFERROR(VLOOKUP($D25,SortedDownload!$B$3:$Z$489,20,FALSE),"")</f>
        <v/>
      </c>
      <c r="M25" s="230" t="str">
        <f>IFERROR(VLOOKUP($D25,SortedDownload!$B$3:$Z$489,21,FALSE),"")</f>
        <v/>
      </c>
      <c r="O25">
        <v>322</v>
      </c>
      <c r="P25" t="str">
        <f>IFERROR(VLOOKUP($O25,OverallResults!$B$3:$Z$508,2,FALSE),"")</f>
        <v>DNF</v>
      </c>
      <c r="Q25" t="str">
        <f>IFERROR(VLOOKUP($O25,OverallResults!$B$3:$Z$508,3,FALSE),"")</f>
        <v/>
      </c>
      <c r="R25" t="str">
        <f>IFERROR(TEXT(VLOOKUP($O25,OverallResults!$B$3:$Z$489,17,FALSE),"[h]:mm:ss.0"),"")</f>
        <v/>
      </c>
      <c r="S25" s="230" t="str">
        <f>IFERROR(VLOOKUP($Q25,SortedDownload!$B$3:$Z$489,14,FALSE),"")</f>
        <v/>
      </c>
      <c r="T25" s="230" t="str">
        <f>IFERROR(VLOOKUP($Q25,SortedDownload!$B$3:$Z$489,15,FALSE),"")</f>
        <v/>
      </c>
      <c r="U25" s="230" t="str">
        <f>IFERROR(VLOOKUP($Q25,SortedDownload!$B$3:$Z$489,16,FALSE),"")</f>
        <v/>
      </c>
      <c r="V25" s="230" t="str">
        <f>IFERROR(VLOOKUP($Q25,SortedDownload!$B$3:$Z$489,17,FALSE),"")</f>
        <v/>
      </c>
      <c r="W25" s="230" t="str">
        <f>IFERROR(VLOOKUP($Q25,SortedDownload!$B$3:$Z$489,18,FALSE),"")</f>
        <v/>
      </c>
      <c r="X25" s="230" t="str">
        <f>IFERROR(VLOOKUP($Q25,SortedDownload!$B$3:$Z$489,19,FALSE),"")</f>
        <v/>
      </c>
      <c r="Y25" s="230" t="str">
        <f>IFERROR(VLOOKUP($Q25,SortedDownload!$B$3:$Z$489,20,FALSE),"")</f>
        <v/>
      </c>
      <c r="Z25" s="230" t="str">
        <f>IFERROR(VLOOKUP($Q25,SortedDownload!$B$3:$Z$489,21,FALSE),"")</f>
        <v/>
      </c>
      <c r="AB25">
        <v>372</v>
      </c>
      <c r="AC25" t="str">
        <f>IFERROR(VLOOKUP($AB25,OverallResults!$B$3:$Z$508,2,FALSE),"")</f>
        <v>DNF</v>
      </c>
      <c r="AD25" t="str">
        <f>IFERROR(VLOOKUP($AB25,OverallResults!$B$3:$Z$508,3,FALSE),"")</f>
        <v/>
      </c>
      <c r="AE25" t="str">
        <f>IFERROR(TEXT(VLOOKUP($AB25,OverallResults!$B$3:$Z$489,17,FALSE),"[h]:mm:ss.0"),"")</f>
        <v/>
      </c>
      <c r="AF25" s="230" t="str">
        <f>IFERROR(VLOOKUP($AD25,SortedDownload!$B$3:$Z$489,14,FALSE),"")</f>
        <v/>
      </c>
      <c r="AG25" s="230" t="str">
        <f>IFERROR(VLOOKUP($AD25,SortedDownload!$B$3:$Z$489,15,FALSE),"")</f>
        <v/>
      </c>
      <c r="AH25" s="230" t="str">
        <f>IFERROR(VLOOKUP($AD25,SortedDownload!$B$3:$Z$489,16,FALSE),"")</f>
        <v/>
      </c>
      <c r="AI25" s="230" t="str">
        <f>IFERROR(VLOOKUP($AD25,SortedDownload!$B$3:$Z$489,17,FALSE),"")</f>
        <v/>
      </c>
      <c r="AJ25" s="230" t="str">
        <f>IFERROR(VLOOKUP($AD25,SortedDownload!$B$3:$Z$489,18,FALSE),"")</f>
        <v/>
      </c>
      <c r="AK25" s="230" t="str">
        <f>IFERROR(VLOOKUP($AD25,SortedDownload!$B$3:$Z$489,19,FALSE),"")</f>
        <v/>
      </c>
      <c r="AL25" s="230" t="str">
        <f>IFERROR(VLOOKUP($AD25,SortedDownload!$B$3:$Z$489,20,FALSE),"")</f>
        <v/>
      </c>
      <c r="AM25" s="230" t="str">
        <f>IFERROR(VLOOKUP($AD25,SortedDownload!$B$3:$Z$489,21,FALSE),"")</f>
        <v/>
      </c>
      <c r="AO25">
        <v>422</v>
      </c>
      <c r="AP25" t="str">
        <f>IFERROR(VLOOKUP(#REF!,OverallResults!$A$3:$Z$489,3,FALSE),"")</f>
        <v/>
      </c>
      <c r="AQ25" t="str">
        <f>IFERROR(VLOOKUP(#REF!,EntryList!$A$3:$Z$291,26,FALSE),"")</f>
        <v/>
      </c>
      <c r="AR25" t="str">
        <f>IFERROR(TEXT(VLOOKUP(#REF!,SortedDownload!$A$3:$Z$489,14,FALSE),"[h]:mm:ss.0"),"")</f>
        <v/>
      </c>
      <c r="AS25" s="230" t="str">
        <f>IFERROR(VLOOKUP(#REF!,SortedDownload!$A$3:$Z$489,15,FALSE),"")</f>
        <v/>
      </c>
      <c r="AT25" s="230" t="str">
        <f>IFERROR(VLOOKUP(#REF!,SortedDownload!$A$3:$Z$489,16,FALSE),"")</f>
        <v/>
      </c>
      <c r="AU25" s="230" t="str">
        <f>IFERROR(VLOOKUP(#REF!,SortedDownload!$A$3:$Z$489,17,FALSE),"")</f>
        <v/>
      </c>
      <c r="AV25" s="230" t="str">
        <f>IFERROR(VLOOKUP(#REF!,SortedDownload!$A$3:$Z$489,18,FALSE),"")</f>
        <v/>
      </c>
      <c r="AW25" s="230" t="str">
        <f>IFERROR(VLOOKUP(#REF!,SortedDownload!$A$3:$Z$489,19,FALSE),"")</f>
        <v/>
      </c>
      <c r="AX25" s="230" t="str">
        <f>IFERROR(VLOOKUP(#REF!,SortedDownload!$A$3:$Z$489,20,FALSE),"")</f>
        <v/>
      </c>
      <c r="AY25" s="230" t="str">
        <f>IFERROR(VLOOKUP(#REF!,SortedDownload!$A$3:$Z$489,21,FALSE),"")</f>
        <v/>
      </c>
      <c r="AZ25" s="230" t="str">
        <f>IFERROR(VLOOKUP(#REF!,SortedDownload!$A$3:$Z$489,22,FALSE),"")</f>
        <v/>
      </c>
      <c r="BB25">
        <v>472</v>
      </c>
      <c r="BC25" t="str">
        <f>IFERROR(VLOOKUP($BB25,OverallResults!$B$3:$Z$508,2,FALSE),"")</f>
        <v/>
      </c>
      <c r="BD25" t="str">
        <f>IFERROR(VLOOKUP($BB25,OverallResults!$B$3:$Z$508,3,FALSE),"")</f>
        <v/>
      </c>
      <c r="BE25" t="str">
        <f>IFERROR(TEXT(VLOOKUP($BB25,OverallResults!$B$3:$Z$489,17,FALSE),"[h]:mm:ss.0"),"")</f>
        <v/>
      </c>
      <c r="BF25" s="230" t="str">
        <f>IFERROR(VLOOKUP($BD25,SortedDownload!$B$3:$Z$489,14,FALSE),"")</f>
        <v/>
      </c>
      <c r="BG25" s="230" t="str">
        <f>IFERROR(VLOOKUP($BD25,SortedDownload!$B$3:$Z$489,15,FALSE),"")</f>
        <v/>
      </c>
      <c r="BH25" s="230" t="str">
        <f>IFERROR(VLOOKUP($BD25,SortedDownload!$B$3:$Z$489,16,FALSE),"")</f>
        <v/>
      </c>
      <c r="BI25" s="230" t="str">
        <f>IFERROR(VLOOKUP($BD25,SortedDownload!$B$3:$Z$489,17,FALSE),"")</f>
        <v/>
      </c>
      <c r="BJ25" s="230" t="str">
        <f>IFERROR(VLOOKUP($BD25,SortedDownload!$B$3:$Z$489,18,FALSE),"")</f>
        <v/>
      </c>
      <c r="BK25" s="230" t="str">
        <f>IFERROR(VLOOKUP($BD25,SortedDownload!$B$3:$Z$489,19,FALSE),"")</f>
        <v/>
      </c>
      <c r="BL25" s="230" t="str">
        <f>IFERROR(VLOOKUP($BD25,SortedDownload!$B$3:$Z$489,20,FALSE),"")</f>
        <v/>
      </c>
      <c r="BM25" s="230" t="str">
        <f>IFERROR(VLOOKUP($BD25,SortedDownload!$B$3:$Z$489,21,FALSE),"")</f>
        <v/>
      </c>
    </row>
    <row r="26" spans="2:65">
      <c r="B26">
        <v>273</v>
      </c>
      <c r="C26" t="str">
        <f>IFERROR(VLOOKUP($B26,OverallResults!$B$3:$Z$508,2,FALSE),"")</f>
        <v>DNF</v>
      </c>
      <c r="D26" t="str">
        <f>IFERROR(VLOOKUP($B26,OverallResults!$B$3:$Z$508,3,FALSE),"")</f>
        <v/>
      </c>
      <c r="E26" t="str">
        <f>IFERROR(TEXT(VLOOKUP($B26,OverallResults!$B$3:$Z$489,17,FALSE),"[h]:mm:ss.0"),"")</f>
        <v/>
      </c>
      <c r="F26" s="230" t="str">
        <f>IFERROR(VLOOKUP($D26,SortedDownload!$B$3:$Z$489,14,FALSE),"")</f>
        <v/>
      </c>
      <c r="G26" s="230" t="str">
        <f>IFERROR(VLOOKUP($D26,SortedDownload!$B$3:$Z$489,15,FALSE),"")</f>
        <v/>
      </c>
      <c r="H26" s="230" t="str">
        <f>IFERROR(VLOOKUP($D26,SortedDownload!$B$3:$Z$489,16,FALSE),"")</f>
        <v/>
      </c>
      <c r="I26" s="230" t="str">
        <f>IFERROR(VLOOKUP($D26,SortedDownload!$B$3:$Z$489,17,FALSE),"")</f>
        <v/>
      </c>
      <c r="J26" s="230" t="str">
        <f>IFERROR(VLOOKUP($D26,SortedDownload!$B$3:$Z$489,18,FALSE),"")</f>
        <v/>
      </c>
      <c r="K26" s="230" t="str">
        <f>IFERROR(VLOOKUP($D26,SortedDownload!$B$3:$Z$489,19,FALSE),"")</f>
        <v/>
      </c>
      <c r="L26" s="230" t="str">
        <f>IFERROR(VLOOKUP($D26,SortedDownload!$B$3:$Z$489,20,FALSE),"")</f>
        <v/>
      </c>
      <c r="M26" s="230" t="str">
        <f>IFERROR(VLOOKUP($D26,SortedDownload!$B$3:$Z$489,21,FALSE),"")</f>
        <v/>
      </c>
      <c r="O26">
        <v>323</v>
      </c>
      <c r="P26" t="str">
        <f>IFERROR(VLOOKUP($O26,OverallResults!$B$3:$Z$508,2,FALSE),"")</f>
        <v>DNF</v>
      </c>
      <c r="Q26" t="str">
        <f>IFERROR(VLOOKUP($O26,OverallResults!$B$3:$Z$508,3,FALSE),"")</f>
        <v/>
      </c>
      <c r="R26" t="str">
        <f>IFERROR(TEXT(VLOOKUP($O26,OverallResults!$B$3:$Z$489,17,FALSE),"[h]:mm:ss.0"),"")</f>
        <v/>
      </c>
      <c r="S26" s="230" t="str">
        <f>IFERROR(VLOOKUP($Q26,SortedDownload!$B$3:$Z$489,14,FALSE),"")</f>
        <v/>
      </c>
      <c r="T26" s="230" t="str">
        <f>IFERROR(VLOOKUP($Q26,SortedDownload!$B$3:$Z$489,15,FALSE),"")</f>
        <v/>
      </c>
      <c r="U26" s="230" t="str">
        <f>IFERROR(VLOOKUP($Q26,SortedDownload!$B$3:$Z$489,16,FALSE),"")</f>
        <v/>
      </c>
      <c r="V26" s="230" t="str">
        <f>IFERROR(VLOOKUP($Q26,SortedDownload!$B$3:$Z$489,17,FALSE),"")</f>
        <v/>
      </c>
      <c r="W26" s="230" t="str">
        <f>IFERROR(VLOOKUP($Q26,SortedDownload!$B$3:$Z$489,18,FALSE),"")</f>
        <v/>
      </c>
      <c r="X26" s="230" t="str">
        <f>IFERROR(VLOOKUP($Q26,SortedDownload!$B$3:$Z$489,19,FALSE),"")</f>
        <v/>
      </c>
      <c r="Y26" s="230" t="str">
        <f>IFERROR(VLOOKUP($Q26,SortedDownload!$B$3:$Z$489,20,FALSE),"")</f>
        <v/>
      </c>
      <c r="Z26" s="230" t="str">
        <f>IFERROR(VLOOKUP($Q26,SortedDownload!$B$3:$Z$489,21,FALSE),"")</f>
        <v/>
      </c>
      <c r="AB26">
        <v>373</v>
      </c>
      <c r="AC26" t="str">
        <f>IFERROR(VLOOKUP($AB26,OverallResults!$B$3:$Z$508,2,FALSE),"")</f>
        <v>DNF</v>
      </c>
      <c r="AD26" t="str">
        <f>IFERROR(VLOOKUP($AB26,OverallResults!$B$3:$Z$508,3,FALSE),"")</f>
        <v/>
      </c>
      <c r="AE26" t="str">
        <f>IFERROR(TEXT(VLOOKUP($AB26,OverallResults!$B$3:$Z$489,17,FALSE),"[h]:mm:ss.0"),"")</f>
        <v/>
      </c>
      <c r="AF26" s="230" t="str">
        <f>IFERROR(VLOOKUP($AD26,SortedDownload!$B$3:$Z$489,14,FALSE),"")</f>
        <v/>
      </c>
      <c r="AG26" s="230" t="str">
        <f>IFERROR(VLOOKUP($AD26,SortedDownload!$B$3:$Z$489,15,FALSE),"")</f>
        <v/>
      </c>
      <c r="AH26" s="230" t="str">
        <f>IFERROR(VLOOKUP($AD26,SortedDownload!$B$3:$Z$489,16,FALSE),"")</f>
        <v/>
      </c>
      <c r="AI26" s="230" t="str">
        <f>IFERROR(VLOOKUP($AD26,SortedDownload!$B$3:$Z$489,17,FALSE),"")</f>
        <v/>
      </c>
      <c r="AJ26" s="230" t="str">
        <f>IFERROR(VLOOKUP($AD26,SortedDownload!$B$3:$Z$489,18,FALSE),"")</f>
        <v/>
      </c>
      <c r="AK26" s="230" t="str">
        <f>IFERROR(VLOOKUP($AD26,SortedDownload!$B$3:$Z$489,19,FALSE),"")</f>
        <v/>
      </c>
      <c r="AL26" s="230" t="str">
        <f>IFERROR(VLOOKUP($AD26,SortedDownload!$B$3:$Z$489,20,FALSE),"")</f>
        <v/>
      </c>
      <c r="AM26" s="230" t="str">
        <f>IFERROR(VLOOKUP($AD26,SortedDownload!$B$3:$Z$489,21,FALSE),"")</f>
        <v/>
      </c>
      <c r="AO26">
        <v>423</v>
      </c>
      <c r="AP26" t="str">
        <f>IFERROR(VLOOKUP(#REF!,OverallResults!$A$3:$Z$489,3,FALSE),"")</f>
        <v/>
      </c>
      <c r="AQ26" t="str">
        <f>IFERROR(VLOOKUP(#REF!,EntryList!$A$3:$Z$291,26,FALSE),"")</f>
        <v/>
      </c>
      <c r="AR26" t="str">
        <f>IFERROR(TEXT(VLOOKUP(#REF!,SortedDownload!$A$3:$Z$489,14,FALSE),"[h]:mm:ss.0"),"")</f>
        <v/>
      </c>
      <c r="AS26" s="230" t="str">
        <f>IFERROR(VLOOKUP(#REF!,SortedDownload!$A$3:$Z$489,15,FALSE),"")</f>
        <v/>
      </c>
      <c r="AT26" s="230" t="str">
        <f>IFERROR(VLOOKUP(#REF!,SortedDownload!$A$3:$Z$489,16,FALSE),"")</f>
        <v/>
      </c>
      <c r="AU26" s="230" t="str">
        <f>IFERROR(VLOOKUP(#REF!,SortedDownload!$A$3:$Z$489,17,FALSE),"")</f>
        <v/>
      </c>
      <c r="AV26" s="230" t="str">
        <f>IFERROR(VLOOKUP(#REF!,SortedDownload!$A$3:$Z$489,18,FALSE),"")</f>
        <v/>
      </c>
      <c r="AW26" s="230" t="str">
        <f>IFERROR(VLOOKUP(#REF!,SortedDownload!$A$3:$Z$489,19,FALSE),"")</f>
        <v/>
      </c>
      <c r="AX26" s="230" t="str">
        <f>IFERROR(VLOOKUP(#REF!,SortedDownload!$A$3:$Z$489,20,FALSE),"")</f>
        <v/>
      </c>
      <c r="AY26" s="230" t="str">
        <f>IFERROR(VLOOKUP(#REF!,SortedDownload!$A$3:$Z$489,21,FALSE),"")</f>
        <v/>
      </c>
      <c r="AZ26" s="230" t="str">
        <f>IFERROR(VLOOKUP(#REF!,SortedDownload!$A$3:$Z$489,22,FALSE),"")</f>
        <v/>
      </c>
      <c r="BB26">
        <v>473</v>
      </c>
      <c r="BC26" t="str">
        <f>IFERROR(VLOOKUP($BB26,OverallResults!$B$3:$Z$508,2,FALSE),"")</f>
        <v/>
      </c>
      <c r="BD26" t="str">
        <f>IFERROR(VLOOKUP($BB26,OverallResults!$B$3:$Z$508,3,FALSE),"")</f>
        <v/>
      </c>
      <c r="BE26" t="str">
        <f>IFERROR(TEXT(VLOOKUP($BB26,OverallResults!$B$3:$Z$489,17,FALSE),"[h]:mm:ss.0"),"")</f>
        <v/>
      </c>
      <c r="BF26" s="230" t="str">
        <f>IFERROR(VLOOKUP($BD26,SortedDownload!$B$3:$Z$489,14,FALSE),"")</f>
        <v/>
      </c>
      <c r="BG26" s="230" t="str">
        <f>IFERROR(VLOOKUP($BD26,SortedDownload!$B$3:$Z$489,15,FALSE),"")</f>
        <v/>
      </c>
      <c r="BH26" s="230" t="str">
        <f>IFERROR(VLOOKUP($BD26,SortedDownload!$B$3:$Z$489,16,FALSE),"")</f>
        <v/>
      </c>
      <c r="BI26" s="230" t="str">
        <f>IFERROR(VLOOKUP($BD26,SortedDownload!$B$3:$Z$489,17,FALSE),"")</f>
        <v/>
      </c>
      <c r="BJ26" s="230" t="str">
        <f>IFERROR(VLOOKUP($BD26,SortedDownload!$B$3:$Z$489,18,FALSE),"")</f>
        <v/>
      </c>
      <c r="BK26" s="230" t="str">
        <f>IFERROR(VLOOKUP($BD26,SortedDownload!$B$3:$Z$489,19,FALSE),"")</f>
        <v/>
      </c>
      <c r="BL26" s="230" t="str">
        <f>IFERROR(VLOOKUP($BD26,SortedDownload!$B$3:$Z$489,20,FALSE),"")</f>
        <v/>
      </c>
      <c r="BM26" s="230" t="str">
        <f>IFERROR(VLOOKUP($BD26,SortedDownload!$B$3:$Z$489,21,FALSE),"")</f>
        <v/>
      </c>
    </row>
    <row r="27" spans="2:65">
      <c r="B27">
        <v>274</v>
      </c>
      <c r="C27" t="str">
        <f>IFERROR(VLOOKUP($B27,OverallResults!$B$3:$Z$508,2,FALSE),"")</f>
        <v>DNF</v>
      </c>
      <c r="D27" t="str">
        <f>IFERROR(VLOOKUP($B27,OverallResults!$B$3:$Z$508,3,FALSE),"")</f>
        <v/>
      </c>
      <c r="E27" t="str">
        <f>IFERROR(TEXT(VLOOKUP($B27,OverallResults!$B$3:$Z$489,17,FALSE),"[h]:mm:ss.0"),"")</f>
        <v/>
      </c>
      <c r="F27" s="230" t="str">
        <f>IFERROR(VLOOKUP($D27,SortedDownload!$B$3:$Z$489,14,FALSE),"")</f>
        <v/>
      </c>
      <c r="G27" s="230" t="str">
        <f>IFERROR(VLOOKUP($D27,SortedDownload!$B$3:$Z$489,15,FALSE),"")</f>
        <v/>
      </c>
      <c r="H27" s="230" t="str">
        <f>IFERROR(VLOOKUP($D27,SortedDownload!$B$3:$Z$489,16,FALSE),"")</f>
        <v/>
      </c>
      <c r="I27" s="230" t="str">
        <f>IFERROR(VLOOKUP($D27,SortedDownload!$B$3:$Z$489,17,FALSE),"")</f>
        <v/>
      </c>
      <c r="J27" s="230" t="str">
        <f>IFERROR(VLOOKUP($D27,SortedDownload!$B$3:$Z$489,18,FALSE),"")</f>
        <v/>
      </c>
      <c r="K27" s="230" t="str">
        <f>IFERROR(VLOOKUP($D27,SortedDownload!$B$3:$Z$489,19,FALSE),"")</f>
        <v/>
      </c>
      <c r="L27" s="230" t="str">
        <f>IFERROR(VLOOKUP($D27,SortedDownload!$B$3:$Z$489,20,FALSE),"")</f>
        <v/>
      </c>
      <c r="M27" s="230" t="str">
        <f>IFERROR(VLOOKUP($D27,SortedDownload!$B$3:$Z$489,21,FALSE),"")</f>
        <v/>
      </c>
      <c r="O27">
        <v>324</v>
      </c>
      <c r="P27" t="str">
        <f>IFERROR(VLOOKUP($O27,OverallResults!$B$3:$Z$508,2,FALSE),"")</f>
        <v>DNF</v>
      </c>
      <c r="Q27" t="str">
        <f>IFERROR(VLOOKUP($O27,OverallResults!$B$3:$Z$508,3,FALSE),"")</f>
        <v/>
      </c>
      <c r="R27" t="str">
        <f>IFERROR(TEXT(VLOOKUP($O27,OverallResults!$B$3:$Z$489,17,FALSE),"[h]:mm:ss.0"),"")</f>
        <v/>
      </c>
      <c r="S27" s="230" t="str">
        <f>IFERROR(VLOOKUP($Q27,SortedDownload!$B$3:$Z$489,14,FALSE),"")</f>
        <v/>
      </c>
      <c r="T27" s="230" t="str">
        <f>IFERROR(VLOOKUP($Q27,SortedDownload!$B$3:$Z$489,15,FALSE),"")</f>
        <v/>
      </c>
      <c r="U27" s="230" t="str">
        <f>IFERROR(VLOOKUP($Q27,SortedDownload!$B$3:$Z$489,16,FALSE),"")</f>
        <v/>
      </c>
      <c r="V27" s="230" t="str">
        <f>IFERROR(VLOOKUP($Q27,SortedDownload!$B$3:$Z$489,17,FALSE),"")</f>
        <v/>
      </c>
      <c r="W27" s="230" t="str">
        <f>IFERROR(VLOOKUP($Q27,SortedDownload!$B$3:$Z$489,18,FALSE),"")</f>
        <v/>
      </c>
      <c r="X27" s="230" t="str">
        <f>IFERROR(VLOOKUP($Q27,SortedDownload!$B$3:$Z$489,19,FALSE),"")</f>
        <v/>
      </c>
      <c r="Y27" s="230" t="str">
        <f>IFERROR(VLOOKUP($Q27,SortedDownload!$B$3:$Z$489,20,FALSE),"")</f>
        <v/>
      </c>
      <c r="Z27" s="230" t="str">
        <f>IFERROR(VLOOKUP($Q27,SortedDownload!$B$3:$Z$489,21,FALSE),"")</f>
        <v/>
      </c>
      <c r="AB27">
        <v>374</v>
      </c>
      <c r="AC27" t="str">
        <f>IFERROR(VLOOKUP($AB27,OverallResults!$B$3:$Z$508,2,FALSE),"")</f>
        <v>DNF</v>
      </c>
      <c r="AD27" t="str">
        <f>IFERROR(VLOOKUP($AB27,OverallResults!$B$3:$Z$508,3,FALSE),"")</f>
        <v/>
      </c>
      <c r="AE27" t="str">
        <f>IFERROR(TEXT(VLOOKUP($AB27,OverallResults!$B$3:$Z$489,17,FALSE),"[h]:mm:ss.0"),"")</f>
        <v/>
      </c>
      <c r="AF27" s="230" t="str">
        <f>IFERROR(VLOOKUP($AD27,SortedDownload!$B$3:$Z$489,14,FALSE),"")</f>
        <v/>
      </c>
      <c r="AG27" s="230" t="str">
        <f>IFERROR(VLOOKUP($AD27,SortedDownload!$B$3:$Z$489,15,FALSE),"")</f>
        <v/>
      </c>
      <c r="AH27" s="230" t="str">
        <f>IFERROR(VLOOKUP($AD27,SortedDownload!$B$3:$Z$489,16,FALSE),"")</f>
        <v/>
      </c>
      <c r="AI27" s="230" t="str">
        <f>IFERROR(VLOOKUP($AD27,SortedDownload!$B$3:$Z$489,17,FALSE),"")</f>
        <v/>
      </c>
      <c r="AJ27" s="230" t="str">
        <f>IFERROR(VLOOKUP($AD27,SortedDownload!$B$3:$Z$489,18,FALSE),"")</f>
        <v/>
      </c>
      <c r="AK27" s="230" t="str">
        <f>IFERROR(VLOOKUP($AD27,SortedDownload!$B$3:$Z$489,19,FALSE),"")</f>
        <v/>
      </c>
      <c r="AL27" s="230" t="str">
        <f>IFERROR(VLOOKUP($AD27,SortedDownload!$B$3:$Z$489,20,FALSE),"")</f>
        <v/>
      </c>
      <c r="AM27" s="230" t="str">
        <f>IFERROR(VLOOKUP($AD27,SortedDownload!$B$3:$Z$489,21,FALSE),"")</f>
        <v/>
      </c>
      <c r="AO27">
        <v>424</v>
      </c>
      <c r="AP27" t="str">
        <f>IFERROR(VLOOKUP(#REF!,OverallResults!$A$3:$Z$489,3,FALSE),"")</f>
        <v/>
      </c>
      <c r="AQ27" t="str">
        <f>IFERROR(VLOOKUP(#REF!,EntryList!$A$3:$Z$291,26,FALSE),"")</f>
        <v/>
      </c>
      <c r="AR27" t="str">
        <f>IFERROR(TEXT(VLOOKUP(#REF!,SortedDownload!$A$3:$Z$489,14,FALSE),"[h]:mm:ss.0"),"")</f>
        <v/>
      </c>
      <c r="AS27" s="230" t="str">
        <f>IFERROR(VLOOKUP(#REF!,SortedDownload!$A$3:$Z$489,15,FALSE),"")</f>
        <v/>
      </c>
      <c r="AT27" s="230" t="str">
        <f>IFERROR(VLOOKUP(#REF!,SortedDownload!$A$3:$Z$489,16,FALSE),"")</f>
        <v/>
      </c>
      <c r="AU27" s="230" t="str">
        <f>IFERROR(VLOOKUP(#REF!,SortedDownload!$A$3:$Z$489,17,FALSE),"")</f>
        <v/>
      </c>
      <c r="AV27" s="230" t="str">
        <f>IFERROR(VLOOKUP(#REF!,SortedDownload!$A$3:$Z$489,18,FALSE),"")</f>
        <v/>
      </c>
      <c r="AW27" s="230" t="str">
        <f>IFERROR(VLOOKUP(#REF!,SortedDownload!$A$3:$Z$489,19,FALSE),"")</f>
        <v/>
      </c>
      <c r="AX27" s="230" t="str">
        <f>IFERROR(VLOOKUP(#REF!,SortedDownload!$A$3:$Z$489,20,FALSE),"")</f>
        <v/>
      </c>
      <c r="AY27" s="230" t="str">
        <f>IFERROR(VLOOKUP(#REF!,SortedDownload!$A$3:$Z$489,21,FALSE),"")</f>
        <v/>
      </c>
      <c r="AZ27" s="230" t="str">
        <f>IFERROR(VLOOKUP(#REF!,SortedDownload!$A$3:$Z$489,22,FALSE),"")</f>
        <v/>
      </c>
      <c r="BB27">
        <v>474</v>
      </c>
      <c r="BC27" t="str">
        <f>IFERROR(VLOOKUP($BB27,OverallResults!$B$3:$Z$508,2,FALSE),"")</f>
        <v/>
      </c>
      <c r="BD27" t="str">
        <f>IFERROR(VLOOKUP($BB27,OverallResults!$B$3:$Z$508,3,FALSE),"")</f>
        <v/>
      </c>
      <c r="BE27" t="str">
        <f>IFERROR(TEXT(VLOOKUP($BB27,OverallResults!$B$3:$Z$489,17,FALSE),"[h]:mm:ss.0"),"")</f>
        <v/>
      </c>
      <c r="BF27" s="230" t="str">
        <f>IFERROR(VLOOKUP($BD27,SortedDownload!$B$3:$Z$489,14,FALSE),"")</f>
        <v/>
      </c>
      <c r="BG27" s="230" t="str">
        <f>IFERROR(VLOOKUP($BD27,SortedDownload!$B$3:$Z$489,15,FALSE),"")</f>
        <v/>
      </c>
      <c r="BH27" s="230" t="str">
        <f>IFERROR(VLOOKUP($BD27,SortedDownload!$B$3:$Z$489,16,FALSE),"")</f>
        <v/>
      </c>
      <c r="BI27" s="230" t="str">
        <f>IFERROR(VLOOKUP($BD27,SortedDownload!$B$3:$Z$489,17,FALSE),"")</f>
        <v/>
      </c>
      <c r="BJ27" s="230" t="str">
        <f>IFERROR(VLOOKUP($BD27,SortedDownload!$B$3:$Z$489,18,FALSE),"")</f>
        <v/>
      </c>
      <c r="BK27" s="230" t="str">
        <f>IFERROR(VLOOKUP($BD27,SortedDownload!$B$3:$Z$489,19,FALSE),"")</f>
        <v/>
      </c>
      <c r="BL27" s="230" t="str">
        <f>IFERROR(VLOOKUP($BD27,SortedDownload!$B$3:$Z$489,20,FALSE),"")</f>
        <v/>
      </c>
      <c r="BM27" s="230" t="str">
        <f>IFERROR(VLOOKUP($BD27,SortedDownload!$B$3:$Z$489,21,FALSE),"")</f>
        <v/>
      </c>
    </row>
    <row r="28" spans="2:65">
      <c r="B28">
        <v>275</v>
      </c>
      <c r="C28" t="str">
        <f>IFERROR(VLOOKUP($B28,OverallResults!$B$3:$Z$508,2,FALSE),"")</f>
        <v>DNF</v>
      </c>
      <c r="D28" t="str">
        <f>IFERROR(VLOOKUP($B28,OverallResults!$B$3:$Z$508,3,FALSE),"")</f>
        <v/>
      </c>
      <c r="E28" t="str">
        <f>IFERROR(TEXT(VLOOKUP($B28,OverallResults!$B$3:$Z$489,17,FALSE),"[h]:mm:ss.0"),"")</f>
        <v/>
      </c>
      <c r="F28" s="230" t="str">
        <f>IFERROR(VLOOKUP($D28,SortedDownload!$B$3:$Z$489,14,FALSE),"")</f>
        <v/>
      </c>
      <c r="G28" s="230" t="str">
        <f>IFERROR(VLOOKUP($D28,SortedDownload!$B$3:$Z$489,15,FALSE),"")</f>
        <v/>
      </c>
      <c r="H28" s="230" t="str">
        <f>IFERROR(VLOOKUP($D28,SortedDownload!$B$3:$Z$489,16,FALSE),"")</f>
        <v/>
      </c>
      <c r="I28" s="230" t="str">
        <f>IFERROR(VLOOKUP($D28,SortedDownload!$B$3:$Z$489,17,FALSE),"")</f>
        <v/>
      </c>
      <c r="J28" s="230" t="str">
        <f>IFERROR(VLOOKUP($D28,SortedDownload!$B$3:$Z$489,18,FALSE),"")</f>
        <v/>
      </c>
      <c r="K28" s="230" t="str">
        <f>IFERROR(VLOOKUP($D28,SortedDownload!$B$3:$Z$489,19,FALSE),"")</f>
        <v/>
      </c>
      <c r="L28" s="230" t="str">
        <f>IFERROR(VLOOKUP($D28,SortedDownload!$B$3:$Z$489,20,FALSE),"")</f>
        <v/>
      </c>
      <c r="M28" s="230" t="str">
        <f>IFERROR(VLOOKUP($D28,SortedDownload!$B$3:$Z$489,21,FALSE),"")</f>
        <v/>
      </c>
      <c r="O28">
        <v>325</v>
      </c>
      <c r="P28" t="str">
        <f>IFERROR(VLOOKUP($O28,OverallResults!$B$3:$Z$508,2,FALSE),"")</f>
        <v>DNF</v>
      </c>
      <c r="Q28" t="str">
        <f>IFERROR(VLOOKUP($O28,OverallResults!$B$3:$Z$508,3,FALSE),"")</f>
        <v/>
      </c>
      <c r="R28" t="str">
        <f>IFERROR(TEXT(VLOOKUP($O28,OverallResults!$B$3:$Z$489,17,FALSE),"[h]:mm:ss.0"),"")</f>
        <v/>
      </c>
      <c r="S28" s="230" t="str">
        <f>IFERROR(VLOOKUP($Q28,SortedDownload!$B$3:$Z$489,14,FALSE),"")</f>
        <v/>
      </c>
      <c r="T28" s="230" t="str">
        <f>IFERROR(VLOOKUP($Q28,SortedDownload!$B$3:$Z$489,15,FALSE),"")</f>
        <v/>
      </c>
      <c r="U28" s="230" t="str">
        <f>IFERROR(VLOOKUP($Q28,SortedDownload!$B$3:$Z$489,16,FALSE),"")</f>
        <v/>
      </c>
      <c r="V28" s="230" t="str">
        <f>IFERROR(VLOOKUP($Q28,SortedDownload!$B$3:$Z$489,17,FALSE),"")</f>
        <v/>
      </c>
      <c r="W28" s="230" t="str">
        <f>IFERROR(VLOOKUP($Q28,SortedDownload!$B$3:$Z$489,18,FALSE),"")</f>
        <v/>
      </c>
      <c r="X28" s="230" t="str">
        <f>IFERROR(VLOOKUP($Q28,SortedDownload!$B$3:$Z$489,19,FALSE),"")</f>
        <v/>
      </c>
      <c r="Y28" s="230" t="str">
        <f>IFERROR(VLOOKUP($Q28,SortedDownload!$B$3:$Z$489,20,FALSE),"")</f>
        <v/>
      </c>
      <c r="Z28" s="230" t="str">
        <f>IFERROR(VLOOKUP($Q28,SortedDownload!$B$3:$Z$489,21,FALSE),"")</f>
        <v/>
      </c>
      <c r="AB28">
        <v>375</v>
      </c>
      <c r="AC28" t="str">
        <f>IFERROR(VLOOKUP($AB28,OverallResults!$B$3:$Z$508,2,FALSE),"")</f>
        <v>DNF</v>
      </c>
      <c r="AD28" t="str">
        <f>IFERROR(VLOOKUP($AB28,OverallResults!$B$3:$Z$508,3,FALSE),"")</f>
        <v/>
      </c>
      <c r="AE28" t="str">
        <f>IFERROR(TEXT(VLOOKUP($AB28,OverallResults!$B$3:$Z$489,17,FALSE),"[h]:mm:ss.0"),"")</f>
        <v/>
      </c>
      <c r="AF28" s="230" t="str">
        <f>IFERROR(VLOOKUP($AD28,SortedDownload!$B$3:$Z$489,14,FALSE),"")</f>
        <v/>
      </c>
      <c r="AG28" s="230" t="str">
        <f>IFERROR(VLOOKUP($AD28,SortedDownload!$B$3:$Z$489,15,FALSE),"")</f>
        <v/>
      </c>
      <c r="AH28" s="230" t="str">
        <f>IFERROR(VLOOKUP($AD28,SortedDownload!$B$3:$Z$489,16,FALSE),"")</f>
        <v/>
      </c>
      <c r="AI28" s="230" t="str">
        <f>IFERROR(VLOOKUP($AD28,SortedDownload!$B$3:$Z$489,17,FALSE),"")</f>
        <v/>
      </c>
      <c r="AJ28" s="230" t="str">
        <f>IFERROR(VLOOKUP($AD28,SortedDownload!$B$3:$Z$489,18,FALSE),"")</f>
        <v/>
      </c>
      <c r="AK28" s="230" t="str">
        <f>IFERROR(VLOOKUP($AD28,SortedDownload!$B$3:$Z$489,19,FALSE),"")</f>
        <v/>
      </c>
      <c r="AL28" s="230" t="str">
        <f>IFERROR(VLOOKUP($AD28,SortedDownload!$B$3:$Z$489,20,FALSE),"")</f>
        <v/>
      </c>
      <c r="AM28" s="230" t="str">
        <f>IFERROR(VLOOKUP($AD28,SortedDownload!$B$3:$Z$489,21,FALSE),"")</f>
        <v/>
      </c>
      <c r="AO28">
        <v>425</v>
      </c>
      <c r="AP28" t="str">
        <f>IFERROR(VLOOKUP(#REF!,OverallResults!$A$3:$Z$489,3,FALSE),"")</f>
        <v/>
      </c>
      <c r="AQ28" t="str">
        <f>IFERROR(VLOOKUP(#REF!,EntryList!$A$3:$Z$291,26,FALSE),"")</f>
        <v/>
      </c>
      <c r="AR28" t="str">
        <f>IFERROR(TEXT(VLOOKUP(#REF!,SortedDownload!$A$3:$Z$489,14,FALSE),"[h]:mm:ss.0"),"")</f>
        <v/>
      </c>
      <c r="AS28" s="230" t="str">
        <f>IFERROR(VLOOKUP(#REF!,SortedDownload!$A$3:$Z$489,15,FALSE),"")</f>
        <v/>
      </c>
      <c r="AT28" s="230" t="str">
        <f>IFERROR(VLOOKUP(#REF!,SortedDownload!$A$3:$Z$489,16,FALSE),"")</f>
        <v/>
      </c>
      <c r="AU28" s="230" t="str">
        <f>IFERROR(VLOOKUP(#REF!,SortedDownload!$A$3:$Z$489,17,FALSE),"")</f>
        <v/>
      </c>
      <c r="AV28" s="230" t="str">
        <f>IFERROR(VLOOKUP(#REF!,SortedDownload!$A$3:$Z$489,18,FALSE),"")</f>
        <v/>
      </c>
      <c r="AW28" s="230" t="str">
        <f>IFERROR(VLOOKUP(#REF!,SortedDownload!$A$3:$Z$489,19,FALSE),"")</f>
        <v/>
      </c>
      <c r="AX28" s="230" t="str">
        <f>IFERROR(VLOOKUP(#REF!,SortedDownload!$A$3:$Z$489,20,FALSE),"")</f>
        <v/>
      </c>
      <c r="AY28" s="230" t="str">
        <f>IFERROR(VLOOKUP(#REF!,SortedDownload!$A$3:$Z$489,21,FALSE),"")</f>
        <v/>
      </c>
      <c r="AZ28" s="230" t="str">
        <f>IFERROR(VLOOKUP(#REF!,SortedDownload!$A$3:$Z$489,22,FALSE),"")</f>
        <v/>
      </c>
      <c r="BB28">
        <v>475</v>
      </c>
      <c r="BC28" t="str">
        <f>IFERROR(VLOOKUP($BB28,OverallResults!$B$3:$Z$508,2,FALSE),"")</f>
        <v/>
      </c>
      <c r="BD28" t="str">
        <f>IFERROR(VLOOKUP($BB28,OverallResults!$B$3:$Z$508,3,FALSE),"")</f>
        <v/>
      </c>
      <c r="BE28" t="str">
        <f>IFERROR(TEXT(VLOOKUP($BB28,OverallResults!$B$3:$Z$489,17,FALSE),"[h]:mm:ss.0"),"")</f>
        <v/>
      </c>
      <c r="BF28" s="230" t="str">
        <f>IFERROR(VLOOKUP($BD28,SortedDownload!$B$3:$Z$489,14,FALSE),"")</f>
        <v/>
      </c>
      <c r="BG28" s="230" t="str">
        <f>IFERROR(VLOOKUP($BD28,SortedDownload!$B$3:$Z$489,15,FALSE),"")</f>
        <v/>
      </c>
      <c r="BH28" s="230" t="str">
        <f>IFERROR(VLOOKUP($BD28,SortedDownload!$B$3:$Z$489,16,FALSE),"")</f>
        <v/>
      </c>
      <c r="BI28" s="230" t="str">
        <f>IFERROR(VLOOKUP($BD28,SortedDownload!$B$3:$Z$489,17,FALSE),"")</f>
        <v/>
      </c>
      <c r="BJ28" s="230" t="str">
        <f>IFERROR(VLOOKUP($BD28,SortedDownload!$B$3:$Z$489,18,FALSE),"")</f>
        <v/>
      </c>
      <c r="BK28" s="230" t="str">
        <f>IFERROR(VLOOKUP($BD28,SortedDownload!$B$3:$Z$489,19,FALSE),"")</f>
        <v/>
      </c>
      <c r="BL28" s="230" t="str">
        <f>IFERROR(VLOOKUP($BD28,SortedDownload!$B$3:$Z$489,20,FALSE),"")</f>
        <v/>
      </c>
      <c r="BM28" s="230" t="str">
        <f>IFERROR(VLOOKUP($BD28,SortedDownload!$B$3:$Z$489,21,FALSE),"")</f>
        <v/>
      </c>
    </row>
    <row r="29" spans="2:65">
      <c r="B29">
        <v>276</v>
      </c>
      <c r="C29" t="str">
        <f>IFERROR(VLOOKUP($B29,OverallResults!$B$3:$Z$508,2,FALSE),"")</f>
        <v>DNF</v>
      </c>
      <c r="D29" t="str">
        <f>IFERROR(VLOOKUP($B29,OverallResults!$B$3:$Z$508,3,FALSE),"")</f>
        <v/>
      </c>
      <c r="E29" t="str">
        <f>IFERROR(TEXT(VLOOKUP($B29,OverallResults!$B$3:$Z$489,17,FALSE),"[h]:mm:ss.0"),"")</f>
        <v/>
      </c>
      <c r="F29" s="230" t="str">
        <f>IFERROR(VLOOKUP($D29,SortedDownload!$B$3:$Z$489,14,FALSE),"")</f>
        <v/>
      </c>
      <c r="G29" s="230" t="str">
        <f>IFERROR(VLOOKUP($D29,SortedDownload!$B$3:$Z$489,15,FALSE),"")</f>
        <v/>
      </c>
      <c r="H29" s="230" t="str">
        <f>IFERROR(VLOOKUP($D29,SortedDownload!$B$3:$Z$489,16,FALSE),"")</f>
        <v/>
      </c>
      <c r="I29" s="230" t="str">
        <f>IFERROR(VLOOKUP($D29,SortedDownload!$B$3:$Z$489,17,FALSE),"")</f>
        <v/>
      </c>
      <c r="J29" s="230" t="str">
        <f>IFERROR(VLOOKUP($D29,SortedDownload!$B$3:$Z$489,18,FALSE),"")</f>
        <v/>
      </c>
      <c r="K29" s="230" t="str">
        <f>IFERROR(VLOOKUP($D29,SortedDownload!$B$3:$Z$489,19,FALSE),"")</f>
        <v/>
      </c>
      <c r="L29" s="230" t="str">
        <f>IFERROR(VLOOKUP($D29,SortedDownload!$B$3:$Z$489,20,FALSE),"")</f>
        <v/>
      </c>
      <c r="M29" s="230" t="str">
        <f>IFERROR(VLOOKUP($D29,SortedDownload!$B$3:$Z$489,21,FALSE),"")</f>
        <v/>
      </c>
      <c r="O29">
        <v>326</v>
      </c>
      <c r="P29" t="str">
        <f>IFERROR(VLOOKUP($O29,OverallResults!$B$3:$Z$508,2,FALSE),"")</f>
        <v>DNF</v>
      </c>
      <c r="Q29" t="str">
        <f>IFERROR(VLOOKUP($O29,OverallResults!$B$3:$Z$508,3,FALSE),"")</f>
        <v/>
      </c>
      <c r="R29" t="str">
        <f>IFERROR(TEXT(VLOOKUP($O29,OverallResults!$B$3:$Z$489,17,FALSE),"[h]:mm:ss.0"),"")</f>
        <v/>
      </c>
      <c r="S29" s="230" t="str">
        <f>IFERROR(VLOOKUP($Q29,SortedDownload!$B$3:$Z$489,14,FALSE),"")</f>
        <v/>
      </c>
      <c r="T29" s="230" t="str">
        <f>IFERROR(VLOOKUP($Q29,SortedDownload!$B$3:$Z$489,15,FALSE),"")</f>
        <v/>
      </c>
      <c r="U29" s="230" t="str">
        <f>IFERROR(VLOOKUP($Q29,SortedDownload!$B$3:$Z$489,16,FALSE),"")</f>
        <v/>
      </c>
      <c r="V29" s="230" t="str">
        <f>IFERROR(VLOOKUP($Q29,SortedDownload!$B$3:$Z$489,17,FALSE),"")</f>
        <v/>
      </c>
      <c r="W29" s="230" t="str">
        <f>IFERROR(VLOOKUP($Q29,SortedDownload!$B$3:$Z$489,18,FALSE),"")</f>
        <v/>
      </c>
      <c r="X29" s="230" t="str">
        <f>IFERROR(VLOOKUP($Q29,SortedDownload!$B$3:$Z$489,19,FALSE),"")</f>
        <v/>
      </c>
      <c r="Y29" s="230" t="str">
        <f>IFERROR(VLOOKUP($Q29,SortedDownload!$B$3:$Z$489,20,FALSE),"")</f>
        <v/>
      </c>
      <c r="Z29" s="230" t="str">
        <f>IFERROR(VLOOKUP($Q29,SortedDownload!$B$3:$Z$489,21,FALSE),"")</f>
        <v/>
      </c>
      <c r="AB29">
        <v>376</v>
      </c>
      <c r="AC29" t="str">
        <f>IFERROR(VLOOKUP($AB29,OverallResults!$B$3:$Z$508,2,FALSE),"")</f>
        <v>DNF</v>
      </c>
      <c r="AD29" t="str">
        <f>IFERROR(VLOOKUP($AB29,OverallResults!$B$3:$Z$508,3,FALSE),"")</f>
        <v/>
      </c>
      <c r="AE29" t="str">
        <f>IFERROR(TEXT(VLOOKUP($AB29,OverallResults!$B$3:$Z$489,17,FALSE),"[h]:mm:ss.0"),"")</f>
        <v/>
      </c>
      <c r="AF29" s="230" t="str">
        <f>IFERROR(VLOOKUP($AD29,SortedDownload!$B$3:$Z$489,14,FALSE),"")</f>
        <v/>
      </c>
      <c r="AG29" s="230" t="str">
        <f>IFERROR(VLOOKUP($AD29,SortedDownload!$B$3:$Z$489,15,FALSE),"")</f>
        <v/>
      </c>
      <c r="AH29" s="230" t="str">
        <f>IFERROR(VLOOKUP($AD29,SortedDownload!$B$3:$Z$489,16,FALSE),"")</f>
        <v/>
      </c>
      <c r="AI29" s="230" t="str">
        <f>IFERROR(VLOOKUP($AD29,SortedDownload!$B$3:$Z$489,17,FALSE),"")</f>
        <v/>
      </c>
      <c r="AJ29" s="230" t="str">
        <f>IFERROR(VLOOKUP($AD29,SortedDownload!$B$3:$Z$489,18,FALSE),"")</f>
        <v/>
      </c>
      <c r="AK29" s="230" t="str">
        <f>IFERROR(VLOOKUP($AD29,SortedDownload!$B$3:$Z$489,19,FALSE),"")</f>
        <v/>
      </c>
      <c r="AL29" s="230" t="str">
        <f>IFERROR(VLOOKUP($AD29,SortedDownload!$B$3:$Z$489,20,FALSE),"")</f>
        <v/>
      </c>
      <c r="AM29" s="230" t="str">
        <f>IFERROR(VLOOKUP($AD29,SortedDownload!$B$3:$Z$489,21,FALSE),"")</f>
        <v/>
      </c>
      <c r="AO29">
        <v>426</v>
      </c>
      <c r="AP29" t="str">
        <f>IFERROR(VLOOKUP(#REF!,OverallResults!$A$3:$Z$489,3,FALSE),"")</f>
        <v/>
      </c>
      <c r="AQ29" t="str">
        <f>IFERROR(VLOOKUP(#REF!,EntryList!$A$3:$Z$291,26,FALSE),"")</f>
        <v/>
      </c>
      <c r="AR29" t="str">
        <f>IFERROR(TEXT(VLOOKUP(#REF!,SortedDownload!$A$3:$Z$489,14,FALSE),"[h]:mm:ss.0"),"")</f>
        <v/>
      </c>
      <c r="AS29" s="230" t="str">
        <f>IFERROR(VLOOKUP(#REF!,SortedDownload!$A$3:$Z$489,15,FALSE),"")</f>
        <v/>
      </c>
      <c r="AT29" s="230" t="str">
        <f>IFERROR(VLOOKUP(#REF!,SortedDownload!$A$3:$Z$489,16,FALSE),"")</f>
        <v/>
      </c>
      <c r="AU29" s="230" t="str">
        <f>IFERROR(VLOOKUP(#REF!,SortedDownload!$A$3:$Z$489,17,FALSE),"")</f>
        <v/>
      </c>
      <c r="AV29" s="230" t="str">
        <f>IFERROR(VLOOKUP(#REF!,SortedDownload!$A$3:$Z$489,18,FALSE),"")</f>
        <v/>
      </c>
      <c r="AW29" s="230" t="str">
        <f>IFERROR(VLOOKUP(#REF!,SortedDownload!$A$3:$Z$489,19,FALSE),"")</f>
        <v/>
      </c>
      <c r="AX29" s="230" t="str">
        <f>IFERROR(VLOOKUP(#REF!,SortedDownload!$A$3:$Z$489,20,FALSE),"")</f>
        <v/>
      </c>
      <c r="AY29" s="230" t="str">
        <f>IFERROR(VLOOKUP(#REF!,SortedDownload!$A$3:$Z$489,21,FALSE),"")</f>
        <v/>
      </c>
      <c r="AZ29" s="230" t="str">
        <f>IFERROR(VLOOKUP(#REF!,SortedDownload!$A$3:$Z$489,22,FALSE),"")</f>
        <v/>
      </c>
      <c r="BB29">
        <v>476</v>
      </c>
      <c r="BC29" t="str">
        <f>IFERROR(VLOOKUP($BB29,OverallResults!$B$3:$Z$508,2,FALSE),"")</f>
        <v/>
      </c>
      <c r="BD29" t="str">
        <f>IFERROR(VLOOKUP($BB29,OverallResults!$B$3:$Z$508,3,FALSE),"")</f>
        <v/>
      </c>
      <c r="BE29" t="str">
        <f>IFERROR(TEXT(VLOOKUP($BB29,OverallResults!$B$3:$Z$489,17,FALSE),"[h]:mm:ss.0"),"")</f>
        <v/>
      </c>
      <c r="BF29" s="230" t="str">
        <f>IFERROR(VLOOKUP($BD29,SortedDownload!$B$3:$Z$489,14,FALSE),"")</f>
        <v/>
      </c>
      <c r="BG29" s="230" t="str">
        <f>IFERROR(VLOOKUP($BD29,SortedDownload!$B$3:$Z$489,15,FALSE),"")</f>
        <v/>
      </c>
      <c r="BH29" s="230" t="str">
        <f>IFERROR(VLOOKUP($BD29,SortedDownload!$B$3:$Z$489,16,FALSE),"")</f>
        <v/>
      </c>
      <c r="BI29" s="230" t="str">
        <f>IFERROR(VLOOKUP($BD29,SortedDownload!$B$3:$Z$489,17,FALSE),"")</f>
        <v/>
      </c>
      <c r="BJ29" s="230" t="str">
        <f>IFERROR(VLOOKUP($BD29,SortedDownload!$B$3:$Z$489,18,FALSE),"")</f>
        <v/>
      </c>
      <c r="BK29" s="230" t="str">
        <f>IFERROR(VLOOKUP($BD29,SortedDownload!$B$3:$Z$489,19,FALSE),"")</f>
        <v/>
      </c>
      <c r="BL29" s="230" t="str">
        <f>IFERROR(VLOOKUP($BD29,SortedDownload!$B$3:$Z$489,20,FALSE),"")</f>
        <v/>
      </c>
      <c r="BM29" s="230" t="str">
        <f>IFERROR(VLOOKUP($BD29,SortedDownload!$B$3:$Z$489,21,FALSE),"")</f>
        <v/>
      </c>
    </row>
    <row r="30" spans="2:65">
      <c r="B30">
        <v>277</v>
      </c>
      <c r="C30" t="str">
        <f>IFERROR(VLOOKUP($B30,OverallResults!$B$3:$Z$508,2,FALSE),"")</f>
        <v>DNF</v>
      </c>
      <c r="D30" t="str">
        <f>IFERROR(VLOOKUP($B30,OverallResults!$B$3:$Z$508,3,FALSE),"")</f>
        <v/>
      </c>
      <c r="E30" t="str">
        <f>IFERROR(TEXT(VLOOKUP($B30,OverallResults!$B$3:$Z$489,17,FALSE),"[h]:mm:ss.0"),"")</f>
        <v/>
      </c>
      <c r="F30" s="230" t="str">
        <f>IFERROR(VLOOKUP($D30,SortedDownload!$B$3:$Z$489,14,FALSE),"")</f>
        <v/>
      </c>
      <c r="G30" s="230" t="str">
        <f>IFERROR(VLOOKUP($D30,SortedDownload!$B$3:$Z$489,15,FALSE),"")</f>
        <v/>
      </c>
      <c r="H30" s="230" t="str">
        <f>IFERROR(VLOOKUP($D30,SortedDownload!$B$3:$Z$489,16,FALSE),"")</f>
        <v/>
      </c>
      <c r="I30" s="230" t="str">
        <f>IFERROR(VLOOKUP($D30,SortedDownload!$B$3:$Z$489,17,FALSE),"")</f>
        <v/>
      </c>
      <c r="J30" s="230" t="str">
        <f>IFERROR(VLOOKUP($D30,SortedDownload!$B$3:$Z$489,18,FALSE),"")</f>
        <v/>
      </c>
      <c r="K30" s="230" t="str">
        <f>IFERROR(VLOOKUP($D30,SortedDownload!$B$3:$Z$489,19,FALSE),"")</f>
        <v/>
      </c>
      <c r="L30" s="230" t="str">
        <f>IFERROR(VLOOKUP($D30,SortedDownload!$B$3:$Z$489,20,FALSE),"")</f>
        <v/>
      </c>
      <c r="M30" s="230" t="str">
        <f>IFERROR(VLOOKUP($D30,SortedDownload!$B$3:$Z$489,21,FALSE),"")</f>
        <v/>
      </c>
      <c r="O30">
        <v>327</v>
      </c>
      <c r="P30" t="str">
        <f>IFERROR(VLOOKUP($O30,OverallResults!$B$3:$Z$508,2,FALSE),"")</f>
        <v>DNF</v>
      </c>
      <c r="Q30" t="str">
        <f>IFERROR(VLOOKUP($O30,OverallResults!$B$3:$Z$508,3,FALSE),"")</f>
        <v/>
      </c>
      <c r="R30" t="str">
        <f>IFERROR(TEXT(VLOOKUP($O30,OverallResults!$B$3:$Z$489,17,FALSE),"[h]:mm:ss.0"),"")</f>
        <v/>
      </c>
      <c r="S30" s="230" t="str">
        <f>IFERROR(VLOOKUP($Q30,SortedDownload!$B$3:$Z$489,14,FALSE),"")</f>
        <v/>
      </c>
      <c r="T30" s="230" t="str">
        <f>IFERROR(VLOOKUP($Q30,SortedDownload!$B$3:$Z$489,15,FALSE),"")</f>
        <v/>
      </c>
      <c r="U30" s="230" t="str">
        <f>IFERROR(VLOOKUP($Q30,SortedDownload!$B$3:$Z$489,16,FALSE),"")</f>
        <v/>
      </c>
      <c r="V30" s="230" t="str">
        <f>IFERROR(VLOOKUP($Q30,SortedDownload!$B$3:$Z$489,17,FALSE),"")</f>
        <v/>
      </c>
      <c r="W30" s="230" t="str">
        <f>IFERROR(VLOOKUP($Q30,SortedDownload!$B$3:$Z$489,18,FALSE),"")</f>
        <v/>
      </c>
      <c r="X30" s="230" t="str">
        <f>IFERROR(VLOOKUP($Q30,SortedDownload!$B$3:$Z$489,19,FALSE),"")</f>
        <v/>
      </c>
      <c r="Y30" s="230" t="str">
        <f>IFERROR(VLOOKUP($Q30,SortedDownload!$B$3:$Z$489,20,FALSE),"")</f>
        <v/>
      </c>
      <c r="Z30" s="230" t="str">
        <f>IFERROR(VLOOKUP($Q30,SortedDownload!$B$3:$Z$489,21,FALSE),"")</f>
        <v/>
      </c>
      <c r="AB30">
        <v>377</v>
      </c>
      <c r="AC30" t="str">
        <f>IFERROR(VLOOKUP($AB30,OverallResults!$B$3:$Z$508,2,FALSE),"")</f>
        <v>DNF</v>
      </c>
      <c r="AD30" t="str">
        <f>IFERROR(VLOOKUP($AB30,OverallResults!$B$3:$Z$508,3,FALSE),"")</f>
        <v/>
      </c>
      <c r="AE30" t="str">
        <f>IFERROR(TEXT(VLOOKUP($AB30,OverallResults!$B$3:$Z$489,17,FALSE),"[h]:mm:ss.0"),"")</f>
        <v/>
      </c>
      <c r="AF30" s="230" t="str">
        <f>IFERROR(VLOOKUP($AD30,SortedDownload!$B$3:$Z$489,14,FALSE),"")</f>
        <v/>
      </c>
      <c r="AG30" s="230" t="str">
        <f>IFERROR(VLOOKUP($AD30,SortedDownload!$B$3:$Z$489,15,FALSE),"")</f>
        <v/>
      </c>
      <c r="AH30" s="230" t="str">
        <f>IFERROR(VLOOKUP($AD30,SortedDownload!$B$3:$Z$489,16,FALSE),"")</f>
        <v/>
      </c>
      <c r="AI30" s="230" t="str">
        <f>IFERROR(VLOOKUP($AD30,SortedDownload!$B$3:$Z$489,17,FALSE),"")</f>
        <v/>
      </c>
      <c r="AJ30" s="230" t="str">
        <f>IFERROR(VLOOKUP($AD30,SortedDownload!$B$3:$Z$489,18,FALSE),"")</f>
        <v/>
      </c>
      <c r="AK30" s="230" t="str">
        <f>IFERROR(VLOOKUP($AD30,SortedDownload!$B$3:$Z$489,19,FALSE),"")</f>
        <v/>
      </c>
      <c r="AL30" s="230" t="str">
        <f>IFERROR(VLOOKUP($AD30,SortedDownload!$B$3:$Z$489,20,FALSE),"")</f>
        <v/>
      </c>
      <c r="AM30" s="230" t="str">
        <f>IFERROR(VLOOKUP($AD30,SortedDownload!$B$3:$Z$489,21,FALSE),"")</f>
        <v/>
      </c>
      <c r="AO30">
        <v>427</v>
      </c>
      <c r="AP30" t="str">
        <f>IFERROR(VLOOKUP(#REF!,OverallResults!$A$3:$Z$489,3,FALSE),"")</f>
        <v/>
      </c>
      <c r="AQ30" t="str">
        <f>IFERROR(VLOOKUP(#REF!,EntryList!$A$3:$Z$291,26,FALSE),"")</f>
        <v/>
      </c>
      <c r="AR30" t="str">
        <f>IFERROR(TEXT(VLOOKUP(#REF!,SortedDownload!$A$3:$Z$489,14,FALSE),"[h]:mm:ss.0"),"")</f>
        <v/>
      </c>
      <c r="AS30" s="230" t="str">
        <f>IFERROR(VLOOKUP(#REF!,SortedDownload!$A$3:$Z$489,15,FALSE),"")</f>
        <v/>
      </c>
      <c r="AT30" s="230" t="str">
        <f>IFERROR(VLOOKUP(#REF!,SortedDownload!$A$3:$Z$489,16,FALSE),"")</f>
        <v/>
      </c>
      <c r="AU30" s="230" t="str">
        <f>IFERROR(VLOOKUP(#REF!,SortedDownload!$A$3:$Z$489,17,FALSE),"")</f>
        <v/>
      </c>
      <c r="AV30" s="230" t="str">
        <f>IFERROR(VLOOKUP(#REF!,SortedDownload!$A$3:$Z$489,18,FALSE),"")</f>
        <v/>
      </c>
      <c r="AW30" s="230" t="str">
        <f>IFERROR(VLOOKUP(#REF!,SortedDownload!$A$3:$Z$489,19,FALSE),"")</f>
        <v/>
      </c>
      <c r="AX30" s="230" t="str">
        <f>IFERROR(VLOOKUP(#REF!,SortedDownload!$A$3:$Z$489,20,FALSE),"")</f>
        <v/>
      </c>
      <c r="AY30" s="230" t="str">
        <f>IFERROR(VLOOKUP(#REF!,SortedDownload!$A$3:$Z$489,21,FALSE),"")</f>
        <v/>
      </c>
      <c r="AZ30" s="230" t="str">
        <f>IFERROR(VLOOKUP(#REF!,SortedDownload!$A$3:$Z$489,22,FALSE),"")</f>
        <v/>
      </c>
      <c r="BB30">
        <v>477</v>
      </c>
      <c r="BC30" t="str">
        <f>IFERROR(VLOOKUP($BB30,OverallResults!$B$3:$Z$508,2,FALSE),"")</f>
        <v/>
      </c>
      <c r="BD30" t="str">
        <f>IFERROR(VLOOKUP($BB30,OverallResults!$B$3:$Z$508,3,FALSE),"")</f>
        <v/>
      </c>
      <c r="BE30" t="str">
        <f>IFERROR(TEXT(VLOOKUP($BB30,OverallResults!$B$3:$Z$489,17,FALSE),"[h]:mm:ss.0"),"")</f>
        <v/>
      </c>
      <c r="BF30" s="230" t="str">
        <f>IFERROR(VLOOKUP($BD30,SortedDownload!$B$3:$Z$489,14,FALSE),"")</f>
        <v/>
      </c>
      <c r="BG30" s="230" t="str">
        <f>IFERROR(VLOOKUP($BD30,SortedDownload!$B$3:$Z$489,15,FALSE),"")</f>
        <v/>
      </c>
      <c r="BH30" s="230" t="str">
        <f>IFERROR(VLOOKUP($BD30,SortedDownload!$B$3:$Z$489,16,FALSE),"")</f>
        <v/>
      </c>
      <c r="BI30" s="230" t="str">
        <f>IFERROR(VLOOKUP($BD30,SortedDownload!$B$3:$Z$489,17,FALSE),"")</f>
        <v/>
      </c>
      <c r="BJ30" s="230" t="str">
        <f>IFERROR(VLOOKUP($BD30,SortedDownload!$B$3:$Z$489,18,FALSE),"")</f>
        <v/>
      </c>
      <c r="BK30" s="230" t="str">
        <f>IFERROR(VLOOKUP($BD30,SortedDownload!$B$3:$Z$489,19,FALSE),"")</f>
        <v/>
      </c>
      <c r="BL30" s="230" t="str">
        <f>IFERROR(VLOOKUP($BD30,SortedDownload!$B$3:$Z$489,20,FALSE),"")</f>
        <v/>
      </c>
      <c r="BM30" s="230" t="str">
        <f>IFERROR(VLOOKUP($BD30,SortedDownload!$B$3:$Z$489,21,FALSE),"")</f>
        <v/>
      </c>
    </row>
    <row r="31" spans="2:65">
      <c r="B31">
        <v>278</v>
      </c>
      <c r="C31" t="str">
        <f>IFERROR(VLOOKUP($B31,OverallResults!$B$3:$Z$508,2,FALSE),"")</f>
        <v>DNF</v>
      </c>
      <c r="D31" t="str">
        <f>IFERROR(VLOOKUP($B31,OverallResults!$B$3:$Z$508,3,FALSE),"")</f>
        <v/>
      </c>
      <c r="E31" t="str">
        <f>IFERROR(TEXT(VLOOKUP($B31,OverallResults!$B$3:$Z$489,17,FALSE),"[h]:mm:ss.0"),"")</f>
        <v/>
      </c>
      <c r="F31" s="230" t="str">
        <f>IFERROR(VLOOKUP($D31,SortedDownload!$B$3:$Z$489,14,FALSE),"")</f>
        <v/>
      </c>
      <c r="G31" s="230" t="str">
        <f>IFERROR(VLOOKUP($D31,SortedDownload!$B$3:$Z$489,15,FALSE),"")</f>
        <v/>
      </c>
      <c r="H31" s="230" t="str">
        <f>IFERROR(VLOOKUP($D31,SortedDownload!$B$3:$Z$489,16,FALSE),"")</f>
        <v/>
      </c>
      <c r="I31" s="230" t="str">
        <f>IFERROR(VLOOKUP($D31,SortedDownload!$B$3:$Z$489,17,FALSE),"")</f>
        <v/>
      </c>
      <c r="J31" s="230" t="str">
        <f>IFERROR(VLOOKUP($D31,SortedDownload!$B$3:$Z$489,18,FALSE),"")</f>
        <v/>
      </c>
      <c r="K31" s="230" t="str">
        <f>IFERROR(VLOOKUP($D31,SortedDownload!$B$3:$Z$489,19,FALSE),"")</f>
        <v/>
      </c>
      <c r="L31" s="230" t="str">
        <f>IFERROR(VLOOKUP($D31,SortedDownload!$B$3:$Z$489,20,FALSE),"")</f>
        <v/>
      </c>
      <c r="M31" s="230" t="str">
        <f>IFERROR(VLOOKUP($D31,SortedDownload!$B$3:$Z$489,21,FALSE),"")</f>
        <v/>
      </c>
      <c r="O31">
        <v>328</v>
      </c>
      <c r="P31" t="str">
        <f>IFERROR(VLOOKUP($O31,OverallResults!$B$3:$Z$508,2,FALSE),"")</f>
        <v>DNF</v>
      </c>
      <c r="Q31" t="str">
        <f>IFERROR(VLOOKUP($O31,OverallResults!$B$3:$Z$508,3,FALSE),"")</f>
        <v/>
      </c>
      <c r="R31" t="str">
        <f>IFERROR(TEXT(VLOOKUP($O31,OverallResults!$B$3:$Z$489,17,FALSE),"[h]:mm:ss.0"),"")</f>
        <v/>
      </c>
      <c r="S31" s="230" t="str">
        <f>IFERROR(VLOOKUP($Q31,SortedDownload!$B$3:$Z$489,14,FALSE),"")</f>
        <v/>
      </c>
      <c r="T31" s="230" t="str">
        <f>IFERROR(VLOOKUP($Q31,SortedDownload!$B$3:$Z$489,15,FALSE),"")</f>
        <v/>
      </c>
      <c r="U31" s="230" t="str">
        <f>IFERROR(VLOOKUP($Q31,SortedDownload!$B$3:$Z$489,16,FALSE),"")</f>
        <v/>
      </c>
      <c r="V31" s="230" t="str">
        <f>IFERROR(VLOOKUP($Q31,SortedDownload!$B$3:$Z$489,17,FALSE),"")</f>
        <v/>
      </c>
      <c r="W31" s="230" t="str">
        <f>IFERROR(VLOOKUP($Q31,SortedDownload!$B$3:$Z$489,18,FALSE),"")</f>
        <v/>
      </c>
      <c r="X31" s="230" t="str">
        <f>IFERROR(VLOOKUP($Q31,SortedDownload!$B$3:$Z$489,19,FALSE),"")</f>
        <v/>
      </c>
      <c r="Y31" s="230" t="str">
        <f>IFERROR(VLOOKUP($Q31,SortedDownload!$B$3:$Z$489,20,FALSE),"")</f>
        <v/>
      </c>
      <c r="Z31" s="230" t="str">
        <f>IFERROR(VLOOKUP($Q31,SortedDownload!$B$3:$Z$489,21,FALSE),"")</f>
        <v/>
      </c>
      <c r="AB31">
        <v>378</v>
      </c>
      <c r="AC31" t="str">
        <f>IFERROR(VLOOKUP($AB31,OverallResults!$B$3:$Z$508,2,FALSE),"")</f>
        <v>DNF</v>
      </c>
      <c r="AD31" t="str">
        <f>IFERROR(VLOOKUP($AB31,OverallResults!$B$3:$Z$508,3,FALSE),"")</f>
        <v/>
      </c>
      <c r="AE31" t="str">
        <f>IFERROR(TEXT(VLOOKUP($AB31,OverallResults!$B$3:$Z$489,17,FALSE),"[h]:mm:ss.0"),"")</f>
        <v/>
      </c>
      <c r="AF31" s="230" t="str">
        <f>IFERROR(VLOOKUP($AD31,SortedDownload!$B$3:$Z$489,14,FALSE),"")</f>
        <v/>
      </c>
      <c r="AG31" s="230" t="str">
        <f>IFERROR(VLOOKUP($AD31,SortedDownload!$B$3:$Z$489,15,FALSE),"")</f>
        <v/>
      </c>
      <c r="AH31" s="230" t="str">
        <f>IFERROR(VLOOKUP($AD31,SortedDownload!$B$3:$Z$489,16,FALSE),"")</f>
        <v/>
      </c>
      <c r="AI31" s="230" t="str">
        <f>IFERROR(VLOOKUP($AD31,SortedDownload!$B$3:$Z$489,17,FALSE),"")</f>
        <v/>
      </c>
      <c r="AJ31" s="230" t="str">
        <f>IFERROR(VLOOKUP($AD31,SortedDownload!$B$3:$Z$489,18,FALSE),"")</f>
        <v/>
      </c>
      <c r="AK31" s="230" t="str">
        <f>IFERROR(VLOOKUP($AD31,SortedDownload!$B$3:$Z$489,19,FALSE),"")</f>
        <v/>
      </c>
      <c r="AL31" s="230" t="str">
        <f>IFERROR(VLOOKUP($AD31,SortedDownload!$B$3:$Z$489,20,FALSE),"")</f>
        <v/>
      </c>
      <c r="AM31" s="230" t="str">
        <f>IFERROR(VLOOKUP($AD31,SortedDownload!$B$3:$Z$489,21,FALSE),"")</f>
        <v/>
      </c>
      <c r="AO31">
        <v>428</v>
      </c>
      <c r="AP31" t="str">
        <f>IFERROR(VLOOKUP(#REF!,OverallResults!$A$3:$Z$489,3,FALSE),"")</f>
        <v/>
      </c>
      <c r="AQ31" t="str">
        <f>IFERROR(VLOOKUP(#REF!,EntryList!$A$3:$Z$291,26,FALSE),"")</f>
        <v/>
      </c>
      <c r="AR31" t="str">
        <f>IFERROR(TEXT(VLOOKUP(#REF!,SortedDownload!$A$3:$Z$489,14,FALSE),"[h]:mm:ss.0"),"")</f>
        <v/>
      </c>
      <c r="AS31" s="230" t="str">
        <f>IFERROR(VLOOKUP(#REF!,SortedDownload!$A$3:$Z$489,15,FALSE),"")</f>
        <v/>
      </c>
      <c r="AT31" s="230" t="str">
        <f>IFERROR(VLOOKUP(#REF!,SortedDownload!$A$3:$Z$489,16,FALSE),"")</f>
        <v/>
      </c>
      <c r="AU31" s="230" t="str">
        <f>IFERROR(VLOOKUP(#REF!,SortedDownload!$A$3:$Z$489,17,FALSE),"")</f>
        <v/>
      </c>
      <c r="AV31" s="230" t="str">
        <f>IFERROR(VLOOKUP(#REF!,SortedDownload!$A$3:$Z$489,18,FALSE),"")</f>
        <v/>
      </c>
      <c r="AW31" s="230" t="str">
        <f>IFERROR(VLOOKUP(#REF!,SortedDownload!$A$3:$Z$489,19,FALSE),"")</f>
        <v/>
      </c>
      <c r="AX31" s="230" t="str">
        <f>IFERROR(VLOOKUP(#REF!,SortedDownload!$A$3:$Z$489,20,FALSE),"")</f>
        <v/>
      </c>
      <c r="AY31" s="230" t="str">
        <f>IFERROR(VLOOKUP(#REF!,SortedDownload!$A$3:$Z$489,21,FALSE),"")</f>
        <v/>
      </c>
      <c r="AZ31" s="230" t="str">
        <f>IFERROR(VLOOKUP(#REF!,SortedDownload!$A$3:$Z$489,22,FALSE),"")</f>
        <v/>
      </c>
      <c r="BB31">
        <v>478</v>
      </c>
      <c r="BC31" t="str">
        <f>IFERROR(VLOOKUP($BB31,OverallResults!$B$3:$Z$508,2,FALSE),"")</f>
        <v/>
      </c>
      <c r="BD31" t="str">
        <f>IFERROR(VLOOKUP($BB31,OverallResults!$B$3:$Z$508,3,FALSE),"")</f>
        <v/>
      </c>
      <c r="BE31" t="str">
        <f>IFERROR(TEXT(VLOOKUP($BB31,OverallResults!$B$3:$Z$489,17,FALSE),"[h]:mm:ss.0"),"")</f>
        <v/>
      </c>
      <c r="BF31" s="230" t="str">
        <f>IFERROR(VLOOKUP($BD31,SortedDownload!$B$3:$Z$489,14,FALSE),"")</f>
        <v/>
      </c>
      <c r="BG31" s="230" t="str">
        <f>IFERROR(VLOOKUP($BD31,SortedDownload!$B$3:$Z$489,15,FALSE),"")</f>
        <v/>
      </c>
      <c r="BH31" s="230" t="str">
        <f>IFERROR(VLOOKUP($BD31,SortedDownload!$B$3:$Z$489,16,FALSE),"")</f>
        <v/>
      </c>
      <c r="BI31" s="230" t="str">
        <f>IFERROR(VLOOKUP($BD31,SortedDownload!$B$3:$Z$489,17,FALSE),"")</f>
        <v/>
      </c>
      <c r="BJ31" s="230" t="str">
        <f>IFERROR(VLOOKUP($BD31,SortedDownload!$B$3:$Z$489,18,FALSE),"")</f>
        <v/>
      </c>
      <c r="BK31" s="230" t="str">
        <f>IFERROR(VLOOKUP($BD31,SortedDownload!$B$3:$Z$489,19,FALSE),"")</f>
        <v/>
      </c>
      <c r="BL31" s="230" t="str">
        <f>IFERROR(VLOOKUP($BD31,SortedDownload!$B$3:$Z$489,20,FALSE),"")</f>
        <v/>
      </c>
      <c r="BM31" s="230" t="str">
        <f>IFERROR(VLOOKUP($BD31,SortedDownload!$B$3:$Z$489,21,FALSE),"")</f>
        <v/>
      </c>
    </row>
    <row r="32" spans="2:65">
      <c r="B32">
        <v>279</v>
      </c>
      <c r="C32" t="str">
        <f>IFERROR(VLOOKUP($B32,OverallResults!$B$3:$Z$508,2,FALSE),"")</f>
        <v>DNF</v>
      </c>
      <c r="D32" t="str">
        <f>IFERROR(VLOOKUP($B32,OverallResults!$B$3:$Z$508,3,FALSE),"")</f>
        <v/>
      </c>
      <c r="E32" t="str">
        <f>IFERROR(TEXT(VLOOKUP($B32,OverallResults!$B$3:$Z$489,17,FALSE),"[h]:mm:ss.0"),"")</f>
        <v/>
      </c>
      <c r="F32" s="230" t="str">
        <f>IFERROR(VLOOKUP($D32,SortedDownload!$B$3:$Z$489,14,FALSE),"")</f>
        <v/>
      </c>
      <c r="G32" s="230" t="str">
        <f>IFERROR(VLOOKUP($D32,SortedDownload!$B$3:$Z$489,15,FALSE),"")</f>
        <v/>
      </c>
      <c r="H32" s="230" t="str">
        <f>IFERROR(VLOOKUP($D32,SortedDownload!$B$3:$Z$489,16,FALSE),"")</f>
        <v/>
      </c>
      <c r="I32" s="230" t="str">
        <f>IFERROR(VLOOKUP($D32,SortedDownload!$B$3:$Z$489,17,FALSE),"")</f>
        <v/>
      </c>
      <c r="J32" s="230" t="str">
        <f>IFERROR(VLOOKUP($D32,SortedDownload!$B$3:$Z$489,18,FALSE),"")</f>
        <v/>
      </c>
      <c r="K32" s="230" t="str">
        <f>IFERROR(VLOOKUP($D32,SortedDownload!$B$3:$Z$489,19,FALSE),"")</f>
        <v/>
      </c>
      <c r="L32" s="230" t="str">
        <f>IFERROR(VLOOKUP($D32,SortedDownload!$B$3:$Z$489,20,FALSE),"")</f>
        <v/>
      </c>
      <c r="M32" s="230" t="str">
        <f>IFERROR(VLOOKUP($D32,SortedDownload!$B$3:$Z$489,21,FALSE),"")</f>
        <v/>
      </c>
      <c r="O32">
        <v>329</v>
      </c>
      <c r="P32" t="str">
        <f>IFERROR(VLOOKUP($O32,OverallResults!$B$3:$Z$508,2,FALSE),"")</f>
        <v>DNF</v>
      </c>
      <c r="Q32" t="str">
        <f>IFERROR(VLOOKUP($O32,OverallResults!$B$3:$Z$508,3,FALSE),"")</f>
        <v/>
      </c>
      <c r="R32" t="str">
        <f>IFERROR(TEXT(VLOOKUP($O32,OverallResults!$B$3:$Z$489,17,FALSE),"[h]:mm:ss.0"),"")</f>
        <v/>
      </c>
      <c r="S32" s="230" t="str">
        <f>IFERROR(VLOOKUP($Q32,SortedDownload!$B$3:$Z$489,14,FALSE),"")</f>
        <v/>
      </c>
      <c r="T32" s="230" t="str">
        <f>IFERROR(VLOOKUP($Q32,SortedDownload!$B$3:$Z$489,15,FALSE),"")</f>
        <v/>
      </c>
      <c r="U32" s="230" t="str">
        <f>IFERROR(VLOOKUP($Q32,SortedDownload!$B$3:$Z$489,16,FALSE),"")</f>
        <v/>
      </c>
      <c r="V32" s="230" t="str">
        <f>IFERROR(VLOOKUP($Q32,SortedDownload!$B$3:$Z$489,17,FALSE),"")</f>
        <v/>
      </c>
      <c r="W32" s="230" t="str">
        <f>IFERROR(VLOOKUP($Q32,SortedDownload!$B$3:$Z$489,18,FALSE),"")</f>
        <v/>
      </c>
      <c r="X32" s="230" t="str">
        <f>IFERROR(VLOOKUP($Q32,SortedDownload!$B$3:$Z$489,19,FALSE),"")</f>
        <v/>
      </c>
      <c r="Y32" s="230" t="str">
        <f>IFERROR(VLOOKUP($Q32,SortedDownload!$B$3:$Z$489,20,FALSE),"")</f>
        <v/>
      </c>
      <c r="Z32" s="230" t="str">
        <f>IFERROR(VLOOKUP($Q32,SortedDownload!$B$3:$Z$489,21,FALSE),"")</f>
        <v/>
      </c>
      <c r="AB32">
        <v>379</v>
      </c>
      <c r="AC32" t="str">
        <f>IFERROR(VLOOKUP($AB32,OverallResults!$B$3:$Z$508,2,FALSE),"")</f>
        <v>DNF</v>
      </c>
      <c r="AD32" t="str">
        <f>IFERROR(VLOOKUP($AB32,OverallResults!$B$3:$Z$508,3,FALSE),"")</f>
        <v/>
      </c>
      <c r="AE32" t="str">
        <f>IFERROR(TEXT(VLOOKUP($AB32,OverallResults!$B$3:$Z$489,17,FALSE),"[h]:mm:ss.0"),"")</f>
        <v/>
      </c>
      <c r="AF32" s="230" t="str">
        <f>IFERROR(VLOOKUP($AD32,SortedDownload!$B$3:$Z$489,14,FALSE),"")</f>
        <v/>
      </c>
      <c r="AG32" s="230" t="str">
        <f>IFERROR(VLOOKUP($AD32,SortedDownload!$B$3:$Z$489,15,FALSE),"")</f>
        <v/>
      </c>
      <c r="AH32" s="230" t="str">
        <f>IFERROR(VLOOKUP($AD32,SortedDownload!$B$3:$Z$489,16,FALSE),"")</f>
        <v/>
      </c>
      <c r="AI32" s="230" t="str">
        <f>IFERROR(VLOOKUP($AD32,SortedDownload!$B$3:$Z$489,17,FALSE),"")</f>
        <v/>
      </c>
      <c r="AJ32" s="230" t="str">
        <f>IFERROR(VLOOKUP($AD32,SortedDownload!$B$3:$Z$489,18,FALSE),"")</f>
        <v/>
      </c>
      <c r="AK32" s="230" t="str">
        <f>IFERROR(VLOOKUP($AD32,SortedDownload!$B$3:$Z$489,19,FALSE),"")</f>
        <v/>
      </c>
      <c r="AL32" s="230" t="str">
        <f>IFERROR(VLOOKUP($AD32,SortedDownload!$B$3:$Z$489,20,FALSE),"")</f>
        <v/>
      </c>
      <c r="AM32" s="230" t="str">
        <f>IFERROR(VLOOKUP($AD32,SortedDownload!$B$3:$Z$489,21,FALSE),"")</f>
        <v/>
      </c>
      <c r="AO32">
        <v>429</v>
      </c>
      <c r="AP32" t="str">
        <f>IFERROR(VLOOKUP(#REF!,OverallResults!$A$3:$Z$489,3,FALSE),"")</f>
        <v/>
      </c>
      <c r="AQ32" t="str">
        <f>IFERROR(VLOOKUP(#REF!,EntryList!$A$3:$Z$291,26,FALSE),"")</f>
        <v/>
      </c>
      <c r="AR32" t="str">
        <f>IFERROR(TEXT(VLOOKUP(#REF!,SortedDownload!$A$3:$Z$489,14,FALSE),"[h]:mm:ss.0"),"")</f>
        <v/>
      </c>
      <c r="AS32" s="230" t="str">
        <f>IFERROR(VLOOKUP(#REF!,SortedDownload!$A$3:$Z$489,15,FALSE),"")</f>
        <v/>
      </c>
      <c r="AT32" s="230" t="str">
        <f>IFERROR(VLOOKUP(#REF!,SortedDownload!$A$3:$Z$489,16,FALSE),"")</f>
        <v/>
      </c>
      <c r="AU32" s="230" t="str">
        <f>IFERROR(VLOOKUP(#REF!,SortedDownload!$A$3:$Z$489,17,FALSE),"")</f>
        <v/>
      </c>
      <c r="AV32" s="230" t="str">
        <f>IFERROR(VLOOKUP(#REF!,SortedDownload!$A$3:$Z$489,18,FALSE),"")</f>
        <v/>
      </c>
      <c r="AW32" s="230" t="str">
        <f>IFERROR(VLOOKUP(#REF!,SortedDownload!$A$3:$Z$489,19,FALSE),"")</f>
        <v/>
      </c>
      <c r="AX32" s="230" t="str">
        <f>IFERROR(VLOOKUP(#REF!,SortedDownload!$A$3:$Z$489,20,FALSE),"")</f>
        <v/>
      </c>
      <c r="AY32" s="230" t="str">
        <f>IFERROR(VLOOKUP(#REF!,SortedDownload!$A$3:$Z$489,21,FALSE),"")</f>
        <v/>
      </c>
      <c r="AZ32" s="230" t="str">
        <f>IFERROR(VLOOKUP(#REF!,SortedDownload!$A$3:$Z$489,22,FALSE),"")</f>
        <v/>
      </c>
      <c r="BB32">
        <v>479</v>
      </c>
      <c r="BC32" t="str">
        <f>IFERROR(VLOOKUP($BB32,OverallResults!$B$3:$Z$508,2,FALSE),"")</f>
        <v/>
      </c>
      <c r="BD32" t="str">
        <f>IFERROR(VLOOKUP($BB32,OverallResults!$B$3:$Z$508,3,FALSE),"")</f>
        <v/>
      </c>
      <c r="BE32" t="str">
        <f>IFERROR(TEXT(VLOOKUP($BB32,OverallResults!$B$3:$Z$489,17,FALSE),"[h]:mm:ss.0"),"")</f>
        <v/>
      </c>
      <c r="BF32" s="230" t="str">
        <f>IFERROR(VLOOKUP($BD32,SortedDownload!$B$3:$Z$489,14,FALSE),"")</f>
        <v/>
      </c>
      <c r="BG32" s="230" t="str">
        <f>IFERROR(VLOOKUP($BD32,SortedDownload!$B$3:$Z$489,15,FALSE),"")</f>
        <v/>
      </c>
      <c r="BH32" s="230" t="str">
        <f>IFERROR(VLOOKUP($BD32,SortedDownload!$B$3:$Z$489,16,FALSE),"")</f>
        <v/>
      </c>
      <c r="BI32" s="230" t="str">
        <f>IFERROR(VLOOKUP($BD32,SortedDownload!$B$3:$Z$489,17,FALSE),"")</f>
        <v/>
      </c>
      <c r="BJ32" s="230" t="str">
        <f>IFERROR(VLOOKUP($BD32,SortedDownload!$B$3:$Z$489,18,FALSE),"")</f>
        <v/>
      </c>
      <c r="BK32" s="230" t="str">
        <f>IFERROR(VLOOKUP($BD32,SortedDownload!$B$3:$Z$489,19,FALSE),"")</f>
        <v/>
      </c>
      <c r="BL32" s="230" t="str">
        <f>IFERROR(VLOOKUP($BD32,SortedDownload!$B$3:$Z$489,20,FALSE),"")</f>
        <v/>
      </c>
      <c r="BM32" s="230" t="str">
        <f>IFERROR(VLOOKUP($BD32,SortedDownload!$B$3:$Z$489,21,FALSE),"")</f>
        <v/>
      </c>
    </row>
    <row r="33" spans="2:65">
      <c r="B33">
        <v>280</v>
      </c>
      <c r="C33" t="str">
        <f>IFERROR(VLOOKUP($B33,OverallResults!$B$3:$Z$508,2,FALSE),"")</f>
        <v>DNF</v>
      </c>
      <c r="D33" t="str">
        <f>IFERROR(VLOOKUP($B33,OverallResults!$B$3:$Z$508,3,FALSE),"")</f>
        <v/>
      </c>
      <c r="E33" t="str">
        <f>IFERROR(TEXT(VLOOKUP($B33,OverallResults!$B$3:$Z$489,17,FALSE),"[h]:mm:ss.0"),"")</f>
        <v/>
      </c>
      <c r="F33" s="230" t="str">
        <f>IFERROR(VLOOKUP($D33,SortedDownload!$B$3:$Z$489,14,FALSE),"")</f>
        <v/>
      </c>
      <c r="G33" s="230" t="str">
        <f>IFERROR(VLOOKUP($D33,SortedDownload!$B$3:$Z$489,15,FALSE),"")</f>
        <v/>
      </c>
      <c r="H33" s="230" t="str">
        <f>IFERROR(VLOOKUP($D33,SortedDownload!$B$3:$Z$489,16,FALSE),"")</f>
        <v/>
      </c>
      <c r="I33" s="230" t="str">
        <f>IFERROR(VLOOKUP($D33,SortedDownload!$B$3:$Z$489,17,FALSE),"")</f>
        <v/>
      </c>
      <c r="J33" s="230" t="str">
        <f>IFERROR(VLOOKUP($D33,SortedDownload!$B$3:$Z$489,18,FALSE),"")</f>
        <v/>
      </c>
      <c r="K33" s="230" t="str">
        <f>IFERROR(VLOOKUP($D33,SortedDownload!$B$3:$Z$489,19,FALSE),"")</f>
        <v/>
      </c>
      <c r="L33" s="230" t="str">
        <f>IFERROR(VLOOKUP($D33,SortedDownload!$B$3:$Z$489,20,FALSE),"")</f>
        <v/>
      </c>
      <c r="M33" s="230" t="str">
        <f>IFERROR(VLOOKUP($D33,SortedDownload!$B$3:$Z$489,21,FALSE),"")</f>
        <v/>
      </c>
      <c r="O33">
        <v>330</v>
      </c>
      <c r="P33" t="str">
        <f>IFERROR(VLOOKUP($O33,OverallResults!$B$3:$Z$508,2,FALSE),"")</f>
        <v>DNF</v>
      </c>
      <c r="Q33" t="str">
        <f>IFERROR(VLOOKUP($O33,OverallResults!$B$3:$Z$508,3,FALSE),"")</f>
        <v/>
      </c>
      <c r="R33" t="str">
        <f>IFERROR(TEXT(VLOOKUP($O33,OverallResults!$B$3:$Z$489,17,FALSE),"[h]:mm:ss.0"),"")</f>
        <v/>
      </c>
      <c r="S33" s="230" t="str">
        <f>IFERROR(VLOOKUP($Q33,SortedDownload!$B$3:$Z$489,14,FALSE),"")</f>
        <v/>
      </c>
      <c r="T33" s="230" t="str">
        <f>IFERROR(VLOOKUP($Q33,SortedDownload!$B$3:$Z$489,15,FALSE),"")</f>
        <v/>
      </c>
      <c r="U33" s="230" t="str">
        <f>IFERROR(VLOOKUP($Q33,SortedDownload!$B$3:$Z$489,16,FALSE),"")</f>
        <v/>
      </c>
      <c r="V33" s="230" t="str">
        <f>IFERROR(VLOOKUP($Q33,SortedDownload!$B$3:$Z$489,17,FALSE),"")</f>
        <v/>
      </c>
      <c r="W33" s="230" t="str">
        <f>IFERROR(VLOOKUP($Q33,SortedDownload!$B$3:$Z$489,18,FALSE),"")</f>
        <v/>
      </c>
      <c r="X33" s="230" t="str">
        <f>IFERROR(VLOOKUP($Q33,SortedDownload!$B$3:$Z$489,19,FALSE),"")</f>
        <v/>
      </c>
      <c r="Y33" s="230" t="str">
        <f>IFERROR(VLOOKUP($Q33,SortedDownload!$B$3:$Z$489,20,FALSE),"")</f>
        <v/>
      </c>
      <c r="Z33" s="230" t="str">
        <f>IFERROR(VLOOKUP($Q33,SortedDownload!$B$3:$Z$489,21,FALSE),"")</f>
        <v/>
      </c>
      <c r="AB33">
        <v>380</v>
      </c>
      <c r="AC33" t="str">
        <f>IFERROR(VLOOKUP($AB33,OverallResults!$B$3:$Z$508,2,FALSE),"")</f>
        <v>DNF</v>
      </c>
      <c r="AD33" t="str">
        <f>IFERROR(VLOOKUP($AB33,OverallResults!$B$3:$Z$508,3,FALSE),"")</f>
        <v/>
      </c>
      <c r="AE33" t="str">
        <f>IFERROR(TEXT(VLOOKUP($AB33,OverallResults!$B$3:$Z$489,17,FALSE),"[h]:mm:ss.0"),"")</f>
        <v/>
      </c>
      <c r="AF33" s="230" t="str">
        <f>IFERROR(VLOOKUP($AD33,SortedDownload!$B$3:$Z$489,14,FALSE),"")</f>
        <v/>
      </c>
      <c r="AG33" s="230" t="str">
        <f>IFERROR(VLOOKUP($AD33,SortedDownload!$B$3:$Z$489,15,FALSE),"")</f>
        <v/>
      </c>
      <c r="AH33" s="230" t="str">
        <f>IFERROR(VLOOKUP($AD33,SortedDownload!$B$3:$Z$489,16,FALSE),"")</f>
        <v/>
      </c>
      <c r="AI33" s="230" t="str">
        <f>IFERROR(VLOOKUP($AD33,SortedDownload!$B$3:$Z$489,17,FALSE),"")</f>
        <v/>
      </c>
      <c r="AJ33" s="230" t="str">
        <f>IFERROR(VLOOKUP($AD33,SortedDownload!$B$3:$Z$489,18,FALSE),"")</f>
        <v/>
      </c>
      <c r="AK33" s="230" t="str">
        <f>IFERROR(VLOOKUP($AD33,SortedDownload!$B$3:$Z$489,19,FALSE),"")</f>
        <v/>
      </c>
      <c r="AL33" s="230" t="str">
        <f>IFERROR(VLOOKUP($AD33,SortedDownload!$B$3:$Z$489,20,FALSE),"")</f>
        <v/>
      </c>
      <c r="AM33" s="230" t="str">
        <f>IFERROR(VLOOKUP($AD33,SortedDownload!$B$3:$Z$489,21,FALSE),"")</f>
        <v/>
      </c>
      <c r="AO33">
        <v>430</v>
      </c>
      <c r="AP33" t="str">
        <f>IFERROR(VLOOKUP(#REF!,OverallResults!$A$3:$Z$489,3,FALSE),"")</f>
        <v/>
      </c>
      <c r="AQ33" t="str">
        <f>IFERROR(VLOOKUP(#REF!,EntryList!$A$3:$Z$291,26,FALSE),"")</f>
        <v/>
      </c>
      <c r="AR33" t="str">
        <f>IFERROR(TEXT(VLOOKUP(#REF!,SortedDownload!$A$3:$Z$489,14,FALSE),"[h]:mm:ss.0"),"")</f>
        <v/>
      </c>
      <c r="AS33" s="230" t="str">
        <f>IFERROR(VLOOKUP(#REF!,SortedDownload!$A$3:$Z$489,15,FALSE),"")</f>
        <v/>
      </c>
      <c r="AT33" s="230" t="str">
        <f>IFERROR(VLOOKUP(#REF!,SortedDownload!$A$3:$Z$489,16,FALSE),"")</f>
        <v/>
      </c>
      <c r="AU33" s="230" t="str">
        <f>IFERROR(VLOOKUP(#REF!,SortedDownload!$A$3:$Z$489,17,FALSE),"")</f>
        <v/>
      </c>
      <c r="AV33" s="230" t="str">
        <f>IFERROR(VLOOKUP(#REF!,SortedDownload!$A$3:$Z$489,18,FALSE),"")</f>
        <v/>
      </c>
      <c r="AW33" s="230" t="str">
        <f>IFERROR(VLOOKUP(#REF!,SortedDownload!$A$3:$Z$489,19,FALSE),"")</f>
        <v/>
      </c>
      <c r="AX33" s="230" t="str">
        <f>IFERROR(VLOOKUP(#REF!,SortedDownload!$A$3:$Z$489,20,FALSE),"")</f>
        <v/>
      </c>
      <c r="AY33" s="230" t="str">
        <f>IFERROR(VLOOKUP(#REF!,SortedDownload!$A$3:$Z$489,21,FALSE),"")</f>
        <v/>
      </c>
      <c r="AZ33" s="230" t="str">
        <f>IFERROR(VLOOKUP(#REF!,SortedDownload!$A$3:$Z$489,22,FALSE),"")</f>
        <v/>
      </c>
      <c r="BB33">
        <v>480</v>
      </c>
      <c r="BC33" t="str">
        <f>IFERROR(VLOOKUP($BB33,OverallResults!$B$3:$Z$508,2,FALSE),"")</f>
        <v/>
      </c>
      <c r="BD33" t="str">
        <f>IFERROR(VLOOKUP($BB33,OverallResults!$B$3:$Z$508,3,FALSE),"")</f>
        <v/>
      </c>
      <c r="BE33" t="str">
        <f>IFERROR(TEXT(VLOOKUP($BB33,OverallResults!$B$3:$Z$489,17,FALSE),"[h]:mm:ss.0"),"")</f>
        <v/>
      </c>
      <c r="BF33" s="230" t="str">
        <f>IFERROR(VLOOKUP($BD33,SortedDownload!$B$3:$Z$489,14,FALSE),"")</f>
        <v/>
      </c>
      <c r="BG33" s="230" t="str">
        <f>IFERROR(VLOOKUP($BD33,SortedDownload!$B$3:$Z$489,15,FALSE),"")</f>
        <v/>
      </c>
      <c r="BH33" s="230" t="str">
        <f>IFERROR(VLOOKUP($BD33,SortedDownload!$B$3:$Z$489,16,FALSE),"")</f>
        <v/>
      </c>
      <c r="BI33" s="230" t="str">
        <f>IFERROR(VLOOKUP($BD33,SortedDownload!$B$3:$Z$489,17,FALSE),"")</f>
        <v/>
      </c>
      <c r="BJ33" s="230" t="str">
        <f>IFERROR(VLOOKUP($BD33,SortedDownload!$B$3:$Z$489,18,FALSE),"")</f>
        <v/>
      </c>
      <c r="BK33" s="230" t="str">
        <f>IFERROR(VLOOKUP($BD33,SortedDownload!$B$3:$Z$489,19,FALSE),"")</f>
        <v/>
      </c>
      <c r="BL33" s="230" t="str">
        <f>IFERROR(VLOOKUP($BD33,SortedDownload!$B$3:$Z$489,20,FALSE),"")</f>
        <v/>
      </c>
      <c r="BM33" s="230" t="str">
        <f>IFERROR(VLOOKUP($BD33,SortedDownload!$B$3:$Z$489,21,FALSE),"")</f>
        <v/>
      </c>
    </row>
    <row r="34" spans="2:65">
      <c r="B34">
        <v>281</v>
      </c>
      <c r="C34" t="str">
        <f>IFERROR(VLOOKUP($B34,OverallResults!$B$3:$Z$508,2,FALSE),"")</f>
        <v>DNF</v>
      </c>
      <c r="D34" t="str">
        <f>IFERROR(VLOOKUP($B34,OverallResults!$B$3:$Z$508,3,FALSE),"")</f>
        <v/>
      </c>
      <c r="E34" t="str">
        <f>IFERROR(TEXT(VLOOKUP($B34,OverallResults!$B$3:$Z$489,17,FALSE),"[h]:mm:ss.0"),"")</f>
        <v/>
      </c>
      <c r="F34" s="230" t="str">
        <f>IFERROR(VLOOKUP($D34,SortedDownload!$B$3:$Z$489,14,FALSE),"")</f>
        <v/>
      </c>
      <c r="G34" s="230" t="str">
        <f>IFERROR(VLOOKUP($D34,SortedDownload!$B$3:$Z$489,15,FALSE),"")</f>
        <v/>
      </c>
      <c r="H34" s="230" t="str">
        <f>IFERROR(VLOOKUP($D34,SortedDownload!$B$3:$Z$489,16,FALSE),"")</f>
        <v/>
      </c>
      <c r="I34" s="230" t="str">
        <f>IFERROR(VLOOKUP($D34,SortedDownload!$B$3:$Z$489,17,FALSE),"")</f>
        <v/>
      </c>
      <c r="J34" s="230" t="str">
        <f>IFERROR(VLOOKUP($D34,SortedDownload!$B$3:$Z$489,18,FALSE),"")</f>
        <v/>
      </c>
      <c r="K34" s="230" t="str">
        <f>IFERROR(VLOOKUP($D34,SortedDownload!$B$3:$Z$489,19,FALSE),"")</f>
        <v/>
      </c>
      <c r="L34" s="230" t="str">
        <f>IFERROR(VLOOKUP($D34,SortedDownload!$B$3:$Z$489,20,FALSE),"")</f>
        <v/>
      </c>
      <c r="M34" s="230" t="str">
        <f>IFERROR(VLOOKUP($D34,SortedDownload!$B$3:$Z$489,21,FALSE),"")</f>
        <v/>
      </c>
      <c r="O34">
        <v>331</v>
      </c>
      <c r="P34" t="str">
        <f>IFERROR(VLOOKUP($O34,OverallResults!$B$3:$Z$508,2,FALSE),"")</f>
        <v>DNF</v>
      </c>
      <c r="Q34" t="str">
        <f>IFERROR(VLOOKUP($O34,OverallResults!$B$3:$Z$508,3,FALSE),"")</f>
        <v/>
      </c>
      <c r="R34" t="str">
        <f>IFERROR(TEXT(VLOOKUP($O34,OverallResults!$B$3:$Z$489,17,FALSE),"[h]:mm:ss.0"),"")</f>
        <v/>
      </c>
      <c r="S34" s="230" t="str">
        <f>IFERROR(VLOOKUP($Q34,SortedDownload!$B$3:$Z$489,14,FALSE),"")</f>
        <v/>
      </c>
      <c r="T34" s="230" t="str">
        <f>IFERROR(VLOOKUP($Q34,SortedDownload!$B$3:$Z$489,15,FALSE),"")</f>
        <v/>
      </c>
      <c r="U34" s="230" t="str">
        <f>IFERROR(VLOOKUP($Q34,SortedDownload!$B$3:$Z$489,16,FALSE),"")</f>
        <v/>
      </c>
      <c r="V34" s="230" t="str">
        <f>IFERROR(VLOOKUP($Q34,SortedDownload!$B$3:$Z$489,17,FALSE),"")</f>
        <v/>
      </c>
      <c r="W34" s="230" t="str">
        <f>IFERROR(VLOOKUP($Q34,SortedDownload!$B$3:$Z$489,18,FALSE),"")</f>
        <v/>
      </c>
      <c r="X34" s="230" t="str">
        <f>IFERROR(VLOOKUP($Q34,SortedDownload!$B$3:$Z$489,19,FALSE),"")</f>
        <v/>
      </c>
      <c r="Y34" s="230" t="str">
        <f>IFERROR(VLOOKUP($Q34,SortedDownload!$B$3:$Z$489,20,FALSE),"")</f>
        <v/>
      </c>
      <c r="Z34" s="230" t="str">
        <f>IFERROR(VLOOKUP($Q34,SortedDownload!$B$3:$Z$489,21,FALSE),"")</f>
        <v/>
      </c>
      <c r="AB34">
        <v>381</v>
      </c>
      <c r="AC34" t="str">
        <f>IFERROR(VLOOKUP($AB34,OverallResults!$B$3:$Z$508,2,FALSE),"")</f>
        <v>DNF</v>
      </c>
      <c r="AD34" t="str">
        <f>IFERROR(VLOOKUP($AB34,OverallResults!$B$3:$Z$508,3,FALSE),"")</f>
        <v/>
      </c>
      <c r="AE34" t="str">
        <f>IFERROR(TEXT(VLOOKUP($AB34,OverallResults!$B$3:$Z$489,17,FALSE),"[h]:mm:ss.0"),"")</f>
        <v/>
      </c>
      <c r="AF34" s="230" t="str">
        <f>IFERROR(VLOOKUP($AD34,SortedDownload!$B$3:$Z$489,14,FALSE),"")</f>
        <v/>
      </c>
      <c r="AG34" s="230" t="str">
        <f>IFERROR(VLOOKUP($AD34,SortedDownload!$B$3:$Z$489,15,FALSE),"")</f>
        <v/>
      </c>
      <c r="AH34" s="230" t="str">
        <f>IFERROR(VLOOKUP($AD34,SortedDownload!$B$3:$Z$489,16,FALSE),"")</f>
        <v/>
      </c>
      <c r="AI34" s="230" t="str">
        <f>IFERROR(VLOOKUP($AD34,SortedDownload!$B$3:$Z$489,17,FALSE),"")</f>
        <v/>
      </c>
      <c r="AJ34" s="230" t="str">
        <f>IFERROR(VLOOKUP($AD34,SortedDownload!$B$3:$Z$489,18,FALSE),"")</f>
        <v/>
      </c>
      <c r="AK34" s="230" t="str">
        <f>IFERROR(VLOOKUP($AD34,SortedDownload!$B$3:$Z$489,19,FALSE),"")</f>
        <v/>
      </c>
      <c r="AL34" s="230" t="str">
        <f>IFERROR(VLOOKUP($AD34,SortedDownload!$B$3:$Z$489,20,FALSE),"")</f>
        <v/>
      </c>
      <c r="AM34" s="230" t="str">
        <f>IFERROR(VLOOKUP($AD34,SortedDownload!$B$3:$Z$489,21,FALSE),"")</f>
        <v/>
      </c>
      <c r="AO34">
        <v>431</v>
      </c>
      <c r="AP34" t="str">
        <f>IFERROR(VLOOKUP(#REF!,OverallResults!$A$3:$Z$489,3,FALSE),"")</f>
        <v/>
      </c>
      <c r="AQ34" t="str">
        <f>IFERROR(VLOOKUP(#REF!,EntryList!$A$3:$Z$291,26,FALSE),"")</f>
        <v/>
      </c>
      <c r="AR34" t="str">
        <f>IFERROR(TEXT(VLOOKUP(#REF!,SortedDownload!$A$3:$Z$489,14,FALSE),"[h]:mm:ss.0"),"")</f>
        <v/>
      </c>
      <c r="AS34" s="230" t="str">
        <f>IFERROR(VLOOKUP(#REF!,SortedDownload!$A$3:$Z$489,15,FALSE),"")</f>
        <v/>
      </c>
      <c r="AT34" s="230" t="str">
        <f>IFERROR(VLOOKUP(#REF!,SortedDownload!$A$3:$Z$489,16,FALSE),"")</f>
        <v/>
      </c>
      <c r="AU34" s="230" t="str">
        <f>IFERROR(VLOOKUP(#REF!,SortedDownload!$A$3:$Z$489,17,FALSE),"")</f>
        <v/>
      </c>
      <c r="AV34" s="230" t="str">
        <f>IFERROR(VLOOKUP(#REF!,SortedDownload!$A$3:$Z$489,18,FALSE),"")</f>
        <v/>
      </c>
      <c r="AW34" s="230" t="str">
        <f>IFERROR(VLOOKUP(#REF!,SortedDownload!$A$3:$Z$489,19,FALSE),"")</f>
        <v/>
      </c>
      <c r="AX34" s="230" t="str">
        <f>IFERROR(VLOOKUP(#REF!,SortedDownload!$A$3:$Z$489,20,FALSE),"")</f>
        <v/>
      </c>
      <c r="AY34" s="230" t="str">
        <f>IFERROR(VLOOKUP(#REF!,SortedDownload!$A$3:$Z$489,21,FALSE),"")</f>
        <v/>
      </c>
      <c r="AZ34" s="230" t="str">
        <f>IFERROR(VLOOKUP(#REF!,SortedDownload!$A$3:$Z$489,22,FALSE),"")</f>
        <v/>
      </c>
      <c r="BB34">
        <v>481</v>
      </c>
      <c r="BC34" t="str">
        <f>IFERROR(VLOOKUP($BB34,OverallResults!$B$3:$Z$508,2,FALSE),"")</f>
        <v/>
      </c>
      <c r="BD34" t="str">
        <f>IFERROR(VLOOKUP($BB34,OverallResults!$B$3:$Z$508,3,FALSE),"")</f>
        <v/>
      </c>
      <c r="BE34" t="str">
        <f>IFERROR(TEXT(VLOOKUP($BB34,OverallResults!$B$3:$Z$489,17,FALSE),"[h]:mm:ss.0"),"")</f>
        <v/>
      </c>
      <c r="BF34" s="230" t="str">
        <f>IFERROR(VLOOKUP($BD34,SortedDownload!$B$3:$Z$489,14,FALSE),"")</f>
        <v/>
      </c>
      <c r="BG34" s="230" t="str">
        <f>IFERROR(VLOOKUP($BD34,SortedDownload!$B$3:$Z$489,15,FALSE),"")</f>
        <v/>
      </c>
      <c r="BH34" s="230" t="str">
        <f>IFERROR(VLOOKUP($BD34,SortedDownload!$B$3:$Z$489,16,FALSE),"")</f>
        <v/>
      </c>
      <c r="BI34" s="230" t="str">
        <f>IFERROR(VLOOKUP($BD34,SortedDownload!$B$3:$Z$489,17,FALSE),"")</f>
        <v/>
      </c>
      <c r="BJ34" s="230" t="str">
        <f>IFERROR(VLOOKUP($BD34,SortedDownload!$B$3:$Z$489,18,FALSE),"")</f>
        <v/>
      </c>
      <c r="BK34" s="230" t="str">
        <f>IFERROR(VLOOKUP($BD34,SortedDownload!$B$3:$Z$489,19,FALSE),"")</f>
        <v/>
      </c>
      <c r="BL34" s="230" t="str">
        <f>IFERROR(VLOOKUP($BD34,SortedDownload!$B$3:$Z$489,20,FALSE),"")</f>
        <v/>
      </c>
      <c r="BM34" s="230" t="str">
        <f>IFERROR(VLOOKUP($BD34,SortedDownload!$B$3:$Z$489,21,FALSE),"")</f>
        <v/>
      </c>
    </row>
    <row r="35" spans="2:65">
      <c r="B35">
        <v>282</v>
      </c>
      <c r="C35" t="str">
        <f>IFERROR(VLOOKUP($B35,OverallResults!$B$3:$Z$508,2,FALSE),"")</f>
        <v>DNF</v>
      </c>
      <c r="D35" t="str">
        <f>IFERROR(VLOOKUP($B35,OverallResults!$B$3:$Z$508,3,FALSE),"")</f>
        <v/>
      </c>
      <c r="E35" t="str">
        <f>IFERROR(TEXT(VLOOKUP($B35,OverallResults!$B$3:$Z$489,17,FALSE),"[h]:mm:ss.0"),"")</f>
        <v/>
      </c>
      <c r="F35" s="230" t="str">
        <f>IFERROR(VLOOKUP($D35,SortedDownload!$B$3:$Z$489,14,FALSE),"")</f>
        <v/>
      </c>
      <c r="G35" s="230" t="str">
        <f>IFERROR(VLOOKUP($D35,SortedDownload!$B$3:$Z$489,15,FALSE),"")</f>
        <v/>
      </c>
      <c r="H35" s="230" t="str">
        <f>IFERROR(VLOOKUP($D35,SortedDownload!$B$3:$Z$489,16,FALSE),"")</f>
        <v/>
      </c>
      <c r="I35" s="230" t="str">
        <f>IFERROR(VLOOKUP($D35,SortedDownload!$B$3:$Z$489,17,FALSE),"")</f>
        <v/>
      </c>
      <c r="J35" s="230" t="str">
        <f>IFERROR(VLOOKUP($D35,SortedDownload!$B$3:$Z$489,18,FALSE),"")</f>
        <v/>
      </c>
      <c r="K35" s="230" t="str">
        <f>IFERROR(VLOOKUP($D35,SortedDownload!$B$3:$Z$489,19,FALSE),"")</f>
        <v/>
      </c>
      <c r="L35" s="230" t="str">
        <f>IFERROR(VLOOKUP($D35,SortedDownload!$B$3:$Z$489,20,FALSE),"")</f>
        <v/>
      </c>
      <c r="M35" s="230" t="str">
        <f>IFERROR(VLOOKUP($D35,SortedDownload!$B$3:$Z$489,21,FALSE),"")</f>
        <v/>
      </c>
      <c r="O35">
        <v>332</v>
      </c>
      <c r="P35" t="str">
        <f>IFERROR(VLOOKUP($O35,OverallResults!$B$3:$Z$508,2,FALSE),"")</f>
        <v>DNF</v>
      </c>
      <c r="Q35" t="str">
        <f>IFERROR(VLOOKUP($O35,OverallResults!$B$3:$Z$508,3,FALSE),"")</f>
        <v/>
      </c>
      <c r="R35" t="str">
        <f>IFERROR(TEXT(VLOOKUP($O35,OverallResults!$B$3:$Z$489,17,FALSE),"[h]:mm:ss.0"),"")</f>
        <v/>
      </c>
      <c r="S35" s="230" t="str">
        <f>IFERROR(VLOOKUP($Q35,SortedDownload!$B$3:$Z$489,14,FALSE),"")</f>
        <v/>
      </c>
      <c r="T35" s="230" t="str">
        <f>IFERROR(VLOOKUP($Q35,SortedDownload!$B$3:$Z$489,15,FALSE),"")</f>
        <v/>
      </c>
      <c r="U35" s="230" t="str">
        <f>IFERROR(VLOOKUP($Q35,SortedDownload!$B$3:$Z$489,16,FALSE),"")</f>
        <v/>
      </c>
      <c r="V35" s="230" t="str">
        <f>IFERROR(VLOOKUP($Q35,SortedDownload!$B$3:$Z$489,17,FALSE),"")</f>
        <v/>
      </c>
      <c r="W35" s="230" t="str">
        <f>IFERROR(VLOOKUP($Q35,SortedDownload!$B$3:$Z$489,18,FALSE),"")</f>
        <v/>
      </c>
      <c r="X35" s="230" t="str">
        <f>IFERROR(VLOOKUP($Q35,SortedDownload!$B$3:$Z$489,19,FALSE),"")</f>
        <v/>
      </c>
      <c r="Y35" s="230" t="str">
        <f>IFERROR(VLOOKUP($Q35,SortedDownload!$B$3:$Z$489,20,FALSE),"")</f>
        <v/>
      </c>
      <c r="Z35" s="230" t="str">
        <f>IFERROR(VLOOKUP($Q35,SortedDownload!$B$3:$Z$489,21,FALSE),"")</f>
        <v/>
      </c>
      <c r="AB35">
        <v>382</v>
      </c>
      <c r="AC35" t="str">
        <f>IFERROR(VLOOKUP($AB35,OverallResults!$B$3:$Z$508,2,FALSE),"")</f>
        <v>DNF</v>
      </c>
      <c r="AD35" t="str">
        <f>IFERROR(VLOOKUP($AB35,OverallResults!$B$3:$Z$508,3,FALSE),"")</f>
        <v/>
      </c>
      <c r="AE35" t="str">
        <f>IFERROR(TEXT(VLOOKUP($AB35,OverallResults!$B$3:$Z$489,17,FALSE),"[h]:mm:ss.0"),"")</f>
        <v/>
      </c>
      <c r="AF35" s="230" t="str">
        <f>IFERROR(VLOOKUP($AD35,SortedDownload!$B$3:$Z$489,14,FALSE),"")</f>
        <v/>
      </c>
      <c r="AG35" s="230" t="str">
        <f>IFERROR(VLOOKUP($AD35,SortedDownload!$B$3:$Z$489,15,FALSE),"")</f>
        <v/>
      </c>
      <c r="AH35" s="230" t="str">
        <f>IFERROR(VLOOKUP($AD35,SortedDownload!$B$3:$Z$489,16,FALSE),"")</f>
        <v/>
      </c>
      <c r="AI35" s="230" t="str">
        <f>IFERROR(VLOOKUP($AD35,SortedDownload!$B$3:$Z$489,17,FALSE),"")</f>
        <v/>
      </c>
      <c r="AJ35" s="230" t="str">
        <f>IFERROR(VLOOKUP($AD35,SortedDownload!$B$3:$Z$489,18,FALSE),"")</f>
        <v/>
      </c>
      <c r="AK35" s="230" t="str">
        <f>IFERROR(VLOOKUP($AD35,SortedDownload!$B$3:$Z$489,19,FALSE),"")</f>
        <v/>
      </c>
      <c r="AL35" s="230" t="str">
        <f>IFERROR(VLOOKUP($AD35,SortedDownload!$B$3:$Z$489,20,FALSE),"")</f>
        <v/>
      </c>
      <c r="AM35" s="230" t="str">
        <f>IFERROR(VLOOKUP($AD35,SortedDownload!$B$3:$Z$489,21,FALSE),"")</f>
        <v/>
      </c>
      <c r="AO35">
        <v>432</v>
      </c>
      <c r="AP35" t="str">
        <f>IFERROR(VLOOKUP(#REF!,OverallResults!$A$3:$Z$489,3,FALSE),"")</f>
        <v/>
      </c>
      <c r="AQ35" t="str">
        <f>IFERROR(VLOOKUP(#REF!,EntryList!$A$3:$Z$291,26,FALSE),"")</f>
        <v/>
      </c>
      <c r="AR35" t="str">
        <f>IFERROR(TEXT(VLOOKUP(#REF!,SortedDownload!$A$3:$Z$489,14,FALSE),"[h]:mm:ss.0"),"")</f>
        <v/>
      </c>
      <c r="AS35" s="230" t="str">
        <f>IFERROR(VLOOKUP(#REF!,SortedDownload!$A$3:$Z$489,15,FALSE),"")</f>
        <v/>
      </c>
      <c r="AT35" s="230" t="str">
        <f>IFERROR(VLOOKUP(#REF!,SortedDownload!$A$3:$Z$489,16,FALSE),"")</f>
        <v/>
      </c>
      <c r="AU35" s="230" t="str">
        <f>IFERROR(VLOOKUP(#REF!,SortedDownload!$A$3:$Z$489,17,FALSE),"")</f>
        <v/>
      </c>
      <c r="AV35" s="230" t="str">
        <f>IFERROR(VLOOKUP(#REF!,SortedDownload!$A$3:$Z$489,18,FALSE),"")</f>
        <v/>
      </c>
      <c r="AW35" s="230" t="str">
        <f>IFERROR(VLOOKUP(#REF!,SortedDownload!$A$3:$Z$489,19,FALSE),"")</f>
        <v/>
      </c>
      <c r="AX35" s="230" t="str">
        <f>IFERROR(VLOOKUP(#REF!,SortedDownload!$A$3:$Z$489,20,FALSE),"")</f>
        <v/>
      </c>
      <c r="AY35" s="230" t="str">
        <f>IFERROR(VLOOKUP(#REF!,SortedDownload!$A$3:$Z$489,21,FALSE),"")</f>
        <v/>
      </c>
      <c r="AZ35" s="230" t="str">
        <f>IFERROR(VLOOKUP(#REF!,SortedDownload!$A$3:$Z$489,22,FALSE),"")</f>
        <v/>
      </c>
      <c r="BB35">
        <v>482</v>
      </c>
      <c r="BC35" t="str">
        <f>IFERROR(VLOOKUP($BB35,OverallResults!$B$3:$Z$508,2,FALSE),"")</f>
        <v/>
      </c>
      <c r="BD35" t="str">
        <f>IFERROR(VLOOKUP($BB35,OverallResults!$B$3:$Z$508,3,FALSE),"")</f>
        <v/>
      </c>
      <c r="BE35" t="str">
        <f>IFERROR(TEXT(VLOOKUP($BB35,OverallResults!$B$3:$Z$489,17,FALSE),"[h]:mm:ss.0"),"")</f>
        <v/>
      </c>
      <c r="BF35" s="230" t="str">
        <f>IFERROR(VLOOKUP($BD35,SortedDownload!$B$3:$Z$489,14,FALSE),"")</f>
        <v/>
      </c>
      <c r="BG35" s="230" t="str">
        <f>IFERROR(VLOOKUP($BD35,SortedDownload!$B$3:$Z$489,15,FALSE),"")</f>
        <v/>
      </c>
      <c r="BH35" s="230" t="str">
        <f>IFERROR(VLOOKUP($BD35,SortedDownload!$B$3:$Z$489,16,FALSE),"")</f>
        <v/>
      </c>
      <c r="BI35" s="230" t="str">
        <f>IFERROR(VLOOKUP($BD35,SortedDownload!$B$3:$Z$489,17,FALSE),"")</f>
        <v/>
      </c>
      <c r="BJ35" s="230" t="str">
        <f>IFERROR(VLOOKUP($BD35,SortedDownload!$B$3:$Z$489,18,FALSE),"")</f>
        <v/>
      </c>
      <c r="BK35" s="230" t="str">
        <f>IFERROR(VLOOKUP($BD35,SortedDownload!$B$3:$Z$489,19,FALSE),"")</f>
        <v/>
      </c>
      <c r="BL35" s="230" t="str">
        <f>IFERROR(VLOOKUP($BD35,SortedDownload!$B$3:$Z$489,20,FALSE),"")</f>
        <v/>
      </c>
      <c r="BM35" s="230" t="str">
        <f>IFERROR(VLOOKUP($BD35,SortedDownload!$B$3:$Z$489,21,FALSE),"")</f>
        <v/>
      </c>
    </row>
    <row r="36" spans="2:65">
      <c r="B36">
        <v>283</v>
      </c>
      <c r="C36" t="str">
        <f>IFERROR(VLOOKUP($B36,OverallResults!$B$3:$Z$508,2,FALSE),"")</f>
        <v>DNF</v>
      </c>
      <c r="D36" t="str">
        <f>IFERROR(VLOOKUP($B36,OverallResults!$B$3:$Z$508,3,FALSE),"")</f>
        <v/>
      </c>
      <c r="E36" t="str">
        <f>IFERROR(TEXT(VLOOKUP($B36,OverallResults!$B$3:$Z$489,17,FALSE),"[h]:mm:ss.0"),"")</f>
        <v/>
      </c>
      <c r="F36" s="230" t="str">
        <f>IFERROR(VLOOKUP($D36,SortedDownload!$B$3:$Z$489,14,FALSE),"")</f>
        <v/>
      </c>
      <c r="G36" s="230" t="str">
        <f>IFERROR(VLOOKUP($D36,SortedDownload!$B$3:$Z$489,15,FALSE),"")</f>
        <v/>
      </c>
      <c r="H36" s="230" t="str">
        <f>IFERROR(VLOOKUP($D36,SortedDownload!$B$3:$Z$489,16,FALSE),"")</f>
        <v/>
      </c>
      <c r="I36" s="230" t="str">
        <f>IFERROR(VLOOKUP($D36,SortedDownload!$B$3:$Z$489,17,FALSE),"")</f>
        <v/>
      </c>
      <c r="J36" s="230" t="str">
        <f>IFERROR(VLOOKUP($D36,SortedDownload!$B$3:$Z$489,18,FALSE),"")</f>
        <v/>
      </c>
      <c r="K36" s="230" t="str">
        <f>IFERROR(VLOOKUP($D36,SortedDownload!$B$3:$Z$489,19,FALSE),"")</f>
        <v/>
      </c>
      <c r="L36" s="230" t="str">
        <f>IFERROR(VLOOKUP($D36,SortedDownload!$B$3:$Z$489,20,FALSE),"")</f>
        <v/>
      </c>
      <c r="M36" s="230" t="str">
        <f>IFERROR(VLOOKUP($D36,SortedDownload!$B$3:$Z$489,21,FALSE),"")</f>
        <v/>
      </c>
      <c r="O36">
        <v>333</v>
      </c>
      <c r="P36" t="str">
        <f>IFERROR(VLOOKUP($O36,OverallResults!$B$3:$Z$508,2,FALSE),"")</f>
        <v>DNF</v>
      </c>
      <c r="Q36" t="str">
        <f>IFERROR(VLOOKUP($O36,OverallResults!$B$3:$Z$508,3,FALSE),"")</f>
        <v/>
      </c>
      <c r="R36" t="str">
        <f>IFERROR(TEXT(VLOOKUP($O36,OverallResults!$B$3:$Z$489,17,FALSE),"[h]:mm:ss.0"),"")</f>
        <v/>
      </c>
      <c r="S36" s="230" t="str">
        <f>IFERROR(VLOOKUP($Q36,SortedDownload!$B$3:$Z$489,14,FALSE),"")</f>
        <v/>
      </c>
      <c r="T36" s="230" t="str">
        <f>IFERROR(VLOOKUP($Q36,SortedDownload!$B$3:$Z$489,15,FALSE),"")</f>
        <v/>
      </c>
      <c r="U36" s="230" t="str">
        <f>IFERROR(VLOOKUP($Q36,SortedDownload!$B$3:$Z$489,16,FALSE),"")</f>
        <v/>
      </c>
      <c r="V36" s="230" t="str">
        <f>IFERROR(VLOOKUP($Q36,SortedDownload!$B$3:$Z$489,17,FALSE),"")</f>
        <v/>
      </c>
      <c r="W36" s="230" t="str">
        <f>IFERROR(VLOOKUP($Q36,SortedDownload!$B$3:$Z$489,18,FALSE),"")</f>
        <v/>
      </c>
      <c r="X36" s="230" t="str">
        <f>IFERROR(VLOOKUP($Q36,SortedDownload!$B$3:$Z$489,19,FALSE),"")</f>
        <v/>
      </c>
      <c r="Y36" s="230" t="str">
        <f>IFERROR(VLOOKUP($Q36,SortedDownload!$B$3:$Z$489,20,FALSE),"")</f>
        <v/>
      </c>
      <c r="Z36" s="230" t="str">
        <f>IFERROR(VLOOKUP($Q36,SortedDownload!$B$3:$Z$489,21,FALSE),"")</f>
        <v/>
      </c>
      <c r="AB36">
        <v>383</v>
      </c>
      <c r="AC36" t="str">
        <f>IFERROR(VLOOKUP($AB36,OverallResults!$B$3:$Z$508,2,FALSE),"")</f>
        <v>DNF</v>
      </c>
      <c r="AD36" t="str">
        <f>IFERROR(VLOOKUP($AB36,OverallResults!$B$3:$Z$508,3,FALSE),"")</f>
        <v/>
      </c>
      <c r="AE36" t="str">
        <f>IFERROR(TEXT(VLOOKUP($AB36,OverallResults!$B$3:$Z$489,17,FALSE),"[h]:mm:ss.0"),"")</f>
        <v/>
      </c>
      <c r="AF36" s="230" t="str">
        <f>IFERROR(VLOOKUP($AD36,SortedDownload!$B$3:$Z$489,14,FALSE),"")</f>
        <v/>
      </c>
      <c r="AG36" s="230" t="str">
        <f>IFERROR(VLOOKUP($AD36,SortedDownload!$B$3:$Z$489,15,FALSE),"")</f>
        <v/>
      </c>
      <c r="AH36" s="230" t="str">
        <f>IFERROR(VLOOKUP($AD36,SortedDownload!$B$3:$Z$489,16,FALSE),"")</f>
        <v/>
      </c>
      <c r="AI36" s="230" t="str">
        <f>IFERROR(VLOOKUP($AD36,SortedDownload!$B$3:$Z$489,17,FALSE),"")</f>
        <v/>
      </c>
      <c r="AJ36" s="230" t="str">
        <f>IFERROR(VLOOKUP($AD36,SortedDownload!$B$3:$Z$489,18,FALSE),"")</f>
        <v/>
      </c>
      <c r="AK36" s="230" t="str">
        <f>IFERROR(VLOOKUP($AD36,SortedDownload!$B$3:$Z$489,19,FALSE),"")</f>
        <v/>
      </c>
      <c r="AL36" s="230" t="str">
        <f>IFERROR(VLOOKUP($AD36,SortedDownload!$B$3:$Z$489,20,FALSE),"")</f>
        <v/>
      </c>
      <c r="AM36" s="230" t="str">
        <f>IFERROR(VLOOKUP($AD36,SortedDownload!$B$3:$Z$489,21,FALSE),"")</f>
        <v/>
      </c>
      <c r="AO36">
        <v>433</v>
      </c>
      <c r="AP36" t="str">
        <f>IFERROR(VLOOKUP(#REF!,OverallResults!$A$3:$Z$489,3,FALSE),"")</f>
        <v/>
      </c>
      <c r="AQ36" t="str">
        <f>IFERROR(VLOOKUP(#REF!,EntryList!$A$3:$Z$291,26,FALSE),"")</f>
        <v/>
      </c>
      <c r="AR36" t="str">
        <f>IFERROR(TEXT(VLOOKUP(#REF!,SortedDownload!$A$3:$Z$489,14,FALSE),"[h]:mm:ss.0"),"")</f>
        <v/>
      </c>
      <c r="AS36" s="230" t="str">
        <f>IFERROR(VLOOKUP(#REF!,SortedDownload!$A$3:$Z$489,15,FALSE),"")</f>
        <v/>
      </c>
      <c r="AT36" s="230" t="str">
        <f>IFERROR(VLOOKUP(#REF!,SortedDownload!$A$3:$Z$489,16,FALSE),"")</f>
        <v/>
      </c>
      <c r="AU36" s="230" t="str">
        <f>IFERROR(VLOOKUP(#REF!,SortedDownload!$A$3:$Z$489,17,FALSE),"")</f>
        <v/>
      </c>
      <c r="AV36" s="230" t="str">
        <f>IFERROR(VLOOKUP(#REF!,SortedDownload!$A$3:$Z$489,18,FALSE),"")</f>
        <v/>
      </c>
      <c r="AW36" s="230" t="str">
        <f>IFERROR(VLOOKUP(#REF!,SortedDownload!$A$3:$Z$489,19,FALSE),"")</f>
        <v/>
      </c>
      <c r="AX36" s="230" t="str">
        <f>IFERROR(VLOOKUP(#REF!,SortedDownload!$A$3:$Z$489,20,FALSE),"")</f>
        <v/>
      </c>
      <c r="AY36" s="230" t="str">
        <f>IFERROR(VLOOKUP(#REF!,SortedDownload!$A$3:$Z$489,21,FALSE),"")</f>
        <v/>
      </c>
      <c r="AZ36" s="230" t="str">
        <f>IFERROR(VLOOKUP(#REF!,SortedDownload!$A$3:$Z$489,22,FALSE),"")</f>
        <v/>
      </c>
      <c r="BB36">
        <v>483</v>
      </c>
      <c r="BC36" t="str">
        <f>IFERROR(VLOOKUP($BB36,OverallResults!$B$3:$Z$508,2,FALSE),"")</f>
        <v/>
      </c>
      <c r="BD36" t="str">
        <f>IFERROR(VLOOKUP($BB36,OverallResults!$B$3:$Z$508,3,FALSE),"")</f>
        <v/>
      </c>
      <c r="BE36" t="str">
        <f>IFERROR(TEXT(VLOOKUP($BB36,OverallResults!$B$3:$Z$489,17,FALSE),"[h]:mm:ss.0"),"")</f>
        <v/>
      </c>
      <c r="BF36" s="230" t="str">
        <f>IFERROR(VLOOKUP($BD36,SortedDownload!$B$3:$Z$489,14,FALSE),"")</f>
        <v/>
      </c>
      <c r="BG36" s="230" t="str">
        <f>IFERROR(VLOOKUP($BD36,SortedDownload!$B$3:$Z$489,15,FALSE),"")</f>
        <v/>
      </c>
      <c r="BH36" s="230" t="str">
        <f>IFERROR(VLOOKUP($BD36,SortedDownload!$B$3:$Z$489,16,FALSE),"")</f>
        <v/>
      </c>
      <c r="BI36" s="230" t="str">
        <f>IFERROR(VLOOKUP($BD36,SortedDownload!$B$3:$Z$489,17,FALSE),"")</f>
        <v/>
      </c>
      <c r="BJ36" s="230" t="str">
        <f>IFERROR(VLOOKUP($BD36,SortedDownload!$B$3:$Z$489,18,FALSE),"")</f>
        <v/>
      </c>
      <c r="BK36" s="230" t="str">
        <f>IFERROR(VLOOKUP($BD36,SortedDownload!$B$3:$Z$489,19,FALSE),"")</f>
        <v/>
      </c>
      <c r="BL36" s="230" t="str">
        <f>IFERROR(VLOOKUP($BD36,SortedDownload!$B$3:$Z$489,20,FALSE),"")</f>
        <v/>
      </c>
      <c r="BM36" s="230" t="str">
        <f>IFERROR(VLOOKUP($BD36,SortedDownload!$B$3:$Z$489,21,FALSE),"")</f>
        <v/>
      </c>
    </row>
    <row r="37" spans="2:65">
      <c r="B37">
        <v>284</v>
      </c>
      <c r="C37" t="str">
        <f>IFERROR(VLOOKUP($B37,OverallResults!$B$3:$Z$508,2,FALSE),"")</f>
        <v>DNF</v>
      </c>
      <c r="D37" t="str">
        <f>IFERROR(VLOOKUP($B37,OverallResults!$B$3:$Z$508,3,FALSE),"")</f>
        <v/>
      </c>
      <c r="E37" t="str">
        <f>IFERROR(TEXT(VLOOKUP($B37,OverallResults!$B$3:$Z$489,17,FALSE),"[h]:mm:ss.0"),"")</f>
        <v/>
      </c>
      <c r="F37" s="230" t="str">
        <f>IFERROR(VLOOKUP($D37,SortedDownload!$B$3:$Z$489,14,FALSE),"")</f>
        <v/>
      </c>
      <c r="G37" s="230" t="str">
        <f>IFERROR(VLOOKUP($D37,SortedDownload!$B$3:$Z$489,15,FALSE),"")</f>
        <v/>
      </c>
      <c r="H37" s="230" t="str">
        <f>IFERROR(VLOOKUP($D37,SortedDownload!$B$3:$Z$489,16,FALSE),"")</f>
        <v/>
      </c>
      <c r="I37" s="230" t="str">
        <f>IFERROR(VLOOKUP($D37,SortedDownload!$B$3:$Z$489,17,FALSE),"")</f>
        <v/>
      </c>
      <c r="J37" s="230" t="str">
        <f>IFERROR(VLOOKUP($D37,SortedDownload!$B$3:$Z$489,18,FALSE),"")</f>
        <v/>
      </c>
      <c r="K37" s="230" t="str">
        <f>IFERROR(VLOOKUP($D37,SortedDownload!$B$3:$Z$489,19,FALSE),"")</f>
        <v/>
      </c>
      <c r="L37" s="230" t="str">
        <f>IFERROR(VLOOKUP($D37,SortedDownload!$B$3:$Z$489,20,FALSE),"")</f>
        <v/>
      </c>
      <c r="M37" s="230" t="str">
        <f>IFERROR(VLOOKUP($D37,SortedDownload!$B$3:$Z$489,21,FALSE),"")</f>
        <v/>
      </c>
      <c r="O37">
        <v>334</v>
      </c>
      <c r="P37" t="str">
        <f>IFERROR(VLOOKUP($O37,OverallResults!$B$3:$Z$508,2,FALSE),"")</f>
        <v>DNF</v>
      </c>
      <c r="Q37" t="str">
        <f>IFERROR(VLOOKUP($O37,OverallResults!$B$3:$Z$508,3,FALSE),"")</f>
        <v/>
      </c>
      <c r="R37" t="str">
        <f>IFERROR(TEXT(VLOOKUP($O37,OverallResults!$B$3:$Z$489,17,FALSE),"[h]:mm:ss.0"),"")</f>
        <v/>
      </c>
      <c r="S37" s="230" t="str">
        <f>IFERROR(VLOOKUP($Q37,SortedDownload!$B$3:$Z$489,14,FALSE),"")</f>
        <v/>
      </c>
      <c r="T37" s="230" t="str">
        <f>IFERROR(VLOOKUP($Q37,SortedDownload!$B$3:$Z$489,15,FALSE),"")</f>
        <v/>
      </c>
      <c r="U37" s="230" t="str">
        <f>IFERROR(VLOOKUP($Q37,SortedDownload!$B$3:$Z$489,16,FALSE),"")</f>
        <v/>
      </c>
      <c r="V37" s="230" t="str">
        <f>IFERROR(VLOOKUP($Q37,SortedDownload!$B$3:$Z$489,17,FALSE),"")</f>
        <v/>
      </c>
      <c r="W37" s="230" t="str">
        <f>IFERROR(VLOOKUP($Q37,SortedDownload!$B$3:$Z$489,18,FALSE),"")</f>
        <v/>
      </c>
      <c r="X37" s="230" t="str">
        <f>IFERROR(VLOOKUP($Q37,SortedDownload!$B$3:$Z$489,19,FALSE),"")</f>
        <v/>
      </c>
      <c r="Y37" s="230" t="str">
        <f>IFERROR(VLOOKUP($Q37,SortedDownload!$B$3:$Z$489,20,FALSE),"")</f>
        <v/>
      </c>
      <c r="Z37" s="230" t="str">
        <f>IFERROR(VLOOKUP($Q37,SortedDownload!$B$3:$Z$489,21,FALSE),"")</f>
        <v/>
      </c>
      <c r="AB37">
        <v>384</v>
      </c>
      <c r="AC37" t="str">
        <f>IFERROR(VLOOKUP($AB37,OverallResults!$B$3:$Z$508,2,FALSE),"")</f>
        <v>DNF</v>
      </c>
      <c r="AD37" t="str">
        <f>IFERROR(VLOOKUP($AB37,OverallResults!$B$3:$Z$508,3,FALSE),"")</f>
        <v/>
      </c>
      <c r="AE37" t="str">
        <f>IFERROR(TEXT(VLOOKUP($AB37,OverallResults!$B$3:$Z$489,17,FALSE),"[h]:mm:ss.0"),"")</f>
        <v/>
      </c>
      <c r="AF37" s="230" t="str">
        <f>IFERROR(VLOOKUP($AD37,SortedDownload!$B$3:$Z$489,14,FALSE),"")</f>
        <v/>
      </c>
      <c r="AG37" s="230" t="str">
        <f>IFERROR(VLOOKUP($AD37,SortedDownload!$B$3:$Z$489,15,FALSE),"")</f>
        <v/>
      </c>
      <c r="AH37" s="230" t="str">
        <f>IFERROR(VLOOKUP($AD37,SortedDownload!$B$3:$Z$489,16,FALSE),"")</f>
        <v/>
      </c>
      <c r="AI37" s="230" t="str">
        <f>IFERROR(VLOOKUP($AD37,SortedDownload!$B$3:$Z$489,17,FALSE),"")</f>
        <v/>
      </c>
      <c r="AJ37" s="230" t="str">
        <f>IFERROR(VLOOKUP($AD37,SortedDownload!$B$3:$Z$489,18,FALSE),"")</f>
        <v/>
      </c>
      <c r="AK37" s="230" t="str">
        <f>IFERROR(VLOOKUP($AD37,SortedDownload!$B$3:$Z$489,19,FALSE),"")</f>
        <v/>
      </c>
      <c r="AL37" s="230" t="str">
        <f>IFERROR(VLOOKUP($AD37,SortedDownload!$B$3:$Z$489,20,FALSE),"")</f>
        <v/>
      </c>
      <c r="AM37" s="230" t="str">
        <f>IFERROR(VLOOKUP($AD37,SortedDownload!$B$3:$Z$489,21,FALSE),"")</f>
        <v/>
      </c>
      <c r="AO37">
        <v>434</v>
      </c>
      <c r="AP37" t="str">
        <f>IFERROR(VLOOKUP(#REF!,OverallResults!$A$3:$Z$489,3,FALSE),"")</f>
        <v/>
      </c>
      <c r="AQ37" t="str">
        <f>IFERROR(VLOOKUP(#REF!,EntryList!$A$3:$Z$291,26,FALSE),"")</f>
        <v/>
      </c>
      <c r="AR37" t="str">
        <f>IFERROR(TEXT(VLOOKUP(#REF!,SortedDownload!$A$3:$Z$489,14,FALSE),"[h]:mm:ss.0"),"")</f>
        <v/>
      </c>
      <c r="AS37" s="230" t="str">
        <f>IFERROR(VLOOKUP(#REF!,SortedDownload!$A$3:$Z$489,15,FALSE),"")</f>
        <v/>
      </c>
      <c r="AT37" s="230" t="str">
        <f>IFERROR(VLOOKUP(#REF!,SortedDownload!$A$3:$Z$489,16,FALSE),"")</f>
        <v/>
      </c>
      <c r="AU37" s="230" t="str">
        <f>IFERROR(VLOOKUP(#REF!,SortedDownload!$A$3:$Z$489,17,FALSE),"")</f>
        <v/>
      </c>
      <c r="AV37" s="230" t="str">
        <f>IFERROR(VLOOKUP(#REF!,SortedDownload!$A$3:$Z$489,18,FALSE),"")</f>
        <v/>
      </c>
      <c r="AW37" s="230" t="str">
        <f>IFERROR(VLOOKUP(#REF!,SortedDownload!$A$3:$Z$489,19,FALSE),"")</f>
        <v/>
      </c>
      <c r="AX37" s="230" t="str">
        <f>IFERROR(VLOOKUP(#REF!,SortedDownload!$A$3:$Z$489,20,FALSE),"")</f>
        <v/>
      </c>
      <c r="AY37" s="230" t="str">
        <f>IFERROR(VLOOKUP(#REF!,SortedDownload!$A$3:$Z$489,21,FALSE),"")</f>
        <v/>
      </c>
      <c r="AZ37" s="230" t="str">
        <f>IFERROR(VLOOKUP(#REF!,SortedDownload!$A$3:$Z$489,22,FALSE),"")</f>
        <v/>
      </c>
      <c r="BB37">
        <v>484</v>
      </c>
      <c r="BC37" t="str">
        <f>IFERROR(VLOOKUP($BB37,OverallResults!$B$3:$Z$508,2,FALSE),"")</f>
        <v/>
      </c>
      <c r="BD37" t="str">
        <f>IFERROR(VLOOKUP($BB37,OverallResults!$B$3:$Z$508,3,FALSE),"")</f>
        <v/>
      </c>
      <c r="BE37" t="str">
        <f>IFERROR(TEXT(VLOOKUP($BB37,OverallResults!$B$3:$Z$489,17,FALSE),"[h]:mm:ss.0"),"")</f>
        <v/>
      </c>
      <c r="BF37" s="230" t="str">
        <f>IFERROR(VLOOKUP($BD37,SortedDownload!$B$3:$Z$489,14,FALSE),"")</f>
        <v/>
      </c>
      <c r="BG37" s="230" t="str">
        <f>IFERROR(VLOOKUP($BD37,SortedDownload!$B$3:$Z$489,15,FALSE),"")</f>
        <v/>
      </c>
      <c r="BH37" s="230" t="str">
        <f>IFERROR(VLOOKUP($BD37,SortedDownload!$B$3:$Z$489,16,FALSE),"")</f>
        <v/>
      </c>
      <c r="BI37" s="230" t="str">
        <f>IFERROR(VLOOKUP($BD37,SortedDownload!$B$3:$Z$489,17,FALSE),"")</f>
        <v/>
      </c>
      <c r="BJ37" s="230" t="str">
        <f>IFERROR(VLOOKUP($BD37,SortedDownload!$B$3:$Z$489,18,FALSE),"")</f>
        <v/>
      </c>
      <c r="BK37" s="230" t="str">
        <f>IFERROR(VLOOKUP($BD37,SortedDownload!$B$3:$Z$489,19,FALSE),"")</f>
        <v/>
      </c>
      <c r="BL37" s="230" t="str">
        <f>IFERROR(VLOOKUP($BD37,SortedDownload!$B$3:$Z$489,20,FALSE),"")</f>
        <v/>
      </c>
      <c r="BM37" s="230" t="str">
        <f>IFERROR(VLOOKUP($BD37,SortedDownload!$B$3:$Z$489,21,FALSE),"")</f>
        <v/>
      </c>
    </row>
    <row r="38" spans="2:65">
      <c r="B38">
        <v>285</v>
      </c>
      <c r="C38" t="str">
        <f>IFERROR(VLOOKUP($B38,OverallResults!$B$3:$Z$508,2,FALSE),"")</f>
        <v>DNF</v>
      </c>
      <c r="D38" t="str">
        <f>IFERROR(VLOOKUP($B38,OverallResults!$B$3:$Z$508,3,FALSE),"")</f>
        <v/>
      </c>
      <c r="E38" t="str">
        <f>IFERROR(TEXT(VLOOKUP($B38,OverallResults!$B$3:$Z$489,17,FALSE),"[h]:mm:ss.0"),"")</f>
        <v/>
      </c>
      <c r="F38" s="230" t="str">
        <f>IFERROR(VLOOKUP($D38,SortedDownload!$B$3:$Z$489,14,FALSE),"")</f>
        <v/>
      </c>
      <c r="G38" s="230" t="str">
        <f>IFERROR(VLOOKUP($D38,SortedDownload!$B$3:$Z$489,15,FALSE),"")</f>
        <v/>
      </c>
      <c r="H38" s="230" t="str">
        <f>IFERROR(VLOOKUP($D38,SortedDownload!$B$3:$Z$489,16,FALSE),"")</f>
        <v/>
      </c>
      <c r="I38" s="230" t="str">
        <f>IFERROR(VLOOKUP($D38,SortedDownload!$B$3:$Z$489,17,FALSE),"")</f>
        <v/>
      </c>
      <c r="J38" s="230" t="str">
        <f>IFERROR(VLOOKUP($D38,SortedDownload!$B$3:$Z$489,18,FALSE),"")</f>
        <v/>
      </c>
      <c r="K38" s="230" t="str">
        <f>IFERROR(VLOOKUP($D38,SortedDownload!$B$3:$Z$489,19,FALSE),"")</f>
        <v/>
      </c>
      <c r="L38" s="230" t="str">
        <f>IFERROR(VLOOKUP($D38,SortedDownload!$B$3:$Z$489,20,FALSE),"")</f>
        <v/>
      </c>
      <c r="M38" s="230" t="str">
        <f>IFERROR(VLOOKUP($D38,SortedDownload!$B$3:$Z$489,21,FALSE),"")</f>
        <v/>
      </c>
      <c r="O38">
        <v>335</v>
      </c>
      <c r="P38" t="str">
        <f>IFERROR(VLOOKUP($O38,OverallResults!$B$3:$Z$508,2,FALSE),"")</f>
        <v>DNF</v>
      </c>
      <c r="Q38" t="str">
        <f>IFERROR(VLOOKUP($O38,OverallResults!$B$3:$Z$508,3,FALSE),"")</f>
        <v/>
      </c>
      <c r="R38" t="str">
        <f>IFERROR(TEXT(VLOOKUP($O38,OverallResults!$B$3:$Z$489,17,FALSE),"[h]:mm:ss.0"),"")</f>
        <v/>
      </c>
      <c r="S38" s="230" t="str">
        <f>IFERROR(VLOOKUP($Q38,SortedDownload!$B$3:$Z$489,14,FALSE),"")</f>
        <v/>
      </c>
      <c r="T38" s="230" t="str">
        <f>IFERROR(VLOOKUP($Q38,SortedDownload!$B$3:$Z$489,15,FALSE),"")</f>
        <v/>
      </c>
      <c r="U38" s="230" t="str">
        <f>IFERROR(VLOOKUP($Q38,SortedDownload!$B$3:$Z$489,16,FALSE),"")</f>
        <v/>
      </c>
      <c r="V38" s="230" t="str">
        <f>IFERROR(VLOOKUP($Q38,SortedDownload!$B$3:$Z$489,17,FALSE),"")</f>
        <v/>
      </c>
      <c r="W38" s="230" t="str">
        <f>IFERROR(VLOOKUP($Q38,SortedDownload!$B$3:$Z$489,18,FALSE),"")</f>
        <v/>
      </c>
      <c r="X38" s="230" t="str">
        <f>IFERROR(VLOOKUP($Q38,SortedDownload!$B$3:$Z$489,19,FALSE),"")</f>
        <v/>
      </c>
      <c r="Y38" s="230" t="str">
        <f>IFERROR(VLOOKUP($Q38,SortedDownload!$B$3:$Z$489,20,FALSE),"")</f>
        <v/>
      </c>
      <c r="Z38" s="230" t="str">
        <f>IFERROR(VLOOKUP($Q38,SortedDownload!$B$3:$Z$489,21,FALSE),"")</f>
        <v/>
      </c>
      <c r="AB38">
        <v>385</v>
      </c>
      <c r="AC38" t="str">
        <f>IFERROR(VLOOKUP($AB38,OverallResults!$B$3:$Z$508,2,FALSE),"")</f>
        <v>DNF</v>
      </c>
      <c r="AD38" t="str">
        <f>IFERROR(VLOOKUP($AB38,OverallResults!$B$3:$Z$508,3,FALSE),"")</f>
        <v/>
      </c>
      <c r="AE38" t="str">
        <f>IFERROR(TEXT(VLOOKUP($AB38,OverallResults!$B$3:$Z$489,17,FALSE),"[h]:mm:ss.0"),"")</f>
        <v/>
      </c>
      <c r="AF38" s="230" t="str">
        <f>IFERROR(VLOOKUP($AD38,SortedDownload!$B$3:$Z$489,14,FALSE),"")</f>
        <v/>
      </c>
      <c r="AG38" s="230" t="str">
        <f>IFERROR(VLOOKUP($AD38,SortedDownload!$B$3:$Z$489,15,FALSE),"")</f>
        <v/>
      </c>
      <c r="AH38" s="230" t="str">
        <f>IFERROR(VLOOKUP($AD38,SortedDownload!$B$3:$Z$489,16,FALSE),"")</f>
        <v/>
      </c>
      <c r="AI38" s="230" t="str">
        <f>IFERROR(VLOOKUP($AD38,SortedDownload!$B$3:$Z$489,17,FALSE),"")</f>
        <v/>
      </c>
      <c r="AJ38" s="230" t="str">
        <f>IFERROR(VLOOKUP($AD38,SortedDownload!$B$3:$Z$489,18,FALSE),"")</f>
        <v/>
      </c>
      <c r="AK38" s="230" t="str">
        <f>IFERROR(VLOOKUP($AD38,SortedDownload!$B$3:$Z$489,19,FALSE),"")</f>
        <v/>
      </c>
      <c r="AL38" s="230" t="str">
        <f>IFERROR(VLOOKUP($AD38,SortedDownload!$B$3:$Z$489,20,FALSE),"")</f>
        <v/>
      </c>
      <c r="AM38" s="230" t="str">
        <f>IFERROR(VLOOKUP($AD38,SortedDownload!$B$3:$Z$489,21,FALSE),"")</f>
        <v/>
      </c>
      <c r="AO38">
        <v>435</v>
      </c>
      <c r="AP38" t="str">
        <f>IFERROR(VLOOKUP(#REF!,OverallResults!$A$3:$Z$489,3,FALSE),"")</f>
        <v/>
      </c>
      <c r="AQ38" t="str">
        <f>IFERROR(VLOOKUP(#REF!,EntryList!$A$3:$Z$291,26,FALSE),"")</f>
        <v/>
      </c>
      <c r="AR38" t="str">
        <f>IFERROR(TEXT(VLOOKUP(#REF!,SortedDownload!$A$3:$Z$489,14,FALSE),"[h]:mm:ss.0"),"")</f>
        <v/>
      </c>
      <c r="AS38" s="230" t="str">
        <f>IFERROR(VLOOKUP(#REF!,SortedDownload!$A$3:$Z$489,15,FALSE),"")</f>
        <v/>
      </c>
      <c r="AT38" s="230" t="str">
        <f>IFERROR(VLOOKUP(#REF!,SortedDownload!$A$3:$Z$489,16,FALSE),"")</f>
        <v/>
      </c>
      <c r="AU38" s="230" t="str">
        <f>IFERROR(VLOOKUP(#REF!,SortedDownload!$A$3:$Z$489,17,FALSE),"")</f>
        <v/>
      </c>
      <c r="AV38" s="230" t="str">
        <f>IFERROR(VLOOKUP(#REF!,SortedDownload!$A$3:$Z$489,18,FALSE),"")</f>
        <v/>
      </c>
      <c r="AW38" s="230" t="str">
        <f>IFERROR(VLOOKUP(#REF!,SortedDownload!$A$3:$Z$489,19,FALSE),"")</f>
        <v/>
      </c>
      <c r="AX38" s="230" t="str">
        <f>IFERROR(VLOOKUP(#REF!,SortedDownload!$A$3:$Z$489,20,FALSE),"")</f>
        <v/>
      </c>
      <c r="AY38" s="230" t="str">
        <f>IFERROR(VLOOKUP(#REF!,SortedDownload!$A$3:$Z$489,21,FALSE),"")</f>
        <v/>
      </c>
      <c r="AZ38" s="230" t="str">
        <f>IFERROR(VLOOKUP(#REF!,SortedDownload!$A$3:$Z$489,22,FALSE),"")</f>
        <v/>
      </c>
      <c r="BB38">
        <v>485</v>
      </c>
      <c r="BC38" t="str">
        <f>IFERROR(VLOOKUP($BB38,OverallResults!$B$3:$Z$508,2,FALSE),"")</f>
        <v/>
      </c>
      <c r="BD38" t="str">
        <f>IFERROR(VLOOKUP($BB38,OverallResults!$B$3:$Z$508,3,FALSE),"")</f>
        <v/>
      </c>
      <c r="BE38" t="str">
        <f>IFERROR(TEXT(VLOOKUP($BB38,OverallResults!$B$3:$Z$489,17,FALSE),"[h]:mm:ss.0"),"")</f>
        <v/>
      </c>
      <c r="BF38" s="230" t="str">
        <f>IFERROR(VLOOKUP($BD38,SortedDownload!$B$3:$Z$489,14,FALSE),"")</f>
        <v/>
      </c>
      <c r="BG38" s="230" t="str">
        <f>IFERROR(VLOOKUP($BD38,SortedDownload!$B$3:$Z$489,15,FALSE),"")</f>
        <v/>
      </c>
      <c r="BH38" s="230" t="str">
        <f>IFERROR(VLOOKUP($BD38,SortedDownload!$B$3:$Z$489,16,FALSE),"")</f>
        <v/>
      </c>
      <c r="BI38" s="230" t="str">
        <f>IFERROR(VLOOKUP($BD38,SortedDownload!$B$3:$Z$489,17,FALSE),"")</f>
        <v/>
      </c>
      <c r="BJ38" s="230" t="str">
        <f>IFERROR(VLOOKUP($BD38,SortedDownload!$B$3:$Z$489,18,FALSE),"")</f>
        <v/>
      </c>
      <c r="BK38" s="230" t="str">
        <f>IFERROR(VLOOKUP($BD38,SortedDownload!$B$3:$Z$489,19,FALSE),"")</f>
        <v/>
      </c>
      <c r="BL38" s="230" t="str">
        <f>IFERROR(VLOOKUP($BD38,SortedDownload!$B$3:$Z$489,20,FALSE),"")</f>
        <v/>
      </c>
      <c r="BM38" s="230" t="str">
        <f>IFERROR(VLOOKUP($BD38,SortedDownload!$B$3:$Z$489,21,FALSE),"")</f>
        <v/>
      </c>
    </row>
    <row r="39" spans="2:65">
      <c r="B39">
        <v>286</v>
      </c>
      <c r="C39" t="str">
        <f>IFERROR(VLOOKUP($B39,OverallResults!$B$3:$Z$508,2,FALSE),"")</f>
        <v>DNF</v>
      </c>
      <c r="D39" t="str">
        <f>IFERROR(VLOOKUP($B39,OverallResults!$B$3:$Z$508,3,FALSE),"")</f>
        <v/>
      </c>
      <c r="E39" t="str">
        <f>IFERROR(TEXT(VLOOKUP($B39,OverallResults!$B$3:$Z$489,17,FALSE),"[h]:mm:ss.0"),"")</f>
        <v/>
      </c>
      <c r="F39" s="230" t="str">
        <f>IFERROR(VLOOKUP($D39,SortedDownload!$B$3:$Z$489,14,FALSE),"")</f>
        <v/>
      </c>
      <c r="G39" s="230" t="str">
        <f>IFERROR(VLOOKUP($D39,SortedDownload!$B$3:$Z$489,15,FALSE),"")</f>
        <v/>
      </c>
      <c r="H39" s="230" t="str">
        <f>IFERROR(VLOOKUP($D39,SortedDownload!$B$3:$Z$489,16,FALSE),"")</f>
        <v/>
      </c>
      <c r="I39" s="230" t="str">
        <f>IFERROR(VLOOKUP($D39,SortedDownload!$B$3:$Z$489,17,FALSE),"")</f>
        <v/>
      </c>
      <c r="J39" s="230" t="str">
        <f>IFERROR(VLOOKUP($D39,SortedDownload!$B$3:$Z$489,18,FALSE),"")</f>
        <v/>
      </c>
      <c r="K39" s="230" t="str">
        <f>IFERROR(VLOOKUP($D39,SortedDownload!$B$3:$Z$489,19,FALSE),"")</f>
        <v/>
      </c>
      <c r="L39" s="230" t="str">
        <f>IFERROR(VLOOKUP($D39,SortedDownload!$B$3:$Z$489,20,FALSE),"")</f>
        <v/>
      </c>
      <c r="M39" s="230" t="str">
        <f>IFERROR(VLOOKUP($D39,SortedDownload!$B$3:$Z$489,21,FALSE),"")</f>
        <v/>
      </c>
      <c r="O39">
        <v>336</v>
      </c>
      <c r="P39" t="str">
        <f>IFERROR(VLOOKUP($O39,OverallResults!$B$3:$Z$508,2,FALSE),"")</f>
        <v>DNF</v>
      </c>
      <c r="Q39" t="str">
        <f>IFERROR(VLOOKUP($O39,OverallResults!$B$3:$Z$508,3,FALSE),"")</f>
        <v/>
      </c>
      <c r="R39" t="str">
        <f>IFERROR(TEXT(VLOOKUP($O39,OverallResults!$B$3:$Z$489,17,FALSE),"[h]:mm:ss.0"),"")</f>
        <v/>
      </c>
      <c r="S39" s="230" t="str">
        <f>IFERROR(VLOOKUP($Q39,SortedDownload!$B$3:$Z$489,14,FALSE),"")</f>
        <v/>
      </c>
      <c r="T39" s="230" t="str">
        <f>IFERROR(VLOOKUP($Q39,SortedDownload!$B$3:$Z$489,15,FALSE),"")</f>
        <v/>
      </c>
      <c r="U39" s="230" t="str">
        <f>IFERROR(VLOOKUP($Q39,SortedDownload!$B$3:$Z$489,16,FALSE),"")</f>
        <v/>
      </c>
      <c r="V39" s="230" t="str">
        <f>IFERROR(VLOOKUP($Q39,SortedDownload!$B$3:$Z$489,17,FALSE),"")</f>
        <v/>
      </c>
      <c r="W39" s="230" t="str">
        <f>IFERROR(VLOOKUP($Q39,SortedDownload!$B$3:$Z$489,18,FALSE),"")</f>
        <v/>
      </c>
      <c r="X39" s="230" t="str">
        <f>IFERROR(VLOOKUP($Q39,SortedDownload!$B$3:$Z$489,19,FALSE),"")</f>
        <v/>
      </c>
      <c r="Y39" s="230" t="str">
        <f>IFERROR(VLOOKUP($Q39,SortedDownload!$B$3:$Z$489,20,FALSE),"")</f>
        <v/>
      </c>
      <c r="Z39" s="230" t="str">
        <f>IFERROR(VLOOKUP($Q39,SortedDownload!$B$3:$Z$489,21,FALSE),"")</f>
        <v/>
      </c>
      <c r="AB39">
        <v>386</v>
      </c>
      <c r="AC39" t="str">
        <f>IFERROR(VLOOKUP($AB39,OverallResults!$B$3:$Z$508,2,FALSE),"")</f>
        <v>DNF</v>
      </c>
      <c r="AD39" t="str">
        <f>IFERROR(VLOOKUP($AB39,OverallResults!$B$3:$Z$508,3,FALSE),"")</f>
        <v/>
      </c>
      <c r="AE39" t="str">
        <f>IFERROR(TEXT(VLOOKUP($AB39,OverallResults!$B$3:$Z$489,17,FALSE),"[h]:mm:ss.0"),"")</f>
        <v/>
      </c>
      <c r="AF39" s="230" t="str">
        <f>IFERROR(VLOOKUP($AD39,SortedDownload!$B$3:$Z$489,14,FALSE),"")</f>
        <v/>
      </c>
      <c r="AG39" s="230" t="str">
        <f>IFERROR(VLOOKUP($AD39,SortedDownload!$B$3:$Z$489,15,FALSE),"")</f>
        <v/>
      </c>
      <c r="AH39" s="230" t="str">
        <f>IFERROR(VLOOKUP($AD39,SortedDownload!$B$3:$Z$489,16,FALSE),"")</f>
        <v/>
      </c>
      <c r="AI39" s="230" t="str">
        <f>IFERROR(VLOOKUP($AD39,SortedDownload!$B$3:$Z$489,17,FALSE),"")</f>
        <v/>
      </c>
      <c r="AJ39" s="230" t="str">
        <f>IFERROR(VLOOKUP($AD39,SortedDownload!$B$3:$Z$489,18,FALSE),"")</f>
        <v/>
      </c>
      <c r="AK39" s="230" t="str">
        <f>IFERROR(VLOOKUP($AD39,SortedDownload!$B$3:$Z$489,19,FALSE),"")</f>
        <v/>
      </c>
      <c r="AL39" s="230" t="str">
        <f>IFERROR(VLOOKUP($AD39,SortedDownload!$B$3:$Z$489,20,FALSE),"")</f>
        <v/>
      </c>
      <c r="AM39" s="230" t="str">
        <f>IFERROR(VLOOKUP($AD39,SortedDownload!$B$3:$Z$489,21,FALSE),"")</f>
        <v/>
      </c>
      <c r="AO39">
        <v>436</v>
      </c>
      <c r="AP39" t="str">
        <f>IFERROR(VLOOKUP(#REF!,OverallResults!$A$3:$Z$489,3,FALSE),"")</f>
        <v/>
      </c>
      <c r="AQ39" t="str">
        <f>IFERROR(VLOOKUP(#REF!,EntryList!$A$3:$Z$291,26,FALSE),"")</f>
        <v/>
      </c>
      <c r="AR39" t="str">
        <f>IFERROR(TEXT(VLOOKUP(#REF!,SortedDownload!$A$3:$Z$489,14,FALSE),"[h]:mm:ss.0"),"")</f>
        <v/>
      </c>
      <c r="AS39" s="230" t="str">
        <f>IFERROR(VLOOKUP(#REF!,SortedDownload!$A$3:$Z$489,15,FALSE),"")</f>
        <v/>
      </c>
      <c r="AT39" s="230" t="str">
        <f>IFERROR(VLOOKUP(#REF!,SortedDownload!$A$3:$Z$489,16,FALSE),"")</f>
        <v/>
      </c>
      <c r="AU39" s="230" t="str">
        <f>IFERROR(VLOOKUP(#REF!,SortedDownload!$A$3:$Z$489,17,FALSE),"")</f>
        <v/>
      </c>
      <c r="AV39" s="230" t="str">
        <f>IFERROR(VLOOKUP(#REF!,SortedDownload!$A$3:$Z$489,18,FALSE),"")</f>
        <v/>
      </c>
      <c r="AW39" s="230" t="str">
        <f>IFERROR(VLOOKUP(#REF!,SortedDownload!$A$3:$Z$489,19,FALSE),"")</f>
        <v/>
      </c>
      <c r="AX39" s="230" t="str">
        <f>IFERROR(VLOOKUP(#REF!,SortedDownload!$A$3:$Z$489,20,FALSE),"")</f>
        <v/>
      </c>
      <c r="AY39" s="230" t="str">
        <f>IFERROR(VLOOKUP(#REF!,SortedDownload!$A$3:$Z$489,21,FALSE),"")</f>
        <v/>
      </c>
      <c r="AZ39" s="230" t="str">
        <f>IFERROR(VLOOKUP(#REF!,SortedDownload!$A$3:$Z$489,22,FALSE),"")</f>
        <v/>
      </c>
      <c r="BB39">
        <v>486</v>
      </c>
      <c r="BC39" t="str">
        <f>IFERROR(VLOOKUP($BB39,OverallResults!$B$3:$Z$508,2,FALSE),"")</f>
        <v/>
      </c>
      <c r="BD39" t="str">
        <f>IFERROR(VLOOKUP($BB39,OverallResults!$B$3:$Z$508,3,FALSE),"")</f>
        <v/>
      </c>
      <c r="BE39" t="str">
        <f>IFERROR(TEXT(VLOOKUP($BB39,OverallResults!$B$3:$Z$489,17,FALSE),"[h]:mm:ss.0"),"")</f>
        <v/>
      </c>
      <c r="BF39" s="230" t="str">
        <f>IFERROR(VLOOKUP($BD39,SortedDownload!$B$3:$Z$489,14,FALSE),"")</f>
        <v/>
      </c>
      <c r="BG39" s="230" t="str">
        <f>IFERROR(VLOOKUP($BD39,SortedDownload!$B$3:$Z$489,15,FALSE),"")</f>
        <v/>
      </c>
      <c r="BH39" s="230" t="str">
        <f>IFERROR(VLOOKUP($BD39,SortedDownload!$B$3:$Z$489,16,FALSE),"")</f>
        <v/>
      </c>
      <c r="BI39" s="230" t="str">
        <f>IFERROR(VLOOKUP($BD39,SortedDownload!$B$3:$Z$489,17,FALSE),"")</f>
        <v/>
      </c>
      <c r="BJ39" s="230" t="str">
        <f>IFERROR(VLOOKUP($BD39,SortedDownload!$B$3:$Z$489,18,FALSE),"")</f>
        <v/>
      </c>
      <c r="BK39" s="230" t="str">
        <f>IFERROR(VLOOKUP($BD39,SortedDownload!$B$3:$Z$489,19,FALSE),"")</f>
        <v/>
      </c>
      <c r="BL39" s="230" t="str">
        <f>IFERROR(VLOOKUP($BD39,SortedDownload!$B$3:$Z$489,20,FALSE),"")</f>
        <v/>
      </c>
      <c r="BM39" s="230" t="str">
        <f>IFERROR(VLOOKUP($BD39,SortedDownload!$B$3:$Z$489,21,FALSE),"")</f>
        <v/>
      </c>
    </row>
    <row r="40" spans="2:65">
      <c r="B40">
        <v>287</v>
      </c>
      <c r="C40" t="str">
        <f>IFERROR(VLOOKUP($B40,OverallResults!$B$3:$Z$508,2,FALSE),"")</f>
        <v>DNF</v>
      </c>
      <c r="D40" t="str">
        <f>IFERROR(VLOOKUP($B40,OverallResults!$B$3:$Z$508,3,FALSE),"")</f>
        <v/>
      </c>
      <c r="E40" t="str">
        <f>IFERROR(TEXT(VLOOKUP($B40,OverallResults!$B$3:$Z$489,17,FALSE),"[h]:mm:ss.0"),"")</f>
        <v/>
      </c>
      <c r="F40" s="230" t="str">
        <f>IFERROR(VLOOKUP($D40,SortedDownload!$B$3:$Z$489,14,FALSE),"")</f>
        <v/>
      </c>
      <c r="G40" s="230" t="str">
        <f>IFERROR(VLOOKUP($D40,SortedDownload!$B$3:$Z$489,15,FALSE),"")</f>
        <v/>
      </c>
      <c r="H40" s="230" t="str">
        <f>IFERROR(VLOOKUP($D40,SortedDownload!$B$3:$Z$489,16,FALSE),"")</f>
        <v/>
      </c>
      <c r="I40" s="230" t="str">
        <f>IFERROR(VLOOKUP($D40,SortedDownload!$B$3:$Z$489,17,FALSE),"")</f>
        <v/>
      </c>
      <c r="J40" s="230" t="str">
        <f>IFERROR(VLOOKUP($D40,SortedDownload!$B$3:$Z$489,18,FALSE),"")</f>
        <v/>
      </c>
      <c r="K40" s="230" t="str">
        <f>IFERROR(VLOOKUP($D40,SortedDownload!$B$3:$Z$489,19,FALSE),"")</f>
        <v/>
      </c>
      <c r="L40" s="230" t="str">
        <f>IFERROR(VLOOKUP($D40,SortedDownload!$B$3:$Z$489,20,FALSE),"")</f>
        <v/>
      </c>
      <c r="M40" s="230" t="str">
        <f>IFERROR(VLOOKUP($D40,SortedDownload!$B$3:$Z$489,21,FALSE),"")</f>
        <v/>
      </c>
      <c r="O40">
        <v>337</v>
      </c>
      <c r="P40" t="str">
        <f>IFERROR(VLOOKUP($O40,OverallResults!$B$3:$Z$508,2,FALSE),"")</f>
        <v>DNF</v>
      </c>
      <c r="Q40" t="str">
        <f>IFERROR(VLOOKUP($O40,OverallResults!$B$3:$Z$508,3,FALSE),"")</f>
        <v/>
      </c>
      <c r="R40" t="str">
        <f>IFERROR(TEXT(VLOOKUP($O40,OverallResults!$B$3:$Z$489,17,FALSE),"[h]:mm:ss.0"),"")</f>
        <v/>
      </c>
      <c r="S40" s="230" t="str">
        <f>IFERROR(VLOOKUP($Q40,SortedDownload!$B$3:$Z$489,14,FALSE),"")</f>
        <v/>
      </c>
      <c r="T40" s="230" t="str">
        <f>IFERROR(VLOOKUP($Q40,SortedDownload!$B$3:$Z$489,15,FALSE),"")</f>
        <v/>
      </c>
      <c r="U40" s="230" t="str">
        <f>IFERROR(VLOOKUP($Q40,SortedDownload!$B$3:$Z$489,16,FALSE),"")</f>
        <v/>
      </c>
      <c r="V40" s="230" t="str">
        <f>IFERROR(VLOOKUP($Q40,SortedDownload!$B$3:$Z$489,17,FALSE),"")</f>
        <v/>
      </c>
      <c r="W40" s="230" t="str">
        <f>IFERROR(VLOOKUP($Q40,SortedDownload!$B$3:$Z$489,18,FALSE),"")</f>
        <v/>
      </c>
      <c r="X40" s="230" t="str">
        <f>IFERROR(VLOOKUP($Q40,SortedDownload!$B$3:$Z$489,19,FALSE),"")</f>
        <v/>
      </c>
      <c r="Y40" s="230" t="str">
        <f>IFERROR(VLOOKUP($Q40,SortedDownload!$B$3:$Z$489,20,FALSE),"")</f>
        <v/>
      </c>
      <c r="Z40" s="230" t="str">
        <f>IFERROR(VLOOKUP($Q40,SortedDownload!$B$3:$Z$489,21,FALSE),"")</f>
        <v/>
      </c>
      <c r="AB40">
        <v>387</v>
      </c>
      <c r="AC40" t="str">
        <f>IFERROR(VLOOKUP($AB40,OverallResults!$B$3:$Z$508,2,FALSE),"")</f>
        <v>DNF</v>
      </c>
      <c r="AD40" t="str">
        <f>IFERROR(VLOOKUP($AB40,OverallResults!$B$3:$Z$508,3,FALSE),"")</f>
        <v/>
      </c>
      <c r="AE40" t="str">
        <f>IFERROR(TEXT(VLOOKUP($AB40,OverallResults!$B$3:$Z$489,17,FALSE),"[h]:mm:ss.0"),"")</f>
        <v/>
      </c>
      <c r="AF40" s="230" t="str">
        <f>IFERROR(VLOOKUP($AD40,SortedDownload!$B$3:$Z$489,14,FALSE),"")</f>
        <v/>
      </c>
      <c r="AG40" s="230" t="str">
        <f>IFERROR(VLOOKUP($AD40,SortedDownload!$B$3:$Z$489,15,FALSE),"")</f>
        <v/>
      </c>
      <c r="AH40" s="230" t="str">
        <f>IFERROR(VLOOKUP($AD40,SortedDownload!$B$3:$Z$489,16,FALSE),"")</f>
        <v/>
      </c>
      <c r="AI40" s="230" t="str">
        <f>IFERROR(VLOOKUP($AD40,SortedDownload!$B$3:$Z$489,17,FALSE),"")</f>
        <v/>
      </c>
      <c r="AJ40" s="230" t="str">
        <f>IFERROR(VLOOKUP($AD40,SortedDownload!$B$3:$Z$489,18,FALSE),"")</f>
        <v/>
      </c>
      <c r="AK40" s="230" t="str">
        <f>IFERROR(VLOOKUP($AD40,SortedDownload!$B$3:$Z$489,19,FALSE),"")</f>
        <v/>
      </c>
      <c r="AL40" s="230" t="str">
        <f>IFERROR(VLOOKUP($AD40,SortedDownload!$B$3:$Z$489,20,FALSE),"")</f>
        <v/>
      </c>
      <c r="AM40" s="230" t="str">
        <f>IFERROR(VLOOKUP($AD40,SortedDownload!$B$3:$Z$489,21,FALSE),"")</f>
        <v/>
      </c>
      <c r="AO40">
        <v>437</v>
      </c>
      <c r="AP40" t="str">
        <f>IFERROR(VLOOKUP(#REF!,OverallResults!$A$3:$Z$489,3,FALSE),"")</f>
        <v/>
      </c>
      <c r="AQ40" t="str">
        <f>IFERROR(VLOOKUP(#REF!,EntryList!$A$3:$Z$291,26,FALSE),"")</f>
        <v/>
      </c>
      <c r="AR40" t="str">
        <f>IFERROR(TEXT(VLOOKUP(#REF!,SortedDownload!$A$3:$Z$489,14,FALSE),"[h]:mm:ss.0"),"")</f>
        <v/>
      </c>
      <c r="AS40" s="230" t="str">
        <f>IFERROR(VLOOKUP(#REF!,SortedDownload!$A$3:$Z$489,15,FALSE),"")</f>
        <v/>
      </c>
      <c r="AT40" s="230" t="str">
        <f>IFERROR(VLOOKUP(#REF!,SortedDownload!$A$3:$Z$489,16,FALSE),"")</f>
        <v/>
      </c>
      <c r="AU40" s="230" t="str">
        <f>IFERROR(VLOOKUP(#REF!,SortedDownload!$A$3:$Z$489,17,FALSE),"")</f>
        <v/>
      </c>
      <c r="AV40" s="230" t="str">
        <f>IFERROR(VLOOKUP(#REF!,SortedDownload!$A$3:$Z$489,18,FALSE),"")</f>
        <v/>
      </c>
      <c r="AW40" s="230" t="str">
        <f>IFERROR(VLOOKUP(#REF!,SortedDownload!$A$3:$Z$489,19,FALSE),"")</f>
        <v/>
      </c>
      <c r="AX40" s="230" t="str">
        <f>IFERROR(VLOOKUP(#REF!,SortedDownload!$A$3:$Z$489,20,FALSE),"")</f>
        <v/>
      </c>
      <c r="AY40" s="230" t="str">
        <f>IFERROR(VLOOKUP(#REF!,SortedDownload!$A$3:$Z$489,21,FALSE),"")</f>
        <v/>
      </c>
      <c r="AZ40" s="230" t="str">
        <f>IFERROR(VLOOKUP(#REF!,SortedDownload!$A$3:$Z$489,22,FALSE),"")</f>
        <v/>
      </c>
      <c r="BB40">
        <v>487</v>
      </c>
      <c r="BC40" t="str">
        <f>IFERROR(VLOOKUP($BB40,OverallResults!$B$3:$Z$508,2,FALSE),"")</f>
        <v/>
      </c>
      <c r="BD40" t="str">
        <f>IFERROR(VLOOKUP($BB40,OverallResults!$B$3:$Z$508,3,FALSE),"")</f>
        <v/>
      </c>
      <c r="BE40" t="str">
        <f>IFERROR(TEXT(VLOOKUP($BB40,OverallResults!$B$3:$Z$489,17,FALSE),"[h]:mm:ss.0"),"")</f>
        <v/>
      </c>
      <c r="BF40" s="230" t="str">
        <f>IFERROR(VLOOKUP($BD40,SortedDownload!$B$3:$Z$489,14,FALSE),"")</f>
        <v/>
      </c>
      <c r="BG40" s="230" t="str">
        <f>IFERROR(VLOOKUP($BD40,SortedDownload!$B$3:$Z$489,15,FALSE),"")</f>
        <v/>
      </c>
      <c r="BH40" s="230" t="str">
        <f>IFERROR(VLOOKUP($BD40,SortedDownload!$B$3:$Z$489,16,FALSE),"")</f>
        <v/>
      </c>
      <c r="BI40" s="230" t="str">
        <f>IFERROR(VLOOKUP($BD40,SortedDownload!$B$3:$Z$489,17,FALSE),"")</f>
        <v/>
      </c>
      <c r="BJ40" s="230" t="str">
        <f>IFERROR(VLOOKUP($BD40,SortedDownload!$B$3:$Z$489,18,FALSE),"")</f>
        <v/>
      </c>
      <c r="BK40" s="230" t="str">
        <f>IFERROR(VLOOKUP($BD40,SortedDownload!$B$3:$Z$489,19,FALSE),"")</f>
        <v/>
      </c>
      <c r="BL40" s="230" t="str">
        <f>IFERROR(VLOOKUP($BD40,SortedDownload!$B$3:$Z$489,20,FALSE),"")</f>
        <v/>
      </c>
      <c r="BM40" s="230" t="str">
        <f>IFERROR(VLOOKUP($BD40,SortedDownload!$B$3:$Z$489,21,FALSE),"")</f>
        <v/>
      </c>
    </row>
    <row r="41" spans="2:65">
      <c r="B41">
        <v>288</v>
      </c>
      <c r="C41" t="str">
        <f>IFERROR(VLOOKUP($B41,OverallResults!$B$3:$Z$508,2,FALSE),"")</f>
        <v>DNF</v>
      </c>
      <c r="D41" t="str">
        <f>IFERROR(VLOOKUP($B41,OverallResults!$B$3:$Z$508,3,FALSE),"")</f>
        <v/>
      </c>
      <c r="E41" t="str">
        <f>IFERROR(TEXT(VLOOKUP($B41,OverallResults!$B$3:$Z$489,17,FALSE),"[h]:mm:ss.0"),"")</f>
        <v/>
      </c>
      <c r="F41" s="230" t="str">
        <f>IFERROR(VLOOKUP($D41,SortedDownload!$B$3:$Z$489,14,FALSE),"")</f>
        <v/>
      </c>
      <c r="G41" s="230" t="str">
        <f>IFERROR(VLOOKUP($D41,SortedDownload!$B$3:$Z$489,15,FALSE),"")</f>
        <v/>
      </c>
      <c r="H41" s="230" t="str">
        <f>IFERROR(VLOOKUP($D41,SortedDownload!$B$3:$Z$489,16,FALSE),"")</f>
        <v/>
      </c>
      <c r="I41" s="230" t="str">
        <f>IFERROR(VLOOKUP($D41,SortedDownload!$B$3:$Z$489,17,FALSE),"")</f>
        <v/>
      </c>
      <c r="J41" s="230" t="str">
        <f>IFERROR(VLOOKUP($D41,SortedDownload!$B$3:$Z$489,18,FALSE),"")</f>
        <v/>
      </c>
      <c r="K41" s="230" t="str">
        <f>IFERROR(VLOOKUP($D41,SortedDownload!$B$3:$Z$489,19,FALSE),"")</f>
        <v/>
      </c>
      <c r="L41" s="230" t="str">
        <f>IFERROR(VLOOKUP($D41,SortedDownload!$B$3:$Z$489,20,FALSE),"")</f>
        <v/>
      </c>
      <c r="M41" s="230" t="str">
        <f>IFERROR(VLOOKUP($D41,SortedDownload!$B$3:$Z$489,21,FALSE),"")</f>
        <v/>
      </c>
      <c r="O41">
        <v>338</v>
      </c>
      <c r="P41" t="str">
        <f>IFERROR(VLOOKUP($O41,OverallResults!$B$3:$Z$508,2,FALSE),"")</f>
        <v>DNF</v>
      </c>
      <c r="Q41" t="str">
        <f>IFERROR(VLOOKUP($O41,OverallResults!$B$3:$Z$508,3,FALSE),"")</f>
        <v/>
      </c>
      <c r="R41" t="str">
        <f>IFERROR(TEXT(VLOOKUP($O41,OverallResults!$B$3:$Z$489,17,FALSE),"[h]:mm:ss.0"),"")</f>
        <v/>
      </c>
      <c r="S41" s="230" t="str">
        <f>IFERROR(VLOOKUP($Q41,SortedDownload!$B$3:$Z$489,14,FALSE),"")</f>
        <v/>
      </c>
      <c r="T41" s="230" t="str">
        <f>IFERROR(VLOOKUP($Q41,SortedDownload!$B$3:$Z$489,15,FALSE),"")</f>
        <v/>
      </c>
      <c r="U41" s="230" t="str">
        <f>IFERROR(VLOOKUP($Q41,SortedDownload!$B$3:$Z$489,16,FALSE),"")</f>
        <v/>
      </c>
      <c r="V41" s="230" t="str">
        <f>IFERROR(VLOOKUP($Q41,SortedDownload!$B$3:$Z$489,17,FALSE),"")</f>
        <v/>
      </c>
      <c r="W41" s="230" t="str">
        <f>IFERROR(VLOOKUP($Q41,SortedDownload!$B$3:$Z$489,18,FALSE),"")</f>
        <v/>
      </c>
      <c r="X41" s="230" t="str">
        <f>IFERROR(VLOOKUP($Q41,SortedDownload!$B$3:$Z$489,19,FALSE),"")</f>
        <v/>
      </c>
      <c r="Y41" s="230" t="str">
        <f>IFERROR(VLOOKUP($Q41,SortedDownload!$B$3:$Z$489,20,FALSE),"")</f>
        <v/>
      </c>
      <c r="Z41" s="230" t="str">
        <f>IFERROR(VLOOKUP($Q41,SortedDownload!$B$3:$Z$489,21,FALSE),"")</f>
        <v/>
      </c>
      <c r="AB41">
        <v>388</v>
      </c>
      <c r="AC41" t="str">
        <f>IFERROR(VLOOKUP($AB41,OverallResults!$B$3:$Z$508,2,FALSE),"")</f>
        <v>DNF</v>
      </c>
      <c r="AD41" t="str">
        <f>IFERROR(VLOOKUP($AB41,OverallResults!$B$3:$Z$508,3,FALSE),"")</f>
        <v/>
      </c>
      <c r="AE41" t="str">
        <f>IFERROR(TEXT(VLOOKUP($AB41,OverallResults!$B$3:$Z$489,17,FALSE),"[h]:mm:ss.0"),"")</f>
        <v/>
      </c>
      <c r="AF41" s="230" t="str">
        <f>IFERROR(VLOOKUP($AD41,SortedDownload!$B$3:$Z$489,14,FALSE),"")</f>
        <v/>
      </c>
      <c r="AG41" s="230" t="str">
        <f>IFERROR(VLOOKUP($AD41,SortedDownload!$B$3:$Z$489,15,FALSE),"")</f>
        <v/>
      </c>
      <c r="AH41" s="230" t="str">
        <f>IFERROR(VLOOKUP($AD41,SortedDownload!$B$3:$Z$489,16,FALSE),"")</f>
        <v/>
      </c>
      <c r="AI41" s="230" t="str">
        <f>IFERROR(VLOOKUP($AD41,SortedDownload!$B$3:$Z$489,17,FALSE),"")</f>
        <v/>
      </c>
      <c r="AJ41" s="230" t="str">
        <f>IFERROR(VLOOKUP($AD41,SortedDownload!$B$3:$Z$489,18,FALSE),"")</f>
        <v/>
      </c>
      <c r="AK41" s="230" t="str">
        <f>IFERROR(VLOOKUP($AD41,SortedDownload!$B$3:$Z$489,19,FALSE),"")</f>
        <v/>
      </c>
      <c r="AL41" s="230" t="str">
        <f>IFERROR(VLOOKUP($AD41,SortedDownload!$B$3:$Z$489,20,FALSE),"")</f>
        <v/>
      </c>
      <c r="AM41" s="230" t="str">
        <f>IFERROR(VLOOKUP($AD41,SortedDownload!$B$3:$Z$489,21,FALSE),"")</f>
        <v/>
      </c>
      <c r="AO41">
        <v>438</v>
      </c>
      <c r="AP41" t="str">
        <f>IFERROR(VLOOKUP(#REF!,OverallResults!$A$3:$Z$489,3,FALSE),"")</f>
        <v/>
      </c>
      <c r="AQ41" t="str">
        <f>IFERROR(VLOOKUP(#REF!,EntryList!$A$3:$Z$291,26,FALSE),"")</f>
        <v/>
      </c>
      <c r="AR41" t="str">
        <f>IFERROR(TEXT(VLOOKUP(#REF!,SortedDownload!$A$3:$Z$489,14,FALSE),"[h]:mm:ss.0"),"")</f>
        <v/>
      </c>
      <c r="AS41" s="230" t="str">
        <f>IFERROR(VLOOKUP(#REF!,SortedDownload!$A$3:$Z$489,15,FALSE),"")</f>
        <v/>
      </c>
      <c r="AT41" s="230" t="str">
        <f>IFERROR(VLOOKUP(#REF!,SortedDownload!$A$3:$Z$489,16,FALSE),"")</f>
        <v/>
      </c>
      <c r="AU41" s="230" t="str">
        <f>IFERROR(VLOOKUP(#REF!,SortedDownload!$A$3:$Z$489,17,FALSE),"")</f>
        <v/>
      </c>
      <c r="AV41" s="230" t="str">
        <f>IFERROR(VLOOKUP(#REF!,SortedDownload!$A$3:$Z$489,18,FALSE),"")</f>
        <v/>
      </c>
      <c r="AW41" s="230" t="str">
        <f>IFERROR(VLOOKUP(#REF!,SortedDownload!$A$3:$Z$489,19,FALSE),"")</f>
        <v/>
      </c>
      <c r="AX41" s="230" t="str">
        <f>IFERROR(VLOOKUP(#REF!,SortedDownload!$A$3:$Z$489,20,FALSE),"")</f>
        <v/>
      </c>
      <c r="AY41" s="230" t="str">
        <f>IFERROR(VLOOKUP(#REF!,SortedDownload!$A$3:$Z$489,21,FALSE),"")</f>
        <v/>
      </c>
      <c r="AZ41" s="230" t="str">
        <f>IFERROR(VLOOKUP(#REF!,SortedDownload!$A$3:$Z$489,22,FALSE),"")</f>
        <v/>
      </c>
      <c r="BB41">
        <v>488</v>
      </c>
      <c r="BC41" t="str">
        <f>IFERROR(VLOOKUP($BB41,OverallResults!$B$3:$Z$508,2,FALSE),"")</f>
        <v/>
      </c>
      <c r="BD41" t="str">
        <f>IFERROR(VLOOKUP($BB41,OverallResults!$B$3:$Z$508,3,FALSE),"")</f>
        <v/>
      </c>
      <c r="BE41" t="str">
        <f>IFERROR(TEXT(VLOOKUP($BB41,OverallResults!$B$3:$Z$489,17,FALSE),"[h]:mm:ss.0"),"")</f>
        <v/>
      </c>
      <c r="BF41" s="230" t="str">
        <f>IFERROR(VLOOKUP($BD41,SortedDownload!$B$3:$Z$489,14,FALSE),"")</f>
        <v/>
      </c>
      <c r="BG41" s="230" t="str">
        <f>IFERROR(VLOOKUP($BD41,SortedDownload!$B$3:$Z$489,15,FALSE),"")</f>
        <v/>
      </c>
      <c r="BH41" s="230" t="str">
        <f>IFERROR(VLOOKUP($BD41,SortedDownload!$B$3:$Z$489,16,FALSE),"")</f>
        <v/>
      </c>
      <c r="BI41" s="230" t="str">
        <f>IFERROR(VLOOKUP($BD41,SortedDownload!$B$3:$Z$489,17,FALSE),"")</f>
        <v/>
      </c>
      <c r="BJ41" s="230" t="str">
        <f>IFERROR(VLOOKUP($BD41,SortedDownload!$B$3:$Z$489,18,FALSE),"")</f>
        <v/>
      </c>
      <c r="BK41" s="230" t="str">
        <f>IFERROR(VLOOKUP($BD41,SortedDownload!$B$3:$Z$489,19,FALSE),"")</f>
        <v/>
      </c>
      <c r="BL41" s="230" t="str">
        <f>IFERROR(VLOOKUP($BD41,SortedDownload!$B$3:$Z$489,20,FALSE),"")</f>
        <v/>
      </c>
      <c r="BM41" s="230" t="str">
        <f>IFERROR(VLOOKUP($BD41,SortedDownload!$B$3:$Z$489,21,FALSE),"")</f>
        <v/>
      </c>
    </row>
    <row r="42" spans="2:65">
      <c r="B42">
        <v>289</v>
      </c>
      <c r="C42" t="str">
        <f>IFERROR(VLOOKUP($B42,OverallResults!$B$3:$Z$508,2,FALSE),"")</f>
        <v>DNF</v>
      </c>
      <c r="D42" t="str">
        <f>IFERROR(VLOOKUP($B42,OverallResults!$B$3:$Z$508,3,FALSE),"")</f>
        <v/>
      </c>
      <c r="E42" t="str">
        <f>IFERROR(TEXT(VLOOKUP($B42,OverallResults!$B$3:$Z$489,17,FALSE),"[h]:mm:ss.0"),"")</f>
        <v/>
      </c>
      <c r="F42" s="230" t="str">
        <f>IFERROR(VLOOKUP($D42,SortedDownload!$B$3:$Z$489,14,FALSE),"")</f>
        <v/>
      </c>
      <c r="G42" s="230" t="str">
        <f>IFERROR(VLOOKUP($D42,SortedDownload!$B$3:$Z$489,15,FALSE),"")</f>
        <v/>
      </c>
      <c r="H42" s="230" t="str">
        <f>IFERROR(VLOOKUP($D42,SortedDownload!$B$3:$Z$489,16,FALSE),"")</f>
        <v/>
      </c>
      <c r="I42" s="230" t="str">
        <f>IFERROR(VLOOKUP($D42,SortedDownload!$B$3:$Z$489,17,FALSE),"")</f>
        <v/>
      </c>
      <c r="J42" s="230" t="str">
        <f>IFERROR(VLOOKUP($D42,SortedDownload!$B$3:$Z$489,18,FALSE),"")</f>
        <v/>
      </c>
      <c r="K42" s="230" t="str">
        <f>IFERROR(VLOOKUP($D42,SortedDownload!$B$3:$Z$489,19,FALSE),"")</f>
        <v/>
      </c>
      <c r="L42" s="230" t="str">
        <f>IFERROR(VLOOKUP($D42,SortedDownload!$B$3:$Z$489,20,FALSE),"")</f>
        <v/>
      </c>
      <c r="M42" s="230" t="str">
        <f>IFERROR(VLOOKUP($D42,SortedDownload!$B$3:$Z$489,21,FALSE),"")</f>
        <v/>
      </c>
      <c r="O42">
        <v>339</v>
      </c>
      <c r="P42" t="str">
        <f>IFERROR(VLOOKUP($O42,OverallResults!$B$3:$Z$508,2,FALSE),"")</f>
        <v>DNF</v>
      </c>
      <c r="Q42" t="str">
        <f>IFERROR(VLOOKUP($O42,OverallResults!$B$3:$Z$508,3,FALSE),"")</f>
        <v/>
      </c>
      <c r="R42" t="str">
        <f>IFERROR(TEXT(VLOOKUP($O42,OverallResults!$B$3:$Z$489,17,FALSE),"[h]:mm:ss.0"),"")</f>
        <v/>
      </c>
      <c r="S42" s="230" t="str">
        <f>IFERROR(VLOOKUP($Q42,SortedDownload!$B$3:$Z$489,14,FALSE),"")</f>
        <v/>
      </c>
      <c r="T42" s="230" t="str">
        <f>IFERROR(VLOOKUP($Q42,SortedDownload!$B$3:$Z$489,15,FALSE),"")</f>
        <v/>
      </c>
      <c r="U42" s="230" t="str">
        <f>IFERROR(VLOOKUP($Q42,SortedDownload!$B$3:$Z$489,16,FALSE),"")</f>
        <v/>
      </c>
      <c r="V42" s="230" t="str">
        <f>IFERROR(VLOOKUP($Q42,SortedDownload!$B$3:$Z$489,17,FALSE),"")</f>
        <v/>
      </c>
      <c r="W42" s="230" t="str">
        <f>IFERROR(VLOOKUP($Q42,SortedDownload!$B$3:$Z$489,18,FALSE),"")</f>
        <v/>
      </c>
      <c r="X42" s="230" t="str">
        <f>IFERROR(VLOOKUP($Q42,SortedDownload!$B$3:$Z$489,19,FALSE),"")</f>
        <v/>
      </c>
      <c r="Y42" s="230" t="str">
        <f>IFERROR(VLOOKUP($Q42,SortedDownload!$B$3:$Z$489,20,FALSE),"")</f>
        <v/>
      </c>
      <c r="Z42" s="230" t="str">
        <f>IFERROR(VLOOKUP($Q42,SortedDownload!$B$3:$Z$489,21,FALSE),"")</f>
        <v/>
      </c>
      <c r="AB42">
        <v>389</v>
      </c>
      <c r="AC42" t="str">
        <f>IFERROR(VLOOKUP($AB42,OverallResults!$B$3:$Z$508,2,FALSE),"")</f>
        <v>DNF</v>
      </c>
      <c r="AD42" t="str">
        <f>IFERROR(VLOOKUP($AB42,OverallResults!$B$3:$Z$508,3,FALSE),"")</f>
        <v/>
      </c>
      <c r="AE42" t="str">
        <f>IFERROR(TEXT(VLOOKUP($AB42,OverallResults!$B$3:$Z$489,17,FALSE),"[h]:mm:ss.0"),"")</f>
        <v/>
      </c>
      <c r="AF42" s="230" t="str">
        <f>IFERROR(VLOOKUP($AD42,SortedDownload!$B$3:$Z$489,14,FALSE),"")</f>
        <v/>
      </c>
      <c r="AG42" s="230" t="str">
        <f>IFERROR(VLOOKUP($AD42,SortedDownload!$B$3:$Z$489,15,FALSE),"")</f>
        <v/>
      </c>
      <c r="AH42" s="230" t="str">
        <f>IFERROR(VLOOKUP($AD42,SortedDownload!$B$3:$Z$489,16,FALSE),"")</f>
        <v/>
      </c>
      <c r="AI42" s="230" t="str">
        <f>IFERROR(VLOOKUP($AD42,SortedDownload!$B$3:$Z$489,17,FALSE),"")</f>
        <v/>
      </c>
      <c r="AJ42" s="230" t="str">
        <f>IFERROR(VLOOKUP($AD42,SortedDownload!$B$3:$Z$489,18,FALSE),"")</f>
        <v/>
      </c>
      <c r="AK42" s="230" t="str">
        <f>IFERROR(VLOOKUP($AD42,SortedDownload!$B$3:$Z$489,19,FALSE),"")</f>
        <v/>
      </c>
      <c r="AL42" s="230" t="str">
        <f>IFERROR(VLOOKUP($AD42,SortedDownload!$B$3:$Z$489,20,FALSE),"")</f>
        <v/>
      </c>
      <c r="AM42" s="230" t="str">
        <f>IFERROR(VLOOKUP($AD42,SortedDownload!$B$3:$Z$489,21,FALSE),"")</f>
        <v/>
      </c>
      <c r="AO42">
        <v>439</v>
      </c>
      <c r="AP42" t="str">
        <f>IFERROR(VLOOKUP(#REF!,OverallResults!$A$3:$Z$489,3,FALSE),"")</f>
        <v/>
      </c>
      <c r="AQ42" t="str">
        <f>IFERROR(VLOOKUP(#REF!,EntryList!$A$3:$Z$291,26,FALSE),"")</f>
        <v/>
      </c>
      <c r="AR42" t="str">
        <f>IFERROR(TEXT(VLOOKUP(#REF!,SortedDownload!$A$3:$Z$489,14,FALSE),"[h]:mm:ss.0"),"")</f>
        <v/>
      </c>
      <c r="AS42" s="230" t="str">
        <f>IFERROR(VLOOKUP(#REF!,SortedDownload!$A$3:$Z$489,15,FALSE),"")</f>
        <v/>
      </c>
      <c r="AT42" s="230" t="str">
        <f>IFERROR(VLOOKUP(#REF!,SortedDownload!$A$3:$Z$489,16,FALSE),"")</f>
        <v/>
      </c>
      <c r="AU42" s="230" t="str">
        <f>IFERROR(VLOOKUP(#REF!,SortedDownload!$A$3:$Z$489,17,FALSE),"")</f>
        <v/>
      </c>
      <c r="AV42" s="230" t="str">
        <f>IFERROR(VLOOKUP(#REF!,SortedDownload!$A$3:$Z$489,18,FALSE),"")</f>
        <v/>
      </c>
      <c r="AW42" s="230" t="str">
        <f>IFERROR(VLOOKUP(#REF!,SortedDownload!$A$3:$Z$489,19,FALSE),"")</f>
        <v/>
      </c>
      <c r="AX42" s="230" t="str">
        <f>IFERROR(VLOOKUP(#REF!,SortedDownload!$A$3:$Z$489,20,FALSE),"")</f>
        <v/>
      </c>
      <c r="AY42" s="230" t="str">
        <f>IFERROR(VLOOKUP(#REF!,SortedDownload!$A$3:$Z$489,21,FALSE),"")</f>
        <v/>
      </c>
      <c r="AZ42" s="230" t="str">
        <f>IFERROR(VLOOKUP(#REF!,SortedDownload!$A$3:$Z$489,22,FALSE),"")</f>
        <v/>
      </c>
      <c r="BB42">
        <v>489</v>
      </c>
      <c r="BC42" t="str">
        <f>IFERROR(VLOOKUP($BB42,OverallResults!$B$3:$Z$508,2,FALSE),"")</f>
        <v/>
      </c>
      <c r="BD42" t="str">
        <f>IFERROR(VLOOKUP($BB42,OverallResults!$B$3:$Z$508,3,FALSE),"")</f>
        <v/>
      </c>
      <c r="BE42" t="str">
        <f>IFERROR(TEXT(VLOOKUP($BB42,OverallResults!$B$3:$Z$489,17,FALSE),"[h]:mm:ss.0"),"")</f>
        <v/>
      </c>
      <c r="BF42" s="230" t="str">
        <f>IFERROR(VLOOKUP($BD42,SortedDownload!$B$3:$Z$489,14,FALSE),"")</f>
        <v/>
      </c>
      <c r="BG42" s="230" t="str">
        <f>IFERROR(VLOOKUP($BD42,SortedDownload!$B$3:$Z$489,15,FALSE),"")</f>
        <v/>
      </c>
      <c r="BH42" s="230" t="str">
        <f>IFERROR(VLOOKUP($BD42,SortedDownload!$B$3:$Z$489,16,FALSE),"")</f>
        <v/>
      </c>
      <c r="BI42" s="230" t="str">
        <f>IFERROR(VLOOKUP($BD42,SortedDownload!$B$3:$Z$489,17,FALSE),"")</f>
        <v/>
      </c>
      <c r="BJ42" s="230" t="str">
        <f>IFERROR(VLOOKUP($BD42,SortedDownload!$B$3:$Z$489,18,FALSE),"")</f>
        <v/>
      </c>
      <c r="BK42" s="230" t="str">
        <f>IFERROR(VLOOKUP($BD42,SortedDownload!$B$3:$Z$489,19,FALSE),"")</f>
        <v/>
      </c>
      <c r="BL42" s="230" t="str">
        <f>IFERROR(VLOOKUP($BD42,SortedDownload!$B$3:$Z$489,20,FALSE),"")</f>
        <v/>
      </c>
      <c r="BM42" s="230" t="str">
        <f>IFERROR(VLOOKUP($BD42,SortedDownload!$B$3:$Z$489,21,FALSE),"")</f>
        <v/>
      </c>
    </row>
    <row r="43" spans="2:65">
      <c r="B43">
        <v>290</v>
      </c>
      <c r="C43" t="str">
        <f>IFERROR(VLOOKUP($B43,OverallResults!$B$3:$Z$508,2,FALSE),"")</f>
        <v>DNF</v>
      </c>
      <c r="D43" t="str">
        <f>IFERROR(VLOOKUP($B43,OverallResults!$B$3:$Z$508,3,FALSE),"")</f>
        <v/>
      </c>
      <c r="E43" t="str">
        <f>IFERROR(TEXT(VLOOKUP($B43,OverallResults!$B$3:$Z$489,17,FALSE),"[h]:mm:ss.0"),"")</f>
        <v/>
      </c>
      <c r="F43" s="230" t="str">
        <f>IFERROR(VLOOKUP($D43,SortedDownload!$B$3:$Z$489,14,FALSE),"")</f>
        <v/>
      </c>
      <c r="G43" s="230" t="str">
        <f>IFERROR(VLOOKUP($D43,SortedDownload!$B$3:$Z$489,15,FALSE),"")</f>
        <v/>
      </c>
      <c r="H43" s="230" t="str">
        <f>IFERROR(VLOOKUP($D43,SortedDownload!$B$3:$Z$489,16,FALSE),"")</f>
        <v/>
      </c>
      <c r="I43" s="230" t="str">
        <f>IFERROR(VLOOKUP($D43,SortedDownload!$B$3:$Z$489,17,FALSE),"")</f>
        <v/>
      </c>
      <c r="J43" s="230" t="str">
        <f>IFERROR(VLOOKUP($D43,SortedDownload!$B$3:$Z$489,18,FALSE),"")</f>
        <v/>
      </c>
      <c r="K43" s="230" t="str">
        <f>IFERROR(VLOOKUP($D43,SortedDownload!$B$3:$Z$489,19,FALSE),"")</f>
        <v/>
      </c>
      <c r="L43" s="230" t="str">
        <f>IFERROR(VLOOKUP($D43,SortedDownload!$B$3:$Z$489,20,FALSE),"")</f>
        <v/>
      </c>
      <c r="M43" s="230" t="str">
        <f>IFERROR(VLOOKUP($D43,SortedDownload!$B$3:$Z$489,21,FALSE),"")</f>
        <v/>
      </c>
      <c r="O43">
        <v>340</v>
      </c>
      <c r="P43" t="str">
        <f>IFERROR(VLOOKUP($O43,OverallResults!$B$3:$Z$508,2,FALSE),"")</f>
        <v>DNF</v>
      </c>
      <c r="Q43" t="str">
        <f>IFERROR(VLOOKUP($O43,OverallResults!$B$3:$Z$508,3,FALSE),"")</f>
        <v/>
      </c>
      <c r="R43" t="str">
        <f>IFERROR(TEXT(VLOOKUP($O43,OverallResults!$B$3:$Z$489,17,FALSE),"[h]:mm:ss.0"),"")</f>
        <v/>
      </c>
      <c r="S43" s="230" t="str">
        <f>IFERROR(VLOOKUP($Q43,SortedDownload!$B$3:$Z$489,14,FALSE),"")</f>
        <v/>
      </c>
      <c r="T43" s="230" t="str">
        <f>IFERROR(VLOOKUP($Q43,SortedDownload!$B$3:$Z$489,15,FALSE),"")</f>
        <v/>
      </c>
      <c r="U43" s="230" t="str">
        <f>IFERROR(VLOOKUP($Q43,SortedDownload!$B$3:$Z$489,16,FALSE),"")</f>
        <v/>
      </c>
      <c r="V43" s="230" t="str">
        <f>IFERROR(VLOOKUP($Q43,SortedDownload!$B$3:$Z$489,17,FALSE),"")</f>
        <v/>
      </c>
      <c r="W43" s="230" t="str">
        <f>IFERROR(VLOOKUP($Q43,SortedDownload!$B$3:$Z$489,18,FALSE),"")</f>
        <v/>
      </c>
      <c r="X43" s="230" t="str">
        <f>IFERROR(VLOOKUP($Q43,SortedDownload!$B$3:$Z$489,19,FALSE),"")</f>
        <v/>
      </c>
      <c r="Y43" s="230" t="str">
        <f>IFERROR(VLOOKUP($Q43,SortedDownload!$B$3:$Z$489,20,FALSE),"")</f>
        <v/>
      </c>
      <c r="Z43" s="230" t="str">
        <f>IFERROR(VLOOKUP($Q43,SortedDownload!$B$3:$Z$489,21,FALSE),"")</f>
        <v/>
      </c>
      <c r="AB43">
        <v>390</v>
      </c>
      <c r="AC43" t="str">
        <f>IFERROR(VLOOKUP($AB43,OverallResults!$B$3:$Z$508,2,FALSE),"")</f>
        <v>DNF</v>
      </c>
      <c r="AD43" t="str">
        <f>IFERROR(VLOOKUP($AB43,OverallResults!$B$3:$Z$508,3,FALSE),"")</f>
        <v/>
      </c>
      <c r="AE43" t="str">
        <f>IFERROR(TEXT(VLOOKUP($AB43,OverallResults!$B$3:$Z$489,17,FALSE),"[h]:mm:ss.0"),"")</f>
        <v/>
      </c>
      <c r="AF43" s="230" t="str">
        <f>IFERROR(VLOOKUP($AD43,SortedDownload!$B$3:$Z$489,14,FALSE),"")</f>
        <v/>
      </c>
      <c r="AG43" s="230" t="str">
        <f>IFERROR(VLOOKUP($AD43,SortedDownload!$B$3:$Z$489,15,FALSE),"")</f>
        <v/>
      </c>
      <c r="AH43" s="230" t="str">
        <f>IFERROR(VLOOKUP($AD43,SortedDownload!$B$3:$Z$489,16,FALSE),"")</f>
        <v/>
      </c>
      <c r="AI43" s="230" t="str">
        <f>IFERROR(VLOOKUP($AD43,SortedDownload!$B$3:$Z$489,17,FALSE),"")</f>
        <v/>
      </c>
      <c r="AJ43" s="230" t="str">
        <f>IFERROR(VLOOKUP($AD43,SortedDownload!$B$3:$Z$489,18,FALSE),"")</f>
        <v/>
      </c>
      <c r="AK43" s="230" t="str">
        <f>IFERROR(VLOOKUP($AD43,SortedDownload!$B$3:$Z$489,19,FALSE),"")</f>
        <v/>
      </c>
      <c r="AL43" s="230" t="str">
        <f>IFERROR(VLOOKUP($AD43,SortedDownload!$B$3:$Z$489,20,FALSE),"")</f>
        <v/>
      </c>
      <c r="AM43" s="230" t="str">
        <f>IFERROR(VLOOKUP($AD43,SortedDownload!$B$3:$Z$489,21,FALSE),"")</f>
        <v/>
      </c>
      <c r="AO43">
        <v>440</v>
      </c>
      <c r="AP43" t="str">
        <f>IFERROR(VLOOKUP(#REF!,OverallResults!$A$3:$Z$489,3,FALSE),"")</f>
        <v/>
      </c>
      <c r="AQ43" t="str">
        <f>IFERROR(VLOOKUP(#REF!,EntryList!$A$3:$Z$291,26,FALSE),"")</f>
        <v/>
      </c>
      <c r="AR43" t="str">
        <f>IFERROR(TEXT(VLOOKUP(#REF!,SortedDownload!$A$3:$Z$489,14,FALSE),"[h]:mm:ss.0"),"")</f>
        <v/>
      </c>
      <c r="AS43" s="230" t="str">
        <f>IFERROR(VLOOKUP(#REF!,SortedDownload!$A$3:$Z$489,15,FALSE),"")</f>
        <v/>
      </c>
      <c r="AT43" s="230" t="str">
        <f>IFERROR(VLOOKUP(#REF!,SortedDownload!$A$3:$Z$489,16,FALSE),"")</f>
        <v/>
      </c>
      <c r="AU43" s="230" t="str">
        <f>IFERROR(VLOOKUP(#REF!,SortedDownload!$A$3:$Z$489,17,FALSE),"")</f>
        <v/>
      </c>
      <c r="AV43" s="230" t="str">
        <f>IFERROR(VLOOKUP(#REF!,SortedDownload!$A$3:$Z$489,18,FALSE),"")</f>
        <v/>
      </c>
      <c r="AW43" s="230" t="str">
        <f>IFERROR(VLOOKUP(#REF!,SortedDownload!$A$3:$Z$489,19,FALSE),"")</f>
        <v/>
      </c>
      <c r="AX43" s="230" t="str">
        <f>IFERROR(VLOOKUP(#REF!,SortedDownload!$A$3:$Z$489,20,FALSE),"")</f>
        <v/>
      </c>
      <c r="AY43" s="230" t="str">
        <f>IFERROR(VLOOKUP(#REF!,SortedDownload!$A$3:$Z$489,21,FALSE),"")</f>
        <v/>
      </c>
      <c r="AZ43" s="230" t="str">
        <f>IFERROR(VLOOKUP(#REF!,SortedDownload!$A$3:$Z$489,22,FALSE),"")</f>
        <v/>
      </c>
      <c r="BB43">
        <v>490</v>
      </c>
      <c r="BC43" t="str">
        <f>IFERROR(VLOOKUP($BB43,OverallResults!$B$3:$Z$508,2,FALSE),"")</f>
        <v/>
      </c>
      <c r="BD43" t="str">
        <f>IFERROR(VLOOKUP($BB43,OverallResults!$B$3:$Z$508,3,FALSE),"")</f>
        <v/>
      </c>
      <c r="BE43" t="str">
        <f>IFERROR(TEXT(VLOOKUP($BB43,OverallResults!$B$3:$Z$489,17,FALSE),"[h]:mm:ss.0"),"")</f>
        <v/>
      </c>
      <c r="BF43" s="230" t="str">
        <f>IFERROR(VLOOKUP($BD43,SortedDownload!$B$3:$Z$489,14,FALSE),"")</f>
        <v/>
      </c>
      <c r="BG43" s="230" t="str">
        <f>IFERROR(VLOOKUP($BD43,SortedDownload!$B$3:$Z$489,15,FALSE),"")</f>
        <v/>
      </c>
      <c r="BH43" s="230" t="str">
        <f>IFERROR(VLOOKUP($BD43,SortedDownload!$B$3:$Z$489,16,FALSE),"")</f>
        <v/>
      </c>
      <c r="BI43" s="230" t="str">
        <f>IFERROR(VLOOKUP($BD43,SortedDownload!$B$3:$Z$489,17,FALSE),"")</f>
        <v/>
      </c>
      <c r="BJ43" s="230" t="str">
        <f>IFERROR(VLOOKUP($BD43,SortedDownload!$B$3:$Z$489,18,FALSE),"")</f>
        <v/>
      </c>
      <c r="BK43" s="230" t="str">
        <f>IFERROR(VLOOKUP($BD43,SortedDownload!$B$3:$Z$489,19,FALSE),"")</f>
        <v/>
      </c>
      <c r="BL43" s="230" t="str">
        <f>IFERROR(VLOOKUP($BD43,SortedDownload!$B$3:$Z$489,20,FALSE),"")</f>
        <v/>
      </c>
      <c r="BM43" s="230" t="str">
        <f>IFERROR(VLOOKUP($BD43,SortedDownload!$B$3:$Z$489,21,FALSE),"")</f>
        <v/>
      </c>
    </row>
    <row r="44" spans="2:65">
      <c r="B44">
        <v>291</v>
      </c>
      <c r="C44" t="str">
        <f>IFERROR(VLOOKUP($B44,OverallResults!$B$3:$Z$508,2,FALSE),"")</f>
        <v>DNF</v>
      </c>
      <c r="D44" t="str">
        <f>IFERROR(VLOOKUP($B44,OverallResults!$B$3:$Z$508,3,FALSE),"")</f>
        <v/>
      </c>
      <c r="E44" t="str">
        <f>IFERROR(TEXT(VLOOKUP($B44,OverallResults!$B$3:$Z$489,17,FALSE),"[h]:mm:ss.0"),"")</f>
        <v/>
      </c>
      <c r="F44" s="230" t="str">
        <f>IFERROR(VLOOKUP($D44,SortedDownload!$B$3:$Z$489,14,FALSE),"")</f>
        <v/>
      </c>
      <c r="G44" s="230" t="str">
        <f>IFERROR(VLOOKUP($D44,SortedDownload!$B$3:$Z$489,15,FALSE),"")</f>
        <v/>
      </c>
      <c r="H44" s="230" t="str">
        <f>IFERROR(VLOOKUP($D44,SortedDownload!$B$3:$Z$489,16,FALSE),"")</f>
        <v/>
      </c>
      <c r="I44" s="230" t="str">
        <f>IFERROR(VLOOKUP($D44,SortedDownload!$B$3:$Z$489,17,FALSE),"")</f>
        <v/>
      </c>
      <c r="J44" s="230" t="str">
        <f>IFERROR(VLOOKUP($D44,SortedDownload!$B$3:$Z$489,18,FALSE),"")</f>
        <v/>
      </c>
      <c r="K44" s="230" t="str">
        <f>IFERROR(VLOOKUP($D44,SortedDownload!$B$3:$Z$489,19,FALSE),"")</f>
        <v/>
      </c>
      <c r="L44" s="230" t="str">
        <f>IFERROR(VLOOKUP($D44,SortedDownload!$B$3:$Z$489,20,FALSE),"")</f>
        <v/>
      </c>
      <c r="M44" s="230" t="str">
        <f>IFERROR(VLOOKUP($D44,SortedDownload!$B$3:$Z$489,21,FALSE),"")</f>
        <v/>
      </c>
      <c r="O44">
        <v>341</v>
      </c>
      <c r="P44" t="str">
        <f>IFERROR(VLOOKUP($O44,OverallResults!$B$3:$Z$508,2,FALSE),"")</f>
        <v>DNF</v>
      </c>
      <c r="Q44" t="str">
        <f>IFERROR(VLOOKUP($O44,OverallResults!$B$3:$Z$508,3,FALSE),"")</f>
        <v/>
      </c>
      <c r="R44" t="str">
        <f>IFERROR(TEXT(VLOOKUP($O44,OverallResults!$B$3:$Z$489,17,FALSE),"[h]:mm:ss.0"),"")</f>
        <v/>
      </c>
      <c r="S44" s="230" t="str">
        <f>IFERROR(VLOOKUP($Q44,SortedDownload!$B$3:$Z$489,14,FALSE),"")</f>
        <v/>
      </c>
      <c r="T44" s="230" t="str">
        <f>IFERROR(VLOOKUP($Q44,SortedDownload!$B$3:$Z$489,15,FALSE),"")</f>
        <v/>
      </c>
      <c r="U44" s="230" t="str">
        <f>IFERROR(VLOOKUP($Q44,SortedDownload!$B$3:$Z$489,16,FALSE),"")</f>
        <v/>
      </c>
      <c r="V44" s="230" t="str">
        <f>IFERROR(VLOOKUP($Q44,SortedDownload!$B$3:$Z$489,17,FALSE),"")</f>
        <v/>
      </c>
      <c r="W44" s="230" t="str">
        <f>IFERROR(VLOOKUP($Q44,SortedDownload!$B$3:$Z$489,18,FALSE),"")</f>
        <v/>
      </c>
      <c r="X44" s="230" t="str">
        <f>IFERROR(VLOOKUP($Q44,SortedDownload!$B$3:$Z$489,19,FALSE),"")</f>
        <v/>
      </c>
      <c r="Y44" s="230" t="str">
        <f>IFERROR(VLOOKUP($Q44,SortedDownload!$B$3:$Z$489,20,FALSE),"")</f>
        <v/>
      </c>
      <c r="Z44" s="230" t="str">
        <f>IFERROR(VLOOKUP($Q44,SortedDownload!$B$3:$Z$489,21,FALSE),"")</f>
        <v/>
      </c>
      <c r="AB44">
        <v>391</v>
      </c>
      <c r="AC44" t="str">
        <f>IFERROR(VLOOKUP($AB44,OverallResults!$B$3:$Z$508,2,FALSE),"")</f>
        <v>DNF</v>
      </c>
      <c r="AD44" t="str">
        <f>IFERROR(VLOOKUP($AB44,OverallResults!$B$3:$Z$508,3,FALSE),"")</f>
        <v/>
      </c>
      <c r="AE44" t="str">
        <f>IFERROR(TEXT(VLOOKUP($AB44,OverallResults!$B$3:$Z$489,17,FALSE),"[h]:mm:ss.0"),"")</f>
        <v/>
      </c>
      <c r="AF44" s="230" t="str">
        <f>IFERROR(VLOOKUP($AD44,SortedDownload!$B$3:$Z$489,14,FALSE),"")</f>
        <v/>
      </c>
      <c r="AG44" s="230" t="str">
        <f>IFERROR(VLOOKUP($AD44,SortedDownload!$B$3:$Z$489,15,FALSE),"")</f>
        <v/>
      </c>
      <c r="AH44" s="230" t="str">
        <f>IFERROR(VLOOKUP($AD44,SortedDownload!$B$3:$Z$489,16,FALSE),"")</f>
        <v/>
      </c>
      <c r="AI44" s="230" t="str">
        <f>IFERROR(VLOOKUP($AD44,SortedDownload!$B$3:$Z$489,17,FALSE),"")</f>
        <v/>
      </c>
      <c r="AJ44" s="230" t="str">
        <f>IFERROR(VLOOKUP($AD44,SortedDownload!$B$3:$Z$489,18,FALSE),"")</f>
        <v/>
      </c>
      <c r="AK44" s="230" t="str">
        <f>IFERROR(VLOOKUP($AD44,SortedDownload!$B$3:$Z$489,19,FALSE),"")</f>
        <v/>
      </c>
      <c r="AL44" s="230" t="str">
        <f>IFERROR(VLOOKUP($AD44,SortedDownload!$B$3:$Z$489,20,FALSE),"")</f>
        <v/>
      </c>
      <c r="AM44" s="230" t="str">
        <f>IFERROR(VLOOKUP($AD44,SortedDownload!$B$3:$Z$489,21,FALSE),"")</f>
        <v/>
      </c>
      <c r="AO44">
        <v>441</v>
      </c>
      <c r="AP44" t="str">
        <f>IFERROR(VLOOKUP(#REF!,OverallResults!$A$3:$Z$489,3,FALSE),"")</f>
        <v/>
      </c>
      <c r="AQ44" t="str">
        <f>IFERROR(VLOOKUP(#REF!,EntryList!$A$3:$Z$291,26,FALSE),"")</f>
        <v/>
      </c>
      <c r="AR44" t="str">
        <f>IFERROR(TEXT(VLOOKUP(#REF!,SortedDownload!$A$3:$Z$489,14,FALSE),"[h]:mm:ss.0"),"")</f>
        <v/>
      </c>
      <c r="AS44" s="230" t="str">
        <f>IFERROR(VLOOKUP(#REF!,SortedDownload!$A$3:$Z$489,15,FALSE),"")</f>
        <v/>
      </c>
      <c r="AT44" s="230" t="str">
        <f>IFERROR(VLOOKUP(#REF!,SortedDownload!$A$3:$Z$489,16,FALSE),"")</f>
        <v/>
      </c>
      <c r="AU44" s="230" t="str">
        <f>IFERROR(VLOOKUP(#REF!,SortedDownload!$A$3:$Z$489,17,FALSE),"")</f>
        <v/>
      </c>
      <c r="AV44" s="230" t="str">
        <f>IFERROR(VLOOKUP(#REF!,SortedDownload!$A$3:$Z$489,18,FALSE),"")</f>
        <v/>
      </c>
      <c r="AW44" s="230" t="str">
        <f>IFERROR(VLOOKUP(#REF!,SortedDownload!$A$3:$Z$489,19,FALSE),"")</f>
        <v/>
      </c>
      <c r="AX44" s="230" t="str">
        <f>IFERROR(VLOOKUP(#REF!,SortedDownload!$A$3:$Z$489,20,FALSE),"")</f>
        <v/>
      </c>
      <c r="AY44" s="230" t="str">
        <f>IFERROR(VLOOKUP(#REF!,SortedDownload!$A$3:$Z$489,21,FALSE),"")</f>
        <v/>
      </c>
      <c r="AZ44" s="230" t="str">
        <f>IFERROR(VLOOKUP(#REF!,SortedDownload!$A$3:$Z$489,22,FALSE),"")</f>
        <v/>
      </c>
      <c r="BB44">
        <v>491</v>
      </c>
      <c r="BC44" t="str">
        <f>IFERROR(VLOOKUP($BB44,OverallResults!$B$3:$Z$508,2,FALSE),"")</f>
        <v/>
      </c>
      <c r="BD44" t="str">
        <f>IFERROR(VLOOKUP($BB44,OverallResults!$B$3:$Z$508,3,FALSE),"")</f>
        <v/>
      </c>
      <c r="BE44" t="str">
        <f>IFERROR(TEXT(VLOOKUP($BB44,OverallResults!$B$3:$Z$489,17,FALSE),"[h]:mm:ss.0"),"")</f>
        <v/>
      </c>
      <c r="BF44" s="230" t="str">
        <f>IFERROR(VLOOKUP($BD44,SortedDownload!$B$3:$Z$489,14,FALSE),"")</f>
        <v/>
      </c>
      <c r="BG44" s="230" t="str">
        <f>IFERROR(VLOOKUP($BD44,SortedDownload!$B$3:$Z$489,15,FALSE),"")</f>
        <v/>
      </c>
      <c r="BH44" s="230" t="str">
        <f>IFERROR(VLOOKUP($BD44,SortedDownload!$B$3:$Z$489,16,FALSE),"")</f>
        <v/>
      </c>
      <c r="BI44" s="230" t="str">
        <f>IFERROR(VLOOKUP($BD44,SortedDownload!$B$3:$Z$489,17,FALSE),"")</f>
        <v/>
      </c>
      <c r="BJ44" s="230" t="str">
        <f>IFERROR(VLOOKUP($BD44,SortedDownload!$B$3:$Z$489,18,FALSE),"")</f>
        <v/>
      </c>
      <c r="BK44" s="230" t="str">
        <f>IFERROR(VLOOKUP($BD44,SortedDownload!$B$3:$Z$489,19,FALSE),"")</f>
        <v/>
      </c>
      <c r="BL44" s="230" t="str">
        <f>IFERROR(VLOOKUP($BD44,SortedDownload!$B$3:$Z$489,20,FALSE),"")</f>
        <v/>
      </c>
      <c r="BM44" s="230" t="str">
        <f>IFERROR(VLOOKUP($BD44,SortedDownload!$B$3:$Z$489,21,FALSE),"")</f>
        <v/>
      </c>
    </row>
    <row r="45" spans="2:65">
      <c r="B45">
        <v>292</v>
      </c>
      <c r="C45" t="str">
        <f>IFERROR(VLOOKUP($B45,OverallResults!$B$3:$Z$508,2,FALSE),"")</f>
        <v>DNF</v>
      </c>
      <c r="D45" t="str">
        <f>IFERROR(VLOOKUP($B45,OverallResults!$B$3:$Z$508,3,FALSE),"")</f>
        <v/>
      </c>
      <c r="E45" t="str">
        <f>IFERROR(TEXT(VLOOKUP($B45,OverallResults!$B$3:$Z$489,17,FALSE),"[h]:mm:ss.0"),"")</f>
        <v/>
      </c>
      <c r="F45" s="230" t="str">
        <f>IFERROR(VLOOKUP($D45,SortedDownload!$B$3:$Z$489,14,FALSE),"")</f>
        <v/>
      </c>
      <c r="G45" s="230" t="str">
        <f>IFERROR(VLOOKUP($D45,SortedDownload!$B$3:$Z$489,15,FALSE),"")</f>
        <v/>
      </c>
      <c r="H45" s="230" t="str">
        <f>IFERROR(VLOOKUP($D45,SortedDownload!$B$3:$Z$489,16,FALSE),"")</f>
        <v/>
      </c>
      <c r="I45" s="230" t="str">
        <f>IFERROR(VLOOKUP($D45,SortedDownload!$B$3:$Z$489,17,FALSE),"")</f>
        <v/>
      </c>
      <c r="J45" s="230" t="str">
        <f>IFERROR(VLOOKUP($D45,SortedDownload!$B$3:$Z$489,18,FALSE),"")</f>
        <v/>
      </c>
      <c r="K45" s="230" t="str">
        <f>IFERROR(VLOOKUP($D45,SortedDownload!$B$3:$Z$489,19,FALSE),"")</f>
        <v/>
      </c>
      <c r="L45" s="230" t="str">
        <f>IFERROR(VLOOKUP($D45,SortedDownload!$B$3:$Z$489,20,FALSE),"")</f>
        <v/>
      </c>
      <c r="M45" s="230" t="str">
        <f>IFERROR(VLOOKUP($D45,SortedDownload!$B$3:$Z$489,21,FALSE),"")</f>
        <v/>
      </c>
      <c r="O45">
        <v>342</v>
      </c>
      <c r="P45" t="str">
        <f>IFERROR(VLOOKUP($O45,OverallResults!$B$3:$Z$508,2,FALSE),"")</f>
        <v>DNF</v>
      </c>
      <c r="Q45" t="str">
        <f>IFERROR(VLOOKUP($O45,OverallResults!$B$3:$Z$508,3,FALSE),"")</f>
        <v/>
      </c>
      <c r="R45" t="str">
        <f>IFERROR(TEXT(VLOOKUP($O45,OverallResults!$B$3:$Z$489,17,FALSE),"[h]:mm:ss.0"),"")</f>
        <v/>
      </c>
      <c r="S45" s="230" t="str">
        <f>IFERROR(VLOOKUP($Q45,SortedDownload!$B$3:$Z$489,14,FALSE),"")</f>
        <v/>
      </c>
      <c r="T45" s="230" t="str">
        <f>IFERROR(VLOOKUP($Q45,SortedDownload!$B$3:$Z$489,15,FALSE),"")</f>
        <v/>
      </c>
      <c r="U45" s="230" t="str">
        <f>IFERROR(VLOOKUP($Q45,SortedDownload!$B$3:$Z$489,16,FALSE),"")</f>
        <v/>
      </c>
      <c r="V45" s="230" t="str">
        <f>IFERROR(VLOOKUP($Q45,SortedDownload!$B$3:$Z$489,17,FALSE),"")</f>
        <v/>
      </c>
      <c r="W45" s="230" t="str">
        <f>IFERROR(VLOOKUP($Q45,SortedDownload!$B$3:$Z$489,18,FALSE),"")</f>
        <v/>
      </c>
      <c r="X45" s="230" t="str">
        <f>IFERROR(VLOOKUP($Q45,SortedDownload!$B$3:$Z$489,19,FALSE),"")</f>
        <v/>
      </c>
      <c r="Y45" s="230" t="str">
        <f>IFERROR(VLOOKUP($Q45,SortedDownload!$B$3:$Z$489,20,FALSE),"")</f>
        <v/>
      </c>
      <c r="Z45" s="230" t="str">
        <f>IFERROR(VLOOKUP($Q45,SortedDownload!$B$3:$Z$489,21,FALSE),"")</f>
        <v/>
      </c>
      <c r="AB45">
        <v>392</v>
      </c>
      <c r="AC45" t="str">
        <f>IFERROR(VLOOKUP($AB45,OverallResults!$B$3:$Z$508,2,FALSE),"")</f>
        <v>DNF</v>
      </c>
      <c r="AD45" t="str">
        <f>IFERROR(VLOOKUP($AB45,OverallResults!$B$3:$Z$508,3,FALSE),"")</f>
        <v/>
      </c>
      <c r="AE45" t="str">
        <f>IFERROR(TEXT(VLOOKUP($AB45,OverallResults!$B$3:$Z$489,17,FALSE),"[h]:mm:ss.0"),"")</f>
        <v/>
      </c>
      <c r="AF45" s="230" t="str">
        <f>IFERROR(VLOOKUP($AD45,SortedDownload!$B$3:$Z$489,14,FALSE),"")</f>
        <v/>
      </c>
      <c r="AG45" s="230" t="str">
        <f>IFERROR(VLOOKUP($AD45,SortedDownload!$B$3:$Z$489,15,FALSE),"")</f>
        <v/>
      </c>
      <c r="AH45" s="230" t="str">
        <f>IFERROR(VLOOKUP($AD45,SortedDownload!$B$3:$Z$489,16,FALSE),"")</f>
        <v/>
      </c>
      <c r="AI45" s="230" t="str">
        <f>IFERROR(VLOOKUP($AD45,SortedDownload!$B$3:$Z$489,17,FALSE),"")</f>
        <v/>
      </c>
      <c r="AJ45" s="230" t="str">
        <f>IFERROR(VLOOKUP($AD45,SortedDownload!$B$3:$Z$489,18,FALSE),"")</f>
        <v/>
      </c>
      <c r="AK45" s="230" t="str">
        <f>IFERROR(VLOOKUP($AD45,SortedDownload!$B$3:$Z$489,19,FALSE),"")</f>
        <v/>
      </c>
      <c r="AL45" s="230" t="str">
        <f>IFERROR(VLOOKUP($AD45,SortedDownload!$B$3:$Z$489,20,FALSE),"")</f>
        <v/>
      </c>
      <c r="AM45" s="230" t="str">
        <f>IFERROR(VLOOKUP($AD45,SortedDownload!$B$3:$Z$489,21,FALSE),"")</f>
        <v/>
      </c>
      <c r="AO45">
        <v>442</v>
      </c>
      <c r="AP45" t="str">
        <f>IFERROR(VLOOKUP(#REF!,OverallResults!$A$3:$Z$489,3,FALSE),"")</f>
        <v/>
      </c>
      <c r="AQ45" t="str">
        <f>IFERROR(VLOOKUP(#REF!,EntryList!$A$3:$Z$291,26,FALSE),"")</f>
        <v/>
      </c>
      <c r="AR45" t="str">
        <f>IFERROR(TEXT(VLOOKUP(#REF!,SortedDownload!$A$3:$Z$489,14,FALSE),"[h]:mm:ss.0"),"")</f>
        <v/>
      </c>
      <c r="AS45" s="230" t="str">
        <f>IFERROR(VLOOKUP(#REF!,SortedDownload!$A$3:$Z$489,15,FALSE),"")</f>
        <v/>
      </c>
      <c r="AT45" s="230" t="str">
        <f>IFERROR(VLOOKUP(#REF!,SortedDownload!$A$3:$Z$489,16,FALSE),"")</f>
        <v/>
      </c>
      <c r="AU45" s="230" t="str">
        <f>IFERROR(VLOOKUP(#REF!,SortedDownload!$A$3:$Z$489,17,FALSE),"")</f>
        <v/>
      </c>
      <c r="AV45" s="230" t="str">
        <f>IFERROR(VLOOKUP(#REF!,SortedDownload!$A$3:$Z$489,18,FALSE),"")</f>
        <v/>
      </c>
      <c r="AW45" s="230" t="str">
        <f>IFERROR(VLOOKUP(#REF!,SortedDownload!$A$3:$Z$489,19,FALSE),"")</f>
        <v/>
      </c>
      <c r="AX45" s="230" t="str">
        <f>IFERROR(VLOOKUP(#REF!,SortedDownload!$A$3:$Z$489,20,FALSE),"")</f>
        <v/>
      </c>
      <c r="AY45" s="230" t="str">
        <f>IFERROR(VLOOKUP(#REF!,SortedDownload!$A$3:$Z$489,21,FALSE),"")</f>
        <v/>
      </c>
      <c r="AZ45" s="230" t="str">
        <f>IFERROR(VLOOKUP(#REF!,SortedDownload!$A$3:$Z$489,22,FALSE),"")</f>
        <v/>
      </c>
      <c r="BB45">
        <v>492</v>
      </c>
      <c r="BC45" t="str">
        <f>IFERROR(VLOOKUP($BB45,OverallResults!$B$3:$Z$508,2,FALSE),"")</f>
        <v/>
      </c>
      <c r="BD45" t="str">
        <f>IFERROR(VLOOKUP($BB45,OverallResults!$B$3:$Z$508,3,FALSE),"")</f>
        <v/>
      </c>
      <c r="BE45" t="str">
        <f>IFERROR(TEXT(VLOOKUP($BB45,OverallResults!$B$3:$Z$489,17,FALSE),"[h]:mm:ss.0"),"")</f>
        <v/>
      </c>
      <c r="BF45" s="230" t="str">
        <f>IFERROR(VLOOKUP($BD45,SortedDownload!$B$3:$Z$489,14,FALSE),"")</f>
        <v/>
      </c>
      <c r="BG45" s="230" t="str">
        <f>IFERROR(VLOOKUP($BD45,SortedDownload!$B$3:$Z$489,15,FALSE),"")</f>
        <v/>
      </c>
      <c r="BH45" s="230" t="str">
        <f>IFERROR(VLOOKUP($BD45,SortedDownload!$B$3:$Z$489,16,FALSE),"")</f>
        <v/>
      </c>
      <c r="BI45" s="230" t="str">
        <f>IFERROR(VLOOKUP($BD45,SortedDownload!$B$3:$Z$489,17,FALSE),"")</f>
        <v/>
      </c>
      <c r="BJ45" s="230" t="str">
        <f>IFERROR(VLOOKUP($BD45,SortedDownload!$B$3:$Z$489,18,FALSE),"")</f>
        <v/>
      </c>
      <c r="BK45" s="230" t="str">
        <f>IFERROR(VLOOKUP($BD45,SortedDownload!$B$3:$Z$489,19,FALSE),"")</f>
        <v/>
      </c>
      <c r="BL45" s="230" t="str">
        <f>IFERROR(VLOOKUP($BD45,SortedDownload!$B$3:$Z$489,20,FALSE),"")</f>
        <v/>
      </c>
      <c r="BM45" s="230" t="str">
        <f>IFERROR(VLOOKUP($BD45,SortedDownload!$B$3:$Z$489,21,FALSE),"")</f>
        <v/>
      </c>
    </row>
    <row r="46" spans="2:65">
      <c r="B46">
        <v>293</v>
      </c>
      <c r="C46" t="str">
        <f>IFERROR(VLOOKUP($B46,OverallResults!$B$3:$Z$508,2,FALSE),"")</f>
        <v>DNF</v>
      </c>
      <c r="D46" t="str">
        <f>IFERROR(VLOOKUP($B46,OverallResults!$B$3:$Z$508,3,FALSE),"")</f>
        <v/>
      </c>
      <c r="E46" t="str">
        <f>IFERROR(TEXT(VLOOKUP($B46,OverallResults!$B$3:$Z$489,17,FALSE),"[h]:mm:ss.0"),"")</f>
        <v/>
      </c>
      <c r="F46" s="230" t="str">
        <f>IFERROR(VLOOKUP($D46,SortedDownload!$B$3:$Z$489,14,FALSE),"")</f>
        <v/>
      </c>
      <c r="G46" s="230" t="str">
        <f>IFERROR(VLOOKUP($D46,SortedDownload!$B$3:$Z$489,15,FALSE),"")</f>
        <v/>
      </c>
      <c r="H46" s="230" t="str">
        <f>IFERROR(VLOOKUP($D46,SortedDownload!$B$3:$Z$489,16,FALSE),"")</f>
        <v/>
      </c>
      <c r="I46" s="230" t="str">
        <f>IFERROR(VLOOKUP($D46,SortedDownload!$B$3:$Z$489,17,FALSE),"")</f>
        <v/>
      </c>
      <c r="J46" s="230" t="str">
        <f>IFERROR(VLOOKUP($D46,SortedDownload!$B$3:$Z$489,18,FALSE),"")</f>
        <v/>
      </c>
      <c r="K46" s="230" t="str">
        <f>IFERROR(VLOOKUP($D46,SortedDownload!$B$3:$Z$489,19,FALSE),"")</f>
        <v/>
      </c>
      <c r="L46" s="230" t="str">
        <f>IFERROR(VLOOKUP($D46,SortedDownload!$B$3:$Z$489,20,FALSE),"")</f>
        <v/>
      </c>
      <c r="M46" s="230" t="str">
        <f>IFERROR(VLOOKUP($D46,SortedDownload!$B$3:$Z$489,21,FALSE),"")</f>
        <v/>
      </c>
      <c r="O46">
        <v>343</v>
      </c>
      <c r="P46" t="str">
        <f>IFERROR(VLOOKUP($O46,OverallResults!$B$3:$Z$508,2,FALSE),"")</f>
        <v>DNF</v>
      </c>
      <c r="Q46" t="str">
        <f>IFERROR(VLOOKUP($O46,OverallResults!$B$3:$Z$508,3,FALSE),"")</f>
        <v/>
      </c>
      <c r="R46" t="str">
        <f>IFERROR(TEXT(VLOOKUP($O46,OverallResults!$B$3:$Z$489,17,FALSE),"[h]:mm:ss.0"),"")</f>
        <v/>
      </c>
      <c r="S46" s="230" t="str">
        <f>IFERROR(VLOOKUP($Q46,SortedDownload!$B$3:$Z$489,14,FALSE),"")</f>
        <v/>
      </c>
      <c r="T46" s="230" t="str">
        <f>IFERROR(VLOOKUP($Q46,SortedDownload!$B$3:$Z$489,15,FALSE),"")</f>
        <v/>
      </c>
      <c r="U46" s="230" t="str">
        <f>IFERROR(VLOOKUP($Q46,SortedDownload!$B$3:$Z$489,16,FALSE),"")</f>
        <v/>
      </c>
      <c r="V46" s="230" t="str">
        <f>IFERROR(VLOOKUP($Q46,SortedDownload!$B$3:$Z$489,17,FALSE),"")</f>
        <v/>
      </c>
      <c r="W46" s="230" t="str">
        <f>IFERROR(VLOOKUP($Q46,SortedDownload!$B$3:$Z$489,18,FALSE),"")</f>
        <v/>
      </c>
      <c r="X46" s="230" t="str">
        <f>IFERROR(VLOOKUP($Q46,SortedDownload!$B$3:$Z$489,19,FALSE),"")</f>
        <v/>
      </c>
      <c r="Y46" s="230" t="str">
        <f>IFERROR(VLOOKUP($Q46,SortedDownload!$B$3:$Z$489,20,FALSE),"")</f>
        <v/>
      </c>
      <c r="Z46" s="230" t="str">
        <f>IFERROR(VLOOKUP($Q46,SortedDownload!$B$3:$Z$489,21,FALSE),"")</f>
        <v/>
      </c>
      <c r="AB46">
        <v>393</v>
      </c>
      <c r="AC46" t="str">
        <f>IFERROR(VLOOKUP($AB46,OverallResults!$B$3:$Z$508,2,FALSE),"")</f>
        <v>DNF</v>
      </c>
      <c r="AD46" t="str">
        <f>IFERROR(VLOOKUP($AB46,OverallResults!$B$3:$Z$508,3,FALSE),"")</f>
        <v/>
      </c>
      <c r="AE46" t="str">
        <f>IFERROR(TEXT(VLOOKUP($AB46,OverallResults!$B$3:$Z$489,17,FALSE),"[h]:mm:ss.0"),"")</f>
        <v/>
      </c>
      <c r="AF46" s="230" t="str">
        <f>IFERROR(VLOOKUP($AD46,SortedDownload!$B$3:$Z$489,14,FALSE),"")</f>
        <v/>
      </c>
      <c r="AG46" s="230" t="str">
        <f>IFERROR(VLOOKUP($AD46,SortedDownload!$B$3:$Z$489,15,FALSE),"")</f>
        <v/>
      </c>
      <c r="AH46" s="230" t="str">
        <f>IFERROR(VLOOKUP($AD46,SortedDownload!$B$3:$Z$489,16,FALSE),"")</f>
        <v/>
      </c>
      <c r="AI46" s="230" t="str">
        <f>IFERROR(VLOOKUP($AD46,SortedDownload!$B$3:$Z$489,17,FALSE),"")</f>
        <v/>
      </c>
      <c r="AJ46" s="230" t="str">
        <f>IFERROR(VLOOKUP($AD46,SortedDownload!$B$3:$Z$489,18,FALSE),"")</f>
        <v/>
      </c>
      <c r="AK46" s="230" t="str">
        <f>IFERROR(VLOOKUP($AD46,SortedDownload!$B$3:$Z$489,19,FALSE),"")</f>
        <v/>
      </c>
      <c r="AL46" s="230" t="str">
        <f>IFERROR(VLOOKUP($AD46,SortedDownload!$B$3:$Z$489,20,FALSE),"")</f>
        <v/>
      </c>
      <c r="AM46" s="230" t="str">
        <f>IFERROR(VLOOKUP($AD46,SortedDownload!$B$3:$Z$489,21,FALSE),"")</f>
        <v/>
      </c>
      <c r="AO46">
        <v>443</v>
      </c>
      <c r="AP46" t="str">
        <f>IFERROR(VLOOKUP(#REF!,OverallResults!$A$3:$Z$489,3,FALSE),"")</f>
        <v/>
      </c>
      <c r="AQ46" t="str">
        <f>IFERROR(VLOOKUP(#REF!,EntryList!$A$3:$Z$291,26,FALSE),"")</f>
        <v/>
      </c>
      <c r="AR46" t="str">
        <f>IFERROR(TEXT(VLOOKUP(#REF!,SortedDownload!$A$3:$Z$489,14,FALSE),"[h]:mm:ss.0"),"")</f>
        <v/>
      </c>
      <c r="AS46" s="230" t="str">
        <f>IFERROR(VLOOKUP(#REF!,SortedDownload!$A$3:$Z$489,15,FALSE),"")</f>
        <v/>
      </c>
      <c r="AT46" s="230" t="str">
        <f>IFERROR(VLOOKUP(#REF!,SortedDownload!$A$3:$Z$489,16,FALSE),"")</f>
        <v/>
      </c>
      <c r="AU46" s="230" t="str">
        <f>IFERROR(VLOOKUP(#REF!,SortedDownload!$A$3:$Z$489,17,FALSE),"")</f>
        <v/>
      </c>
      <c r="AV46" s="230" t="str">
        <f>IFERROR(VLOOKUP(#REF!,SortedDownload!$A$3:$Z$489,18,FALSE),"")</f>
        <v/>
      </c>
      <c r="AW46" s="230" t="str">
        <f>IFERROR(VLOOKUP(#REF!,SortedDownload!$A$3:$Z$489,19,FALSE),"")</f>
        <v/>
      </c>
      <c r="AX46" s="230" t="str">
        <f>IFERROR(VLOOKUP(#REF!,SortedDownload!$A$3:$Z$489,20,FALSE),"")</f>
        <v/>
      </c>
      <c r="AY46" s="230" t="str">
        <f>IFERROR(VLOOKUP(#REF!,SortedDownload!$A$3:$Z$489,21,FALSE),"")</f>
        <v/>
      </c>
      <c r="AZ46" s="230" t="str">
        <f>IFERROR(VLOOKUP(#REF!,SortedDownload!$A$3:$Z$489,22,FALSE),"")</f>
        <v/>
      </c>
      <c r="BB46">
        <v>493</v>
      </c>
      <c r="BC46" t="str">
        <f>IFERROR(VLOOKUP($BB46,OverallResults!$B$3:$Z$508,2,FALSE),"")</f>
        <v/>
      </c>
      <c r="BD46" t="str">
        <f>IFERROR(VLOOKUP($BB46,OverallResults!$B$3:$Z$508,3,FALSE),"")</f>
        <v/>
      </c>
      <c r="BE46" t="str">
        <f>IFERROR(TEXT(VLOOKUP($BB46,OverallResults!$B$3:$Z$489,17,FALSE),"[h]:mm:ss.0"),"")</f>
        <v/>
      </c>
      <c r="BF46" s="230" t="str">
        <f>IFERROR(VLOOKUP($BD46,SortedDownload!$B$3:$Z$489,14,FALSE),"")</f>
        <v/>
      </c>
      <c r="BG46" s="230" t="str">
        <f>IFERROR(VLOOKUP($BD46,SortedDownload!$B$3:$Z$489,15,FALSE),"")</f>
        <v/>
      </c>
      <c r="BH46" s="230" t="str">
        <f>IFERROR(VLOOKUP($BD46,SortedDownload!$B$3:$Z$489,16,FALSE),"")</f>
        <v/>
      </c>
      <c r="BI46" s="230" t="str">
        <f>IFERROR(VLOOKUP($BD46,SortedDownload!$B$3:$Z$489,17,FALSE),"")</f>
        <v/>
      </c>
      <c r="BJ46" s="230" t="str">
        <f>IFERROR(VLOOKUP($BD46,SortedDownload!$B$3:$Z$489,18,FALSE),"")</f>
        <v/>
      </c>
      <c r="BK46" s="230" t="str">
        <f>IFERROR(VLOOKUP($BD46,SortedDownload!$B$3:$Z$489,19,FALSE),"")</f>
        <v/>
      </c>
      <c r="BL46" s="230" t="str">
        <f>IFERROR(VLOOKUP($BD46,SortedDownload!$B$3:$Z$489,20,FALSE),"")</f>
        <v/>
      </c>
      <c r="BM46" s="230" t="str">
        <f>IFERROR(VLOOKUP($BD46,SortedDownload!$B$3:$Z$489,21,FALSE),"")</f>
        <v/>
      </c>
    </row>
    <row r="47" spans="2:65">
      <c r="B47">
        <v>294</v>
      </c>
      <c r="C47" t="str">
        <f>IFERROR(VLOOKUP($B47,OverallResults!$B$3:$Z$508,2,FALSE),"")</f>
        <v>DNF</v>
      </c>
      <c r="D47" t="str">
        <f>IFERROR(VLOOKUP($B47,OverallResults!$B$3:$Z$508,3,FALSE),"")</f>
        <v/>
      </c>
      <c r="E47" t="str">
        <f>IFERROR(TEXT(VLOOKUP($B47,OverallResults!$B$3:$Z$489,17,FALSE),"[h]:mm:ss.0"),"")</f>
        <v/>
      </c>
      <c r="F47" s="230" t="str">
        <f>IFERROR(VLOOKUP($D47,SortedDownload!$B$3:$Z$489,14,FALSE),"")</f>
        <v/>
      </c>
      <c r="G47" s="230" t="str">
        <f>IFERROR(VLOOKUP($D47,SortedDownload!$B$3:$Z$489,15,FALSE),"")</f>
        <v/>
      </c>
      <c r="H47" s="230" t="str">
        <f>IFERROR(VLOOKUP($D47,SortedDownload!$B$3:$Z$489,16,FALSE),"")</f>
        <v/>
      </c>
      <c r="I47" s="230" t="str">
        <f>IFERROR(VLOOKUP($D47,SortedDownload!$B$3:$Z$489,17,FALSE),"")</f>
        <v/>
      </c>
      <c r="J47" s="230" t="str">
        <f>IFERROR(VLOOKUP($D47,SortedDownload!$B$3:$Z$489,18,FALSE),"")</f>
        <v/>
      </c>
      <c r="K47" s="230" t="str">
        <f>IFERROR(VLOOKUP($D47,SortedDownload!$B$3:$Z$489,19,FALSE),"")</f>
        <v/>
      </c>
      <c r="L47" s="230" t="str">
        <f>IFERROR(VLOOKUP($D47,SortedDownload!$B$3:$Z$489,20,FALSE),"")</f>
        <v/>
      </c>
      <c r="M47" s="230" t="str">
        <f>IFERROR(VLOOKUP($D47,SortedDownload!$B$3:$Z$489,21,FALSE),"")</f>
        <v/>
      </c>
      <c r="O47">
        <v>344</v>
      </c>
      <c r="P47" t="str">
        <f>IFERROR(VLOOKUP($O47,OverallResults!$B$3:$Z$508,2,FALSE),"")</f>
        <v>DNF</v>
      </c>
      <c r="Q47" t="str">
        <f>IFERROR(VLOOKUP($O47,OverallResults!$B$3:$Z$508,3,FALSE),"")</f>
        <v/>
      </c>
      <c r="R47" t="str">
        <f>IFERROR(TEXT(VLOOKUP($O47,OverallResults!$B$3:$Z$489,17,FALSE),"[h]:mm:ss.0"),"")</f>
        <v/>
      </c>
      <c r="S47" s="230" t="str">
        <f>IFERROR(VLOOKUP($Q47,SortedDownload!$B$3:$Z$489,14,FALSE),"")</f>
        <v/>
      </c>
      <c r="T47" s="230" t="str">
        <f>IFERROR(VLOOKUP($Q47,SortedDownload!$B$3:$Z$489,15,FALSE),"")</f>
        <v/>
      </c>
      <c r="U47" s="230" t="str">
        <f>IFERROR(VLOOKUP($Q47,SortedDownload!$B$3:$Z$489,16,FALSE),"")</f>
        <v/>
      </c>
      <c r="V47" s="230" t="str">
        <f>IFERROR(VLOOKUP($Q47,SortedDownload!$B$3:$Z$489,17,FALSE),"")</f>
        <v/>
      </c>
      <c r="W47" s="230" t="str">
        <f>IFERROR(VLOOKUP($Q47,SortedDownload!$B$3:$Z$489,18,FALSE),"")</f>
        <v/>
      </c>
      <c r="X47" s="230" t="str">
        <f>IFERROR(VLOOKUP($Q47,SortedDownload!$B$3:$Z$489,19,FALSE),"")</f>
        <v/>
      </c>
      <c r="Y47" s="230" t="str">
        <f>IFERROR(VLOOKUP($Q47,SortedDownload!$B$3:$Z$489,20,FALSE),"")</f>
        <v/>
      </c>
      <c r="Z47" s="230" t="str">
        <f>IFERROR(VLOOKUP($Q47,SortedDownload!$B$3:$Z$489,21,FALSE),"")</f>
        <v/>
      </c>
      <c r="AB47">
        <v>394</v>
      </c>
      <c r="AC47" t="str">
        <f>IFERROR(VLOOKUP($AB47,OverallResults!$B$3:$Z$508,2,FALSE),"")</f>
        <v>DNF</v>
      </c>
      <c r="AD47" t="str">
        <f>IFERROR(VLOOKUP($AB47,OverallResults!$B$3:$Z$508,3,FALSE),"")</f>
        <v/>
      </c>
      <c r="AE47" t="str">
        <f>IFERROR(TEXT(VLOOKUP($AB47,OverallResults!$B$3:$Z$489,17,FALSE),"[h]:mm:ss.0"),"")</f>
        <v/>
      </c>
      <c r="AF47" s="230" t="str">
        <f>IFERROR(VLOOKUP($AD47,SortedDownload!$B$3:$Z$489,14,FALSE),"")</f>
        <v/>
      </c>
      <c r="AG47" s="230" t="str">
        <f>IFERROR(VLOOKUP($AD47,SortedDownload!$B$3:$Z$489,15,FALSE),"")</f>
        <v/>
      </c>
      <c r="AH47" s="230" t="str">
        <f>IFERROR(VLOOKUP($AD47,SortedDownload!$B$3:$Z$489,16,FALSE),"")</f>
        <v/>
      </c>
      <c r="AI47" s="230" t="str">
        <f>IFERROR(VLOOKUP($AD47,SortedDownload!$B$3:$Z$489,17,FALSE),"")</f>
        <v/>
      </c>
      <c r="AJ47" s="230" t="str">
        <f>IFERROR(VLOOKUP($AD47,SortedDownload!$B$3:$Z$489,18,FALSE),"")</f>
        <v/>
      </c>
      <c r="AK47" s="230" t="str">
        <f>IFERROR(VLOOKUP($AD47,SortedDownload!$B$3:$Z$489,19,FALSE),"")</f>
        <v/>
      </c>
      <c r="AL47" s="230" t="str">
        <f>IFERROR(VLOOKUP($AD47,SortedDownload!$B$3:$Z$489,20,FALSE),"")</f>
        <v/>
      </c>
      <c r="AM47" s="230" t="str">
        <f>IFERROR(VLOOKUP($AD47,SortedDownload!$B$3:$Z$489,21,FALSE),"")</f>
        <v/>
      </c>
      <c r="AO47">
        <v>444</v>
      </c>
      <c r="AP47" t="str">
        <f>IFERROR(VLOOKUP(#REF!,OverallResults!$A$3:$Z$489,3,FALSE),"")</f>
        <v/>
      </c>
      <c r="AQ47" t="str">
        <f>IFERROR(VLOOKUP(#REF!,EntryList!$A$3:$Z$291,26,FALSE),"")</f>
        <v/>
      </c>
      <c r="AR47" t="str">
        <f>IFERROR(TEXT(VLOOKUP(#REF!,SortedDownload!$A$3:$Z$489,14,FALSE),"[h]:mm:ss.0"),"")</f>
        <v/>
      </c>
      <c r="AS47" s="230" t="str">
        <f>IFERROR(VLOOKUP(#REF!,SortedDownload!$A$3:$Z$489,15,FALSE),"")</f>
        <v/>
      </c>
      <c r="AT47" s="230" t="str">
        <f>IFERROR(VLOOKUP(#REF!,SortedDownload!$A$3:$Z$489,16,FALSE),"")</f>
        <v/>
      </c>
      <c r="AU47" s="230" t="str">
        <f>IFERROR(VLOOKUP(#REF!,SortedDownload!$A$3:$Z$489,17,FALSE),"")</f>
        <v/>
      </c>
      <c r="AV47" s="230" t="str">
        <f>IFERROR(VLOOKUP(#REF!,SortedDownload!$A$3:$Z$489,18,FALSE),"")</f>
        <v/>
      </c>
      <c r="AW47" s="230" t="str">
        <f>IFERROR(VLOOKUP(#REF!,SortedDownload!$A$3:$Z$489,19,FALSE),"")</f>
        <v/>
      </c>
      <c r="AX47" s="230" t="str">
        <f>IFERROR(VLOOKUP(#REF!,SortedDownload!$A$3:$Z$489,20,FALSE),"")</f>
        <v/>
      </c>
      <c r="AY47" s="230" t="str">
        <f>IFERROR(VLOOKUP(#REF!,SortedDownload!$A$3:$Z$489,21,FALSE),"")</f>
        <v/>
      </c>
      <c r="AZ47" s="230" t="str">
        <f>IFERROR(VLOOKUP(#REF!,SortedDownload!$A$3:$Z$489,22,FALSE),"")</f>
        <v/>
      </c>
      <c r="BB47">
        <v>494</v>
      </c>
      <c r="BC47" t="str">
        <f>IFERROR(VLOOKUP($BB47,OverallResults!$B$3:$Z$508,2,FALSE),"")</f>
        <v/>
      </c>
      <c r="BD47" t="str">
        <f>IFERROR(VLOOKUP($BB47,OverallResults!$B$3:$Z$508,3,FALSE),"")</f>
        <v/>
      </c>
      <c r="BE47" t="str">
        <f>IFERROR(TEXT(VLOOKUP($BB47,OverallResults!$B$3:$Z$489,17,FALSE),"[h]:mm:ss.0"),"")</f>
        <v/>
      </c>
      <c r="BF47" s="230" t="str">
        <f>IFERROR(VLOOKUP($BD47,SortedDownload!$B$3:$Z$489,14,FALSE),"")</f>
        <v/>
      </c>
      <c r="BG47" s="230" t="str">
        <f>IFERROR(VLOOKUP($BD47,SortedDownload!$B$3:$Z$489,15,FALSE),"")</f>
        <v/>
      </c>
      <c r="BH47" s="230" t="str">
        <f>IFERROR(VLOOKUP($BD47,SortedDownload!$B$3:$Z$489,16,FALSE),"")</f>
        <v/>
      </c>
      <c r="BI47" s="230" t="str">
        <f>IFERROR(VLOOKUP($BD47,SortedDownload!$B$3:$Z$489,17,FALSE),"")</f>
        <v/>
      </c>
      <c r="BJ47" s="230" t="str">
        <f>IFERROR(VLOOKUP($BD47,SortedDownload!$B$3:$Z$489,18,FALSE),"")</f>
        <v/>
      </c>
      <c r="BK47" s="230" t="str">
        <f>IFERROR(VLOOKUP($BD47,SortedDownload!$B$3:$Z$489,19,FALSE),"")</f>
        <v/>
      </c>
      <c r="BL47" s="230" t="str">
        <f>IFERROR(VLOOKUP($BD47,SortedDownload!$B$3:$Z$489,20,FALSE),"")</f>
        <v/>
      </c>
      <c r="BM47" s="230" t="str">
        <f>IFERROR(VLOOKUP($BD47,SortedDownload!$B$3:$Z$489,21,FALSE),"")</f>
        <v/>
      </c>
    </row>
    <row r="48" spans="2:65">
      <c r="B48">
        <v>295</v>
      </c>
      <c r="C48" t="str">
        <f>IFERROR(VLOOKUP($B48,OverallResults!$B$3:$Z$508,2,FALSE),"")</f>
        <v>DNF</v>
      </c>
      <c r="D48" t="str">
        <f>IFERROR(VLOOKUP($B48,OverallResults!$B$3:$Z$508,3,FALSE),"")</f>
        <v/>
      </c>
      <c r="E48" t="str">
        <f>IFERROR(TEXT(VLOOKUP($B48,OverallResults!$B$3:$Z$489,17,FALSE),"[h]:mm:ss.0"),"")</f>
        <v/>
      </c>
      <c r="F48" s="230" t="str">
        <f>IFERROR(VLOOKUP($D48,SortedDownload!$B$3:$Z$489,14,FALSE),"")</f>
        <v/>
      </c>
      <c r="G48" s="230" t="str">
        <f>IFERROR(VLOOKUP($D48,SortedDownload!$B$3:$Z$489,15,FALSE),"")</f>
        <v/>
      </c>
      <c r="H48" s="230" t="str">
        <f>IFERROR(VLOOKUP($D48,SortedDownload!$B$3:$Z$489,16,FALSE),"")</f>
        <v/>
      </c>
      <c r="I48" s="230" t="str">
        <f>IFERROR(VLOOKUP($D48,SortedDownload!$B$3:$Z$489,17,FALSE),"")</f>
        <v/>
      </c>
      <c r="J48" s="230" t="str">
        <f>IFERROR(VLOOKUP($D48,SortedDownload!$B$3:$Z$489,18,FALSE),"")</f>
        <v/>
      </c>
      <c r="K48" s="230" t="str">
        <f>IFERROR(VLOOKUP($D48,SortedDownload!$B$3:$Z$489,19,FALSE),"")</f>
        <v/>
      </c>
      <c r="L48" s="230" t="str">
        <f>IFERROR(VLOOKUP($D48,SortedDownload!$B$3:$Z$489,20,FALSE),"")</f>
        <v/>
      </c>
      <c r="M48" s="230" t="str">
        <f>IFERROR(VLOOKUP($D48,SortedDownload!$B$3:$Z$489,21,FALSE),"")</f>
        <v/>
      </c>
      <c r="O48">
        <v>345</v>
      </c>
      <c r="P48" t="str">
        <f>IFERROR(VLOOKUP($O48,OverallResults!$B$3:$Z$508,2,FALSE),"")</f>
        <v>DNF</v>
      </c>
      <c r="Q48" t="str">
        <f>IFERROR(VLOOKUP($O48,OverallResults!$B$3:$Z$508,3,FALSE),"")</f>
        <v/>
      </c>
      <c r="R48" t="str">
        <f>IFERROR(TEXT(VLOOKUP($O48,OverallResults!$B$3:$Z$489,17,FALSE),"[h]:mm:ss.0"),"")</f>
        <v/>
      </c>
      <c r="S48" s="230" t="str">
        <f>IFERROR(VLOOKUP($Q48,SortedDownload!$B$3:$Z$489,14,FALSE),"")</f>
        <v/>
      </c>
      <c r="T48" s="230" t="str">
        <f>IFERROR(VLOOKUP($Q48,SortedDownload!$B$3:$Z$489,15,FALSE),"")</f>
        <v/>
      </c>
      <c r="U48" s="230" t="str">
        <f>IFERROR(VLOOKUP($Q48,SortedDownload!$B$3:$Z$489,16,FALSE),"")</f>
        <v/>
      </c>
      <c r="V48" s="230" t="str">
        <f>IFERROR(VLOOKUP($Q48,SortedDownload!$B$3:$Z$489,17,FALSE),"")</f>
        <v/>
      </c>
      <c r="W48" s="230" t="str">
        <f>IFERROR(VLOOKUP($Q48,SortedDownload!$B$3:$Z$489,18,FALSE),"")</f>
        <v/>
      </c>
      <c r="X48" s="230" t="str">
        <f>IFERROR(VLOOKUP($Q48,SortedDownload!$B$3:$Z$489,19,FALSE),"")</f>
        <v/>
      </c>
      <c r="Y48" s="230" t="str">
        <f>IFERROR(VLOOKUP($Q48,SortedDownload!$B$3:$Z$489,20,FALSE),"")</f>
        <v/>
      </c>
      <c r="Z48" s="230" t="str">
        <f>IFERROR(VLOOKUP($Q48,SortedDownload!$B$3:$Z$489,21,FALSE),"")</f>
        <v/>
      </c>
      <c r="AB48">
        <v>395</v>
      </c>
      <c r="AC48" t="str">
        <f>IFERROR(VLOOKUP($AB48,OverallResults!$B$3:$Z$508,2,FALSE),"")</f>
        <v>DNF</v>
      </c>
      <c r="AD48" t="str">
        <f>IFERROR(VLOOKUP($AB48,OverallResults!$B$3:$Z$508,3,FALSE),"")</f>
        <v/>
      </c>
      <c r="AE48" t="str">
        <f>IFERROR(TEXT(VLOOKUP($AB48,OverallResults!$B$3:$Z$489,17,FALSE),"[h]:mm:ss.0"),"")</f>
        <v/>
      </c>
      <c r="AF48" s="230" t="str">
        <f>IFERROR(VLOOKUP($AD48,SortedDownload!$B$3:$Z$489,14,FALSE),"")</f>
        <v/>
      </c>
      <c r="AG48" s="230" t="str">
        <f>IFERROR(VLOOKUP($AD48,SortedDownload!$B$3:$Z$489,15,FALSE),"")</f>
        <v/>
      </c>
      <c r="AH48" s="230" t="str">
        <f>IFERROR(VLOOKUP($AD48,SortedDownload!$B$3:$Z$489,16,FALSE),"")</f>
        <v/>
      </c>
      <c r="AI48" s="230" t="str">
        <f>IFERROR(VLOOKUP($AD48,SortedDownload!$B$3:$Z$489,17,FALSE),"")</f>
        <v/>
      </c>
      <c r="AJ48" s="230" t="str">
        <f>IFERROR(VLOOKUP($AD48,SortedDownload!$B$3:$Z$489,18,FALSE),"")</f>
        <v/>
      </c>
      <c r="AK48" s="230" t="str">
        <f>IFERROR(VLOOKUP($AD48,SortedDownload!$B$3:$Z$489,19,FALSE),"")</f>
        <v/>
      </c>
      <c r="AL48" s="230" t="str">
        <f>IFERROR(VLOOKUP($AD48,SortedDownload!$B$3:$Z$489,20,FALSE),"")</f>
        <v/>
      </c>
      <c r="AM48" s="230" t="str">
        <f>IFERROR(VLOOKUP($AD48,SortedDownload!$B$3:$Z$489,21,FALSE),"")</f>
        <v/>
      </c>
      <c r="AO48">
        <v>445</v>
      </c>
      <c r="AP48" t="str">
        <f>IFERROR(VLOOKUP(#REF!,OverallResults!$A$3:$Z$489,3,FALSE),"")</f>
        <v/>
      </c>
      <c r="AQ48" t="str">
        <f>IFERROR(VLOOKUP(#REF!,EntryList!$A$3:$Z$291,26,FALSE),"")</f>
        <v/>
      </c>
      <c r="AR48" t="str">
        <f>IFERROR(TEXT(VLOOKUP(#REF!,SortedDownload!$A$3:$Z$489,14,FALSE),"[h]:mm:ss.0"),"")</f>
        <v/>
      </c>
      <c r="AS48" s="230" t="str">
        <f>IFERROR(VLOOKUP(#REF!,SortedDownload!$A$3:$Z$489,15,FALSE),"")</f>
        <v/>
      </c>
      <c r="AT48" s="230" t="str">
        <f>IFERROR(VLOOKUP(#REF!,SortedDownload!$A$3:$Z$489,16,FALSE),"")</f>
        <v/>
      </c>
      <c r="AU48" s="230" t="str">
        <f>IFERROR(VLOOKUP(#REF!,SortedDownload!$A$3:$Z$489,17,FALSE),"")</f>
        <v/>
      </c>
      <c r="AV48" s="230" t="str">
        <f>IFERROR(VLOOKUP(#REF!,SortedDownload!$A$3:$Z$489,18,FALSE),"")</f>
        <v/>
      </c>
      <c r="AW48" s="230" t="str">
        <f>IFERROR(VLOOKUP(#REF!,SortedDownload!$A$3:$Z$489,19,FALSE),"")</f>
        <v/>
      </c>
      <c r="AX48" s="230" t="str">
        <f>IFERROR(VLOOKUP(#REF!,SortedDownload!$A$3:$Z$489,20,FALSE),"")</f>
        <v/>
      </c>
      <c r="AY48" s="230" t="str">
        <f>IFERROR(VLOOKUP(#REF!,SortedDownload!$A$3:$Z$489,21,FALSE),"")</f>
        <v/>
      </c>
      <c r="AZ48" s="230" t="str">
        <f>IFERROR(VLOOKUP(#REF!,SortedDownload!$A$3:$Z$489,22,FALSE),"")</f>
        <v/>
      </c>
      <c r="BB48">
        <v>495</v>
      </c>
      <c r="BC48" t="str">
        <f>IFERROR(VLOOKUP($BB48,OverallResults!$B$3:$Z$508,2,FALSE),"")</f>
        <v/>
      </c>
      <c r="BD48" t="str">
        <f>IFERROR(VLOOKUP($BB48,OverallResults!$B$3:$Z$508,3,FALSE),"")</f>
        <v/>
      </c>
      <c r="BE48" t="str">
        <f>IFERROR(TEXT(VLOOKUP($BB48,OverallResults!$B$3:$Z$489,17,FALSE),"[h]:mm:ss.0"),"")</f>
        <v/>
      </c>
      <c r="BF48" s="230" t="str">
        <f>IFERROR(VLOOKUP($BD48,SortedDownload!$B$3:$Z$489,14,FALSE),"")</f>
        <v/>
      </c>
      <c r="BG48" s="230" t="str">
        <f>IFERROR(VLOOKUP($BD48,SortedDownload!$B$3:$Z$489,15,FALSE),"")</f>
        <v/>
      </c>
      <c r="BH48" s="230" t="str">
        <f>IFERROR(VLOOKUP($BD48,SortedDownload!$B$3:$Z$489,16,FALSE),"")</f>
        <v/>
      </c>
      <c r="BI48" s="230" t="str">
        <f>IFERROR(VLOOKUP($BD48,SortedDownload!$B$3:$Z$489,17,FALSE),"")</f>
        <v/>
      </c>
      <c r="BJ48" s="230" t="str">
        <f>IFERROR(VLOOKUP($BD48,SortedDownload!$B$3:$Z$489,18,FALSE),"")</f>
        <v/>
      </c>
      <c r="BK48" s="230" t="str">
        <f>IFERROR(VLOOKUP($BD48,SortedDownload!$B$3:$Z$489,19,FALSE),"")</f>
        <v/>
      </c>
      <c r="BL48" s="230" t="str">
        <f>IFERROR(VLOOKUP($BD48,SortedDownload!$B$3:$Z$489,20,FALSE),"")</f>
        <v/>
      </c>
      <c r="BM48" s="230" t="str">
        <f>IFERROR(VLOOKUP($BD48,SortedDownload!$B$3:$Z$489,21,FALSE),"")</f>
        <v/>
      </c>
    </row>
    <row r="49" spans="2:65">
      <c r="B49">
        <v>296</v>
      </c>
      <c r="C49" t="str">
        <f>IFERROR(VLOOKUP($B49,OverallResults!$B$3:$Z$508,2,FALSE),"")</f>
        <v>DNF</v>
      </c>
      <c r="D49" t="str">
        <f>IFERROR(VLOOKUP($B49,OverallResults!$B$3:$Z$508,3,FALSE),"")</f>
        <v/>
      </c>
      <c r="E49" t="str">
        <f>IFERROR(TEXT(VLOOKUP($B49,OverallResults!$B$3:$Z$489,17,FALSE),"[h]:mm:ss.0"),"")</f>
        <v/>
      </c>
      <c r="F49" s="230" t="str">
        <f>IFERROR(VLOOKUP($D49,SortedDownload!$B$3:$Z$489,14,FALSE),"")</f>
        <v/>
      </c>
      <c r="G49" s="230" t="str">
        <f>IFERROR(VLOOKUP($D49,SortedDownload!$B$3:$Z$489,15,FALSE),"")</f>
        <v/>
      </c>
      <c r="H49" s="230" t="str">
        <f>IFERROR(VLOOKUP($D49,SortedDownload!$B$3:$Z$489,16,FALSE),"")</f>
        <v/>
      </c>
      <c r="I49" s="230" t="str">
        <f>IFERROR(VLOOKUP($D49,SortedDownload!$B$3:$Z$489,17,FALSE),"")</f>
        <v/>
      </c>
      <c r="J49" s="230" t="str">
        <f>IFERROR(VLOOKUP($D49,SortedDownload!$B$3:$Z$489,18,FALSE),"")</f>
        <v/>
      </c>
      <c r="K49" s="230" t="str">
        <f>IFERROR(VLOOKUP($D49,SortedDownload!$B$3:$Z$489,19,FALSE),"")</f>
        <v/>
      </c>
      <c r="L49" s="230" t="str">
        <f>IFERROR(VLOOKUP($D49,SortedDownload!$B$3:$Z$489,20,FALSE),"")</f>
        <v/>
      </c>
      <c r="M49" s="230" t="str">
        <f>IFERROR(VLOOKUP($D49,SortedDownload!$B$3:$Z$489,21,FALSE),"")</f>
        <v/>
      </c>
      <c r="O49">
        <v>346</v>
      </c>
      <c r="P49" t="str">
        <f>IFERROR(VLOOKUP($O49,OverallResults!$B$3:$Z$508,2,FALSE),"")</f>
        <v>DNF</v>
      </c>
      <c r="Q49" t="str">
        <f>IFERROR(VLOOKUP($O49,OverallResults!$B$3:$Z$508,3,FALSE),"")</f>
        <v/>
      </c>
      <c r="R49" t="str">
        <f>IFERROR(TEXT(VLOOKUP($O49,OverallResults!$B$3:$Z$489,17,FALSE),"[h]:mm:ss.0"),"")</f>
        <v/>
      </c>
      <c r="S49" s="230" t="str">
        <f>IFERROR(VLOOKUP($Q49,SortedDownload!$B$3:$Z$489,14,FALSE),"")</f>
        <v/>
      </c>
      <c r="T49" s="230" t="str">
        <f>IFERROR(VLOOKUP($Q49,SortedDownload!$B$3:$Z$489,15,FALSE),"")</f>
        <v/>
      </c>
      <c r="U49" s="230" t="str">
        <f>IFERROR(VLOOKUP($Q49,SortedDownload!$B$3:$Z$489,16,FALSE),"")</f>
        <v/>
      </c>
      <c r="V49" s="230" t="str">
        <f>IFERROR(VLOOKUP($Q49,SortedDownload!$B$3:$Z$489,17,FALSE),"")</f>
        <v/>
      </c>
      <c r="W49" s="230" t="str">
        <f>IFERROR(VLOOKUP($Q49,SortedDownload!$B$3:$Z$489,18,FALSE),"")</f>
        <v/>
      </c>
      <c r="X49" s="230" t="str">
        <f>IFERROR(VLOOKUP($Q49,SortedDownload!$B$3:$Z$489,19,FALSE),"")</f>
        <v/>
      </c>
      <c r="Y49" s="230" t="str">
        <f>IFERROR(VLOOKUP($Q49,SortedDownload!$B$3:$Z$489,20,FALSE),"")</f>
        <v/>
      </c>
      <c r="Z49" s="230" t="str">
        <f>IFERROR(VLOOKUP($Q49,SortedDownload!$B$3:$Z$489,21,FALSE),"")</f>
        <v/>
      </c>
      <c r="AB49">
        <v>396</v>
      </c>
      <c r="AC49" t="str">
        <f>IFERROR(VLOOKUP($AB49,OverallResults!$B$3:$Z$508,2,FALSE),"")</f>
        <v>DNF</v>
      </c>
      <c r="AD49" t="str">
        <f>IFERROR(VLOOKUP($AB49,OverallResults!$B$3:$Z$508,3,FALSE),"")</f>
        <v/>
      </c>
      <c r="AE49" t="str">
        <f>IFERROR(TEXT(VLOOKUP($AB49,OverallResults!$B$3:$Z$489,17,FALSE),"[h]:mm:ss.0"),"")</f>
        <v/>
      </c>
      <c r="AF49" s="230" t="str">
        <f>IFERROR(VLOOKUP($AD49,SortedDownload!$B$3:$Z$489,14,FALSE),"")</f>
        <v/>
      </c>
      <c r="AG49" s="230" t="str">
        <f>IFERROR(VLOOKUP($AD49,SortedDownload!$B$3:$Z$489,15,FALSE),"")</f>
        <v/>
      </c>
      <c r="AH49" s="230" t="str">
        <f>IFERROR(VLOOKUP($AD49,SortedDownload!$B$3:$Z$489,16,FALSE),"")</f>
        <v/>
      </c>
      <c r="AI49" s="230" t="str">
        <f>IFERROR(VLOOKUP($AD49,SortedDownload!$B$3:$Z$489,17,FALSE),"")</f>
        <v/>
      </c>
      <c r="AJ49" s="230" t="str">
        <f>IFERROR(VLOOKUP($AD49,SortedDownload!$B$3:$Z$489,18,FALSE),"")</f>
        <v/>
      </c>
      <c r="AK49" s="230" t="str">
        <f>IFERROR(VLOOKUP($AD49,SortedDownload!$B$3:$Z$489,19,FALSE),"")</f>
        <v/>
      </c>
      <c r="AL49" s="230" t="str">
        <f>IFERROR(VLOOKUP($AD49,SortedDownload!$B$3:$Z$489,20,FALSE),"")</f>
        <v/>
      </c>
      <c r="AM49" s="230" t="str">
        <f>IFERROR(VLOOKUP($AD49,SortedDownload!$B$3:$Z$489,21,FALSE),"")</f>
        <v/>
      </c>
      <c r="AO49">
        <v>446</v>
      </c>
      <c r="AP49" t="str">
        <f>IFERROR(VLOOKUP(#REF!,OverallResults!$A$3:$Z$489,3,FALSE),"")</f>
        <v/>
      </c>
      <c r="AQ49" t="str">
        <f>IFERROR(VLOOKUP(#REF!,EntryList!$A$3:$Z$291,26,FALSE),"")</f>
        <v/>
      </c>
      <c r="AR49" t="str">
        <f>IFERROR(TEXT(VLOOKUP(#REF!,SortedDownload!$A$3:$Z$489,14,FALSE),"[h]:mm:ss.0"),"")</f>
        <v/>
      </c>
      <c r="AS49" s="230" t="str">
        <f>IFERROR(VLOOKUP(#REF!,SortedDownload!$A$3:$Z$489,15,FALSE),"")</f>
        <v/>
      </c>
      <c r="AT49" s="230" t="str">
        <f>IFERROR(VLOOKUP(#REF!,SortedDownload!$A$3:$Z$489,16,FALSE),"")</f>
        <v/>
      </c>
      <c r="AU49" s="230" t="str">
        <f>IFERROR(VLOOKUP(#REF!,SortedDownload!$A$3:$Z$489,17,FALSE),"")</f>
        <v/>
      </c>
      <c r="AV49" s="230" t="str">
        <f>IFERROR(VLOOKUP(#REF!,SortedDownload!$A$3:$Z$489,18,FALSE),"")</f>
        <v/>
      </c>
      <c r="AW49" s="230" t="str">
        <f>IFERROR(VLOOKUP(#REF!,SortedDownload!$A$3:$Z$489,19,FALSE),"")</f>
        <v/>
      </c>
      <c r="AX49" s="230" t="str">
        <f>IFERROR(VLOOKUP(#REF!,SortedDownload!$A$3:$Z$489,20,FALSE),"")</f>
        <v/>
      </c>
      <c r="AY49" s="230" t="str">
        <f>IFERROR(VLOOKUP(#REF!,SortedDownload!$A$3:$Z$489,21,FALSE),"")</f>
        <v/>
      </c>
      <c r="AZ49" s="230" t="str">
        <f>IFERROR(VLOOKUP(#REF!,SortedDownload!$A$3:$Z$489,22,FALSE),"")</f>
        <v/>
      </c>
      <c r="BB49">
        <v>496</v>
      </c>
      <c r="BC49" t="str">
        <f>IFERROR(VLOOKUP($BB49,OverallResults!$B$3:$Z$508,2,FALSE),"")</f>
        <v/>
      </c>
      <c r="BD49" t="str">
        <f>IFERROR(VLOOKUP($BB49,OverallResults!$B$3:$Z$508,3,FALSE),"")</f>
        <v/>
      </c>
      <c r="BE49" t="str">
        <f>IFERROR(TEXT(VLOOKUP($BB49,OverallResults!$B$3:$Z$489,17,FALSE),"[h]:mm:ss.0"),"")</f>
        <v/>
      </c>
      <c r="BF49" s="230" t="str">
        <f>IFERROR(VLOOKUP($BD49,SortedDownload!$B$3:$Z$489,14,FALSE),"")</f>
        <v/>
      </c>
      <c r="BG49" s="230" t="str">
        <f>IFERROR(VLOOKUP($BD49,SortedDownload!$B$3:$Z$489,15,FALSE),"")</f>
        <v/>
      </c>
      <c r="BH49" s="230" t="str">
        <f>IFERROR(VLOOKUP($BD49,SortedDownload!$B$3:$Z$489,16,FALSE),"")</f>
        <v/>
      </c>
      <c r="BI49" s="230" t="str">
        <f>IFERROR(VLOOKUP($BD49,SortedDownload!$B$3:$Z$489,17,FALSE),"")</f>
        <v/>
      </c>
      <c r="BJ49" s="230" t="str">
        <f>IFERROR(VLOOKUP($BD49,SortedDownload!$B$3:$Z$489,18,FALSE),"")</f>
        <v/>
      </c>
      <c r="BK49" s="230" t="str">
        <f>IFERROR(VLOOKUP($BD49,SortedDownload!$B$3:$Z$489,19,FALSE),"")</f>
        <v/>
      </c>
      <c r="BL49" s="230" t="str">
        <f>IFERROR(VLOOKUP($BD49,SortedDownload!$B$3:$Z$489,20,FALSE),"")</f>
        <v/>
      </c>
      <c r="BM49" s="230" t="str">
        <f>IFERROR(VLOOKUP($BD49,SortedDownload!$B$3:$Z$489,21,FALSE),"")</f>
        <v/>
      </c>
    </row>
    <row r="50" spans="2:65">
      <c r="B50">
        <v>297</v>
      </c>
      <c r="C50" t="str">
        <f>IFERROR(VLOOKUP($B50,OverallResults!$B$3:$Z$508,2,FALSE),"")</f>
        <v>DNF</v>
      </c>
      <c r="D50" t="str">
        <f>IFERROR(VLOOKUP($B50,OverallResults!$B$3:$Z$508,3,FALSE),"")</f>
        <v/>
      </c>
      <c r="E50" t="str">
        <f>IFERROR(TEXT(VLOOKUP($B50,OverallResults!$B$3:$Z$489,17,FALSE),"[h]:mm:ss.0"),"")</f>
        <v/>
      </c>
      <c r="F50" s="230" t="str">
        <f>IFERROR(VLOOKUP($D50,SortedDownload!$B$3:$Z$489,14,FALSE),"")</f>
        <v/>
      </c>
      <c r="G50" s="230" t="str">
        <f>IFERROR(VLOOKUP($D50,SortedDownload!$B$3:$Z$489,15,FALSE),"")</f>
        <v/>
      </c>
      <c r="H50" s="230" t="str">
        <f>IFERROR(VLOOKUP($D50,SortedDownload!$B$3:$Z$489,16,FALSE),"")</f>
        <v/>
      </c>
      <c r="I50" s="230" t="str">
        <f>IFERROR(VLOOKUP($D50,SortedDownload!$B$3:$Z$489,17,FALSE),"")</f>
        <v/>
      </c>
      <c r="J50" s="230" t="str">
        <f>IFERROR(VLOOKUP($D50,SortedDownload!$B$3:$Z$489,18,FALSE),"")</f>
        <v/>
      </c>
      <c r="K50" s="230" t="str">
        <f>IFERROR(VLOOKUP($D50,SortedDownload!$B$3:$Z$489,19,FALSE),"")</f>
        <v/>
      </c>
      <c r="L50" s="230" t="str">
        <f>IFERROR(VLOOKUP($D50,SortedDownload!$B$3:$Z$489,20,FALSE),"")</f>
        <v/>
      </c>
      <c r="M50" s="230" t="str">
        <f>IFERROR(VLOOKUP($D50,SortedDownload!$B$3:$Z$489,21,FALSE),"")</f>
        <v/>
      </c>
      <c r="O50">
        <v>347</v>
      </c>
      <c r="P50" t="str">
        <f>IFERROR(VLOOKUP($O50,OverallResults!$B$3:$Z$508,2,FALSE),"")</f>
        <v>DNF</v>
      </c>
      <c r="Q50" t="str">
        <f>IFERROR(VLOOKUP($O50,OverallResults!$B$3:$Z$508,3,FALSE),"")</f>
        <v/>
      </c>
      <c r="R50" t="str">
        <f>IFERROR(TEXT(VLOOKUP($O50,OverallResults!$B$3:$Z$489,17,FALSE),"[h]:mm:ss.0"),"")</f>
        <v/>
      </c>
      <c r="S50" s="230" t="str">
        <f>IFERROR(VLOOKUP($Q50,SortedDownload!$B$3:$Z$489,14,FALSE),"")</f>
        <v/>
      </c>
      <c r="T50" s="230" t="str">
        <f>IFERROR(VLOOKUP($Q50,SortedDownload!$B$3:$Z$489,15,FALSE),"")</f>
        <v/>
      </c>
      <c r="U50" s="230" t="str">
        <f>IFERROR(VLOOKUP($Q50,SortedDownload!$B$3:$Z$489,16,FALSE),"")</f>
        <v/>
      </c>
      <c r="V50" s="230" t="str">
        <f>IFERROR(VLOOKUP($Q50,SortedDownload!$B$3:$Z$489,17,FALSE),"")</f>
        <v/>
      </c>
      <c r="W50" s="230" t="str">
        <f>IFERROR(VLOOKUP($Q50,SortedDownload!$B$3:$Z$489,18,FALSE),"")</f>
        <v/>
      </c>
      <c r="X50" s="230" t="str">
        <f>IFERROR(VLOOKUP($Q50,SortedDownload!$B$3:$Z$489,19,FALSE),"")</f>
        <v/>
      </c>
      <c r="Y50" s="230" t="str">
        <f>IFERROR(VLOOKUP($Q50,SortedDownload!$B$3:$Z$489,20,FALSE),"")</f>
        <v/>
      </c>
      <c r="Z50" s="230" t="str">
        <f>IFERROR(VLOOKUP($Q50,SortedDownload!$B$3:$Z$489,21,FALSE),"")</f>
        <v/>
      </c>
      <c r="AB50">
        <v>397</v>
      </c>
      <c r="AC50" t="str">
        <f>IFERROR(VLOOKUP($AB50,OverallResults!$B$3:$Z$508,2,FALSE),"")</f>
        <v>DNF</v>
      </c>
      <c r="AD50" t="str">
        <f>IFERROR(VLOOKUP($AB50,OverallResults!$B$3:$Z$508,3,FALSE),"")</f>
        <v/>
      </c>
      <c r="AE50" t="str">
        <f>IFERROR(TEXT(VLOOKUP($AB50,OverallResults!$B$3:$Z$489,17,FALSE),"[h]:mm:ss.0"),"")</f>
        <v/>
      </c>
      <c r="AF50" s="230" t="str">
        <f>IFERROR(VLOOKUP($AD50,SortedDownload!$B$3:$Z$489,14,FALSE),"")</f>
        <v/>
      </c>
      <c r="AG50" s="230" t="str">
        <f>IFERROR(VLOOKUP($AD50,SortedDownload!$B$3:$Z$489,15,FALSE),"")</f>
        <v/>
      </c>
      <c r="AH50" s="230" t="str">
        <f>IFERROR(VLOOKUP($AD50,SortedDownload!$B$3:$Z$489,16,FALSE),"")</f>
        <v/>
      </c>
      <c r="AI50" s="230" t="str">
        <f>IFERROR(VLOOKUP($AD50,SortedDownload!$B$3:$Z$489,17,FALSE),"")</f>
        <v/>
      </c>
      <c r="AJ50" s="230" t="str">
        <f>IFERROR(VLOOKUP($AD50,SortedDownload!$B$3:$Z$489,18,FALSE),"")</f>
        <v/>
      </c>
      <c r="AK50" s="230" t="str">
        <f>IFERROR(VLOOKUP($AD50,SortedDownload!$B$3:$Z$489,19,FALSE),"")</f>
        <v/>
      </c>
      <c r="AL50" s="230" t="str">
        <f>IFERROR(VLOOKUP($AD50,SortedDownload!$B$3:$Z$489,20,FALSE),"")</f>
        <v/>
      </c>
      <c r="AM50" s="230" t="str">
        <f>IFERROR(VLOOKUP($AD50,SortedDownload!$B$3:$Z$489,21,FALSE),"")</f>
        <v/>
      </c>
      <c r="AO50">
        <v>447</v>
      </c>
      <c r="AP50" t="str">
        <f>IFERROR(VLOOKUP(#REF!,OverallResults!$A$3:$Z$489,3,FALSE),"")</f>
        <v/>
      </c>
      <c r="AQ50" t="str">
        <f>IFERROR(VLOOKUP(#REF!,EntryList!$A$3:$Z$291,26,FALSE),"")</f>
        <v/>
      </c>
      <c r="AR50" t="str">
        <f>IFERROR(TEXT(VLOOKUP(#REF!,SortedDownload!$A$3:$Z$489,14,FALSE),"[h]:mm:ss.0"),"")</f>
        <v/>
      </c>
      <c r="AS50" s="230" t="str">
        <f>IFERROR(VLOOKUP(#REF!,SortedDownload!$A$3:$Z$489,15,FALSE),"")</f>
        <v/>
      </c>
      <c r="AT50" s="230" t="str">
        <f>IFERROR(VLOOKUP(#REF!,SortedDownload!$A$3:$Z$489,16,FALSE),"")</f>
        <v/>
      </c>
      <c r="AU50" s="230" t="str">
        <f>IFERROR(VLOOKUP(#REF!,SortedDownload!$A$3:$Z$489,17,FALSE),"")</f>
        <v/>
      </c>
      <c r="AV50" s="230" t="str">
        <f>IFERROR(VLOOKUP(#REF!,SortedDownload!$A$3:$Z$489,18,FALSE),"")</f>
        <v/>
      </c>
      <c r="AW50" s="230" t="str">
        <f>IFERROR(VLOOKUP(#REF!,SortedDownload!$A$3:$Z$489,19,FALSE),"")</f>
        <v/>
      </c>
      <c r="AX50" s="230" t="str">
        <f>IFERROR(VLOOKUP(#REF!,SortedDownload!$A$3:$Z$489,20,FALSE),"")</f>
        <v/>
      </c>
      <c r="AY50" s="230" t="str">
        <f>IFERROR(VLOOKUP(#REF!,SortedDownload!$A$3:$Z$489,21,FALSE),"")</f>
        <v/>
      </c>
      <c r="AZ50" s="230" t="str">
        <f>IFERROR(VLOOKUP(#REF!,SortedDownload!$A$3:$Z$489,22,FALSE),"")</f>
        <v/>
      </c>
      <c r="BB50">
        <v>497</v>
      </c>
      <c r="BC50" t="str">
        <f>IFERROR(VLOOKUP($BB50,OverallResults!$B$3:$Z$508,2,FALSE),"")</f>
        <v/>
      </c>
      <c r="BD50" t="str">
        <f>IFERROR(VLOOKUP($BB50,OverallResults!$B$3:$Z$508,3,FALSE),"")</f>
        <v/>
      </c>
      <c r="BE50" t="str">
        <f>IFERROR(TEXT(VLOOKUP($BB50,OverallResults!$B$3:$Z$489,17,FALSE),"[h]:mm:ss.0"),"")</f>
        <v/>
      </c>
      <c r="BF50" s="230" t="str">
        <f>IFERROR(VLOOKUP($BD50,SortedDownload!$B$3:$Z$489,14,FALSE),"")</f>
        <v/>
      </c>
      <c r="BG50" s="230" t="str">
        <f>IFERROR(VLOOKUP($BD50,SortedDownload!$B$3:$Z$489,15,FALSE),"")</f>
        <v/>
      </c>
      <c r="BH50" s="230" t="str">
        <f>IFERROR(VLOOKUP($BD50,SortedDownload!$B$3:$Z$489,16,FALSE),"")</f>
        <v/>
      </c>
      <c r="BI50" s="230" t="str">
        <f>IFERROR(VLOOKUP($BD50,SortedDownload!$B$3:$Z$489,17,FALSE),"")</f>
        <v/>
      </c>
      <c r="BJ50" s="230" t="str">
        <f>IFERROR(VLOOKUP($BD50,SortedDownload!$B$3:$Z$489,18,FALSE),"")</f>
        <v/>
      </c>
      <c r="BK50" s="230" t="str">
        <f>IFERROR(VLOOKUP($BD50,SortedDownload!$B$3:$Z$489,19,FALSE),"")</f>
        <v/>
      </c>
      <c r="BL50" s="230" t="str">
        <f>IFERROR(VLOOKUP($BD50,SortedDownload!$B$3:$Z$489,20,FALSE),"")</f>
        <v/>
      </c>
      <c r="BM50" s="230" t="str">
        <f>IFERROR(VLOOKUP($BD50,SortedDownload!$B$3:$Z$489,21,FALSE),"")</f>
        <v/>
      </c>
    </row>
    <row r="51" spans="2:65">
      <c r="B51">
        <v>298</v>
      </c>
      <c r="C51" t="str">
        <f>IFERROR(VLOOKUP($B51,OverallResults!$B$3:$Z$508,2,FALSE),"")</f>
        <v>DNF</v>
      </c>
      <c r="D51" t="str">
        <f>IFERROR(VLOOKUP($B51,OverallResults!$B$3:$Z$508,3,FALSE),"")</f>
        <v/>
      </c>
      <c r="E51" t="str">
        <f>IFERROR(TEXT(VLOOKUP($B51,OverallResults!$B$3:$Z$489,17,FALSE),"[h]:mm:ss.0"),"")</f>
        <v/>
      </c>
      <c r="F51" s="230" t="str">
        <f>IFERROR(VLOOKUP($D51,SortedDownload!$B$3:$Z$489,14,FALSE),"")</f>
        <v/>
      </c>
      <c r="G51" s="230" t="str">
        <f>IFERROR(VLOOKUP($D51,SortedDownload!$B$3:$Z$489,15,FALSE),"")</f>
        <v/>
      </c>
      <c r="H51" s="230" t="str">
        <f>IFERROR(VLOOKUP($D51,SortedDownload!$B$3:$Z$489,16,FALSE),"")</f>
        <v/>
      </c>
      <c r="I51" s="230" t="str">
        <f>IFERROR(VLOOKUP($D51,SortedDownload!$B$3:$Z$489,17,FALSE),"")</f>
        <v/>
      </c>
      <c r="J51" s="230" t="str">
        <f>IFERROR(VLOOKUP($D51,SortedDownload!$B$3:$Z$489,18,FALSE),"")</f>
        <v/>
      </c>
      <c r="K51" s="230" t="str">
        <f>IFERROR(VLOOKUP($D51,SortedDownload!$B$3:$Z$489,19,FALSE),"")</f>
        <v/>
      </c>
      <c r="L51" s="230" t="str">
        <f>IFERROR(VLOOKUP($D51,SortedDownload!$B$3:$Z$489,20,FALSE),"")</f>
        <v/>
      </c>
      <c r="M51" s="230" t="str">
        <f>IFERROR(VLOOKUP($D51,SortedDownload!$B$3:$Z$489,21,FALSE),"")</f>
        <v/>
      </c>
      <c r="O51">
        <v>348</v>
      </c>
      <c r="P51" t="str">
        <f>IFERROR(VLOOKUP($O51,OverallResults!$B$3:$Z$508,2,FALSE),"")</f>
        <v>DNF</v>
      </c>
      <c r="Q51" t="str">
        <f>IFERROR(VLOOKUP($O51,OverallResults!$B$3:$Z$508,3,FALSE),"")</f>
        <v/>
      </c>
      <c r="R51" t="str">
        <f>IFERROR(TEXT(VLOOKUP($O51,OverallResults!$B$3:$Z$489,17,FALSE),"[h]:mm:ss.0"),"")</f>
        <v/>
      </c>
      <c r="S51" s="230" t="str">
        <f>IFERROR(VLOOKUP($Q51,SortedDownload!$B$3:$Z$489,14,FALSE),"")</f>
        <v/>
      </c>
      <c r="T51" s="230" t="str">
        <f>IFERROR(VLOOKUP($Q51,SortedDownload!$B$3:$Z$489,15,FALSE),"")</f>
        <v/>
      </c>
      <c r="U51" s="230" t="str">
        <f>IFERROR(VLOOKUP($Q51,SortedDownload!$B$3:$Z$489,16,FALSE),"")</f>
        <v/>
      </c>
      <c r="V51" s="230" t="str">
        <f>IFERROR(VLOOKUP($Q51,SortedDownload!$B$3:$Z$489,17,FALSE),"")</f>
        <v/>
      </c>
      <c r="W51" s="230" t="str">
        <f>IFERROR(VLOOKUP($Q51,SortedDownload!$B$3:$Z$489,18,FALSE),"")</f>
        <v/>
      </c>
      <c r="X51" s="230" t="str">
        <f>IFERROR(VLOOKUP($Q51,SortedDownload!$B$3:$Z$489,19,FALSE),"")</f>
        <v/>
      </c>
      <c r="Y51" s="230" t="str">
        <f>IFERROR(VLOOKUP($Q51,SortedDownload!$B$3:$Z$489,20,FALSE),"")</f>
        <v/>
      </c>
      <c r="Z51" s="230" t="str">
        <f>IFERROR(VLOOKUP($Q51,SortedDownload!$B$3:$Z$489,21,FALSE),"")</f>
        <v/>
      </c>
      <c r="AB51">
        <v>398</v>
      </c>
      <c r="AC51" t="str">
        <f>IFERROR(VLOOKUP($AB51,OverallResults!$B$3:$Z$508,2,FALSE),"")</f>
        <v>DNF</v>
      </c>
      <c r="AD51" t="str">
        <f>IFERROR(VLOOKUP($AB51,OverallResults!$B$3:$Z$508,3,FALSE),"")</f>
        <v/>
      </c>
      <c r="AE51" t="str">
        <f>IFERROR(TEXT(VLOOKUP($AB51,OverallResults!$B$3:$Z$489,17,FALSE),"[h]:mm:ss.0"),"")</f>
        <v/>
      </c>
      <c r="AF51" s="230" t="str">
        <f>IFERROR(VLOOKUP($AD51,SortedDownload!$B$3:$Z$489,14,FALSE),"")</f>
        <v/>
      </c>
      <c r="AG51" s="230" t="str">
        <f>IFERROR(VLOOKUP($AD51,SortedDownload!$B$3:$Z$489,15,FALSE),"")</f>
        <v/>
      </c>
      <c r="AH51" s="230" t="str">
        <f>IFERROR(VLOOKUP($AD51,SortedDownload!$B$3:$Z$489,16,FALSE),"")</f>
        <v/>
      </c>
      <c r="AI51" s="230" t="str">
        <f>IFERROR(VLOOKUP($AD51,SortedDownload!$B$3:$Z$489,17,FALSE),"")</f>
        <v/>
      </c>
      <c r="AJ51" s="230" t="str">
        <f>IFERROR(VLOOKUP($AD51,SortedDownload!$B$3:$Z$489,18,FALSE),"")</f>
        <v/>
      </c>
      <c r="AK51" s="230" t="str">
        <f>IFERROR(VLOOKUP($AD51,SortedDownload!$B$3:$Z$489,19,FALSE),"")</f>
        <v/>
      </c>
      <c r="AL51" s="230" t="str">
        <f>IFERROR(VLOOKUP($AD51,SortedDownload!$B$3:$Z$489,20,FALSE),"")</f>
        <v/>
      </c>
      <c r="AM51" s="230" t="str">
        <f>IFERROR(VLOOKUP($AD51,SortedDownload!$B$3:$Z$489,21,FALSE),"")</f>
        <v/>
      </c>
      <c r="AO51">
        <v>448</v>
      </c>
      <c r="AP51" t="str">
        <f>IFERROR(VLOOKUP(#REF!,OverallResults!$A$3:$Z$489,3,FALSE),"")</f>
        <v/>
      </c>
      <c r="AQ51" t="str">
        <f>IFERROR(VLOOKUP(#REF!,EntryList!$A$3:$Z$291,26,FALSE),"")</f>
        <v/>
      </c>
      <c r="AR51" t="str">
        <f>IFERROR(TEXT(VLOOKUP(#REF!,SortedDownload!$A$3:$Z$489,14,FALSE),"[h]:mm:ss.0"),"")</f>
        <v/>
      </c>
      <c r="AS51" s="230" t="str">
        <f>IFERROR(VLOOKUP(#REF!,SortedDownload!$A$3:$Z$489,15,FALSE),"")</f>
        <v/>
      </c>
      <c r="AT51" s="230" t="str">
        <f>IFERROR(VLOOKUP(#REF!,SortedDownload!$A$3:$Z$489,16,FALSE),"")</f>
        <v/>
      </c>
      <c r="AU51" s="230" t="str">
        <f>IFERROR(VLOOKUP(#REF!,SortedDownload!$A$3:$Z$489,17,FALSE),"")</f>
        <v/>
      </c>
      <c r="AV51" s="230" t="str">
        <f>IFERROR(VLOOKUP(#REF!,SortedDownload!$A$3:$Z$489,18,FALSE),"")</f>
        <v/>
      </c>
      <c r="AW51" s="230" t="str">
        <f>IFERROR(VLOOKUP(#REF!,SortedDownload!$A$3:$Z$489,19,FALSE),"")</f>
        <v/>
      </c>
      <c r="AX51" s="230" t="str">
        <f>IFERROR(VLOOKUP(#REF!,SortedDownload!$A$3:$Z$489,20,FALSE),"")</f>
        <v/>
      </c>
      <c r="AY51" s="230" t="str">
        <f>IFERROR(VLOOKUP(#REF!,SortedDownload!$A$3:$Z$489,21,FALSE),"")</f>
        <v/>
      </c>
      <c r="AZ51" s="230" t="str">
        <f>IFERROR(VLOOKUP(#REF!,SortedDownload!$A$3:$Z$489,22,FALSE),"")</f>
        <v/>
      </c>
      <c r="BB51">
        <v>498</v>
      </c>
      <c r="BC51" t="str">
        <f>IFERROR(VLOOKUP($BB51,OverallResults!$B$3:$Z$508,2,FALSE),"")</f>
        <v/>
      </c>
      <c r="BD51" t="str">
        <f>IFERROR(VLOOKUP($BB51,OverallResults!$B$3:$Z$508,3,FALSE),"")</f>
        <v/>
      </c>
      <c r="BE51" t="str">
        <f>IFERROR(TEXT(VLOOKUP($BB51,OverallResults!$B$3:$Z$489,17,FALSE),"[h]:mm:ss.0"),"")</f>
        <v/>
      </c>
      <c r="BF51" s="230" t="str">
        <f>IFERROR(VLOOKUP($BD51,SortedDownload!$B$3:$Z$489,14,FALSE),"")</f>
        <v/>
      </c>
      <c r="BG51" s="230" t="str">
        <f>IFERROR(VLOOKUP($BD51,SortedDownload!$B$3:$Z$489,15,FALSE),"")</f>
        <v/>
      </c>
      <c r="BH51" s="230" t="str">
        <f>IFERROR(VLOOKUP($BD51,SortedDownload!$B$3:$Z$489,16,FALSE),"")</f>
        <v/>
      </c>
      <c r="BI51" s="230" t="str">
        <f>IFERROR(VLOOKUP($BD51,SortedDownload!$B$3:$Z$489,17,FALSE),"")</f>
        <v/>
      </c>
      <c r="BJ51" s="230" t="str">
        <f>IFERROR(VLOOKUP($BD51,SortedDownload!$B$3:$Z$489,18,FALSE),"")</f>
        <v/>
      </c>
      <c r="BK51" s="230" t="str">
        <f>IFERROR(VLOOKUP($BD51,SortedDownload!$B$3:$Z$489,19,FALSE),"")</f>
        <v/>
      </c>
      <c r="BL51" s="230" t="str">
        <f>IFERROR(VLOOKUP($BD51,SortedDownload!$B$3:$Z$489,20,FALSE),"")</f>
        <v/>
      </c>
      <c r="BM51" s="230" t="str">
        <f>IFERROR(VLOOKUP($BD51,SortedDownload!$B$3:$Z$489,21,FALSE),"")</f>
        <v/>
      </c>
    </row>
    <row r="52" spans="2:65">
      <c r="B52">
        <v>299</v>
      </c>
      <c r="C52" t="str">
        <f>IFERROR(VLOOKUP($B52,OverallResults!$B$3:$Z$508,2,FALSE),"")</f>
        <v>DNF</v>
      </c>
      <c r="D52" t="str">
        <f>IFERROR(VLOOKUP($B52,OverallResults!$B$3:$Z$508,3,FALSE),"")</f>
        <v/>
      </c>
      <c r="E52" t="str">
        <f>IFERROR(TEXT(VLOOKUP($B52,OverallResults!$B$3:$Z$489,17,FALSE),"[h]:mm:ss.0"),"")</f>
        <v/>
      </c>
      <c r="F52" s="230" t="str">
        <f>IFERROR(VLOOKUP($D52,SortedDownload!$B$3:$Z$489,14,FALSE),"")</f>
        <v/>
      </c>
      <c r="G52" s="230" t="str">
        <f>IFERROR(VLOOKUP($D52,SortedDownload!$B$3:$Z$489,15,FALSE),"")</f>
        <v/>
      </c>
      <c r="H52" s="230" t="str">
        <f>IFERROR(VLOOKUP($D52,SortedDownload!$B$3:$Z$489,16,FALSE),"")</f>
        <v/>
      </c>
      <c r="I52" s="230" t="str">
        <f>IFERROR(VLOOKUP($D52,SortedDownload!$B$3:$Z$489,17,FALSE),"")</f>
        <v/>
      </c>
      <c r="J52" s="230" t="str">
        <f>IFERROR(VLOOKUP($D52,SortedDownload!$B$3:$Z$489,18,FALSE),"")</f>
        <v/>
      </c>
      <c r="K52" s="230" t="str">
        <f>IFERROR(VLOOKUP($D52,SortedDownload!$B$3:$Z$489,19,FALSE),"")</f>
        <v/>
      </c>
      <c r="L52" s="230" t="str">
        <f>IFERROR(VLOOKUP($D52,SortedDownload!$B$3:$Z$489,20,FALSE),"")</f>
        <v/>
      </c>
      <c r="M52" s="230" t="str">
        <f>IFERROR(VLOOKUP($D52,SortedDownload!$B$3:$Z$489,21,FALSE),"")</f>
        <v/>
      </c>
      <c r="O52">
        <v>349</v>
      </c>
      <c r="P52" t="str">
        <f>IFERROR(VLOOKUP($O52,OverallResults!$B$3:$Z$508,2,FALSE),"")</f>
        <v>DNF</v>
      </c>
      <c r="Q52" t="str">
        <f>IFERROR(VLOOKUP($O52,OverallResults!$B$3:$Z$508,3,FALSE),"")</f>
        <v/>
      </c>
      <c r="R52" t="str">
        <f>IFERROR(TEXT(VLOOKUP($O52,OverallResults!$B$3:$Z$489,17,FALSE),"[h]:mm:ss.0"),"")</f>
        <v/>
      </c>
      <c r="S52" s="230" t="str">
        <f>IFERROR(VLOOKUP($Q52,SortedDownload!$B$3:$Z$489,14,FALSE),"")</f>
        <v/>
      </c>
      <c r="T52" s="230" t="str">
        <f>IFERROR(VLOOKUP($Q52,SortedDownload!$B$3:$Z$489,15,FALSE),"")</f>
        <v/>
      </c>
      <c r="U52" s="230" t="str">
        <f>IFERROR(VLOOKUP($Q52,SortedDownload!$B$3:$Z$489,16,FALSE),"")</f>
        <v/>
      </c>
      <c r="V52" s="230" t="str">
        <f>IFERROR(VLOOKUP($Q52,SortedDownload!$B$3:$Z$489,17,FALSE),"")</f>
        <v/>
      </c>
      <c r="W52" s="230" t="str">
        <f>IFERROR(VLOOKUP($Q52,SortedDownload!$B$3:$Z$489,18,FALSE),"")</f>
        <v/>
      </c>
      <c r="X52" s="230" t="str">
        <f>IFERROR(VLOOKUP($Q52,SortedDownload!$B$3:$Z$489,19,FALSE),"")</f>
        <v/>
      </c>
      <c r="Y52" s="230" t="str">
        <f>IFERROR(VLOOKUP($Q52,SortedDownload!$B$3:$Z$489,20,FALSE),"")</f>
        <v/>
      </c>
      <c r="Z52" s="230" t="str">
        <f>IFERROR(VLOOKUP($Q52,SortedDownload!$B$3:$Z$489,21,FALSE),"")</f>
        <v/>
      </c>
      <c r="AB52">
        <v>399</v>
      </c>
      <c r="AC52" t="str">
        <f>IFERROR(VLOOKUP($AB52,OverallResults!$B$3:$Z$508,2,FALSE),"")</f>
        <v>DNF</v>
      </c>
      <c r="AD52" t="str">
        <f>IFERROR(VLOOKUP($AB52,OverallResults!$B$3:$Z$508,3,FALSE),"")</f>
        <v/>
      </c>
      <c r="AE52" t="str">
        <f>IFERROR(TEXT(VLOOKUP($AB52,OverallResults!$B$3:$Z$489,17,FALSE),"[h]:mm:ss.0"),"")</f>
        <v/>
      </c>
      <c r="AF52" s="230" t="str">
        <f>IFERROR(VLOOKUP($AD52,SortedDownload!$B$3:$Z$489,14,FALSE),"")</f>
        <v/>
      </c>
      <c r="AG52" s="230" t="str">
        <f>IFERROR(VLOOKUP($AD52,SortedDownload!$B$3:$Z$489,15,FALSE),"")</f>
        <v/>
      </c>
      <c r="AH52" s="230" t="str">
        <f>IFERROR(VLOOKUP($AD52,SortedDownload!$B$3:$Z$489,16,FALSE),"")</f>
        <v/>
      </c>
      <c r="AI52" s="230" t="str">
        <f>IFERROR(VLOOKUP($AD52,SortedDownload!$B$3:$Z$489,17,FALSE),"")</f>
        <v/>
      </c>
      <c r="AJ52" s="230" t="str">
        <f>IFERROR(VLOOKUP($AD52,SortedDownload!$B$3:$Z$489,18,FALSE),"")</f>
        <v/>
      </c>
      <c r="AK52" s="230" t="str">
        <f>IFERROR(VLOOKUP($AD52,SortedDownload!$B$3:$Z$489,19,FALSE),"")</f>
        <v/>
      </c>
      <c r="AL52" s="230" t="str">
        <f>IFERROR(VLOOKUP($AD52,SortedDownload!$B$3:$Z$489,20,FALSE),"")</f>
        <v/>
      </c>
      <c r="AM52" s="230" t="str">
        <f>IFERROR(VLOOKUP($AD52,SortedDownload!$B$3:$Z$489,21,FALSE),"")</f>
        <v/>
      </c>
      <c r="AO52">
        <v>449</v>
      </c>
      <c r="AP52" t="str">
        <f>IFERROR(VLOOKUP(#REF!,OverallResults!$A$3:$Z$489,3,FALSE),"")</f>
        <v/>
      </c>
      <c r="AQ52" t="str">
        <f>IFERROR(VLOOKUP(#REF!,EntryList!$A$3:$Z$291,26,FALSE),"")</f>
        <v/>
      </c>
      <c r="AR52" t="str">
        <f>IFERROR(TEXT(VLOOKUP(#REF!,SortedDownload!$A$3:$Z$489,14,FALSE),"[h]:mm:ss.0"),"")</f>
        <v/>
      </c>
      <c r="AS52" s="230" t="str">
        <f>IFERROR(VLOOKUP(#REF!,SortedDownload!$A$3:$Z$489,15,FALSE),"")</f>
        <v/>
      </c>
      <c r="AT52" s="230" t="str">
        <f>IFERROR(VLOOKUP(#REF!,SortedDownload!$A$3:$Z$489,16,FALSE),"")</f>
        <v/>
      </c>
      <c r="AU52" s="230" t="str">
        <f>IFERROR(VLOOKUP(#REF!,SortedDownload!$A$3:$Z$489,17,FALSE),"")</f>
        <v/>
      </c>
      <c r="AV52" s="230" t="str">
        <f>IFERROR(VLOOKUP(#REF!,SortedDownload!$A$3:$Z$489,18,FALSE),"")</f>
        <v/>
      </c>
      <c r="AW52" s="230" t="str">
        <f>IFERROR(VLOOKUP(#REF!,SortedDownload!$A$3:$Z$489,19,FALSE),"")</f>
        <v/>
      </c>
      <c r="AX52" s="230" t="str">
        <f>IFERROR(VLOOKUP(#REF!,SortedDownload!$A$3:$Z$489,20,FALSE),"")</f>
        <v/>
      </c>
      <c r="AY52" s="230" t="str">
        <f>IFERROR(VLOOKUP(#REF!,SortedDownload!$A$3:$Z$489,21,FALSE),"")</f>
        <v/>
      </c>
      <c r="AZ52" s="230" t="str">
        <f>IFERROR(VLOOKUP(#REF!,SortedDownload!$A$3:$Z$489,22,FALSE),"")</f>
        <v/>
      </c>
      <c r="BB52">
        <v>499</v>
      </c>
      <c r="BF52" s="230"/>
      <c r="BG52" s="230"/>
      <c r="BH52" s="230"/>
      <c r="BI52" s="230"/>
      <c r="BJ52" s="230"/>
      <c r="BK52" s="230"/>
      <c r="BL52" s="230"/>
      <c r="BM52" s="230"/>
    </row>
    <row r="53" spans="2:65">
      <c r="B53">
        <v>300</v>
      </c>
      <c r="C53" t="str">
        <f>IFERROR(VLOOKUP($B53,OverallResults!$B$3:$Z$508,2,FALSE),"")</f>
        <v>DNF</v>
      </c>
      <c r="D53" t="str">
        <f>IFERROR(VLOOKUP($B53,OverallResults!$B$3:$Z$508,3,FALSE),"")</f>
        <v/>
      </c>
      <c r="E53" t="str">
        <f>IFERROR(TEXT(VLOOKUP($B53,OverallResults!$B$3:$Z$489,17,FALSE),"[h]:mm:ss.0"),"")</f>
        <v/>
      </c>
      <c r="F53" s="230" t="str">
        <f>IFERROR(VLOOKUP($D53,SortedDownload!$B$3:$Z$489,14,FALSE),"")</f>
        <v/>
      </c>
      <c r="G53" s="230" t="str">
        <f>IFERROR(VLOOKUP($D53,SortedDownload!$B$3:$Z$489,15,FALSE),"")</f>
        <v/>
      </c>
      <c r="H53" s="230" t="str">
        <f>IFERROR(VLOOKUP($D53,SortedDownload!$B$3:$Z$489,16,FALSE),"")</f>
        <v/>
      </c>
      <c r="I53" s="230" t="str">
        <f>IFERROR(VLOOKUP($D53,SortedDownload!$B$3:$Z$489,17,FALSE),"")</f>
        <v/>
      </c>
      <c r="J53" s="230" t="str">
        <f>IFERROR(VLOOKUP($D53,SortedDownload!$B$3:$Z$489,18,FALSE),"")</f>
        <v/>
      </c>
      <c r="K53" s="230" t="str">
        <f>IFERROR(VLOOKUP($D53,SortedDownload!$B$3:$Z$489,19,FALSE),"")</f>
        <v/>
      </c>
      <c r="L53" s="230" t="str">
        <f>IFERROR(VLOOKUP($D53,SortedDownload!$B$3:$Z$489,20,FALSE),"")</f>
        <v/>
      </c>
      <c r="M53" s="230" t="str">
        <f>IFERROR(VLOOKUP($D53,SortedDownload!$B$3:$Z$489,21,FALSE),"")</f>
        <v/>
      </c>
      <c r="O53">
        <v>350</v>
      </c>
      <c r="P53" t="str">
        <f>IFERROR(VLOOKUP($O53,OverallResults!$B$3:$Z$508,2,FALSE),"")</f>
        <v>DNF</v>
      </c>
      <c r="Q53" t="str">
        <f>IFERROR(VLOOKUP($O53,OverallResults!$B$3:$Z$508,3,FALSE),"")</f>
        <v/>
      </c>
      <c r="R53" t="str">
        <f>IFERROR(TEXT(VLOOKUP($O53,OverallResults!$B$3:$Z$489,17,FALSE),"[h]:mm:ss.0"),"")</f>
        <v/>
      </c>
      <c r="S53" s="230" t="str">
        <f>IFERROR(VLOOKUP($Q53,SortedDownload!$B$3:$Z$489,14,FALSE),"")</f>
        <v/>
      </c>
      <c r="T53" s="230" t="str">
        <f>IFERROR(VLOOKUP($Q53,SortedDownload!$B$3:$Z$489,15,FALSE),"")</f>
        <v/>
      </c>
      <c r="U53" s="230" t="str">
        <f>IFERROR(VLOOKUP($Q53,SortedDownload!$B$3:$Z$489,16,FALSE),"")</f>
        <v/>
      </c>
      <c r="V53" s="230" t="str">
        <f>IFERROR(VLOOKUP($Q53,SortedDownload!$B$3:$Z$489,17,FALSE),"")</f>
        <v/>
      </c>
      <c r="W53" s="230" t="str">
        <f>IFERROR(VLOOKUP($Q53,SortedDownload!$B$3:$Z$489,18,FALSE),"")</f>
        <v/>
      </c>
      <c r="X53" s="230" t="str">
        <f>IFERROR(VLOOKUP($Q53,SortedDownload!$B$3:$Z$489,19,FALSE),"")</f>
        <v/>
      </c>
      <c r="Y53" s="230" t="str">
        <f>IFERROR(VLOOKUP($Q53,SortedDownload!$B$3:$Z$489,20,FALSE),"")</f>
        <v/>
      </c>
      <c r="Z53" s="230" t="str">
        <f>IFERROR(VLOOKUP($Q53,SortedDownload!$B$3:$Z$489,21,FALSE),"")</f>
        <v/>
      </c>
      <c r="AB53">
        <v>400</v>
      </c>
      <c r="AC53" t="str">
        <f>IFERROR(VLOOKUP($AB53,OverallResults!$B$3:$Z$508,2,FALSE),"")</f>
        <v>DNF</v>
      </c>
      <c r="AD53" t="str">
        <f>IFERROR(VLOOKUP($AB53,OverallResults!$B$3:$Z$508,3,FALSE),"")</f>
        <v/>
      </c>
      <c r="AE53" t="str">
        <f>IFERROR(TEXT(VLOOKUP($AB53,OverallResults!$B$3:$Z$489,17,FALSE),"[h]:mm:ss.0"),"")</f>
        <v/>
      </c>
      <c r="AF53" s="230" t="str">
        <f>IFERROR(VLOOKUP($AD53,SortedDownload!$B$3:$Z$489,14,FALSE),"")</f>
        <v/>
      </c>
      <c r="AG53" s="230" t="str">
        <f>IFERROR(VLOOKUP($AD53,SortedDownload!$B$3:$Z$489,15,FALSE),"")</f>
        <v/>
      </c>
      <c r="AH53" s="230" t="str">
        <f>IFERROR(VLOOKUP($AD53,SortedDownload!$B$3:$Z$489,16,FALSE),"")</f>
        <v/>
      </c>
      <c r="AI53" s="230" t="str">
        <f>IFERROR(VLOOKUP($AD53,SortedDownload!$B$3:$Z$489,17,FALSE),"")</f>
        <v/>
      </c>
      <c r="AJ53" s="230" t="str">
        <f>IFERROR(VLOOKUP($AD53,SortedDownload!$B$3:$Z$489,18,FALSE),"")</f>
        <v/>
      </c>
      <c r="AK53" s="230" t="str">
        <f>IFERROR(VLOOKUP($AD53,SortedDownload!$B$3:$Z$489,19,FALSE),"")</f>
        <v/>
      </c>
      <c r="AL53" s="230" t="str">
        <f>IFERROR(VLOOKUP($AD53,SortedDownload!$B$3:$Z$489,20,FALSE),"")</f>
        <v/>
      </c>
      <c r="AM53" s="230" t="str">
        <f>IFERROR(VLOOKUP($AD53,SortedDownload!$B$3:$Z$489,21,FALSE),"")</f>
        <v/>
      </c>
      <c r="AO53">
        <v>450</v>
      </c>
      <c r="AP53" t="str">
        <f>IFERROR(VLOOKUP(#REF!,OverallResults!$A$3:$Z$489,3,FALSE),"")</f>
        <v/>
      </c>
      <c r="AQ53" t="str">
        <f>IFERROR(VLOOKUP(#REF!,EntryList!$A$3:$Z$291,26,FALSE),"")</f>
        <v/>
      </c>
      <c r="AR53" t="str">
        <f>IFERROR(TEXT(VLOOKUP(#REF!,SortedDownload!$A$3:$Z$489,14,FALSE),"[h]:mm:ss.0"),"")</f>
        <v/>
      </c>
      <c r="AS53" s="230" t="str">
        <f>IFERROR(VLOOKUP(#REF!,SortedDownload!$A$3:$Z$489,15,FALSE),"")</f>
        <v/>
      </c>
      <c r="AT53" s="230" t="str">
        <f>IFERROR(VLOOKUP(#REF!,SortedDownload!$A$3:$Z$489,16,FALSE),"")</f>
        <v/>
      </c>
      <c r="AU53" s="230" t="str">
        <f>IFERROR(VLOOKUP(#REF!,SortedDownload!$A$3:$Z$489,17,FALSE),"")</f>
        <v/>
      </c>
      <c r="AV53" s="230" t="str">
        <f>IFERROR(VLOOKUP(#REF!,SortedDownload!$A$3:$Z$489,18,FALSE),"")</f>
        <v/>
      </c>
      <c r="AW53" s="230" t="str">
        <f>IFERROR(VLOOKUP(#REF!,SortedDownload!$A$3:$Z$489,19,FALSE),"")</f>
        <v/>
      </c>
      <c r="AX53" s="230" t="str">
        <f>IFERROR(VLOOKUP(#REF!,SortedDownload!$A$3:$Z$489,20,FALSE),"")</f>
        <v/>
      </c>
      <c r="AY53" s="230" t="str">
        <f>IFERROR(VLOOKUP(#REF!,SortedDownload!$A$3:$Z$489,21,FALSE),"")</f>
        <v/>
      </c>
      <c r="AZ53" s="230" t="str">
        <f>IFERROR(VLOOKUP(#REF!,SortedDownload!$A$3:$Z$489,22,FALSE),"")</f>
        <v/>
      </c>
      <c r="BB53">
        <v>500</v>
      </c>
      <c r="BF53" s="230"/>
      <c r="BG53" s="230"/>
      <c r="BH53" s="230"/>
      <c r="BI53" s="230"/>
      <c r="BJ53" s="230"/>
      <c r="BK53" s="230"/>
      <c r="BL53" s="230"/>
      <c r="BM53" s="230"/>
    </row>
  </sheetData>
  <mergeCells count="5">
    <mergeCell ref="BB2:BM2"/>
    <mergeCell ref="AO2:AZ2"/>
    <mergeCell ref="AB2:AM2"/>
    <mergeCell ref="O2:Z2"/>
    <mergeCell ref="B2:M2"/>
  </mergeCells>
  <conditionalFormatting sqref="BF52:BM53 AS5:AZ53">
    <cfRule type="colorScale" priority="6">
      <colorScale>
        <cfvo type="min"/>
        <cfvo type="percentile" val="50"/>
        <cfvo type="max"/>
        <color theme="9"/>
        <color rgb="FFFFEB84"/>
        <color rgb="FFFF0000"/>
      </colorScale>
    </cfRule>
  </conditionalFormatting>
  <conditionalFormatting sqref="F4:M53">
    <cfRule type="colorScale" priority="5">
      <colorScale>
        <cfvo type="min"/>
        <cfvo type="percentile" val="50"/>
        <cfvo type="max"/>
        <color theme="9"/>
        <color rgb="FFFFEB84"/>
        <color rgb="FFFF0000"/>
      </colorScale>
    </cfRule>
  </conditionalFormatting>
  <conditionalFormatting sqref="S4:Z53">
    <cfRule type="colorScale" priority="4">
      <colorScale>
        <cfvo type="min"/>
        <cfvo type="percentile" val="50"/>
        <cfvo type="max"/>
        <color theme="9"/>
        <color rgb="FFFFEB84"/>
        <color rgb="FFFF0000"/>
      </colorScale>
    </cfRule>
  </conditionalFormatting>
  <conditionalFormatting sqref="AF4:AM53">
    <cfRule type="colorScale" priority="3">
      <colorScale>
        <cfvo type="min"/>
        <cfvo type="percentile" val="50"/>
        <cfvo type="max"/>
        <color theme="9"/>
        <color rgb="FFFFEB84"/>
        <color rgb="FFFF0000"/>
      </colorScale>
    </cfRule>
  </conditionalFormatting>
  <conditionalFormatting sqref="AS4:AZ4">
    <cfRule type="colorScale" priority="2">
      <colorScale>
        <cfvo type="min"/>
        <cfvo type="percentile" val="50"/>
        <cfvo type="max"/>
        <color theme="9"/>
        <color rgb="FFFFEB84"/>
        <color rgb="FFFF0000"/>
      </colorScale>
    </cfRule>
  </conditionalFormatting>
  <conditionalFormatting sqref="BF4:BM51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pageSetup paperSize="121" orientation="portrait" horizontalDpi="203" verticalDpi="203" r:id="rId1"/>
  <tableParts count="5">
    <tablePart r:id="rId2"/>
    <tablePart r:id="rId3"/>
    <tablePart r:id="rId4"/>
    <tablePart r:id="rId5"/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autoPageBreaks="0"/>
  </sheetPr>
  <dimension ref="B1:AD505"/>
  <sheetViews>
    <sheetView topLeftCell="B51" zoomScaleNormal="100" zoomScaleSheetLayoutView="70" workbookViewId="0">
      <selection activeCell="A5" sqref="A5"/>
    </sheetView>
  </sheetViews>
  <sheetFormatPr defaultColWidth="4.85546875" defaultRowHeight="12.75"/>
  <cols>
    <col min="2" max="2" width="10.28515625" style="177" bestFit="1" customWidth="1"/>
    <col min="3" max="3" width="11" style="177" bestFit="1" customWidth="1"/>
    <col min="4" max="4" width="25.7109375" bestFit="1" customWidth="1"/>
    <col min="5" max="5" width="6.28515625" customWidth="1"/>
    <col min="6" max="6" width="7.85546875" style="177" customWidth="1"/>
    <col min="7" max="7" width="9.28515625" style="43" customWidth="1"/>
    <col min="8" max="8" width="14.85546875" style="22" bestFit="1" customWidth="1"/>
    <col min="9" max="9" width="10.28515625" style="177" customWidth="1"/>
    <col min="10" max="10" width="16.28515625" customWidth="1"/>
    <col min="11" max="14" width="16.28515625" style="21" customWidth="1"/>
    <col min="15" max="17" width="16.28515625" style="21" hidden="1" customWidth="1"/>
    <col min="18" max="18" width="16.28515625" style="21" customWidth="1"/>
    <col min="19" max="19" width="15.140625" style="21" customWidth="1"/>
    <col min="20" max="20" width="12.42578125" style="171" customWidth="1"/>
    <col min="21" max="21" width="9.7109375" style="360" customWidth="1"/>
    <col min="22" max="22" width="16.5703125" style="360" customWidth="1"/>
  </cols>
  <sheetData>
    <row r="1" spans="2:30" s="97" customFormat="1" ht="18.75" customHeight="1">
      <c r="B1" s="388" t="str">
        <f>Helpers!A2</f>
        <v>Jonkershoek Enduro</v>
      </c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U1" s="388"/>
      <c r="V1" s="388"/>
      <c r="W1" s="388"/>
      <c r="X1" s="388"/>
      <c r="Y1" s="388"/>
      <c r="Z1" s="388"/>
      <c r="AA1" s="388"/>
      <c r="AB1" s="388"/>
      <c r="AC1" s="388"/>
      <c r="AD1" s="388"/>
    </row>
    <row r="2" spans="2:30" s="97" customFormat="1" ht="18.75" customHeight="1">
      <c r="B2" s="234" t="s">
        <v>136</v>
      </c>
      <c r="C2" s="234" t="s">
        <v>134</v>
      </c>
      <c r="D2" s="103">
        <v>4</v>
      </c>
      <c r="E2" s="103" t="s">
        <v>119</v>
      </c>
      <c r="F2" s="234" t="s">
        <v>30</v>
      </c>
      <c r="G2" s="103" t="s">
        <v>23</v>
      </c>
      <c r="H2" s="103" t="s">
        <v>109</v>
      </c>
      <c r="I2" s="234" t="s">
        <v>31</v>
      </c>
      <c r="J2" s="178" t="s">
        <v>24</v>
      </c>
      <c r="K2" s="178" t="s">
        <v>25</v>
      </c>
      <c r="L2" s="178" t="s">
        <v>26</v>
      </c>
      <c r="M2" s="178" t="s">
        <v>27</v>
      </c>
      <c r="N2" s="178" t="s">
        <v>28</v>
      </c>
      <c r="O2" s="178" t="s">
        <v>29</v>
      </c>
      <c r="P2" s="178" t="s">
        <v>127</v>
      </c>
      <c r="Q2" s="178" t="s">
        <v>217</v>
      </c>
      <c r="R2" s="103"/>
      <c r="S2" s="169" t="s">
        <v>261</v>
      </c>
      <c r="T2" s="169" t="s">
        <v>262</v>
      </c>
      <c r="U2" s="357"/>
      <c r="V2" s="357"/>
    </row>
    <row r="3" spans="2:30" s="97" customFormat="1" ht="18.75" customHeight="1">
      <c r="B3" s="389" t="str">
        <f>Helpers!B2</f>
        <v>25-09-22</v>
      </c>
      <c r="C3" s="389"/>
      <c r="D3" s="389"/>
      <c r="E3" s="389"/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</row>
    <row r="4" spans="2:30" s="97" customFormat="1" ht="18.75" customHeight="1">
      <c r="B4" s="390" t="s">
        <v>283</v>
      </c>
      <c r="C4" s="390"/>
      <c r="D4" s="390"/>
      <c r="E4" s="390"/>
      <c r="F4" s="390"/>
      <c r="G4" s="390"/>
      <c r="H4" s="390"/>
      <c r="I4" s="390"/>
      <c r="J4" s="390"/>
      <c r="K4" s="390"/>
      <c r="L4" s="390"/>
      <c r="M4" s="390"/>
      <c r="N4" s="390"/>
      <c r="O4" s="390"/>
      <c r="P4" s="390"/>
      <c r="Q4" s="390"/>
      <c r="R4" s="390"/>
      <c r="S4" s="390"/>
      <c r="T4" s="390"/>
      <c r="U4" s="390"/>
      <c r="V4" s="390"/>
      <c r="W4" s="390"/>
      <c r="X4" s="390"/>
      <c r="Y4" s="390"/>
      <c r="Z4" s="390"/>
      <c r="AA4" s="390"/>
      <c r="AB4" s="390"/>
      <c r="AC4" s="390"/>
      <c r="AD4" s="390"/>
    </row>
    <row r="5" spans="2:30" ht="15.75">
      <c r="B5" s="38" t="s">
        <v>136</v>
      </c>
      <c r="C5" s="330" t="s">
        <v>134</v>
      </c>
      <c r="D5" s="37" t="s">
        <v>135</v>
      </c>
      <c r="E5" s="37" t="s">
        <v>119</v>
      </c>
      <c r="F5" s="38" t="s">
        <v>211</v>
      </c>
      <c r="G5" s="37" t="s">
        <v>23</v>
      </c>
      <c r="H5" s="37" t="s">
        <v>109</v>
      </c>
      <c r="I5" s="330" t="s">
        <v>256</v>
      </c>
      <c r="J5" s="37" t="s">
        <v>24</v>
      </c>
      <c r="K5" s="37" t="s">
        <v>25</v>
      </c>
      <c r="L5" s="37" t="s">
        <v>26</v>
      </c>
      <c r="M5" s="37" t="s">
        <v>27</v>
      </c>
      <c r="N5" s="60" t="s">
        <v>28</v>
      </c>
      <c r="O5" s="60" t="s">
        <v>29</v>
      </c>
      <c r="P5" s="60" t="s">
        <v>127</v>
      </c>
      <c r="Q5" s="60" t="s">
        <v>128</v>
      </c>
      <c r="R5" s="102" t="s">
        <v>32</v>
      </c>
      <c r="S5" s="172" t="s">
        <v>165</v>
      </c>
      <c r="T5" s="172" t="s">
        <v>117</v>
      </c>
      <c r="U5" s="358" t="s">
        <v>1350</v>
      </c>
      <c r="V5" s="358" t="s">
        <v>1351</v>
      </c>
    </row>
    <row r="6" spans="2:30">
      <c r="B6" s="59">
        <v>1</v>
      </c>
      <c r="C6" s="59">
        <f>IFERROR(VLOOKUP($B6,OverallResults!$B$3:$Z$508,2,FALSE),"")</f>
        <v>1</v>
      </c>
      <c r="D6" s="90" t="str">
        <f>IFERROR(VLOOKUP($B6,OverallResults!$B$3:$Z$508,3,FALSE),"")</f>
        <v>Johann Potgieter</v>
      </c>
      <c r="E6" s="54">
        <f>IFERROR(VLOOKUP(C6,SeriesPoints!$A$2:$B$51,2,FALSE),"")</f>
        <v>200</v>
      </c>
      <c r="F6" s="100" t="str">
        <f>IFERROR(VLOOKUP($D6,EntryList!$B$3:$V$291,21,FALSE),"")</f>
        <v>-</v>
      </c>
      <c r="G6" s="100" t="str">
        <f>IFERROR(VLOOKUP($D6,EntryList!$B$3:$N$596,5,FALSE),"")</f>
        <v>M</v>
      </c>
      <c r="H6" s="145" t="str">
        <f>IFERROR(VLOOKUP($D6,EntryList!$B$3:$N$596,6,FALSE),"")</f>
        <v>Master Men</v>
      </c>
      <c r="I6" s="59">
        <f>IFERROR(VLOOKUP($B6,OverallResults!$B$3:$Z$492,8,FALSE),"")</f>
        <v>5</v>
      </c>
      <c r="J6" s="57" t="str">
        <f>IFERROR(VLOOKUP($B6,OverallResults!$B$3:$BB$492,9,FALSE),"")</f>
        <v>00:02:59.7 (1)</v>
      </c>
      <c r="K6" s="57" t="str">
        <f>IFERROR(VLOOKUP($B6,OverallResults!$B$3:$BB$492,10,FALSE),"")</f>
        <v>00:03:30.2 (5)</v>
      </c>
      <c r="L6" s="57" t="str">
        <f>IFERROR(VLOOKUP($B6,OverallResults!$B$3:$BB$492,11,FALSE),"")</f>
        <v>00:01:57.4 (6)</v>
      </c>
      <c r="M6" s="57" t="str">
        <f>IFERROR(VLOOKUP($B6,OverallResults!$B$3:$BB$492,12,FALSE),"")</f>
        <v>00:03:42.8 (2)</v>
      </c>
      <c r="N6" s="57" t="str">
        <f>IFERROR(VLOOKUP($B6,OverallResults!$B$3:$BB$492,13,FALSE),"")</f>
        <v>00:04:40.0 (1)</v>
      </c>
      <c r="O6" s="58" t="str">
        <f>IFERROR(VLOOKUP($B6,OverallResults!$B$3:$BB$492,14,FALSE),"")</f>
        <v>DNS/DNF ()</v>
      </c>
      <c r="P6" s="58" t="str">
        <f>IFERROR(VLOOKUP($B6,OverallResults!$B$3:$BB$492,15,FALSE),"")</f>
        <v>DNS/DNF ()</v>
      </c>
      <c r="Q6" s="58" t="str">
        <f>IFERROR(VLOOKUP($B6,OverallResults!$B$3:$BB$492,16,FALSE),"")</f>
        <v>DNS/DNF ()</v>
      </c>
      <c r="R6" s="58" t="str">
        <f>IFERROR(VLOOKUP($B6,OverallResults!$B$3:$BB$492,17,FALSE),"")</f>
        <v>00:16:50.021</v>
      </c>
      <c r="S6" s="170" t="s">
        <v>208</v>
      </c>
      <c r="T6" s="170" t="s">
        <v>208</v>
      </c>
      <c r="U6" s="361">
        <f>IFERROR(VLOOKUP($D6,EntryList!$B$3:$S$291,18,FALSE),"")</f>
        <v>0</v>
      </c>
      <c r="V6" s="361">
        <f>IFERROR(VLOOKUP($D6,EntryList!$B$3:$S$291,17,FALSE),"")</f>
        <v>0</v>
      </c>
    </row>
    <row r="7" spans="2:30">
      <c r="B7" s="59">
        <v>2</v>
      </c>
      <c r="C7" s="59">
        <f>IFERROR(VLOOKUP($B7,OverallResults!$B$3:$Z$508,2,FALSE),"")</f>
        <v>1</v>
      </c>
      <c r="D7" s="90" t="str">
        <f>IFERROR(VLOOKUP($B7,OverallResults!$B$3:$Z$508,3,FALSE),"")</f>
        <v>Duran Van Eeden</v>
      </c>
      <c r="E7" s="54">
        <f>IFERROR(VLOOKUP(C7,SeriesPoints!$A$2:$B$51,2,FALSE),"")</f>
        <v>200</v>
      </c>
      <c r="F7" s="100" t="str">
        <f>IFERROR(VLOOKUP($D7,EntryList!$B$3:$V$291,21,FALSE),"")</f>
        <v>-</v>
      </c>
      <c r="G7" s="100" t="str">
        <f>IFERROR(VLOOKUP($D7,EntryList!$B$3:$N$596,5,FALSE),"")</f>
        <v>M</v>
      </c>
      <c r="H7" s="145" t="str">
        <f>IFERROR(VLOOKUP($D7,EntryList!$B$3:$N$596,6,FALSE),"")</f>
        <v>E-Bike M</v>
      </c>
      <c r="I7" s="59">
        <f>IFERROR(VLOOKUP($B7,OverallResults!$B$3:$Z$492,8,FALSE),"")</f>
        <v>5</v>
      </c>
      <c r="J7" s="57" t="str">
        <f>IFERROR(VLOOKUP($B7,OverallResults!$B$3:$BB$492,9,FALSE),"")</f>
        <v>00:03:03.7 (3)</v>
      </c>
      <c r="K7" s="57" t="str">
        <f>IFERROR(VLOOKUP($B7,OverallResults!$B$3:$BB$492,10,FALSE),"")</f>
        <v>00:03:27.8 (2)</v>
      </c>
      <c r="L7" s="57" t="str">
        <f>IFERROR(VLOOKUP($B7,OverallResults!$B$3:$BB$492,11,FALSE),"")</f>
        <v>00:01:51.6 (2)</v>
      </c>
      <c r="M7" s="57" t="str">
        <f>IFERROR(VLOOKUP($B7,OverallResults!$B$3:$BB$492,12,FALSE),"")</f>
        <v>00:03:50.1 (6)</v>
      </c>
      <c r="N7" s="57" t="str">
        <f>IFERROR(VLOOKUP($B7,OverallResults!$B$3:$BB$492,13,FALSE),"")</f>
        <v>00:04:45.2 (4)</v>
      </c>
      <c r="O7" s="58" t="str">
        <f>IFERROR(VLOOKUP($B7,OverallResults!$B$3:$BB$492,14,FALSE),"")</f>
        <v>DNS/DNF ()</v>
      </c>
      <c r="P7" s="58" t="str">
        <f>IFERROR(VLOOKUP($B7,OverallResults!$B$3:$BB$492,15,FALSE),"")</f>
        <v>DNS/DNF ()</v>
      </c>
      <c r="Q7" s="58" t="str">
        <f>IFERROR(VLOOKUP($B7,OverallResults!$B$3:$BB$492,16,FALSE),"")</f>
        <v>DNS/DNF ()</v>
      </c>
      <c r="R7" s="58" t="str">
        <f>IFERROR(VLOOKUP($B7,OverallResults!$B$3:$BB$492,17,FALSE),"")</f>
        <v>00:16:58.413</v>
      </c>
      <c r="S7" s="170" t="str">
        <f t="shared" ref="S7:S68" si="0">IFERROR(TEXT(($R7-$R6),"mm:ss"),"N/A")</f>
        <v>00:08</v>
      </c>
      <c r="T7" s="170" t="str">
        <f>IF($I7-$I6&lt;0,"N/A",IFERROR(TEXT(($R7-$R$6),"mm:ss"),"N/A"))</f>
        <v>00:08</v>
      </c>
      <c r="U7" s="361">
        <f>IFERROR(VLOOKUP($D7,EntryList!$B$3:$S$291,18,FALSE),"")</f>
        <v>0</v>
      </c>
      <c r="V7" s="361">
        <f>IFERROR(VLOOKUP($D7,EntryList!$B$3:$S$291,17,FALSE),"")</f>
        <v>0</v>
      </c>
    </row>
    <row r="8" spans="2:30">
      <c r="B8" s="59">
        <v>3</v>
      </c>
      <c r="C8" s="59">
        <f>IFERROR(VLOOKUP($B8,OverallResults!$B$3:$Z$508,2,FALSE),"")</f>
        <v>1</v>
      </c>
      <c r="D8" s="90" t="str">
        <f>IFERROR(VLOOKUP($B8,OverallResults!$B$3:$Z$508,3,FALSE),"")</f>
        <v>Philip Van Schalkwyk</v>
      </c>
      <c r="E8" s="54">
        <f>IFERROR(VLOOKUP(C8,SeriesPoints!$A$2:$B$51,2,FALSE),"")</f>
        <v>200</v>
      </c>
      <c r="F8" s="100" t="str">
        <f>IFERROR(VLOOKUP($D8,EntryList!$B$3:$V$291,21,FALSE),"")</f>
        <v>-</v>
      </c>
      <c r="G8" s="100" t="str">
        <f>IFERROR(VLOOKUP($D8,EntryList!$B$3:$N$596,5,FALSE),"")</f>
        <v>M</v>
      </c>
      <c r="H8" s="145" t="str">
        <f>IFERROR(VLOOKUP($D8,EntryList!$B$3:$N$596,6,FALSE),"")</f>
        <v>Junior Men</v>
      </c>
      <c r="I8" s="59">
        <f>IFERROR(VLOOKUP($B8,OverallResults!$B$3:$Z$492,8,FALSE),"")</f>
        <v>5</v>
      </c>
      <c r="J8" s="57" t="str">
        <f>IFERROR(VLOOKUP($B8,OverallResults!$B$3:$BB$492,9,FALSE),"")</f>
        <v>00:03:12.8 (6)</v>
      </c>
      <c r="K8" s="57" t="str">
        <f>IFERROR(VLOOKUP($B8,OverallResults!$B$3:$BB$492,10,FALSE),"")</f>
        <v>00:03:29.9 (4)</v>
      </c>
      <c r="L8" s="57" t="str">
        <f>IFERROR(VLOOKUP($B8,OverallResults!$B$3:$BB$492,11,FALSE),"")</f>
        <v>00:01:50.4 (1)</v>
      </c>
      <c r="M8" s="57" t="str">
        <f>IFERROR(VLOOKUP($B8,OverallResults!$B$3:$BB$492,12,FALSE),"")</f>
        <v>00:03:49.2 (5)</v>
      </c>
      <c r="N8" s="57" t="str">
        <f>IFERROR(VLOOKUP($B8,OverallResults!$B$3:$BB$492,13,FALSE),"")</f>
        <v>00:04:49.4 (7)</v>
      </c>
      <c r="O8" s="58" t="str">
        <f>IFERROR(VLOOKUP($B8,OverallResults!$B$3:$BB$492,14,FALSE),"")</f>
        <v>DNS/DNF ()</v>
      </c>
      <c r="P8" s="58" t="str">
        <f>IFERROR(VLOOKUP($B8,OverallResults!$B$3:$BB$492,15,FALSE),"")</f>
        <v>DNS/DNF ()</v>
      </c>
      <c r="Q8" s="58" t="str">
        <f>IFERROR(VLOOKUP($B8,OverallResults!$B$3:$BB$492,16,FALSE),"")</f>
        <v>DNS/DNF ()</v>
      </c>
      <c r="R8" s="58" t="str">
        <f>IFERROR(VLOOKUP($B8,OverallResults!$B$3:$BB$492,17,FALSE),"")</f>
        <v>00:17:11.727</v>
      </c>
      <c r="S8" s="170" t="str">
        <f t="shared" si="0"/>
        <v>00:13</v>
      </c>
      <c r="T8" s="170" t="str">
        <f t="shared" ref="T8:T69" si="1">IF($I8-$I7&lt;0,"N/A",IFERROR(TEXT(($R8-$R$6),"mm:ss"),"N/A"))</f>
        <v>00:22</v>
      </c>
      <c r="U8" s="361" t="str">
        <f>IFERROR(VLOOKUP($D8,EntryList!$B$3:$S$291,18,FALSE),"")</f>
        <v/>
      </c>
      <c r="V8" s="361" t="str">
        <f>IFERROR(VLOOKUP($D8,EntryList!$B$3:$S$291,17,FALSE),"")</f>
        <v/>
      </c>
    </row>
    <row r="9" spans="2:30">
      <c r="B9" s="59">
        <v>4</v>
      </c>
      <c r="C9" s="59">
        <f>IFERROR(VLOOKUP($B9,OverallResults!$B$3:$Z$508,2,FALSE),"")</f>
        <v>1</v>
      </c>
      <c r="D9" s="90" t="str">
        <f>IFERROR(VLOOKUP($B9,OverallResults!$B$3:$Z$508,3,FALSE),"")</f>
        <v>Gert Heyns</v>
      </c>
      <c r="E9" s="54">
        <f>IFERROR(VLOOKUP(C9,SeriesPoints!$A$2:$B$51,2,FALSE),"")</f>
        <v>200</v>
      </c>
      <c r="F9" s="100" t="str">
        <f>IFERROR(VLOOKUP($D9,EntryList!$B$3:$V$291,21,FALSE),"")</f>
        <v>-</v>
      </c>
      <c r="G9" s="100" t="str">
        <f>IFERROR(VLOOKUP($D9,EntryList!$B$3:$N$596,5,FALSE),"")</f>
        <v>M</v>
      </c>
      <c r="H9" s="145" t="str">
        <f>IFERROR(VLOOKUP($D9,EntryList!$B$3:$N$596,6,FALSE),"")</f>
        <v>Elite Men</v>
      </c>
      <c r="I9" s="59">
        <f>IFERROR(VLOOKUP($B9,OverallResults!$B$3:$Z$492,8,FALSE),"")</f>
        <v>5</v>
      </c>
      <c r="J9" s="57" t="str">
        <f>IFERROR(VLOOKUP($B9,OverallResults!$B$3:$BB$492,9,FALSE),"")</f>
        <v>00:03:17.4 (11)</v>
      </c>
      <c r="K9" s="57" t="str">
        <f>IFERROR(VLOOKUP($B9,OverallResults!$B$3:$BB$492,10,FALSE),"")</f>
        <v>00:03:31.0 (7)</v>
      </c>
      <c r="L9" s="57" t="str">
        <f>IFERROR(VLOOKUP($B9,OverallResults!$B$3:$BB$492,11,FALSE),"")</f>
        <v>00:01:59.7 (14)</v>
      </c>
      <c r="M9" s="57" t="str">
        <f>IFERROR(VLOOKUP($B9,OverallResults!$B$3:$BB$492,12,FALSE),"")</f>
        <v>00:03:49.1 (4)</v>
      </c>
      <c r="N9" s="57" t="str">
        <f>IFERROR(VLOOKUP($B9,OverallResults!$B$3:$BB$492,13,FALSE),"")</f>
        <v>00:04:40.2 (2)</v>
      </c>
      <c r="O9" s="58" t="str">
        <f>IFERROR(VLOOKUP($B9,OverallResults!$B$3:$BB$492,14,FALSE),"")</f>
        <v>DNS/DNF ()</v>
      </c>
      <c r="P9" s="58" t="str">
        <f>IFERROR(VLOOKUP($B9,OverallResults!$B$3:$BB$492,15,FALSE),"")</f>
        <v>DNS/DNF ()</v>
      </c>
      <c r="Q9" s="58" t="str">
        <f>IFERROR(VLOOKUP($B9,OverallResults!$B$3:$BB$492,16,FALSE),"")</f>
        <v>DNS/DNF ()</v>
      </c>
      <c r="R9" s="58" t="str">
        <f>IFERROR(VLOOKUP($B9,OverallResults!$B$3:$BB$492,17,FALSE),"")</f>
        <v>00:17:17.441</v>
      </c>
      <c r="S9" s="170" t="str">
        <f t="shared" si="0"/>
        <v>00:06</v>
      </c>
      <c r="T9" s="170" t="str">
        <f t="shared" si="1"/>
        <v>00:27</v>
      </c>
      <c r="U9" s="361">
        <f>IFERROR(VLOOKUP($D9,EntryList!$B$3:$S$291,18,FALSE),"")</f>
        <v>0</v>
      </c>
      <c r="V9" s="361">
        <f>IFERROR(VLOOKUP($D9,EntryList!$B$3:$S$291,17,FALSE),"")</f>
        <v>0</v>
      </c>
    </row>
    <row r="10" spans="2:30">
      <c r="B10" s="59">
        <v>5</v>
      </c>
      <c r="C10" s="59">
        <f>IFERROR(VLOOKUP($B10,OverallResults!$B$3:$Z$508,2,FALSE),"")</f>
        <v>2</v>
      </c>
      <c r="D10" s="90" t="str">
        <f>IFERROR(VLOOKUP($B10,OverallResults!$B$3:$Z$508,3,FALSE),"")</f>
        <v>Lance Morris</v>
      </c>
      <c r="E10" s="54">
        <f>IFERROR(VLOOKUP(C10,SeriesPoints!$A$2:$B$51,2,FALSE),"")</f>
        <v>170</v>
      </c>
      <c r="F10" s="100" t="str">
        <f>IFERROR(VLOOKUP($D10,EntryList!$B$3:$V$291,21,FALSE),"")</f>
        <v>-</v>
      </c>
      <c r="G10" s="100" t="str">
        <f>IFERROR(VLOOKUP($D10,EntryList!$B$3:$N$596,5,FALSE),"")</f>
        <v>M</v>
      </c>
      <c r="H10" s="145" t="str">
        <f>IFERROR(VLOOKUP($D10,EntryList!$B$3:$N$596,6,FALSE),"")</f>
        <v>Master Men</v>
      </c>
      <c r="I10" s="59">
        <f>IFERROR(VLOOKUP($B10,OverallResults!$B$3:$Z$492,8,FALSE),"")</f>
        <v>5</v>
      </c>
      <c r="J10" s="57" t="str">
        <f>IFERROR(VLOOKUP($B10,OverallResults!$B$3:$BB$492,9,FALSE),"")</f>
        <v>00:03:12.6 (5)</v>
      </c>
      <c r="K10" s="57" t="str">
        <f>IFERROR(VLOOKUP($B10,OverallResults!$B$3:$BB$492,10,FALSE),"")</f>
        <v>00:03:29.7 (3)</v>
      </c>
      <c r="L10" s="57" t="str">
        <f>IFERROR(VLOOKUP($B10,OverallResults!$B$3:$BB$492,11,FALSE),"")</f>
        <v>00:01:59.0 (12)</v>
      </c>
      <c r="M10" s="57" t="str">
        <f>IFERROR(VLOOKUP($B10,OverallResults!$B$3:$BB$492,12,FALSE),"")</f>
        <v>00:03:52.0 (10)</v>
      </c>
      <c r="N10" s="57" t="str">
        <f>IFERROR(VLOOKUP($B10,OverallResults!$B$3:$BB$492,13,FALSE),"")</f>
        <v>00:04:52.1 (9)</v>
      </c>
      <c r="O10" s="58" t="str">
        <f>IFERROR(VLOOKUP($B10,OverallResults!$B$3:$BB$492,14,FALSE),"")</f>
        <v>DNS/DNF ()</v>
      </c>
      <c r="P10" s="58" t="str">
        <f>IFERROR(VLOOKUP($B10,OverallResults!$B$3:$BB$492,15,FALSE),"")</f>
        <v>DNS/DNF ()</v>
      </c>
      <c r="Q10" s="58" t="str">
        <f>IFERROR(VLOOKUP($B10,OverallResults!$B$3:$BB$492,16,FALSE),"")</f>
        <v>DNS/DNF ()</v>
      </c>
      <c r="R10" s="58" t="str">
        <f>IFERROR(VLOOKUP($B10,OverallResults!$B$3:$BB$492,17,FALSE),"")</f>
        <v>00:17:25.411</v>
      </c>
      <c r="S10" s="170" t="str">
        <f t="shared" si="0"/>
        <v>00:08</v>
      </c>
      <c r="T10" s="170" t="str">
        <f t="shared" si="1"/>
        <v>00:35</v>
      </c>
      <c r="U10" s="361">
        <f>IFERROR(VLOOKUP($D10,EntryList!$B$3:$S$291,18,FALSE),"")</f>
        <v>0</v>
      </c>
      <c r="V10" s="361">
        <f>IFERROR(VLOOKUP($D10,EntryList!$B$3:$S$291,17,FALSE),"")</f>
        <v>0</v>
      </c>
    </row>
    <row r="11" spans="2:30">
      <c r="B11" s="59">
        <v>6</v>
      </c>
      <c r="C11" s="59">
        <f>IFERROR(VLOOKUP($B11,OverallResults!$B$3:$Z$508,2,FALSE),"")</f>
        <v>2</v>
      </c>
      <c r="D11" s="90" t="str">
        <f>IFERROR(VLOOKUP($B11,OverallResults!$B$3:$Z$508,3,FALSE),"")</f>
        <v>Matt Lombardi</v>
      </c>
      <c r="E11" s="54">
        <f>IFERROR(VLOOKUP(C11,SeriesPoints!$A$2:$B$51,2,FALSE),"")</f>
        <v>170</v>
      </c>
      <c r="F11" s="100" t="str">
        <f>IFERROR(VLOOKUP($D11,EntryList!$B$3:$V$291,21,FALSE),"")</f>
        <v>-</v>
      </c>
      <c r="G11" s="100" t="str">
        <f>IFERROR(VLOOKUP($D11,EntryList!$B$3:$N$596,5,FALSE),"")</f>
        <v>M</v>
      </c>
      <c r="H11" s="145" t="str">
        <f>IFERROR(VLOOKUP($D11,EntryList!$B$3:$N$596,6,FALSE),"")</f>
        <v>Elite Men</v>
      </c>
      <c r="I11" s="59">
        <f>IFERROR(VLOOKUP($B11,OverallResults!$B$3:$Z$492,8,FALSE),"")</f>
        <v>5</v>
      </c>
      <c r="J11" s="57" t="str">
        <f>IFERROR(VLOOKUP($B11,OverallResults!$B$3:$BB$492,9,FALSE),"")</f>
        <v>00:03:01.1 (2)</v>
      </c>
      <c r="K11" s="57" t="str">
        <f>IFERROR(VLOOKUP($B11,OverallResults!$B$3:$BB$492,10,FALSE),"")</f>
        <v>00:03:27.0 (1)</v>
      </c>
      <c r="L11" s="57" t="str">
        <f>IFERROR(VLOOKUP($B11,OverallResults!$B$3:$BB$492,11,FALSE),"")</f>
        <v>00:01:52.2 (3)</v>
      </c>
      <c r="M11" s="57" t="str">
        <f>IFERROR(VLOOKUP($B11,OverallResults!$B$3:$BB$492,12,FALSE),"")</f>
        <v>00:03:39.6 (1)</v>
      </c>
      <c r="N11" s="57" t="str">
        <f>IFERROR(VLOOKUP($B11,OverallResults!$B$3:$BB$492,13,FALSE),"")</f>
        <v>00:05:26.7 (61)</v>
      </c>
      <c r="O11" s="58" t="str">
        <f>IFERROR(VLOOKUP($B11,OverallResults!$B$3:$BB$492,14,FALSE),"")</f>
        <v>DNS/DNF ()</v>
      </c>
      <c r="P11" s="58" t="str">
        <f>IFERROR(VLOOKUP($B11,OverallResults!$B$3:$BB$492,15,FALSE),"")</f>
        <v>DNS/DNF ()</v>
      </c>
      <c r="Q11" s="58" t="str">
        <f>IFERROR(VLOOKUP($B11,OverallResults!$B$3:$BB$492,16,FALSE),"")</f>
        <v>DNS/DNF ()</v>
      </c>
      <c r="R11" s="58" t="str">
        <f>IFERROR(VLOOKUP($B11,OverallResults!$B$3:$BB$492,17,FALSE),"")</f>
        <v>00:17:26.644</v>
      </c>
      <c r="S11" s="170" t="str">
        <f t="shared" si="0"/>
        <v>00:01</v>
      </c>
      <c r="T11" s="170" t="str">
        <f t="shared" si="1"/>
        <v>00:37</v>
      </c>
      <c r="U11" s="361">
        <f>IFERROR(VLOOKUP($D11,EntryList!$B$3:$S$291,18,FALSE),"")</f>
        <v>0</v>
      </c>
      <c r="V11" s="361">
        <f>IFERROR(VLOOKUP($D11,EntryList!$B$3:$S$291,17,FALSE),"")</f>
        <v>0</v>
      </c>
    </row>
    <row r="12" spans="2:30">
      <c r="B12" s="59">
        <v>7</v>
      </c>
      <c r="C12" s="59">
        <f>IFERROR(VLOOKUP($B12,OverallResults!$B$3:$Z$508,2,FALSE),"")</f>
        <v>2</v>
      </c>
      <c r="D12" s="90" t="str">
        <f>IFERROR(VLOOKUP($B12,OverallResults!$B$3:$Z$508,3,FALSE),"")</f>
        <v>Gary Barnard</v>
      </c>
      <c r="E12" s="54">
        <f>IFERROR(VLOOKUP(C12,SeriesPoints!$A$2:$B$51,2,FALSE),"")</f>
        <v>170</v>
      </c>
      <c r="F12" s="100" t="str">
        <f>IFERROR(VLOOKUP($D12,EntryList!$B$3:$V$291,21,FALSE),"")</f>
        <v>-</v>
      </c>
      <c r="G12" s="100" t="str">
        <f>IFERROR(VLOOKUP($D12,EntryList!$B$3:$N$596,5,FALSE),"")</f>
        <v>M</v>
      </c>
      <c r="H12" s="145" t="str">
        <f>IFERROR(VLOOKUP($D12,EntryList!$B$3:$N$596,6,FALSE),"")</f>
        <v>E-Bike M</v>
      </c>
      <c r="I12" s="59">
        <f>IFERROR(VLOOKUP($B12,OverallResults!$B$3:$Z$492,8,FALSE),"")</f>
        <v>5</v>
      </c>
      <c r="J12" s="57" t="str">
        <f>IFERROR(VLOOKUP($B12,OverallResults!$B$3:$BB$492,9,FALSE),"")</f>
        <v>00:03:11.4 (4)</v>
      </c>
      <c r="K12" s="57" t="str">
        <f>IFERROR(VLOOKUP($B12,OverallResults!$B$3:$BB$492,10,FALSE),"")</f>
        <v>00:03:30.2 (6)</v>
      </c>
      <c r="L12" s="57" t="str">
        <f>IFERROR(VLOOKUP($B12,OverallResults!$B$3:$BB$492,11,FALSE),"")</f>
        <v>00:02:03.6 (22)</v>
      </c>
      <c r="M12" s="57" t="str">
        <f>IFERROR(VLOOKUP($B12,OverallResults!$B$3:$BB$492,12,FALSE),"")</f>
        <v>00:03:50.7 (7)</v>
      </c>
      <c r="N12" s="57" t="str">
        <f>IFERROR(VLOOKUP($B12,OverallResults!$B$3:$BB$492,13,FALSE),"")</f>
        <v>00:04:52.7 (10)</v>
      </c>
      <c r="O12" s="58" t="str">
        <f>IFERROR(VLOOKUP($B12,OverallResults!$B$3:$BB$492,14,FALSE),"")</f>
        <v>DNS/DNF ()</v>
      </c>
      <c r="P12" s="58" t="str">
        <f>IFERROR(VLOOKUP($B12,OverallResults!$B$3:$BB$492,15,FALSE),"")</f>
        <v>DNS/DNF ()</v>
      </c>
      <c r="Q12" s="58" t="str">
        <f>IFERROR(VLOOKUP($B12,OverallResults!$B$3:$BB$492,16,FALSE),"")</f>
        <v>DNS/DNF ()</v>
      </c>
      <c r="R12" s="58" t="str">
        <f>IFERROR(VLOOKUP($B12,OverallResults!$B$3:$BB$492,17,FALSE),"")</f>
        <v>00:17:28.605</v>
      </c>
      <c r="S12" s="170" t="str">
        <f t="shared" si="0"/>
        <v>00:02</v>
      </c>
      <c r="T12" s="170" t="str">
        <f t="shared" si="1"/>
        <v>00:39</v>
      </c>
      <c r="U12" s="361">
        <f>IFERROR(VLOOKUP($D12,EntryList!$B$3:$S$291,18,FALSE),"")</f>
        <v>0</v>
      </c>
      <c r="V12" s="361">
        <f>IFERROR(VLOOKUP($D12,EntryList!$B$3:$S$291,17,FALSE),"")</f>
        <v>0</v>
      </c>
    </row>
    <row r="13" spans="2:30">
      <c r="B13" s="59">
        <v>8</v>
      </c>
      <c r="C13" s="59">
        <f>IFERROR(VLOOKUP($B13,OverallResults!$B$3:$Z$508,2,FALSE),"")</f>
        <v>3</v>
      </c>
      <c r="D13" s="90" t="str">
        <f>IFERROR(VLOOKUP($B13,OverallResults!$B$3:$Z$508,3,FALSE),"")</f>
        <v>Michard Meets</v>
      </c>
      <c r="E13" s="54">
        <f>IFERROR(VLOOKUP(C13,SeriesPoints!$A$2:$B$51,2,FALSE),"")</f>
        <v>150</v>
      </c>
      <c r="F13" s="100" t="str">
        <f>IFERROR(VLOOKUP($D13,EntryList!$B$3:$V$291,21,FALSE),"")</f>
        <v>-</v>
      </c>
      <c r="G13" s="100" t="str">
        <f>IFERROR(VLOOKUP($D13,EntryList!$B$3:$N$596,5,FALSE),"")</f>
        <v>M</v>
      </c>
      <c r="H13" s="145" t="str">
        <f>IFERROR(VLOOKUP($D13,EntryList!$B$3:$N$596,6,FALSE),"")</f>
        <v>Elite Men</v>
      </c>
      <c r="I13" s="59">
        <f>IFERROR(VLOOKUP($B13,OverallResults!$B$3:$Z$492,8,FALSE),"")</f>
        <v>5</v>
      </c>
      <c r="J13" s="57" t="str">
        <f>IFERROR(VLOOKUP($B13,OverallResults!$B$3:$BB$492,9,FALSE),"")</f>
        <v>00:03:14.7 (9)</v>
      </c>
      <c r="K13" s="57" t="str">
        <f>IFERROR(VLOOKUP($B13,OverallResults!$B$3:$BB$492,10,FALSE),"")</f>
        <v>00:03:37.5 (16)</v>
      </c>
      <c r="L13" s="57" t="str">
        <f>IFERROR(VLOOKUP($B13,OverallResults!$B$3:$BB$492,11,FALSE),"")</f>
        <v>00:01:59.0 (11)</v>
      </c>
      <c r="M13" s="57" t="str">
        <f>IFERROR(VLOOKUP($B13,OverallResults!$B$3:$BB$492,12,FALSE),"")</f>
        <v>00:03:51.4 (8)</v>
      </c>
      <c r="N13" s="57" t="str">
        <f>IFERROR(VLOOKUP($B13,OverallResults!$B$3:$BB$492,13,FALSE),"")</f>
        <v>00:04:48.4 (5)</v>
      </c>
      <c r="O13" s="58" t="str">
        <f>IFERROR(VLOOKUP($B13,OverallResults!$B$3:$BB$492,14,FALSE),"")</f>
        <v>DNS/DNF ()</v>
      </c>
      <c r="P13" s="58" t="str">
        <f>IFERROR(VLOOKUP($B13,OverallResults!$B$3:$BB$492,15,FALSE),"")</f>
        <v>DNS/DNF ()</v>
      </c>
      <c r="Q13" s="58" t="str">
        <f>IFERROR(VLOOKUP($B13,OverallResults!$B$3:$BB$492,16,FALSE),"")</f>
        <v>DNS/DNF ()</v>
      </c>
      <c r="R13" s="58" t="str">
        <f>IFERROR(VLOOKUP($B13,OverallResults!$B$3:$BB$492,17,FALSE),"")</f>
        <v>00:17:31.052</v>
      </c>
      <c r="S13" s="170" t="str">
        <f t="shared" si="0"/>
        <v>00:02</v>
      </c>
      <c r="T13" s="170" t="str">
        <f t="shared" si="1"/>
        <v>00:41</v>
      </c>
      <c r="U13" s="361">
        <f>IFERROR(VLOOKUP($D13,EntryList!$B$3:$S$291,18,FALSE),"")</f>
        <v>0</v>
      </c>
      <c r="V13" s="361">
        <f>IFERROR(VLOOKUP($D13,EntryList!$B$3:$S$291,17,FALSE),"")</f>
        <v>0</v>
      </c>
    </row>
    <row r="14" spans="2:30">
      <c r="B14" s="59">
        <v>9</v>
      </c>
      <c r="C14" s="59">
        <f>IFERROR(VLOOKUP($B14,OverallResults!$B$3:$Z$508,2,FALSE),"")</f>
        <v>3</v>
      </c>
      <c r="D14" s="90" t="str">
        <f>IFERROR(VLOOKUP($B14,OverallResults!$B$3:$Z$508,3,FALSE),"")</f>
        <v>Justin Novella</v>
      </c>
      <c r="E14" s="54">
        <f>IFERROR(VLOOKUP(C14,SeriesPoints!$A$2:$B$51,2,FALSE),"")</f>
        <v>150</v>
      </c>
      <c r="F14" s="100" t="str">
        <f>IFERROR(VLOOKUP($D14,EntryList!$B$3:$V$291,21,FALSE),"")</f>
        <v>-</v>
      </c>
      <c r="G14" s="100" t="str">
        <f>IFERROR(VLOOKUP($D14,EntryList!$B$3:$N$596,5,FALSE),"")</f>
        <v>M</v>
      </c>
      <c r="H14" s="145" t="str">
        <f>IFERROR(VLOOKUP($D14,EntryList!$B$3:$N$596,6,FALSE),"")</f>
        <v>E-Bike M</v>
      </c>
      <c r="I14" s="59">
        <f>IFERROR(VLOOKUP($B14,OverallResults!$B$3:$Z$492,8,FALSE),"")</f>
        <v>5</v>
      </c>
      <c r="J14" s="57" t="str">
        <f>IFERROR(VLOOKUP($B14,OverallResults!$B$3:$BB$492,9,FALSE),"")</f>
        <v>00:03:20.0 (15)</v>
      </c>
      <c r="K14" s="57" t="str">
        <f>IFERROR(VLOOKUP($B14,OverallResults!$B$3:$BB$492,10,FALSE),"")</f>
        <v>00:03:35.7 (13)</v>
      </c>
      <c r="L14" s="57" t="str">
        <f>IFERROR(VLOOKUP($B14,OverallResults!$B$3:$BB$492,11,FALSE),"")</f>
        <v>00:01:55.7 (4)</v>
      </c>
      <c r="M14" s="57" t="str">
        <f>IFERROR(VLOOKUP($B14,OverallResults!$B$3:$BB$492,12,FALSE),"")</f>
        <v>00:03:51.9 (9)</v>
      </c>
      <c r="N14" s="57" t="str">
        <f>IFERROR(VLOOKUP($B14,OverallResults!$B$3:$BB$492,13,FALSE),"")</f>
        <v>00:04:49.2 (6)</v>
      </c>
      <c r="O14" s="58" t="str">
        <f>IFERROR(VLOOKUP($B14,OverallResults!$B$3:$BB$492,14,FALSE),"")</f>
        <v>DNS/DNF ()</v>
      </c>
      <c r="P14" s="58" t="str">
        <f>IFERROR(VLOOKUP($B14,OverallResults!$B$3:$BB$492,15,FALSE),"")</f>
        <v>DNS/DNF ()</v>
      </c>
      <c r="Q14" s="58" t="str">
        <f>IFERROR(VLOOKUP($B14,OverallResults!$B$3:$BB$492,16,FALSE),"")</f>
        <v>DNS/DNF ()</v>
      </c>
      <c r="R14" s="58" t="str">
        <f>IFERROR(VLOOKUP($B14,OverallResults!$B$3:$BB$492,17,FALSE),"")</f>
        <v>00:17:32.653</v>
      </c>
      <c r="S14" s="170" t="str">
        <f t="shared" si="0"/>
        <v>00:02</v>
      </c>
      <c r="T14" s="170" t="str">
        <f t="shared" si="1"/>
        <v>00:43</v>
      </c>
      <c r="U14" s="361">
        <f>IFERROR(VLOOKUP($D14,EntryList!$B$3:$S$291,18,FALSE),"")</f>
        <v>0</v>
      </c>
      <c r="V14" s="361">
        <f>IFERROR(VLOOKUP($D14,EntryList!$B$3:$S$291,17,FALSE),"")</f>
        <v>0</v>
      </c>
    </row>
    <row r="15" spans="2:30">
      <c r="B15" s="59">
        <v>10</v>
      </c>
      <c r="C15" s="59">
        <f>IFERROR(VLOOKUP($B15,OverallResults!$B$3:$Z$508,2,FALSE),"")</f>
        <v>4</v>
      </c>
      <c r="D15" s="90" t="str">
        <f>IFERROR(VLOOKUP($B15,OverallResults!$B$3:$Z$508,3,FALSE),"")</f>
        <v>Myles Kelsey</v>
      </c>
      <c r="E15" s="54">
        <f>IFERROR(VLOOKUP(C15,SeriesPoints!$A$2:$B$51,2,FALSE),"")</f>
        <v>135</v>
      </c>
      <c r="F15" s="100" t="str">
        <f>IFERROR(VLOOKUP($D15,EntryList!$B$3:$V$291,21,FALSE),"")</f>
        <v>-</v>
      </c>
      <c r="G15" s="100" t="str">
        <f>IFERROR(VLOOKUP($D15,EntryList!$B$3:$N$596,5,FALSE),"")</f>
        <v>M</v>
      </c>
      <c r="H15" s="145" t="str">
        <f>IFERROR(VLOOKUP($D15,EntryList!$B$3:$N$596,6,FALSE),"")</f>
        <v>E-Bike M</v>
      </c>
      <c r="I15" s="59">
        <f>IFERROR(VLOOKUP($B15,OverallResults!$B$3:$Z$492,8,FALSE),"")</f>
        <v>5</v>
      </c>
      <c r="J15" s="57" t="str">
        <f>IFERROR(VLOOKUP($B15,OverallResults!$B$3:$BB$492,9,FALSE),"")</f>
        <v>00:03:17.5 (12)</v>
      </c>
      <c r="K15" s="57" t="str">
        <f>IFERROR(VLOOKUP($B15,OverallResults!$B$3:$BB$492,10,FALSE),"")</f>
        <v>00:03:33.2 (10)</v>
      </c>
      <c r="L15" s="57" t="str">
        <f>IFERROR(VLOOKUP($B15,OverallResults!$B$3:$BB$492,11,FALSE),"")</f>
        <v>00:01:58.9 (9)</v>
      </c>
      <c r="M15" s="57" t="str">
        <f>IFERROR(VLOOKUP($B15,OverallResults!$B$3:$BB$492,12,FALSE),"")</f>
        <v>00:03:58.1 (15)</v>
      </c>
      <c r="N15" s="57" t="str">
        <f>IFERROR(VLOOKUP($B15,OverallResults!$B$3:$BB$492,13,FALSE),"")</f>
        <v>00:04:51.7 (8)</v>
      </c>
      <c r="O15" s="58" t="str">
        <f>IFERROR(VLOOKUP($B15,OverallResults!$B$3:$BB$492,14,FALSE),"")</f>
        <v>DNS/DNF ()</v>
      </c>
      <c r="P15" s="58" t="str">
        <f>IFERROR(VLOOKUP($B15,OverallResults!$B$3:$BB$492,15,FALSE),"")</f>
        <v>DNS/DNF ()</v>
      </c>
      <c r="Q15" s="58" t="str">
        <f>IFERROR(VLOOKUP($B15,OverallResults!$B$3:$BB$492,16,FALSE),"")</f>
        <v>DNS/DNF ()</v>
      </c>
      <c r="R15" s="58" t="str">
        <f>IFERROR(VLOOKUP($B15,OverallResults!$B$3:$BB$492,17,FALSE),"")</f>
        <v>00:17:39.352</v>
      </c>
      <c r="S15" s="170" t="str">
        <f t="shared" si="0"/>
        <v>00:07</v>
      </c>
      <c r="T15" s="170" t="str">
        <f t="shared" si="1"/>
        <v>00:49</v>
      </c>
      <c r="U15" s="361">
        <f>IFERROR(VLOOKUP($D15,EntryList!$B$3:$S$291,18,FALSE),"")</f>
        <v>0</v>
      </c>
      <c r="V15" s="361">
        <f>IFERROR(VLOOKUP($D15,EntryList!$B$3:$S$291,17,FALSE),"")</f>
        <v>0</v>
      </c>
    </row>
    <row r="16" spans="2:30">
      <c r="B16" s="59">
        <v>11</v>
      </c>
      <c r="C16" s="59">
        <f>IFERROR(VLOOKUP($B16,OverallResults!$B$3:$Z$508,2,FALSE),"")</f>
        <v>4</v>
      </c>
      <c r="D16" s="90" t="str">
        <f>IFERROR(VLOOKUP($B16,OverallResults!$B$3:$Z$508,3,FALSE),"")</f>
        <v>Corbin Mann</v>
      </c>
      <c r="E16" s="54">
        <f>IFERROR(VLOOKUP(C16,SeriesPoints!$A$2:$B$51,2,FALSE),"")</f>
        <v>135</v>
      </c>
      <c r="F16" s="100" t="str">
        <f>IFERROR(VLOOKUP($D16,EntryList!$B$3:$V$291,21,FALSE),"")</f>
        <v>-</v>
      </c>
      <c r="G16" s="100" t="str">
        <f>IFERROR(VLOOKUP($D16,EntryList!$B$3:$N$596,5,FALSE),"")</f>
        <v>M</v>
      </c>
      <c r="H16" s="145" t="str">
        <f>IFERROR(VLOOKUP($D16,EntryList!$B$3:$N$596,6,FALSE),"")</f>
        <v>Elite Men</v>
      </c>
      <c r="I16" s="59">
        <f>IFERROR(VLOOKUP($B16,OverallResults!$B$3:$Z$492,8,FALSE),"")</f>
        <v>5</v>
      </c>
      <c r="J16" s="57" t="str">
        <f>IFERROR(VLOOKUP($B16,OverallResults!$B$3:$BB$492,9,FALSE),"")</f>
        <v>00:03:17.7 (13)</v>
      </c>
      <c r="K16" s="57" t="str">
        <f>IFERROR(VLOOKUP($B16,OverallResults!$B$3:$BB$492,10,FALSE),"")</f>
        <v>00:03:36.0 (14)</v>
      </c>
      <c r="L16" s="57" t="str">
        <f>IFERROR(VLOOKUP($B16,OverallResults!$B$3:$BB$492,11,FALSE),"")</f>
        <v>00:01:59.1 (13)</v>
      </c>
      <c r="M16" s="57" t="str">
        <f>IFERROR(VLOOKUP($B16,OverallResults!$B$3:$BB$492,12,FALSE),"")</f>
        <v>00:03:56.0 (12)</v>
      </c>
      <c r="N16" s="57" t="str">
        <f>IFERROR(VLOOKUP($B16,OverallResults!$B$3:$BB$492,13,FALSE),"")</f>
        <v>00:04:55.0 (12)</v>
      </c>
      <c r="O16" s="58" t="str">
        <f>IFERROR(VLOOKUP($B16,OverallResults!$B$3:$BB$492,14,FALSE),"")</f>
        <v>DNS/DNF ()</v>
      </c>
      <c r="P16" s="58" t="str">
        <f>IFERROR(VLOOKUP($B16,OverallResults!$B$3:$BB$492,15,FALSE),"")</f>
        <v>DNS/DNF ()</v>
      </c>
      <c r="Q16" s="58" t="str">
        <f>IFERROR(VLOOKUP($B16,OverallResults!$B$3:$BB$492,16,FALSE),"")</f>
        <v>DNS/DNF ()</v>
      </c>
      <c r="R16" s="58" t="str">
        <f>IFERROR(VLOOKUP($B16,OverallResults!$B$3:$BB$492,17,FALSE),"")</f>
        <v>00:17:43.803</v>
      </c>
      <c r="S16" s="170" t="str">
        <f t="shared" si="0"/>
        <v>00:04</v>
      </c>
      <c r="T16" s="170" t="str">
        <f t="shared" si="1"/>
        <v>00:54</v>
      </c>
      <c r="U16" s="361">
        <f>IFERROR(VLOOKUP($D16,EntryList!$B$3:$S$291,18,FALSE),"")</f>
        <v>0</v>
      </c>
      <c r="V16" s="361">
        <f>IFERROR(VLOOKUP($D16,EntryList!$B$3:$S$291,17,FALSE),"")</f>
        <v>0</v>
      </c>
    </row>
    <row r="17" spans="2:22">
      <c r="B17" s="59">
        <v>12</v>
      </c>
      <c r="C17" s="59">
        <f>IFERROR(VLOOKUP($B17,OverallResults!$B$3:$Z$508,2,FALSE),"")</f>
        <v>1</v>
      </c>
      <c r="D17" s="90" t="str">
        <f>IFERROR(VLOOKUP($B17,OverallResults!$B$3:$Z$508,3,FALSE),"")</f>
        <v>Pieter Venter</v>
      </c>
      <c r="E17" s="54">
        <f>IFERROR(VLOOKUP(C17,SeriesPoints!$A$2:$B$51,2,FALSE),"")</f>
        <v>200</v>
      </c>
      <c r="F17" s="100" t="str">
        <f>IFERROR(VLOOKUP($D17,EntryList!$B$3:$V$291,21,FALSE),"")</f>
        <v>-</v>
      </c>
      <c r="G17" s="100" t="str">
        <f>IFERROR(VLOOKUP($D17,EntryList!$B$3:$N$596,5,FALSE),"")</f>
        <v>M</v>
      </c>
      <c r="H17" s="145" t="str">
        <f>IFERROR(VLOOKUP($D17,EntryList!$B$3:$N$596,6,FALSE),"")</f>
        <v>Youth Men</v>
      </c>
      <c r="I17" s="59">
        <f>IFERROR(VLOOKUP($B17,OverallResults!$B$3:$Z$492,8,FALSE),"")</f>
        <v>5</v>
      </c>
      <c r="J17" s="57" t="str">
        <f>IFERROR(VLOOKUP($B17,OverallResults!$B$3:$BB$492,9,FALSE),"")</f>
        <v>00:03:15.7 (10)</v>
      </c>
      <c r="K17" s="57" t="str">
        <f>IFERROR(VLOOKUP($B17,OverallResults!$B$3:$BB$492,10,FALSE),"")</f>
        <v>00:03:42.8 (24)</v>
      </c>
      <c r="L17" s="57" t="str">
        <f>IFERROR(VLOOKUP($B17,OverallResults!$B$3:$BB$492,11,FALSE),"")</f>
        <v>00:01:58.5 (7)</v>
      </c>
      <c r="M17" s="57" t="str">
        <f>IFERROR(VLOOKUP($B17,OverallResults!$B$3:$BB$492,12,FALSE),"")</f>
        <v>00:03:56.2 (13)</v>
      </c>
      <c r="N17" s="57" t="str">
        <f>IFERROR(VLOOKUP($B17,OverallResults!$B$3:$BB$492,13,FALSE),"")</f>
        <v>00:04:55.6 (13)</v>
      </c>
      <c r="O17" s="58" t="str">
        <f>IFERROR(VLOOKUP($B17,OverallResults!$B$3:$BB$492,14,FALSE),"")</f>
        <v>DNS/DNF ()</v>
      </c>
      <c r="P17" s="58" t="str">
        <f>IFERROR(VLOOKUP($B17,OverallResults!$B$3:$BB$492,15,FALSE),"")</f>
        <v>DNS/DNF ()</v>
      </c>
      <c r="Q17" s="58" t="str">
        <f>IFERROR(VLOOKUP($B17,OverallResults!$B$3:$BB$492,16,FALSE),"")</f>
        <v>DNS/DNF ()</v>
      </c>
      <c r="R17" s="58" t="str">
        <f>IFERROR(VLOOKUP($B17,OverallResults!$B$3:$BB$492,17,FALSE),"")</f>
        <v>00:17:48.827</v>
      </c>
      <c r="S17" s="170" t="str">
        <f t="shared" si="0"/>
        <v>00:05</v>
      </c>
      <c r="T17" s="170" t="str">
        <f t="shared" si="1"/>
        <v>00:59</v>
      </c>
      <c r="U17" s="361">
        <f>IFERROR(VLOOKUP($D17,EntryList!$B$3:$S$291,18,FALSE),"")</f>
        <v>0</v>
      </c>
      <c r="V17" s="361">
        <f>IFERROR(VLOOKUP($D17,EntryList!$B$3:$S$291,17,FALSE),"")</f>
        <v>0</v>
      </c>
    </row>
    <row r="18" spans="2:22">
      <c r="B18" s="59">
        <v>13</v>
      </c>
      <c r="C18" s="59">
        <f>IFERROR(VLOOKUP($B18,OverallResults!$B$3:$Z$508,2,FALSE),"")</f>
        <v>3</v>
      </c>
      <c r="D18" s="90" t="str">
        <f>IFERROR(VLOOKUP($B18,OverallResults!$B$3:$Z$508,3,FALSE),"")</f>
        <v>Dane Olsen</v>
      </c>
      <c r="E18" s="54">
        <f>IFERROR(VLOOKUP(C18,SeriesPoints!$A$2:$B$51,2,FALSE),"")</f>
        <v>150</v>
      </c>
      <c r="F18" s="100" t="str">
        <f>IFERROR(VLOOKUP($D18,EntryList!$B$3:$V$291,21,FALSE),"")</f>
        <v>-</v>
      </c>
      <c r="G18" s="100" t="str">
        <f>IFERROR(VLOOKUP($D18,EntryList!$B$3:$N$596,5,FALSE),"")</f>
        <v>M</v>
      </c>
      <c r="H18" s="145" t="str">
        <f>IFERROR(VLOOKUP($D18,EntryList!$B$3:$N$596,6,FALSE),"")</f>
        <v>Master Men</v>
      </c>
      <c r="I18" s="59">
        <f>IFERROR(VLOOKUP($B18,OverallResults!$B$3:$Z$492,8,FALSE),"")</f>
        <v>5</v>
      </c>
      <c r="J18" s="57" t="str">
        <f>IFERROR(VLOOKUP($B18,OverallResults!$B$3:$BB$492,9,FALSE),"")</f>
        <v>00:03:28.5 (19)</v>
      </c>
      <c r="K18" s="57" t="str">
        <f>IFERROR(VLOOKUP($B18,OverallResults!$B$3:$BB$492,10,FALSE),"")</f>
        <v>00:03:35.7 (12)</v>
      </c>
      <c r="L18" s="57" t="str">
        <f>IFERROR(VLOOKUP($B18,OverallResults!$B$3:$BB$492,11,FALSE),"")</f>
        <v>00:02:00.9 (16)</v>
      </c>
      <c r="M18" s="57" t="str">
        <f>IFERROR(VLOOKUP($B18,OverallResults!$B$3:$BB$492,12,FALSE),"")</f>
        <v>00:03:55.4 (11)</v>
      </c>
      <c r="N18" s="57" t="str">
        <f>IFERROR(VLOOKUP($B18,OverallResults!$B$3:$BB$492,13,FALSE),"")</f>
        <v>00:05:02.7 (20)</v>
      </c>
      <c r="O18" s="58" t="str">
        <f>IFERROR(VLOOKUP($B18,OverallResults!$B$3:$BB$492,14,FALSE),"")</f>
        <v>DNS/DNF ()</v>
      </c>
      <c r="P18" s="58" t="str">
        <f>IFERROR(VLOOKUP($B18,OverallResults!$B$3:$BB$492,15,FALSE),"")</f>
        <v>DNS/DNF ()</v>
      </c>
      <c r="Q18" s="58" t="str">
        <f>IFERROR(VLOOKUP($B18,OverallResults!$B$3:$BB$492,16,FALSE),"")</f>
        <v>DNS/DNF ()</v>
      </c>
      <c r="R18" s="58" t="str">
        <f>IFERROR(VLOOKUP($B18,OverallResults!$B$3:$BB$492,17,FALSE),"")</f>
        <v>00:18:03.176</v>
      </c>
      <c r="S18" s="170" t="str">
        <f t="shared" si="0"/>
        <v>00:14</v>
      </c>
      <c r="T18" s="170" t="str">
        <f t="shared" si="1"/>
        <v>01:13</v>
      </c>
      <c r="U18" s="361">
        <f>IFERROR(VLOOKUP($D18,EntryList!$B$3:$S$291,18,FALSE),"")</f>
        <v>0</v>
      </c>
      <c r="V18" s="361">
        <f>IFERROR(VLOOKUP($D18,EntryList!$B$3:$S$291,17,FALSE),"")</f>
        <v>0</v>
      </c>
    </row>
    <row r="19" spans="2:22">
      <c r="B19" s="59">
        <v>14</v>
      </c>
      <c r="C19" s="59">
        <f>IFERROR(VLOOKUP($B19,OverallResults!$B$3:$Z$508,2,FALSE),"")</f>
        <v>5</v>
      </c>
      <c r="D19" s="90" t="str">
        <f>IFERROR(VLOOKUP($B19,OverallResults!$B$3:$Z$508,3,FALSE),"")</f>
        <v>Johan Van Zyl</v>
      </c>
      <c r="E19" s="54">
        <f>IFERROR(VLOOKUP(C19,SeriesPoints!$A$2:$B$51,2,FALSE),"")</f>
        <v>125</v>
      </c>
      <c r="F19" s="100" t="str">
        <f>IFERROR(VLOOKUP($D19,EntryList!$B$3:$V$291,21,FALSE),"")</f>
        <v>-</v>
      </c>
      <c r="G19" s="100" t="str">
        <f>IFERROR(VLOOKUP($D19,EntryList!$B$3:$N$596,5,FALSE),"")</f>
        <v>M</v>
      </c>
      <c r="H19" s="145" t="str">
        <f>IFERROR(VLOOKUP($D19,EntryList!$B$3:$N$596,6,FALSE),"")</f>
        <v>Elite Men</v>
      </c>
      <c r="I19" s="59">
        <f>IFERROR(VLOOKUP($B19,OverallResults!$B$3:$Z$492,8,FALSE),"")</f>
        <v>5</v>
      </c>
      <c r="J19" s="57" t="str">
        <f>IFERROR(VLOOKUP($B19,OverallResults!$B$3:$BB$492,9,FALSE),"")</f>
        <v>00:03:23.9 (17)</v>
      </c>
      <c r="K19" s="57" t="str">
        <f>IFERROR(VLOOKUP($B19,OverallResults!$B$3:$BB$492,10,FALSE),"")</f>
        <v>00:03:38.4 (18)</v>
      </c>
      <c r="L19" s="57" t="str">
        <f>IFERROR(VLOOKUP($B19,OverallResults!$B$3:$BB$492,11,FALSE),"")</f>
        <v>00:02:06.7 (32)</v>
      </c>
      <c r="M19" s="57" t="str">
        <f>IFERROR(VLOOKUP($B19,OverallResults!$B$3:$BB$492,12,FALSE),"")</f>
        <v>00:04:00.4 (20)</v>
      </c>
      <c r="N19" s="57" t="str">
        <f>IFERROR(VLOOKUP($B19,OverallResults!$B$3:$BB$492,13,FALSE),"")</f>
        <v>00:04:54.9 (11)</v>
      </c>
      <c r="O19" s="58" t="str">
        <f>IFERROR(VLOOKUP($B19,OverallResults!$B$3:$BB$492,14,FALSE),"")</f>
        <v>DNS/DNF ()</v>
      </c>
      <c r="P19" s="58" t="str">
        <f>IFERROR(VLOOKUP($B19,OverallResults!$B$3:$BB$492,15,FALSE),"")</f>
        <v>DNS/DNF ()</v>
      </c>
      <c r="Q19" s="58" t="str">
        <f>IFERROR(VLOOKUP($B19,OverallResults!$B$3:$BB$492,16,FALSE),"")</f>
        <v>DNS/DNF ()</v>
      </c>
      <c r="R19" s="58" t="str">
        <f>IFERROR(VLOOKUP($B19,OverallResults!$B$3:$BB$492,17,FALSE),"")</f>
        <v>00:18:04.251</v>
      </c>
      <c r="S19" s="170" t="str">
        <f t="shared" si="0"/>
        <v>00:01</v>
      </c>
      <c r="T19" s="170" t="str">
        <f t="shared" si="1"/>
        <v>01:14</v>
      </c>
      <c r="U19" s="361">
        <f>IFERROR(VLOOKUP($D19,EntryList!$B$3:$S$291,18,FALSE),"")</f>
        <v>0</v>
      </c>
      <c r="V19" s="361">
        <f>IFERROR(VLOOKUP($D19,EntryList!$B$3:$S$291,17,FALSE),"")</f>
        <v>0</v>
      </c>
    </row>
    <row r="20" spans="2:22">
      <c r="B20" s="59">
        <v>15</v>
      </c>
      <c r="C20" s="59">
        <f>IFERROR(VLOOKUP($B20,OverallResults!$B$3:$Z$508,2,FALSE),"")</f>
        <v>2</v>
      </c>
      <c r="D20" s="90" t="str">
        <f>IFERROR(VLOOKUP($B20,OverallResults!$B$3:$Z$508,3,FALSE),"")</f>
        <v>Henning Venter</v>
      </c>
      <c r="E20" s="54">
        <f>IFERROR(VLOOKUP(C20,SeriesPoints!$A$2:$B$51,2,FALSE),"")</f>
        <v>170</v>
      </c>
      <c r="F20" s="100" t="str">
        <f>IFERROR(VLOOKUP($D20,EntryList!$B$3:$V$291,21,FALSE),"")</f>
        <v>-</v>
      </c>
      <c r="G20" s="100" t="str">
        <f>IFERROR(VLOOKUP($D20,EntryList!$B$3:$N$596,5,FALSE),"")</f>
        <v>M</v>
      </c>
      <c r="H20" s="145" t="str">
        <f>IFERROR(VLOOKUP($D20,EntryList!$B$3:$N$596,6,FALSE),"")</f>
        <v>Junior Men</v>
      </c>
      <c r="I20" s="59">
        <f>IFERROR(VLOOKUP($B20,OverallResults!$B$3:$Z$492,8,FALSE),"")</f>
        <v>5</v>
      </c>
      <c r="J20" s="57" t="str">
        <f>IFERROR(VLOOKUP($B20,OverallResults!$B$3:$BB$492,9,FALSE),"")</f>
        <v>00:03:31.4 (24)</v>
      </c>
      <c r="K20" s="57" t="str">
        <f>IFERROR(VLOOKUP($B20,OverallResults!$B$3:$BB$492,10,FALSE),"")</f>
        <v>00:03:38.6 (19)</v>
      </c>
      <c r="L20" s="57" t="str">
        <f>IFERROR(VLOOKUP($B20,OverallResults!$B$3:$BB$492,11,FALSE),"")</f>
        <v>00:02:03.0 (19)</v>
      </c>
      <c r="M20" s="57" t="str">
        <f>IFERROR(VLOOKUP($B20,OverallResults!$B$3:$BB$492,12,FALSE),"")</f>
        <v>00:04:00.3 (19)</v>
      </c>
      <c r="N20" s="57" t="str">
        <f>IFERROR(VLOOKUP($B20,OverallResults!$B$3:$BB$492,13,FALSE),"")</f>
        <v>00:05:00.3 (14)</v>
      </c>
      <c r="O20" s="58" t="str">
        <f>IFERROR(VLOOKUP($B20,OverallResults!$B$3:$BB$492,14,FALSE),"")</f>
        <v>DNS/DNF ()</v>
      </c>
      <c r="P20" s="58" t="str">
        <f>IFERROR(VLOOKUP($B20,OverallResults!$B$3:$BB$492,15,FALSE),"")</f>
        <v>DNS/DNF ()</v>
      </c>
      <c r="Q20" s="58" t="str">
        <f>IFERROR(VLOOKUP($B20,OverallResults!$B$3:$BB$492,16,FALSE),"")</f>
        <v>DNS/DNF ()</v>
      </c>
      <c r="R20" s="58" t="str">
        <f>IFERROR(VLOOKUP($B20,OverallResults!$B$3:$BB$492,17,FALSE),"")</f>
        <v>00:18:13.619</v>
      </c>
      <c r="S20" s="170" t="str">
        <f t="shared" si="0"/>
        <v>00:09</v>
      </c>
      <c r="T20" s="170" t="str">
        <f t="shared" si="1"/>
        <v>01:24</v>
      </c>
      <c r="U20" s="361">
        <f>IFERROR(VLOOKUP($D20,EntryList!$B$3:$S$291,18,FALSE),"")</f>
        <v>0</v>
      </c>
      <c r="V20" s="361">
        <f>IFERROR(VLOOKUP($D20,EntryList!$B$3:$S$291,17,FALSE),"")</f>
        <v>0</v>
      </c>
    </row>
    <row r="21" spans="2:22">
      <c r="B21" s="59">
        <v>16</v>
      </c>
      <c r="C21" s="59">
        <f>IFERROR(VLOOKUP($B21,OverallResults!$B$3:$Z$508,2,FALSE),"")</f>
        <v>2</v>
      </c>
      <c r="D21" s="90" t="str">
        <f>IFERROR(VLOOKUP($B21,OverallResults!$B$3:$Z$508,3,FALSE),"")</f>
        <v>Fourie Van Wyk</v>
      </c>
      <c r="E21" s="54">
        <f>IFERROR(VLOOKUP(C21,SeriesPoints!$A$2:$B$51,2,FALSE),"")</f>
        <v>170</v>
      </c>
      <c r="F21" s="100" t="str">
        <f>IFERROR(VLOOKUP($D21,EntryList!$B$3:$V$291,21,FALSE),"")</f>
        <v>-</v>
      </c>
      <c r="G21" s="100" t="str">
        <f>IFERROR(VLOOKUP($D21,EntryList!$B$3:$N$596,5,FALSE),"")</f>
        <v>M</v>
      </c>
      <c r="H21" s="145" t="str">
        <f>IFERROR(VLOOKUP($D21,EntryList!$B$3:$N$596,6,FALSE),"")</f>
        <v>Youth Men</v>
      </c>
      <c r="I21" s="59">
        <f>IFERROR(VLOOKUP($B21,OverallResults!$B$3:$Z$492,8,FALSE),"")</f>
        <v>5</v>
      </c>
      <c r="J21" s="57" t="str">
        <f>IFERROR(VLOOKUP($B21,OverallResults!$B$3:$BB$492,9,FALSE),"")</f>
        <v>00:03:18.4 (14)</v>
      </c>
      <c r="K21" s="57" t="str">
        <f>IFERROR(VLOOKUP($B21,OverallResults!$B$3:$BB$492,10,FALSE),"")</f>
        <v>00:03:49.8 (35)</v>
      </c>
      <c r="L21" s="57" t="str">
        <f>IFERROR(VLOOKUP($B21,OverallResults!$B$3:$BB$492,11,FALSE),"")</f>
        <v>00:02:00.6 (15)</v>
      </c>
      <c r="M21" s="57" t="str">
        <f>IFERROR(VLOOKUP($B21,OverallResults!$B$3:$BB$492,12,FALSE),"")</f>
        <v>00:04:04.9 (22)</v>
      </c>
      <c r="N21" s="57" t="str">
        <f>IFERROR(VLOOKUP($B21,OverallResults!$B$3:$BB$492,13,FALSE),"")</f>
        <v>00:05:07.3 (26)</v>
      </c>
      <c r="O21" s="58" t="str">
        <f>IFERROR(VLOOKUP($B21,OverallResults!$B$3:$BB$492,14,FALSE),"")</f>
        <v>DNS/DNF ()</v>
      </c>
      <c r="P21" s="58" t="str">
        <f>IFERROR(VLOOKUP($B21,OverallResults!$B$3:$BB$492,15,FALSE),"")</f>
        <v>DNS/DNF ()</v>
      </c>
      <c r="Q21" s="58" t="str">
        <f>IFERROR(VLOOKUP($B21,OverallResults!$B$3:$BB$492,16,FALSE),"")</f>
        <v>DNS/DNF ()</v>
      </c>
      <c r="R21" s="58" t="str">
        <f>IFERROR(VLOOKUP($B21,OverallResults!$B$3:$BB$492,17,FALSE),"")</f>
        <v>00:18:20.939</v>
      </c>
      <c r="S21" s="170" t="str">
        <f t="shared" si="0"/>
        <v>00:07</v>
      </c>
      <c r="T21" s="170" t="str">
        <f t="shared" si="1"/>
        <v>01:31</v>
      </c>
      <c r="U21" s="361">
        <f>IFERROR(VLOOKUP($D21,EntryList!$B$3:$S$291,18,FALSE),"")</f>
        <v>0</v>
      </c>
      <c r="V21" s="361">
        <f>IFERROR(VLOOKUP($D21,EntryList!$B$3:$S$291,17,FALSE),"")</f>
        <v>0</v>
      </c>
    </row>
    <row r="22" spans="2:22">
      <c r="B22" s="59">
        <v>17</v>
      </c>
      <c r="C22" s="59">
        <f>IFERROR(VLOOKUP($B22,OverallResults!$B$3:$Z$508,2,FALSE),"")</f>
        <v>6</v>
      </c>
      <c r="D22" s="90" t="str">
        <f>IFERROR(VLOOKUP($B22,OverallResults!$B$3:$Z$508,3,FALSE),"")</f>
        <v>Samuel Courts</v>
      </c>
      <c r="E22" s="54">
        <f>IFERROR(VLOOKUP(C22,SeriesPoints!$A$2:$B$51,2,FALSE),"")</f>
        <v>120</v>
      </c>
      <c r="F22" s="100" t="str">
        <f>IFERROR(VLOOKUP($D22,EntryList!$B$3:$V$291,21,FALSE),"")</f>
        <v>-</v>
      </c>
      <c r="G22" s="100" t="str">
        <f>IFERROR(VLOOKUP($D22,EntryList!$B$3:$N$596,5,FALSE),"")</f>
        <v>M</v>
      </c>
      <c r="H22" s="145" t="str">
        <f>IFERROR(VLOOKUP($D22,EntryList!$B$3:$N$596,6,FALSE),"")</f>
        <v>Elite Men</v>
      </c>
      <c r="I22" s="59">
        <f>IFERROR(VLOOKUP($B22,OverallResults!$B$3:$Z$492,8,FALSE),"")</f>
        <v>5</v>
      </c>
      <c r="J22" s="57" t="str">
        <f>IFERROR(VLOOKUP($B22,OverallResults!$B$3:$BB$492,9,FALSE),"")</f>
        <v>00:03:33.7 (27)</v>
      </c>
      <c r="K22" s="57" t="str">
        <f>IFERROR(VLOOKUP($B22,OverallResults!$B$3:$BB$492,10,FALSE),"")</f>
        <v>00:03:36.8 (15)</v>
      </c>
      <c r="L22" s="57" t="str">
        <f>IFERROR(VLOOKUP($B22,OverallResults!$B$3:$BB$492,11,FALSE),"")</f>
        <v>00:02:03.1 (20)</v>
      </c>
      <c r="M22" s="57" t="str">
        <f>IFERROR(VLOOKUP($B22,OverallResults!$B$3:$BB$492,12,FALSE),"")</f>
        <v>00:04:07.0 (25)</v>
      </c>
      <c r="N22" s="57" t="str">
        <f>IFERROR(VLOOKUP($B22,OverallResults!$B$3:$BB$492,13,FALSE),"")</f>
        <v>00:05:02.1 (19)</v>
      </c>
      <c r="O22" s="58" t="str">
        <f>IFERROR(VLOOKUP($B22,OverallResults!$B$3:$BB$492,14,FALSE),"")</f>
        <v>DNS/DNF ()</v>
      </c>
      <c r="P22" s="58" t="str">
        <f>IFERROR(VLOOKUP($B22,OverallResults!$B$3:$BB$492,15,FALSE),"")</f>
        <v>DNS/DNF ()</v>
      </c>
      <c r="Q22" s="58" t="str">
        <f>IFERROR(VLOOKUP($B22,OverallResults!$B$3:$BB$492,16,FALSE),"")</f>
        <v>DNS/DNF ()</v>
      </c>
      <c r="R22" s="58" t="str">
        <f>IFERROR(VLOOKUP($B22,OverallResults!$B$3:$BB$492,17,FALSE),"")</f>
        <v>00:18:22.662</v>
      </c>
      <c r="S22" s="170" t="str">
        <f t="shared" si="0"/>
        <v>00:02</v>
      </c>
      <c r="T22" s="170" t="str">
        <f t="shared" si="1"/>
        <v>01:33</v>
      </c>
      <c r="U22" s="361">
        <f>IFERROR(VLOOKUP($D22,EntryList!$B$3:$S$291,18,FALSE),"")</f>
        <v>0</v>
      </c>
      <c r="V22" s="361">
        <f>IFERROR(VLOOKUP($D22,EntryList!$B$3:$S$291,17,FALSE),"")</f>
        <v>0</v>
      </c>
    </row>
    <row r="23" spans="2:22">
      <c r="B23" s="59">
        <v>18</v>
      </c>
      <c r="C23" s="59">
        <f>IFERROR(VLOOKUP($B23,OverallResults!$B$3:$Z$508,2,FALSE),"")</f>
        <v>3</v>
      </c>
      <c r="D23" s="90" t="str">
        <f>IFERROR(VLOOKUP($B23,OverallResults!$B$3:$Z$508,3,FALSE),"")</f>
        <v>Samuel Cleary</v>
      </c>
      <c r="E23" s="54">
        <f>IFERROR(VLOOKUP(C23,SeriesPoints!$A$2:$B$51,2,FALSE),"")</f>
        <v>150</v>
      </c>
      <c r="F23" s="100" t="str">
        <f>IFERROR(VLOOKUP($D23,EntryList!$B$3:$V$291,21,FALSE),"")</f>
        <v>-</v>
      </c>
      <c r="G23" s="100" t="str">
        <f>IFERROR(VLOOKUP($D23,EntryList!$B$3:$N$596,5,FALSE),"")</f>
        <v>M</v>
      </c>
      <c r="H23" s="145" t="str">
        <f>IFERROR(VLOOKUP($D23,EntryList!$B$3:$N$596,6,FALSE),"")</f>
        <v>Youth Men</v>
      </c>
      <c r="I23" s="59">
        <f>IFERROR(VLOOKUP($B23,OverallResults!$B$3:$Z$492,8,FALSE),"")</f>
        <v>5</v>
      </c>
      <c r="J23" s="57" t="str">
        <f>IFERROR(VLOOKUP($B23,OverallResults!$B$3:$BB$492,9,FALSE),"")</f>
        <v>00:03:38.3 (32)</v>
      </c>
      <c r="K23" s="57" t="str">
        <f>IFERROR(VLOOKUP($B23,OverallResults!$B$3:$BB$492,10,FALSE),"")</f>
        <v>00:03:41.5 (20)</v>
      </c>
      <c r="L23" s="57" t="str">
        <f>IFERROR(VLOOKUP($B23,OverallResults!$B$3:$BB$492,11,FALSE),"")</f>
        <v>00:02:05.1 (25)</v>
      </c>
      <c r="M23" s="57" t="str">
        <f>IFERROR(VLOOKUP($B23,OverallResults!$B$3:$BB$492,12,FALSE),"")</f>
        <v>00:04:00.2 (18)</v>
      </c>
      <c r="N23" s="57" t="str">
        <f>IFERROR(VLOOKUP($B23,OverallResults!$B$3:$BB$492,13,FALSE),"")</f>
        <v>00:05:00.6 (15)</v>
      </c>
      <c r="O23" s="58" t="str">
        <f>IFERROR(VLOOKUP($B23,OverallResults!$B$3:$BB$492,14,FALSE),"")</f>
        <v>DNS/DNF ()</v>
      </c>
      <c r="P23" s="58" t="str">
        <f>IFERROR(VLOOKUP($B23,OverallResults!$B$3:$BB$492,15,FALSE),"")</f>
        <v>DNS/DNF ()</v>
      </c>
      <c r="Q23" s="58" t="str">
        <f>IFERROR(VLOOKUP($B23,OverallResults!$B$3:$BB$492,16,FALSE),"")</f>
        <v>DNS/DNF ()</v>
      </c>
      <c r="R23" s="58" t="str">
        <f>IFERROR(VLOOKUP($B23,OverallResults!$B$3:$BB$492,17,FALSE),"")</f>
        <v>00:18:25.604</v>
      </c>
      <c r="S23" s="170" t="str">
        <f t="shared" si="0"/>
        <v>00:03</v>
      </c>
      <c r="T23" s="170" t="str">
        <f t="shared" si="1"/>
        <v>01:36</v>
      </c>
      <c r="U23" s="361">
        <f>IFERROR(VLOOKUP($D23,EntryList!$B$3:$S$291,18,FALSE),"")</f>
        <v>0</v>
      </c>
      <c r="V23" s="361">
        <f>IFERROR(VLOOKUP($D23,EntryList!$B$3:$S$291,17,FALSE),"")</f>
        <v>0</v>
      </c>
    </row>
    <row r="24" spans="2:22">
      <c r="B24" s="59">
        <v>19</v>
      </c>
      <c r="C24" s="59">
        <f>IFERROR(VLOOKUP($B24,OverallResults!$B$3:$Z$508,2,FALSE),"")</f>
        <v>4</v>
      </c>
      <c r="D24" s="90" t="str">
        <f>IFERROR(VLOOKUP($B24,OverallResults!$B$3:$Z$508,3,FALSE),"")</f>
        <v>Ethan Hunter</v>
      </c>
      <c r="E24" s="54">
        <f>IFERROR(VLOOKUP(C24,SeriesPoints!$A$2:$B$51,2,FALSE),"")</f>
        <v>135</v>
      </c>
      <c r="F24" s="100" t="str">
        <f>IFERROR(VLOOKUP($D24,EntryList!$B$3:$V$291,21,FALSE),"")</f>
        <v>-</v>
      </c>
      <c r="G24" s="100" t="str">
        <f>IFERROR(VLOOKUP($D24,EntryList!$B$3:$N$596,5,FALSE),"")</f>
        <v>M</v>
      </c>
      <c r="H24" s="145" t="str">
        <f>IFERROR(VLOOKUP($D24,EntryList!$B$3:$N$596,6,FALSE),"")</f>
        <v>Youth Men</v>
      </c>
      <c r="I24" s="59">
        <f>IFERROR(VLOOKUP($B24,OverallResults!$B$3:$Z$492,8,FALSE),"")</f>
        <v>5</v>
      </c>
      <c r="J24" s="57" t="str">
        <f>IFERROR(VLOOKUP($B24,OverallResults!$B$3:$BB$492,9,FALSE),"")</f>
        <v>00:03:38.6 (33)</v>
      </c>
      <c r="K24" s="57" t="str">
        <f>IFERROR(VLOOKUP($B24,OverallResults!$B$3:$BB$492,10,FALSE),"")</f>
        <v>00:03:41.7 (21)</v>
      </c>
      <c r="L24" s="57" t="str">
        <f>IFERROR(VLOOKUP($B24,OverallResults!$B$3:$BB$492,11,FALSE),"")</f>
        <v>00:02:01.6 (17)</v>
      </c>
      <c r="M24" s="57" t="str">
        <f>IFERROR(VLOOKUP($B24,OverallResults!$B$3:$BB$492,12,FALSE),"")</f>
        <v>00:04:07.1 (26)</v>
      </c>
      <c r="N24" s="57" t="str">
        <f>IFERROR(VLOOKUP($B24,OverallResults!$B$3:$BB$492,13,FALSE),"")</f>
        <v>00:05:06.6 (25)</v>
      </c>
      <c r="O24" s="58" t="str">
        <f>IFERROR(VLOOKUP($B24,OverallResults!$B$3:$BB$492,14,FALSE),"")</f>
        <v>DNS/DNF ()</v>
      </c>
      <c r="P24" s="58" t="str">
        <f>IFERROR(VLOOKUP($B24,OverallResults!$B$3:$BB$492,15,FALSE),"")</f>
        <v>DNS/DNF ()</v>
      </c>
      <c r="Q24" s="58" t="str">
        <f>IFERROR(VLOOKUP($B24,OverallResults!$B$3:$BB$492,16,FALSE),"")</f>
        <v>DNS/DNF ()</v>
      </c>
      <c r="R24" s="58" t="str">
        <f>IFERROR(VLOOKUP($B24,OverallResults!$B$3:$BB$492,17,FALSE),"")</f>
        <v>00:18:35.568</v>
      </c>
      <c r="S24" s="170" t="str">
        <f t="shared" si="0"/>
        <v>00:10</v>
      </c>
      <c r="T24" s="170" t="str">
        <f t="shared" si="1"/>
        <v>01:46</v>
      </c>
      <c r="U24" s="361">
        <f>IFERROR(VLOOKUP($D24,EntryList!$B$3:$S$291,18,FALSE),"")</f>
        <v>0</v>
      </c>
      <c r="V24" s="361">
        <f>IFERROR(VLOOKUP($D24,EntryList!$B$3:$S$291,17,FALSE),"")</f>
        <v>0</v>
      </c>
    </row>
    <row r="25" spans="2:22">
      <c r="B25" s="59">
        <v>20</v>
      </c>
      <c r="C25" s="59">
        <f>IFERROR(VLOOKUP($B25,OverallResults!$B$3:$Z$508,2,FALSE),"")</f>
        <v>7</v>
      </c>
      <c r="D25" s="90" t="str">
        <f>IFERROR(VLOOKUP($B25,OverallResults!$B$3:$Z$508,3,FALSE),"")</f>
        <v>Juri De Bruyn</v>
      </c>
      <c r="E25" s="54">
        <f>IFERROR(VLOOKUP(C25,SeriesPoints!$A$2:$B$51,2,FALSE),"")</f>
        <v>115</v>
      </c>
      <c r="F25" s="100" t="str">
        <f>IFERROR(VLOOKUP($D25,EntryList!$B$3:$V$291,21,FALSE),"")</f>
        <v>-</v>
      </c>
      <c r="G25" s="100" t="str">
        <f>IFERROR(VLOOKUP($D25,EntryList!$B$3:$N$596,5,FALSE),"")</f>
        <v>M</v>
      </c>
      <c r="H25" s="145" t="str">
        <f>IFERROR(VLOOKUP($D25,EntryList!$B$3:$N$596,6,FALSE),"")</f>
        <v>Elite Men</v>
      </c>
      <c r="I25" s="59">
        <f>IFERROR(VLOOKUP($B25,OverallResults!$B$3:$Z$492,8,FALSE),"")</f>
        <v>5</v>
      </c>
      <c r="J25" s="57" t="str">
        <f>IFERROR(VLOOKUP($B25,OverallResults!$B$3:$BB$492,9,FALSE),"")</f>
        <v>00:03:34.6 (29)</v>
      </c>
      <c r="K25" s="57" t="str">
        <f>IFERROR(VLOOKUP($B25,OverallResults!$B$3:$BB$492,10,FALSE),"")</f>
        <v>00:03:42.9 (25)</v>
      </c>
      <c r="L25" s="57" t="str">
        <f>IFERROR(VLOOKUP($B25,OverallResults!$B$3:$BB$492,11,FALSE),"")</f>
        <v>00:02:04.7 (24)</v>
      </c>
      <c r="M25" s="57" t="str">
        <f>IFERROR(VLOOKUP($B25,OverallResults!$B$3:$BB$492,12,FALSE),"")</f>
        <v>00:04:13.9 (35)</v>
      </c>
      <c r="N25" s="57" t="str">
        <f>IFERROR(VLOOKUP($B25,OverallResults!$B$3:$BB$492,13,FALSE),"")</f>
        <v>00:05:03.3 (22)</v>
      </c>
      <c r="O25" s="58" t="str">
        <f>IFERROR(VLOOKUP($B25,OverallResults!$B$3:$BB$492,14,FALSE),"")</f>
        <v>DNS/DNF ()</v>
      </c>
      <c r="P25" s="58" t="str">
        <f>IFERROR(VLOOKUP($B25,OverallResults!$B$3:$BB$492,15,FALSE),"")</f>
        <v>DNS/DNF ()</v>
      </c>
      <c r="Q25" s="58" t="str">
        <f>IFERROR(VLOOKUP($B25,OverallResults!$B$3:$BB$492,16,FALSE),"")</f>
        <v>DNS/DNF ()</v>
      </c>
      <c r="R25" s="58" t="str">
        <f>IFERROR(VLOOKUP($B25,OverallResults!$B$3:$BB$492,17,FALSE),"")</f>
        <v>00:18:39.509</v>
      </c>
      <c r="S25" s="170" t="str">
        <f t="shared" si="0"/>
        <v>00:04</v>
      </c>
      <c r="T25" s="170" t="str">
        <f t="shared" si="1"/>
        <v>01:49</v>
      </c>
      <c r="U25" s="361">
        <f>IFERROR(VLOOKUP($D25,EntryList!$B$3:$S$291,18,FALSE),"")</f>
        <v>0</v>
      </c>
      <c r="V25" s="361">
        <f>IFERROR(VLOOKUP($D25,EntryList!$B$3:$S$291,17,FALSE),"")</f>
        <v>0</v>
      </c>
    </row>
    <row r="26" spans="2:22">
      <c r="B26" s="59">
        <v>21</v>
      </c>
      <c r="C26" s="59">
        <f>IFERROR(VLOOKUP($B26,OverallResults!$B$3:$Z$508,2,FALSE),"")</f>
        <v>8</v>
      </c>
      <c r="D26" s="90" t="str">
        <f>IFERROR(VLOOKUP($B26,OverallResults!$B$3:$Z$508,3,FALSE),"")</f>
        <v>Alexander Ham</v>
      </c>
      <c r="E26" s="54">
        <f>IFERROR(VLOOKUP(C26,SeriesPoints!$A$2:$B$51,2,FALSE),"")</f>
        <v>110</v>
      </c>
      <c r="F26" s="100" t="str">
        <f>IFERROR(VLOOKUP($D26,EntryList!$B$3:$V$291,21,FALSE),"")</f>
        <v>-</v>
      </c>
      <c r="G26" s="100" t="str">
        <f>IFERROR(VLOOKUP($D26,EntryList!$B$3:$N$596,5,FALSE),"")</f>
        <v>M</v>
      </c>
      <c r="H26" s="145" t="str">
        <f>IFERROR(VLOOKUP($D26,EntryList!$B$3:$N$596,6,FALSE),"")</f>
        <v>Elite Men</v>
      </c>
      <c r="I26" s="59">
        <f>IFERROR(VLOOKUP($B26,OverallResults!$B$3:$Z$492,8,FALSE),"")</f>
        <v>5</v>
      </c>
      <c r="J26" s="57" t="str">
        <f>IFERROR(VLOOKUP($B26,OverallResults!$B$3:$BB$492,9,FALSE),"")</f>
        <v>00:04:00.6 (57)</v>
      </c>
      <c r="K26" s="57" t="str">
        <f>IFERROR(VLOOKUP($B26,OverallResults!$B$3:$BB$492,10,FALSE),"")</f>
        <v>00:03:32.5 (8)</v>
      </c>
      <c r="L26" s="57" t="str">
        <f>IFERROR(VLOOKUP($B26,OverallResults!$B$3:$BB$492,11,FALSE),"")</f>
        <v>00:02:05.5 (28)</v>
      </c>
      <c r="M26" s="57" t="str">
        <f>IFERROR(VLOOKUP($B26,OverallResults!$B$3:$BB$492,12,FALSE),"")</f>
        <v>00:03:58.8 (16)</v>
      </c>
      <c r="N26" s="57" t="str">
        <f>IFERROR(VLOOKUP($B26,OverallResults!$B$3:$BB$492,13,FALSE),"")</f>
        <v>00:05:02.9 (21)</v>
      </c>
      <c r="O26" s="58" t="str">
        <f>IFERROR(VLOOKUP($B26,OverallResults!$B$3:$BB$492,14,FALSE),"")</f>
        <v>DNS/DNF ()</v>
      </c>
      <c r="P26" s="58" t="str">
        <f>IFERROR(VLOOKUP($B26,OverallResults!$B$3:$BB$492,15,FALSE),"")</f>
        <v>DNS/DNF ()</v>
      </c>
      <c r="Q26" s="58" t="str">
        <f>IFERROR(VLOOKUP($B26,OverallResults!$B$3:$BB$492,16,FALSE),"")</f>
        <v>DNS/DNF ()</v>
      </c>
      <c r="R26" s="58" t="str">
        <f>IFERROR(VLOOKUP($B26,OverallResults!$B$3:$BB$492,17,FALSE),"")</f>
        <v>00:18:40.233</v>
      </c>
      <c r="S26" s="170" t="str">
        <f t="shared" si="0"/>
        <v>00:01</v>
      </c>
      <c r="T26" s="170" t="str">
        <f t="shared" si="1"/>
        <v>01:50</v>
      </c>
      <c r="U26" s="361">
        <f>IFERROR(VLOOKUP($D26,EntryList!$B$3:$S$291,18,FALSE),"")</f>
        <v>0</v>
      </c>
      <c r="V26" s="361">
        <f>IFERROR(VLOOKUP($D26,EntryList!$B$3:$S$291,17,FALSE),"")</f>
        <v>0</v>
      </c>
    </row>
    <row r="27" spans="2:22">
      <c r="B27" s="59">
        <v>22</v>
      </c>
      <c r="C27" s="59">
        <f>IFERROR(VLOOKUP($B27,OverallResults!$B$3:$Z$508,2,FALSE),"")</f>
        <v>9</v>
      </c>
      <c r="D27" s="90" t="str">
        <f>IFERROR(VLOOKUP($B27,OverallResults!$B$3:$Z$508,3,FALSE),"")</f>
        <v>Luca Ruwiel</v>
      </c>
      <c r="E27" s="54">
        <f>IFERROR(VLOOKUP(C27,SeriesPoints!$A$2:$B$51,2,FALSE),"")</f>
        <v>105</v>
      </c>
      <c r="F27" s="100" t="str">
        <f>IFERROR(VLOOKUP($D27,EntryList!$B$3:$V$291,21,FALSE),"")</f>
        <v>-</v>
      </c>
      <c r="G27" s="100" t="str">
        <f>IFERROR(VLOOKUP($D27,EntryList!$B$3:$N$596,5,FALSE),"")</f>
        <v>M</v>
      </c>
      <c r="H27" s="145" t="str">
        <f>IFERROR(VLOOKUP($D27,EntryList!$B$3:$N$596,6,FALSE),"")</f>
        <v>Elite Men</v>
      </c>
      <c r="I27" s="59">
        <f>IFERROR(VLOOKUP($B27,OverallResults!$B$3:$Z$492,8,FALSE),"")</f>
        <v>5</v>
      </c>
      <c r="J27" s="57" t="str">
        <f>IFERROR(VLOOKUP($B27,OverallResults!$B$3:$BB$492,9,FALSE),"")</f>
        <v>00:03:31.2 (23)</v>
      </c>
      <c r="K27" s="57" t="str">
        <f>IFERROR(VLOOKUP($B27,OverallResults!$B$3:$BB$492,10,FALSE),"")</f>
        <v>00:03:52.7 (44)</v>
      </c>
      <c r="L27" s="57" t="str">
        <f>IFERROR(VLOOKUP($B27,OverallResults!$B$3:$BB$492,11,FALSE),"")</f>
        <v>00:02:10.6 (47)</v>
      </c>
      <c r="M27" s="57" t="str">
        <f>IFERROR(VLOOKUP($B27,OverallResults!$B$3:$BB$492,12,FALSE),"")</f>
        <v>00:04:05.5 (23)</v>
      </c>
      <c r="N27" s="57" t="str">
        <f>IFERROR(VLOOKUP($B27,OverallResults!$B$3:$BB$492,13,FALSE),"")</f>
        <v>00:05:01.1 (16)</v>
      </c>
      <c r="O27" s="58" t="str">
        <f>IFERROR(VLOOKUP($B27,OverallResults!$B$3:$BB$492,14,FALSE),"")</f>
        <v>DNS/DNF ()</v>
      </c>
      <c r="P27" s="58" t="str">
        <f>IFERROR(VLOOKUP($B27,OverallResults!$B$3:$BB$492,15,FALSE),"")</f>
        <v>DNS/DNF ()</v>
      </c>
      <c r="Q27" s="58" t="str">
        <f>IFERROR(VLOOKUP($B27,OverallResults!$B$3:$BB$492,16,FALSE),"")</f>
        <v>DNS/DNF ()</v>
      </c>
      <c r="R27" s="58" t="str">
        <f>IFERROR(VLOOKUP($B27,OverallResults!$B$3:$BB$492,17,FALSE),"")</f>
        <v>00:18:41.083</v>
      </c>
      <c r="S27" s="170" t="str">
        <f t="shared" si="0"/>
        <v>00:01</v>
      </c>
      <c r="T27" s="170" t="str">
        <f t="shared" si="1"/>
        <v>01:51</v>
      </c>
      <c r="U27" s="361">
        <f>IFERROR(VLOOKUP($D27,EntryList!$B$3:$S$291,18,FALSE),"")</f>
        <v>0</v>
      </c>
      <c r="V27" s="361">
        <f>IFERROR(VLOOKUP($D27,EntryList!$B$3:$S$291,17,FALSE),"")</f>
        <v>0</v>
      </c>
    </row>
    <row r="28" spans="2:22">
      <c r="B28" s="59">
        <v>23</v>
      </c>
      <c r="C28" s="59">
        <f>IFERROR(VLOOKUP($B28,OverallResults!$B$3:$Z$508,2,FALSE),"")</f>
        <v>4</v>
      </c>
      <c r="D28" s="90" t="str">
        <f>IFERROR(VLOOKUP($B28,OverallResults!$B$3:$Z$508,3,FALSE),"")</f>
        <v>Henlu Starke</v>
      </c>
      <c r="E28" s="54">
        <f>IFERROR(VLOOKUP(C28,SeriesPoints!$A$2:$B$51,2,FALSE),"")</f>
        <v>135</v>
      </c>
      <c r="F28" s="100" t="str">
        <f>IFERROR(VLOOKUP($D28,EntryList!$B$3:$V$291,21,FALSE),"")</f>
        <v>-</v>
      </c>
      <c r="G28" s="100" t="str">
        <f>IFERROR(VLOOKUP($D28,EntryList!$B$3:$N$596,5,FALSE),"")</f>
        <v>M</v>
      </c>
      <c r="H28" s="145" t="str">
        <f>IFERROR(VLOOKUP($D28,EntryList!$B$3:$N$596,6,FALSE),"")</f>
        <v>Master Men</v>
      </c>
      <c r="I28" s="59">
        <f>IFERROR(VLOOKUP($B28,OverallResults!$B$3:$Z$492,8,FALSE),"")</f>
        <v>5</v>
      </c>
      <c r="J28" s="57" t="str">
        <f>IFERROR(VLOOKUP($B28,OverallResults!$B$3:$BB$492,9,FALSE),"")</f>
        <v>00:03:30.1 (21)</v>
      </c>
      <c r="K28" s="57" t="str">
        <f>IFERROR(VLOOKUP($B28,OverallResults!$B$3:$BB$492,10,FALSE),"")</f>
        <v>00:03:43.9 (26)</v>
      </c>
      <c r="L28" s="57" t="str">
        <f>IFERROR(VLOOKUP($B28,OverallResults!$B$3:$BB$492,11,FALSE),"")</f>
        <v>00:02:05.3 (27)</v>
      </c>
      <c r="M28" s="57" t="str">
        <f>IFERROR(VLOOKUP($B28,OverallResults!$B$3:$BB$492,12,FALSE),"")</f>
        <v>00:04:10.7 (31)</v>
      </c>
      <c r="N28" s="57" t="str">
        <f>IFERROR(VLOOKUP($B28,OverallResults!$B$3:$BB$492,13,FALSE),"")</f>
        <v>00:05:11.5 (36)</v>
      </c>
      <c r="O28" s="58" t="str">
        <f>IFERROR(VLOOKUP($B28,OverallResults!$B$3:$BB$492,14,FALSE),"")</f>
        <v>DNS/DNF ()</v>
      </c>
      <c r="P28" s="58" t="str">
        <f>IFERROR(VLOOKUP($B28,OverallResults!$B$3:$BB$492,15,FALSE),"")</f>
        <v>DNS/DNF ()</v>
      </c>
      <c r="Q28" s="58" t="str">
        <f>IFERROR(VLOOKUP($B28,OverallResults!$B$3:$BB$492,16,FALSE),"")</f>
        <v>DNS/DNF ()</v>
      </c>
      <c r="R28" s="58" t="str">
        <f>IFERROR(VLOOKUP($B28,OverallResults!$B$3:$BB$492,17,FALSE),"")</f>
        <v>00:18:41.518</v>
      </c>
      <c r="S28" s="170" t="str">
        <f t="shared" si="0"/>
        <v>00:00</v>
      </c>
      <c r="T28" s="170" t="str">
        <f t="shared" si="1"/>
        <v>01:51</v>
      </c>
      <c r="U28" s="361">
        <f>IFERROR(VLOOKUP($D28,EntryList!$B$3:$S$291,18,FALSE),"")</f>
        <v>0</v>
      </c>
      <c r="V28" s="361">
        <f>IFERROR(VLOOKUP($D28,EntryList!$B$3:$S$291,17,FALSE),"")</f>
        <v>0</v>
      </c>
    </row>
    <row r="29" spans="2:22">
      <c r="B29" s="59">
        <v>24</v>
      </c>
      <c r="C29" s="59">
        <f>IFERROR(VLOOKUP($B29,OverallResults!$B$3:$Z$508,2,FALSE),"")</f>
        <v>10</v>
      </c>
      <c r="D29" s="90" t="str">
        <f>IFERROR(VLOOKUP($B29,OverallResults!$B$3:$Z$508,3,FALSE),"")</f>
        <v>Brandon Willcocks</v>
      </c>
      <c r="E29" s="54">
        <f>IFERROR(VLOOKUP(C29,SeriesPoints!$A$2:$B$51,2,FALSE),"")</f>
        <v>100</v>
      </c>
      <c r="F29" s="100" t="str">
        <f>IFERROR(VLOOKUP($D29,EntryList!$B$3:$V$291,21,FALSE),"")</f>
        <v>-</v>
      </c>
      <c r="G29" s="100" t="str">
        <f>IFERROR(VLOOKUP($D29,EntryList!$B$3:$N$596,5,FALSE),"")</f>
        <v>M</v>
      </c>
      <c r="H29" s="145" t="str">
        <f>IFERROR(VLOOKUP($D29,EntryList!$B$3:$N$596,6,FALSE),"")</f>
        <v>Elite Men</v>
      </c>
      <c r="I29" s="59">
        <f>IFERROR(VLOOKUP($B29,OverallResults!$B$3:$Z$492,8,FALSE),"")</f>
        <v>5</v>
      </c>
      <c r="J29" s="57" t="str">
        <f>IFERROR(VLOOKUP($B29,OverallResults!$B$3:$BB$492,9,FALSE),"")</f>
        <v>00:03:34.7 (30)</v>
      </c>
      <c r="K29" s="57" t="str">
        <f>IFERROR(VLOOKUP($B29,OverallResults!$B$3:$BB$492,10,FALSE),"")</f>
        <v>00:03:50.6 (38)</v>
      </c>
      <c r="L29" s="57" t="str">
        <f>IFERROR(VLOOKUP($B29,OverallResults!$B$3:$BB$492,11,FALSE),"")</f>
        <v>00:02:10.0 (44)</v>
      </c>
      <c r="M29" s="57" t="str">
        <f>IFERROR(VLOOKUP($B29,OverallResults!$B$3:$BB$492,12,FALSE),"")</f>
        <v>00:04:04.9 (21)</v>
      </c>
      <c r="N29" s="57" t="str">
        <f>IFERROR(VLOOKUP($B29,OverallResults!$B$3:$BB$492,13,FALSE),"")</f>
        <v>00:05:05.0 (23)</v>
      </c>
      <c r="O29" s="58" t="str">
        <f>IFERROR(VLOOKUP($B29,OverallResults!$B$3:$BB$492,14,FALSE),"")</f>
        <v>DNS/DNF ()</v>
      </c>
      <c r="P29" s="58" t="str">
        <f>IFERROR(VLOOKUP($B29,OverallResults!$B$3:$BB$492,15,FALSE),"")</f>
        <v>DNS/DNF ()</v>
      </c>
      <c r="Q29" s="58" t="str">
        <f>IFERROR(VLOOKUP($B29,OverallResults!$B$3:$BB$492,16,FALSE),"")</f>
        <v>DNS/DNF ()</v>
      </c>
      <c r="R29" s="58" t="str">
        <f>IFERROR(VLOOKUP($B29,OverallResults!$B$3:$BB$492,17,FALSE),"")</f>
        <v>00:18:45.141</v>
      </c>
      <c r="S29" s="170" t="str">
        <f t="shared" si="0"/>
        <v>00:04</v>
      </c>
      <c r="T29" s="170" t="str">
        <f t="shared" si="1"/>
        <v>01:55</v>
      </c>
      <c r="U29" s="361">
        <f>IFERROR(VLOOKUP($D29,EntryList!$B$3:$S$291,18,FALSE),"")</f>
        <v>0</v>
      </c>
      <c r="V29" s="361">
        <f>IFERROR(VLOOKUP($D29,EntryList!$B$3:$S$291,17,FALSE),"")</f>
        <v>0</v>
      </c>
    </row>
    <row r="30" spans="2:22">
      <c r="B30" s="59">
        <v>25</v>
      </c>
      <c r="C30" s="59">
        <f>IFERROR(VLOOKUP($B30,OverallResults!$B$3:$Z$508,2,FALSE),"")</f>
        <v>3</v>
      </c>
      <c r="D30" s="90" t="str">
        <f>IFERROR(VLOOKUP($B30,OverallResults!$B$3:$Z$508,3,FALSE),"")</f>
        <v>Hendre De Villiers</v>
      </c>
      <c r="E30" s="54">
        <f>IFERROR(VLOOKUP(C30,SeriesPoints!$A$2:$B$51,2,FALSE),"")</f>
        <v>150</v>
      </c>
      <c r="F30" s="100" t="str">
        <f>IFERROR(VLOOKUP($D30,EntryList!$B$3:$V$291,21,FALSE),"")</f>
        <v>-</v>
      </c>
      <c r="G30" s="100" t="str">
        <f>IFERROR(VLOOKUP($D30,EntryList!$B$3:$N$596,5,FALSE),"")</f>
        <v>M</v>
      </c>
      <c r="H30" s="145" t="str">
        <f>IFERROR(VLOOKUP($D30,EntryList!$B$3:$N$596,6,FALSE),"")</f>
        <v>Junior Men</v>
      </c>
      <c r="I30" s="59">
        <f>IFERROR(VLOOKUP($B30,OverallResults!$B$3:$Z$492,8,FALSE),"")</f>
        <v>5</v>
      </c>
      <c r="J30" s="57" t="str">
        <f>IFERROR(VLOOKUP($B30,OverallResults!$B$3:$BB$492,9,FALSE),"")</f>
        <v>00:03:32.9 (25)</v>
      </c>
      <c r="K30" s="57" t="str">
        <f>IFERROR(VLOOKUP($B30,OverallResults!$B$3:$BB$492,10,FALSE),"")</f>
        <v>00:03:49.8 (36)</v>
      </c>
      <c r="L30" s="57" t="str">
        <f>IFERROR(VLOOKUP($B30,OverallResults!$B$3:$BB$492,11,FALSE),"")</f>
        <v>00:02:09.5 (42)</v>
      </c>
      <c r="M30" s="57" t="str">
        <f>IFERROR(VLOOKUP($B30,OverallResults!$B$3:$BB$492,12,FALSE),"")</f>
        <v>00:04:14.7 (36)</v>
      </c>
      <c r="N30" s="57" t="str">
        <f>IFERROR(VLOOKUP($B30,OverallResults!$B$3:$BB$492,13,FALSE),"")</f>
        <v>00:05:01.2 (17)</v>
      </c>
      <c r="O30" s="58" t="str">
        <f>IFERROR(VLOOKUP($B30,OverallResults!$B$3:$BB$492,14,FALSE),"")</f>
        <v>DNS/DNF ()</v>
      </c>
      <c r="P30" s="58" t="str">
        <f>IFERROR(VLOOKUP($B30,OverallResults!$B$3:$BB$492,15,FALSE),"")</f>
        <v>DNS/DNF ()</v>
      </c>
      <c r="Q30" s="58" t="str">
        <f>IFERROR(VLOOKUP($B30,OverallResults!$B$3:$BB$492,16,FALSE),"")</f>
        <v>DNS/DNF ()</v>
      </c>
      <c r="R30" s="58" t="str">
        <f>IFERROR(VLOOKUP($B30,OverallResults!$B$3:$BB$492,17,FALSE),"")</f>
        <v>00:18:48.131</v>
      </c>
      <c r="S30" s="170" t="str">
        <f t="shared" si="0"/>
        <v>00:03</v>
      </c>
      <c r="T30" s="170" t="str">
        <f t="shared" si="1"/>
        <v>01:58</v>
      </c>
      <c r="U30" s="361">
        <f>IFERROR(VLOOKUP($D30,EntryList!$B$3:$S$291,18,FALSE),"")</f>
        <v>0</v>
      </c>
      <c r="V30" s="361">
        <f>IFERROR(VLOOKUP($D30,EntryList!$B$3:$S$291,17,FALSE),"")</f>
        <v>0</v>
      </c>
    </row>
    <row r="31" spans="2:22">
      <c r="B31" s="59">
        <v>26</v>
      </c>
      <c r="C31" s="59">
        <f>IFERROR(VLOOKUP($B31,OverallResults!$B$3:$Z$508,2,FALSE),"")</f>
        <v>5</v>
      </c>
      <c r="D31" s="90" t="str">
        <f>IFERROR(VLOOKUP($B31,OverallResults!$B$3:$Z$508,3,FALSE),"")</f>
        <v>Zander Du Plessis</v>
      </c>
      <c r="E31" s="54">
        <f>IFERROR(VLOOKUP(C31,SeriesPoints!$A$2:$B$51,2,FALSE),"")</f>
        <v>125</v>
      </c>
      <c r="F31" s="100" t="str">
        <f>IFERROR(VLOOKUP($D31,EntryList!$B$3:$V$291,21,FALSE),"")</f>
        <v>-</v>
      </c>
      <c r="G31" s="100" t="str">
        <f>IFERROR(VLOOKUP($D31,EntryList!$B$3:$N$596,5,FALSE),"")</f>
        <v>M</v>
      </c>
      <c r="H31" s="145" t="str">
        <f>IFERROR(VLOOKUP($D31,EntryList!$B$3:$N$596,6,FALSE),"")</f>
        <v>Youth Men</v>
      </c>
      <c r="I31" s="59">
        <f>IFERROR(VLOOKUP($B31,OverallResults!$B$3:$Z$492,8,FALSE),"")</f>
        <v>5</v>
      </c>
      <c r="J31" s="57" t="str">
        <f>IFERROR(VLOOKUP($B31,OverallResults!$B$3:$BB$492,9,FALSE),"")</f>
        <v>00:03:12.9 (7)</v>
      </c>
      <c r="K31" s="57" t="str">
        <f>IFERROR(VLOOKUP($B31,OverallResults!$B$3:$BB$492,10,FALSE),"")</f>
        <v>00:03:34.9 (11)</v>
      </c>
      <c r="L31" s="57" t="str">
        <f>IFERROR(VLOOKUP($B31,OverallResults!$B$3:$BB$492,11,FALSE),"")</f>
        <v>00:01:58.6 (8)</v>
      </c>
      <c r="M31" s="57" t="str">
        <f>IFERROR(VLOOKUP($B31,OverallResults!$B$3:$BB$492,12,FALSE),"")</f>
        <v>00:03:57.3 (14)</v>
      </c>
      <c r="N31" s="57" t="str">
        <f>IFERROR(VLOOKUP($B31,OverallResults!$B$3:$BB$492,13,FALSE),"")</f>
        <v>00:06:05.1 (152)</v>
      </c>
      <c r="O31" s="58" t="str">
        <f>IFERROR(VLOOKUP($B31,OverallResults!$B$3:$BB$492,14,FALSE),"")</f>
        <v>DNS/DNF ()</v>
      </c>
      <c r="P31" s="58" t="str">
        <f>IFERROR(VLOOKUP($B31,OverallResults!$B$3:$BB$492,15,FALSE),"")</f>
        <v>DNS/DNF ()</v>
      </c>
      <c r="Q31" s="58" t="str">
        <f>IFERROR(VLOOKUP($B31,OverallResults!$B$3:$BB$492,16,FALSE),"")</f>
        <v>DNS/DNF ()</v>
      </c>
      <c r="R31" s="58" t="str">
        <f>IFERROR(VLOOKUP($B31,OverallResults!$B$3:$BB$492,17,FALSE),"")</f>
        <v>00:18:48.856</v>
      </c>
      <c r="S31" s="170" t="str">
        <f t="shared" si="0"/>
        <v>00:01</v>
      </c>
      <c r="T31" s="170" t="str">
        <f t="shared" si="1"/>
        <v>01:59</v>
      </c>
      <c r="U31" s="361">
        <f>IFERROR(VLOOKUP($D31,EntryList!$B$3:$S$291,18,FALSE),"")</f>
        <v>0</v>
      </c>
      <c r="V31" s="361">
        <f>IFERROR(VLOOKUP($D31,EntryList!$B$3:$S$291,17,FALSE),"")</f>
        <v>0</v>
      </c>
    </row>
    <row r="32" spans="2:22">
      <c r="B32" s="59">
        <v>27</v>
      </c>
      <c r="C32" s="59">
        <f>IFERROR(VLOOKUP($B32,OverallResults!$B$3:$Z$508,2,FALSE),"")</f>
        <v>5</v>
      </c>
      <c r="D32" s="90" t="str">
        <f>IFERROR(VLOOKUP($B32,OverallResults!$B$3:$Z$508,3,FALSE),"")</f>
        <v>Jacobus Johannes Veldsman</v>
      </c>
      <c r="E32" s="54">
        <f>IFERROR(VLOOKUP(C32,SeriesPoints!$A$2:$B$51,2,FALSE),"")</f>
        <v>125</v>
      </c>
      <c r="F32" s="100" t="str">
        <f>IFERROR(VLOOKUP($D32,EntryList!$B$3:$V$291,21,FALSE),"")</f>
        <v>-</v>
      </c>
      <c r="G32" s="100" t="str">
        <f>IFERROR(VLOOKUP($D32,EntryList!$B$3:$N$596,5,FALSE),"")</f>
        <v>M</v>
      </c>
      <c r="H32" s="145" t="str">
        <f>IFERROR(VLOOKUP($D32,EntryList!$B$3:$N$596,6,FALSE),"")</f>
        <v>E-Bike M</v>
      </c>
      <c r="I32" s="59">
        <f>IFERROR(VLOOKUP($B32,OverallResults!$B$3:$Z$492,8,FALSE),"")</f>
        <v>5</v>
      </c>
      <c r="J32" s="57" t="str">
        <f>IFERROR(VLOOKUP($B32,OverallResults!$B$3:$BB$492,9,FALSE),"")</f>
        <v>00:03:36.7 (31)</v>
      </c>
      <c r="K32" s="57" t="str">
        <f>IFERROR(VLOOKUP($B32,OverallResults!$B$3:$BB$492,10,FALSE),"")</f>
        <v>00:03:47.7 (31)</v>
      </c>
      <c r="L32" s="57" t="str">
        <f>IFERROR(VLOOKUP($B32,OverallResults!$B$3:$BB$492,11,FALSE),"")</f>
        <v>00:02:09.4 (41)</v>
      </c>
      <c r="M32" s="57" t="str">
        <f>IFERROR(VLOOKUP($B32,OverallResults!$B$3:$BB$492,12,FALSE),"")</f>
        <v>00:04:08.7 (28)</v>
      </c>
      <c r="N32" s="57" t="str">
        <f>IFERROR(VLOOKUP($B32,OverallResults!$B$3:$BB$492,13,FALSE),"")</f>
        <v>00:05:08.1 (27)</v>
      </c>
      <c r="O32" s="58" t="str">
        <f>IFERROR(VLOOKUP($B32,OverallResults!$B$3:$BB$492,14,FALSE),"")</f>
        <v>DNS/DNF ()</v>
      </c>
      <c r="P32" s="58" t="str">
        <f>IFERROR(VLOOKUP($B32,OverallResults!$B$3:$BB$492,15,FALSE),"")</f>
        <v>DNS/DNF ()</v>
      </c>
      <c r="Q32" s="58" t="str">
        <f>IFERROR(VLOOKUP($B32,OverallResults!$B$3:$BB$492,16,FALSE),"")</f>
        <v>DNS/DNF ()</v>
      </c>
      <c r="R32" s="58" t="str">
        <f>IFERROR(VLOOKUP($B32,OverallResults!$B$3:$BB$492,17,FALSE),"")</f>
        <v>00:18:50.590</v>
      </c>
      <c r="S32" s="170" t="str">
        <f t="shared" si="0"/>
        <v>00:02</v>
      </c>
      <c r="T32" s="170" t="str">
        <f t="shared" si="1"/>
        <v>02:01</v>
      </c>
      <c r="U32" s="361" t="str">
        <f>IFERROR(VLOOKUP($D32,EntryList!$B$3:$S$291,18,FALSE),"")</f>
        <v/>
      </c>
      <c r="V32" s="361" t="str">
        <f>IFERROR(VLOOKUP($D32,EntryList!$B$3:$S$291,17,FALSE),"")</f>
        <v/>
      </c>
    </row>
    <row r="33" spans="2:22">
      <c r="B33" s="59">
        <v>28</v>
      </c>
      <c r="C33" s="59">
        <f>IFERROR(VLOOKUP($B33,OverallResults!$B$3:$Z$508,2,FALSE),"")</f>
        <v>6</v>
      </c>
      <c r="D33" s="90" t="str">
        <f>IFERROR(VLOOKUP($B33,OverallResults!$B$3:$Z$508,3,FALSE),"")</f>
        <v>Luca Zietsman</v>
      </c>
      <c r="E33" s="54">
        <f>IFERROR(VLOOKUP(C33,SeriesPoints!$A$2:$B$51,2,FALSE),"")</f>
        <v>120</v>
      </c>
      <c r="F33" s="100" t="str">
        <f>IFERROR(VLOOKUP($D33,EntryList!$B$3:$V$291,21,FALSE),"")</f>
        <v>-</v>
      </c>
      <c r="G33" s="100" t="str">
        <f>IFERROR(VLOOKUP($D33,EntryList!$B$3:$N$596,5,FALSE),"")</f>
        <v>M</v>
      </c>
      <c r="H33" s="145" t="str">
        <f>IFERROR(VLOOKUP($D33,EntryList!$B$3:$N$596,6,FALSE),"")</f>
        <v>Youth Men</v>
      </c>
      <c r="I33" s="59">
        <f>IFERROR(VLOOKUP($B33,OverallResults!$B$3:$Z$492,8,FALSE),"")</f>
        <v>5</v>
      </c>
      <c r="J33" s="57" t="str">
        <f>IFERROR(VLOOKUP($B33,OverallResults!$B$3:$BB$492,9,FALSE),"")</f>
        <v>00:03:33.8 (28)</v>
      </c>
      <c r="K33" s="57" t="str">
        <f>IFERROR(VLOOKUP($B33,OverallResults!$B$3:$BB$492,10,FALSE),"")</f>
        <v>00:03:48.3 (32)</v>
      </c>
      <c r="L33" s="57" t="str">
        <f>IFERROR(VLOOKUP($B33,OverallResults!$B$3:$BB$492,11,FALSE),"")</f>
        <v>00:02:06.7 (33)</v>
      </c>
      <c r="M33" s="57" t="str">
        <f>IFERROR(VLOOKUP($B33,OverallResults!$B$3:$BB$492,12,FALSE),"")</f>
        <v>00:04:13.7 (34)</v>
      </c>
      <c r="N33" s="57" t="str">
        <f>IFERROR(VLOOKUP($B33,OverallResults!$B$3:$BB$492,13,FALSE),"")</f>
        <v>00:05:09.0 (29)</v>
      </c>
      <c r="O33" s="58" t="str">
        <f>IFERROR(VLOOKUP($B33,OverallResults!$B$3:$BB$492,14,FALSE),"")</f>
        <v>DNS/DNF ()</v>
      </c>
      <c r="P33" s="58" t="str">
        <f>IFERROR(VLOOKUP($B33,OverallResults!$B$3:$BB$492,15,FALSE),"")</f>
        <v>DNS/DNF ()</v>
      </c>
      <c r="Q33" s="58" t="str">
        <f>IFERROR(VLOOKUP($B33,OverallResults!$B$3:$BB$492,16,FALSE),"")</f>
        <v>DNS/DNF ()</v>
      </c>
      <c r="R33" s="58" t="str">
        <f>IFERROR(VLOOKUP($B33,OverallResults!$B$3:$BB$492,17,FALSE),"")</f>
        <v>00:18:51.451</v>
      </c>
      <c r="S33" s="170" t="str">
        <f t="shared" si="0"/>
        <v>00:01</v>
      </c>
      <c r="T33" s="170" t="str">
        <f t="shared" si="1"/>
        <v>02:01</v>
      </c>
      <c r="U33" s="361">
        <f>IFERROR(VLOOKUP($D33,EntryList!$B$3:$S$291,18,FALSE),"")</f>
        <v>0</v>
      </c>
      <c r="V33" s="361">
        <f>IFERROR(VLOOKUP($D33,EntryList!$B$3:$S$291,17,FALSE),"")</f>
        <v>0</v>
      </c>
    </row>
    <row r="34" spans="2:22">
      <c r="B34" s="59">
        <v>29</v>
      </c>
      <c r="C34" s="59">
        <f>IFERROR(VLOOKUP($B34,OverallResults!$B$3:$Z$508,2,FALSE),"")</f>
        <v>7</v>
      </c>
      <c r="D34" s="90" t="str">
        <f>IFERROR(VLOOKUP($B34,OverallResults!$B$3:$Z$508,3,FALSE),"")</f>
        <v>Myndert Laubscher</v>
      </c>
      <c r="E34" s="54">
        <f>IFERROR(VLOOKUP(C34,SeriesPoints!$A$2:$B$51,2,FALSE),"")</f>
        <v>115</v>
      </c>
      <c r="F34" s="100" t="str">
        <f>IFERROR(VLOOKUP($D34,EntryList!$B$3:$V$291,21,FALSE),"")</f>
        <v>-</v>
      </c>
      <c r="G34" s="100" t="str">
        <f>IFERROR(VLOOKUP($D34,EntryList!$B$3:$N$596,5,FALSE),"")</f>
        <v>M</v>
      </c>
      <c r="H34" s="145" t="str">
        <f>IFERROR(VLOOKUP($D34,EntryList!$B$3:$N$596,6,FALSE),"")</f>
        <v>Youth Men</v>
      </c>
      <c r="I34" s="59">
        <f>IFERROR(VLOOKUP($B34,OverallResults!$B$3:$Z$492,8,FALSE),"")</f>
        <v>5</v>
      </c>
      <c r="J34" s="57" t="str">
        <f>IFERROR(VLOOKUP($B34,OverallResults!$B$3:$BB$492,9,FALSE),"")</f>
        <v>00:03:26.3 (18)</v>
      </c>
      <c r="K34" s="57" t="str">
        <f>IFERROR(VLOOKUP($B34,OverallResults!$B$3:$BB$492,10,FALSE),"")</f>
        <v>00:03:50.4 (37)</v>
      </c>
      <c r="L34" s="57" t="str">
        <f>IFERROR(VLOOKUP($B34,OverallResults!$B$3:$BB$492,11,FALSE),"")</f>
        <v>00:02:08.0 (36)</v>
      </c>
      <c r="M34" s="57" t="str">
        <f>IFERROR(VLOOKUP($B34,OverallResults!$B$3:$BB$492,12,FALSE),"")</f>
        <v>00:04:16.7 (40)</v>
      </c>
      <c r="N34" s="57" t="str">
        <f>IFERROR(VLOOKUP($B34,OverallResults!$B$3:$BB$492,13,FALSE),"")</f>
        <v>00:05:12.9 (40)</v>
      </c>
      <c r="O34" s="58" t="str">
        <f>IFERROR(VLOOKUP($B34,OverallResults!$B$3:$BB$492,14,FALSE),"")</f>
        <v>DNS/DNF ()</v>
      </c>
      <c r="P34" s="58" t="str">
        <f>IFERROR(VLOOKUP($B34,OverallResults!$B$3:$BB$492,15,FALSE),"")</f>
        <v>DNS/DNF ()</v>
      </c>
      <c r="Q34" s="58" t="str">
        <f>IFERROR(VLOOKUP($B34,OverallResults!$B$3:$BB$492,16,FALSE),"")</f>
        <v>DNS/DNF ()</v>
      </c>
      <c r="R34" s="58" t="str">
        <f>IFERROR(VLOOKUP($B34,OverallResults!$B$3:$BB$492,17,FALSE),"")</f>
        <v>00:18:54.340</v>
      </c>
      <c r="S34" s="170" t="str">
        <f t="shared" si="0"/>
        <v>00:03</v>
      </c>
      <c r="T34" s="170" t="str">
        <f t="shared" si="1"/>
        <v>02:04</v>
      </c>
      <c r="U34" s="361">
        <f>IFERROR(VLOOKUP($D34,EntryList!$B$3:$S$291,18,FALSE),"")</f>
        <v>0</v>
      </c>
      <c r="V34" s="361">
        <f>IFERROR(VLOOKUP($D34,EntryList!$B$3:$S$291,17,FALSE),"")</f>
        <v>0</v>
      </c>
    </row>
    <row r="35" spans="2:22">
      <c r="B35" s="59">
        <v>30</v>
      </c>
      <c r="C35" s="59">
        <f>IFERROR(VLOOKUP($B35,OverallResults!$B$3:$Z$508,2,FALSE),"")</f>
        <v>6</v>
      </c>
      <c r="D35" s="90" t="str">
        <f>IFERROR(VLOOKUP($B35,OverallResults!$B$3:$Z$508,3,FALSE),"")</f>
        <v>Grant Hulley</v>
      </c>
      <c r="E35" s="54">
        <f>IFERROR(VLOOKUP(C35,SeriesPoints!$A$2:$B$51,2,FALSE),"")</f>
        <v>120</v>
      </c>
      <c r="F35" s="100" t="str">
        <f>IFERROR(VLOOKUP($D35,EntryList!$B$3:$V$291,21,FALSE),"")</f>
        <v>-</v>
      </c>
      <c r="G35" s="100" t="str">
        <f>IFERROR(VLOOKUP($D35,EntryList!$B$3:$N$596,5,FALSE),"")</f>
        <v>M</v>
      </c>
      <c r="H35" s="145" t="str">
        <f>IFERROR(VLOOKUP($D35,EntryList!$B$3:$N$596,6,FALSE),"")</f>
        <v>E-Bike M</v>
      </c>
      <c r="I35" s="59">
        <f>IFERROR(VLOOKUP($B35,OverallResults!$B$3:$Z$492,8,FALSE),"")</f>
        <v>5</v>
      </c>
      <c r="J35" s="57" t="str">
        <f>IFERROR(VLOOKUP($B35,OverallResults!$B$3:$BB$492,9,FALSE),"")</f>
        <v>00:03:41.7 (38)</v>
      </c>
      <c r="K35" s="57" t="str">
        <f>IFERROR(VLOOKUP($B35,OverallResults!$B$3:$BB$492,10,FALSE),"")</f>
        <v>00:03:47.4 (30)</v>
      </c>
      <c r="L35" s="57" t="str">
        <f>IFERROR(VLOOKUP($B35,OverallResults!$B$3:$BB$492,11,FALSE),"")</f>
        <v>00:02:15.7 (63)</v>
      </c>
      <c r="M35" s="57" t="str">
        <f>IFERROR(VLOOKUP($B35,OverallResults!$B$3:$BB$492,12,FALSE),"")</f>
        <v>00:04:10.1 (30)</v>
      </c>
      <c r="N35" s="57" t="str">
        <f>IFERROR(VLOOKUP($B35,OverallResults!$B$3:$BB$492,13,FALSE),"")</f>
        <v>00:05:08.4 (28)</v>
      </c>
      <c r="O35" s="58" t="str">
        <f>IFERROR(VLOOKUP($B35,OverallResults!$B$3:$BB$492,14,FALSE),"")</f>
        <v>DNS/DNF ()</v>
      </c>
      <c r="P35" s="58" t="str">
        <f>IFERROR(VLOOKUP($B35,OverallResults!$B$3:$BB$492,15,FALSE),"")</f>
        <v>DNS/DNF ()</v>
      </c>
      <c r="Q35" s="58" t="str">
        <f>IFERROR(VLOOKUP($B35,OverallResults!$B$3:$BB$492,16,FALSE),"")</f>
        <v>DNS/DNF ()</v>
      </c>
      <c r="R35" s="58" t="str">
        <f>IFERROR(VLOOKUP($B35,OverallResults!$B$3:$BB$492,17,FALSE),"")</f>
        <v>00:19:03.289</v>
      </c>
      <c r="S35" s="170" t="str">
        <f t="shared" si="0"/>
        <v>00:09</v>
      </c>
      <c r="T35" s="170" t="str">
        <f t="shared" si="1"/>
        <v>02:13</v>
      </c>
      <c r="U35" s="361">
        <f>IFERROR(VLOOKUP($D35,EntryList!$B$3:$S$291,18,FALSE),"")</f>
        <v>0</v>
      </c>
      <c r="V35" s="361">
        <f>IFERROR(VLOOKUP($D35,EntryList!$B$3:$S$291,17,FALSE),"")</f>
        <v>0</v>
      </c>
    </row>
    <row r="36" spans="2:22">
      <c r="B36" s="59">
        <v>31</v>
      </c>
      <c r="C36" s="59">
        <f>IFERROR(VLOOKUP($B36,OverallResults!$B$3:$Z$508,2,FALSE),"")</f>
        <v>5</v>
      </c>
      <c r="D36" s="90" t="str">
        <f>IFERROR(VLOOKUP($B36,OverallResults!$B$3:$Z$508,3,FALSE),"")</f>
        <v>James Owen</v>
      </c>
      <c r="E36" s="54">
        <f>IFERROR(VLOOKUP(C36,SeriesPoints!$A$2:$B$51,2,FALSE),"")</f>
        <v>125</v>
      </c>
      <c r="F36" s="100" t="str">
        <f>IFERROR(VLOOKUP($D36,EntryList!$B$3:$V$291,21,FALSE),"")</f>
        <v>-</v>
      </c>
      <c r="G36" s="100" t="str">
        <f>IFERROR(VLOOKUP($D36,EntryList!$B$3:$N$596,5,FALSE),"")</f>
        <v>M</v>
      </c>
      <c r="H36" s="145" t="str">
        <f>IFERROR(VLOOKUP($D36,EntryList!$B$3:$N$596,6,FALSE),"")</f>
        <v>Master Men</v>
      </c>
      <c r="I36" s="59">
        <f>IFERROR(VLOOKUP($B36,OverallResults!$B$3:$Z$492,8,FALSE),"")</f>
        <v>5</v>
      </c>
      <c r="J36" s="57" t="str">
        <f>IFERROR(VLOOKUP($B36,OverallResults!$B$3:$BB$492,9,FALSE),"")</f>
        <v>00:03:43.7 (39)</v>
      </c>
      <c r="K36" s="57" t="str">
        <f>IFERROR(VLOOKUP($B36,OverallResults!$B$3:$BB$492,10,FALSE),"")</f>
        <v>00:03:41.9 (22)</v>
      </c>
      <c r="L36" s="57" t="str">
        <f>IFERROR(VLOOKUP($B36,OverallResults!$B$3:$BB$492,11,FALSE),"")</f>
        <v>00:02:07.5 (34)</v>
      </c>
      <c r="M36" s="57" t="str">
        <f>IFERROR(VLOOKUP($B36,OverallResults!$B$3:$BB$492,12,FALSE),"")</f>
        <v>00:04:12.9 (33)</v>
      </c>
      <c r="N36" s="57" t="str">
        <f>IFERROR(VLOOKUP($B36,OverallResults!$B$3:$BB$492,13,FALSE),"")</f>
        <v>00:05:17.9 (50)</v>
      </c>
      <c r="O36" s="58" t="str">
        <f>IFERROR(VLOOKUP($B36,OverallResults!$B$3:$BB$492,14,FALSE),"")</f>
        <v>DNS/DNF ()</v>
      </c>
      <c r="P36" s="58" t="str">
        <f>IFERROR(VLOOKUP($B36,OverallResults!$B$3:$BB$492,15,FALSE),"")</f>
        <v>DNS/DNF ()</v>
      </c>
      <c r="Q36" s="58" t="str">
        <f>IFERROR(VLOOKUP($B36,OverallResults!$B$3:$BB$492,16,FALSE),"")</f>
        <v>DNS/DNF ()</v>
      </c>
      <c r="R36" s="58" t="str">
        <f>IFERROR(VLOOKUP($B36,OverallResults!$B$3:$BB$492,17,FALSE),"")</f>
        <v>00:19:03.771</v>
      </c>
      <c r="S36" s="170" t="str">
        <f t="shared" si="0"/>
        <v>00:00</v>
      </c>
      <c r="T36" s="170" t="str">
        <f t="shared" si="1"/>
        <v>02:14</v>
      </c>
      <c r="U36" s="361">
        <f>IFERROR(VLOOKUP($D36,EntryList!$B$3:$S$291,18,FALSE),"")</f>
        <v>0</v>
      </c>
      <c r="V36" s="361">
        <f>IFERROR(VLOOKUP($D36,EntryList!$B$3:$S$291,17,FALSE),"")</f>
        <v>0</v>
      </c>
    </row>
    <row r="37" spans="2:22">
      <c r="B37" s="59">
        <v>32</v>
      </c>
      <c r="C37" s="59">
        <f>IFERROR(VLOOKUP($B37,OverallResults!$B$3:$Z$508,2,FALSE),"")</f>
        <v>7</v>
      </c>
      <c r="D37" s="90" t="str">
        <f>IFERROR(VLOOKUP($B37,OverallResults!$B$3:$Z$508,3,FALSE),"")</f>
        <v>Nic Rezelman</v>
      </c>
      <c r="E37" s="54">
        <f>IFERROR(VLOOKUP(C37,SeriesPoints!$A$2:$B$51,2,FALSE),"")</f>
        <v>115</v>
      </c>
      <c r="F37" s="100" t="str">
        <f>IFERROR(VLOOKUP($D37,EntryList!$B$3:$V$291,21,FALSE),"")</f>
        <v>-</v>
      </c>
      <c r="G37" s="100" t="str">
        <f>IFERROR(VLOOKUP($D37,EntryList!$B$3:$N$596,5,FALSE),"")</f>
        <v>M</v>
      </c>
      <c r="H37" s="145" t="str">
        <f>IFERROR(VLOOKUP($D37,EntryList!$B$3:$N$596,6,FALSE),"")</f>
        <v>E-Bike M</v>
      </c>
      <c r="I37" s="59">
        <f>IFERROR(VLOOKUP($B37,OverallResults!$B$3:$Z$492,8,FALSE),"")</f>
        <v>5</v>
      </c>
      <c r="J37" s="57" t="str">
        <f>IFERROR(VLOOKUP($B37,OverallResults!$B$3:$BB$492,9,FALSE),"")</f>
        <v>00:03:53.6 (53)</v>
      </c>
      <c r="K37" s="57" t="str">
        <f>IFERROR(VLOOKUP($B37,OverallResults!$B$3:$BB$492,10,FALSE),"")</f>
        <v>00:03:42.2 (23)</v>
      </c>
      <c r="L37" s="57" t="str">
        <f>IFERROR(VLOOKUP($B37,OverallResults!$B$3:$BB$492,11,FALSE),"")</f>
        <v>00:02:09.3 (40)</v>
      </c>
      <c r="M37" s="57" t="str">
        <f>IFERROR(VLOOKUP($B37,OverallResults!$B$3:$BB$492,12,FALSE),"")</f>
        <v>00:04:09.0 (29)</v>
      </c>
      <c r="N37" s="57" t="str">
        <f>IFERROR(VLOOKUP($B37,OverallResults!$B$3:$BB$492,13,FALSE),"")</f>
        <v>00:05:09.9 (31)</v>
      </c>
      <c r="O37" s="58" t="str">
        <f>IFERROR(VLOOKUP($B37,OverallResults!$B$3:$BB$492,14,FALSE),"")</f>
        <v>DNS/DNF ()</v>
      </c>
      <c r="P37" s="58" t="str">
        <f>IFERROR(VLOOKUP($B37,OverallResults!$B$3:$BB$492,15,FALSE),"")</f>
        <v>DNS/DNF ()</v>
      </c>
      <c r="Q37" s="58" t="str">
        <f>IFERROR(VLOOKUP($B37,OverallResults!$B$3:$BB$492,16,FALSE),"")</f>
        <v>DNS/DNF ()</v>
      </c>
      <c r="R37" s="58" t="str">
        <f>IFERROR(VLOOKUP($B37,OverallResults!$B$3:$BB$492,17,FALSE),"")</f>
        <v>00:19:03.982</v>
      </c>
      <c r="S37" s="170" t="str">
        <f t="shared" si="0"/>
        <v>00:00</v>
      </c>
      <c r="T37" s="170" t="str">
        <f t="shared" si="1"/>
        <v>02:14</v>
      </c>
      <c r="U37" s="361">
        <f>IFERROR(VLOOKUP($D37,EntryList!$B$3:$S$291,18,FALSE),"")</f>
        <v>0</v>
      </c>
      <c r="V37" s="361">
        <f>IFERROR(VLOOKUP($D37,EntryList!$B$3:$S$291,17,FALSE),"")</f>
        <v>0</v>
      </c>
    </row>
    <row r="38" spans="2:22">
      <c r="B38" s="59">
        <v>33</v>
      </c>
      <c r="C38" s="59">
        <f>IFERROR(VLOOKUP($B38,OverallResults!$B$3:$Z$508,2,FALSE),"")</f>
        <v>11</v>
      </c>
      <c r="D38" s="90" t="str">
        <f>IFERROR(VLOOKUP($B38,OverallResults!$B$3:$Z$508,3,FALSE),"")</f>
        <v>Francois Van Schalkwyk</v>
      </c>
      <c r="E38" s="54">
        <f>IFERROR(VLOOKUP(C38,SeriesPoints!$A$2:$B$51,2,FALSE),"")</f>
        <v>96</v>
      </c>
      <c r="F38" s="100" t="str">
        <f>IFERROR(VLOOKUP($D38,EntryList!$B$3:$V$291,21,FALSE),"")</f>
        <v>-</v>
      </c>
      <c r="G38" s="100" t="str">
        <f>IFERROR(VLOOKUP($D38,EntryList!$B$3:$N$596,5,FALSE),"")</f>
        <v>M</v>
      </c>
      <c r="H38" s="145" t="str">
        <f>IFERROR(VLOOKUP($D38,EntryList!$B$3:$N$596,6,FALSE),"")</f>
        <v>Elite Men</v>
      </c>
      <c r="I38" s="59">
        <f>IFERROR(VLOOKUP($B38,OverallResults!$B$3:$Z$492,8,FALSE),"")</f>
        <v>5</v>
      </c>
      <c r="J38" s="57" t="str">
        <f>IFERROR(VLOOKUP($B38,OverallResults!$B$3:$BB$492,9,FALSE),"")</f>
        <v>00:03:40.1 (35)</v>
      </c>
      <c r="K38" s="57" t="str">
        <f>IFERROR(VLOOKUP($B38,OverallResults!$B$3:$BB$492,10,FALSE),"")</f>
        <v>00:03:48.6 (33)</v>
      </c>
      <c r="L38" s="57" t="str">
        <f>IFERROR(VLOOKUP($B38,OverallResults!$B$3:$BB$492,11,FALSE),"")</f>
        <v>00:02:20.6 (77)</v>
      </c>
      <c r="M38" s="57" t="str">
        <f>IFERROR(VLOOKUP($B38,OverallResults!$B$3:$BB$492,12,FALSE),"")</f>
        <v>00:04:06.1 (24)</v>
      </c>
      <c r="N38" s="57" t="str">
        <f>IFERROR(VLOOKUP($B38,OverallResults!$B$3:$BB$492,13,FALSE),"")</f>
        <v>00:05:15.6 (46)</v>
      </c>
      <c r="O38" s="58" t="str">
        <f>IFERROR(VLOOKUP($B38,OverallResults!$B$3:$BB$492,14,FALSE),"")</f>
        <v>DNS/DNF ()</v>
      </c>
      <c r="P38" s="58" t="str">
        <f>IFERROR(VLOOKUP($B38,OverallResults!$B$3:$BB$492,15,FALSE),"")</f>
        <v>DNS/DNF ()</v>
      </c>
      <c r="Q38" s="58" t="str">
        <f>IFERROR(VLOOKUP($B38,OverallResults!$B$3:$BB$492,16,FALSE),"")</f>
        <v>DNS/DNF ()</v>
      </c>
      <c r="R38" s="58" t="str">
        <f>IFERROR(VLOOKUP($B38,OverallResults!$B$3:$BB$492,17,FALSE),"")</f>
        <v>00:19:10.925</v>
      </c>
      <c r="S38" s="170" t="str">
        <f t="shared" si="0"/>
        <v>00:07</v>
      </c>
      <c r="T38" s="170" t="str">
        <f t="shared" si="1"/>
        <v>02:21</v>
      </c>
      <c r="U38" s="361">
        <f>IFERROR(VLOOKUP($D38,EntryList!$B$3:$S$291,18,FALSE),"")</f>
        <v>0</v>
      </c>
      <c r="V38" s="361">
        <f>IFERROR(VLOOKUP($D38,EntryList!$B$3:$S$291,17,FALSE),"")</f>
        <v>0</v>
      </c>
    </row>
    <row r="39" spans="2:22">
      <c r="B39" s="59">
        <v>34</v>
      </c>
      <c r="C39" s="59">
        <f>IFERROR(VLOOKUP($B39,OverallResults!$B$3:$Z$508,2,FALSE),"")</f>
        <v>12</v>
      </c>
      <c r="D39" s="90" t="str">
        <f>IFERROR(VLOOKUP($B39,OverallResults!$B$3:$Z$508,3,FALSE),"")</f>
        <v>Piet Brummer</v>
      </c>
      <c r="E39" s="54">
        <f>IFERROR(VLOOKUP(C39,SeriesPoints!$A$2:$B$51,2,FALSE),"")</f>
        <v>92</v>
      </c>
      <c r="F39" s="100" t="str">
        <f>IFERROR(VLOOKUP($D39,EntryList!$B$3:$V$291,21,FALSE),"")</f>
        <v>-</v>
      </c>
      <c r="G39" s="100" t="str">
        <f>IFERROR(VLOOKUP($D39,EntryList!$B$3:$N$596,5,FALSE),"")</f>
        <v>M</v>
      </c>
      <c r="H39" s="145" t="str">
        <f>IFERROR(VLOOKUP($D39,EntryList!$B$3:$N$596,6,FALSE),"")</f>
        <v>Elite Men</v>
      </c>
      <c r="I39" s="59">
        <f>IFERROR(VLOOKUP($B39,OverallResults!$B$3:$Z$492,8,FALSE),"")</f>
        <v>5</v>
      </c>
      <c r="J39" s="57" t="str">
        <f>IFERROR(VLOOKUP($B39,OverallResults!$B$3:$BB$492,9,FALSE),"")</f>
        <v>00:03:30.6 (22)</v>
      </c>
      <c r="K39" s="57" t="str">
        <f>IFERROR(VLOOKUP($B39,OverallResults!$B$3:$BB$492,10,FALSE),"")</f>
        <v>00:03:56.5 (55)</v>
      </c>
      <c r="L39" s="57" t="str">
        <f>IFERROR(VLOOKUP($B39,OverallResults!$B$3:$BB$492,11,FALSE),"")</f>
        <v>00:02:10.4 (46)</v>
      </c>
      <c r="M39" s="57" t="str">
        <f>IFERROR(VLOOKUP($B39,OverallResults!$B$3:$BB$492,12,FALSE),"")</f>
        <v>00:04:23.5 (54)</v>
      </c>
      <c r="N39" s="57" t="str">
        <f>IFERROR(VLOOKUP($B39,OverallResults!$B$3:$BB$492,13,FALSE),"")</f>
        <v>00:05:10.0 (32)</v>
      </c>
      <c r="O39" s="58" t="str">
        <f>IFERROR(VLOOKUP($B39,OverallResults!$B$3:$BB$492,14,FALSE),"")</f>
        <v>DNS/DNF ()</v>
      </c>
      <c r="P39" s="58" t="str">
        <f>IFERROR(VLOOKUP($B39,OverallResults!$B$3:$BB$492,15,FALSE),"")</f>
        <v>DNS/DNF ()</v>
      </c>
      <c r="Q39" s="58" t="str">
        <f>IFERROR(VLOOKUP($B39,OverallResults!$B$3:$BB$492,16,FALSE),"")</f>
        <v>DNS/DNF ()</v>
      </c>
      <c r="R39" s="58" t="str">
        <f>IFERROR(VLOOKUP($B39,OverallResults!$B$3:$BB$492,17,FALSE),"")</f>
        <v>00:19:10.972</v>
      </c>
      <c r="S39" s="170" t="str">
        <f t="shared" si="0"/>
        <v>00:00</v>
      </c>
      <c r="T39" s="170" t="str">
        <f t="shared" si="1"/>
        <v>02:21</v>
      </c>
      <c r="U39" s="361" t="str">
        <f>IFERROR(VLOOKUP($D39,EntryList!$B$3:$S$291,18,FALSE),"")</f>
        <v/>
      </c>
      <c r="V39" s="361" t="str">
        <f>IFERROR(VLOOKUP($D39,EntryList!$B$3:$S$291,17,FALSE),"")</f>
        <v/>
      </c>
    </row>
    <row r="40" spans="2:22">
      <c r="B40" s="59">
        <v>35</v>
      </c>
      <c r="C40" s="59">
        <f>IFERROR(VLOOKUP($B40,OverallResults!$B$3:$Z$508,2,FALSE),"")</f>
        <v>4</v>
      </c>
      <c r="D40" s="90" t="str">
        <f>IFERROR(VLOOKUP($B40,OverallResults!$B$3:$Z$508,3,FALSE),"")</f>
        <v>Lood Goosen</v>
      </c>
      <c r="E40" s="54">
        <f>IFERROR(VLOOKUP(C40,SeriesPoints!$A$2:$B$51,2,FALSE),"")</f>
        <v>135</v>
      </c>
      <c r="F40" s="100" t="str">
        <f>IFERROR(VLOOKUP($D40,EntryList!$B$3:$V$291,21,FALSE),"")</f>
        <v>-</v>
      </c>
      <c r="G40" s="100" t="str">
        <f>IFERROR(VLOOKUP($D40,EntryList!$B$3:$N$596,5,FALSE),"")</f>
        <v>M</v>
      </c>
      <c r="H40" s="145" t="str">
        <f>IFERROR(VLOOKUP($D40,EntryList!$B$3:$N$596,6,FALSE),"")</f>
        <v>Junior Men</v>
      </c>
      <c r="I40" s="59">
        <f>IFERROR(VLOOKUP($B40,OverallResults!$B$3:$Z$492,8,FALSE),"")</f>
        <v>5</v>
      </c>
      <c r="J40" s="57" t="str">
        <f>IFERROR(VLOOKUP($B40,OverallResults!$B$3:$BB$492,9,FALSE),"")</f>
        <v>00:03:45.1 (44)</v>
      </c>
      <c r="K40" s="57" t="str">
        <f>IFERROR(VLOOKUP($B40,OverallResults!$B$3:$BB$492,10,FALSE),"")</f>
        <v>00:03:52.7 (43)</v>
      </c>
      <c r="L40" s="57" t="str">
        <f>IFERROR(VLOOKUP($B40,OverallResults!$B$3:$BB$492,11,FALSE),"")</f>
        <v>00:02:10.8 (50)</v>
      </c>
      <c r="M40" s="57" t="str">
        <f>IFERROR(VLOOKUP($B40,OverallResults!$B$3:$BB$492,12,FALSE),"")</f>
        <v>00:04:17.5 (41)</v>
      </c>
      <c r="N40" s="57" t="str">
        <f>IFERROR(VLOOKUP($B40,OverallResults!$B$3:$BB$492,13,FALSE),"")</f>
        <v>00:05:05.2 (24)</v>
      </c>
      <c r="O40" s="58" t="str">
        <f>IFERROR(VLOOKUP($B40,OverallResults!$B$3:$BB$492,14,FALSE),"")</f>
        <v>DNS/DNF ()</v>
      </c>
      <c r="P40" s="58" t="str">
        <f>IFERROR(VLOOKUP($B40,OverallResults!$B$3:$BB$492,15,FALSE),"")</f>
        <v>DNS/DNF ()</v>
      </c>
      <c r="Q40" s="58" t="str">
        <f>IFERROR(VLOOKUP($B40,OverallResults!$B$3:$BB$492,16,FALSE),"")</f>
        <v>DNS/DNF ()</v>
      </c>
      <c r="R40" s="58" t="str">
        <f>IFERROR(VLOOKUP($B40,OverallResults!$B$3:$BB$492,17,FALSE),"")</f>
        <v>00:19:11.293</v>
      </c>
      <c r="S40" s="170" t="str">
        <f t="shared" si="0"/>
        <v>00:00</v>
      </c>
      <c r="T40" s="170" t="str">
        <f t="shared" si="1"/>
        <v>02:21</v>
      </c>
      <c r="U40" s="361">
        <f>IFERROR(VLOOKUP($D40,EntryList!$B$3:$S$291,18,FALSE),"")</f>
        <v>0</v>
      </c>
      <c r="V40" s="361">
        <f>IFERROR(VLOOKUP($D40,EntryList!$B$3:$S$291,17,FALSE),"")</f>
        <v>0</v>
      </c>
    </row>
    <row r="41" spans="2:22">
      <c r="B41" s="59">
        <v>36</v>
      </c>
      <c r="C41" s="59">
        <f>IFERROR(VLOOKUP($B41,OverallResults!$B$3:$Z$508,2,FALSE),"")</f>
        <v>8</v>
      </c>
      <c r="D41" s="90" t="str">
        <f>IFERROR(VLOOKUP($B41,OverallResults!$B$3:$Z$508,3,FALSE),"")</f>
        <v>Seth Barnard</v>
      </c>
      <c r="E41" s="54">
        <f>IFERROR(VLOOKUP(C41,SeriesPoints!$A$2:$B$51,2,FALSE),"")</f>
        <v>110</v>
      </c>
      <c r="F41" s="100" t="str">
        <f>IFERROR(VLOOKUP($D41,EntryList!$B$3:$V$291,21,FALSE),"")</f>
        <v>-</v>
      </c>
      <c r="G41" s="100" t="str">
        <f>IFERROR(VLOOKUP($D41,EntryList!$B$3:$N$596,5,FALSE),"")</f>
        <v>M</v>
      </c>
      <c r="H41" s="145" t="str">
        <f>IFERROR(VLOOKUP($D41,EntryList!$B$3:$N$596,6,FALSE),"")</f>
        <v>Youth Men</v>
      </c>
      <c r="I41" s="59">
        <f>IFERROR(VLOOKUP($B41,OverallResults!$B$3:$Z$492,8,FALSE),"")</f>
        <v>5</v>
      </c>
      <c r="J41" s="57" t="str">
        <f>IFERROR(VLOOKUP($B41,OverallResults!$B$3:$BB$492,9,FALSE),"")</f>
        <v>00:03:45.6 (45)</v>
      </c>
      <c r="K41" s="57" t="str">
        <f>IFERROR(VLOOKUP($B41,OverallResults!$B$3:$BB$492,10,FALSE),"")</f>
        <v>00:03:53.6 (47)</v>
      </c>
      <c r="L41" s="57" t="str">
        <f>IFERROR(VLOOKUP($B41,OverallResults!$B$3:$BB$492,11,FALSE),"")</f>
        <v>00:02:05.8 (29)</v>
      </c>
      <c r="M41" s="57" t="str">
        <f>IFERROR(VLOOKUP($B41,OverallResults!$B$3:$BB$492,12,FALSE),"")</f>
        <v>00:04:12.7 (32)</v>
      </c>
      <c r="N41" s="57" t="str">
        <f>IFERROR(VLOOKUP($B41,OverallResults!$B$3:$BB$492,13,FALSE),"")</f>
        <v>00:05:15.4 (44)</v>
      </c>
      <c r="O41" s="58" t="str">
        <f>IFERROR(VLOOKUP($B41,OverallResults!$B$3:$BB$492,14,FALSE),"")</f>
        <v>DNS/DNF ()</v>
      </c>
      <c r="P41" s="58" t="str">
        <f>IFERROR(VLOOKUP($B41,OverallResults!$B$3:$BB$492,15,FALSE),"")</f>
        <v>DNS/DNF ()</v>
      </c>
      <c r="Q41" s="58" t="str">
        <f>IFERROR(VLOOKUP($B41,OverallResults!$B$3:$BB$492,16,FALSE),"")</f>
        <v>DNS/DNF ()</v>
      </c>
      <c r="R41" s="58" t="str">
        <f>IFERROR(VLOOKUP($B41,OverallResults!$B$3:$BB$492,17,FALSE),"")</f>
        <v>00:19:13.167</v>
      </c>
      <c r="S41" s="170" t="str">
        <f t="shared" si="0"/>
        <v>00:02</v>
      </c>
      <c r="T41" s="170" t="str">
        <f t="shared" si="1"/>
        <v>02:23</v>
      </c>
      <c r="U41" s="361">
        <f>IFERROR(VLOOKUP($D41,EntryList!$B$3:$S$291,18,FALSE),"")</f>
        <v>0</v>
      </c>
      <c r="V41" s="361">
        <f>IFERROR(VLOOKUP($D41,EntryList!$B$3:$S$291,17,FALSE),"")</f>
        <v>0</v>
      </c>
    </row>
    <row r="42" spans="2:22">
      <c r="B42" s="59">
        <v>37</v>
      </c>
      <c r="C42" s="59">
        <f>IFERROR(VLOOKUP($B42,OverallResults!$B$3:$Z$508,2,FALSE),"")</f>
        <v>13</v>
      </c>
      <c r="D42" s="90" t="str">
        <f>IFERROR(VLOOKUP($B42,OverallResults!$B$3:$Z$508,3,FALSE),"")</f>
        <v>Luke Moir</v>
      </c>
      <c r="E42" s="54">
        <f>IFERROR(VLOOKUP(C42,SeriesPoints!$A$2:$B$51,2,FALSE),"")</f>
        <v>88</v>
      </c>
      <c r="F42" s="100" t="str">
        <f>IFERROR(VLOOKUP($D42,EntryList!$B$3:$V$291,21,FALSE),"")</f>
        <v>-</v>
      </c>
      <c r="G42" s="100" t="str">
        <f>IFERROR(VLOOKUP($D42,EntryList!$B$3:$N$596,5,FALSE),"")</f>
        <v>M</v>
      </c>
      <c r="H42" s="145" t="str">
        <f>IFERROR(VLOOKUP($D42,EntryList!$B$3:$N$596,6,FALSE),"")</f>
        <v>Elite Men</v>
      </c>
      <c r="I42" s="59">
        <f>IFERROR(VLOOKUP($B42,OverallResults!$B$3:$Z$492,8,FALSE),"")</f>
        <v>5</v>
      </c>
      <c r="J42" s="57" t="str">
        <f>IFERROR(VLOOKUP($B42,OverallResults!$B$3:$BB$492,9,FALSE),"")</f>
        <v>00:03:13.4 (8)</v>
      </c>
      <c r="K42" s="57" t="str">
        <f>IFERROR(VLOOKUP($B42,OverallResults!$B$3:$BB$492,10,FALSE),"")</f>
        <v>00:03:37.8 (17)</v>
      </c>
      <c r="L42" s="57" t="str">
        <f>IFERROR(VLOOKUP($B42,OverallResults!$B$3:$BB$492,11,FALSE),"")</f>
        <v>00:01:59.0 (10)</v>
      </c>
      <c r="M42" s="57" t="str">
        <f>IFERROR(VLOOKUP($B42,OverallResults!$B$3:$BB$492,12,FALSE),"")</f>
        <v>00:05:40.1 (126)</v>
      </c>
      <c r="N42" s="57" t="str">
        <f>IFERROR(VLOOKUP($B42,OverallResults!$B$3:$BB$492,13,FALSE),"")</f>
        <v>00:04:44.1 (3)</v>
      </c>
      <c r="O42" s="58" t="str">
        <f>IFERROR(VLOOKUP($B42,OverallResults!$B$3:$BB$492,14,FALSE),"")</f>
        <v>DNS/DNF ()</v>
      </c>
      <c r="P42" s="58" t="str">
        <f>IFERROR(VLOOKUP($B42,OverallResults!$B$3:$BB$492,15,FALSE),"")</f>
        <v>DNS/DNF ()</v>
      </c>
      <c r="Q42" s="58" t="str">
        <f>IFERROR(VLOOKUP($B42,OverallResults!$B$3:$BB$492,16,FALSE),"")</f>
        <v>DNS/DNF ()</v>
      </c>
      <c r="R42" s="58" t="str">
        <f>IFERROR(VLOOKUP($B42,OverallResults!$B$3:$BB$492,17,FALSE),"")</f>
        <v>00:19:14.378</v>
      </c>
      <c r="S42" s="170" t="str">
        <f t="shared" si="0"/>
        <v>00:01</v>
      </c>
      <c r="T42" s="170" t="str">
        <f t="shared" si="1"/>
        <v>02:24</v>
      </c>
      <c r="U42" s="361">
        <f>IFERROR(VLOOKUP($D42,EntryList!$B$3:$S$291,18,FALSE),"")</f>
        <v>0</v>
      </c>
      <c r="V42" s="361">
        <f>IFERROR(VLOOKUP($D42,EntryList!$B$3:$S$291,17,FALSE),"")</f>
        <v>0</v>
      </c>
    </row>
    <row r="43" spans="2:22">
      <c r="B43" s="59">
        <v>38</v>
      </c>
      <c r="C43" s="59">
        <f>IFERROR(VLOOKUP($B43,OverallResults!$B$3:$Z$508,2,FALSE),"")</f>
        <v>6</v>
      </c>
      <c r="D43" s="90" t="str">
        <f>IFERROR(VLOOKUP($B43,OverallResults!$B$3:$Z$508,3,FALSE),"")</f>
        <v>Stefan Boshoff</v>
      </c>
      <c r="E43" s="54">
        <f>IFERROR(VLOOKUP(C43,SeriesPoints!$A$2:$B$51,2,FALSE),"")</f>
        <v>120</v>
      </c>
      <c r="F43" s="100" t="str">
        <f>IFERROR(VLOOKUP($D43,EntryList!$B$3:$V$291,21,FALSE),"")</f>
        <v>-</v>
      </c>
      <c r="G43" s="100" t="str">
        <f>IFERROR(VLOOKUP($D43,EntryList!$B$3:$N$596,5,FALSE),"")</f>
        <v>M</v>
      </c>
      <c r="H43" s="145" t="str">
        <f>IFERROR(VLOOKUP($D43,EntryList!$B$3:$N$596,6,FALSE),"")</f>
        <v>Master Men</v>
      </c>
      <c r="I43" s="59">
        <f>IFERROR(VLOOKUP($B43,OverallResults!$B$3:$Z$492,8,FALSE),"")</f>
        <v>5</v>
      </c>
      <c r="J43" s="57" t="str">
        <f>IFERROR(VLOOKUP($B43,OverallResults!$B$3:$BB$492,9,FALSE),"")</f>
        <v>00:03:40.4 (37)</v>
      </c>
      <c r="K43" s="57" t="str">
        <f>IFERROR(VLOOKUP($B43,OverallResults!$B$3:$BB$492,10,FALSE),"")</f>
        <v>00:03:53.1 (46)</v>
      </c>
      <c r="L43" s="57" t="str">
        <f>IFERROR(VLOOKUP($B43,OverallResults!$B$3:$BB$492,11,FALSE),"")</f>
        <v>00:02:05.1 (26)</v>
      </c>
      <c r="M43" s="57" t="str">
        <f>IFERROR(VLOOKUP($B43,OverallResults!$B$3:$BB$492,12,FALSE),"")</f>
        <v>00:04:16.0 (38)</v>
      </c>
      <c r="N43" s="57" t="str">
        <f>IFERROR(VLOOKUP($B43,OverallResults!$B$3:$BB$492,13,FALSE),"")</f>
        <v>00:05:20.8 (54)</v>
      </c>
      <c r="O43" s="58" t="str">
        <f>IFERROR(VLOOKUP($B43,OverallResults!$B$3:$BB$492,14,FALSE),"")</f>
        <v>DNS/DNF ()</v>
      </c>
      <c r="P43" s="58" t="str">
        <f>IFERROR(VLOOKUP($B43,OverallResults!$B$3:$BB$492,15,FALSE),"")</f>
        <v>DNS/DNF ()</v>
      </c>
      <c r="Q43" s="58" t="str">
        <f>IFERROR(VLOOKUP($B43,OverallResults!$B$3:$BB$492,16,FALSE),"")</f>
        <v>DNS/DNF ()</v>
      </c>
      <c r="R43" s="58" t="str">
        <f>IFERROR(VLOOKUP($B43,OverallResults!$B$3:$BB$492,17,FALSE),"")</f>
        <v>00:19:15.336</v>
      </c>
      <c r="S43" s="170" t="str">
        <f t="shared" si="0"/>
        <v>00:01</v>
      </c>
      <c r="T43" s="170" t="str">
        <f t="shared" si="1"/>
        <v>02:25</v>
      </c>
      <c r="U43" s="361">
        <f>IFERROR(VLOOKUP($D43,EntryList!$B$3:$S$291,18,FALSE),"")</f>
        <v>0</v>
      </c>
      <c r="V43" s="361">
        <f>IFERROR(VLOOKUP($D43,EntryList!$B$3:$S$291,17,FALSE),"")</f>
        <v>0</v>
      </c>
    </row>
    <row r="44" spans="2:22">
      <c r="B44" s="59">
        <v>39</v>
      </c>
      <c r="C44" s="59">
        <f>IFERROR(VLOOKUP($B44,OverallResults!$B$3:$Z$508,2,FALSE),"")</f>
        <v>9</v>
      </c>
      <c r="D44" s="90" t="str">
        <f>IFERROR(VLOOKUP($B44,OverallResults!$B$3:$Z$508,3,FALSE),"")</f>
        <v>Alexander Jonker</v>
      </c>
      <c r="E44" s="54">
        <f>IFERROR(VLOOKUP(C44,SeriesPoints!$A$2:$B$51,2,FALSE),"")</f>
        <v>105</v>
      </c>
      <c r="F44" s="100" t="str">
        <f>IFERROR(VLOOKUP($D44,EntryList!$B$3:$V$291,21,FALSE),"")</f>
        <v>-</v>
      </c>
      <c r="G44" s="100" t="str">
        <f>IFERROR(VLOOKUP($D44,EntryList!$B$3:$N$596,5,FALSE),"")</f>
        <v>M</v>
      </c>
      <c r="H44" s="145" t="str">
        <f>IFERROR(VLOOKUP($D44,EntryList!$B$3:$N$596,6,FALSE),"")</f>
        <v>Youth Men</v>
      </c>
      <c r="I44" s="59">
        <f>IFERROR(VLOOKUP($B44,OverallResults!$B$3:$Z$492,8,FALSE),"")</f>
        <v>5</v>
      </c>
      <c r="J44" s="57" t="str">
        <f>IFERROR(VLOOKUP($B44,OverallResults!$B$3:$BB$492,9,FALSE),"")</f>
        <v>00:03:33.5 (26)</v>
      </c>
      <c r="K44" s="57" t="str">
        <f>IFERROR(VLOOKUP($B44,OverallResults!$B$3:$BB$492,10,FALSE),"")</f>
        <v>00:04:03.9 (73)</v>
      </c>
      <c r="L44" s="57" t="str">
        <f>IFERROR(VLOOKUP($B44,OverallResults!$B$3:$BB$492,11,FALSE),"")</f>
        <v>00:02:10.8 (51)</v>
      </c>
      <c r="M44" s="57" t="str">
        <f>IFERROR(VLOOKUP($B44,OverallResults!$B$3:$BB$492,12,FALSE),"")</f>
        <v>00:04:18.2 (43)</v>
      </c>
      <c r="N44" s="57" t="str">
        <f>IFERROR(VLOOKUP($B44,OverallResults!$B$3:$BB$492,13,FALSE),"")</f>
        <v>00:05:11.4 (35)</v>
      </c>
      <c r="O44" s="58" t="str">
        <f>IFERROR(VLOOKUP($B44,OverallResults!$B$3:$BB$492,14,FALSE),"")</f>
        <v>DNS/DNF ()</v>
      </c>
      <c r="P44" s="58" t="str">
        <f>IFERROR(VLOOKUP($B44,OverallResults!$B$3:$BB$492,15,FALSE),"")</f>
        <v>DNS/DNF ()</v>
      </c>
      <c r="Q44" s="58" t="str">
        <f>IFERROR(VLOOKUP($B44,OverallResults!$B$3:$BB$492,16,FALSE),"")</f>
        <v>DNS/DNF ()</v>
      </c>
      <c r="R44" s="58" t="str">
        <f>IFERROR(VLOOKUP($B44,OverallResults!$B$3:$BB$492,17,FALSE),"")</f>
        <v>00:19:17.776</v>
      </c>
      <c r="S44" s="170" t="str">
        <f t="shared" si="0"/>
        <v>00:02</v>
      </c>
      <c r="T44" s="170" t="str">
        <f t="shared" si="1"/>
        <v>02:28</v>
      </c>
      <c r="U44" s="361">
        <f>IFERROR(VLOOKUP($D44,EntryList!$B$3:$S$291,18,FALSE),"")</f>
        <v>0</v>
      </c>
      <c r="V44" s="361">
        <f>IFERROR(VLOOKUP($D44,EntryList!$B$3:$S$291,17,FALSE),"")</f>
        <v>0</v>
      </c>
    </row>
    <row r="45" spans="2:22">
      <c r="B45" s="59">
        <v>40</v>
      </c>
      <c r="C45" s="59">
        <f>IFERROR(VLOOKUP($B45,OverallResults!$B$3:$Z$508,2,FALSE),"")</f>
        <v>7</v>
      </c>
      <c r="D45" s="90" t="str">
        <f>IFERROR(VLOOKUP($B45,OverallResults!$B$3:$Z$508,3,FALSE),"")</f>
        <v>Devin Toselli</v>
      </c>
      <c r="E45" s="54">
        <f>IFERROR(VLOOKUP(C45,SeriesPoints!$A$2:$B$51,2,FALSE),"")</f>
        <v>115</v>
      </c>
      <c r="F45" s="100" t="str">
        <f>IFERROR(VLOOKUP($D45,EntryList!$B$3:$V$291,21,FALSE),"")</f>
        <v>-</v>
      </c>
      <c r="G45" s="100" t="str">
        <f>IFERROR(VLOOKUP($D45,EntryList!$B$3:$N$596,5,FALSE),"")</f>
        <v>M</v>
      </c>
      <c r="H45" s="145" t="str">
        <f>IFERROR(VLOOKUP($D45,EntryList!$B$3:$N$596,6,FALSE),"")</f>
        <v>Master Men</v>
      </c>
      <c r="I45" s="59">
        <f>IFERROR(VLOOKUP($B45,OverallResults!$B$3:$Z$492,8,FALSE),"")</f>
        <v>5</v>
      </c>
      <c r="J45" s="57" t="str">
        <f>IFERROR(VLOOKUP($B45,OverallResults!$B$3:$BB$492,9,FALSE),"")</f>
        <v>00:03:44.7 (43)</v>
      </c>
      <c r="K45" s="57" t="str">
        <f>IFERROR(VLOOKUP($B45,OverallResults!$B$3:$BB$492,10,FALSE),"")</f>
        <v>00:03:49.7 (34)</v>
      </c>
      <c r="L45" s="57" t="str">
        <f>IFERROR(VLOOKUP($B45,OverallResults!$B$3:$BB$492,11,FALSE),"")</f>
        <v>00:02:10.2 (45)</v>
      </c>
      <c r="M45" s="57" t="str">
        <f>IFERROR(VLOOKUP($B45,OverallResults!$B$3:$BB$492,12,FALSE),"")</f>
        <v>00:04:23.2 (53)</v>
      </c>
      <c r="N45" s="57" t="str">
        <f>IFERROR(VLOOKUP($B45,OverallResults!$B$3:$BB$492,13,FALSE),"")</f>
        <v>00:05:13.9 (41)</v>
      </c>
      <c r="O45" s="58" t="str">
        <f>IFERROR(VLOOKUP($B45,OverallResults!$B$3:$BB$492,14,FALSE),"")</f>
        <v>DNS/DNF ()</v>
      </c>
      <c r="P45" s="58" t="str">
        <f>IFERROR(VLOOKUP($B45,OverallResults!$B$3:$BB$492,15,FALSE),"")</f>
        <v>DNS/DNF ()</v>
      </c>
      <c r="Q45" s="58" t="str">
        <f>IFERROR(VLOOKUP($B45,OverallResults!$B$3:$BB$492,16,FALSE),"")</f>
        <v>DNS/DNF ()</v>
      </c>
      <c r="R45" s="58" t="str">
        <f>IFERROR(VLOOKUP($B45,OverallResults!$B$3:$BB$492,17,FALSE),"")</f>
        <v>00:19:21.726</v>
      </c>
      <c r="S45" s="170" t="str">
        <f t="shared" si="0"/>
        <v>00:04</v>
      </c>
      <c r="T45" s="170" t="str">
        <f t="shared" si="1"/>
        <v>02:32</v>
      </c>
      <c r="U45" s="361">
        <f>IFERROR(VLOOKUP($D45,EntryList!$B$3:$S$291,18,FALSE),"")</f>
        <v>0</v>
      </c>
      <c r="V45" s="361">
        <f>IFERROR(VLOOKUP($D45,EntryList!$B$3:$S$291,17,FALSE),"")</f>
        <v>0</v>
      </c>
    </row>
    <row r="46" spans="2:22">
      <c r="B46" s="59">
        <v>41</v>
      </c>
      <c r="C46" s="59">
        <f>IFERROR(VLOOKUP($B46,OverallResults!$B$3:$Z$508,2,FALSE),"")</f>
        <v>10</v>
      </c>
      <c r="D46" s="90" t="str">
        <f>IFERROR(VLOOKUP($B46,OverallResults!$B$3:$Z$508,3,FALSE),"")</f>
        <v>Christian Mocke'</v>
      </c>
      <c r="E46" s="54">
        <f>IFERROR(VLOOKUP(C46,SeriesPoints!$A$2:$B$51,2,FALSE),"")</f>
        <v>100</v>
      </c>
      <c r="F46" s="100" t="str">
        <f>IFERROR(VLOOKUP($D46,EntryList!$B$3:$V$291,21,FALSE),"")</f>
        <v>-</v>
      </c>
      <c r="G46" s="100" t="str">
        <f>IFERROR(VLOOKUP($D46,EntryList!$B$3:$N$596,5,FALSE),"")</f>
        <v>M</v>
      </c>
      <c r="H46" s="145" t="str">
        <f>IFERROR(VLOOKUP($D46,EntryList!$B$3:$N$596,6,FALSE),"")</f>
        <v>Youth Men</v>
      </c>
      <c r="I46" s="59">
        <f>IFERROR(VLOOKUP($B46,OverallResults!$B$3:$Z$492,8,FALSE),"")</f>
        <v>5</v>
      </c>
      <c r="J46" s="57" t="str">
        <f>IFERROR(VLOOKUP($B46,OverallResults!$B$3:$BB$492,9,FALSE),"")</f>
        <v>00:03:40.2 (36)</v>
      </c>
      <c r="K46" s="57" t="str">
        <f>IFERROR(VLOOKUP($B46,OverallResults!$B$3:$BB$492,10,FALSE),"")</f>
        <v>00:04:02.7 (68)</v>
      </c>
      <c r="L46" s="57" t="str">
        <f>IFERROR(VLOOKUP($B46,OverallResults!$B$3:$BB$492,11,FALSE),"")</f>
        <v>00:02:10.7 (49)</v>
      </c>
      <c r="M46" s="57" t="str">
        <f>IFERROR(VLOOKUP($B46,OverallResults!$B$3:$BB$492,12,FALSE),"")</f>
        <v>00:04:15.2 (37)</v>
      </c>
      <c r="N46" s="57" t="str">
        <f>IFERROR(VLOOKUP($B46,OverallResults!$B$3:$BB$492,13,FALSE),"")</f>
        <v>00:05:15.5 (45)</v>
      </c>
      <c r="O46" s="58" t="str">
        <f>IFERROR(VLOOKUP($B46,OverallResults!$B$3:$BB$492,14,FALSE),"")</f>
        <v>DNS/DNF ()</v>
      </c>
      <c r="P46" s="58" t="str">
        <f>IFERROR(VLOOKUP($B46,OverallResults!$B$3:$BB$492,15,FALSE),"")</f>
        <v>DNS/DNF ()</v>
      </c>
      <c r="Q46" s="58" t="str">
        <f>IFERROR(VLOOKUP($B46,OverallResults!$B$3:$BB$492,16,FALSE),"")</f>
        <v>DNS/DNF ()</v>
      </c>
      <c r="R46" s="58" t="str">
        <f>IFERROR(VLOOKUP($B46,OverallResults!$B$3:$BB$492,17,FALSE),"")</f>
        <v>00:19:24.250</v>
      </c>
      <c r="S46" s="170" t="str">
        <f t="shared" si="0"/>
        <v>00:03</v>
      </c>
      <c r="T46" s="170" t="str">
        <f t="shared" si="1"/>
        <v>02:34</v>
      </c>
      <c r="U46" s="361">
        <f>IFERROR(VLOOKUP($D46,EntryList!$B$3:$S$291,18,FALSE),"")</f>
        <v>0</v>
      </c>
      <c r="V46" s="361">
        <f>IFERROR(VLOOKUP($D46,EntryList!$B$3:$S$291,17,FALSE),"")</f>
        <v>0</v>
      </c>
    </row>
    <row r="47" spans="2:22">
      <c r="B47" s="59">
        <v>42</v>
      </c>
      <c r="C47" s="59">
        <f>IFERROR(VLOOKUP($B47,OverallResults!$B$3:$Z$508,2,FALSE),"")</f>
        <v>11</v>
      </c>
      <c r="D47" s="90" t="str">
        <f>IFERROR(VLOOKUP($B47,OverallResults!$B$3:$Z$508,3,FALSE),"")</f>
        <v>Jaco Van Zyl</v>
      </c>
      <c r="E47" s="54">
        <f>IFERROR(VLOOKUP(C47,SeriesPoints!$A$2:$B$51,2,FALSE),"")</f>
        <v>96</v>
      </c>
      <c r="F47" s="100" t="str">
        <f>IFERROR(VLOOKUP($D47,EntryList!$B$3:$V$291,21,FALSE),"")</f>
        <v>-</v>
      </c>
      <c r="G47" s="100" t="str">
        <f>IFERROR(VLOOKUP($D47,EntryList!$B$3:$N$596,5,FALSE),"")</f>
        <v>M</v>
      </c>
      <c r="H47" s="145" t="str">
        <f>IFERROR(VLOOKUP($D47,EntryList!$B$3:$N$596,6,FALSE),"")</f>
        <v>Youth Men</v>
      </c>
      <c r="I47" s="59">
        <f>IFERROR(VLOOKUP($B47,OverallResults!$B$3:$Z$492,8,FALSE),"")</f>
        <v>5</v>
      </c>
      <c r="J47" s="57" t="str">
        <f>IFERROR(VLOOKUP($B47,OverallResults!$B$3:$BB$492,9,FALSE),"")</f>
        <v>00:03:51.8 (50)</v>
      </c>
      <c r="K47" s="57" t="str">
        <f>IFERROR(VLOOKUP($B47,OverallResults!$B$3:$BB$492,10,FALSE),"")</f>
        <v>00:03:56.0 (54)</v>
      </c>
      <c r="L47" s="57" t="str">
        <f>IFERROR(VLOOKUP($B47,OverallResults!$B$3:$BB$492,11,FALSE),"")</f>
        <v>00:02:07.6 (35)</v>
      </c>
      <c r="M47" s="57" t="str">
        <f>IFERROR(VLOOKUP($B47,OverallResults!$B$3:$BB$492,12,FALSE),"")</f>
        <v>00:04:16.4 (39)</v>
      </c>
      <c r="N47" s="57" t="str">
        <f>IFERROR(VLOOKUP($B47,OverallResults!$B$3:$BB$492,13,FALSE),"")</f>
        <v>00:05:16.2 (47)</v>
      </c>
      <c r="O47" s="58" t="str">
        <f>IFERROR(VLOOKUP($B47,OverallResults!$B$3:$BB$492,14,FALSE),"")</f>
        <v>DNS/DNF ()</v>
      </c>
      <c r="P47" s="58" t="str">
        <f>IFERROR(VLOOKUP($B47,OverallResults!$B$3:$BB$492,15,FALSE),"")</f>
        <v>DNS/DNF ()</v>
      </c>
      <c r="Q47" s="58" t="str">
        <f>IFERROR(VLOOKUP($B47,OverallResults!$B$3:$BB$492,16,FALSE),"")</f>
        <v>DNS/DNF ()</v>
      </c>
      <c r="R47" s="58" t="str">
        <f>IFERROR(VLOOKUP($B47,OverallResults!$B$3:$BB$492,17,FALSE),"")</f>
        <v>00:19:28.066</v>
      </c>
      <c r="S47" s="170" t="str">
        <f t="shared" si="0"/>
        <v>00:04</v>
      </c>
      <c r="T47" s="170" t="str">
        <f t="shared" si="1"/>
        <v>02:38</v>
      </c>
      <c r="U47" s="361">
        <f>IFERROR(VLOOKUP($D47,EntryList!$B$3:$S$291,18,FALSE),"")</f>
        <v>0</v>
      </c>
      <c r="V47" s="361">
        <f>IFERROR(VLOOKUP($D47,EntryList!$B$3:$S$291,17,FALSE),"")</f>
        <v>0</v>
      </c>
    </row>
    <row r="48" spans="2:22">
      <c r="B48" s="59">
        <v>43</v>
      </c>
      <c r="C48" s="59">
        <f>IFERROR(VLOOKUP($B48,OverallResults!$B$3:$Z$508,2,FALSE),"")</f>
        <v>5</v>
      </c>
      <c r="D48" s="90" t="str">
        <f>IFERROR(VLOOKUP($B48,OverallResults!$B$3:$Z$508,3,FALSE),"")</f>
        <v>Neo Dekker</v>
      </c>
      <c r="E48" s="54">
        <f>IFERROR(VLOOKUP(C48,SeriesPoints!$A$2:$B$51,2,FALSE),"")</f>
        <v>125</v>
      </c>
      <c r="F48" s="100" t="str">
        <f>IFERROR(VLOOKUP($D48,EntryList!$B$3:$V$291,21,FALSE),"")</f>
        <v>-</v>
      </c>
      <c r="G48" s="100" t="str">
        <f>IFERROR(VLOOKUP($D48,EntryList!$B$3:$N$596,5,FALSE),"")</f>
        <v>M</v>
      </c>
      <c r="H48" s="145" t="str">
        <f>IFERROR(VLOOKUP($D48,EntryList!$B$3:$N$596,6,FALSE),"")</f>
        <v>Junior Men</v>
      </c>
      <c r="I48" s="59">
        <f>IFERROR(VLOOKUP($B48,OverallResults!$B$3:$Z$492,8,FALSE),"")</f>
        <v>5</v>
      </c>
      <c r="J48" s="57" t="str">
        <f>IFERROR(VLOOKUP($B48,OverallResults!$B$3:$BB$492,9,FALSE),"")</f>
        <v>00:04:01.4 (59)</v>
      </c>
      <c r="K48" s="57" t="str">
        <f>IFERROR(VLOOKUP($B48,OverallResults!$B$3:$BB$492,10,FALSE),"")</f>
        <v>00:03:46.4 (28)</v>
      </c>
      <c r="L48" s="57" t="str">
        <f>IFERROR(VLOOKUP($B48,OverallResults!$B$3:$BB$492,11,FALSE),"")</f>
        <v>00:02:04.6 (23)</v>
      </c>
      <c r="M48" s="57" t="str">
        <f>IFERROR(VLOOKUP($B48,OverallResults!$B$3:$BB$492,12,FALSE),"")</f>
        <v>00:04:20.1 (46)</v>
      </c>
      <c r="N48" s="57" t="str">
        <f>IFERROR(VLOOKUP($B48,OverallResults!$B$3:$BB$492,13,FALSE),"")</f>
        <v>00:05:16.9 (48)</v>
      </c>
      <c r="O48" s="58" t="str">
        <f>IFERROR(VLOOKUP($B48,OverallResults!$B$3:$BB$492,14,FALSE),"")</f>
        <v>DNS/DNF ()</v>
      </c>
      <c r="P48" s="58" t="str">
        <f>IFERROR(VLOOKUP($B48,OverallResults!$B$3:$BB$492,15,FALSE),"")</f>
        <v>DNS/DNF ()</v>
      </c>
      <c r="Q48" s="58" t="str">
        <f>IFERROR(VLOOKUP($B48,OverallResults!$B$3:$BB$492,16,FALSE),"")</f>
        <v>DNS/DNF ()</v>
      </c>
      <c r="R48" s="58" t="str">
        <f>IFERROR(VLOOKUP($B48,OverallResults!$B$3:$BB$492,17,FALSE),"")</f>
        <v>00:19:29.349</v>
      </c>
      <c r="S48" s="170" t="str">
        <f t="shared" si="0"/>
        <v>00:01</v>
      </c>
      <c r="T48" s="170" t="str">
        <f t="shared" si="1"/>
        <v>02:39</v>
      </c>
      <c r="U48" s="361">
        <f>IFERROR(VLOOKUP($D48,EntryList!$B$3:$S$291,18,FALSE),"")</f>
        <v>0</v>
      </c>
      <c r="V48" s="361">
        <f>IFERROR(VLOOKUP($D48,EntryList!$B$3:$S$291,17,FALSE),"")</f>
        <v>0</v>
      </c>
    </row>
    <row r="49" spans="2:22">
      <c r="B49" s="59">
        <v>44</v>
      </c>
      <c r="C49" s="59">
        <f>IFERROR(VLOOKUP($B49,OverallResults!$B$3:$Z$508,2,FALSE),"")</f>
        <v>8</v>
      </c>
      <c r="D49" s="90" t="str">
        <f>IFERROR(VLOOKUP($B49,OverallResults!$B$3:$Z$508,3,FALSE),"")</f>
        <v>Theuns Louw</v>
      </c>
      <c r="E49" s="54">
        <f>IFERROR(VLOOKUP(C49,SeriesPoints!$A$2:$B$51,2,FALSE),"")</f>
        <v>110</v>
      </c>
      <c r="F49" s="100" t="str">
        <f>IFERROR(VLOOKUP($D49,EntryList!$B$3:$V$291,21,FALSE),"")</f>
        <v>-</v>
      </c>
      <c r="G49" s="100" t="str">
        <f>IFERROR(VLOOKUP($D49,EntryList!$B$3:$N$596,5,FALSE),"")</f>
        <v>M</v>
      </c>
      <c r="H49" s="145" t="str">
        <f>IFERROR(VLOOKUP($D49,EntryList!$B$3:$N$596,6,FALSE),"")</f>
        <v>Master Men</v>
      </c>
      <c r="I49" s="59">
        <f>IFERROR(VLOOKUP($B49,OverallResults!$B$3:$Z$492,8,FALSE),"")</f>
        <v>5</v>
      </c>
      <c r="J49" s="57" t="str">
        <f>IFERROR(VLOOKUP($B49,OverallResults!$B$3:$BB$492,9,FALSE),"")</f>
        <v>00:03:47.5 (47)</v>
      </c>
      <c r="K49" s="57" t="str">
        <f>IFERROR(VLOOKUP($B49,OverallResults!$B$3:$BB$492,10,FALSE),"")</f>
        <v>00:03:54.0 (49)</v>
      </c>
      <c r="L49" s="57" t="str">
        <f>IFERROR(VLOOKUP($B49,OverallResults!$B$3:$BB$492,11,FALSE),"")</f>
        <v>00:02:08.0 (37)</v>
      </c>
      <c r="M49" s="57" t="str">
        <f>IFERROR(VLOOKUP($B49,OverallResults!$B$3:$BB$492,12,FALSE),"")</f>
        <v>00:04:18.8 (44)</v>
      </c>
      <c r="N49" s="57" t="str">
        <f>IFERROR(VLOOKUP($B49,OverallResults!$B$3:$BB$492,13,FALSE),"")</f>
        <v>00:05:22.5 (56)</v>
      </c>
      <c r="O49" s="58" t="str">
        <f>IFERROR(VLOOKUP($B49,OverallResults!$B$3:$BB$492,14,FALSE),"")</f>
        <v>DNS/DNF ()</v>
      </c>
      <c r="P49" s="58" t="str">
        <f>IFERROR(VLOOKUP($B49,OverallResults!$B$3:$BB$492,15,FALSE),"")</f>
        <v>DNS/DNF ()</v>
      </c>
      <c r="Q49" s="58" t="str">
        <f>IFERROR(VLOOKUP($B49,OverallResults!$B$3:$BB$492,16,FALSE),"")</f>
        <v>DNS/DNF ()</v>
      </c>
      <c r="R49" s="58" t="str">
        <f>IFERROR(VLOOKUP($B49,OverallResults!$B$3:$BB$492,17,FALSE),"")</f>
        <v>00:19:30.783</v>
      </c>
      <c r="S49" s="170" t="str">
        <f t="shared" si="0"/>
        <v>00:01</v>
      </c>
      <c r="T49" s="170" t="str">
        <f t="shared" si="1"/>
        <v>02:41</v>
      </c>
      <c r="U49" s="361">
        <f>IFERROR(VLOOKUP($D49,EntryList!$B$3:$S$291,18,FALSE),"")</f>
        <v>0</v>
      </c>
      <c r="V49" s="361">
        <f>IFERROR(VLOOKUP($D49,EntryList!$B$3:$S$291,17,FALSE),"")</f>
        <v>0</v>
      </c>
    </row>
    <row r="50" spans="2:22">
      <c r="B50" s="59">
        <v>45</v>
      </c>
      <c r="C50" s="59">
        <f>IFERROR(VLOOKUP($B50,OverallResults!$B$3:$Z$508,2,FALSE),"")</f>
        <v>6</v>
      </c>
      <c r="D50" s="90" t="str">
        <f>IFERROR(VLOOKUP($B50,OverallResults!$B$3:$Z$508,3,FALSE),"")</f>
        <v>Kevin De Kock</v>
      </c>
      <c r="E50" s="54">
        <f>IFERROR(VLOOKUP(C50,SeriesPoints!$A$2:$B$51,2,FALSE),"")</f>
        <v>120</v>
      </c>
      <c r="F50" s="100" t="str">
        <f>IFERROR(VLOOKUP($D50,EntryList!$B$3:$V$291,21,FALSE),"")</f>
        <v>-</v>
      </c>
      <c r="G50" s="100" t="str">
        <f>IFERROR(VLOOKUP($D50,EntryList!$B$3:$N$596,5,FALSE),"")</f>
        <v>M</v>
      </c>
      <c r="H50" s="145" t="str">
        <f>IFERROR(VLOOKUP($D50,EntryList!$B$3:$N$596,6,FALSE),"")</f>
        <v>Junior Men</v>
      </c>
      <c r="I50" s="59">
        <f>IFERROR(VLOOKUP($B50,OverallResults!$B$3:$Z$492,8,FALSE),"")</f>
        <v>5</v>
      </c>
      <c r="J50" s="57" t="str">
        <f>IFERROR(VLOOKUP($B50,OverallResults!$B$3:$BB$492,9,FALSE),"")</f>
        <v>00:03:44.3 (40)</v>
      </c>
      <c r="K50" s="57" t="str">
        <f>IFERROR(VLOOKUP($B50,OverallResults!$B$3:$BB$492,10,FALSE),"")</f>
        <v>00:03:55.0 (51)</v>
      </c>
      <c r="L50" s="57" t="str">
        <f>IFERROR(VLOOKUP($B50,OverallResults!$B$3:$BB$492,11,FALSE),"")</f>
        <v>00:02:11.6 (54)</v>
      </c>
      <c r="M50" s="57" t="str">
        <f>IFERROR(VLOOKUP($B50,OverallResults!$B$3:$BB$492,12,FALSE),"")</f>
        <v>00:04:18.9 (45)</v>
      </c>
      <c r="N50" s="57" t="str">
        <f>IFERROR(VLOOKUP($B50,OverallResults!$B$3:$BB$492,13,FALSE),"")</f>
        <v>00:05:21.4 (55)</v>
      </c>
      <c r="O50" s="58" t="str">
        <f>IFERROR(VLOOKUP($B50,OverallResults!$B$3:$BB$492,14,FALSE),"")</f>
        <v>DNS/DNF ()</v>
      </c>
      <c r="P50" s="58" t="str">
        <f>IFERROR(VLOOKUP($B50,OverallResults!$B$3:$BB$492,15,FALSE),"")</f>
        <v>DNS/DNF ()</v>
      </c>
      <c r="Q50" s="58" t="str">
        <f>IFERROR(VLOOKUP($B50,OverallResults!$B$3:$BB$492,16,FALSE),"")</f>
        <v>DNS/DNF ()</v>
      </c>
      <c r="R50" s="58" t="str">
        <f>IFERROR(VLOOKUP($B50,OverallResults!$B$3:$BB$492,17,FALSE),"")</f>
        <v>00:19:31.242</v>
      </c>
      <c r="S50" s="170" t="str">
        <f t="shared" si="0"/>
        <v>00:00</v>
      </c>
      <c r="T50" s="170" t="str">
        <f t="shared" si="1"/>
        <v>02:41</v>
      </c>
      <c r="U50" s="361" t="str">
        <f>IFERROR(VLOOKUP($D50,EntryList!$B$3:$S$291,18,FALSE),"")</f>
        <v/>
      </c>
      <c r="V50" s="361" t="str">
        <f>IFERROR(VLOOKUP($D50,EntryList!$B$3:$S$291,17,FALSE),"")</f>
        <v/>
      </c>
    </row>
    <row r="51" spans="2:22">
      <c r="B51" s="59">
        <v>46</v>
      </c>
      <c r="C51" s="59">
        <f>IFERROR(VLOOKUP($B51,OverallResults!$B$3:$Z$508,2,FALSE),"")</f>
        <v>9</v>
      </c>
      <c r="D51" s="90" t="str">
        <f>IFERROR(VLOOKUP($B51,OverallResults!$B$3:$Z$508,3,FALSE),"")</f>
        <v>Waldo De Wet</v>
      </c>
      <c r="E51" s="54">
        <f>IFERROR(VLOOKUP(C51,SeriesPoints!$A$2:$B$51,2,FALSE),"")</f>
        <v>105</v>
      </c>
      <c r="F51" s="100" t="str">
        <f>IFERROR(VLOOKUP($D51,EntryList!$B$3:$V$291,21,FALSE),"")</f>
        <v>-</v>
      </c>
      <c r="G51" s="100" t="str">
        <f>IFERROR(VLOOKUP($D51,EntryList!$B$3:$N$596,5,FALSE),"")</f>
        <v>M</v>
      </c>
      <c r="H51" s="145" t="str">
        <f>IFERROR(VLOOKUP($D51,EntryList!$B$3:$N$596,6,FALSE),"")</f>
        <v>Master Men</v>
      </c>
      <c r="I51" s="59">
        <f>IFERROR(VLOOKUP($B51,OverallResults!$B$3:$Z$492,8,FALSE),"")</f>
        <v>5</v>
      </c>
      <c r="J51" s="57" t="str">
        <f>IFERROR(VLOOKUP($B51,OverallResults!$B$3:$BB$492,9,FALSE),"")</f>
        <v>00:03:39.7 (34)</v>
      </c>
      <c r="K51" s="57" t="str">
        <f>IFERROR(VLOOKUP($B51,OverallResults!$B$3:$BB$492,10,FALSE),"")</f>
        <v>00:03:51.7 (40)</v>
      </c>
      <c r="L51" s="57" t="str">
        <f>IFERROR(VLOOKUP($B51,OverallResults!$B$3:$BB$492,11,FALSE),"")</f>
        <v>00:02:09.1 (39)</v>
      </c>
      <c r="M51" s="57" t="str">
        <f>IFERROR(VLOOKUP($B51,OverallResults!$B$3:$BB$492,12,FALSE),"")</f>
        <v>00:04:21.7 (48)</v>
      </c>
      <c r="N51" s="57" t="str">
        <f>IFERROR(VLOOKUP($B51,OverallResults!$B$3:$BB$492,13,FALSE),"")</f>
        <v>00:05:29.3 (65)</v>
      </c>
      <c r="O51" s="58" t="str">
        <f>IFERROR(VLOOKUP($B51,OverallResults!$B$3:$BB$492,14,FALSE),"")</f>
        <v>DNS/DNF ()</v>
      </c>
      <c r="P51" s="58" t="str">
        <f>IFERROR(VLOOKUP($B51,OverallResults!$B$3:$BB$492,15,FALSE),"")</f>
        <v>DNS/DNF ()</v>
      </c>
      <c r="Q51" s="58" t="str">
        <f>IFERROR(VLOOKUP($B51,OverallResults!$B$3:$BB$492,16,FALSE),"")</f>
        <v>DNS/DNF ()</v>
      </c>
      <c r="R51" s="58" t="str">
        <f>IFERROR(VLOOKUP($B51,OverallResults!$B$3:$BB$492,17,FALSE),"")</f>
        <v>00:19:31.557</v>
      </c>
      <c r="S51" s="170" t="str">
        <f t="shared" si="0"/>
        <v>00:00</v>
      </c>
      <c r="T51" s="170" t="str">
        <f t="shared" si="1"/>
        <v>02:42</v>
      </c>
      <c r="U51" s="361">
        <f>IFERROR(VLOOKUP($D51,EntryList!$B$3:$S$291,18,FALSE),"")</f>
        <v>0</v>
      </c>
      <c r="V51" s="361">
        <f>IFERROR(VLOOKUP($D51,EntryList!$B$3:$S$291,17,FALSE),"")</f>
        <v>0</v>
      </c>
    </row>
    <row r="52" spans="2:22">
      <c r="B52" s="59">
        <v>47</v>
      </c>
      <c r="C52" s="59">
        <f>IFERROR(VLOOKUP($B52,OverallResults!$B$3:$Z$508,2,FALSE),"")</f>
        <v>14</v>
      </c>
      <c r="D52" s="90" t="str">
        <f>IFERROR(VLOOKUP($B52,OverallResults!$B$3:$Z$508,3,FALSE),"")</f>
        <v>Ethan Paton</v>
      </c>
      <c r="E52" s="54">
        <f>IFERROR(VLOOKUP(C52,SeriesPoints!$A$2:$B$51,2,FALSE),"")</f>
        <v>84</v>
      </c>
      <c r="F52" s="100" t="str">
        <f>IFERROR(VLOOKUP($D52,EntryList!$B$3:$V$291,21,FALSE),"")</f>
        <v>-</v>
      </c>
      <c r="G52" s="100" t="str">
        <f>IFERROR(VLOOKUP($D52,EntryList!$B$3:$N$596,5,FALSE),"")</f>
        <v>M</v>
      </c>
      <c r="H52" s="145" t="str">
        <f>IFERROR(VLOOKUP($D52,EntryList!$B$3:$N$596,6,FALSE),"")</f>
        <v>Elite Men</v>
      </c>
      <c r="I52" s="59">
        <f>IFERROR(VLOOKUP($B52,OverallResults!$B$3:$Z$492,8,FALSE),"")</f>
        <v>5</v>
      </c>
      <c r="J52" s="57" t="str">
        <f>IFERROR(VLOOKUP($B52,OverallResults!$B$3:$BB$492,9,FALSE),"")</f>
        <v>00:04:03.7 (62)</v>
      </c>
      <c r="K52" s="57" t="str">
        <f>IFERROR(VLOOKUP($B52,OverallResults!$B$3:$BB$492,10,FALSE),"")</f>
        <v>00:03:44.6 (27)</v>
      </c>
      <c r="L52" s="57" t="str">
        <f>IFERROR(VLOOKUP($B52,OverallResults!$B$3:$BB$492,11,FALSE),"")</f>
        <v>00:02:21.0 (79)</v>
      </c>
      <c r="M52" s="57" t="str">
        <f>IFERROR(VLOOKUP($B52,OverallResults!$B$3:$BB$492,12,FALSE),"")</f>
        <v>00:04:17.7 (42)</v>
      </c>
      <c r="N52" s="57" t="str">
        <f>IFERROR(VLOOKUP($B52,OverallResults!$B$3:$BB$492,13,FALSE),"")</f>
        <v>00:05:10.7 (34)</v>
      </c>
      <c r="O52" s="58" t="str">
        <f>IFERROR(VLOOKUP($B52,OverallResults!$B$3:$BB$492,14,FALSE),"")</f>
        <v>DNS/DNF ()</v>
      </c>
      <c r="P52" s="58" t="str">
        <f>IFERROR(VLOOKUP($B52,OverallResults!$B$3:$BB$492,15,FALSE),"")</f>
        <v>DNS/DNF ()</v>
      </c>
      <c r="Q52" s="58" t="str">
        <f>IFERROR(VLOOKUP($B52,OverallResults!$B$3:$BB$492,16,FALSE),"")</f>
        <v>DNS/DNF ()</v>
      </c>
      <c r="R52" s="58" t="str">
        <f>IFERROR(VLOOKUP($B52,OverallResults!$B$3:$BB$492,17,FALSE),"")</f>
        <v>00:19:37.779</v>
      </c>
      <c r="S52" s="170" t="str">
        <f t="shared" si="0"/>
        <v>00:06</v>
      </c>
      <c r="T52" s="170" t="str">
        <f t="shared" si="1"/>
        <v>02:48</v>
      </c>
      <c r="U52" s="361">
        <f>IFERROR(VLOOKUP($D52,EntryList!$B$3:$S$291,18,FALSE),"")</f>
        <v>0</v>
      </c>
      <c r="V52" s="361">
        <f>IFERROR(VLOOKUP($D52,EntryList!$B$3:$S$291,17,FALSE),"")</f>
        <v>0</v>
      </c>
    </row>
    <row r="53" spans="2:22">
      <c r="B53" s="59">
        <v>48</v>
      </c>
      <c r="C53" s="59">
        <f>IFERROR(VLOOKUP($B53,OverallResults!$B$3:$Z$508,2,FALSE),"")</f>
        <v>10</v>
      </c>
      <c r="D53" s="90" t="str">
        <f>IFERROR(VLOOKUP($B53,OverallResults!$B$3:$Z$508,3,FALSE),"")</f>
        <v>Dr Katzen</v>
      </c>
      <c r="E53" s="54">
        <f>IFERROR(VLOOKUP(C53,SeriesPoints!$A$2:$B$51,2,FALSE),"")</f>
        <v>100</v>
      </c>
      <c r="F53" s="100" t="str">
        <f>IFERROR(VLOOKUP($D53,EntryList!$B$3:$V$291,21,FALSE),"")</f>
        <v>-</v>
      </c>
      <c r="G53" s="100" t="str">
        <f>IFERROR(VLOOKUP($D53,EntryList!$B$3:$N$596,5,FALSE),"")</f>
        <v>M</v>
      </c>
      <c r="H53" s="145" t="str">
        <f>IFERROR(VLOOKUP($D53,EntryList!$B$3:$N$596,6,FALSE),"")</f>
        <v>Master Men</v>
      </c>
      <c r="I53" s="59">
        <f>IFERROR(VLOOKUP($B53,OverallResults!$B$3:$Z$492,8,FALSE),"")</f>
        <v>5</v>
      </c>
      <c r="J53" s="57" t="str">
        <f>IFERROR(VLOOKUP($B53,OverallResults!$B$3:$BB$492,9,FALSE),"")</f>
        <v>00:03:54.3 (54)</v>
      </c>
      <c r="K53" s="57" t="str">
        <f>IFERROR(VLOOKUP($B53,OverallResults!$B$3:$BB$492,10,FALSE),"")</f>
        <v>00:03:53.9 (48)</v>
      </c>
      <c r="L53" s="57" t="str">
        <f>IFERROR(VLOOKUP($B53,OverallResults!$B$3:$BB$492,11,FALSE),"")</f>
        <v>00:02:13.8 (58)</v>
      </c>
      <c r="M53" s="57" t="str">
        <f>IFERROR(VLOOKUP($B53,OverallResults!$B$3:$BB$492,12,FALSE),"")</f>
        <v>00:04:22.3 (50)</v>
      </c>
      <c r="N53" s="57" t="str">
        <f>IFERROR(VLOOKUP($B53,OverallResults!$B$3:$BB$492,13,FALSE),"")</f>
        <v>00:05:17.6 (49)</v>
      </c>
      <c r="O53" s="58" t="str">
        <f>IFERROR(VLOOKUP($B53,OverallResults!$B$3:$BB$492,14,FALSE),"")</f>
        <v>DNS/DNF ()</v>
      </c>
      <c r="P53" s="58" t="str">
        <f>IFERROR(VLOOKUP($B53,OverallResults!$B$3:$BB$492,15,FALSE),"")</f>
        <v>DNS/DNF ()</v>
      </c>
      <c r="Q53" s="58" t="str">
        <f>IFERROR(VLOOKUP($B53,OverallResults!$B$3:$BB$492,16,FALSE),"")</f>
        <v>DNS/DNF ()</v>
      </c>
      <c r="R53" s="58" t="str">
        <f>IFERROR(VLOOKUP($B53,OverallResults!$B$3:$BB$492,17,FALSE),"")</f>
        <v>00:19:41.882</v>
      </c>
      <c r="S53" s="170" t="str">
        <f t="shared" si="0"/>
        <v>00:04</v>
      </c>
      <c r="T53" s="170" t="str">
        <f t="shared" si="1"/>
        <v>02:52</v>
      </c>
      <c r="U53" s="361">
        <f>IFERROR(VLOOKUP($D53,EntryList!$B$3:$S$291,18,FALSE),"")</f>
        <v>0</v>
      </c>
      <c r="V53" s="361">
        <f>IFERROR(VLOOKUP($D53,EntryList!$B$3:$S$291,17,FALSE),"")</f>
        <v>0</v>
      </c>
    </row>
    <row r="54" spans="2:22">
      <c r="B54" s="59">
        <v>49</v>
      </c>
      <c r="C54" s="59">
        <f>IFERROR(VLOOKUP($B54,OverallResults!$B$3:$Z$508,2,FALSE),"")</f>
        <v>1</v>
      </c>
      <c r="D54" s="90" t="str">
        <f>IFERROR(VLOOKUP($B54,OverallResults!$B$3:$Z$508,3,FALSE),"")</f>
        <v>Frankie Du Toit</v>
      </c>
      <c r="E54" s="54">
        <f>IFERROR(VLOOKUP(C54,SeriesPoints!$A$2:$B$51,2,FALSE),"")</f>
        <v>200</v>
      </c>
      <c r="F54" s="100" t="str">
        <f>IFERROR(VLOOKUP($D54,EntryList!$B$3:$V$291,21,FALSE),"")</f>
        <v>-</v>
      </c>
      <c r="G54" s="100" t="str">
        <f>IFERROR(VLOOKUP($D54,EntryList!$B$3:$N$596,5,FALSE),"")</f>
        <v>F</v>
      </c>
      <c r="H54" s="145" t="str">
        <f>IFERROR(VLOOKUP($D54,EntryList!$B$3:$N$596,6,FALSE),"")</f>
        <v>Elite Women</v>
      </c>
      <c r="I54" s="59">
        <f>IFERROR(VLOOKUP($B54,OverallResults!$B$3:$Z$492,8,FALSE),"")</f>
        <v>5</v>
      </c>
      <c r="J54" s="57" t="str">
        <f>IFERROR(VLOOKUP($B54,OverallResults!$B$3:$BB$492,9,FALSE),"")</f>
        <v>00:04:01.3 (58)</v>
      </c>
      <c r="K54" s="57" t="str">
        <f>IFERROR(VLOOKUP($B54,OverallResults!$B$3:$BB$492,10,FALSE),"")</f>
        <v>00:03:52.2 (42)</v>
      </c>
      <c r="L54" s="57" t="str">
        <f>IFERROR(VLOOKUP($B54,OverallResults!$B$3:$BB$492,11,FALSE),"")</f>
        <v>00:02:11.1 (52)</v>
      </c>
      <c r="M54" s="57" t="str">
        <f>IFERROR(VLOOKUP($B54,OverallResults!$B$3:$BB$492,12,FALSE),"")</f>
        <v>00:04:22.8 (52)</v>
      </c>
      <c r="N54" s="57" t="str">
        <f>IFERROR(VLOOKUP($B54,OverallResults!$B$3:$BB$492,13,FALSE),"")</f>
        <v>00:05:15.0 (43)</v>
      </c>
      <c r="O54" s="58" t="str">
        <f>IFERROR(VLOOKUP($B54,OverallResults!$B$3:$BB$492,14,FALSE),"")</f>
        <v>DNS/DNF ()</v>
      </c>
      <c r="P54" s="58" t="str">
        <f>IFERROR(VLOOKUP($B54,OverallResults!$B$3:$BB$492,15,FALSE),"")</f>
        <v>DNS/DNF ()</v>
      </c>
      <c r="Q54" s="58" t="str">
        <f>IFERROR(VLOOKUP($B54,OverallResults!$B$3:$BB$492,16,FALSE),"")</f>
        <v>DNS/DNF ()</v>
      </c>
      <c r="R54" s="58" t="str">
        <f>IFERROR(VLOOKUP($B54,OverallResults!$B$3:$BB$492,17,FALSE),"")</f>
        <v>00:19:42.485</v>
      </c>
      <c r="S54" s="170" t="str">
        <f t="shared" si="0"/>
        <v>00:01</v>
      </c>
      <c r="T54" s="170" t="str">
        <f t="shared" si="1"/>
        <v>02:52</v>
      </c>
      <c r="U54" s="361">
        <f>IFERROR(VLOOKUP($D54,EntryList!$B$3:$S$291,18,FALSE),"")</f>
        <v>0</v>
      </c>
      <c r="V54" s="361">
        <f>IFERROR(VLOOKUP($D54,EntryList!$B$3:$S$291,17,FALSE),"")</f>
        <v>0</v>
      </c>
    </row>
    <row r="55" spans="2:22">
      <c r="B55" s="59">
        <v>50</v>
      </c>
      <c r="C55" s="59">
        <f>IFERROR(VLOOKUP($B55,OverallResults!$B$3:$Z$508,2,FALSE),"")</f>
        <v>12</v>
      </c>
      <c r="D55" s="90" t="str">
        <f>IFERROR(VLOOKUP($B55,OverallResults!$B$3:$Z$508,3,FALSE),"")</f>
        <v>Zivan Venter</v>
      </c>
      <c r="E55" s="54">
        <f>IFERROR(VLOOKUP(C55,SeriesPoints!$A$2:$B$51,2,FALSE),"")</f>
        <v>92</v>
      </c>
      <c r="F55" s="100" t="str">
        <f>IFERROR(VLOOKUP($D55,EntryList!$B$3:$V$291,21,FALSE),"")</f>
        <v>-</v>
      </c>
      <c r="G55" s="100" t="str">
        <f>IFERROR(VLOOKUP($D55,EntryList!$B$3:$N$596,5,FALSE),"")</f>
        <v>M</v>
      </c>
      <c r="H55" s="145" t="str">
        <f>IFERROR(VLOOKUP($D55,EntryList!$B$3:$N$596,6,FALSE),"")</f>
        <v>Youth Men</v>
      </c>
      <c r="I55" s="59">
        <f>IFERROR(VLOOKUP($B55,OverallResults!$B$3:$Z$492,8,FALSE),"")</f>
        <v>5</v>
      </c>
      <c r="J55" s="57" t="str">
        <f>IFERROR(VLOOKUP($B55,OverallResults!$B$3:$BB$492,9,FALSE),"")</f>
        <v>00:03:51.9 (51)</v>
      </c>
      <c r="K55" s="57" t="str">
        <f>IFERROR(VLOOKUP($B55,OverallResults!$B$3:$BB$492,10,FALSE),"")</f>
        <v>00:03:58.1 (57)</v>
      </c>
      <c r="L55" s="57" t="str">
        <f>IFERROR(VLOOKUP($B55,OverallResults!$B$3:$BB$492,11,FALSE),"")</f>
        <v>00:02:10.6 (48)</v>
      </c>
      <c r="M55" s="57" t="str">
        <f>IFERROR(VLOOKUP($B55,OverallResults!$B$3:$BB$492,12,FALSE),"")</f>
        <v>00:04:24.5 (56)</v>
      </c>
      <c r="N55" s="57" t="str">
        <f>IFERROR(VLOOKUP($B55,OverallResults!$B$3:$BB$492,13,FALSE),"")</f>
        <v>00:05:20.1 (52)</v>
      </c>
      <c r="O55" s="58" t="str">
        <f>IFERROR(VLOOKUP($B55,OverallResults!$B$3:$BB$492,14,FALSE),"")</f>
        <v>DNS/DNF ()</v>
      </c>
      <c r="P55" s="58" t="str">
        <f>IFERROR(VLOOKUP($B55,OverallResults!$B$3:$BB$492,15,FALSE),"")</f>
        <v>DNS/DNF ()</v>
      </c>
      <c r="Q55" s="58" t="str">
        <f>IFERROR(VLOOKUP($B55,OverallResults!$B$3:$BB$492,16,FALSE),"")</f>
        <v>DNS/DNF ()</v>
      </c>
      <c r="R55" s="58" t="str">
        <f>IFERROR(VLOOKUP($B55,OverallResults!$B$3:$BB$492,17,FALSE),"")</f>
        <v>00:19:45.178</v>
      </c>
      <c r="S55" s="170" t="str">
        <f t="shared" si="0"/>
        <v>00:03</v>
      </c>
      <c r="T55" s="170" t="str">
        <f t="shared" si="1"/>
        <v>02:55</v>
      </c>
      <c r="U55" s="361">
        <f>IFERROR(VLOOKUP($D55,EntryList!$B$3:$S$291,18,FALSE),"")</f>
        <v>0</v>
      </c>
      <c r="V55" s="361">
        <f>IFERROR(VLOOKUP($D55,EntryList!$B$3:$S$291,17,FALSE),"")</f>
        <v>0</v>
      </c>
    </row>
    <row r="56" spans="2:22">
      <c r="B56" s="59">
        <v>51</v>
      </c>
      <c r="C56" s="59">
        <f>IFERROR(VLOOKUP($B56,OverallResults!$B$3:$Z$508,2,FALSE),"")</f>
        <v>13</v>
      </c>
      <c r="D56" s="90" t="str">
        <f>IFERROR(VLOOKUP($B56,OverallResults!$B$3:$Z$508,3,FALSE),"")</f>
        <v>Daniel Fairbrother</v>
      </c>
      <c r="E56" s="54">
        <f>IFERROR(VLOOKUP(C56,SeriesPoints!$A$2:$B$51,2,FALSE),"")</f>
        <v>88</v>
      </c>
      <c r="F56" s="100" t="str">
        <f>IFERROR(VLOOKUP($D56,EntryList!$B$3:$V$291,21,FALSE),"")</f>
        <v>-</v>
      </c>
      <c r="G56" s="100" t="str">
        <f>IFERROR(VLOOKUP($D56,EntryList!$B$3:$N$596,5,FALSE),"")</f>
        <v>M</v>
      </c>
      <c r="H56" s="145" t="str">
        <f>IFERROR(VLOOKUP($D56,EntryList!$B$3:$N$596,6,FALSE),"")</f>
        <v>Youth Men</v>
      </c>
      <c r="I56" s="59">
        <f>IFERROR(VLOOKUP($B56,OverallResults!$B$3:$Z$492,8,FALSE),"")</f>
        <v>5</v>
      </c>
      <c r="J56" s="57" t="str">
        <f>IFERROR(VLOOKUP($B56,OverallResults!$B$3:$BB$492,9,FALSE),"")</f>
        <v>00:04:00.0 (56)</v>
      </c>
      <c r="K56" s="57" t="str">
        <f>IFERROR(VLOOKUP($B56,OverallResults!$B$3:$BB$492,10,FALSE),"")</f>
        <v>00:04:01.7 (66)</v>
      </c>
      <c r="L56" s="57" t="str">
        <f>IFERROR(VLOOKUP($B56,OverallResults!$B$3:$BB$492,11,FALSE),"")</f>
        <v>00:02:08.7 (38)</v>
      </c>
      <c r="M56" s="57" t="str">
        <f>IFERROR(VLOOKUP($B56,OverallResults!$B$3:$BB$492,12,FALSE),"")</f>
        <v>00:04:21.8 (49)</v>
      </c>
      <c r="N56" s="57" t="str">
        <f>IFERROR(VLOOKUP($B56,OverallResults!$B$3:$BB$492,13,FALSE),"")</f>
        <v>00:05:20.3 (53)</v>
      </c>
      <c r="O56" s="58" t="str">
        <f>IFERROR(VLOOKUP($B56,OverallResults!$B$3:$BB$492,14,FALSE),"")</f>
        <v>DNS/DNF ()</v>
      </c>
      <c r="P56" s="58" t="str">
        <f>IFERROR(VLOOKUP($B56,OverallResults!$B$3:$BB$492,15,FALSE),"")</f>
        <v>DNS/DNF ()</v>
      </c>
      <c r="Q56" s="58" t="str">
        <f>IFERROR(VLOOKUP($B56,OverallResults!$B$3:$BB$492,16,FALSE),"")</f>
        <v>DNS/DNF ()</v>
      </c>
      <c r="R56" s="58" t="str">
        <f>IFERROR(VLOOKUP($B56,OverallResults!$B$3:$BB$492,17,FALSE),"")</f>
        <v>00:19:52.577</v>
      </c>
      <c r="S56" s="170" t="str">
        <f t="shared" si="0"/>
        <v>00:07</v>
      </c>
      <c r="T56" s="170" t="str">
        <f t="shared" si="1"/>
        <v>03:03</v>
      </c>
      <c r="U56" s="361">
        <f>IFERROR(VLOOKUP($D56,EntryList!$B$3:$S$291,18,FALSE),"")</f>
        <v>0</v>
      </c>
      <c r="V56" s="361">
        <f>IFERROR(VLOOKUP($D56,EntryList!$B$3:$S$291,17,FALSE),"")</f>
        <v>0</v>
      </c>
    </row>
    <row r="57" spans="2:22">
      <c r="B57" s="59">
        <v>52</v>
      </c>
      <c r="C57" s="59">
        <f>IFERROR(VLOOKUP($B57,OverallResults!$B$3:$Z$508,2,FALSE),"")</f>
        <v>7</v>
      </c>
      <c r="D57" s="149" t="str">
        <f>IFERROR(VLOOKUP($B57,OverallResults!$B$3:$Z$508,3,FALSE),"")</f>
        <v>Nic Kenny</v>
      </c>
      <c r="E57" s="146">
        <f>IFERROR(VLOOKUP(C57,SeriesPoints!$A$2:$B$51,2,FALSE),"")</f>
        <v>115</v>
      </c>
      <c r="F57" s="148" t="str">
        <f>IFERROR(VLOOKUP($D57,EntryList!$B$3:$V$291,21,FALSE),"")</f>
        <v>-</v>
      </c>
      <c r="G57" s="100" t="str">
        <f>IFERROR(VLOOKUP($D57,EntryList!$B$3:$N$596,5,FALSE),"")</f>
        <v>M</v>
      </c>
      <c r="H57" s="145" t="str">
        <f>IFERROR(VLOOKUP($D57,EntryList!$B$3:$N$596,6,FALSE),"")</f>
        <v>Junior Men</v>
      </c>
      <c r="I57" s="59">
        <f>IFERROR(VLOOKUP($B57,OverallResults!$B$3:$Z$492,8,FALSE),"")</f>
        <v>5</v>
      </c>
      <c r="J57" s="57" t="str">
        <f>IFERROR(VLOOKUP($B57,OverallResults!$B$3:$BB$492,9,FALSE),"")</f>
        <v>00:03:44.7 (42)</v>
      </c>
      <c r="K57" s="58" t="str">
        <f>IFERROR(VLOOKUP($B57,OverallResults!$B$3:$BB$492,10,FALSE),"")</f>
        <v>00:04:01.7 (65)</v>
      </c>
      <c r="L57" s="57" t="str">
        <f>IFERROR(VLOOKUP($B57,OverallResults!$B$3:$BB$492,11,FALSE),"")</f>
        <v>00:02:12.9 (57)</v>
      </c>
      <c r="M57" s="57" t="str">
        <f>IFERROR(VLOOKUP($B57,OverallResults!$B$3:$BB$492,12,FALSE),"")</f>
        <v>00:04:24.0 (55)</v>
      </c>
      <c r="N57" s="58" t="str">
        <f>IFERROR(VLOOKUP($B57,OverallResults!$B$3:$BB$492,13,FALSE),"")</f>
        <v>00:05:40.0 (85)</v>
      </c>
      <c r="O57" s="58" t="str">
        <f>IFERROR(VLOOKUP($B57,OverallResults!$B$3:$BB$492,14,FALSE),"")</f>
        <v>DNS/DNF ()</v>
      </c>
      <c r="P57" s="58" t="str">
        <f>IFERROR(VLOOKUP($B57,OverallResults!$B$3:$BB$492,15,FALSE),"")</f>
        <v>DNS/DNF ()</v>
      </c>
      <c r="Q57" s="58" t="str">
        <f>IFERROR(VLOOKUP($B57,OverallResults!$B$3:$BB$492,16,FALSE),"")</f>
        <v>DNS/DNF ()</v>
      </c>
      <c r="R57" s="58" t="str">
        <f>IFERROR(VLOOKUP($B57,OverallResults!$B$3:$BB$492,17,FALSE),"")</f>
        <v>00:20:03.226</v>
      </c>
      <c r="S57" s="170" t="str">
        <f t="shared" si="0"/>
        <v>00:11</v>
      </c>
      <c r="T57" s="170" t="str">
        <f t="shared" si="1"/>
        <v>03:13</v>
      </c>
      <c r="U57" s="361">
        <f>IFERROR(VLOOKUP($D57,EntryList!$B$3:$S$291,18,FALSE),"")</f>
        <v>0</v>
      </c>
      <c r="V57" s="361">
        <f>IFERROR(VLOOKUP($D57,EntryList!$B$3:$S$291,17,FALSE),"")</f>
        <v>0</v>
      </c>
    </row>
    <row r="58" spans="2:22">
      <c r="B58" s="59">
        <v>53</v>
      </c>
      <c r="C58" s="59">
        <f>IFERROR(VLOOKUP($B58,OverallResults!$B$3:$Z$508,2,FALSE),"")</f>
        <v>11</v>
      </c>
      <c r="D58" s="149" t="str">
        <f>IFERROR(VLOOKUP($B58,OverallResults!$B$3:$Z$508,3,FALSE),"")</f>
        <v>Matthias Christen</v>
      </c>
      <c r="E58" s="146">
        <f>IFERROR(VLOOKUP(C58,SeriesPoints!$A$2:$B$51,2,FALSE),"")</f>
        <v>96</v>
      </c>
      <c r="F58" s="148" t="str">
        <f>IFERROR(VLOOKUP($D58,EntryList!$B$3:$V$291,21,FALSE),"")</f>
        <v>-</v>
      </c>
      <c r="G58" s="100" t="str">
        <f>IFERROR(VLOOKUP($D58,EntryList!$B$3:$N$596,5,FALSE),"")</f>
        <v>M</v>
      </c>
      <c r="H58" s="145" t="str">
        <f>IFERROR(VLOOKUP($D58,EntryList!$B$3:$N$596,6,FALSE),"")</f>
        <v>Master Men</v>
      </c>
      <c r="I58" s="59">
        <f>IFERROR(VLOOKUP($B58,OverallResults!$B$3:$Z$492,8,FALSE),"")</f>
        <v>5</v>
      </c>
      <c r="J58" s="57" t="str">
        <f>IFERROR(VLOOKUP($B58,OverallResults!$B$3:$BB$492,9,FALSE),"")</f>
        <v>00:04:03.4 (60)</v>
      </c>
      <c r="K58" s="58" t="str">
        <f>IFERROR(VLOOKUP($B58,OverallResults!$B$3:$BB$492,10,FALSE),"")</f>
        <v>00:04:01.9 (67)</v>
      </c>
      <c r="L58" s="57" t="str">
        <f>IFERROR(VLOOKUP($B58,OverallResults!$B$3:$BB$492,11,FALSE),"")</f>
        <v>00:02:17.9 (72)</v>
      </c>
      <c r="M58" s="57" t="str">
        <f>IFERROR(VLOOKUP($B58,OverallResults!$B$3:$BB$492,12,FALSE),"")</f>
        <v>00:04:20.4 (47)</v>
      </c>
      <c r="N58" s="58" t="str">
        <f>IFERROR(VLOOKUP($B58,OverallResults!$B$3:$BB$492,13,FALSE),"")</f>
        <v>00:05:27.9 (63)</v>
      </c>
      <c r="O58" s="58" t="str">
        <f>IFERROR(VLOOKUP($B58,OverallResults!$B$3:$BB$492,14,FALSE),"")</f>
        <v>DNS/DNF ()</v>
      </c>
      <c r="P58" s="58" t="str">
        <f>IFERROR(VLOOKUP($B58,OverallResults!$B$3:$BB$492,15,FALSE),"")</f>
        <v>DNS/DNF ()</v>
      </c>
      <c r="Q58" s="58" t="str">
        <f>IFERROR(VLOOKUP($B58,OverallResults!$B$3:$BB$492,16,FALSE),"")</f>
        <v>DNS/DNF ()</v>
      </c>
      <c r="R58" s="58" t="str">
        <f>IFERROR(VLOOKUP($B58,OverallResults!$B$3:$BB$492,17,FALSE),"")</f>
        <v>00:20:11.458</v>
      </c>
      <c r="S58" s="170" t="str">
        <f>IFERROR(TEXT(($R58-#REF!),"mm:ss"),"N/A")</f>
        <v>N/A</v>
      </c>
      <c r="T58" s="170" t="e">
        <f>IF($I58-#REF!&lt;0,"N/A",IFERROR(TEXT(($R58-$R$6),"mm:ss"),"N/A"))</f>
        <v>#REF!</v>
      </c>
      <c r="U58" s="361">
        <f>IFERROR(VLOOKUP($D58,EntryList!$B$3:$S$291,18,FALSE),"")</f>
        <v>0</v>
      </c>
      <c r="V58" s="361">
        <f>IFERROR(VLOOKUP($D58,EntryList!$B$3:$S$291,17,FALSE),"")</f>
        <v>0</v>
      </c>
    </row>
    <row r="59" spans="2:22">
      <c r="B59" s="59">
        <v>54</v>
      </c>
      <c r="C59" s="59">
        <f>IFERROR(VLOOKUP($B59,OverallResults!$B$3:$Z$508,2,FALSE),"")</f>
        <v>12</v>
      </c>
      <c r="D59" s="149" t="str">
        <f>IFERROR(VLOOKUP($B59,OverallResults!$B$3:$Z$508,3,FALSE),"")</f>
        <v>Dale Barnard</v>
      </c>
      <c r="E59" s="146">
        <f>IFERROR(VLOOKUP(C59,SeriesPoints!$A$2:$B$51,2,FALSE),"")</f>
        <v>92</v>
      </c>
      <c r="F59" s="148" t="str">
        <f>IFERROR(VLOOKUP($D59,EntryList!$B$3:$V$291,21,FALSE),"")</f>
        <v>-</v>
      </c>
      <c r="G59" s="100" t="str">
        <f>IFERROR(VLOOKUP($D59,EntryList!$B$3:$N$596,5,FALSE),"")</f>
        <v>M</v>
      </c>
      <c r="H59" s="145" t="str">
        <f>IFERROR(VLOOKUP($D59,EntryList!$B$3:$N$596,6,FALSE),"")</f>
        <v>Master Men</v>
      </c>
      <c r="I59" s="59">
        <f>IFERROR(VLOOKUP($B59,OverallResults!$B$3:$Z$492,8,FALSE),"")</f>
        <v>5</v>
      </c>
      <c r="J59" s="57" t="str">
        <f>IFERROR(VLOOKUP($B59,OverallResults!$B$3:$BB$492,9,FALSE),"")</f>
        <v>00:04:06.1 (65)</v>
      </c>
      <c r="K59" s="58" t="str">
        <f>IFERROR(VLOOKUP($B59,OverallResults!$B$3:$BB$492,10,FALSE),"")</f>
        <v>00:04:01.4 (62)</v>
      </c>
      <c r="L59" s="57" t="str">
        <f>IFERROR(VLOOKUP($B59,OverallResults!$B$3:$BB$492,11,FALSE),"")</f>
        <v>00:02:12.6 (56)</v>
      </c>
      <c r="M59" s="57" t="str">
        <f>IFERROR(VLOOKUP($B59,OverallResults!$B$3:$BB$492,12,FALSE),"")</f>
        <v>00:04:29.7 (59)</v>
      </c>
      <c r="N59" s="58" t="str">
        <f>IFERROR(VLOOKUP($B59,OverallResults!$B$3:$BB$492,13,FALSE),"")</f>
        <v>00:05:28.0 (64)</v>
      </c>
      <c r="O59" s="58" t="str">
        <f>IFERROR(VLOOKUP($B59,OverallResults!$B$3:$BB$492,14,FALSE),"")</f>
        <v>DNS/DNF ()</v>
      </c>
      <c r="P59" s="58" t="str">
        <f>IFERROR(VLOOKUP($B59,OverallResults!$B$3:$BB$492,15,FALSE),"")</f>
        <v>DNS/DNF ()</v>
      </c>
      <c r="Q59" s="58" t="str">
        <f>IFERROR(VLOOKUP($B59,OverallResults!$B$3:$BB$492,16,FALSE),"")</f>
        <v>DNS/DNF ()</v>
      </c>
      <c r="R59" s="58" t="str">
        <f>IFERROR(VLOOKUP($B59,OverallResults!$B$3:$BB$492,17,FALSE),"")</f>
        <v>00:20:17.791</v>
      </c>
      <c r="S59" s="170" t="str">
        <f>IFERROR(TEXT(($R59-#REF!),"mm:ss"),"N/A")</f>
        <v>N/A</v>
      </c>
      <c r="T59" s="170" t="e">
        <f>IF($I59-#REF!&lt;0,"N/A",IFERROR(TEXT(($R59-$R$6),"mm:ss"),"N/A"))</f>
        <v>#REF!</v>
      </c>
      <c r="U59" s="361">
        <f>IFERROR(VLOOKUP($D59,EntryList!$B$3:$S$291,18,FALSE),"")</f>
        <v>0</v>
      </c>
      <c r="V59" s="361">
        <f>IFERROR(VLOOKUP($D59,EntryList!$B$3:$S$291,17,FALSE),"")</f>
        <v>0</v>
      </c>
    </row>
    <row r="60" spans="2:22">
      <c r="B60" s="59">
        <v>55</v>
      </c>
      <c r="C60" s="59">
        <f>IFERROR(VLOOKUP($B60,OverallResults!$B$3:$Z$508,2,FALSE),"")</f>
        <v>14</v>
      </c>
      <c r="D60" s="149" t="str">
        <f>IFERROR(VLOOKUP($B60,OverallResults!$B$3:$Z$508,3,FALSE),"")</f>
        <v>Jano Gildenhuys</v>
      </c>
      <c r="E60" s="146">
        <f>IFERROR(VLOOKUP(C60,SeriesPoints!$A$2:$B$51,2,FALSE),"")</f>
        <v>84</v>
      </c>
      <c r="F60" s="148" t="str">
        <f>IFERROR(VLOOKUP($D60,EntryList!$B$3:$V$291,21,FALSE),"")</f>
        <v>-</v>
      </c>
      <c r="G60" s="100" t="str">
        <f>IFERROR(VLOOKUP($D60,EntryList!$B$3:$N$596,5,FALSE),"")</f>
        <v>M</v>
      </c>
      <c r="H60" s="145" t="str">
        <f>IFERROR(VLOOKUP($D60,EntryList!$B$3:$N$596,6,FALSE),"")</f>
        <v>Youth Men</v>
      </c>
      <c r="I60" s="59">
        <f>IFERROR(VLOOKUP($B60,OverallResults!$B$3:$Z$492,8,FALSE),"")</f>
        <v>5</v>
      </c>
      <c r="J60" s="57" t="str">
        <f>IFERROR(VLOOKUP($B60,OverallResults!$B$3:$BB$492,9,FALSE),"")</f>
        <v>00:03:52.1 (52)</v>
      </c>
      <c r="K60" s="58" t="str">
        <f>IFERROR(VLOOKUP($B60,OverallResults!$B$3:$BB$492,10,FALSE),"")</f>
        <v>00:04:16.2 (98)</v>
      </c>
      <c r="L60" s="57" t="str">
        <f>IFERROR(VLOOKUP($B60,OverallResults!$B$3:$BB$492,11,FALSE),"")</f>
        <v>00:02:12.2 (55)</v>
      </c>
      <c r="M60" s="57" t="str">
        <f>IFERROR(VLOOKUP($B60,OverallResults!$B$3:$BB$492,12,FALSE),"")</f>
        <v>00:04:22.3 (51)</v>
      </c>
      <c r="N60" s="58" t="str">
        <f>IFERROR(VLOOKUP($B60,OverallResults!$B$3:$BB$492,13,FALSE),"")</f>
        <v>00:05:41.4 (89)</v>
      </c>
      <c r="O60" s="58" t="str">
        <f>IFERROR(VLOOKUP($B60,OverallResults!$B$3:$BB$492,14,FALSE),"")</f>
        <v>DNS/DNF ()</v>
      </c>
      <c r="P60" s="58" t="str">
        <f>IFERROR(VLOOKUP($B60,OverallResults!$B$3:$BB$492,15,FALSE),"")</f>
        <v>DNS/DNF ()</v>
      </c>
      <c r="Q60" s="58" t="str">
        <f>IFERROR(VLOOKUP($B60,OverallResults!$B$3:$BB$492,16,FALSE),"")</f>
        <v>DNS/DNF ()</v>
      </c>
      <c r="R60" s="58" t="str">
        <f>IFERROR(VLOOKUP($B60,OverallResults!$B$3:$BB$492,17,FALSE),"")</f>
        <v>00:20:24.207</v>
      </c>
      <c r="S60" s="170" t="str">
        <f t="shared" si="0"/>
        <v>00:06</v>
      </c>
      <c r="T60" s="170" t="str">
        <f t="shared" si="1"/>
        <v>03:34</v>
      </c>
      <c r="U60" s="361">
        <f>IFERROR(VLOOKUP($D60,EntryList!$B$3:$S$291,18,FALSE),"")</f>
        <v>0</v>
      </c>
      <c r="V60" s="361">
        <f>IFERROR(VLOOKUP($D60,EntryList!$B$3:$S$291,17,FALSE),"")</f>
        <v>0</v>
      </c>
    </row>
    <row r="61" spans="2:22">
      <c r="B61" s="59">
        <v>56</v>
      </c>
      <c r="C61" s="59">
        <f>IFERROR(VLOOKUP($B61,OverallResults!$B$3:$Z$508,2,FALSE),"")</f>
        <v>8</v>
      </c>
      <c r="D61" s="149" t="str">
        <f>IFERROR(VLOOKUP($B61,OverallResults!$B$3:$Z$508,3,FALSE),"")</f>
        <v>Dewald Oosthuizen</v>
      </c>
      <c r="E61" s="146">
        <f>IFERROR(VLOOKUP(C61,SeriesPoints!$A$2:$B$51,2,FALSE),"")</f>
        <v>110</v>
      </c>
      <c r="F61" s="148" t="str">
        <f>IFERROR(VLOOKUP($D61,EntryList!$B$3:$V$291,21,FALSE),"")</f>
        <v>-</v>
      </c>
      <c r="G61" s="100" t="str">
        <f>IFERROR(VLOOKUP($D61,EntryList!$B$3:$N$596,5,FALSE),"")</f>
        <v>M</v>
      </c>
      <c r="H61" s="145" t="str">
        <f>IFERROR(VLOOKUP($D61,EntryList!$B$3:$N$596,6,FALSE),"")</f>
        <v>E-Bike M</v>
      </c>
      <c r="I61" s="59">
        <f>IFERROR(VLOOKUP($B61,OverallResults!$B$3:$Z$492,8,FALSE),"")</f>
        <v>5</v>
      </c>
      <c r="J61" s="57" t="str">
        <f>IFERROR(VLOOKUP($B61,OverallResults!$B$3:$BB$492,9,FALSE),"")</f>
        <v>00:04:03.6 (61)</v>
      </c>
      <c r="K61" s="58" t="str">
        <f>IFERROR(VLOOKUP($B61,OverallResults!$B$3:$BB$492,10,FALSE),"")</f>
        <v>00:04:02.9 (69)</v>
      </c>
      <c r="L61" s="57" t="str">
        <f>IFERROR(VLOOKUP($B61,OverallResults!$B$3:$BB$492,11,FALSE),"")</f>
        <v>00:02:18.8 (73)</v>
      </c>
      <c r="M61" s="57" t="str">
        <f>IFERROR(VLOOKUP($B61,OverallResults!$B$3:$BB$492,12,FALSE),"")</f>
        <v>00:04:30.8 (62)</v>
      </c>
      <c r="N61" s="58" t="str">
        <f>IFERROR(VLOOKUP($B61,OverallResults!$B$3:$BB$492,13,FALSE),"")</f>
        <v>00:05:30.0 (66)</v>
      </c>
      <c r="O61" s="58" t="str">
        <f>IFERROR(VLOOKUP($B61,OverallResults!$B$3:$BB$492,14,FALSE),"")</f>
        <v>DNS/DNF ()</v>
      </c>
      <c r="P61" s="58" t="str">
        <f>IFERROR(VLOOKUP($B61,OverallResults!$B$3:$BB$492,15,FALSE),"")</f>
        <v>DNS/DNF ()</v>
      </c>
      <c r="Q61" s="58" t="str">
        <f>IFERROR(VLOOKUP($B61,OverallResults!$B$3:$BB$492,16,FALSE),"")</f>
        <v>DNS/DNF ()</v>
      </c>
      <c r="R61" s="58" t="str">
        <f>IFERROR(VLOOKUP($B61,OverallResults!$B$3:$BB$492,17,FALSE),"")</f>
        <v>00:20:26.072</v>
      </c>
      <c r="S61" s="170" t="str">
        <f t="shared" si="0"/>
        <v>00:02</v>
      </c>
      <c r="T61" s="170" t="str">
        <f t="shared" si="1"/>
        <v>03:36</v>
      </c>
      <c r="U61" s="361" t="str">
        <f>IFERROR(VLOOKUP($D61,EntryList!$B$3:$S$291,18,FALSE),"")</f>
        <v/>
      </c>
      <c r="V61" s="361" t="str">
        <f>IFERROR(VLOOKUP($D61,EntryList!$B$3:$S$291,17,FALSE),"")</f>
        <v/>
      </c>
    </row>
    <row r="62" spans="2:22">
      <c r="B62" s="59">
        <v>57</v>
      </c>
      <c r="C62" s="59">
        <f>IFERROR(VLOOKUP($B62,OverallResults!$B$3:$Z$508,2,FALSE),"")</f>
        <v>9</v>
      </c>
      <c r="D62" s="149" t="str">
        <f>IFERROR(VLOOKUP($B62,OverallResults!$B$3:$Z$508,3,FALSE),"")</f>
        <v>Marc Carr</v>
      </c>
      <c r="E62" s="146">
        <f>IFERROR(VLOOKUP(C62,SeriesPoints!$A$2:$B$51,2,FALSE),"")</f>
        <v>105</v>
      </c>
      <c r="F62" s="148" t="str">
        <f>IFERROR(VLOOKUP($D62,EntryList!$B$3:$V$291,21,FALSE),"")</f>
        <v>-</v>
      </c>
      <c r="G62" s="100" t="str">
        <f>IFERROR(VLOOKUP($D62,EntryList!$B$3:$N$596,5,FALSE),"")</f>
        <v>M</v>
      </c>
      <c r="H62" s="145" t="str">
        <f>IFERROR(VLOOKUP($D62,EntryList!$B$3:$N$596,6,FALSE),"")</f>
        <v>E-Bike M</v>
      </c>
      <c r="I62" s="59">
        <f>IFERROR(VLOOKUP($B62,OverallResults!$B$3:$Z$492,8,FALSE),"")</f>
        <v>5</v>
      </c>
      <c r="J62" s="57" t="str">
        <f>IFERROR(VLOOKUP($B62,OverallResults!$B$3:$BB$492,9,FALSE),"")</f>
        <v>00:04:10.6 (68)</v>
      </c>
      <c r="K62" s="58" t="str">
        <f>IFERROR(VLOOKUP($B62,OverallResults!$B$3:$BB$492,10,FALSE),"")</f>
        <v>00:04:01.6 (64)</v>
      </c>
      <c r="L62" s="57" t="str">
        <f>IFERROR(VLOOKUP($B62,OverallResults!$B$3:$BB$492,11,FALSE),"")</f>
        <v>00:02:15.6 (62)</v>
      </c>
      <c r="M62" s="57" t="str">
        <f>IFERROR(VLOOKUP($B62,OverallResults!$B$3:$BB$492,12,FALSE),"")</f>
        <v>00:04:30.2 (60)</v>
      </c>
      <c r="N62" s="58" t="str">
        <f>IFERROR(VLOOKUP($B62,OverallResults!$B$3:$BB$492,13,FALSE),"")</f>
        <v>00:05:33.0 (72)</v>
      </c>
      <c r="O62" s="58" t="str">
        <f>IFERROR(VLOOKUP($B62,OverallResults!$B$3:$BB$492,14,FALSE),"")</f>
        <v>DNS/DNF ()</v>
      </c>
      <c r="P62" s="58" t="str">
        <f>IFERROR(VLOOKUP($B62,OverallResults!$B$3:$BB$492,15,FALSE),"")</f>
        <v>DNS/DNF ()</v>
      </c>
      <c r="Q62" s="58" t="str">
        <f>IFERROR(VLOOKUP($B62,OverallResults!$B$3:$BB$492,16,FALSE),"")</f>
        <v>DNS/DNF ()</v>
      </c>
      <c r="R62" s="58" t="str">
        <f>IFERROR(VLOOKUP($B62,OverallResults!$B$3:$BB$492,17,FALSE),"")</f>
        <v>00:20:30.969</v>
      </c>
      <c r="S62" s="170" t="str">
        <f t="shared" si="0"/>
        <v>00:05</v>
      </c>
      <c r="T62" s="170" t="str">
        <f t="shared" si="1"/>
        <v>03:41</v>
      </c>
      <c r="U62" s="361">
        <f>IFERROR(VLOOKUP($D62,EntryList!$B$3:$S$291,18,FALSE),"")</f>
        <v>0</v>
      </c>
      <c r="V62" s="361">
        <f>IFERROR(VLOOKUP($D62,EntryList!$B$3:$S$291,17,FALSE),"")</f>
        <v>0</v>
      </c>
    </row>
    <row r="63" spans="2:22">
      <c r="B63" s="59">
        <v>58</v>
      </c>
      <c r="C63" s="59">
        <f>IFERROR(VLOOKUP($B63,OverallResults!$B$3:$Z$508,2,FALSE),"")</f>
        <v>13</v>
      </c>
      <c r="D63" s="149" t="str">
        <f>IFERROR(VLOOKUP($B63,OverallResults!$B$3:$Z$508,3,FALSE),"")</f>
        <v>Enrique Julyan</v>
      </c>
      <c r="E63" s="146">
        <f>IFERROR(VLOOKUP(C63,SeriesPoints!$A$2:$B$51,2,FALSE),"")</f>
        <v>88</v>
      </c>
      <c r="F63" s="148" t="str">
        <f>IFERROR(VLOOKUP($D63,EntryList!$B$3:$V$291,21,FALSE),"")</f>
        <v>-</v>
      </c>
      <c r="G63" s="100" t="str">
        <f>IFERROR(VLOOKUP($D63,EntryList!$B$3:$N$596,5,FALSE),"")</f>
        <v>M</v>
      </c>
      <c r="H63" s="145" t="str">
        <f>IFERROR(VLOOKUP($D63,EntryList!$B$3:$N$596,6,FALSE),"")</f>
        <v>Master Men</v>
      </c>
      <c r="I63" s="59">
        <f>IFERROR(VLOOKUP($B63,OverallResults!$B$3:$Z$492,8,FALSE),"")</f>
        <v>5</v>
      </c>
      <c r="J63" s="57" t="str">
        <f>IFERROR(VLOOKUP($B63,OverallResults!$B$3:$BB$492,9,FALSE),"")</f>
        <v>00:04:11.2 (71)</v>
      </c>
      <c r="K63" s="58" t="str">
        <f>IFERROR(VLOOKUP($B63,OverallResults!$B$3:$BB$492,10,FALSE),"")</f>
        <v>00:04:06.1 (76)</v>
      </c>
      <c r="L63" s="57" t="str">
        <f>IFERROR(VLOOKUP($B63,OverallResults!$B$3:$BB$492,11,FALSE),"")</f>
        <v>00:02:20.6 (78)</v>
      </c>
      <c r="M63" s="57" t="str">
        <f>IFERROR(VLOOKUP($B63,OverallResults!$B$3:$BB$492,12,FALSE),"")</f>
        <v>00:04:26.0 (57)</v>
      </c>
      <c r="N63" s="58" t="str">
        <f>IFERROR(VLOOKUP($B63,OverallResults!$B$3:$BB$492,13,FALSE),"")</f>
        <v>00:05:31.7 (69)</v>
      </c>
      <c r="O63" s="58" t="str">
        <f>IFERROR(VLOOKUP($B63,OverallResults!$B$3:$BB$492,14,FALSE),"")</f>
        <v>DNS/DNF ()</v>
      </c>
      <c r="P63" s="58" t="str">
        <f>IFERROR(VLOOKUP($B63,OverallResults!$B$3:$BB$492,15,FALSE),"")</f>
        <v>DNS/DNF ()</v>
      </c>
      <c r="Q63" s="58" t="str">
        <f>IFERROR(VLOOKUP($B63,OverallResults!$B$3:$BB$492,16,FALSE),"")</f>
        <v>DNS/DNF ()</v>
      </c>
      <c r="R63" s="58" t="str">
        <f>IFERROR(VLOOKUP($B63,OverallResults!$B$3:$BB$492,17,FALSE),"")</f>
        <v>00:20:35.604</v>
      </c>
      <c r="S63" s="170" t="str">
        <f t="shared" si="0"/>
        <v>00:05</v>
      </c>
      <c r="T63" s="170" t="str">
        <f t="shared" si="1"/>
        <v>03:46</v>
      </c>
      <c r="U63" s="361">
        <f>IFERROR(VLOOKUP($D63,EntryList!$B$3:$S$291,18,FALSE),"")</f>
        <v>0</v>
      </c>
      <c r="V63" s="361">
        <f>IFERROR(VLOOKUP($D63,EntryList!$B$3:$S$291,17,FALSE),"")</f>
        <v>0</v>
      </c>
    </row>
    <row r="64" spans="2:22">
      <c r="B64" s="59">
        <v>59</v>
      </c>
      <c r="C64" s="59">
        <f>IFERROR(VLOOKUP($B64,OverallResults!$B$3:$Z$508,2,FALSE),"")</f>
        <v>14</v>
      </c>
      <c r="D64" s="149" t="str">
        <f>IFERROR(VLOOKUP($B64,OverallResults!$B$3:$Z$508,3,FALSE),"")</f>
        <v>Christo Van Den Heever</v>
      </c>
      <c r="E64" s="146">
        <f>IFERROR(VLOOKUP(C64,SeriesPoints!$A$2:$B$51,2,FALSE),"")</f>
        <v>84</v>
      </c>
      <c r="F64" s="148" t="str">
        <f>IFERROR(VLOOKUP($D64,EntryList!$B$3:$V$291,21,FALSE),"")</f>
        <v>-</v>
      </c>
      <c r="G64" s="100" t="str">
        <f>IFERROR(VLOOKUP($D64,EntryList!$B$3:$N$596,5,FALSE),"")</f>
        <v>M</v>
      </c>
      <c r="H64" s="145" t="str">
        <f>IFERROR(VLOOKUP($D64,EntryList!$B$3:$N$596,6,FALSE),"")</f>
        <v>Master Men</v>
      </c>
      <c r="I64" s="59">
        <f>IFERROR(VLOOKUP($B64,OverallResults!$B$3:$Z$492,8,FALSE),"")</f>
        <v>5</v>
      </c>
      <c r="J64" s="57" t="str">
        <f>IFERROR(VLOOKUP($B64,OverallResults!$B$3:$BB$492,9,FALSE),"")</f>
        <v>00:04:12.5 (73)</v>
      </c>
      <c r="K64" s="58" t="str">
        <f>IFERROR(VLOOKUP($B64,OverallResults!$B$3:$BB$492,10,FALSE),"")</f>
        <v>00:04:08.1 (82)</v>
      </c>
      <c r="L64" s="57" t="str">
        <f>IFERROR(VLOOKUP($B64,OverallResults!$B$3:$BB$492,11,FALSE),"")</f>
        <v>00:02:15.1 (61)</v>
      </c>
      <c r="M64" s="57" t="str">
        <f>IFERROR(VLOOKUP($B64,OverallResults!$B$3:$BB$492,12,FALSE),"")</f>
        <v>00:04:35.5 (68)</v>
      </c>
      <c r="N64" s="58" t="str">
        <f>IFERROR(VLOOKUP($B64,OverallResults!$B$3:$BB$492,13,FALSE),"")</f>
        <v>00:05:27.1 (62)</v>
      </c>
      <c r="O64" s="58" t="str">
        <f>IFERROR(VLOOKUP($B64,OverallResults!$B$3:$BB$492,14,FALSE),"")</f>
        <v>DNS/DNF ()</v>
      </c>
      <c r="P64" s="58" t="str">
        <f>IFERROR(VLOOKUP($B64,OverallResults!$B$3:$BB$492,15,FALSE),"")</f>
        <v>DNS/DNF ()</v>
      </c>
      <c r="Q64" s="58" t="str">
        <f>IFERROR(VLOOKUP($B64,OverallResults!$B$3:$BB$492,16,FALSE),"")</f>
        <v>DNS/DNF ()</v>
      </c>
      <c r="R64" s="58" t="str">
        <f>IFERROR(VLOOKUP($B64,OverallResults!$B$3:$BB$492,17,FALSE),"")</f>
        <v>00:20:38.302</v>
      </c>
      <c r="S64" s="170" t="str">
        <f t="shared" si="0"/>
        <v>00:03</v>
      </c>
      <c r="T64" s="170" t="str">
        <f t="shared" si="1"/>
        <v>03:48</v>
      </c>
      <c r="U64" s="361">
        <f>IFERROR(VLOOKUP($D64,EntryList!$B$3:$S$291,18,FALSE),"")</f>
        <v>0</v>
      </c>
      <c r="V64" s="361">
        <f>IFERROR(VLOOKUP($D64,EntryList!$B$3:$S$291,17,FALSE),"")</f>
        <v>0</v>
      </c>
    </row>
    <row r="65" spans="2:22">
      <c r="B65" s="59">
        <v>60</v>
      </c>
      <c r="C65" s="59">
        <f>IFERROR(VLOOKUP($B65,OverallResults!$B$3:$Z$508,2,FALSE),"")</f>
        <v>15</v>
      </c>
      <c r="D65" s="149" t="str">
        <f>IFERROR(VLOOKUP($B65,OverallResults!$B$3:$Z$508,3,FALSE),"")</f>
        <v>Philip Mccann</v>
      </c>
      <c r="E65" s="146">
        <f>IFERROR(VLOOKUP(C65,SeriesPoints!$A$2:$B$51,2,FALSE),"")</f>
        <v>80</v>
      </c>
      <c r="F65" s="148" t="str">
        <f>IFERROR(VLOOKUP($D65,EntryList!$B$3:$V$291,21,FALSE),"")</f>
        <v>-</v>
      </c>
      <c r="G65" s="100" t="str">
        <f>IFERROR(VLOOKUP($D65,EntryList!$B$3:$N$596,5,FALSE),"")</f>
        <v>M</v>
      </c>
      <c r="H65" s="145" t="str">
        <f>IFERROR(VLOOKUP($D65,EntryList!$B$3:$N$596,6,FALSE),"")</f>
        <v>Youth Men</v>
      </c>
      <c r="I65" s="59">
        <f>IFERROR(VLOOKUP($B65,OverallResults!$B$3:$Z$492,8,FALSE),"")</f>
        <v>5</v>
      </c>
      <c r="J65" s="57" t="str">
        <f>IFERROR(VLOOKUP($B65,OverallResults!$B$3:$BB$492,9,FALSE),"")</f>
        <v>00:03:51.4 (49)</v>
      </c>
      <c r="K65" s="58" t="str">
        <f>IFERROR(VLOOKUP($B65,OverallResults!$B$3:$BB$492,10,FALSE),"")</f>
        <v>00:04:13.0 (94)</v>
      </c>
      <c r="L65" s="57" t="str">
        <f>IFERROR(VLOOKUP($B65,OverallResults!$B$3:$BB$492,11,FALSE),"")</f>
        <v>00:02:15.8 (64)</v>
      </c>
      <c r="M65" s="57" t="str">
        <f>IFERROR(VLOOKUP($B65,OverallResults!$B$3:$BB$492,12,FALSE),"")</f>
        <v>00:04:36.6 (72)</v>
      </c>
      <c r="N65" s="58" t="str">
        <f>IFERROR(VLOOKUP($B65,OverallResults!$B$3:$BB$492,13,FALSE),"")</f>
        <v>00:05:43.2 (95)</v>
      </c>
      <c r="O65" s="58" t="str">
        <f>IFERROR(VLOOKUP($B65,OverallResults!$B$3:$BB$492,14,FALSE),"")</f>
        <v>DNS/DNF ()</v>
      </c>
      <c r="P65" s="58" t="str">
        <f>IFERROR(VLOOKUP($B65,OverallResults!$B$3:$BB$492,15,FALSE),"")</f>
        <v>DNS/DNF ()</v>
      </c>
      <c r="Q65" s="58" t="str">
        <f>IFERROR(VLOOKUP($B65,OverallResults!$B$3:$BB$492,16,FALSE),"")</f>
        <v>DNS/DNF ()</v>
      </c>
      <c r="R65" s="58" t="str">
        <f>IFERROR(VLOOKUP($B65,OverallResults!$B$3:$BB$492,17,FALSE),"")</f>
        <v>00:20:40.109</v>
      </c>
      <c r="S65" s="170" t="str">
        <f t="shared" si="0"/>
        <v>00:02</v>
      </c>
      <c r="T65" s="170" t="str">
        <f t="shared" si="1"/>
        <v>03:50</v>
      </c>
      <c r="U65" s="361">
        <f>IFERROR(VLOOKUP($D65,EntryList!$B$3:$S$291,18,FALSE),"")</f>
        <v>0</v>
      </c>
      <c r="V65" s="361">
        <f>IFERROR(VLOOKUP($D65,EntryList!$B$3:$S$291,17,FALSE),"")</f>
        <v>0</v>
      </c>
    </row>
    <row r="66" spans="2:22">
      <c r="B66" s="59">
        <v>61</v>
      </c>
      <c r="C66" s="59">
        <f>IFERROR(VLOOKUP($B66,OverallResults!$B$3:$Z$508,2,FALSE),"")</f>
        <v>15</v>
      </c>
      <c r="D66" s="149" t="str">
        <f>IFERROR(VLOOKUP($B66,OverallResults!$B$3:$Z$508,3,FALSE),"")</f>
        <v>Rameez Abrahams</v>
      </c>
      <c r="E66" s="146">
        <f>IFERROR(VLOOKUP(C66,SeriesPoints!$A$2:$B$51,2,FALSE),"")</f>
        <v>80</v>
      </c>
      <c r="F66" s="148" t="str">
        <f>IFERROR(VLOOKUP($D66,EntryList!$B$3:$V$291,21,FALSE),"")</f>
        <v>-</v>
      </c>
      <c r="G66" s="100" t="str">
        <f>IFERROR(VLOOKUP($D66,EntryList!$B$3:$N$596,5,FALSE),"")</f>
        <v>M</v>
      </c>
      <c r="H66" s="145" t="str">
        <f>IFERROR(VLOOKUP($D66,EntryList!$B$3:$N$596,6,FALSE),"")</f>
        <v>Master Men</v>
      </c>
      <c r="I66" s="59">
        <f>IFERROR(VLOOKUP($B66,OverallResults!$B$3:$Z$492,8,FALSE),"")</f>
        <v>5</v>
      </c>
      <c r="J66" s="57" t="str">
        <f>IFERROR(VLOOKUP($B66,OverallResults!$B$3:$BB$492,9,FALSE),"")</f>
        <v>00:04:09.1 (66)</v>
      </c>
      <c r="K66" s="58" t="str">
        <f>IFERROR(VLOOKUP($B66,OverallResults!$B$3:$BB$492,10,FALSE),"")</f>
        <v>00:04:00.4 (60)</v>
      </c>
      <c r="L66" s="57" t="str">
        <f>IFERROR(VLOOKUP($B66,OverallResults!$B$3:$BB$492,11,FALSE),"")</f>
        <v>00:02:26.1 (94)</v>
      </c>
      <c r="M66" s="57" t="str">
        <f>IFERROR(VLOOKUP($B66,OverallResults!$B$3:$BB$492,12,FALSE),"")</f>
        <v>00:04:36.1 (70)</v>
      </c>
      <c r="N66" s="58" t="str">
        <f>IFERROR(VLOOKUP($B66,OverallResults!$B$3:$BB$492,13,FALSE),"")</f>
        <v>00:05:30.4 (68)</v>
      </c>
      <c r="O66" s="58" t="str">
        <f>IFERROR(VLOOKUP($B66,OverallResults!$B$3:$BB$492,14,FALSE),"")</f>
        <v>DNS/DNF ()</v>
      </c>
      <c r="P66" s="58" t="str">
        <f>IFERROR(VLOOKUP($B66,OverallResults!$B$3:$BB$492,15,FALSE),"")</f>
        <v>DNS/DNF ()</v>
      </c>
      <c r="Q66" s="58" t="str">
        <f>IFERROR(VLOOKUP($B66,OverallResults!$B$3:$BB$492,16,FALSE),"")</f>
        <v>DNS/DNF ()</v>
      </c>
      <c r="R66" s="58" t="str">
        <f>IFERROR(VLOOKUP($B66,OverallResults!$B$3:$BB$492,17,FALSE),"")</f>
        <v>00:20:42.126</v>
      </c>
      <c r="S66" s="170" t="str">
        <f t="shared" si="0"/>
        <v>00:02</v>
      </c>
      <c r="T66" s="170" t="str">
        <f t="shared" si="1"/>
        <v>03:52</v>
      </c>
      <c r="U66" s="361">
        <f>IFERROR(VLOOKUP($D66,EntryList!$B$3:$S$291,18,FALSE),"")</f>
        <v>0</v>
      </c>
      <c r="V66" s="361">
        <f>IFERROR(VLOOKUP($D66,EntryList!$B$3:$S$291,17,FALSE),"")</f>
        <v>0</v>
      </c>
    </row>
    <row r="67" spans="2:22">
      <c r="B67" s="59">
        <v>62</v>
      </c>
      <c r="C67" s="59">
        <f>IFERROR(VLOOKUP($B67,OverallResults!$B$3:$Z$508,2,FALSE),"")</f>
        <v>16</v>
      </c>
      <c r="D67" s="149" t="str">
        <f>IFERROR(VLOOKUP($B67,OverallResults!$B$3:$Z$508,3,FALSE),"")</f>
        <v>Nicholas Turvey</v>
      </c>
      <c r="E67" s="146">
        <f>IFERROR(VLOOKUP(C67,SeriesPoints!$A$2:$B$51,2,FALSE),"")</f>
        <v>76</v>
      </c>
      <c r="F67" s="148" t="str">
        <f>IFERROR(VLOOKUP($D67,EntryList!$B$3:$V$291,21,FALSE),"")</f>
        <v>-</v>
      </c>
      <c r="G67" s="100" t="str">
        <f>IFERROR(VLOOKUP($D67,EntryList!$B$3:$N$596,5,FALSE),"")</f>
        <v>M</v>
      </c>
      <c r="H67" s="145" t="str">
        <f>IFERROR(VLOOKUP($D67,EntryList!$B$3:$N$596,6,FALSE),"")</f>
        <v>Master Men</v>
      </c>
      <c r="I67" s="59">
        <f>IFERROR(VLOOKUP($B67,OverallResults!$B$3:$Z$492,8,FALSE),"")</f>
        <v>5</v>
      </c>
      <c r="J67" s="57" t="str">
        <f>IFERROR(VLOOKUP($B67,OverallResults!$B$3:$BB$492,9,FALSE),"")</f>
        <v>00:04:09.2 (67)</v>
      </c>
      <c r="K67" s="58" t="str">
        <f>IFERROR(VLOOKUP($B67,OverallResults!$B$3:$BB$492,10,FALSE),"")</f>
        <v>00:04:05.8 (75)</v>
      </c>
      <c r="L67" s="57" t="str">
        <f>IFERROR(VLOOKUP($B67,OverallResults!$B$3:$BB$492,11,FALSE),"")</f>
        <v>00:02:22.2 (83)</v>
      </c>
      <c r="M67" s="57" t="str">
        <f>IFERROR(VLOOKUP($B67,OverallResults!$B$3:$BB$492,12,FALSE),"")</f>
        <v>00:04:32.4 (64)</v>
      </c>
      <c r="N67" s="58" t="str">
        <f>IFERROR(VLOOKUP($B67,OverallResults!$B$3:$BB$492,13,FALSE),"")</f>
        <v>00:05:34.7 (77)</v>
      </c>
      <c r="O67" s="58" t="str">
        <f>IFERROR(VLOOKUP($B67,OverallResults!$B$3:$BB$492,14,FALSE),"")</f>
        <v>DNS/DNF ()</v>
      </c>
      <c r="P67" s="58" t="str">
        <f>IFERROR(VLOOKUP($B67,OverallResults!$B$3:$BB$492,15,FALSE),"")</f>
        <v>DNS/DNF ()</v>
      </c>
      <c r="Q67" s="58" t="str">
        <f>IFERROR(VLOOKUP($B67,OverallResults!$B$3:$BB$492,16,FALSE),"")</f>
        <v>DNS/DNF ()</v>
      </c>
      <c r="R67" s="58" t="str">
        <f>IFERROR(VLOOKUP($B67,OverallResults!$B$3:$BB$492,17,FALSE),"")</f>
        <v>00:20:44.187</v>
      </c>
      <c r="S67" s="170" t="str">
        <f t="shared" si="0"/>
        <v>00:02</v>
      </c>
      <c r="T67" s="170" t="str">
        <f t="shared" si="1"/>
        <v>03:54</v>
      </c>
      <c r="U67" s="361">
        <f>IFERROR(VLOOKUP($D67,EntryList!$B$3:$S$291,18,FALSE),"")</f>
        <v>0</v>
      </c>
      <c r="V67" s="361">
        <f>IFERROR(VLOOKUP($D67,EntryList!$B$3:$S$291,17,FALSE),"")</f>
        <v>0</v>
      </c>
    </row>
    <row r="68" spans="2:22">
      <c r="B68" s="59">
        <v>63</v>
      </c>
      <c r="C68" s="59">
        <f>IFERROR(VLOOKUP($B68,OverallResults!$B$3:$Z$508,2,FALSE),"")</f>
        <v>15</v>
      </c>
      <c r="D68" s="149" t="str">
        <f>IFERROR(VLOOKUP($B68,OverallResults!$B$3:$Z$508,3,FALSE),"")</f>
        <v>Tiaan Van De Merwe</v>
      </c>
      <c r="E68" s="146">
        <f>IFERROR(VLOOKUP(C68,SeriesPoints!$A$2:$B$51,2,FALSE),"")</f>
        <v>80</v>
      </c>
      <c r="F68" s="148" t="str">
        <f>IFERROR(VLOOKUP($D68,EntryList!$B$3:$V$291,21,FALSE),"")</f>
        <v>-</v>
      </c>
      <c r="G68" s="100" t="str">
        <f>IFERROR(VLOOKUP($D68,EntryList!$B$3:$N$596,5,FALSE),"")</f>
        <v>M</v>
      </c>
      <c r="H68" s="145" t="str">
        <f>IFERROR(VLOOKUP($D68,EntryList!$B$3:$N$596,6,FALSE),"")</f>
        <v>Elite Men</v>
      </c>
      <c r="I68" s="59">
        <f>IFERROR(VLOOKUP($B68,OverallResults!$B$3:$Z$492,8,FALSE),"")</f>
        <v>5</v>
      </c>
      <c r="J68" s="57" t="str">
        <f>IFERROR(VLOOKUP($B68,OverallResults!$B$3:$BB$492,9,FALSE),"")</f>
        <v>00:04:22.4 (82)</v>
      </c>
      <c r="K68" s="58" t="str">
        <f>IFERROR(VLOOKUP($B68,OverallResults!$B$3:$BB$492,10,FALSE),"")</f>
        <v>00:04:03.8 (72)</v>
      </c>
      <c r="L68" s="57" t="str">
        <f>IFERROR(VLOOKUP($B68,OverallResults!$B$3:$BB$492,11,FALSE),"")</f>
        <v>00:02:17.3 (69)</v>
      </c>
      <c r="M68" s="57" t="str">
        <f>IFERROR(VLOOKUP($B68,OverallResults!$B$3:$BB$492,12,FALSE),"")</f>
        <v>00:04:28.7 (58)</v>
      </c>
      <c r="N68" s="58" t="str">
        <f>IFERROR(VLOOKUP($B68,OverallResults!$B$3:$BB$492,13,FALSE),"")</f>
        <v>00:05:33.8 (73)</v>
      </c>
      <c r="O68" s="58" t="str">
        <f>IFERROR(VLOOKUP($B68,OverallResults!$B$3:$BB$492,14,FALSE),"")</f>
        <v>DNS/DNF ()</v>
      </c>
      <c r="P68" s="58" t="str">
        <f>IFERROR(VLOOKUP($B68,OverallResults!$B$3:$BB$492,15,FALSE),"")</f>
        <v>DNS/DNF ()</v>
      </c>
      <c r="Q68" s="58" t="str">
        <f>IFERROR(VLOOKUP($B68,OverallResults!$B$3:$BB$492,16,FALSE),"")</f>
        <v>DNS/DNF ()</v>
      </c>
      <c r="R68" s="58" t="str">
        <f>IFERROR(VLOOKUP($B68,OverallResults!$B$3:$BB$492,17,FALSE),"")</f>
        <v>00:20:45.950</v>
      </c>
      <c r="S68" s="170" t="str">
        <f t="shared" si="0"/>
        <v>00:02</v>
      </c>
      <c r="T68" s="170" t="str">
        <f t="shared" si="1"/>
        <v>03:56</v>
      </c>
      <c r="U68" s="361">
        <f>IFERROR(VLOOKUP($D68,EntryList!$B$3:$S$291,18,FALSE),"")</f>
        <v>0</v>
      </c>
      <c r="V68" s="361">
        <f>IFERROR(VLOOKUP($D68,EntryList!$B$3:$S$291,17,FALSE),"")</f>
        <v>0</v>
      </c>
    </row>
    <row r="69" spans="2:22">
      <c r="B69" s="59">
        <v>64</v>
      </c>
      <c r="C69" s="59">
        <f>IFERROR(VLOOKUP($B69,OverallResults!$B$3:$Z$508,2,FALSE),"")</f>
        <v>16</v>
      </c>
      <c r="D69" s="149" t="str">
        <f>IFERROR(VLOOKUP($B69,OverallResults!$B$3:$Z$508,3,FALSE),"")</f>
        <v>Dillan Rix</v>
      </c>
      <c r="E69" s="146">
        <f>IFERROR(VLOOKUP(C69,SeriesPoints!$A$2:$B$51,2,FALSE),"")</f>
        <v>76</v>
      </c>
      <c r="F69" s="148" t="str">
        <f>IFERROR(VLOOKUP($D69,EntryList!$B$3:$V$291,21,FALSE),"")</f>
        <v>-</v>
      </c>
      <c r="G69" s="100" t="str">
        <f>IFERROR(VLOOKUP($D69,EntryList!$B$3:$N$596,5,FALSE),"")</f>
        <v>M</v>
      </c>
      <c r="H69" s="145" t="str">
        <f>IFERROR(VLOOKUP($D69,EntryList!$B$3:$N$596,6,FALSE),"")</f>
        <v>Elite Men</v>
      </c>
      <c r="I69" s="59">
        <f>IFERROR(VLOOKUP($B69,OverallResults!$B$3:$Z$492,8,FALSE),"")</f>
        <v>5</v>
      </c>
      <c r="J69" s="57" t="str">
        <f>IFERROR(VLOOKUP($B69,OverallResults!$B$3:$BB$492,9,FALSE),"")</f>
        <v>00:03:46.1 (46)</v>
      </c>
      <c r="K69" s="58" t="str">
        <f>IFERROR(VLOOKUP($B69,OverallResults!$B$3:$BB$492,10,FALSE),"")</f>
        <v>00:03:56.7 (56)</v>
      </c>
      <c r="L69" s="57" t="str">
        <f>IFERROR(VLOOKUP($B69,OverallResults!$B$3:$BB$492,11,FALSE),"")</f>
        <v>00:02:19.1 (74)</v>
      </c>
      <c r="M69" s="57" t="str">
        <f>IFERROR(VLOOKUP($B69,OverallResults!$B$3:$BB$492,12,FALSE),"")</f>
        <v>00:05:37.9 (125)</v>
      </c>
      <c r="N69" s="58" t="str">
        <f>IFERROR(VLOOKUP($B69,OverallResults!$B$3:$BB$492,13,FALSE),"")</f>
        <v>00:05:11.8 (37)</v>
      </c>
      <c r="O69" s="58" t="str">
        <f>IFERROR(VLOOKUP($B69,OverallResults!$B$3:$BB$492,14,FALSE),"")</f>
        <v>DNS/DNF ()</v>
      </c>
      <c r="P69" s="58" t="str">
        <f>IFERROR(VLOOKUP($B69,OverallResults!$B$3:$BB$492,15,FALSE),"")</f>
        <v>DNS/DNF ()</v>
      </c>
      <c r="Q69" s="58" t="str">
        <f>IFERROR(VLOOKUP($B69,OverallResults!$B$3:$BB$492,16,FALSE),"")</f>
        <v>DNS/DNF ()</v>
      </c>
      <c r="R69" s="58" t="str">
        <f>IFERROR(VLOOKUP($B69,OverallResults!$B$3:$BB$492,17,FALSE),"")</f>
        <v>00:20:51.602</v>
      </c>
      <c r="S69" s="170" t="str">
        <f t="shared" ref="S69:S132" si="2">IFERROR(TEXT(($R69-$R68),"mm:ss"),"N/A")</f>
        <v>00:06</v>
      </c>
      <c r="T69" s="170" t="str">
        <f t="shared" si="1"/>
        <v>04:02</v>
      </c>
      <c r="U69" s="361">
        <f>IFERROR(VLOOKUP($D69,EntryList!$B$3:$S$291,18,FALSE),"")</f>
        <v>0</v>
      </c>
      <c r="V69" s="361">
        <f>IFERROR(VLOOKUP($D69,EntryList!$B$3:$S$291,17,FALSE),"")</f>
        <v>0</v>
      </c>
    </row>
    <row r="70" spans="2:22">
      <c r="B70" s="59">
        <v>65</v>
      </c>
      <c r="C70" s="59">
        <f>IFERROR(VLOOKUP($B70,OverallResults!$B$3:$Z$508,2,FALSE),"")</f>
        <v>17</v>
      </c>
      <c r="D70" s="149" t="str">
        <f>IFERROR(VLOOKUP($B70,OverallResults!$B$3:$Z$508,3,FALSE),"")</f>
        <v>Daniel Jacobs</v>
      </c>
      <c r="E70" s="146">
        <f>IFERROR(VLOOKUP(C70,SeriesPoints!$A$2:$B$51,2,FALSE),"")</f>
        <v>72</v>
      </c>
      <c r="F70" s="148" t="str">
        <f>IFERROR(VLOOKUP($D70,EntryList!$B$3:$V$291,21,FALSE),"")</f>
        <v>-</v>
      </c>
      <c r="G70" s="100" t="str">
        <f>IFERROR(VLOOKUP($D70,EntryList!$B$3:$N$596,5,FALSE),"")</f>
        <v>M</v>
      </c>
      <c r="H70" s="145" t="str">
        <f>IFERROR(VLOOKUP($D70,EntryList!$B$3:$N$596,6,FALSE),"")</f>
        <v>Master Men</v>
      </c>
      <c r="I70" s="59">
        <f>IFERROR(VLOOKUP($B70,OverallResults!$B$3:$Z$492,8,FALSE),"")</f>
        <v>5</v>
      </c>
      <c r="J70" s="57" t="str">
        <f>IFERROR(VLOOKUP($B70,OverallResults!$B$3:$BB$492,9,FALSE),"")</f>
        <v>00:04:14.1 (75)</v>
      </c>
      <c r="K70" s="58" t="str">
        <f>IFERROR(VLOOKUP($B70,OverallResults!$B$3:$BB$492,10,FALSE),"")</f>
        <v>00:04:11.6 (89)</v>
      </c>
      <c r="L70" s="57" t="str">
        <f>IFERROR(VLOOKUP($B70,OverallResults!$B$3:$BB$492,11,FALSE),"")</f>
        <v>00:02:15.9 (65)</v>
      </c>
      <c r="M70" s="57" t="str">
        <f>IFERROR(VLOOKUP($B70,OverallResults!$B$3:$BB$492,12,FALSE),"")</f>
        <v>00:04:33.9 (65)</v>
      </c>
      <c r="N70" s="58" t="str">
        <f>IFERROR(VLOOKUP($B70,OverallResults!$B$3:$BB$492,13,FALSE),"")</f>
        <v>00:05:38.3 (83)</v>
      </c>
      <c r="O70" s="58" t="str">
        <f>IFERROR(VLOOKUP($B70,OverallResults!$B$3:$BB$492,14,FALSE),"")</f>
        <v>DNS/DNF ()</v>
      </c>
      <c r="P70" s="58" t="str">
        <f>IFERROR(VLOOKUP($B70,OverallResults!$B$3:$BB$492,15,FALSE),"")</f>
        <v>DNS/DNF ()</v>
      </c>
      <c r="Q70" s="58" t="str">
        <f>IFERROR(VLOOKUP($B70,OverallResults!$B$3:$BB$492,16,FALSE),"")</f>
        <v>DNS/DNF ()</v>
      </c>
      <c r="R70" s="58" t="str">
        <f>IFERROR(VLOOKUP($B70,OverallResults!$B$3:$BB$492,17,FALSE),"")</f>
        <v>00:20:53.820</v>
      </c>
      <c r="S70" s="170" t="str">
        <f t="shared" si="2"/>
        <v>00:02</v>
      </c>
      <c r="T70" s="170" t="str">
        <f t="shared" ref="T70:T133" si="3">IF($I70-$I69&lt;0,"N/A",IFERROR(TEXT(($R70-$R$6),"mm:ss"),"N/A"))</f>
        <v>04:04</v>
      </c>
      <c r="U70" s="361">
        <f>IFERROR(VLOOKUP($D70,EntryList!$B$3:$S$291,18,FALSE),"")</f>
        <v>0</v>
      </c>
      <c r="V70" s="361">
        <f>IFERROR(VLOOKUP($D70,EntryList!$B$3:$S$291,17,FALSE),"")</f>
        <v>0</v>
      </c>
    </row>
    <row r="71" spans="2:22">
      <c r="B71" s="59">
        <v>66</v>
      </c>
      <c r="C71" s="59">
        <f>IFERROR(VLOOKUP($B71,OverallResults!$B$3:$Z$508,2,FALSE),"")</f>
        <v>10</v>
      </c>
      <c r="D71" s="149" t="str">
        <f>IFERROR(VLOOKUP($B71,OverallResults!$B$3:$Z$508,3,FALSE),"")</f>
        <v>Stirling Kotze</v>
      </c>
      <c r="E71" s="146">
        <f>IFERROR(VLOOKUP(C71,SeriesPoints!$A$2:$B$51,2,FALSE),"")</f>
        <v>100</v>
      </c>
      <c r="F71" s="148" t="str">
        <f>IFERROR(VLOOKUP($D71,EntryList!$B$3:$V$291,21,FALSE),"")</f>
        <v>-</v>
      </c>
      <c r="G71" s="100" t="str">
        <f>IFERROR(VLOOKUP($D71,EntryList!$B$3:$N$596,5,FALSE),"")</f>
        <v>M</v>
      </c>
      <c r="H71" s="145" t="str">
        <f>IFERROR(VLOOKUP($D71,EntryList!$B$3:$N$596,6,FALSE),"")</f>
        <v>E-Bike M</v>
      </c>
      <c r="I71" s="59">
        <f>IFERROR(VLOOKUP($B71,OverallResults!$B$3:$Z$492,8,FALSE),"")</f>
        <v>5</v>
      </c>
      <c r="J71" s="57" t="str">
        <f>IFERROR(VLOOKUP($B71,OverallResults!$B$3:$BB$492,9,FALSE),"")</f>
        <v>00:04:04.5 (64)</v>
      </c>
      <c r="K71" s="58" t="str">
        <f>IFERROR(VLOOKUP($B71,OverallResults!$B$3:$BB$492,10,FALSE),"")</f>
        <v>00:04:08.2 (83)</v>
      </c>
      <c r="L71" s="57" t="str">
        <f>IFERROR(VLOOKUP($B71,OverallResults!$B$3:$BB$492,11,FALSE),"")</f>
        <v>00:02:27.7 (103)</v>
      </c>
      <c r="M71" s="57" t="str">
        <f>IFERROR(VLOOKUP($B71,OverallResults!$B$3:$BB$492,12,FALSE),"")</f>
        <v>00:04:31.1 (63)</v>
      </c>
      <c r="N71" s="58" t="str">
        <f>IFERROR(VLOOKUP($B71,OverallResults!$B$3:$BB$492,13,FALSE),"")</f>
        <v>00:05:42.4 (92)</v>
      </c>
      <c r="O71" s="58" t="str">
        <f>IFERROR(VLOOKUP($B71,OverallResults!$B$3:$BB$492,14,FALSE),"")</f>
        <v>DNS/DNF ()</v>
      </c>
      <c r="P71" s="58" t="str">
        <f>IFERROR(VLOOKUP($B71,OverallResults!$B$3:$BB$492,15,FALSE),"")</f>
        <v>DNS/DNF ()</v>
      </c>
      <c r="Q71" s="58" t="str">
        <f>IFERROR(VLOOKUP($B71,OverallResults!$B$3:$BB$492,16,FALSE),"")</f>
        <v>DNS/DNF ()</v>
      </c>
      <c r="R71" s="58" t="str">
        <f>IFERROR(VLOOKUP($B71,OverallResults!$B$3:$BB$492,17,FALSE),"")</f>
        <v>00:20:53.952</v>
      </c>
      <c r="S71" s="170" t="str">
        <f t="shared" si="2"/>
        <v>00:00</v>
      </c>
      <c r="T71" s="170" t="str">
        <f t="shared" si="3"/>
        <v>04:04</v>
      </c>
      <c r="U71" s="361">
        <f>IFERROR(VLOOKUP($D71,EntryList!$B$3:$S$291,18,FALSE),"")</f>
        <v>0</v>
      </c>
      <c r="V71" s="361">
        <f>IFERROR(VLOOKUP($D71,EntryList!$B$3:$S$291,17,FALSE),"")</f>
        <v>0</v>
      </c>
    </row>
    <row r="72" spans="2:22">
      <c r="B72" s="59">
        <v>67</v>
      </c>
      <c r="C72" s="59">
        <f>IFERROR(VLOOKUP($B72,OverallResults!$B$3:$Z$508,2,FALSE),"")</f>
        <v>17</v>
      </c>
      <c r="D72" s="149" t="str">
        <f>IFERROR(VLOOKUP($B72,OverallResults!$B$3:$Z$508,3,FALSE),"")</f>
        <v>Jordan De Goede</v>
      </c>
      <c r="E72" s="146">
        <f>IFERROR(VLOOKUP(C72,SeriesPoints!$A$2:$B$51,2,FALSE),"")</f>
        <v>72</v>
      </c>
      <c r="F72" s="148" t="str">
        <f>IFERROR(VLOOKUP($D72,EntryList!$B$3:$V$291,21,FALSE),"")</f>
        <v>-</v>
      </c>
      <c r="G72" s="100" t="str">
        <f>IFERROR(VLOOKUP($D72,EntryList!$B$3:$N$596,5,FALSE),"")</f>
        <v>M</v>
      </c>
      <c r="H72" s="145" t="str">
        <f>IFERROR(VLOOKUP($D72,EntryList!$B$3:$N$596,6,FALSE),"")</f>
        <v>Elite Men</v>
      </c>
      <c r="I72" s="59">
        <f>IFERROR(VLOOKUP($B72,OverallResults!$B$3:$Z$492,8,FALSE),"")</f>
        <v>5</v>
      </c>
      <c r="J72" s="57" t="str">
        <f>IFERROR(VLOOKUP($B72,OverallResults!$B$3:$BB$492,9,FALSE),"")</f>
        <v>00:03:29.6 (20)</v>
      </c>
      <c r="K72" s="58" t="str">
        <f>IFERROR(VLOOKUP($B72,OverallResults!$B$3:$BB$492,10,FALSE),"")</f>
        <v>00:03:47.1 (29)</v>
      </c>
      <c r="L72" s="57" t="str">
        <f>IFERROR(VLOOKUP($B72,OverallResults!$B$3:$BB$492,11,FALSE),"")</f>
        <v>00:04:38.6 (246)</v>
      </c>
      <c r="M72" s="57" t="str">
        <f>IFERROR(VLOOKUP($B72,OverallResults!$B$3:$BB$492,12,FALSE),"")</f>
        <v>00:03:59.8 (17)</v>
      </c>
      <c r="N72" s="58" t="str">
        <f>IFERROR(VLOOKUP($B72,OverallResults!$B$3:$BB$492,13,FALSE),"")</f>
        <v>00:05:01.5 (18)</v>
      </c>
      <c r="O72" s="58" t="str">
        <f>IFERROR(VLOOKUP($B72,OverallResults!$B$3:$BB$492,14,FALSE),"")</f>
        <v>DNS/DNF ()</v>
      </c>
      <c r="P72" s="58" t="str">
        <f>IFERROR(VLOOKUP($B72,OverallResults!$B$3:$BB$492,15,FALSE),"")</f>
        <v>DNS/DNF ()</v>
      </c>
      <c r="Q72" s="58" t="str">
        <f>IFERROR(VLOOKUP($B72,OverallResults!$B$3:$BB$492,16,FALSE),"")</f>
        <v>DNS/DNF ()</v>
      </c>
      <c r="R72" s="58" t="str">
        <f>IFERROR(VLOOKUP($B72,OverallResults!$B$3:$BB$492,17,FALSE),"")</f>
        <v>00:20:56.629</v>
      </c>
      <c r="S72" s="170" t="str">
        <f t="shared" si="2"/>
        <v>00:03</v>
      </c>
      <c r="T72" s="170" t="str">
        <f t="shared" si="3"/>
        <v>04:07</v>
      </c>
      <c r="U72" s="361">
        <f>IFERROR(VLOOKUP($D72,EntryList!$B$3:$S$291,18,FALSE),"")</f>
        <v>0</v>
      </c>
      <c r="V72" s="361">
        <f>IFERROR(VLOOKUP($D72,EntryList!$B$3:$S$291,17,FALSE),"")</f>
        <v>0</v>
      </c>
    </row>
    <row r="73" spans="2:22">
      <c r="B73" s="59">
        <v>68</v>
      </c>
      <c r="C73" s="59">
        <f>IFERROR(VLOOKUP($B73,OverallResults!$B$3:$Z$508,2,FALSE),"")</f>
        <v>18</v>
      </c>
      <c r="D73" s="149" t="str">
        <f>IFERROR(VLOOKUP($B73,OverallResults!$B$3:$Z$508,3,FALSE),"")</f>
        <v>David B Hartley</v>
      </c>
      <c r="E73" s="146">
        <f>IFERROR(VLOOKUP(C73,SeriesPoints!$A$2:$B$51,2,FALSE),"")</f>
        <v>68</v>
      </c>
      <c r="F73" s="148" t="str">
        <f>IFERROR(VLOOKUP($D73,EntryList!$B$3:$V$291,21,FALSE),"")</f>
        <v>-</v>
      </c>
      <c r="G73" s="100" t="str">
        <f>IFERROR(VLOOKUP($D73,EntryList!$B$3:$N$596,5,FALSE),"")</f>
        <v>M</v>
      </c>
      <c r="H73" s="145" t="str">
        <f>IFERROR(VLOOKUP($D73,EntryList!$B$3:$N$596,6,FALSE),"")</f>
        <v>Master Men</v>
      </c>
      <c r="I73" s="59">
        <f>IFERROR(VLOOKUP($B73,OverallResults!$B$3:$Z$492,8,FALSE),"")</f>
        <v>5</v>
      </c>
      <c r="J73" s="57" t="str">
        <f>IFERROR(VLOOKUP($B73,OverallResults!$B$3:$BB$492,9,FALSE),"")</f>
        <v>00:04:04.0 (63)</v>
      </c>
      <c r="K73" s="58" t="str">
        <f>IFERROR(VLOOKUP($B73,OverallResults!$B$3:$BB$492,10,FALSE),"")</f>
        <v>00:04:06.3 (79)</v>
      </c>
      <c r="L73" s="57" t="str">
        <f>IFERROR(VLOOKUP($B73,OverallResults!$B$3:$BB$492,11,FALSE),"")</f>
        <v>00:02:29.4 (109)</v>
      </c>
      <c r="M73" s="57" t="str">
        <f>IFERROR(VLOOKUP($B73,OverallResults!$B$3:$BB$492,12,FALSE),"")</f>
        <v>00:04:40.3 (75)</v>
      </c>
      <c r="N73" s="58" t="str">
        <f>IFERROR(VLOOKUP($B73,OverallResults!$B$3:$BB$492,13,FALSE),"")</f>
        <v>00:05:38.2 (82)</v>
      </c>
      <c r="O73" s="58" t="str">
        <f>IFERROR(VLOOKUP($B73,OverallResults!$B$3:$BB$492,14,FALSE),"")</f>
        <v>DNS/DNF ()</v>
      </c>
      <c r="P73" s="58" t="str">
        <f>IFERROR(VLOOKUP($B73,OverallResults!$B$3:$BB$492,15,FALSE),"")</f>
        <v>DNS/DNF ()</v>
      </c>
      <c r="Q73" s="58" t="str">
        <f>IFERROR(VLOOKUP($B73,OverallResults!$B$3:$BB$492,16,FALSE),"")</f>
        <v>DNS/DNF ()</v>
      </c>
      <c r="R73" s="58" t="str">
        <f>IFERROR(VLOOKUP($B73,OverallResults!$B$3:$BB$492,17,FALSE),"")</f>
        <v>00:20:58.235</v>
      </c>
      <c r="S73" s="170" t="str">
        <f t="shared" si="2"/>
        <v>00:02</v>
      </c>
      <c r="T73" s="170" t="str">
        <f t="shared" si="3"/>
        <v>04:08</v>
      </c>
      <c r="U73" s="361">
        <f>IFERROR(VLOOKUP($D73,EntryList!$B$3:$S$291,18,FALSE),"")</f>
        <v>0</v>
      </c>
      <c r="V73" s="361">
        <f>IFERROR(VLOOKUP($D73,EntryList!$B$3:$S$291,17,FALSE),"")</f>
        <v>0</v>
      </c>
    </row>
    <row r="74" spans="2:22">
      <c r="B74" s="59">
        <v>69</v>
      </c>
      <c r="C74" s="59">
        <f>IFERROR(VLOOKUP($B74,OverallResults!$B$3:$Z$508,2,FALSE),"")</f>
        <v>16</v>
      </c>
      <c r="D74" s="149" t="str">
        <f>IFERROR(VLOOKUP($B74,OverallResults!$B$3:$Z$508,3,FALSE),"")</f>
        <v>Thomas Dunkley</v>
      </c>
      <c r="E74" s="146">
        <f>IFERROR(VLOOKUP(C74,SeriesPoints!$A$2:$B$51,2,FALSE),"")</f>
        <v>76</v>
      </c>
      <c r="F74" s="148" t="str">
        <f>IFERROR(VLOOKUP($D74,EntryList!$B$3:$V$291,21,FALSE),"")</f>
        <v>-</v>
      </c>
      <c r="G74" s="100" t="str">
        <f>IFERROR(VLOOKUP($D74,EntryList!$B$3:$N$596,5,FALSE),"")</f>
        <v>M</v>
      </c>
      <c r="H74" s="145" t="str">
        <f>IFERROR(VLOOKUP($D74,EntryList!$B$3:$N$596,6,FALSE),"")</f>
        <v>Youth Men</v>
      </c>
      <c r="I74" s="59">
        <f>IFERROR(VLOOKUP($B74,OverallResults!$B$3:$Z$492,8,FALSE),"")</f>
        <v>5</v>
      </c>
      <c r="J74" s="57" t="str">
        <f>IFERROR(VLOOKUP($B74,OverallResults!$B$3:$BB$492,9,FALSE),"")</f>
        <v>00:04:37.3 (95)</v>
      </c>
      <c r="K74" s="58" t="str">
        <f>IFERROR(VLOOKUP($B74,OverallResults!$B$3:$BB$492,10,FALSE),"")</f>
        <v>00:04:03.0 (70)</v>
      </c>
      <c r="L74" s="57" t="str">
        <f>IFERROR(VLOOKUP($B74,OverallResults!$B$3:$BB$492,11,FALSE),"")</f>
        <v>00:02:24.7 (90)</v>
      </c>
      <c r="M74" s="57" t="str">
        <f>IFERROR(VLOOKUP($B74,OverallResults!$B$3:$BB$492,12,FALSE),"")</f>
        <v>00:04:35.5 (67)</v>
      </c>
      <c r="N74" s="58" t="str">
        <f>IFERROR(VLOOKUP($B74,OverallResults!$B$3:$BB$492,13,FALSE),"")</f>
        <v>00:05:25.6 (59)</v>
      </c>
      <c r="O74" s="58" t="str">
        <f>IFERROR(VLOOKUP($B74,OverallResults!$B$3:$BB$492,14,FALSE),"")</f>
        <v>DNS/DNF ()</v>
      </c>
      <c r="P74" s="58" t="str">
        <f>IFERROR(VLOOKUP($B74,OverallResults!$B$3:$BB$492,15,FALSE),"")</f>
        <v>DNS/DNF ()</v>
      </c>
      <c r="Q74" s="58" t="str">
        <f>IFERROR(VLOOKUP($B74,OverallResults!$B$3:$BB$492,16,FALSE),"")</f>
        <v>DNS/DNF ()</v>
      </c>
      <c r="R74" s="58" t="str">
        <f>IFERROR(VLOOKUP($B74,OverallResults!$B$3:$BB$492,17,FALSE),"")</f>
        <v>00:21:06.207</v>
      </c>
      <c r="S74" s="170" t="str">
        <f t="shared" si="2"/>
        <v>00:08</v>
      </c>
      <c r="T74" s="170" t="str">
        <f t="shared" si="3"/>
        <v>04:16</v>
      </c>
      <c r="U74" s="361">
        <f>IFERROR(VLOOKUP($D74,EntryList!$B$3:$S$291,18,FALSE),"")</f>
        <v>0</v>
      </c>
      <c r="V74" s="361">
        <f>IFERROR(VLOOKUP($D74,EntryList!$B$3:$S$291,17,FALSE),"")</f>
        <v>0</v>
      </c>
    </row>
    <row r="75" spans="2:22">
      <c r="B75" s="59">
        <v>70</v>
      </c>
      <c r="C75" s="59">
        <f>IFERROR(VLOOKUP($B75,OverallResults!$B$3:$Z$508,2,FALSE),"")</f>
        <v>8</v>
      </c>
      <c r="D75" s="149" t="str">
        <f>IFERROR(VLOOKUP($B75,OverallResults!$B$3:$Z$508,3,FALSE),"")</f>
        <v>Jordon Evard</v>
      </c>
      <c r="E75" s="146">
        <f>IFERROR(VLOOKUP(C75,SeriesPoints!$A$2:$B$51,2,FALSE),"")</f>
        <v>110</v>
      </c>
      <c r="F75" s="148" t="str">
        <f>IFERROR(VLOOKUP($D75,EntryList!$B$3:$V$291,21,FALSE),"")</f>
        <v>-</v>
      </c>
      <c r="G75" s="100" t="str">
        <f>IFERROR(VLOOKUP($D75,EntryList!$B$3:$N$596,5,FALSE),"")</f>
        <v>M</v>
      </c>
      <c r="H75" s="145" t="str">
        <f>IFERROR(VLOOKUP($D75,EntryList!$B$3:$N$596,6,FALSE),"")</f>
        <v>Junior Men</v>
      </c>
      <c r="I75" s="59">
        <f>IFERROR(VLOOKUP($B75,OverallResults!$B$3:$Z$492,8,FALSE),"")</f>
        <v>5</v>
      </c>
      <c r="J75" s="57" t="str">
        <f>IFERROR(VLOOKUP($B75,OverallResults!$B$3:$BB$492,9,FALSE),"")</f>
        <v>00:04:14.6 (76)</v>
      </c>
      <c r="K75" s="58" t="str">
        <f>IFERROR(VLOOKUP($B75,OverallResults!$B$3:$BB$492,10,FALSE),"")</f>
        <v>00:04:06.1 (77)</v>
      </c>
      <c r="L75" s="57" t="str">
        <f>IFERROR(VLOOKUP($B75,OverallResults!$B$3:$BB$492,11,FALSE),"")</f>
        <v>00:02:26.1 (93)</v>
      </c>
      <c r="M75" s="57" t="str">
        <f>IFERROR(VLOOKUP($B75,OverallResults!$B$3:$BB$492,12,FALSE),"")</f>
        <v>00:04:34.7 (66)</v>
      </c>
      <c r="N75" s="58" t="str">
        <f>IFERROR(VLOOKUP($B75,OverallResults!$B$3:$BB$492,13,FALSE),"")</f>
        <v>00:05:51.8 (111)</v>
      </c>
      <c r="O75" s="58" t="str">
        <f>IFERROR(VLOOKUP($B75,OverallResults!$B$3:$BB$492,14,FALSE),"")</f>
        <v>DNS/DNF ()</v>
      </c>
      <c r="P75" s="58" t="str">
        <f>IFERROR(VLOOKUP($B75,OverallResults!$B$3:$BB$492,15,FALSE),"")</f>
        <v>DNS/DNF ()</v>
      </c>
      <c r="Q75" s="58" t="str">
        <f>IFERROR(VLOOKUP($B75,OverallResults!$B$3:$BB$492,16,FALSE),"")</f>
        <v>DNS/DNF ()</v>
      </c>
      <c r="R75" s="58" t="str">
        <f>IFERROR(VLOOKUP($B75,OverallResults!$B$3:$BB$492,17,FALSE),"")</f>
        <v>00:21:13.295</v>
      </c>
      <c r="S75" s="170" t="str">
        <f t="shared" si="2"/>
        <v>00:07</v>
      </c>
      <c r="T75" s="170" t="str">
        <f t="shared" si="3"/>
        <v>04:23</v>
      </c>
      <c r="U75" s="361">
        <f>IFERROR(VLOOKUP($D75,EntryList!$B$3:$S$291,18,FALSE),"")</f>
        <v>0</v>
      </c>
      <c r="V75" s="361">
        <f>IFERROR(VLOOKUP($D75,EntryList!$B$3:$S$291,17,FALSE),"")</f>
        <v>0</v>
      </c>
    </row>
    <row r="76" spans="2:22">
      <c r="B76" s="59">
        <v>71</v>
      </c>
      <c r="C76" s="59">
        <f>IFERROR(VLOOKUP($B76,OverallResults!$B$3:$Z$508,2,FALSE),"")</f>
        <v>18</v>
      </c>
      <c r="D76" s="149" t="str">
        <f>IFERROR(VLOOKUP($B76,OverallResults!$B$3:$Z$508,3,FALSE),"")</f>
        <v>Jonathan Wareing</v>
      </c>
      <c r="E76" s="146">
        <f>IFERROR(VLOOKUP(C76,SeriesPoints!$A$2:$B$51,2,FALSE),"")</f>
        <v>68</v>
      </c>
      <c r="F76" s="148" t="str">
        <f>IFERROR(VLOOKUP($D76,EntryList!$B$3:$V$291,21,FALSE),"")</f>
        <v>-</v>
      </c>
      <c r="G76" s="100" t="str">
        <f>IFERROR(VLOOKUP($D76,EntryList!$B$3:$N$596,5,FALSE),"")</f>
        <v>M</v>
      </c>
      <c r="H76" s="145" t="str">
        <f>IFERROR(VLOOKUP($D76,EntryList!$B$3:$N$596,6,FALSE),"")</f>
        <v>Elite Men</v>
      </c>
      <c r="I76" s="59">
        <f>IFERROR(VLOOKUP($B76,OverallResults!$B$3:$Z$492,8,FALSE),"")</f>
        <v>5</v>
      </c>
      <c r="J76" s="57" t="str">
        <f>IFERROR(VLOOKUP($B76,OverallResults!$B$3:$BB$492,9,FALSE),"")</f>
        <v>00:04:25.4 (84)</v>
      </c>
      <c r="K76" s="58" t="str">
        <f>IFERROR(VLOOKUP($B76,OverallResults!$B$3:$BB$492,10,FALSE),"")</f>
        <v>00:04:14.5 (97)</v>
      </c>
      <c r="L76" s="57" t="str">
        <f>IFERROR(VLOOKUP($B76,OverallResults!$B$3:$BB$492,11,FALSE),"")</f>
        <v>00:02:19.2 (75)</v>
      </c>
      <c r="M76" s="57" t="str">
        <f>IFERROR(VLOOKUP($B76,OverallResults!$B$3:$BB$492,12,FALSE),"")</f>
        <v>00:04:37.8 (73)</v>
      </c>
      <c r="N76" s="58" t="str">
        <f>IFERROR(VLOOKUP($B76,OverallResults!$B$3:$BB$492,13,FALSE),"")</f>
        <v>00:05:40.3 (88)</v>
      </c>
      <c r="O76" s="58" t="str">
        <f>IFERROR(VLOOKUP($B76,OverallResults!$B$3:$BB$492,14,FALSE),"")</f>
        <v>DNS/DNF ()</v>
      </c>
      <c r="P76" s="58" t="str">
        <f>IFERROR(VLOOKUP($B76,OverallResults!$B$3:$BB$492,15,FALSE),"")</f>
        <v>DNS/DNF ()</v>
      </c>
      <c r="Q76" s="58" t="str">
        <f>IFERROR(VLOOKUP($B76,OverallResults!$B$3:$BB$492,16,FALSE),"")</f>
        <v>DNS/DNF ()</v>
      </c>
      <c r="R76" s="58" t="str">
        <f>IFERROR(VLOOKUP($B76,OverallResults!$B$3:$BB$492,17,FALSE),"")</f>
        <v>00:21:17.184</v>
      </c>
      <c r="S76" s="170" t="str">
        <f t="shared" si="2"/>
        <v>00:04</v>
      </c>
      <c r="T76" s="170" t="str">
        <f t="shared" si="3"/>
        <v>04:27</v>
      </c>
      <c r="U76" s="361">
        <f>IFERROR(VLOOKUP($D76,EntryList!$B$3:$S$291,18,FALSE),"")</f>
        <v>0</v>
      </c>
      <c r="V76" s="361">
        <f>IFERROR(VLOOKUP($D76,EntryList!$B$3:$S$291,17,FALSE),"")</f>
        <v>0</v>
      </c>
    </row>
    <row r="77" spans="2:22">
      <c r="B77" s="59">
        <v>72</v>
      </c>
      <c r="C77" s="59">
        <f>IFERROR(VLOOKUP($B77,OverallResults!$B$3:$Z$508,2,FALSE),"")</f>
        <v>19</v>
      </c>
      <c r="D77" s="149" t="str">
        <f>IFERROR(VLOOKUP($B77,OverallResults!$B$3:$Z$508,3,FALSE),"")</f>
        <v>John Rostance</v>
      </c>
      <c r="E77" s="146">
        <f>IFERROR(VLOOKUP(C77,SeriesPoints!$A$2:$B$51,2,FALSE),"")</f>
        <v>64</v>
      </c>
      <c r="F77" s="148" t="str">
        <f>IFERROR(VLOOKUP($D77,EntryList!$B$3:$V$291,21,FALSE),"")</f>
        <v>-</v>
      </c>
      <c r="G77" s="100" t="str">
        <f>IFERROR(VLOOKUP($D77,EntryList!$B$3:$N$596,5,FALSE),"")</f>
        <v>M</v>
      </c>
      <c r="H77" s="145" t="str">
        <f>IFERROR(VLOOKUP($D77,EntryList!$B$3:$N$596,6,FALSE),"")</f>
        <v>Master Men</v>
      </c>
      <c r="I77" s="59">
        <f>IFERROR(VLOOKUP($B77,OverallResults!$B$3:$Z$492,8,FALSE),"")</f>
        <v>5</v>
      </c>
      <c r="J77" s="57" t="str">
        <f>IFERROR(VLOOKUP($B77,OverallResults!$B$3:$BB$492,9,FALSE),"")</f>
        <v>00:04:16.7 (78)</v>
      </c>
      <c r="K77" s="58" t="str">
        <f>IFERROR(VLOOKUP($B77,OverallResults!$B$3:$BB$492,10,FALSE),"")</f>
        <v>00:04:12.4 (90)</v>
      </c>
      <c r="L77" s="57" t="str">
        <f>IFERROR(VLOOKUP($B77,OverallResults!$B$3:$BB$492,11,FALSE),"")</f>
        <v>00:02:29.1 (108)</v>
      </c>
      <c r="M77" s="57" t="str">
        <f>IFERROR(VLOOKUP($B77,OverallResults!$B$3:$BB$492,12,FALSE),"")</f>
        <v>00:04:38.5 (74)</v>
      </c>
      <c r="N77" s="58" t="str">
        <f>IFERROR(VLOOKUP($B77,OverallResults!$B$3:$BB$492,13,FALSE),"")</f>
        <v>00:05:41.7 (91)</v>
      </c>
      <c r="O77" s="58" t="str">
        <f>IFERROR(VLOOKUP($B77,OverallResults!$B$3:$BB$492,14,FALSE),"")</f>
        <v>DNS/DNF ()</v>
      </c>
      <c r="P77" s="58" t="str">
        <f>IFERROR(VLOOKUP($B77,OverallResults!$B$3:$BB$492,15,FALSE),"")</f>
        <v>DNS/DNF ()</v>
      </c>
      <c r="Q77" s="58" t="str">
        <f>IFERROR(VLOOKUP($B77,OverallResults!$B$3:$BB$492,16,FALSE),"")</f>
        <v>DNS/DNF ()</v>
      </c>
      <c r="R77" s="58" t="str">
        <f>IFERROR(VLOOKUP($B77,OverallResults!$B$3:$BB$492,17,FALSE),"")</f>
        <v>00:21:18.500</v>
      </c>
      <c r="S77" s="170" t="str">
        <f t="shared" si="2"/>
        <v>00:01</v>
      </c>
      <c r="T77" s="170" t="str">
        <f t="shared" si="3"/>
        <v>04:28</v>
      </c>
      <c r="U77" s="361">
        <f>IFERROR(VLOOKUP($D77,EntryList!$B$3:$S$291,18,FALSE),"")</f>
        <v>0</v>
      </c>
      <c r="V77" s="361">
        <f>IFERROR(VLOOKUP($D77,EntryList!$B$3:$S$291,17,FALSE),"")</f>
        <v>0</v>
      </c>
    </row>
    <row r="78" spans="2:22">
      <c r="B78" s="59">
        <v>73</v>
      </c>
      <c r="C78" s="59">
        <f>IFERROR(VLOOKUP($B78,OverallResults!$B$3:$Z$508,2,FALSE),"")</f>
        <v>19</v>
      </c>
      <c r="D78" s="149" t="str">
        <f>IFERROR(VLOOKUP($B78,OverallResults!$B$3:$Z$508,3,FALSE),"")</f>
        <v>Kyle Ridge</v>
      </c>
      <c r="E78" s="146">
        <f>IFERROR(VLOOKUP(C78,SeriesPoints!$A$2:$B$51,2,FALSE),"")</f>
        <v>64</v>
      </c>
      <c r="F78" s="148" t="str">
        <f>IFERROR(VLOOKUP($D78,EntryList!$B$3:$V$291,21,FALSE),"")</f>
        <v>-</v>
      </c>
      <c r="G78" s="100" t="str">
        <f>IFERROR(VLOOKUP($D78,EntryList!$B$3:$N$596,5,FALSE),"")</f>
        <v>M</v>
      </c>
      <c r="H78" s="145" t="str">
        <f>IFERROR(VLOOKUP($D78,EntryList!$B$3:$N$596,6,FALSE),"")</f>
        <v>Elite Men</v>
      </c>
      <c r="I78" s="59">
        <f>IFERROR(VLOOKUP($B78,OverallResults!$B$3:$Z$492,8,FALSE),"")</f>
        <v>5</v>
      </c>
      <c r="J78" s="57" t="str">
        <f>IFERROR(VLOOKUP($B78,OverallResults!$B$3:$BB$492,9,FALSE),"")</f>
        <v>00:04:11.2 (70)</v>
      </c>
      <c r="K78" s="58" t="str">
        <f>IFERROR(VLOOKUP($B78,OverallResults!$B$3:$BB$492,10,FALSE),"")</f>
        <v>00:04:06.3 (78)</v>
      </c>
      <c r="L78" s="57" t="str">
        <f>IFERROR(VLOOKUP($B78,OverallResults!$B$3:$BB$492,11,FALSE),"")</f>
        <v>00:02:22.4 (84)</v>
      </c>
      <c r="M78" s="57" t="str">
        <f>IFERROR(VLOOKUP($B78,OverallResults!$B$3:$BB$492,12,FALSE),"")</f>
        <v>00:04:54.0 (88)</v>
      </c>
      <c r="N78" s="58" t="str">
        <f>IFERROR(VLOOKUP($B78,OverallResults!$B$3:$BB$492,13,FALSE),"")</f>
        <v>00:05:47.4 (100)</v>
      </c>
      <c r="O78" s="58" t="str">
        <f>IFERROR(VLOOKUP($B78,OverallResults!$B$3:$BB$492,14,FALSE),"")</f>
        <v>DNS/DNF ()</v>
      </c>
      <c r="P78" s="58" t="str">
        <f>IFERROR(VLOOKUP($B78,OverallResults!$B$3:$BB$492,15,FALSE),"")</f>
        <v>DNS/DNF ()</v>
      </c>
      <c r="Q78" s="58" t="str">
        <f>IFERROR(VLOOKUP($B78,OverallResults!$B$3:$BB$492,16,FALSE),"")</f>
        <v>DNS/DNF ()</v>
      </c>
      <c r="R78" s="58" t="str">
        <f>IFERROR(VLOOKUP($B78,OverallResults!$B$3:$BB$492,17,FALSE),"")</f>
        <v>00:21:21.221</v>
      </c>
      <c r="S78" s="170" t="str">
        <f t="shared" si="2"/>
        <v>00:03</v>
      </c>
      <c r="T78" s="170" t="str">
        <f t="shared" si="3"/>
        <v>04:31</v>
      </c>
      <c r="U78" s="361">
        <f>IFERROR(VLOOKUP($D78,EntryList!$B$3:$S$291,18,FALSE),"")</f>
        <v>0</v>
      </c>
      <c r="V78" s="361">
        <f>IFERROR(VLOOKUP($D78,EntryList!$B$3:$S$291,17,FALSE),"")</f>
        <v>0</v>
      </c>
    </row>
    <row r="79" spans="2:22">
      <c r="B79" s="59">
        <v>74</v>
      </c>
      <c r="C79" s="59">
        <f>IFERROR(VLOOKUP($B79,OverallResults!$B$3:$Z$508,2,FALSE),"")</f>
        <v>9</v>
      </c>
      <c r="D79" s="149" t="str">
        <f>IFERROR(VLOOKUP($B79,OverallResults!$B$3:$Z$508,3,FALSE),"")</f>
        <v>Altus Rossouw</v>
      </c>
      <c r="E79" s="146">
        <f>IFERROR(VLOOKUP(C79,SeriesPoints!$A$2:$B$51,2,FALSE),"")</f>
        <v>105</v>
      </c>
      <c r="F79" s="148" t="str">
        <f>IFERROR(VLOOKUP($D79,EntryList!$B$3:$V$291,21,FALSE),"")</f>
        <v>-</v>
      </c>
      <c r="G79" s="100" t="str">
        <f>IFERROR(VLOOKUP($D79,EntryList!$B$3:$N$596,5,FALSE),"")</f>
        <v>M</v>
      </c>
      <c r="H79" s="145" t="str">
        <f>IFERROR(VLOOKUP($D79,EntryList!$B$3:$N$596,6,FALSE),"")</f>
        <v>Junior Men</v>
      </c>
      <c r="I79" s="59">
        <f>IFERROR(VLOOKUP($B79,OverallResults!$B$3:$Z$492,8,FALSE),"")</f>
        <v>5</v>
      </c>
      <c r="J79" s="57" t="str">
        <f>IFERROR(VLOOKUP($B79,OverallResults!$B$3:$BB$492,9,FALSE),"")</f>
        <v>00:04:25.8 (85)</v>
      </c>
      <c r="K79" s="58" t="str">
        <f>IFERROR(VLOOKUP($B79,OverallResults!$B$3:$BB$492,10,FALSE),"")</f>
        <v>00:04:10.4 (86)</v>
      </c>
      <c r="L79" s="57" t="str">
        <f>IFERROR(VLOOKUP($B79,OverallResults!$B$3:$BB$492,11,FALSE),"")</f>
        <v>00:02:23.5 (87)</v>
      </c>
      <c r="M79" s="57" t="str">
        <f>IFERROR(VLOOKUP($B79,OverallResults!$B$3:$BB$492,12,FALSE),"")</f>
        <v>00:04:49.4 (81)</v>
      </c>
      <c r="N79" s="58" t="str">
        <f>IFERROR(VLOOKUP($B79,OverallResults!$B$3:$BB$492,13,FALSE),"")</f>
        <v>00:05:34.1 (75)</v>
      </c>
      <c r="O79" s="58" t="str">
        <f>IFERROR(VLOOKUP($B79,OverallResults!$B$3:$BB$492,14,FALSE),"")</f>
        <v>DNS/DNF ()</v>
      </c>
      <c r="P79" s="58" t="str">
        <f>IFERROR(VLOOKUP($B79,OverallResults!$B$3:$BB$492,15,FALSE),"")</f>
        <v>DNS/DNF ()</v>
      </c>
      <c r="Q79" s="58" t="str">
        <f>IFERROR(VLOOKUP($B79,OverallResults!$B$3:$BB$492,16,FALSE),"")</f>
        <v>DNS/DNF ()</v>
      </c>
      <c r="R79" s="58" t="str">
        <f>IFERROR(VLOOKUP($B79,OverallResults!$B$3:$BB$492,17,FALSE),"")</f>
        <v>00:21:23.218</v>
      </c>
      <c r="S79" s="170" t="str">
        <f t="shared" si="2"/>
        <v>00:02</v>
      </c>
      <c r="T79" s="170" t="str">
        <f t="shared" si="3"/>
        <v>04:33</v>
      </c>
      <c r="U79" s="361">
        <f>IFERROR(VLOOKUP($D79,EntryList!$B$3:$S$291,18,FALSE),"")</f>
        <v>0</v>
      </c>
      <c r="V79" s="361">
        <f>IFERROR(VLOOKUP($D79,EntryList!$B$3:$S$291,17,FALSE),"")</f>
        <v>0</v>
      </c>
    </row>
    <row r="80" spans="2:22">
      <c r="B80" s="59">
        <v>75</v>
      </c>
      <c r="C80" s="59">
        <f>IFERROR(VLOOKUP($B80,OverallResults!$B$3:$Z$508,2,FALSE),"")</f>
        <v>17</v>
      </c>
      <c r="D80" s="149" t="str">
        <f>IFERROR(VLOOKUP($B80,OverallResults!$B$3:$Z$508,3,FALSE),"")</f>
        <v>Liam Coetzee</v>
      </c>
      <c r="E80" s="146">
        <f>IFERROR(VLOOKUP(C80,SeriesPoints!$A$2:$B$51,2,FALSE),"")</f>
        <v>72</v>
      </c>
      <c r="F80" s="148" t="str">
        <f>IFERROR(VLOOKUP($D80,EntryList!$B$3:$V$291,21,FALSE),"")</f>
        <v>-</v>
      </c>
      <c r="G80" s="100" t="str">
        <f>IFERROR(VLOOKUP($D80,EntryList!$B$3:$N$596,5,FALSE),"")</f>
        <v>M</v>
      </c>
      <c r="H80" s="145" t="str">
        <f>IFERROR(VLOOKUP($D80,EntryList!$B$3:$N$596,6,FALSE),"")</f>
        <v>Youth Men</v>
      </c>
      <c r="I80" s="59">
        <f>IFERROR(VLOOKUP($B80,OverallResults!$B$3:$Z$492,8,FALSE),"")</f>
        <v>5</v>
      </c>
      <c r="J80" s="57" t="str">
        <f>IFERROR(VLOOKUP($B80,OverallResults!$B$3:$BB$492,9,FALSE),"")</f>
        <v>00:04:36.8 (94)</v>
      </c>
      <c r="K80" s="58" t="str">
        <f>IFERROR(VLOOKUP($B80,OverallResults!$B$3:$BB$492,10,FALSE),"")</f>
        <v>00:04:10.7 (87)</v>
      </c>
      <c r="L80" s="57" t="str">
        <f>IFERROR(VLOOKUP($B80,OverallResults!$B$3:$BB$492,11,FALSE),"")</f>
        <v>00:02:24.4 (89)</v>
      </c>
      <c r="M80" s="57" t="str">
        <f>IFERROR(VLOOKUP($B80,OverallResults!$B$3:$BB$492,12,FALSE),"")</f>
        <v>00:04:30.7 (61)</v>
      </c>
      <c r="N80" s="58" t="str">
        <f>IFERROR(VLOOKUP($B80,OverallResults!$B$3:$BB$492,13,FALSE),"")</f>
        <v>00:05:48.3 (103)</v>
      </c>
      <c r="O80" s="58" t="str">
        <f>IFERROR(VLOOKUP($B80,OverallResults!$B$3:$BB$492,14,FALSE),"")</f>
        <v>DNS/DNF ()</v>
      </c>
      <c r="P80" s="58" t="str">
        <f>IFERROR(VLOOKUP($B80,OverallResults!$B$3:$BB$492,15,FALSE),"")</f>
        <v>DNS/DNF ()</v>
      </c>
      <c r="Q80" s="58" t="str">
        <f>IFERROR(VLOOKUP($B80,OverallResults!$B$3:$BB$492,16,FALSE),"")</f>
        <v>DNS/DNF ()</v>
      </c>
      <c r="R80" s="58" t="str">
        <f>IFERROR(VLOOKUP($B80,OverallResults!$B$3:$BB$492,17,FALSE),"")</f>
        <v>00:21:30.843</v>
      </c>
      <c r="S80" s="170" t="str">
        <f t="shared" si="2"/>
        <v>00:08</v>
      </c>
      <c r="T80" s="170" t="str">
        <f t="shared" si="3"/>
        <v>04:41</v>
      </c>
      <c r="U80" s="361">
        <f>IFERROR(VLOOKUP($D80,EntryList!$B$3:$S$291,18,FALSE),"")</f>
        <v>0</v>
      </c>
      <c r="V80" s="361">
        <f>IFERROR(VLOOKUP($D80,EntryList!$B$3:$S$291,17,FALSE),"")</f>
        <v>0</v>
      </c>
    </row>
    <row r="81" spans="2:22">
      <c r="B81" s="59">
        <v>76</v>
      </c>
      <c r="C81" s="59">
        <f>IFERROR(VLOOKUP($B81,OverallResults!$B$3:$Z$508,2,FALSE),"")</f>
        <v>20</v>
      </c>
      <c r="D81" s="149" t="str">
        <f>IFERROR(VLOOKUP($B81,OverallResults!$B$3:$Z$508,3,FALSE),"")</f>
        <v>Jean-Pierre Whitfield</v>
      </c>
      <c r="E81" s="146">
        <f>IFERROR(VLOOKUP(C81,SeriesPoints!$A$2:$B$51,2,FALSE),"")</f>
        <v>60</v>
      </c>
      <c r="F81" s="148" t="str">
        <f>IFERROR(VLOOKUP($D81,EntryList!$B$3:$V$291,21,FALSE),"")</f>
        <v>-</v>
      </c>
      <c r="G81" s="100" t="str">
        <f>IFERROR(VLOOKUP($D81,EntryList!$B$3:$N$596,5,FALSE),"")</f>
        <v>M</v>
      </c>
      <c r="H81" s="145" t="str">
        <f>IFERROR(VLOOKUP($D81,EntryList!$B$3:$N$596,6,FALSE),"")</f>
        <v>Elite Men</v>
      </c>
      <c r="I81" s="59">
        <f>IFERROR(VLOOKUP($B81,OverallResults!$B$3:$Z$492,8,FALSE),"")</f>
        <v>5</v>
      </c>
      <c r="J81" s="57" t="str">
        <f>IFERROR(VLOOKUP($B81,OverallResults!$B$3:$BB$492,9,FALSE),"")</f>
        <v>00:03:59.5 (55)</v>
      </c>
      <c r="K81" s="58" t="str">
        <f>IFERROR(VLOOKUP($B81,OverallResults!$B$3:$BB$492,10,FALSE),"")</f>
        <v>00:04:14.2 (96)</v>
      </c>
      <c r="L81" s="57" t="str">
        <f>IFERROR(VLOOKUP($B81,OverallResults!$B$3:$BB$492,11,FALSE),"")</f>
        <v>00:02:25.8 (92)</v>
      </c>
      <c r="M81" s="57" t="str">
        <f>IFERROR(VLOOKUP($B81,OverallResults!$B$3:$BB$492,12,FALSE),"")</f>
        <v>00:05:00.2 (96)</v>
      </c>
      <c r="N81" s="58" t="str">
        <f>IFERROR(VLOOKUP($B81,OverallResults!$B$3:$BB$492,13,FALSE),"")</f>
        <v>00:05:53.1 (119)</v>
      </c>
      <c r="O81" s="58" t="str">
        <f>IFERROR(VLOOKUP($B81,OverallResults!$B$3:$BB$492,14,FALSE),"")</f>
        <v>DNS/DNF ()</v>
      </c>
      <c r="P81" s="58" t="str">
        <f>IFERROR(VLOOKUP($B81,OverallResults!$B$3:$BB$492,15,FALSE),"")</f>
        <v>DNS/DNF ()</v>
      </c>
      <c r="Q81" s="58" t="str">
        <f>IFERROR(VLOOKUP($B81,OverallResults!$B$3:$BB$492,16,FALSE),"")</f>
        <v>DNS/DNF ()</v>
      </c>
      <c r="R81" s="58" t="str">
        <f>IFERROR(VLOOKUP($B81,OverallResults!$B$3:$BB$492,17,FALSE),"")</f>
        <v>00:21:32.842</v>
      </c>
      <c r="S81" s="170" t="str">
        <f t="shared" si="2"/>
        <v>00:02</v>
      </c>
      <c r="T81" s="170" t="str">
        <f t="shared" si="3"/>
        <v>04:43</v>
      </c>
      <c r="U81" s="361">
        <f>IFERROR(VLOOKUP($D81,EntryList!$B$3:$S$291,18,FALSE),"")</f>
        <v>0</v>
      </c>
      <c r="V81" s="361">
        <f>IFERROR(VLOOKUP($D81,EntryList!$B$3:$S$291,17,FALSE),"")</f>
        <v>0</v>
      </c>
    </row>
    <row r="82" spans="2:22">
      <c r="B82" s="59">
        <v>77</v>
      </c>
      <c r="C82" s="59">
        <f>IFERROR(VLOOKUP($B82,OverallResults!$B$3:$Z$508,2,FALSE),"")</f>
        <v>10</v>
      </c>
      <c r="D82" s="149" t="str">
        <f>IFERROR(VLOOKUP($B82,OverallResults!$B$3:$Z$508,3,FALSE),"")</f>
        <v>Matthew Halbert</v>
      </c>
      <c r="E82" s="146">
        <f>IFERROR(VLOOKUP(C82,SeriesPoints!$A$2:$B$51,2,FALSE),"")</f>
        <v>100</v>
      </c>
      <c r="F82" s="148" t="str">
        <f>IFERROR(VLOOKUP($D82,EntryList!$B$3:$V$291,21,FALSE),"")</f>
        <v>-</v>
      </c>
      <c r="G82" s="100" t="str">
        <f>IFERROR(VLOOKUP($D82,EntryList!$B$3:$N$596,5,FALSE),"")</f>
        <v>M</v>
      </c>
      <c r="H82" s="145" t="str">
        <f>IFERROR(VLOOKUP($D82,EntryList!$B$3:$N$596,6,FALSE),"")</f>
        <v>Junior Men</v>
      </c>
      <c r="I82" s="59">
        <f>IFERROR(VLOOKUP($B82,OverallResults!$B$3:$Z$492,8,FALSE),"")</f>
        <v>5</v>
      </c>
      <c r="J82" s="57" t="str">
        <f>IFERROR(VLOOKUP($B82,OverallResults!$B$3:$BB$492,9,FALSE),"")</f>
        <v>00:04:49.6 (105)</v>
      </c>
      <c r="K82" s="58" t="str">
        <f>IFERROR(VLOOKUP($B82,OverallResults!$B$3:$BB$492,10,FALSE),"")</f>
        <v>00:04:12.8 (93)</v>
      </c>
      <c r="L82" s="57" t="str">
        <f>IFERROR(VLOOKUP($B82,OverallResults!$B$3:$BB$492,11,FALSE),"")</f>
        <v>00:02:21.0 (80)</v>
      </c>
      <c r="M82" s="57" t="str">
        <f>IFERROR(VLOOKUP($B82,OverallResults!$B$3:$BB$492,12,FALSE),"")</f>
        <v>00:04:36.4 (71)</v>
      </c>
      <c r="N82" s="58" t="str">
        <f>IFERROR(VLOOKUP($B82,OverallResults!$B$3:$BB$492,13,FALSE),"")</f>
        <v>00:05:38.1 (81)</v>
      </c>
      <c r="O82" s="58" t="str">
        <f>IFERROR(VLOOKUP($B82,OverallResults!$B$3:$BB$492,14,FALSE),"")</f>
        <v>DNS/DNF ()</v>
      </c>
      <c r="P82" s="58" t="str">
        <f>IFERROR(VLOOKUP($B82,OverallResults!$B$3:$BB$492,15,FALSE),"")</f>
        <v>DNS/DNF ()</v>
      </c>
      <c r="Q82" s="58" t="str">
        <f>IFERROR(VLOOKUP($B82,OverallResults!$B$3:$BB$492,16,FALSE),"")</f>
        <v>DNS/DNF ()</v>
      </c>
      <c r="R82" s="58" t="str">
        <f>IFERROR(VLOOKUP($B82,OverallResults!$B$3:$BB$492,17,FALSE),"")</f>
        <v>00:21:37.962</v>
      </c>
      <c r="S82" s="170" t="str">
        <f t="shared" si="2"/>
        <v>00:05</v>
      </c>
      <c r="T82" s="170" t="str">
        <f t="shared" si="3"/>
        <v>04:48</v>
      </c>
      <c r="U82" s="361">
        <f>IFERROR(VLOOKUP($D82,EntryList!$B$3:$S$291,18,FALSE),"")</f>
        <v>0</v>
      </c>
      <c r="V82" s="361">
        <f>IFERROR(VLOOKUP($D82,EntryList!$B$3:$S$291,17,FALSE),"")</f>
        <v>0</v>
      </c>
    </row>
    <row r="83" spans="2:22">
      <c r="B83" s="59">
        <v>78</v>
      </c>
      <c r="C83" s="59">
        <f>IFERROR(VLOOKUP($B83,OverallResults!$B$3:$Z$508,2,FALSE),"")</f>
        <v>21</v>
      </c>
      <c r="D83" s="149" t="str">
        <f>IFERROR(VLOOKUP($B83,OverallResults!$B$3:$Z$508,3,FALSE),"")</f>
        <v>Luca Hewitson</v>
      </c>
      <c r="E83" s="146">
        <f>IFERROR(VLOOKUP(C83,SeriesPoints!$A$2:$B$51,2,FALSE),"")</f>
        <v>57</v>
      </c>
      <c r="F83" s="148" t="str">
        <f>IFERROR(VLOOKUP($D83,EntryList!$B$3:$V$291,21,FALSE),"")</f>
        <v>-</v>
      </c>
      <c r="G83" s="100" t="str">
        <f>IFERROR(VLOOKUP($D83,EntryList!$B$3:$N$596,5,FALSE),"")</f>
        <v>M</v>
      </c>
      <c r="H83" s="145" t="str">
        <f>IFERROR(VLOOKUP($D83,EntryList!$B$3:$N$596,6,FALSE),"")</f>
        <v>Elite Men</v>
      </c>
      <c r="I83" s="59">
        <f>IFERROR(VLOOKUP($B83,OverallResults!$B$3:$Z$492,8,FALSE),"")</f>
        <v>5</v>
      </c>
      <c r="J83" s="57" t="str">
        <f>IFERROR(VLOOKUP($B83,OverallResults!$B$3:$BB$492,9,FALSE),"")</f>
        <v>00:04:10.8 (69)</v>
      </c>
      <c r="K83" s="58" t="str">
        <f>IFERROR(VLOOKUP($B83,OverallResults!$B$3:$BB$492,10,FALSE),"")</f>
        <v>00:04:20.3 (112)</v>
      </c>
      <c r="L83" s="57" t="str">
        <f>IFERROR(VLOOKUP($B83,OverallResults!$B$3:$BB$492,11,FALSE),"")</f>
        <v>00:02:27.1 (99)</v>
      </c>
      <c r="M83" s="57" t="str">
        <f>IFERROR(VLOOKUP($B83,OverallResults!$B$3:$BB$492,12,FALSE),"")</f>
        <v>00:04:48.5 (80)</v>
      </c>
      <c r="N83" s="58" t="str">
        <f>IFERROR(VLOOKUP($B83,OverallResults!$B$3:$BB$492,13,FALSE),"")</f>
        <v>00:05:53.8 (123)</v>
      </c>
      <c r="O83" s="58" t="str">
        <f>IFERROR(VLOOKUP($B83,OverallResults!$B$3:$BB$492,14,FALSE),"")</f>
        <v>DNS/DNF ()</v>
      </c>
      <c r="P83" s="58" t="str">
        <f>IFERROR(VLOOKUP($B83,OverallResults!$B$3:$BB$492,15,FALSE),"")</f>
        <v>DNS/DNF ()</v>
      </c>
      <c r="Q83" s="58" t="str">
        <f>IFERROR(VLOOKUP($B83,OverallResults!$B$3:$BB$492,16,FALSE),"")</f>
        <v>DNS/DNF ()</v>
      </c>
      <c r="R83" s="58" t="str">
        <f>IFERROR(VLOOKUP($B83,OverallResults!$B$3:$BB$492,17,FALSE),"")</f>
        <v>00:21:40.479</v>
      </c>
      <c r="S83" s="170" t="str">
        <f t="shared" si="2"/>
        <v>00:03</v>
      </c>
      <c r="T83" s="170" t="str">
        <f t="shared" si="3"/>
        <v>04:50</v>
      </c>
      <c r="U83" s="361">
        <f>IFERROR(VLOOKUP($D83,EntryList!$B$3:$S$291,18,FALSE),"")</f>
        <v>0</v>
      </c>
      <c r="V83" s="361">
        <f>IFERROR(VLOOKUP($D83,EntryList!$B$3:$S$291,17,FALSE),"")</f>
        <v>0</v>
      </c>
    </row>
    <row r="84" spans="2:22">
      <c r="B84" s="59">
        <v>79</v>
      </c>
      <c r="C84" s="59">
        <f>IFERROR(VLOOKUP($B84,OverallResults!$B$3:$Z$508,2,FALSE),"")</f>
        <v>2</v>
      </c>
      <c r="D84" s="149" t="str">
        <f>IFERROR(VLOOKUP($B84,OverallResults!$B$3:$Z$508,3,FALSE),"")</f>
        <v>Jessi Nixon</v>
      </c>
      <c r="E84" s="146">
        <f>IFERROR(VLOOKUP(C84,SeriesPoints!$A$2:$B$51,2,FALSE),"")</f>
        <v>170</v>
      </c>
      <c r="F84" s="148" t="str">
        <f>IFERROR(VLOOKUP($D84,EntryList!$B$3:$V$291,21,FALSE),"")</f>
        <v>-</v>
      </c>
      <c r="G84" s="100" t="str">
        <f>IFERROR(VLOOKUP($D84,EntryList!$B$3:$N$596,5,FALSE),"")</f>
        <v>F</v>
      </c>
      <c r="H84" s="145" t="str">
        <f>IFERROR(VLOOKUP($D84,EntryList!$B$3:$N$596,6,FALSE),"")</f>
        <v>Elite Women</v>
      </c>
      <c r="I84" s="59">
        <f>IFERROR(VLOOKUP($B84,OverallResults!$B$3:$Z$492,8,FALSE),"")</f>
        <v>5</v>
      </c>
      <c r="J84" s="57" t="str">
        <f>IFERROR(VLOOKUP($B84,OverallResults!$B$3:$BB$492,9,FALSE),"")</f>
        <v>00:04:11.3 (72)</v>
      </c>
      <c r="K84" s="58" t="str">
        <f>IFERROR(VLOOKUP($B84,OverallResults!$B$3:$BB$492,10,FALSE),"")</f>
        <v>00:04:20.2 (111)</v>
      </c>
      <c r="L84" s="57" t="str">
        <f>IFERROR(VLOOKUP($B84,OverallResults!$B$3:$BB$492,11,FALSE),"")</f>
        <v>00:02:26.2 (95)</v>
      </c>
      <c r="M84" s="57" t="str">
        <f>IFERROR(VLOOKUP($B84,OverallResults!$B$3:$BB$492,12,FALSE),"")</f>
        <v>00:04:53.1 (86)</v>
      </c>
      <c r="N84" s="58" t="str">
        <f>IFERROR(VLOOKUP($B84,OverallResults!$B$3:$BB$492,13,FALSE),"")</f>
        <v>00:05:51.8 (112)</v>
      </c>
      <c r="O84" s="58" t="str">
        <f>IFERROR(VLOOKUP($B84,OverallResults!$B$3:$BB$492,14,FALSE),"")</f>
        <v>DNS/DNF ()</v>
      </c>
      <c r="P84" s="58" t="str">
        <f>IFERROR(VLOOKUP($B84,OverallResults!$B$3:$BB$492,15,FALSE),"")</f>
        <v>DNS/DNF ()</v>
      </c>
      <c r="Q84" s="58" t="str">
        <f>IFERROR(VLOOKUP($B84,OverallResults!$B$3:$BB$492,16,FALSE),"")</f>
        <v>DNS/DNF ()</v>
      </c>
      <c r="R84" s="58" t="str">
        <f>IFERROR(VLOOKUP($B84,OverallResults!$B$3:$BB$492,17,FALSE),"")</f>
        <v>00:21:42.582</v>
      </c>
      <c r="S84" s="170" t="str">
        <f t="shared" si="2"/>
        <v>00:02</v>
      </c>
      <c r="T84" s="170" t="str">
        <f t="shared" si="3"/>
        <v>04:53</v>
      </c>
      <c r="U84" s="361">
        <f>IFERROR(VLOOKUP($D84,EntryList!$B$3:$S$291,18,FALSE),"")</f>
        <v>0</v>
      </c>
      <c r="V84" s="361">
        <f>IFERROR(VLOOKUP($D84,EntryList!$B$3:$S$291,17,FALSE),"")</f>
        <v>0</v>
      </c>
    </row>
    <row r="85" spans="2:22">
      <c r="B85" s="59">
        <v>80</v>
      </c>
      <c r="C85" s="59">
        <f>IFERROR(VLOOKUP($B85,OverallResults!$B$3:$Z$508,2,FALSE),"")</f>
        <v>20</v>
      </c>
      <c r="D85" s="149" t="str">
        <f>IFERROR(VLOOKUP($B85,OverallResults!$B$3:$Z$508,3,FALSE),"")</f>
        <v>Kyle Collair</v>
      </c>
      <c r="E85" s="146">
        <f>IFERROR(VLOOKUP(C85,SeriesPoints!$A$2:$B$51,2,FALSE),"")</f>
        <v>60</v>
      </c>
      <c r="F85" s="148" t="str">
        <f>IFERROR(VLOOKUP($D85,EntryList!$B$3:$V$291,21,FALSE),"")</f>
        <v>-</v>
      </c>
      <c r="G85" s="100" t="str">
        <f>IFERROR(VLOOKUP($D85,EntryList!$B$3:$N$596,5,FALSE),"")</f>
        <v>M</v>
      </c>
      <c r="H85" s="145" t="str">
        <f>IFERROR(VLOOKUP($D85,EntryList!$B$3:$N$596,6,FALSE),"")</f>
        <v>Master Men</v>
      </c>
      <c r="I85" s="59">
        <f>IFERROR(VLOOKUP($B85,OverallResults!$B$3:$Z$492,8,FALSE),"")</f>
        <v>5</v>
      </c>
      <c r="J85" s="57" t="str">
        <f>IFERROR(VLOOKUP($B85,OverallResults!$B$3:$BB$492,9,FALSE),"")</f>
        <v>00:04:38.3 (96)</v>
      </c>
      <c r="K85" s="58" t="str">
        <f>IFERROR(VLOOKUP($B85,OverallResults!$B$3:$BB$492,10,FALSE),"")</f>
        <v>00:04:10.9 (88)</v>
      </c>
      <c r="L85" s="57" t="str">
        <f>IFERROR(VLOOKUP($B85,OverallResults!$B$3:$BB$492,11,FALSE),"")</f>
        <v>00:02:30.3 (111)</v>
      </c>
      <c r="M85" s="57" t="str">
        <f>IFERROR(VLOOKUP($B85,OverallResults!$B$3:$BB$492,12,FALSE),"")</f>
        <v>00:04:50.1 (83)</v>
      </c>
      <c r="N85" s="58" t="str">
        <f>IFERROR(VLOOKUP($B85,OverallResults!$B$3:$BB$492,13,FALSE),"")</f>
        <v>00:05:41.6 (90)</v>
      </c>
      <c r="O85" s="58" t="str">
        <f>IFERROR(VLOOKUP($B85,OverallResults!$B$3:$BB$492,14,FALSE),"")</f>
        <v>DNS/DNF ()</v>
      </c>
      <c r="P85" s="58" t="str">
        <f>IFERROR(VLOOKUP($B85,OverallResults!$B$3:$BB$492,15,FALSE),"")</f>
        <v>DNS/DNF ()</v>
      </c>
      <c r="Q85" s="58" t="str">
        <f>IFERROR(VLOOKUP($B85,OverallResults!$B$3:$BB$492,16,FALSE),"")</f>
        <v>DNS/DNF ()</v>
      </c>
      <c r="R85" s="58" t="str">
        <f>IFERROR(VLOOKUP($B85,OverallResults!$B$3:$BB$492,17,FALSE),"")</f>
        <v>00:21:51.287</v>
      </c>
      <c r="S85" s="170" t="str">
        <f t="shared" si="2"/>
        <v>00:09</v>
      </c>
      <c r="T85" s="170" t="str">
        <f t="shared" si="3"/>
        <v>05:01</v>
      </c>
      <c r="U85" s="361">
        <f>IFERROR(VLOOKUP($D85,EntryList!$B$3:$S$291,18,FALSE),"")</f>
        <v>0</v>
      </c>
      <c r="V85" s="361">
        <f>IFERROR(VLOOKUP($D85,EntryList!$B$3:$S$291,17,FALSE),"")</f>
        <v>0</v>
      </c>
    </row>
    <row r="86" spans="2:22">
      <c r="B86" s="59">
        <v>81</v>
      </c>
      <c r="C86" s="59">
        <f>IFERROR(VLOOKUP($B86,OverallResults!$B$3:$Z$508,2,FALSE),"")</f>
        <v>18</v>
      </c>
      <c r="D86" s="149" t="str">
        <f>IFERROR(VLOOKUP($B86,OverallResults!$B$3:$Z$508,3,FALSE),"")</f>
        <v>Gustav Raubenheimer</v>
      </c>
      <c r="E86" s="146">
        <f>IFERROR(VLOOKUP(C86,SeriesPoints!$A$2:$B$51,2,FALSE),"")</f>
        <v>68</v>
      </c>
      <c r="F86" s="148" t="str">
        <f>IFERROR(VLOOKUP($D86,EntryList!$B$3:$V$291,21,FALSE),"")</f>
        <v>-</v>
      </c>
      <c r="G86" s="100" t="str">
        <f>IFERROR(VLOOKUP($D86,EntryList!$B$3:$N$596,5,FALSE),"")</f>
        <v>M</v>
      </c>
      <c r="H86" s="145" t="str">
        <f>IFERROR(VLOOKUP($D86,EntryList!$B$3:$N$596,6,FALSE),"")</f>
        <v>Youth Men</v>
      </c>
      <c r="I86" s="59">
        <f>IFERROR(VLOOKUP($B86,OverallResults!$B$3:$Z$492,8,FALSE),"")</f>
        <v>5</v>
      </c>
      <c r="J86" s="57" t="str">
        <f>IFERROR(VLOOKUP($B86,OverallResults!$B$3:$BB$492,9,FALSE),"")</f>
        <v>00:04:28.2 (86)</v>
      </c>
      <c r="K86" s="58" t="str">
        <f>IFERROR(VLOOKUP($B86,OverallResults!$B$3:$BB$492,10,FALSE),"")</f>
        <v>00:04:13.0 (95)</v>
      </c>
      <c r="L86" s="57" t="str">
        <f>IFERROR(VLOOKUP($B86,OverallResults!$B$3:$BB$492,11,FALSE),"")</f>
        <v>00:02:27.7 (104)</v>
      </c>
      <c r="M86" s="57" t="str">
        <f>IFERROR(VLOOKUP($B86,OverallResults!$B$3:$BB$492,12,FALSE),"")</f>
        <v>00:04:45.8 (78)</v>
      </c>
      <c r="N86" s="58" t="str">
        <f>IFERROR(VLOOKUP($B86,OverallResults!$B$3:$BB$492,13,FALSE),"")</f>
        <v>00:05:58.2 (135)</v>
      </c>
      <c r="O86" s="58" t="str">
        <f>IFERROR(VLOOKUP($B86,OverallResults!$B$3:$BB$492,14,FALSE),"")</f>
        <v>DNS/DNF ()</v>
      </c>
      <c r="P86" s="58" t="str">
        <f>IFERROR(VLOOKUP($B86,OverallResults!$B$3:$BB$492,15,FALSE),"")</f>
        <v>DNS/DNF ()</v>
      </c>
      <c r="Q86" s="58" t="str">
        <f>IFERROR(VLOOKUP($B86,OverallResults!$B$3:$BB$492,16,FALSE),"")</f>
        <v>DNS/DNF ()</v>
      </c>
      <c r="R86" s="58" t="str">
        <f>IFERROR(VLOOKUP($B86,OverallResults!$B$3:$BB$492,17,FALSE),"")</f>
        <v>00:21:53.014</v>
      </c>
      <c r="S86" s="170" t="str">
        <f t="shared" si="2"/>
        <v>00:02</v>
      </c>
      <c r="T86" s="170" t="str">
        <f t="shared" si="3"/>
        <v>05:03</v>
      </c>
      <c r="U86" s="361">
        <f>IFERROR(VLOOKUP($D86,EntryList!$B$3:$S$291,18,FALSE),"")</f>
        <v>0</v>
      </c>
      <c r="V86" s="361">
        <f>IFERROR(VLOOKUP($D86,EntryList!$B$3:$S$291,17,FALSE),"")</f>
        <v>0</v>
      </c>
    </row>
    <row r="87" spans="2:22">
      <c r="B87" s="59">
        <v>82</v>
      </c>
      <c r="C87" s="59">
        <f>IFERROR(VLOOKUP($B87,OverallResults!$B$3:$Z$508,2,FALSE),"")</f>
        <v>22</v>
      </c>
      <c r="D87" s="149" t="str">
        <f>IFERROR(VLOOKUP($B87,OverallResults!$B$3:$Z$508,3,FALSE),"")</f>
        <v>Leon Bartel</v>
      </c>
      <c r="E87" s="146">
        <f>IFERROR(VLOOKUP(C87,SeriesPoints!$A$2:$B$51,2,FALSE),"")</f>
        <v>54</v>
      </c>
      <c r="F87" s="148" t="str">
        <f>IFERROR(VLOOKUP($D87,EntryList!$B$3:$V$291,21,FALSE),"")</f>
        <v>-</v>
      </c>
      <c r="G87" s="100" t="str">
        <f>IFERROR(VLOOKUP($D87,EntryList!$B$3:$N$596,5,FALSE),"")</f>
        <v>M</v>
      </c>
      <c r="H87" s="145" t="str">
        <f>IFERROR(VLOOKUP($D87,EntryList!$B$3:$N$596,6,FALSE),"")</f>
        <v>Elite Men</v>
      </c>
      <c r="I87" s="59">
        <f>IFERROR(VLOOKUP($B87,OverallResults!$B$3:$Z$492,8,FALSE),"")</f>
        <v>5</v>
      </c>
      <c r="J87" s="57" t="str">
        <f>IFERROR(VLOOKUP($B87,OverallResults!$B$3:$BB$492,9,FALSE),"")</f>
        <v>00:04:35.7 (92)</v>
      </c>
      <c r="K87" s="58" t="str">
        <f>IFERROR(VLOOKUP($B87,OverallResults!$B$3:$BB$492,10,FALSE),"")</f>
        <v>00:04:17.9 (105)</v>
      </c>
      <c r="L87" s="57" t="str">
        <f>IFERROR(VLOOKUP($B87,OverallResults!$B$3:$BB$492,11,FALSE),"")</f>
        <v>00:02:38.2 (140)</v>
      </c>
      <c r="M87" s="57" t="str">
        <f>IFERROR(VLOOKUP($B87,OverallResults!$B$3:$BB$492,12,FALSE),"")</f>
        <v>00:04:53.8 (87)</v>
      </c>
      <c r="N87" s="58" t="str">
        <f>IFERROR(VLOOKUP($B87,OverallResults!$B$3:$BB$492,13,FALSE),"")</f>
        <v>00:05:38.5 (84)</v>
      </c>
      <c r="O87" s="58" t="str">
        <f>IFERROR(VLOOKUP($B87,OverallResults!$B$3:$BB$492,14,FALSE),"")</f>
        <v>DNS/DNF ()</v>
      </c>
      <c r="P87" s="58" t="str">
        <f>IFERROR(VLOOKUP($B87,OverallResults!$B$3:$BB$492,15,FALSE),"")</f>
        <v>DNS/DNF ()</v>
      </c>
      <c r="Q87" s="58" t="str">
        <f>IFERROR(VLOOKUP($B87,OverallResults!$B$3:$BB$492,16,FALSE),"")</f>
        <v>DNS/DNF ()</v>
      </c>
      <c r="R87" s="58" t="str">
        <f>IFERROR(VLOOKUP($B87,OverallResults!$B$3:$BB$492,17,FALSE),"")</f>
        <v>00:22:04.204</v>
      </c>
      <c r="S87" s="170" t="str">
        <f t="shared" si="2"/>
        <v>00:11</v>
      </c>
      <c r="T87" s="170" t="str">
        <f t="shared" si="3"/>
        <v>05:14</v>
      </c>
      <c r="U87" s="361">
        <f>IFERROR(VLOOKUP($D87,EntryList!$B$3:$S$291,18,FALSE),"")</f>
        <v>0</v>
      </c>
      <c r="V87" s="361">
        <f>IFERROR(VLOOKUP($D87,EntryList!$B$3:$S$291,17,FALSE),"")</f>
        <v>0</v>
      </c>
    </row>
    <row r="88" spans="2:22">
      <c r="B88" s="59">
        <v>83</v>
      </c>
      <c r="C88" s="59">
        <f>IFERROR(VLOOKUP($B88,OverallResults!$B$3:$Z$508,2,FALSE),"")</f>
        <v>19</v>
      </c>
      <c r="D88" s="149" t="str">
        <f>IFERROR(VLOOKUP($B88,OverallResults!$B$3:$Z$508,3,FALSE),"")</f>
        <v>Fritz Kolb</v>
      </c>
      <c r="E88" s="146">
        <f>IFERROR(VLOOKUP(C88,SeriesPoints!$A$2:$B$51,2,FALSE),"")</f>
        <v>64</v>
      </c>
      <c r="F88" s="148" t="str">
        <f>IFERROR(VLOOKUP($D88,EntryList!$B$3:$V$291,21,FALSE),"")</f>
        <v>-</v>
      </c>
      <c r="G88" s="100" t="str">
        <f>IFERROR(VLOOKUP($D88,EntryList!$B$3:$N$596,5,FALSE),"")</f>
        <v>M</v>
      </c>
      <c r="H88" s="145" t="str">
        <f>IFERROR(VLOOKUP($D88,EntryList!$B$3:$N$596,6,FALSE),"")</f>
        <v>Youth Men</v>
      </c>
      <c r="I88" s="59">
        <f>IFERROR(VLOOKUP($B88,OverallResults!$B$3:$Z$492,8,FALSE),"")</f>
        <v>5</v>
      </c>
      <c r="J88" s="57" t="str">
        <f>IFERROR(VLOOKUP($B88,OverallResults!$B$3:$BB$492,9,FALSE),"")</f>
        <v>00:04:36.3 (93)</v>
      </c>
      <c r="K88" s="58" t="str">
        <f>IFERROR(VLOOKUP($B88,OverallResults!$B$3:$BB$492,10,FALSE),"")</f>
        <v>00:04:26.2 (124)</v>
      </c>
      <c r="L88" s="57" t="str">
        <f>IFERROR(VLOOKUP($B88,OverallResults!$B$3:$BB$492,11,FALSE),"")</f>
        <v>00:02:27.6 (101)</v>
      </c>
      <c r="M88" s="57" t="str">
        <f>IFERROR(VLOOKUP($B88,OverallResults!$B$3:$BB$492,12,FALSE),"")</f>
        <v>00:04:54.2 (89)</v>
      </c>
      <c r="N88" s="58" t="str">
        <f>IFERROR(VLOOKUP($B88,OverallResults!$B$3:$BB$492,13,FALSE),"")</f>
        <v>00:05:40.3 (87)</v>
      </c>
      <c r="O88" s="58" t="str">
        <f>IFERROR(VLOOKUP($B88,OverallResults!$B$3:$BB$492,14,FALSE),"")</f>
        <v>DNS/DNF ()</v>
      </c>
      <c r="P88" s="58" t="str">
        <f>IFERROR(VLOOKUP($B88,OverallResults!$B$3:$BB$492,15,FALSE),"")</f>
        <v>DNS/DNF ()</v>
      </c>
      <c r="Q88" s="58" t="str">
        <f>IFERROR(VLOOKUP($B88,OverallResults!$B$3:$BB$492,16,FALSE),"")</f>
        <v>DNS/DNF ()</v>
      </c>
      <c r="R88" s="58" t="str">
        <f>IFERROR(VLOOKUP($B88,OverallResults!$B$3:$BB$492,17,FALSE),"")</f>
        <v>00:22:04.541</v>
      </c>
      <c r="S88" s="170" t="str">
        <f t="shared" si="2"/>
        <v>00:00</v>
      </c>
      <c r="T88" s="170" t="str">
        <f t="shared" si="3"/>
        <v>05:15</v>
      </c>
      <c r="U88" s="361">
        <f>IFERROR(VLOOKUP($D88,EntryList!$B$3:$S$291,18,FALSE),"")</f>
        <v>0</v>
      </c>
      <c r="V88" s="361">
        <f>IFERROR(VLOOKUP($D88,EntryList!$B$3:$S$291,17,FALSE),"")</f>
        <v>0</v>
      </c>
    </row>
    <row r="89" spans="2:22">
      <c r="B89" s="59">
        <v>84</v>
      </c>
      <c r="C89" s="59">
        <f>IFERROR(VLOOKUP($B89,OverallResults!$B$3:$Z$508,2,FALSE),"")</f>
        <v>23</v>
      </c>
      <c r="D89" s="149" t="str">
        <f>IFERROR(VLOOKUP($B89,OverallResults!$B$3:$Z$508,3,FALSE),"")</f>
        <v>Adriaan De Lange</v>
      </c>
      <c r="E89" s="146">
        <f>IFERROR(VLOOKUP(C89,SeriesPoints!$A$2:$B$51,2,FALSE),"")</f>
        <v>51</v>
      </c>
      <c r="F89" s="148" t="str">
        <f>IFERROR(VLOOKUP($D89,EntryList!$B$3:$V$291,21,FALSE),"")</f>
        <v>-</v>
      </c>
      <c r="G89" s="100" t="str">
        <f>IFERROR(VLOOKUP($D89,EntryList!$B$3:$N$596,5,FALSE),"")</f>
        <v>M</v>
      </c>
      <c r="H89" s="145" t="str">
        <f>IFERROR(VLOOKUP($D89,EntryList!$B$3:$N$596,6,FALSE),"")</f>
        <v>Elite Men</v>
      </c>
      <c r="I89" s="59">
        <f>IFERROR(VLOOKUP($B89,OverallResults!$B$3:$Z$492,8,FALSE),"")</f>
        <v>5</v>
      </c>
      <c r="J89" s="57" t="str">
        <f>IFERROR(VLOOKUP($B89,OverallResults!$B$3:$BB$492,9,FALSE),"")</f>
        <v>00:05:22.1 (118)</v>
      </c>
      <c r="K89" s="58" t="str">
        <f>IFERROR(VLOOKUP($B89,OverallResults!$B$3:$BB$492,10,FALSE),"")</f>
        <v>00:04:27.6 (129)</v>
      </c>
      <c r="L89" s="57" t="str">
        <f>IFERROR(VLOOKUP($B89,OverallResults!$B$3:$BB$492,11,FALSE),"")</f>
        <v>00:02:16.2 (66)</v>
      </c>
      <c r="M89" s="57" t="str">
        <f>IFERROR(VLOOKUP($B89,OverallResults!$B$3:$BB$492,12,FALSE),"")</f>
        <v>00:04:35.5 (69)</v>
      </c>
      <c r="N89" s="58" t="str">
        <f>IFERROR(VLOOKUP($B89,OverallResults!$B$3:$BB$492,13,FALSE),"")</f>
        <v>00:05:25.0 (58)</v>
      </c>
      <c r="O89" s="58" t="str">
        <f>IFERROR(VLOOKUP($B89,OverallResults!$B$3:$BB$492,14,FALSE),"")</f>
        <v>DNS/DNF ()</v>
      </c>
      <c r="P89" s="58" t="str">
        <f>IFERROR(VLOOKUP($B89,OverallResults!$B$3:$BB$492,15,FALSE),"")</f>
        <v>DNS/DNF ()</v>
      </c>
      <c r="Q89" s="58" t="str">
        <f>IFERROR(VLOOKUP($B89,OverallResults!$B$3:$BB$492,16,FALSE),"")</f>
        <v>DNS/DNF ()</v>
      </c>
      <c r="R89" s="58" t="str">
        <f>IFERROR(VLOOKUP($B89,OverallResults!$B$3:$BB$492,17,FALSE),"")</f>
        <v>00:22:06.447</v>
      </c>
      <c r="S89" s="170" t="str">
        <f t="shared" si="2"/>
        <v>00:02</v>
      </c>
      <c r="T89" s="170" t="str">
        <f t="shared" si="3"/>
        <v>05:16</v>
      </c>
      <c r="U89" s="361">
        <f>IFERROR(VLOOKUP($D89,EntryList!$B$3:$S$291,18,FALSE),"")</f>
        <v>0</v>
      </c>
      <c r="V89" s="361">
        <f>IFERROR(VLOOKUP($D89,EntryList!$B$3:$S$291,17,FALSE),"")</f>
        <v>0</v>
      </c>
    </row>
    <row r="90" spans="2:22">
      <c r="B90" s="59">
        <v>85</v>
      </c>
      <c r="C90" s="59">
        <f>IFERROR(VLOOKUP($B90,OverallResults!$B$3:$Z$508,2,FALSE),"")</f>
        <v>1</v>
      </c>
      <c r="D90" s="149" t="str">
        <f>IFERROR(VLOOKUP($B90,OverallResults!$B$3:$Z$508,3,FALSE),"")</f>
        <v>Gina Nixon</v>
      </c>
      <c r="E90" s="146">
        <f>IFERROR(VLOOKUP(C90,SeriesPoints!$A$2:$B$51,2,FALSE),"")</f>
        <v>200</v>
      </c>
      <c r="F90" s="148" t="str">
        <f>IFERROR(VLOOKUP($D90,EntryList!$B$3:$V$291,21,FALSE),"")</f>
        <v>-</v>
      </c>
      <c r="G90" s="100" t="str">
        <f>IFERROR(VLOOKUP($D90,EntryList!$B$3:$N$596,5,FALSE),"")</f>
        <v>F</v>
      </c>
      <c r="H90" s="145" t="str">
        <f>IFERROR(VLOOKUP($D90,EntryList!$B$3:$N$596,6,FALSE),"")</f>
        <v>E-Bike F</v>
      </c>
      <c r="I90" s="59">
        <f>IFERROR(VLOOKUP($B90,OverallResults!$B$3:$Z$492,8,FALSE),"")</f>
        <v>5</v>
      </c>
      <c r="J90" s="57" t="str">
        <f>IFERROR(VLOOKUP($B90,OverallResults!$B$3:$BB$492,9,FALSE),"")</f>
        <v>00:04:41.3 (99)</v>
      </c>
      <c r="K90" s="58" t="str">
        <f>IFERROR(VLOOKUP($B90,OverallResults!$B$3:$BB$492,10,FALSE),"")</f>
        <v>00:04:16.5 (100)</v>
      </c>
      <c r="L90" s="57" t="str">
        <f>IFERROR(VLOOKUP($B90,OverallResults!$B$3:$BB$492,11,FALSE),"")</f>
        <v>00:02:35.0 (134)</v>
      </c>
      <c r="M90" s="57" t="str">
        <f>IFERROR(VLOOKUP($B90,OverallResults!$B$3:$BB$492,12,FALSE),"")</f>
        <v>00:04:53.0 (85)</v>
      </c>
      <c r="N90" s="58" t="str">
        <f>IFERROR(VLOOKUP($B90,OverallResults!$B$3:$BB$492,13,FALSE),"")</f>
        <v>00:05:48.9 (107)</v>
      </c>
      <c r="O90" s="58" t="str">
        <f>IFERROR(VLOOKUP($B90,OverallResults!$B$3:$BB$492,14,FALSE),"")</f>
        <v>DNS/DNF ()</v>
      </c>
      <c r="P90" s="58" t="str">
        <f>IFERROR(VLOOKUP($B90,OverallResults!$B$3:$BB$492,15,FALSE),"")</f>
        <v>DNS/DNF ()</v>
      </c>
      <c r="Q90" s="58" t="str">
        <f>IFERROR(VLOOKUP($B90,OverallResults!$B$3:$BB$492,16,FALSE),"")</f>
        <v>DNS/DNF ()</v>
      </c>
      <c r="R90" s="58" t="str">
        <f>IFERROR(VLOOKUP($B90,OverallResults!$B$3:$BB$492,17,FALSE),"")</f>
        <v>00:22:14.711</v>
      </c>
      <c r="S90" s="170" t="str">
        <f t="shared" si="2"/>
        <v>00:08</v>
      </c>
      <c r="T90" s="170" t="str">
        <f t="shared" si="3"/>
        <v>05:25</v>
      </c>
      <c r="U90" s="361">
        <f>IFERROR(VLOOKUP($D90,EntryList!$B$3:$S$291,18,FALSE),"")</f>
        <v>0</v>
      </c>
      <c r="V90" s="361">
        <f>IFERROR(VLOOKUP($D90,EntryList!$B$3:$S$291,17,FALSE),"")</f>
        <v>0</v>
      </c>
    </row>
    <row r="91" spans="2:22">
      <c r="B91" s="59">
        <v>86</v>
      </c>
      <c r="C91" s="59">
        <f>IFERROR(VLOOKUP($B91,OverallResults!$B$3:$Z$508,2,FALSE),"")</f>
        <v>20</v>
      </c>
      <c r="D91" s="149" t="str">
        <f>IFERROR(VLOOKUP($B91,OverallResults!$B$3:$Z$508,3,FALSE),"")</f>
        <v>James Mccann</v>
      </c>
      <c r="E91" s="146">
        <f>IFERROR(VLOOKUP(C91,SeriesPoints!$A$2:$B$51,2,FALSE),"")</f>
        <v>60</v>
      </c>
      <c r="F91" s="148" t="str">
        <f>IFERROR(VLOOKUP($D91,EntryList!$B$3:$V$291,21,FALSE),"")</f>
        <v>-</v>
      </c>
      <c r="G91" s="100" t="str">
        <f>IFERROR(VLOOKUP($D91,EntryList!$B$3:$N$596,5,FALSE),"")</f>
        <v>M</v>
      </c>
      <c r="H91" s="145" t="str">
        <f>IFERROR(VLOOKUP($D91,EntryList!$B$3:$N$596,6,FALSE),"")</f>
        <v>Youth Men</v>
      </c>
      <c r="I91" s="59">
        <f>IFERROR(VLOOKUP($B91,OverallResults!$B$3:$Z$492,8,FALSE),"")</f>
        <v>5</v>
      </c>
      <c r="J91" s="57" t="str">
        <f>IFERROR(VLOOKUP($B91,OverallResults!$B$3:$BB$492,9,FALSE),"")</f>
        <v>00:04:18.8 (81)</v>
      </c>
      <c r="K91" s="58" t="str">
        <f>IFERROR(VLOOKUP($B91,OverallResults!$B$3:$BB$492,10,FALSE),"")</f>
        <v>00:04:44.6 (182)</v>
      </c>
      <c r="L91" s="57" t="str">
        <f>IFERROR(VLOOKUP($B91,OverallResults!$B$3:$BB$492,11,FALSE),"")</f>
        <v>00:02:28.1 (106)</v>
      </c>
      <c r="M91" s="57" t="str">
        <f>IFERROR(VLOOKUP($B91,OverallResults!$B$3:$BB$492,12,FALSE),"")</f>
        <v>00:04:49.6 (82)</v>
      </c>
      <c r="N91" s="58" t="str">
        <f>IFERROR(VLOOKUP($B91,OverallResults!$B$3:$BB$492,13,FALSE),"")</f>
        <v>00:05:57.1 (133)</v>
      </c>
      <c r="O91" s="58" t="str">
        <f>IFERROR(VLOOKUP($B91,OverallResults!$B$3:$BB$492,14,FALSE),"")</f>
        <v>DNS/DNF ()</v>
      </c>
      <c r="P91" s="58" t="str">
        <f>IFERROR(VLOOKUP($B91,OverallResults!$B$3:$BB$492,15,FALSE),"")</f>
        <v>DNS/DNF ()</v>
      </c>
      <c r="Q91" s="58" t="str">
        <f>IFERROR(VLOOKUP($B91,OverallResults!$B$3:$BB$492,16,FALSE),"")</f>
        <v>DNS/DNF ()</v>
      </c>
      <c r="R91" s="58" t="str">
        <f>IFERROR(VLOOKUP($B91,OverallResults!$B$3:$BB$492,17,FALSE),"")</f>
        <v>00:22:18.107</v>
      </c>
      <c r="S91" s="170" t="str">
        <f t="shared" si="2"/>
        <v>00:03</v>
      </c>
      <c r="T91" s="170" t="str">
        <f t="shared" si="3"/>
        <v>05:28</v>
      </c>
      <c r="U91" s="361">
        <f>IFERROR(VLOOKUP($D91,EntryList!$B$3:$S$291,18,FALSE),"")</f>
        <v>0</v>
      </c>
      <c r="V91" s="361">
        <f>IFERROR(VLOOKUP($D91,EntryList!$B$3:$S$291,17,FALSE),"")</f>
        <v>0</v>
      </c>
    </row>
    <row r="92" spans="2:22">
      <c r="B92" s="59">
        <v>87</v>
      </c>
      <c r="C92" s="59">
        <f>IFERROR(VLOOKUP($B92,OverallResults!$B$3:$Z$508,2,FALSE),"")</f>
        <v>21</v>
      </c>
      <c r="D92" s="149" t="str">
        <f>IFERROR(VLOOKUP($B92,OverallResults!$B$3:$Z$508,3,FALSE),"")</f>
        <v>Dane Clifton</v>
      </c>
      <c r="E92" s="146">
        <f>IFERROR(VLOOKUP(C92,SeriesPoints!$A$2:$B$51,2,FALSE),"")</f>
        <v>57</v>
      </c>
      <c r="F92" s="148" t="str">
        <f>IFERROR(VLOOKUP($D92,EntryList!$B$3:$V$291,21,FALSE),"")</f>
        <v>-</v>
      </c>
      <c r="G92" s="100" t="str">
        <f>IFERROR(VLOOKUP($D92,EntryList!$B$3:$N$596,5,FALSE),"")</f>
        <v>M</v>
      </c>
      <c r="H92" s="145" t="str">
        <f>IFERROR(VLOOKUP($D92,EntryList!$B$3:$N$596,6,FALSE),"")</f>
        <v>Master Men</v>
      </c>
      <c r="I92" s="59">
        <f>IFERROR(VLOOKUP($B92,OverallResults!$B$3:$Z$492,8,FALSE),"")</f>
        <v>5</v>
      </c>
      <c r="J92" s="57" t="str">
        <f>IFERROR(VLOOKUP($B92,OverallResults!$B$3:$BB$492,9,FALSE),"")</f>
        <v>00:04:16.9 (79)</v>
      </c>
      <c r="K92" s="58" t="str">
        <f>IFERROR(VLOOKUP($B92,OverallResults!$B$3:$BB$492,10,FALSE),"")</f>
        <v>00:04:26.9 (128)</v>
      </c>
      <c r="L92" s="57" t="str">
        <f>IFERROR(VLOOKUP($B92,OverallResults!$B$3:$BB$492,11,FALSE),"")</f>
        <v>00:02:23.1 (86)</v>
      </c>
      <c r="M92" s="57" t="str">
        <f>IFERROR(VLOOKUP($B92,OverallResults!$B$3:$BB$492,12,FALSE),"")</f>
        <v>00:05:21.0 (116)</v>
      </c>
      <c r="N92" s="58" t="str">
        <f>IFERROR(VLOOKUP($B92,OverallResults!$B$3:$BB$492,13,FALSE),"")</f>
        <v>00:05:52.2 (116)</v>
      </c>
      <c r="O92" s="58" t="str">
        <f>IFERROR(VLOOKUP($B92,OverallResults!$B$3:$BB$492,14,FALSE),"")</f>
        <v>DNS/DNF ()</v>
      </c>
      <c r="P92" s="58" t="str">
        <f>IFERROR(VLOOKUP($B92,OverallResults!$B$3:$BB$492,15,FALSE),"")</f>
        <v>DNS/DNF ()</v>
      </c>
      <c r="Q92" s="58" t="str">
        <f>IFERROR(VLOOKUP($B92,OverallResults!$B$3:$BB$492,16,FALSE),"")</f>
        <v>DNS/DNF ()</v>
      </c>
      <c r="R92" s="58" t="str">
        <f>IFERROR(VLOOKUP($B92,OverallResults!$B$3:$BB$492,17,FALSE),"")</f>
        <v>00:22:20.199</v>
      </c>
      <c r="S92" s="170" t="str">
        <f t="shared" si="2"/>
        <v>00:02</v>
      </c>
      <c r="T92" s="170" t="str">
        <f t="shared" si="3"/>
        <v>05:30</v>
      </c>
      <c r="U92" s="361">
        <f>IFERROR(VLOOKUP($D92,EntryList!$B$3:$S$291,18,FALSE),"")</f>
        <v>0</v>
      </c>
      <c r="V92" s="361">
        <f>IFERROR(VLOOKUP($D92,EntryList!$B$3:$S$291,17,FALSE),"")</f>
        <v>0</v>
      </c>
    </row>
    <row r="93" spans="2:22">
      <c r="B93" s="59">
        <v>88</v>
      </c>
      <c r="C93" s="59">
        <f>IFERROR(VLOOKUP($B93,OverallResults!$B$3:$Z$508,2,FALSE),"")</f>
        <v>24</v>
      </c>
      <c r="D93" s="149" t="str">
        <f>IFERROR(VLOOKUP($B93,OverallResults!$B$3:$Z$508,3,FALSE),"")</f>
        <v>Bjorn Train</v>
      </c>
      <c r="E93" s="146">
        <f>IFERROR(VLOOKUP(C93,SeriesPoints!$A$2:$B$51,2,FALSE),"")</f>
        <v>48</v>
      </c>
      <c r="F93" s="148" t="str">
        <f>IFERROR(VLOOKUP($D93,EntryList!$B$3:$V$291,21,FALSE),"")</f>
        <v>-</v>
      </c>
      <c r="G93" s="100" t="str">
        <f>IFERROR(VLOOKUP($D93,EntryList!$B$3:$N$596,5,FALSE),"")</f>
        <v>M</v>
      </c>
      <c r="H93" s="145" t="str">
        <f>IFERROR(VLOOKUP($D93,EntryList!$B$3:$N$596,6,FALSE),"")</f>
        <v>Elite Men</v>
      </c>
      <c r="I93" s="59">
        <f>IFERROR(VLOOKUP($B93,OverallResults!$B$3:$Z$492,8,FALSE),"")</f>
        <v>5</v>
      </c>
      <c r="J93" s="57" t="str">
        <f>IFERROR(VLOOKUP($B93,OverallResults!$B$3:$BB$492,9,FALSE),"")</f>
        <v>00:05:00.2 (109)</v>
      </c>
      <c r="K93" s="58" t="str">
        <f>IFERROR(VLOOKUP($B93,OverallResults!$B$3:$BB$492,10,FALSE),"")</f>
        <v>00:04:23.6 (118)</v>
      </c>
      <c r="L93" s="57" t="str">
        <f>IFERROR(VLOOKUP($B93,OverallResults!$B$3:$BB$492,11,FALSE),"")</f>
        <v>00:02:24.9 (91)</v>
      </c>
      <c r="M93" s="57" t="str">
        <f>IFERROR(VLOOKUP($B93,OverallResults!$B$3:$BB$492,12,FALSE),"")</f>
        <v>00:04:48.1 (79)</v>
      </c>
      <c r="N93" s="58" t="str">
        <f>IFERROR(VLOOKUP($B93,OverallResults!$B$3:$BB$492,13,FALSE),"")</f>
        <v>00:05:48.8 (105)</v>
      </c>
      <c r="O93" s="58" t="str">
        <f>IFERROR(VLOOKUP($B93,OverallResults!$B$3:$BB$492,14,FALSE),"")</f>
        <v>DNS/DNF ()</v>
      </c>
      <c r="P93" s="58" t="str">
        <f>IFERROR(VLOOKUP($B93,OverallResults!$B$3:$BB$492,15,FALSE),"")</f>
        <v>DNS/DNF ()</v>
      </c>
      <c r="Q93" s="58" t="str">
        <f>IFERROR(VLOOKUP($B93,OverallResults!$B$3:$BB$492,16,FALSE),"")</f>
        <v>DNS/DNF ()</v>
      </c>
      <c r="R93" s="58" t="str">
        <f>IFERROR(VLOOKUP($B93,OverallResults!$B$3:$BB$492,17,FALSE),"")</f>
        <v>00:22:25.555</v>
      </c>
      <c r="S93" s="170" t="str">
        <f t="shared" si="2"/>
        <v>00:05</v>
      </c>
      <c r="T93" s="170" t="str">
        <f t="shared" si="3"/>
        <v>05:36</v>
      </c>
      <c r="U93" s="361">
        <f>IFERROR(VLOOKUP($D93,EntryList!$B$3:$S$291,18,FALSE),"")</f>
        <v>0</v>
      </c>
      <c r="V93" s="361">
        <f>IFERROR(VLOOKUP($D93,EntryList!$B$3:$S$291,17,FALSE),"")</f>
        <v>0</v>
      </c>
    </row>
    <row r="94" spans="2:22">
      <c r="B94" s="59">
        <v>89</v>
      </c>
      <c r="C94" s="59">
        <f>IFERROR(VLOOKUP($B94,OverallResults!$B$3:$Z$508,2,FALSE),"")</f>
        <v>21</v>
      </c>
      <c r="D94" s="149" t="str">
        <f>IFERROR(VLOOKUP($B94,OverallResults!$B$3:$Z$508,3,FALSE),"")</f>
        <v>Adriaan De Waard</v>
      </c>
      <c r="E94" s="146">
        <f>IFERROR(VLOOKUP(C94,SeriesPoints!$A$2:$B$51,2,FALSE),"")</f>
        <v>57</v>
      </c>
      <c r="F94" s="148" t="str">
        <f>IFERROR(VLOOKUP($D94,EntryList!$B$3:$V$291,21,FALSE),"")</f>
        <v>-</v>
      </c>
      <c r="G94" s="100" t="str">
        <f>IFERROR(VLOOKUP($D94,EntryList!$B$3:$N$596,5,FALSE),"")</f>
        <v>M</v>
      </c>
      <c r="H94" s="145" t="str">
        <f>IFERROR(VLOOKUP($D94,EntryList!$B$3:$N$596,6,FALSE),"")</f>
        <v>Youth Men</v>
      </c>
      <c r="I94" s="59">
        <f>IFERROR(VLOOKUP($B94,OverallResults!$B$3:$Z$492,8,FALSE),"")</f>
        <v>5</v>
      </c>
      <c r="J94" s="57" t="str">
        <f>IFERROR(VLOOKUP($B94,OverallResults!$B$3:$BB$492,9,FALSE),"")</f>
        <v>00:04:13.1 (74)</v>
      </c>
      <c r="K94" s="58" t="str">
        <f>IFERROR(VLOOKUP($B94,OverallResults!$B$3:$BB$492,10,FALSE),"")</f>
        <v>00:04:24.5 (119)</v>
      </c>
      <c r="L94" s="57" t="str">
        <f>IFERROR(VLOOKUP($B94,OverallResults!$B$3:$BB$492,11,FALSE),"")</f>
        <v>00:02:28.0 (105)</v>
      </c>
      <c r="M94" s="57" t="str">
        <f>IFERROR(VLOOKUP($B94,OverallResults!$B$3:$BB$492,12,FALSE),"")</f>
        <v>00:05:12.6 (109)</v>
      </c>
      <c r="N94" s="58" t="str">
        <f>IFERROR(VLOOKUP($B94,OverallResults!$B$3:$BB$492,13,FALSE),"")</f>
        <v>00:06:08.8 (159)</v>
      </c>
      <c r="O94" s="58" t="str">
        <f>IFERROR(VLOOKUP($B94,OverallResults!$B$3:$BB$492,14,FALSE),"")</f>
        <v>DNS/DNF ()</v>
      </c>
      <c r="P94" s="58" t="str">
        <f>IFERROR(VLOOKUP($B94,OverallResults!$B$3:$BB$492,15,FALSE),"")</f>
        <v>DNS/DNF ()</v>
      </c>
      <c r="Q94" s="58" t="str">
        <f>IFERROR(VLOOKUP($B94,OverallResults!$B$3:$BB$492,16,FALSE),"")</f>
        <v>DNS/DNF ()</v>
      </c>
      <c r="R94" s="58" t="str">
        <f>IFERROR(VLOOKUP($B94,OverallResults!$B$3:$BB$492,17,FALSE),"")</f>
        <v>00:22:27.065</v>
      </c>
      <c r="S94" s="170" t="str">
        <f t="shared" si="2"/>
        <v>00:02</v>
      </c>
      <c r="T94" s="170" t="str">
        <f t="shared" si="3"/>
        <v>05:37</v>
      </c>
      <c r="U94" s="361">
        <f>IFERROR(VLOOKUP($D94,EntryList!$B$3:$S$291,18,FALSE),"")</f>
        <v>0</v>
      </c>
      <c r="V94" s="361">
        <f>IFERROR(VLOOKUP($D94,EntryList!$B$3:$S$291,17,FALSE),"")</f>
        <v>0</v>
      </c>
    </row>
    <row r="95" spans="2:22">
      <c r="B95" s="59">
        <v>90</v>
      </c>
      <c r="C95" s="59">
        <f>IFERROR(VLOOKUP($B95,OverallResults!$B$3:$Z$508,2,FALSE),"")</f>
        <v>11</v>
      </c>
      <c r="D95" s="149" t="str">
        <f>IFERROR(VLOOKUP($B95,OverallResults!$B$3:$Z$508,3,FALSE),"")</f>
        <v>Brett Wienburg</v>
      </c>
      <c r="E95" s="146">
        <f>IFERROR(VLOOKUP(C95,SeriesPoints!$A$2:$B$51,2,FALSE),"")</f>
        <v>96</v>
      </c>
      <c r="F95" s="148" t="str">
        <f>IFERROR(VLOOKUP($D95,EntryList!$B$3:$V$291,21,FALSE),"")</f>
        <v>-</v>
      </c>
      <c r="G95" s="100" t="str">
        <f>IFERROR(VLOOKUP($D95,EntryList!$B$3:$N$596,5,FALSE),"")</f>
        <v>M</v>
      </c>
      <c r="H95" s="145" t="str">
        <f>IFERROR(VLOOKUP($D95,EntryList!$B$3:$N$596,6,FALSE),"")</f>
        <v>E-Bike M</v>
      </c>
      <c r="I95" s="59">
        <f>IFERROR(VLOOKUP($B95,OverallResults!$B$3:$Z$492,8,FALSE),"")</f>
        <v>5</v>
      </c>
      <c r="J95" s="57" t="str">
        <f>IFERROR(VLOOKUP($B95,OverallResults!$B$3:$BB$492,9,FALSE),"")</f>
        <v>00:04:31.6 (89)</v>
      </c>
      <c r="K95" s="58" t="str">
        <f>IFERROR(VLOOKUP($B95,OverallResults!$B$3:$BB$492,10,FALSE),"")</f>
        <v>00:04:16.6 (101)</v>
      </c>
      <c r="L95" s="57" t="str">
        <f>IFERROR(VLOOKUP($B95,OverallResults!$B$3:$BB$492,11,FALSE),"")</f>
        <v>00:02:34.8 (132)</v>
      </c>
      <c r="M95" s="57" t="str">
        <f>IFERROR(VLOOKUP($B95,OverallResults!$B$3:$BB$492,12,FALSE),"")</f>
        <v>00:05:18.8 (113)</v>
      </c>
      <c r="N95" s="58" t="str">
        <f>IFERROR(VLOOKUP($B95,OverallResults!$B$3:$BB$492,13,FALSE),"")</f>
        <v>00:05:48.1 (102)</v>
      </c>
      <c r="O95" s="58" t="str">
        <f>IFERROR(VLOOKUP($B95,OverallResults!$B$3:$BB$492,14,FALSE),"")</f>
        <v>DNS/DNF ()</v>
      </c>
      <c r="P95" s="58" t="str">
        <f>IFERROR(VLOOKUP($B95,OverallResults!$B$3:$BB$492,15,FALSE),"")</f>
        <v>DNS/DNF ()</v>
      </c>
      <c r="Q95" s="58" t="str">
        <f>IFERROR(VLOOKUP($B95,OverallResults!$B$3:$BB$492,16,FALSE),"")</f>
        <v>DNS/DNF ()</v>
      </c>
      <c r="R95" s="58" t="str">
        <f>IFERROR(VLOOKUP($B95,OverallResults!$B$3:$BB$492,17,FALSE),"")</f>
        <v>00:22:29.868</v>
      </c>
      <c r="S95" s="170" t="str">
        <f t="shared" si="2"/>
        <v>00:03</v>
      </c>
      <c r="T95" s="170" t="str">
        <f t="shared" si="3"/>
        <v>05:40</v>
      </c>
      <c r="U95" s="359">
        <f>IFERROR(VLOOKUP($D95,EntryList!$B$3:$S$291,18,FALSE),"")</f>
        <v>0</v>
      </c>
      <c r="V95" s="359">
        <f>IFERROR(VLOOKUP($D95,EntryList!$B$3:$S$291,17,FALSE),"")</f>
        <v>0</v>
      </c>
    </row>
    <row r="96" spans="2:22">
      <c r="B96" s="59">
        <v>91</v>
      </c>
      <c r="C96" s="59">
        <f>IFERROR(VLOOKUP($B96,OverallResults!$B$3:$Z$508,2,FALSE),"")</f>
        <v>22</v>
      </c>
      <c r="D96" s="149" t="str">
        <f>IFERROR(VLOOKUP($B96,OverallResults!$B$3:$Z$508,3,FALSE),"")</f>
        <v>Julian Burke</v>
      </c>
      <c r="E96" s="146">
        <f>IFERROR(VLOOKUP(C96,SeriesPoints!$A$2:$B$51,2,FALSE),"")</f>
        <v>54</v>
      </c>
      <c r="F96" s="148" t="str">
        <f>IFERROR(VLOOKUP($D96,EntryList!$B$3:$V$291,21,FALSE),"")</f>
        <v>-</v>
      </c>
      <c r="G96" s="100" t="str">
        <f>IFERROR(VLOOKUP($D96,EntryList!$B$3:$N$596,5,FALSE),"")</f>
        <v>M</v>
      </c>
      <c r="H96" s="145" t="str">
        <f>IFERROR(VLOOKUP($D96,EntryList!$B$3:$N$596,6,FALSE),"")</f>
        <v>Master Men</v>
      </c>
      <c r="I96" s="59">
        <f>IFERROR(VLOOKUP($B96,OverallResults!$B$3:$Z$492,8,FALSE),"")</f>
        <v>5</v>
      </c>
      <c r="J96" s="57" t="str">
        <f>IFERROR(VLOOKUP($B96,OverallResults!$B$3:$BB$492,9,FALSE),"")</f>
        <v>00:04:35.3 (91)</v>
      </c>
      <c r="K96" s="58" t="str">
        <f>IFERROR(VLOOKUP($B96,OverallResults!$B$3:$BB$492,10,FALSE),"")</f>
        <v>00:04:25.9 (123)</v>
      </c>
      <c r="L96" s="57" t="str">
        <f>IFERROR(VLOOKUP($B96,OverallResults!$B$3:$BB$492,11,FALSE),"")</f>
        <v>00:02:40.3 (154)</v>
      </c>
      <c r="M96" s="57" t="str">
        <f>IFERROR(VLOOKUP($B96,OverallResults!$B$3:$BB$492,12,FALSE),"")</f>
        <v>00:04:55.6 (90)</v>
      </c>
      <c r="N96" s="58" t="str">
        <f>IFERROR(VLOOKUP($B96,OverallResults!$B$3:$BB$492,13,FALSE),"")</f>
        <v>00:05:53.4 (121)</v>
      </c>
      <c r="O96" s="58" t="str">
        <f>IFERROR(VLOOKUP($B96,OverallResults!$B$3:$BB$492,14,FALSE),"")</f>
        <v>DNS/DNF ()</v>
      </c>
      <c r="P96" s="58" t="str">
        <f>IFERROR(VLOOKUP($B96,OverallResults!$B$3:$BB$492,15,FALSE),"")</f>
        <v>DNS/DNF ()</v>
      </c>
      <c r="Q96" s="58" t="str">
        <f>IFERROR(VLOOKUP($B96,OverallResults!$B$3:$BB$492,16,FALSE),"")</f>
        <v>DNS/DNF ()</v>
      </c>
      <c r="R96" s="58" t="str">
        <f>IFERROR(VLOOKUP($B96,OverallResults!$B$3:$BB$492,17,FALSE),"")</f>
        <v>00:22:30.590</v>
      </c>
      <c r="S96" s="170" t="str">
        <f t="shared" si="2"/>
        <v>00:01</v>
      </c>
      <c r="T96" s="170" t="str">
        <f t="shared" si="3"/>
        <v>05:41</v>
      </c>
      <c r="U96" s="359">
        <f>IFERROR(VLOOKUP($D96,EntryList!$B$3:$S$291,18,FALSE),"")</f>
        <v>0</v>
      </c>
      <c r="V96" s="359">
        <f>IFERROR(VLOOKUP($D96,EntryList!$B$3:$S$291,17,FALSE),"")</f>
        <v>0</v>
      </c>
    </row>
    <row r="97" spans="2:22">
      <c r="B97" s="59">
        <v>92</v>
      </c>
      <c r="C97" s="59">
        <f>IFERROR(VLOOKUP($B97,OverallResults!$B$3:$Z$508,2,FALSE),"")</f>
        <v>23</v>
      </c>
      <c r="D97" s="149" t="str">
        <f>IFERROR(VLOOKUP($B97,OverallResults!$B$3:$Z$508,3,FALSE),"")</f>
        <v>Eugene Elliott</v>
      </c>
      <c r="E97" s="146">
        <f>IFERROR(VLOOKUP(C97,SeriesPoints!$A$2:$B$51,2,FALSE),"")</f>
        <v>51</v>
      </c>
      <c r="F97" s="148" t="str">
        <f>IFERROR(VLOOKUP($D97,EntryList!$B$3:$V$291,21,FALSE),"")</f>
        <v>-</v>
      </c>
      <c r="G97" s="100" t="str">
        <f>IFERROR(VLOOKUP($D97,EntryList!$B$3:$N$596,5,FALSE),"")</f>
        <v>M</v>
      </c>
      <c r="H97" s="145" t="str">
        <f>IFERROR(VLOOKUP($D97,EntryList!$B$3:$N$596,6,FALSE),"")</f>
        <v>Master Men</v>
      </c>
      <c r="I97" s="59">
        <f>IFERROR(VLOOKUP($B97,OverallResults!$B$3:$Z$492,8,FALSE),"")</f>
        <v>5</v>
      </c>
      <c r="J97" s="57" t="str">
        <f>IFERROR(VLOOKUP($B97,OverallResults!$B$3:$BB$492,9,FALSE),"")</f>
        <v>00:04:49.1 (104)</v>
      </c>
      <c r="K97" s="58" t="str">
        <f>IFERROR(VLOOKUP($B97,OverallResults!$B$3:$BB$492,10,FALSE),"")</f>
        <v>00:04:28.9 (135)</v>
      </c>
      <c r="L97" s="57" t="str">
        <f>IFERROR(VLOOKUP($B97,OverallResults!$B$3:$BB$492,11,FALSE),"")</f>
        <v>00:02:34.2 (128)</v>
      </c>
      <c r="M97" s="57" t="str">
        <f>IFERROR(VLOOKUP($B97,OverallResults!$B$3:$BB$492,12,FALSE),"")</f>
        <v>00:04:56.4 (91)</v>
      </c>
      <c r="N97" s="58" t="str">
        <f>IFERROR(VLOOKUP($B97,OverallResults!$B$3:$BB$492,13,FALSE),"")</f>
        <v>00:05:44.3 (97)</v>
      </c>
      <c r="O97" s="58" t="str">
        <f>IFERROR(VLOOKUP($B97,OverallResults!$B$3:$BB$492,14,FALSE),"")</f>
        <v>DNS/DNF ()</v>
      </c>
      <c r="P97" s="58" t="str">
        <f>IFERROR(VLOOKUP($B97,OverallResults!$B$3:$BB$492,15,FALSE),"")</f>
        <v>DNS/DNF ()</v>
      </c>
      <c r="Q97" s="58" t="str">
        <f>IFERROR(VLOOKUP($B97,OverallResults!$B$3:$BB$492,16,FALSE),"")</f>
        <v>DNS/DNF ()</v>
      </c>
      <c r="R97" s="58" t="str">
        <f>IFERROR(VLOOKUP($B97,OverallResults!$B$3:$BB$492,17,FALSE),"")</f>
        <v>00:22:32.836</v>
      </c>
      <c r="S97" s="170" t="str">
        <f t="shared" si="2"/>
        <v>00:02</v>
      </c>
      <c r="T97" s="170" t="str">
        <f t="shared" si="3"/>
        <v>05:43</v>
      </c>
      <c r="U97" s="359">
        <f>IFERROR(VLOOKUP($D97,EntryList!$B$3:$S$291,18,FALSE),"")</f>
        <v>0</v>
      </c>
      <c r="V97" s="359">
        <f>IFERROR(VLOOKUP($D97,EntryList!$B$3:$S$291,17,FALSE),"")</f>
        <v>0</v>
      </c>
    </row>
    <row r="98" spans="2:22">
      <c r="B98" s="59">
        <v>93</v>
      </c>
      <c r="C98" s="59">
        <f>IFERROR(VLOOKUP($B98,OverallResults!$B$3:$Z$508,2,FALSE),"")</f>
        <v>22</v>
      </c>
      <c r="D98" s="149" t="str">
        <f>IFERROR(VLOOKUP($B98,OverallResults!$B$3:$Z$508,3,FALSE),"")</f>
        <v>Evan Lategan</v>
      </c>
      <c r="E98" s="146">
        <f>IFERROR(VLOOKUP(C98,SeriesPoints!$A$2:$B$51,2,FALSE),"")</f>
        <v>54</v>
      </c>
      <c r="F98" s="148" t="str">
        <f>IFERROR(VLOOKUP($D98,EntryList!$B$3:$V$291,21,FALSE),"")</f>
        <v>-</v>
      </c>
      <c r="G98" s="100" t="str">
        <f>IFERROR(VLOOKUP($D98,EntryList!$B$3:$N$596,5,FALSE),"")</f>
        <v>M</v>
      </c>
      <c r="H98" s="145" t="str">
        <f>IFERROR(VLOOKUP($D98,EntryList!$B$3:$N$596,6,FALSE),"")</f>
        <v>Youth Men</v>
      </c>
      <c r="I98" s="59">
        <f>IFERROR(VLOOKUP($B98,OverallResults!$B$3:$Z$492,8,FALSE),"")</f>
        <v>5</v>
      </c>
      <c r="J98" s="57" t="str">
        <f>IFERROR(VLOOKUP($B98,OverallResults!$B$3:$BB$492,9,FALSE),"")</f>
        <v>00:04:29.3 (87)</v>
      </c>
      <c r="K98" s="58" t="str">
        <f>IFERROR(VLOOKUP($B98,OverallResults!$B$3:$BB$492,10,FALSE),"")</f>
        <v>00:04:38.0 (164)</v>
      </c>
      <c r="L98" s="57" t="str">
        <f>IFERROR(VLOOKUP($B98,OverallResults!$B$3:$BB$492,11,FALSE),"")</f>
        <v>00:02:32.6 (122)</v>
      </c>
      <c r="M98" s="57" t="str">
        <f>IFERROR(VLOOKUP($B98,OverallResults!$B$3:$BB$492,12,FALSE),"")</f>
        <v>00:05:01.4 (97)</v>
      </c>
      <c r="N98" s="58" t="str">
        <f>IFERROR(VLOOKUP($B98,OverallResults!$B$3:$BB$492,13,FALSE),"")</f>
        <v>00:05:53.1 (118)</v>
      </c>
      <c r="O98" s="58" t="str">
        <f>IFERROR(VLOOKUP($B98,OverallResults!$B$3:$BB$492,14,FALSE),"")</f>
        <v>DNS/DNF ()</v>
      </c>
      <c r="P98" s="58" t="str">
        <f>IFERROR(VLOOKUP($B98,OverallResults!$B$3:$BB$492,15,FALSE),"")</f>
        <v>DNS/DNF ()</v>
      </c>
      <c r="Q98" s="58" t="str">
        <f>IFERROR(VLOOKUP($B98,OverallResults!$B$3:$BB$492,16,FALSE),"")</f>
        <v>DNS/DNF ()</v>
      </c>
      <c r="R98" s="58" t="str">
        <f>IFERROR(VLOOKUP($B98,OverallResults!$B$3:$BB$492,17,FALSE),"")</f>
        <v>00:22:34.405</v>
      </c>
      <c r="S98" s="170" t="str">
        <f t="shared" si="2"/>
        <v>00:02</v>
      </c>
      <c r="T98" s="170" t="str">
        <f t="shared" si="3"/>
        <v>05:44</v>
      </c>
      <c r="U98" s="359">
        <f>IFERROR(VLOOKUP($D98,EntryList!$B$3:$S$291,18,FALSE),"")</f>
        <v>0</v>
      </c>
      <c r="V98" s="359">
        <f>IFERROR(VLOOKUP($D98,EntryList!$B$3:$S$291,17,FALSE),"")</f>
        <v>0</v>
      </c>
    </row>
    <row r="99" spans="2:22">
      <c r="B99" s="59">
        <v>94</v>
      </c>
      <c r="C99" s="59">
        <f>IFERROR(VLOOKUP($B99,OverallResults!$B$3:$Z$508,2,FALSE),"")</f>
        <v>24</v>
      </c>
      <c r="D99" s="149" t="str">
        <f>IFERROR(VLOOKUP($B99,OverallResults!$B$3:$Z$508,3,FALSE),"")</f>
        <v>Warren Galley</v>
      </c>
      <c r="E99" s="146">
        <f>IFERROR(VLOOKUP(C99,SeriesPoints!$A$2:$B$51,2,FALSE),"")</f>
        <v>48</v>
      </c>
      <c r="F99" s="148" t="str">
        <f>IFERROR(VLOOKUP($D99,EntryList!$B$3:$V$291,21,FALSE),"")</f>
        <v>-</v>
      </c>
      <c r="G99" s="100" t="str">
        <f>IFERROR(VLOOKUP($D99,EntryList!$B$3:$N$596,5,FALSE),"")</f>
        <v>M</v>
      </c>
      <c r="H99" s="145" t="str">
        <f>IFERROR(VLOOKUP($D99,EntryList!$B$3:$N$596,6,FALSE),"")</f>
        <v>Master Men</v>
      </c>
      <c r="I99" s="59">
        <f>IFERROR(VLOOKUP($B99,OverallResults!$B$3:$Z$492,8,FALSE),"")</f>
        <v>5</v>
      </c>
      <c r="J99" s="57" t="str">
        <f>IFERROR(VLOOKUP($B99,OverallResults!$B$3:$BB$492,9,FALSE),"")</f>
        <v>00:04:48.9 (103)</v>
      </c>
      <c r="K99" s="58" t="str">
        <f>IFERROR(VLOOKUP($B99,OverallResults!$B$3:$BB$492,10,FALSE),"")</f>
        <v>00:04:19.0 (107)</v>
      </c>
      <c r="L99" s="57" t="str">
        <f>IFERROR(VLOOKUP($B99,OverallResults!$B$3:$BB$492,11,FALSE),"")</f>
        <v>00:02:32.6 (123)</v>
      </c>
      <c r="M99" s="57" t="str">
        <f>IFERROR(VLOOKUP($B99,OverallResults!$B$3:$BB$492,12,FALSE),"")</f>
        <v>00:05:03.0 (99)</v>
      </c>
      <c r="N99" s="58" t="str">
        <f>IFERROR(VLOOKUP($B99,OverallResults!$B$3:$BB$492,13,FALSE),"")</f>
        <v>00:05:56.5 (130)</v>
      </c>
      <c r="O99" s="58" t="str">
        <f>IFERROR(VLOOKUP($B99,OverallResults!$B$3:$BB$492,14,FALSE),"")</f>
        <v>DNS/DNF ()</v>
      </c>
      <c r="P99" s="58" t="str">
        <f>IFERROR(VLOOKUP($B99,OverallResults!$B$3:$BB$492,15,FALSE),"")</f>
        <v>DNS/DNF ()</v>
      </c>
      <c r="Q99" s="58" t="str">
        <f>IFERROR(VLOOKUP($B99,OverallResults!$B$3:$BB$492,16,FALSE),"")</f>
        <v>DNS/DNF ()</v>
      </c>
      <c r="R99" s="58" t="str">
        <f>IFERROR(VLOOKUP($B99,OverallResults!$B$3:$BB$492,17,FALSE),"")</f>
        <v>00:22:39.970</v>
      </c>
      <c r="S99" s="170" t="str">
        <f t="shared" si="2"/>
        <v>00:06</v>
      </c>
      <c r="T99" s="170" t="str">
        <f t="shared" si="3"/>
        <v>05:50</v>
      </c>
      <c r="U99" s="359">
        <f>IFERROR(VLOOKUP($D99,EntryList!$B$3:$S$291,18,FALSE),"")</f>
        <v>0</v>
      </c>
      <c r="V99" s="359">
        <f>IFERROR(VLOOKUP($D99,EntryList!$B$3:$S$291,17,FALSE),"")</f>
        <v>0</v>
      </c>
    </row>
    <row r="100" spans="2:22">
      <c r="B100" s="59">
        <v>95</v>
      </c>
      <c r="C100" s="59">
        <f>IFERROR(VLOOKUP($B100,OverallResults!$B$3:$Z$508,2,FALSE),"")</f>
        <v>11</v>
      </c>
      <c r="D100" s="149" t="str">
        <f>IFERROR(VLOOKUP($B100,OverallResults!$B$3:$Z$508,3,FALSE),"")</f>
        <v>Gavin Dingley</v>
      </c>
      <c r="E100" s="146">
        <f>IFERROR(VLOOKUP(C100,SeriesPoints!$A$2:$B$51,2,FALSE),"")</f>
        <v>96</v>
      </c>
      <c r="F100" s="148" t="str">
        <f>IFERROR(VLOOKUP($D100,EntryList!$B$3:$V$291,21,FALSE),"")</f>
        <v>-</v>
      </c>
      <c r="G100" s="100" t="str">
        <f>IFERROR(VLOOKUP($D100,EntryList!$B$3:$N$596,5,FALSE),"")</f>
        <v>M</v>
      </c>
      <c r="H100" s="145" t="str">
        <f>IFERROR(VLOOKUP($D100,EntryList!$B$3:$N$596,6,FALSE),"")</f>
        <v>Junior Men</v>
      </c>
      <c r="I100" s="59">
        <f>IFERROR(VLOOKUP($B100,OverallResults!$B$3:$Z$492,8,FALSE),"")</f>
        <v>5</v>
      </c>
      <c r="J100" s="57" t="str">
        <f>IFERROR(VLOOKUP($B100,OverallResults!$B$3:$BB$492,9,FALSE),"")</f>
        <v>00:05:44.7 (124)</v>
      </c>
      <c r="K100" s="58" t="str">
        <f>IFERROR(VLOOKUP($B100,OverallResults!$B$3:$BB$492,10,FALSE),"")</f>
        <v>00:04:12.6 (92)</v>
      </c>
      <c r="L100" s="57" t="str">
        <f>IFERROR(VLOOKUP($B100,OverallResults!$B$3:$BB$492,11,FALSE),"")</f>
        <v>00:02:23.7 (88)</v>
      </c>
      <c r="M100" s="57" t="str">
        <f>IFERROR(VLOOKUP($B100,OverallResults!$B$3:$BB$492,12,FALSE),"")</f>
        <v>00:04:40.5 (77)</v>
      </c>
      <c r="N100" s="58" t="str">
        <f>IFERROR(VLOOKUP($B100,OverallResults!$B$3:$BB$492,13,FALSE),"")</f>
        <v>00:05:44.3 (98)</v>
      </c>
      <c r="O100" s="58" t="str">
        <f>IFERROR(VLOOKUP($B100,OverallResults!$B$3:$BB$492,14,FALSE),"")</f>
        <v>DNS/DNF ()</v>
      </c>
      <c r="P100" s="58" t="str">
        <f>IFERROR(VLOOKUP($B100,OverallResults!$B$3:$BB$492,15,FALSE),"")</f>
        <v>DNS/DNF ()</v>
      </c>
      <c r="Q100" s="58" t="str">
        <f>IFERROR(VLOOKUP($B100,OverallResults!$B$3:$BB$492,16,FALSE),"")</f>
        <v>DNS/DNF ()</v>
      </c>
      <c r="R100" s="58" t="str">
        <f>IFERROR(VLOOKUP($B100,OverallResults!$B$3:$BB$492,17,FALSE),"")</f>
        <v>00:22:45.811</v>
      </c>
      <c r="S100" s="170" t="str">
        <f t="shared" si="2"/>
        <v>00:06</v>
      </c>
      <c r="T100" s="170" t="str">
        <f t="shared" si="3"/>
        <v>05:56</v>
      </c>
      <c r="U100" s="359">
        <f>IFERROR(VLOOKUP($D100,EntryList!$B$3:$S$291,18,FALSE),"")</f>
        <v>0</v>
      </c>
      <c r="V100" s="359">
        <f>IFERROR(VLOOKUP($D100,EntryList!$B$3:$S$291,17,FALSE),"")</f>
        <v>0</v>
      </c>
    </row>
    <row r="101" spans="2:22">
      <c r="B101" s="59">
        <v>96</v>
      </c>
      <c r="C101" s="59">
        <f>IFERROR(VLOOKUP($B101,OverallResults!$B$3:$Z$508,2,FALSE),"")</f>
        <v>25</v>
      </c>
      <c r="D101" s="149" t="str">
        <f>IFERROR(VLOOKUP($B101,OverallResults!$B$3:$Z$508,3,FALSE),"")</f>
        <v>Adrian Kritzinger</v>
      </c>
      <c r="E101" s="146">
        <f>IFERROR(VLOOKUP(C101,SeriesPoints!$A$2:$B$51,2,FALSE),"")</f>
        <v>45</v>
      </c>
      <c r="F101" s="148" t="str">
        <f>IFERROR(VLOOKUP($D101,EntryList!$B$3:$V$291,21,FALSE),"")</f>
        <v>-</v>
      </c>
      <c r="G101" s="100" t="str">
        <f>IFERROR(VLOOKUP($D101,EntryList!$B$3:$N$596,5,FALSE),"")</f>
        <v>M</v>
      </c>
      <c r="H101" s="145" t="str">
        <f>IFERROR(VLOOKUP($D101,EntryList!$B$3:$N$596,6,FALSE),"")</f>
        <v>Master Men</v>
      </c>
      <c r="I101" s="59">
        <f>IFERROR(VLOOKUP($B101,OverallResults!$B$3:$Z$492,8,FALSE),"")</f>
        <v>5</v>
      </c>
      <c r="J101" s="57" t="str">
        <f>IFERROR(VLOOKUP($B101,OverallResults!$B$3:$BB$492,9,FALSE),"")</f>
        <v>00:04:33.6 (90)</v>
      </c>
      <c r="K101" s="58" t="str">
        <f>IFERROR(VLOOKUP($B101,OverallResults!$B$3:$BB$492,10,FALSE),"")</f>
        <v>00:04:40.3 (171)</v>
      </c>
      <c r="L101" s="57" t="str">
        <f>IFERROR(VLOOKUP($B101,OverallResults!$B$3:$BB$492,11,FALSE),"")</f>
        <v>00:02:39.0 (143)</v>
      </c>
      <c r="M101" s="57" t="str">
        <f>IFERROR(VLOOKUP($B101,OverallResults!$B$3:$BB$492,12,FALSE),"")</f>
        <v>00:05:03.9 (100)</v>
      </c>
      <c r="N101" s="58" t="str">
        <f>IFERROR(VLOOKUP($B101,OverallResults!$B$3:$BB$492,13,FALSE),"")</f>
        <v>00:05:59.8 (141)</v>
      </c>
      <c r="O101" s="58" t="str">
        <f>IFERROR(VLOOKUP($B101,OverallResults!$B$3:$BB$492,14,FALSE),"")</f>
        <v>DNS/DNF ()</v>
      </c>
      <c r="P101" s="58" t="str">
        <f>IFERROR(VLOOKUP($B101,OverallResults!$B$3:$BB$492,15,FALSE),"")</f>
        <v>DNS/DNF ()</v>
      </c>
      <c r="Q101" s="58" t="str">
        <f>IFERROR(VLOOKUP($B101,OverallResults!$B$3:$BB$492,16,FALSE),"")</f>
        <v>DNS/DNF ()</v>
      </c>
      <c r="R101" s="58" t="str">
        <f>IFERROR(VLOOKUP($B101,OverallResults!$B$3:$BB$492,17,FALSE),"")</f>
        <v>00:22:56.616</v>
      </c>
      <c r="S101" s="170" t="str">
        <f t="shared" si="2"/>
        <v>00:11</v>
      </c>
      <c r="T101" s="170" t="str">
        <f t="shared" si="3"/>
        <v>06:07</v>
      </c>
      <c r="U101" s="359">
        <f>IFERROR(VLOOKUP($D101,EntryList!$B$3:$S$291,18,FALSE),"")</f>
        <v>0</v>
      </c>
      <c r="V101" s="359">
        <f>IFERROR(VLOOKUP($D101,EntryList!$B$3:$S$291,17,FALSE),"")</f>
        <v>0</v>
      </c>
    </row>
    <row r="102" spans="2:22">
      <c r="B102" s="59">
        <v>97</v>
      </c>
      <c r="C102" s="59">
        <f>IFERROR(VLOOKUP($B102,OverallResults!$B$3:$Z$508,2,FALSE),"")</f>
        <v>26</v>
      </c>
      <c r="D102" s="149" t="str">
        <f>IFERROR(VLOOKUP($B102,OverallResults!$B$3:$Z$508,3,FALSE),"")</f>
        <v>John Dalton</v>
      </c>
      <c r="E102" s="146">
        <f>IFERROR(VLOOKUP(C102,SeriesPoints!$A$2:$B$51,2,FALSE),"")</f>
        <v>42</v>
      </c>
      <c r="F102" s="148" t="str">
        <f>IFERROR(VLOOKUP($D102,EntryList!$B$3:$V$291,21,FALSE),"")</f>
        <v>-</v>
      </c>
      <c r="G102" s="100" t="str">
        <f>IFERROR(VLOOKUP($D102,EntryList!$B$3:$N$596,5,FALSE),"")</f>
        <v>M</v>
      </c>
      <c r="H102" s="145" t="str">
        <f>IFERROR(VLOOKUP($D102,EntryList!$B$3:$N$596,6,FALSE),"")</f>
        <v>Master Men</v>
      </c>
      <c r="I102" s="59">
        <f>IFERROR(VLOOKUP($B102,OverallResults!$B$3:$Z$492,8,FALSE),"")</f>
        <v>5</v>
      </c>
      <c r="J102" s="57" t="str">
        <f>IFERROR(VLOOKUP($B102,OverallResults!$B$3:$BB$492,9,FALSE),"")</f>
        <v>00:04:43.4 (100)</v>
      </c>
      <c r="K102" s="58" t="str">
        <f>IFERROR(VLOOKUP($B102,OverallResults!$B$3:$BB$492,10,FALSE),"")</f>
        <v>00:04:46.9 (186)</v>
      </c>
      <c r="L102" s="57" t="str">
        <f>IFERROR(VLOOKUP($B102,OverallResults!$B$3:$BB$492,11,FALSE),"")</f>
        <v>00:02:38.5 (141)</v>
      </c>
      <c r="M102" s="57" t="str">
        <f>IFERROR(VLOOKUP($B102,OverallResults!$B$3:$BB$492,12,FALSE),"")</f>
        <v>00:04:56.5 (92)</v>
      </c>
      <c r="N102" s="58" t="str">
        <f>IFERROR(VLOOKUP($B102,OverallResults!$B$3:$BB$492,13,FALSE),"")</f>
        <v>00:05:53.4 (120)</v>
      </c>
      <c r="O102" s="58" t="str">
        <f>IFERROR(VLOOKUP($B102,OverallResults!$B$3:$BB$492,14,FALSE),"")</f>
        <v>DNS/DNF ()</v>
      </c>
      <c r="P102" s="58" t="str">
        <f>IFERROR(VLOOKUP($B102,OverallResults!$B$3:$BB$492,15,FALSE),"")</f>
        <v>DNS/DNF ()</v>
      </c>
      <c r="Q102" s="58" t="str">
        <f>IFERROR(VLOOKUP($B102,OverallResults!$B$3:$BB$492,16,FALSE),"")</f>
        <v>DNS/DNF ()</v>
      </c>
      <c r="R102" s="58" t="str">
        <f>IFERROR(VLOOKUP($B102,OverallResults!$B$3:$BB$492,17,FALSE),"")</f>
        <v>00:22:58.630</v>
      </c>
      <c r="S102" s="170" t="str">
        <f t="shared" si="2"/>
        <v>00:02</v>
      </c>
      <c r="T102" s="170" t="str">
        <f t="shared" si="3"/>
        <v>06:09</v>
      </c>
      <c r="U102" s="359">
        <f>IFERROR(VLOOKUP($D102,EntryList!$B$3:$S$291,18,FALSE),"")</f>
        <v>0</v>
      </c>
      <c r="V102" s="359">
        <f>IFERROR(VLOOKUP($D102,EntryList!$B$3:$S$291,17,FALSE),"")</f>
        <v>0</v>
      </c>
    </row>
    <row r="103" spans="2:22">
      <c r="B103" s="59">
        <v>98</v>
      </c>
      <c r="C103" s="59">
        <f>IFERROR(VLOOKUP($B103,OverallResults!$B$3:$Z$508,2,FALSE),"")</f>
        <v>12</v>
      </c>
      <c r="D103" s="149" t="str">
        <f>IFERROR(VLOOKUP($B103,OverallResults!$B$3:$Z$508,3,FALSE),"")</f>
        <v>Roger Hartley</v>
      </c>
      <c r="E103" s="146">
        <f>IFERROR(VLOOKUP(C103,SeriesPoints!$A$2:$B$51,2,FALSE),"")</f>
        <v>92</v>
      </c>
      <c r="F103" s="148" t="str">
        <f>IFERROR(VLOOKUP($D103,EntryList!$B$3:$V$291,21,FALSE),"")</f>
        <v>-</v>
      </c>
      <c r="G103" s="100" t="str">
        <f>IFERROR(VLOOKUP($D103,EntryList!$B$3:$N$596,5,FALSE),"")</f>
        <v>M</v>
      </c>
      <c r="H103" s="145" t="str">
        <f>IFERROR(VLOOKUP($D103,EntryList!$B$3:$N$596,6,FALSE),"")</f>
        <v>E-Bike M</v>
      </c>
      <c r="I103" s="59">
        <f>IFERROR(VLOOKUP($B103,OverallResults!$B$3:$Z$492,8,FALSE),"")</f>
        <v>5</v>
      </c>
      <c r="J103" s="57" t="str">
        <f>IFERROR(VLOOKUP($B103,OverallResults!$B$3:$BB$492,9,FALSE),"")</f>
        <v>00:04:29.8 (88)</v>
      </c>
      <c r="K103" s="58" t="str">
        <f>IFERROR(VLOOKUP($B103,OverallResults!$B$3:$BB$492,10,FALSE),"")</f>
        <v>00:04:44.1 (178)</v>
      </c>
      <c r="L103" s="57" t="str">
        <f>IFERROR(VLOOKUP($B103,OverallResults!$B$3:$BB$492,11,FALSE),"")</f>
        <v>00:02:39.6 (148)</v>
      </c>
      <c r="M103" s="57" t="str">
        <f>IFERROR(VLOOKUP($B103,OverallResults!$B$3:$BB$492,12,FALSE),"")</f>
        <v>00:05:11.0 (107)</v>
      </c>
      <c r="N103" s="58" t="str">
        <f>IFERROR(VLOOKUP($B103,OverallResults!$B$3:$BB$492,13,FALSE),"")</f>
        <v>00:06:08.5 (158)</v>
      </c>
      <c r="O103" s="58" t="str">
        <f>IFERROR(VLOOKUP($B103,OverallResults!$B$3:$BB$492,14,FALSE),"")</f>
        <v>DNS/DNF ()</v>
      </c>
      <c r="P103" s="58" t="str">
        <f>IFERROR(VLOOKUP($B103,OverallResults!$B$3:$BB$492,15,FALSE),"")</f>
        <v>DNS/DNF ()</v>
      </c>
      <c r="Q103" s="58" t="str">
        <f>IFERROR(VLOOKUP($B103,OverallResults!$B$3:$BB$492,16,FALSE),"")</f>
        <v>DNS/DNF ()</v>
      </c>
      <c r="R103" s="58" t="str">
        <f>IFERROR(VLOOKUP($B103,OverallResults!$B$3:$BB$492,17,FALSE),"")</f>
        <v>00:23:12.993</v>
      </c>
      <c r="S103" s="170" t="str">
        <f t="shared" si="2"/>
        <v>00:14</v>
      </c>
      <c r="T103" s="170" t="str">
        <f t="shared" si="3"/>
        <v>06:23</v>
      </c>
      <c r="U103" s="359">
        <f>IFERROR(VLOOKUP($D103,EntryList!$B$3:$S$291,18,FALSE),"")</f>
        <v>0</v>
      </c>
      <c r="V103" s="359">
        <f>IFERROR(VLOOKUP($D103,EntryList!$B$3:$S$291,17,FALSE),"")</f>
        <v>0</v>
      </c>
    </row>
    <row r="104" spans="2:22">
      <c r="B104" s="59">
        <v>99</v>
      </c>
      <c r="C104" s="59">
        <f>IFERROR(VLOOKUP($B104,OverallResults!$B$3:$Z$508,2,FALSE),"")</f>
        <v>23</v>
      </c>
      <c r="D104" s="149" t="str">
        <f>IFERROR(VLOOKUP($B104,OverallResults!$B$3:$Z$508,3,FALSE),"")</f>
        <v>Jean-Luc Roux</v>
      </c>
      <c r="E104" s="146">
        <f>IFERROR(VLOOKUP(C104,SeriesPoints!$A$2:$B$51,2,FALSE),"")</f>
        <v>51</v>
      </c>
      <c r="F104" s="148" t="str">
        <f>IFERROR(VLOOKUP($D104,EntryList!$B$3:$V$291,21,FALSE),"")</f>
        <v>-</v>
      </c>
      <c r="G104" s="100" t="str">
        <f>IFERROR(VLOOKUP($D104,EntryList!$B$3:$N$596,5,FALSE),"")</f>
        <v>M</v>
      </c>
      <c r="H104" s="145" t="str">
        <f>IFERROR(VLOOKUP($D104,EntryList!$B$3:$N$596,6,FALSE),"")</f>
        <v>Youth Men</v>
      </c>
      <c r="I104" s="59">
        <f>IFERROR(VLOOKUP($B104,OverallResults!$B$3:$Z$492,8,FALSE),"")</f>
        <v>5</v>
      </c>
      <c r="J104" s="57" t="str">
        <f>IFERROR(VLOOKUP($B104,OverallResults!$B$3:$BB$492,9,FALSE),"")</f>
        <v>00:04:46.8 (102)</v>
      </c>
      <c r="K104" s="58" t="str">
        <f>IFERROR(VLOOKUP($B104,OverallResults!$B$3:$BB$492,10,FALSE),"")</f>
        <v>00:04:39.9 (168)</v>
      </c>
      <c r="L104" s="57" t="str">
        <f>IFERROR(VLOOKUP($B104,OverallResults!$B$3:$BB$492,11,FALSE),"")</f>
        <v>00:02:42.6 (167)</v>
      </c>
      <c r="M104" s="57" t="str">
        <f>IFERROR(VLOOKUP($B104,OverallResults!$B$3:$BB$492,12,FALSE),"")</f>
        <v>00:05:11.1 (108)</v>
      </c>
      <c r="N104" s="58" t="str">
        <f>IFERROR(VLOOKUP($B104,OverallResults!$B$3:$BB$492,13,FALSE),"")</f>
        <v>00:05:53.9 (124)</v>
      </c>
      <c r="O104" s="58" t="str">
        <f>IFERROR(VLOOKUP($B104,OverallResults!$B$3:$BB$492,14,FALSE),"")</f>
        <v>DNS/DNF ()</v>
      </c>
      <c r="P104" s="58" t="str">
        <f>IFERROR(VLOOKUP($B104,OverallResults!$B$3:$BB$492,15,FALSE),"")</f>
        <v>DNS/DNF ()</v>
      </c>
      <c r="Q104" s="58" t="str">
        <f>IFERROR(VLOOKUP($B104,OverallResults!$B$3:$BB$492,16,FALSE),"")</f>
        <v>DNS/DNF ()</v>
      </c>
      <c r="R104" s="58" t="str">
        <f>IFERROR(VLOOKUP($B104,OverallResults!$B$3:$BB$492,17,FALSE),"")</f>
        <v>00:23:14.322</v>
      </c>
      <c r="S104" s="170" t="str">
        <f t="shared" si="2"/>
        <v>00:01</v>
      </c>
      <c r="T104" s="170" t="str">
        <f t="shared" si="3"/>
        <v>06:24</v>
      </c>
      <c r="U104" s="359">
        <f>IFERROR(VLOOKUP($D104,EntryList!$B$3:$S$291,18,FALSE),"")</f>
        <v>0</v>
      </c>
      <c r="V104" s="359">
        <f>IFERROR(VLOOKUP($D104,EntryList!$B$3:$S$291,17,FALSE),"")</f>
        <v>0</v>
      </c>
    </row>
    <row r="105" spans="2:22">
      <c r="B105" s="59">
        <v>100</v>
      </c>
      <c r="C105" s="59">
        <f>IFERROR(VLOOKUP($B105,OverallResults!$B$3:$Z$508,2,FALSE),"")</f>
        <v>27</v>
      </c>
      <c r="D105" s="149" t="str">
        <f>IFERROR(VLOOKUP($B105,OverallResults!$B$3:$Z$508,3,FALSE),"")</f>
        <v>Dylan Jones</v>
      </c>
      <c r="E105" s="146">
        <f>IFERROR(VLOOKUP(C105,SeriesPoints!$A$2:$B$51,2,FALSE),"")</f>
        <v>39</v>
      </c>
      <c r="F105" s="148" t="str">
        <f>IFERROR(VLOOKUP($D105,EntryList!$B$3:$V$291,21,FALSE),"")</f>
        <v>-</v>
      </c>
      <c r="G105" s="100" t="str">
        <f>IFERROR(VLOOKUP($D105,EntryList!$B$3:$N$596,5,FALSE),"")</f>
        <v>M</v>
      </c>
      <c r="H105" s="145" t="str">
        <f>IFERROR(VLOOKUP($D105,EntryList!$B$3:$N$596,6,FALSE),"")</f>
        <v>Master Men</v>
      </c>
      <c r="I105" s="59">
        <f>IFERROR(VLOOKUP($B105,OverallResults!$B$3:$Z$492,8,FALSE),"")</f>
        <v>5</v>
      </c>
      <c r="J105" s="57" t="str">
        <f>IFERROR(VLOOKUP($B105,OverallResults!$B$3:$BB$492,9,FALSE),"")</f>
        <v>00:04:53.1 (106)</v>
      </c>
      <c r="K105" s="58" t="str">
        <f>IFERROR(VLOOKUP($B105,OverallResults!$B$3:$BB$492,10,FALSE),"")</f>
        <v>00:04:32.5 (142)</v>
      </c>
      <c r="L105" s="57" t="str">
        <f>IFERROR(VLOOKUP($B105,OverallResults!$B$3:$BB$492,11,FALSE),"")</f>
        <v>00:02:31.1 (113)</v>
      </c>
      <c r="M105" s="57" t="str">
        <f>IFERROR(VLOOKUP($B105,OverallResults!$B$3:$BB$492,12,FALSE),"")</f>
        <v>00:04:58.4 (94)</v>
      </c>
      <c r="N105" s="58" t="str">
        <f>IFERROR(VLOOKUP($B105,OverallResults!$B$3:$BB$492,13,FALSE),"")</f>
        <v>00:06:20.2 (174)</v>
      </c>
      <c r="O105" s="58" t="str">
        <f>IFERROR(VLOOKUP($B105,OverallResults!$B$3:$BB$492,14,FALSE),"")</f>
        <v>DNS/DNF ()</v>
      </c>
      <c r="P105" s="58" t="str">
        <f>IFERROR(VLOOKUP($B105,OverallResults!$B$3:$BB$492,15,FALSE),"")</f>
        <v>DNS/DNF ()</v>
      </c>
      <c r="Q105" s="58" t="str">
        <f>IFERROR(VLOOKUP($B105,OverallResults!$B$3:$BB$492,16,FALSE),"")</f>
        <v>DNS/DNF ()</v>
      </c>
      <c r="R105" s="58" t="str">
        <f>IFERROR(VLOOKUP($B105,OverallResults!$B$3:$BB$492,17,FALSE),"")</f>
        <v>00:23:15.392</v>
      </c>
      <c r="S105" s="170" t="str">
        <f t="shared" si="2"/>
        <v>00:01</v>
      </c>
      <c r="T105" s="170" t="str">
        <f t="shared" si="3"/>
        <v>06:25</v>
      </c>
      <c r="U105" s="359">
        <f>IFERROR(VLOOKUP($D105,EntryList!$B$3:$S$291,18,FALSE),"")</f>
        <v>0</v>
      </c>
      <c r="V105" s="359">
        <f>IFERROR(VLOOKUP($D105,EntryList!$B$3:$S$291,17,FALSE),"")</f>
        <v>0</v>
      </c>
    </row>
    <row r="106" spans="2:22">
      <c r="B106" s="59">
        <v>101</v>
      </c>
      <c r="C106" s="59">
        <f>IFERROR(VLOOKUP($B106,OverallResults!$B$3:$Z$508,2,FALSE),"")</f>
        <v>25</v>
      </c>
      <c r="D106" s="149" t="str">
        <f>IFERROR(VLOOKUP($B106,OverallResults!$B$3:$Z$508,3,FALSE),"")</f>
        <v>Charlie Thiry</v>
      </c>
      <c r="E106" s="146">
        <f>IFERROR(VLOOKUP(C106,SeriesPoints!$A$2:$B$51,2,FALSE),"")</f>
        <v>45</v>
      </c>
      <c r="F106" s="148" t="str">
        <f>IFERROR(VLOOKUP($D106,EntryList!$B$3:$V$291,21,FALSE),"")</f>
        <v>-</v>
      </c>
      <c r="G106" s="100" t="str">
        <f>IFERROR(VLOOKUP($D106,EntryList!$B$3:$N$596,5,FALSE),"")</f>
        <v>M</v>
      </c>
      <c r="H106" s="145" t="str">
        <f>IFERROR(VLOOKUP($D106,EntryList!$B$3:$N$596,6,FALSE),"")</f>
        <v>Elite Men</v>
      </c>
      <c r="I106" s="59">
        <f>IFERROR(VLOOKUP($B106,OverallResults!$B$3:$Z$492,8,FALSE),"")</f>
        <v>5</v>
      </c>
      <c r="J106" s="57" t="str">
        <f>IFERROR(VLOOKUP($B106,OverallResults!$B$3:$BB$492,9,FALSE),"")</f>
        <v>00:05:11.9 (113)</v>
      </c>
      <c r="K106" s="58" t="str">
        <f>IFERROR(VLOOKUP($B106,OverallResults!$B$3:$BB$492,10,FALSE),"")</f>
        <v>00:04:30.3 (137)</v>
      </c>
      <c r="L106" s="57" t="str">
        <f>IFERROR(VLOOKUP($B106,OverallResults!$B$3:$BB$492,11,FALSE),"")</f>
        <v>00:02:33.3 (125)</v>
      </c>
      <c r="M106" s="57" t="str">
        <f>IFERROR(VLOOKUP($B106,OverallResults!$B$3:$BB$492,12,FALSE),"")</f>
        <v>00:04:56.8 (93)</v>
      </c>
      <c r="N106" s="58" t="str">
        <f>IFERROR(VLOOKUP($B106,OverallResults!$B$3:$BB$492,13,FALSE),"")</f>
        <v>00:06:03.4 (147)</v>
      </c>
      <c r="O106" s="58" t="str">
        <f>IFERROR(VLOOKUP($B106,OverallResults!$B$3:$BB$492,14,FALSE),"")</f>
        <v>DNS/DNF ()</v>
      </c>
      <c r="P106" s="58" t="str">
        <f>IFERROR(VLOOKUP($B106,OverallResults!$B$3:$BB$492,15,FALSE),"")</f>
        <v>DNS/DNF ()</v>
      </c>
      <c r="Q106" s="58" t="str">
        <f>IFERROR(VLOOKUP($B106,OverallResults!$B$3:$BB$492,16,FALSE),"")</f>
        <v>DNS/DNF ()</v>
      </c>
      <c r="R106" s="58" t="str">
        <f>IFERROR(VLOOKUP($B106,OverallResults!$B$3:$BB$492,17,FALSE),"")</f>
        <v>00:23:15.656</v>
      </c>
      <c r="S106" s="170" t="str">
        <f t="shared" si="2"/>
        <v>00:00</v>
      </c>
      <c r="T106" s="170" t="str">
        <f t="shared" si="3"/>
        <v>06:26</v>
      </c>
      <c r="U106" s="359">
        <f>IFERROR(VLOOKUP($D106,EntryList!$B$3:$S$291,18,FALSE),"")</f>
        <v>0</v>
      </c>
      <c r="V106" s="359">
        <f>IFERROR(VLOOKUP($D106,EntryList!$B$3:$S$291,17,FALSE),"")</f>
        <v>0</v>
      </c>
    </row>
    <row r="107" spans="2:22">
      <c r="B107" s="59">
        <v>102</v>
      </c>
      <c r="C107" s="59">
        <f>IFERROR(VLOOKUP($B107,OverallResults!$B$3:$Z$508,2,FALSE),"")</f>
        <v>28</v>
      </c>
      <c r="D107" s="149" t="str">
        <f>IFERROR(VLOOKUP($B107,OverallResults!$B$3:$Z$508,3,FALSE),"")</f>
        <v>Nigel Basel</v>
      </c>
      <c r="E107" s="146">
        <f>IFERROR(VLOOKUP(C107,SeriesPoints!$A$2:$B$51,2,FALSE),"")</f>
        <v>36</v>
      </c>
      <c r="F107" s="148" t="str">
        <f>IFERROR(VLOOKUP($D107,EntryList!$B$3:$V$291,21,FALSE),"")</f>
        <v>-</v>
      </c>
      <c r="G107" s="100" t="str">
        <f>IFERROR(VLOOKUP($D107,EntryList!$B$3:$N$596,5,FALSE),"")</f>
        <v>M</v>
      </c>
      <c r="H107" s="145" t="str">
        <f>IFERROR(VLOOKUP($D107,EntryList!$B$3:$N$596,6,FALSE),"")</f>
        <v>Master Men</v>
      </c>
      <c r="I107" s="59">
        <f>IFERROR(VLOOKUP($B107,OverallResults!$B$3:$Z$492,8,FALSE),"")</f>
        <v>5</v>
      </c>
      <c r="J107" s="57" t="str">
        <f>IFERROR(VLOOKUP($B107,OverallResults!$B$3:$BB$492,9,FALSE),"")</f>
        <v>00:04:43.5 (101)</v>
      </c>
      <c r="K107" s="58" t="str">
        <f>IFERROR(VLOOKUP($B107,OverallResults!$B$3:$BB$492,10,FALSE),"")</f>
        <v>00:04:36.7 (158)</v>
      </c>
      <c r="L107" s="57" t="str">
        <f>IFERROR(VLOOKUP($B107,OverallResults!$B$3:$BB$492,11,FALSE),"")</f>
        <v>00:02:38.5 (142)</v>
      </c>
      <c r="M107" s="57" t="str">
        <f>IFERROR(VLOOKUP($B107,OverallResults!$B$3:$BB$492,12,FALSE),"")</f>
        <v>00:05:01.8 (98)</v>
      </c>
      <c r="N107" s="58" t="str">
        <f>IFERROR(VLOOKUP($B107,OverallResults!$B$3:$BB$492,13,FALSE),"")</f>
        <v>00:06:15.6 (169)</v>
      </c>
      <c r="O107" s="58" t="str">
        <f>IFERROR(VLOOKUP($B107,OverallResults!$B$3:$BB$492,14,FALSE),"")</f>
        <v>DNS/DNF ()</v>
      </c>
      <c r="P107" s="58" t="str">
        <f>IFERROR(VLOOKUP($B107,OverallResults!$B$3:$BB$492,15,FALSE),"")</f>
        <v>DNS/DNF ()</v>
      </c>
      <c r="Q107" s="58" t="str">
        <f>IFERROR(VLOOKUP($B107,OverallResults!$B$3:$BB$492,16,FALSE),"")</f>
        <v>DNS/DNF ()</v>
      </c>
      <c r="R107" s="58" t="str">
        <f>IFERROR(VLOOKUP($B107,OverallResults!$B$3:$BB$492,17,FALSE),"")</f>
        <v>00:23:15.949</v>
      </c>
      <c r="S107" s="170" t="str">
        <f t="shared" si="2"/>
        <v>00:00</v>
      </c>
      <c r="T107" s="170" t="str">
        <f t="shared" si="3"/>
        <v>06:26</v>
      </c>
      <c r="U107" s="359">
        <f>IFERROR(VLOOKUP($D107,EntryList!$B$3:$S$291,18,FALSE),"")</f>
        <v>0</v>
      </c>
      <c r="V107" s="359">
        <f>IFERROR(VLOOKUP($D107,EntryList!$B$3:$S$291,17,FALSE),"")</f>
        <v>0</v>
      </c>
    </row>
    <row r="108" spans="2:22">
      <c r="B108" s="59">
        <v>103</v>
      </c>
      <c r="C108" s="59">
        <f>IFERROR(VLOOKUP($B108,OverallResults!$B$3:$Z$508,2,FALSE),"")</f>
        <v>1</v>
      </c>
      <c r="D108" s="149" t="str">
        <f>IFERROR(VLOOKUP($B108,OverallResults!$B$3:$Z$508,3,FALSE),"")</f>
        <v>Annemi Pfister</v>
      </c>
      <c r="E108" s="146">
        <f>IFERROR(VLOOKUP(C108,SeriesPoints!$A$2:$B$51,2,FALSE),"")</f>
        <v>200</v>
      </c>
      <c r="F108" s="148" t="str">
        <f>IFERROR(VLOOKUP($D108,EntryList!$B$3:$V$291,21,FALSE),"")</f>
        <v>-</v>
      </c>
      <c r="G108" s="100" t="str">
        <f>IFERROR(VLOOKUP($D108,EntryList!$B$3:$N$596,5,FALSE),"")</f>
        <v>F</v>
      </c>
      <c r="H108" s="145" t="str">
        <f>IFERROR(VLOOKUP($D108,EntryList!$B$3:$N$596,6,FALSE),"")</f>
        <v>Master Women</v>
      </c>
      <c r="I108" s="59">
        <f>IFERROR(VLOOKUP($B108,OverallResults!$B$3:$Z$492,8,FALSE),"")</f>
        <v>5</v>
      </c>
      <c r="J108" s="57" t="str">
        <f>IFERROR(VLOOKUP($B108,OverallResults!$B$3:$BB$492,9,FALSE),"")</f>
        <v>00:05:09.9 (112)</v>
      </c>
      <c r="K108" s="58" t="str">
        <f>IFERROR(VLOOKUP($B108,OverallResults!$B$3:$BB$492,10,FALSE),"")</f>
        <v>00:04:28.8 (134)</v>
      </c>
      <c r="L108" s="57" t="str">
        <f>IFERROR(VLOOKUP($B108,OverallResults!$B$3:$BB$492,11,FALSE),"")</f>
        <v>00:02:37.8 (139)</v>
      </c>
      <c r="M108" s="57" t="str">
        <f>IFERROR(VLOOKUP($B108,OverallResults!$B$3:$BB$492,12,FALSE),"")</f>
        <v>00:05:07.0 (104)</v>
      </c>
      <c r="N108" s="58" t="str">
        <f>IFERROR(VLOOKUP($B108,OverallResults!$B$3:$BB$492,13,FALSE),"")</f>
        <v>00:05:56.9 (132)</v>
      </c>
      <c r="O108" s="58" t="str">
        <f>IFERROR(VLOOKUP($B108,OverallResults!$B$3:$BB$492,14,FALSE),"")</f>
        <v>DNS/DNF ()</v>
      </c>
      <c r="P108" s="58" t="str">
        <f>IFERROR(VLOOKUP($B108,OverallResults!$B$3:$BB$492,15,FALSE),"")</f>
        <v>DNS/DNF ()</v>
      </c>
      <c r="Q108" s="58" t="str">
        <f>IFERROR(VLOOKUP($B108,OverallResults!$B$3:$BB$492,16,FALSE),"")</f>
        <v>DNS/DNF ()</v>
      </c>
      <c r="R108" s="58" t="str">
        <f>IFERROR(VLOOKUP($B108,OverallResults!$B$3:$BB$492,17,FALSE),"")</f>
        <v>00:23:20.436</v>
      </c>
      <c r="S108" s="170" t="str">
        <f t="shared" si="2"/>
        <v>00:04</v>
      </c>
      <c r="T108" s="170" t="str">
        <f t="shared" si="3"/>
        <v>06:30</v>
      </c>
      <c r="U108" s="359">
        <f>IFERROR(VLOOKUP($D108,EntryList!$B$3:$S$291,18,FALSE),"")</f>
        <v>0</v>
      </c>
      <c r="V108" s="359">
        <f>IFERROR(VLOOKUP($D108,EntryList!$B$3:$S$291,17,FALSE),"")</f>
        <v>0</v>
      </c>
    </row>
    <row r="109" spans="2:22">
      <c r="B109" s="59">
        <v>104</v>
      </c>
      <c r="C109" s="59">
        <f>IFERROR(VLOOKUP($B109,OverallResults!$B$3:$Z$508,2,FALSE),"")</f>
        <v>29</v>
      </c>
      <c r="D109" s="149" t="str">
        <f>IFERROR(VLOOKUP($B109,OverallResults!$B$3:$Z$508,3,FALSE),"")</f>
        <v>James Eatwell</v>
      </c>
      <c r="E109" s="146">
        <f>IFERROR(VLOOKUP(C109,SeriesPoints!$A$2:$B$51,2,FALSE),"")</f>
        <v>33</v>
      </c>
      <c r="F109" s="148" t="str">
        <f>IFERROR(VLOOKUP($D109,EntryList!$B$3:$V$291,21,FALSE),"")</f>
        <v>-</v>
      </c>
      <c r="G109" s="100" t="str">
        <f>IFERROR(VLOOKUP($D109,EntryList!$B$3:$N$596,5,FALSE),"")</f>
        <v>M</v>
      </c>
      <c r="H109" s="145" t="str">
        <f>IFERROR(VLOOKUP($D109,EntryList!$B$3:$N$596,6,FALSE),"")</f>
        <v>Master Men</v>
      </c>
      <c r="I109" s="59">
        <f>IFERROR(VLOOKUP($B109,OverallResults!$B$3:$Z$492,8,FALSE),"")</f>
        <v>5</v>
      </c>
      <c r="J109" s="57" t="str">
        <f>IFERROR(VLOOKUP($B109,OverallResults!$B$3:$BB$492,9,FALSE),"")</f>
        <v>00:04:58.0 (108)</v>
      </c>
      <c r="K109" s="58" t="str">
        <f>IFERROR(VLOOKUP($B109,OverallResults!$B$3:$BB$492,10,FALSE),"")</f>
        <v>00:04:25.6 (122)</v>
      </c>
      <c r="L109" s="57" t="str">
        <f>IFERROR(VLOOKUP($B109,OverallResults!$B$3:$BB$492,11,FALSE),"")</f>
        <v>00:02:39.5 (146)</v>
      </c>
      <c r="M109" s="57" t="str">
        <f>IFERROR(VLOOKUP($B109,OverallResults!$B$3:$BB$492,12,FALSE),"")</f>
        <v>00:05:24.9 (117)</v>
      </c>
      <c r="N109" s="58" t="str">
        <f>IFERROR(VLOOKUP($B109,OverallResults!$B$3:$BB$492,13,FALSE),"")</f>
        <v>00:05:59.9 (142)</v>
      </c>
      <c r="O109" s="58" t="str">
        <f>IFERROR(VLOOKUP($B109,OverallResults!$B$3:$BB$492,14,FALSE),"")</f>
        <v>DNS/DNF ()</v>
      </c>
      <c r="P109" s="58" t="str">
        <f>IFERROR(VLOOKUP($B109,OverallResults!$B$3:$BB$492,15,FALSE),"")</f>
        <v>DNS/DNF ()</v>
      </c>
      <c r="Q109" s="58" t="str">
        <f>IFERROR(VLOOKUP($B109,OverallResults!$B$3:$BB$492,16,FALSE),"")</f>
        <v>DNS/DNF ()</v>
      </c>
      <c r="R109" s="58" t="str">
        <f>IFERROR(VLOOKUP($B109,OverallResults!$B$3:$BB$492,17,FALSE),"")</f>
        <v>00:23:27.926</v>
      </c>
      <c r="S109" s="170" t="str">
        <f t="shared" si="2"/>
        <v>00:07</v>
      </c>
      <c r="T109" s="170" t="str">
        <f t="shared" si="3"/>
        <v>06:38</v>
      </c>
      <c r="U109" s="359">
        <f>IFERROR(VLOOKUP($D109,EntryList!$B$3:$S$291,18,FALSE),"")</f>
        <v>0</v>
      </c>
      <c r="V109" s="359">
        <f>IFERROR(VLOOKUP($D109,EntryList!$B$3:$S$291,17,FALSE),"")</f>
        <v>0</v>
      </c>
    </row>
    <row r="110" spans="2:22">
      <c r="B110" s="59">
        <v>105</v>
      </c>
      <c r="C110" s="59">
        <f>IFERROR(VLOOKUP($B110,OverallResults!$B$3:$Z$508,2,FALSE),"")</f>
        <v>30</v>
      </c>
      <c r="D110" s="149" t="str">
        <f>IFERROR(VLOOKUP($B110,OverallResults!$B$3:$Z$508,3,FALSE),"")</f>
        <v>Ian Williams</v>
      </c>
      <c r="E110" s="146">
        <f>IFERROR(VLOOKUP(C110,SeriesPoints!$A$2:$B$51,2,FALSE),"")</f>
        <v>30</v>
      </c>
      <c r="F110" s="148" t="str">
        <f>IFERROR(VLOOKUP($D110,EntryList!$B$3:$V$291,21,FALSE),"")</f>
        <v>-</v>
      </c>
      <c r="G110" s="100" t="str">
        <f>IFERROR(VLOOKUP($D110,EntryList!$B$3:$N$596,5,FALSE),"")</f>
        <v>M</v>
      </c>
      <c r="H110" s="145" t="str">
        <f>IFERROR(VLOOKUP($D110,EntryList!$B$3:$N$596,6,FALSE),"")</f>
        <v>Master Men</v>
      </c>
      <c r="I110" s="59">
        <f>IFERROR(VLOOKUP($B110,OverallResults!$B$3:$Z$492,8,FALSE),"")</f>
        <v>5</v>
      </c>
      <c r="J110" s="57" t="str">
        <f>IFERROR(VLOOKUP($B110,OverallResults!$B$3:$BB$492,9,FALSE),"")</f>
        <v>00:05:13.5 (115)</v>
      </c>
      <c r="K110" s="58" t="str">
        <f>IFERROR(VLOOKUP($B110,OverallResults!$B$3:$BB$492,10,FALSE),"")</f>
        <v>00:04:36.5 (157)</v>
      </c>
      <c r="L110" s="57" t="str">
        <f>IFERROR(VLOOKUP($B110,OverallResults!$B$3:$BB$492,11,FALSE),"")</f>
        <v>00:02:40.4 (155)</v>
      </c>
      <c r="M110" s="57" t="str">
        <f>IFERROR(VLOOKUP($B110,OverallResults!$B$3:$BB$492,12,FALSE),"")</f>
        <v>00:05:04.9 (102)</v>
      </c>
      <c r="N110" s="58" t="str">
        <f>IFERROR(VLOOKUP($B110,OverallResults!$B$3:$BB$492,13,FALSE),"")</f>
        <v>00:05:59.7 (140)</v>
      </c>
      <c r="O110" s="58" t="str">
        <f>IFERROR(VLOOKUP($B110,OverallResults!$B$3:$BB$492,14,FALSE),"")</f>
        <v>DNS/DNF ()</v>
      </c>
      <c r="P110" s="58" t="str">
        <f>IFERROR(VLOOKUP($B110,OverallResults!$B$3:$BB$492,15,FALSE),"")</f>
        <v>DNS/DNF ()</v>
      </c>
      <c r="Q110" s="58" t="str">
        <f>IFERROR(VLOOKUP($B110,OverallResults!$B$3:$BB$492,16,FALSE),"")</f>
        <v>DNS/DNF ()</v>
      </c>
      <c r="R110" s="58" t="str">
        <f>IFERROR(VLOOKUP($B110,OverallResults!$B$3:$BB$492,17,FALSE),"")</f>
        <v>00:23:34.952</v>
      </c>
      <c r="S110" s="170" t="str">
        <f t="shared" si="2"/>
        <v>00:07</v>
      </c>
      <c r="T110" s="170" t="str">
        <f t="shared" si="3"/>
        <v>06:45</v>
      </c>
      <c r="U110" s="359">
        <f>IFERROR(VLOOKUP($D110,EntryList!$B$3:$S$291,18,FALSE),"")</f>
        <v>0</v>
      </c>
      <c r="V110" s="359">
        <f>IFERROR(VLOOKUP($D110,EntryList!$B$3:$S$291,17,FALSE),"")</f>
        <v>0</v>
      </c>
    </row>
    <row r="111" spans="2:22">
      <c r="B111" s="59">
        <v>106</v>
      </c>
      <c r="C111" s="59">
        <f>IFERROR(VLOOKUP($B111,OverallResults!$B$3:$Z$508,2,FALSE),"")</f>
        <v>3</v>
      </c>
      <c r="D111" s="149" t="str">
        <f>IFERROR(VLOOKUP($B111,OverallResults!$B$3:$Z$508,3,FALSE),"")</f>
        <v>Robyn Emslie</v>
      </c>
      <c r="E111" s="146">
        <f>IFERROR(VLOOKUP(C111,SeriesPoints!$A$2:$B$51,2,FALSE),"")</f>
        <v>150</v>
      </c>
      <c r="F111" s="148" t="str">
        <f>IFERROR(VLOOKUP($D111,EntryList!$B$3:$V$291,21,FALSE),"")</f>
        <v>-</v>
      </c>
      <c r="G111" s="100" t="str">
        <f>IFERROR(VLOOKUP($D111,EntryList!$B$3:$N$596,5,FALSE),"")</f>
        <v>F</v>
      </c>
      <c r="H111" s="145" t="str">
        <f>IFERROR(VLOOKUP($D111,EntryList!$B$3:$N$596,6,FALSE),"")</f>
        <v>Elite Women</v>
      </c>
      <c r="I111" s="59">
        <f>IFERROR(VLOOKUP($B111,OverallResults!$B$3:$Z$492,8,FALSE),"")</f>
        <v>5</v>
      </c>
      <c r="J111" s="57" t="str">
        <f>IFERROR(VLOOKUP($B111,OverallResults!$B$3:$BB$492,9,FALSE),"")</f>
        <v>00:05:30.3 (119)</v>
      </c>
      <c r="K111" s="58" t="str">
        <f>IFERROR(VLOOKUP($B111,OverallResults!$B$3:$BB$492,10,FALSE),"")</f>
        <v>00:04:29.4 (136)</v>
      </c>
      <c r="L111" s="57" t="str">
        <f>IFERROR(VLOOKUP($B111,OverallResults!$B$3:$BB$492,11,FALSE),"")</f>
        <v>00:02:37.0 (138)</v>
      </c>
      <c r="M111" s="57" t="str">
        <f>IFERROR(VLOOKUP($B111,OverallResults!$B$3:$BB$492,12,FALSE),"")</f>
        <v>00:05:04.7 (101)</v>
      </c>
      <c r="N111" s="58" t="str">
        <f>IFERROR(VLOOKUP($B111,OverallResults!$B$3:$BB$492,13,FALSE),"")</f>
        <v>00:05:54.2 (125)</v>
      </c>
      <c r="O111" s="58" t="str">
        <f>IFERROR(VLOOKUP($B111,OverallResults!$B$3:$BB$492,14,FALSE),"")</f>
        <v>DNS/DNF ()</v>
      </c>
      <c r="P111" s="58" t="str">
        <f>IFERROR(VLOOKUP($B111,OverallResults!$B$3:$BB$492,15,FALSE),"")</f>
        <v>DNS/DNF ()</v>
      </c>
      <c r="Q111" s="58" t="str">
        <f>IFERROR(VLOOKUP($B111,OverallResults!$B$3:$BB$492,16,FALSE),"")</f>
        <v>DNS/DNF ()</v>
      </c>
      <c r="R111" s="58" t="str">
        <f>IFERROR(VLOOKUP($B111,OverallResults!$B$3:$BB$492,17,FALSE),"")</f>
        <v>00:23:35.604</v>
      </c>
      <c r="S111" s="170" t="str">
        <f t="shared" si="2"/>
        <v>00:01</v>
      </c>
      <c r="T111" s="170" t="str">
        <f t="shared" si="3"/>
        <v>06:46</v>
      </c>
      <c r="U111" s="359">
        <f>IFERROR(VLOOKUP($D111,EntryList!$B$3:$S$291,18,FALSE),"")</f>
        <v>0</v>
      </c>
      <c r="V111" s="359">
        <f>IFERROR(VLOOKUP($D111,EntryList!$B$3:$S$291,17,FALSE),"")</f>
        <v>0</v>
      </c>
    </row>
    <row r="112" spans="2:22">
      <c r="B112" s="59">
        <v>107</v>
      </c>
      <c r="C112" s="59">
        <f>IFERROR(VLOOKUP($B112,OverallResults!$B$3:$Z$508,2,FALSE),"")</f>
        <v>31</v>
      </c>
      <c r="D112" s="149" t="str">
        <f>IFERROR(VLOOKUP($B112,OverallResults!$B$3:$Z$508,3,FALSE),"")</f>
        <v>Jaco Van Der Linde</v>
      </c>
      <c r="E112" s="146">
        <f>IFERROR(VLOOKUP(C112,SeriesPoints!$A$2:$B$51,2,FALSE),"")</f>
        <v>28</v>
      </c>
      <c r="F112" s="148" t="str">
        <f>IFERROR(VLOOKUP($D112,EntryList!$B$3:$V$291,21,FALSE),"")</f>
        <v>-</v>
      </c>
      <c r="G112" s="100" t="str">
        <f>IFERROR(VLOOKUP($D112,EntryList!$B$3:$N$596,5,FALSE),"")</f>
        <v>M</v>
      </c>
      <c r="H112" s="145" t="str">
        <f>IFERROR(VLOOKUP($D112,EntryList!$B$3:$N$596,6,FALSE),"")</f>
        <v>Master Men</v>
      </c>
      <c r="I112" s="59">
        <f>IFERROR(VLOOKUP($B112,OverallResults!$B$3:$Z$492,8,FALSE),"")</f>
        <v>5</v>
      </c>
      <c r="J112" s="57" t="str">
        <f>IFERROR(VLOOKUP($B112,OverallResults!$B$3:$BB$492,9,FALSE),"")</f>
        <v>00:06:34.4 (132)</v>
      </c>
      <c r="K112" s="58" t="str">
        <f>IFERROR(VLOOKUP($B112,OverallResults!$B$3:$BB$492,10,FALSE),"")</f>
        <v>00:04:03.6 (71)</v>
      </c>
      <c r="L112" s="57" t="str">
        <f>IFERROR(VLOOKUP($B112,OverallResults!$B$3:$BB$492,11,FALSE),"")</f>
        <v>00:02:27.2 (100)</v>
      </c>
      <c r="M112" s="57" t="str">
        <f>IFERROR(VLOOKUP($B112,OverallResults!$B$3:$BB$492,12,FALSE),"")</f>
        <v>00:04:52.8 (84)</v>
      </c>
      <c r="N112" s="58" t="str">
        <f>IFERROR(VLOOKUP($B112,OverallResults!$B$3:$BB$492,13,FALSE),"")</f>
        <v>00:05:45.7 (99)</v>
      </c>
      <c r="O112" s="58" t="str">
        <f>IFERROR(VLOOKUP($B112,OverallResults!$B$3:$BB$492,14,FALSE),"")</f>
        <v>DNS/DNF ()</v>
      </c>
      <c r="P112" s="58" t="str">
        <f>IFERROR(VLOOKUP($B112,OverallResults!$B$3:$BB$492,15,FALSE),"")</f>
        <v>DNS/DNF ()</v>
      </c>
      <c r="Q112" s="58" t="str">
        <f>IFERROR(VLOOKUP($B112,OverallResults!$B$3:$BB$492,16,FALSE),"")</f>
        <v>DNS/DNF ()</v>
      </c>
      <c r="R112" s="58" t="str">
        <f>IFERROR(VLOOKUP($B112,OverallResults!$B$3:$BB$492,17,FALSE),"")</f>
        <v>00:23:43.662</v>
      </c>
      <c r="S112" s="170" t="str">
        <f t="shared" si="2"/>
        <v>00:08</v>
      </c>
      <c r="T112" s="170" t="str">
        <f t="shared" si="3"/>
        <v>06:54</v>
      </c>
      <c r="U112" s="359">
        <f>IFERROR(VLOOKUP($D112,EntryList!$B$3:$S$291,18,FALSE),"")</f>
        <v>0</v>
      </c>
      <c r="V112" s="359">
        <f>IFERROR(VLOOKUP($D112,EntryList!$B$3:$S$291,17,FALSE),"")</f>
        <v>0</v>
      </c>
    </row>
    <row r="113" spans="2:22">
      <c r="B113" s="59">
        <v>108</v>
      </c>
      <c r="C113" s="59">
        <f>IFERROR(VLOOKUP($B113,OverallResults!$B$3:$Z$508,2,FALSE),"")</f>
        <v>13</v>
      </c>
      <c r="D113" s="149" t="str">
        <f>IFERROR(VLOOKUP($B113,OverallResults!$B$3:$Z$508,3,FALSE),"")</f>
        <v>Stephen Wiggill</v>
      </c>
      <c r="E113" s="146">
        <f>IFERROR(VLOOKUP(C113,SeriesPoints!$A$2:$B$51,2,FALSE),"")</f>
        <v>88</v>
      </c>
      <c r="F113" s="148" t="str">
        <f>IFERROR(VLOOKUP($D113,EntryList!$B$3:$V$291,21,FALSE),"")</f>
        <v>-</v>
      </c>
      <c r="G113" s="100" t="str">
        <f>IFERROR(VLOOKUP($D113,EntryList!$B$3:$N$596,5,FALSE),"")</f>
        <v>M</v>
      </c>
      <c r="H113" s="145" t="str">
        <f>IFERROR(VLOOKUP($D113,EntryList!$B$3:$N$596,6,FALSE),"")</f>
        <v>E-Bike M</v>
      </c>
      <c r="I113" s="59">
        <f>IFERROR(VLOOKUP($B113,OverallResults!$B$3:$Z$492,8,FALSE),"")</f>
        <v>5</v>
      </c>
      <c r="J113" s="57" t="str">
        <f>IFERROR(VLOOKUP($B113,OverallResults!$B$3:$BB$492,9,FALSE),"")</f>
        <v>00:05:15.2 (116)</v>
      </c>
      <c r="K113" s="58" t="str">
        <f>IFERROR(VLOOKUP($B113,OverallResults!$B$3:$BB$492,10,FALSE),"")</f>
        <v>00:04:33.9 (151)</v>
      </c>
      <c r="L113" s="57" t="str">
        <f>IFERROR(VLOOKUP($B113,OverallResults!$B$3:$BB$492,11,FALSE),"")</f>
        <v>00:02:50.8 (187)</v>
      </c>
      <c r="M113" s="57" t="str">
        <f>IFERROR(VLOOKUP($B113,OverallResults!$B$3:$BB$492,12,FALSE),"")</f>
        <v>00:05:17.0 (111)</v>
      </c>
      <c r="N113" s="58" t="str">
        <f>IFERROR(VLOOKUP($B113,OverallResults!$B$3:$BB$492,13,FALSE),"")</f>
        <v>00:05:56.9 (131)</v>
      </c>
      <c r="O113" s="58" t="str">
        <f>IFERROR(VLOOKUP($B113,OverallResults!$B$3:$BB$492,14,FALSE),"")</f>
        <v>DNS/DNF ()</v>
      </c>
      <c r="P113" s="58" t="str">
        <f>IFERROR(VLOOKUP($B113,OverallResults!$B$3:$BB$492,15,FALSE),"")</f>
        <v>DNS/DNF ()</v>
      </c>
      <c r="Q113" s="58" t="str">
        <f>IFERROR(VLOOKUP($B113,OverallResults!$B$3:$BB$492,16,FALSE),"")</f>
        <v>DNS/DNF ()</v>
      </c>
      <c r="R113" s="58" t="str">
        <f>IFERROR(VLOOKUP($B113,OverallResults!$B$3:$BB$492,17,FALSE),"")</f>
        <v>00:23:53.779</v>
      </c>
      <c r="S113" s="170" t="str">
        <f t="shared" si="2"/>
        <v>00:10</v>
      </c>
      <c r="T113" s="170" t="str">
        <f t="shared" si="3"/>
        <v>07:04</v>
      </c>
      <c r="U113" s="359">
        <f>IFERROR(VLOOKUP($D113,EntryList!$B$3:$S$291,18,FALSE),"")</f>
        <v>0</v>
      </c>
      <c r="V113" s="359">
        <f>IFERROR(VLOOKUP($D113,EntryList!$B$3:$S$291,17,FALSE),"")</f>
        <v>0</v>
      </c>
    </row>
    <row r="114" spans="2:22">
      <c r="B114" s="59">
        <v>109</v>
      </c>
      <c r="C114" s="59">
        <f>IFERROR(VLOOKUP($B114,OverallResults!$B$3:$Z$508,2,FALSE),"")</f>
        <v>32</v>
      </c>
      <c r="D114" s="149" t="str">
        <f>IFERROR(VLOOKUP($B114,OverallResults!$B$3:$Z$508,3,FALSE),"")</f>
        <v>Andrew Kenny</v>
      </c>
      <c r="E114" s="146">
        <f>IFERROR(VLOOKUP(C114,SeriesPoints!$A$2:$B$51,2,FALSE),"")</f>
        <v>26</v>
      </c>
      <c r="F114" s="148" t="str">
        <f>IFERROR(VLOOKUP($D114,EntryList!$B$3:$V$291,21,FALSE),"")</f>
        <v>-</v>
      </c>
      <c r="G114" s="100" t="str">
        <f>IFERROR(VLOOKUP($D114,EntryList!$B$3:$N$596,5,FALSE),"")</f>
        <v>M</v>
      </c>
      <c r="H114" s="145" t="str">
        <f>IFERROR(VLOOKUP($D114,EntryList!$B$3:$N$596,6,FALSE),"")</f>
        <v>Master Men</v>
      </c>
      <c r="I114" s="59">
        <f>IFERROR(VLOOKUP($B114,OverallResults!$B$3:$Z$492,8,FALSE),"")</f>
        <v>5</v>
      </c>
      <c r="J114" s="57" t="str">
        <f>IFERROR(VLOOKUP($B114,OverallResults!$B$3:$BB$492,9,FALSE),"")</f>
        <v>00:05:52.4 (126)</v>
      </c>
      <c r="K114" s="58" t="str">
        <f>IFERROR(VLOOKUP($B114,OverallResults!$B$3:$BB$492,10,FALSE),"")</f>
        <v>00:04:20.4 (113)</v>
      </c>
      <c r="L114" s="57" t="str">
        <f>IFERROR(VLOOKUP($B114,OverallResults!$B$3:$BB$492,11,FALSE),"")</f>
        <v>00:02:39.2 (144)</v>
      </c>
      <c r="M114" s="57" t="str">
        <f>IFERROR(VLOOKUP($B114,OverallResults!$B$3:$BB$492,12,FALSE),"")</f>
        <v>00:05:00.2 (95)</v>
      </c>
      <c r="N114" s="58" t="str">
        <f>IFERROR(VLOOKUP($B114,OverallResults!$B$3:$BB$492,13,FALSE),"")</f>
        <v>00:06:04.4 (149)</v>
      </c>
      <c r="O114" s="58" t="str">
        <f>IFERROR(VLOOKUP($B114,OverallResults!$B$3:$BB$492,14,FALSE),"")</f>
        <v>DNS/DNF ()</v>
      </c>
      <c r="P114" s="58" t="str">
        <f>IFERROR(VLOOKUP($B114,OverallResults!$B$3:$BB$492,15,FALSE),"")</f>
        <v>DNS/DNF ()</v>
      </c>
      <c r="Q114" s="58" t="str">
        <f>IFERROR(VLOOKUP($B114,OverallResults!$B$3:$BB$492,16,FALSE),"")</f>
        <v>DNS/DNF ()</v>
      </c>
      <c r="R114" s="58" t="str">
        <f>IFERROR(VLOOKUP($B114,OverallResults!$B$3:$BB$492,17,FALSE),"")</f>
        <v>00:23:56.584</v>
      </c>
      <c r="S114" s="170" t="str">
        <f t="shared" si="2"/>
        <v>00:03</v>
      </c>
      <c r="T114" s="170" t="str">
        <f t="shared" si="3"/>
        <v>07:07</v>
      </c>
      <c r="U114" s="359">
        <f>IFERROR(VLOOKUP($D114,EntryList!$B$3:$S$291,18,FALSE),"")</f>
        <v>0</v>
      </c>
      <c r="V114" s="359">
        <f>IFERROR(VLOOKUP($D114,EntryList!$B$3:$S$291,17,FALSE),"")</f>
        <v>0</v>
      </c>
    </row>
    <row r="115" spans="2:22">
      <c r="B115" s="59">
        <v>110</v>
      </c>
      <c r="C115" s="59">
        <f>IFERROR(VLOOKUP($B115,OverallResults!$B$3:$Z$508,2,FALSE),"")</f>
        <v>26</v>
      </c>
      <c r="D115" s="149" t="str">
        <f>IFERROR(VLOOKUP($B115,OverallResults!$B$3:$Z$508,3,FALSE),"")</f>
        <v>Angus Fergusson</v>
      </c>
      <c r="E115" s="146">
        <f>IFERROR(VLOOKUP(C115,SeriesPoints!$A$2:$B$51,2,FALSE),"")</f>
        <v>42</v>
      </c>
      <c r="F115" s="148" t="str">
        <f>IFERROR(VLOOKUP($D115,EntryList!$B$3:$V$291,21,FALSE),"")</f>
        <v>-</v>
      </c>
      <c r="G115" s="100" t="str">
        <f>IFERROR(VLOOKUP($D115,EntryList!$B$3:$N$596,5,FALSE),"")</f>
        <v>M</v>
      </c>
      <c r="H115" s="145" t="str">
        <f>IFERROR(VLOOKUP($D115,EntryList!$B$3:$N$596,6,FALSE),"")</f>
        <v>Elite Men</v>
      </c>
      <c r="I115" s="59">
        <f>IFERROR(VLOOKUP($B115,OverallResults!$B$3:$Z$492,8,FALSE),"")</f>
        <v>5</v>
      </c>
      <c r="J115" s="57" t="str">
        <f>IFERROR(VLOOKUP($B115,OverallResults!$B$3:$BB$492,9,FALSE),"")</f>
        <v>00:05:33.9 (120)</v>
      </c>
      <c r="K115" s="58" t="str">
        <f>IFERROR(VLOOKUP($B115,OverallResults!$B$3:$BB$492,10,FALSE),"")</f>
        <v>00:04:37.9 (163)</v>
      </c>
      <c r="L115" s="57" t="str">
        <f>IFERROR(VLOOKUP($B115,OverallResults!$B$3:$BB$492,11,FALSE),"")</f>
        <v>00:02:35.2 (135)</v>
      </c>
      <c r="M115" s="57" t="str">
        <f>IFERROR(VLOOKUP($B115,OverallResults!$B$3:$BB$492,12,FALSE),"")</f>
        <v>00:05:08.9 (105)</v>
      </c>
      <c r="N115" s="58" t="str">
        <f>IFERROR(VLOOKUP($B115,OverallResults!$B$3:$BB$492,13,FALSE),"")</f>
        <v>00:06:08.0 (157)</v>
      </c>
      <c r="O115" s="58" t="str">
        <f>IFERROR(VLOOKUP($B115,OverallResults!$B$3:$BB$492,14,FALSE),"")</f>
        <v>DNS/DNF ()</v>
      </c>
      <c r="P115" s="58" t="str">
        <f>IFERROR(VLOOKUP($B115,OverallResults!$B$3:$BB$492,15,FALSE),"")</f>
        <v>DNS/DNF ()</v>
      </c>
      <c r="Q115" s="58" t="str">
        <f>IFERROR(VLOOKUP($B115,OverallResults!$B$3:$BB$492,16,FALSE),"")</f>
        <v>DNS/DNF ()</v>
      </c>
      <c r="R115" s="58" t="str">
        <f>IFERROR(VLOOKUP($B115,OverallResults!$B$3:$BB$492,17,FALSE),"")</f>
        <v>00:24:03.896</v>
      </c>
      <c r="S115" s="170" t="str">
        <f t="shared" si="2"/>
        <v>00:07</v>
      </c>
      <c r="T115" s="170" t="str">
        <f t="shared" si="3"/>
        <v>07:14</v>
      </c>
      <c r="U115" s="359">
        <f>IFERROR(VLOOKUP($D115,EntryList!$B$3:$S$291,18,FALSE),"")</f>
        <v>0</v>
      </c>
      <c r="V115" s="359">
        <f>IFERROR(VLOOKUP($D115,EntryList!$B$3:$S$291,17,FALSE),"")</f>
        <v>0</v>
      </c>
    </row>
    <row r="116" spans="2:22">
      <c r="B116" s="59">
        <v>111</v>
      </c>
      <c r="C116" s="59">
        <f>IFERROR(VLOOKUP($B116,OverallResults!$B$3:$Z$508,2,FALSE),"")</f>
        <v>14</v>
      </c>
      <c r="D116" s="149" t="str">
        <f>IFERROR(VLOOKUP($B116,OverallResults!$B$3:$Z$508,3,FALSE),"")</f>
        <v>Miles Henebrey</v>
      </c>
      <c r="E116" s="146">
        <f>IFERROR(VLOOKUP(C116,SeriesPoints!$A$2:$B$51,2,FALSE),"")</f>
        <v>84</v>
      </c>
      <c r="F116" s="148" t="str">
        <f>IFERROR(VLOOKUP($D116,EntryList!$B$3:$V$291,21,FALSE),"")</f>
        <v>-</v>
      </c>
      <c r="G116" s="100" t="str">
        <f>IFERROR(VLOOKUP($D116,EntryList!$B$3:$N$596,5,FALSE),"")</f>
        <v>M</v>
      </c>
      <c r="H116" s="145" t="str">
        <f>IFERROR(VLOOKUP($D116,EntryList!$B$3:$N$596,6,FALSE),"")</f>
        <v>E-Bike M</v>
      </c>
      <c r="I116" s="59">
        <f>IFERROR(VLOOKUP($B116,OverallResults!$B$3:$Z$492,8,FALSE),"")</f>
        <v>5</v>
      </c>
      <c r="J116" s="57" t="str">
        <f>IFERROR(VLOOKUP($B116,OverallResults!$B$3:$BB$492,9,FALSE),"")</f>
        <v>00:05:34.5 (121)</v>
      </c>
      <c r="K116" s="58" t="str">
        <f>IFERROR(VLOOKUP($B116,OverallResults!$B$3:$BB$492,10,FALSE),"")</f>
        <v>00:04:36.2 (156)</v>
      </c>
      <c r="L116" s="57" t="str">
        <f>IFERROR(VLOOKUP($B116,OverallResults!$B$3:$BB$492,11,FALSE),"")</f>
        <v>00:02:31.6 (116)</v>
      </c>
      <c r="M116" s="57" t="str">
        <f>IFERROR(VLOOKUP($B116,OverallResults!$B$3:$BB$492,12,FALSE),"")</f>
        <v>00:05:17.2 (112)</v>
      </c>
      <c r="N116" s="58" t="str">
        <f>IFERROR(VLOOKUP($B116,OverallResults!$B$3:$BB$492,13,FALSE),"")</f>
        <v>00:06:16.3 (171)</v>
      </c>
      <c r="O116" s="58" t="str">
        <f>IFERROR(VLOOKUP($B116,OverallResults!$B$3:$BB$492,14,FALSE),"")</f>
        <v>DNS/DNF ()</v>
      </c>
      <c r="P116" s="58" t="str">
        <f>IFERROR(VLOOKUP($B116,OverallResults!$B$3:$BB$492,15,FALSE),"")</f>
        <v>DNS/DNF ()</v>
      </c>
      <c r="Q116" s="58" t="str">
        <f>IFERROR(VLOOKUP($B116,OverallResults!$B$3:$BB$492,16,FALSE),"")</f>
        <v>DNS/DNF ()</v>
      </c>
      <c r="R116" s="58" t="str">
        <f>IFERROR(VLOOKUP($B116,OverallResults!$B$3:$BB$492,17,FALSE),"")</f>
        <v>00:24:15.782</v>
      </c>
      <c r="S116" s="170" t="str">
        <f t="shared" si="2"/>
        <v>00:12</v>
      </c>
      <c r="T116" s="170" t="str">
        <f t="shared" si="3"/>
        <v>07:26</v>
      </c>
      <c r="U116" s="359">
        <f>IFERROR(VLOOKUP($D116,EntryList!$B$3:$S$291,18,FALSE),"")</f>
        <v>0</v>
      </c>
      <c r="V116" s="359">
        <f>IFERROR(VLOOKUP($D116,EntryList!$B$3:$S$291,17,FALSE),"")</f>
        <v>0</v>
      </c>
    </row>
    <row r="117" spans="2:22">
      <c r="B117" s="59">
        <v>112</v>
      </c>
      <c r="C117" s="59">
        <f>IFERROR(VLOOKUP($B117,OverallResults!$B$3:$Z$508,2,FALSE),"")</f>
        <v>33</v>
      </c>
      <c r="D117" s="149" t="str">
        <f>IFERROR(VLOOKUP($B117,OverallResults!$B$3:$Z$508,3,FALSE),"")</f>
        <v>Robin Moore</v>
      </c>
      <c r="E117" s="146">
        <f>IFERROR(VLOOKUP(C117,SeriesPoints!$A$2:$B$51,2,FALSE),"")</f>
        <v>24</v>
      </c>
      <c r="F117" s="148" t="str">
        <f>IFERROR(VLOOKUP($D117,EntryList!$B$3:$V$291,21,FALSE),"")</f>
        <v>-</v>
      </c>
      <c r="G117" s="100" t="str">
        <f>IFERROR(VLOOKUP($D117,EntryList!$B$3:$N$596,5,FALSE),"")</f>
        <v>M</v>
      </c>
      <c r="H117" s="145" t="str">
        <f>IFERROR(VLOOKUP($D117,EntryList!$B$3:$N$596,6,FALSE),"")</f>
        <v>Master Men</v>
      </c>
      <c r="I117" s="59">
        <f>IFERROR(VLOOKUP($B117,OverallResults!$B$3:$Z$492,8,FALSE),"")</f>
        <v>5</v>
      </c>
      <c r="J117" s="57" t="str">
        <f>IFERROR(VLOOKUP($B117,OverallResults!$B$3:$BB$492,9,FALSE),"")</f>
        <v>00:07:41.5 (135)</v>
      </c>
      <c r="K117" s="58" t="str">
        <f>IFERROR(VLOOKUP($B117,OverallResults!$B$3:$BB$492,10,FALSE),"")</f>
        <v>00:04:01.4 (61)</v>
      </c>
      <c r="L117" s="57" t="str">
        <f>IFERROR(VLOOKUP($B117,OverallResults!$B$3:$BB$492,11,FALSE),"")</f>
        <v>00:02:21.9 (82)</v>
      </c>
      <c r="M117" s="57" t="str">
        <f>IFERROR(VLOOKUP($B117,OverallResults!$B$3:$BB$492,12,FALSE),"")</f>
        <v>00:04:40.3 (76)</v>
      </c>
      <c r="N117" s="58" t="str">
        <f>IFERROR(VLOOKUP($B117,OverallResults!$B$3:$BB$492,13,FALSE),"")</f>
        <v>00:05:31.8 (70)</v>
      </c>
      <c r="O117" s="58" t="str">
        <f>IFERROR(VLOOKUP($B117,OverallResults!$B$3:$BB$492,14,FALSE),"")</f>
        <v>DNS/DNF ()</v>
      </c>
      <c r="P117" s="58" t="str">
        <f>IFERROR(VLOOKUP($B117,OverallResults!$B$3:$BB$492,15,FALSE),"")</f>
        <v>DNS/DNF ()</v>
      </c>
      <c r="Q117" s="58" t="str">
        <f>IFERROR(VLOOKUP($B117,OverallResults!$B$3:$BB$492,16,FALSE),"")</f>
        <v>DNS/DNF ()</v>
      </c>
      <c r="R117" s="58" t="str">
        <f>IFERROR(VLOOKUP($B117,OverallResults!$B$3:$BB$492,17,FALSE),"")</f>
        <v>00:24:16.889</v>
      </c>
      <c r="S117" s="170" t="str">
        <f t="shared" si="2"/>
        <v>00:01</v>
      </c>
      <c r="T117" s="170" t="str">
        <f t="shared" si="3"/>
        <v>07:27</v>
      </c>
      <c r="U117" s="359">
        <f>IFERROR(VLOOKUP($D117,EntryList!$B$3:$S$291,18,FALSE),"")</f>
        <v>0</v>
      </c>
      <c r="V117" s="359">
        <f>IFERROR(VLOOKUP($D117,EntryList!$B$3:$S$291,17,FALSE),"")</f>
        <v>0</v>
      </c>
    </row>
    <row r="118" spans="2:22">
      <c r="B118" s="59">
        <v>113</v>
      </c>
      <c r="C118" s="59">
        <f>IFERROR(VLOOKUP($B118,OverallResults!$B$3:$Z$508,2,FALSE),"")</f>
        <v>24</v>
      </c>
      <c r="D118" s="149" t="str">
        <f>IFERROR(VLOOKUP($B118,OverallResults!$B$3:$Z$508,3,FALSE),"")</f>
        <v>Tyler Pearce Denovan</v>
      </c>
      <c r="E118" s="146">
        <f>IFERROR(VLOOKUP(C118,SeriesPoints!$A$2:$B$51,2,FALSE),"")</f>
        <v>48</v>
      </c>
      <c r="F118" s="148" t="str">
        <f>IFERROR(VLOOKUP($D118,EntryList!$B$3:$V$291,21,FALSE),"")</f>
        <v>-</v>
      </c>
      <c r="G118" s="100" t="str">
        <f>IFERROR(VLOOKUP($D118,EntryList!$B$3:$N$596,5,FALSE),"")</f>
        <v>M</v>
      </c>
      <c r="H118" s="145" t="str">
        <f>IFERROR(VLOOKUP($D118,EntryList!$B$3:$N$596,6,FALSE),"")</f>
        <v>Youth Men</v>
      </c>
      <c r="I118" s="59">
        <f>IFERROR(VLOOKUP($B118,OverallResults!$B$3:$Z$492,8,FALSE),"")</f>
        <v>5</v>
      </c>
      <c r="J118" s="57" t="str">
        <f>IFERROR(VLOOKUP($B118,OverallResults!$B$3:$BB$492,9,FALSE),"")</f>
        <v>00:05:08.9 (111)</v>
      </c>
      <c r="K118" s="58" t="str">
        <f>IFERROR(VLOOKUP($B118,OverallResults!$B$3:$BB$492,10,FALSE),"")</f>
        <v>00:04:40.2 (169)</v>
      </c>
      <c r="L118" s="57" t="str">
        <f>IFERROR(VLOOKUP($B118,OverallResults!$B$3:$BB$492,11,FALSE),"")</f>
        <v>00:02:40.5 (156)</v>
      </c>
      <c r="M118" s="57" t="str">
        <f>IFERROR(VLOOKUP($B118,OverallResults!$B$3:$BB$492,12,FALSE),"")</f>
        <v>00:05:27.8 (119)</v>
      </c>
      <c r="N118" s="58" t="str">
        <f>IFERROR(VLOOKUP($B118,OverallResults!$B$3:$BB$492,13,FALSE),"")</f>
        <v>00:06:20.5 (175)</v>
      </c>
      <c r="O118" s="58" t="str">
        <f>IFERROR(VLOOKUP($B118,OverallResults!$B$3:$BB$492,14,FALSE),"")</f>
        <v>DNS/DNF ()</v>
      </c>
      <c r="P118" s="58" t="str">
        <f>IFERROR(VLOOKUP($B118,OverallResults!$B$3:$BB$492,15,FALSE),"")</f>
        <v>DNS/DNF ()</v>
      </c>
      <c r="Q118" s="58" t="str">
        <f>IFERROR(VLOOKUP($B118,OverallResults!$B$3:$BB$492,16,FALSE),"")</f>
        <v>DNS/DNF ()</v>
      </c>
      <c r="R118" s="58" t="str">
        <f>IFERROR(VLOOKUP($B118,OverallResults!$B$3:$BB$492,17,FALSE),"")</f>
        <v>00:24:17.877</v>
      </c>
      <c r="S118" s="170" t="str">
        <f t="shared" si="2"/>
        <v>00:01</v>
      </c>
      <c r="T118" s="170" t="str">
        <f t="shared" si="3"/>
        <v>07:28</v>
      </c>
      <c r="U118" s="359">
        <f>IFERROR(VLOOKUP($D118,EntryList!$B$3:$S$291,18,FALSE),"")</f>
        <v>0</v>
      </c>
      <c r="V118" s="359">
        <f>IFERROR(VLOOKUP($D118,EntryList!$B$3:$S$291,17,FALSE),"")</f>
        <v>0</v>
      </c>
    </row>
    <row r="119" spans="2:22">
      <c r="B119" s="59">
        <v>114</v>
      </c>
      <c r="C119" s="59">
        <f>IFERROR(VLOOKUP($B119,OverallResults!$B$3:$Z$508,2,FALSE),"")</f>
        <v>25</v>
      </c>
      <c r="D119" s="149" t="str">
        <f>IFERROR(VLOOKUP($B119,OverallResults!$B$3:$Z$508,3,FALSE),"")</f>
        <v>Daniel Franken</v>
      </c>
      <c r="E119" s="146">
        <f>IFERROR(VLOOKUP(C119,SeriesPoints!$A$2:$B$51,2,FALSE),"")</f>
        <v>45</v>
      </c>
      <c r="F119" s="148" t="str">
        <f>IFERROR(VLOOKUP($D119,EntryList!$B$3:$V$291,21,FALSE),"")</f>
        <v>-</v>
      </c>
      <c r="G119" s="100" t="str">
        <f>IFERROR(VLOOKUP($D119,EntryList!$B$3:$N$596,5,FALSE),"")</f>
        <v>M</v>
      </c>
      <c r="H119" s="145" t="str">
        <f>IFERROR(VLOOKUP($D119,EntryList!$B$3:$N$596,6,FALSE),"")</f>
        <v>Youth Men</v>
      </c>
      <c r="I119" s="59">
        <f>IFERROR(VLOOKUP($B119,OverallResults!$B$3:$Z$492,8,FALSE),"")</f>
        <v>5</v>
      </c>
      <c r="J119" s="57" t="str">
        <f>IFERROR(VLOOKUP($B119,OverallResults!$B$3:$BB$492,9,FALSE),"")</f>
        <v>00:05:35.0 (122)</v>
      </c>
      <c r="K119" s="58" t="str">
        <f>IFERROR(VLOOKUP($B119,OverallResults!$B$3:$BB$492,10,FALSE),"")</f>
        <v>00:04:44.4 (180)</v>
      </c>
      <c r="L119" s="57" t="str">
        <f>IFERROR(VLOOKUP($B119,OverallResults!$B$3:$BB$492,11,FALSE),"")</f>
        <v>00:02:40.9 (160)</v>
      </c>
      <c r="M119" s="57" t="str">
        <f>IFERROR(VLOOKUP($B119,OverallResults!$B$3:$BB$492,12,FALSE),"")</f>
        <v>00:05:14.2 (110)</v>
      </c>
      <c r="N119" s="58" t="str">
        <f>IFERROR(VLOOKUP($B119,OverallResults!$B$3:$BB$492,13,FALSE),"")</f>
        <v>00:06:09.5 (161)</v>
      </c>
      <c r="O119" s="58" t="str">
        <f>IFERROR(VLOOKUP($B119,OverallResults!$B$3:$BB$492,14,FALSE),"")</f>
        <v>DNS/DNF ()</v>
      </c>
      <c r="P119" s="58" t="str">
        <f>IFERROR(VLOOKUP($B119,OverallResults!$B$3:$BB$492,15,FALSE),"")</f>
        <v>DNS/DNF ()</v>
      </c>
      <c r="Q119" s="58" t="str">
        <f>IFERROR(VLOOKUP($B119,OverallResults!$B$3:$BB$492,16,FALSE),"")</f>
        <v>DNS/DNF ()</v>
      </c>
      <c r="R119" s="58" t="str">
        <f>IFERROR(VLOOKUP($B119,OverallResults!$B$3:$BB$492,17,FALSE),"")</f>
        <v>00:24:23.971</v>
      </c>
      <c r="S119" s="170" t="str">
        <f t="shared" si="2"/>
        <v>00:06</v>
      </c>
      <c r="T119" s="170" t="str">
        <f t="shared" si="3"/>
        <v>07:34</v>
      </c>
      <c r="U119" s="359">
        <f>IFERROR(VLOOKUP($D119,EntryList!$B$3:$S$291,18,FALSE),"")</f>
        <v>0</v>
      </c>
      <c r="V119" s="359">
        <f>IFERROR(VLOOKUP($D119,EntryList!$B$3:$S$291,17,FALSE),"")</f>
        <v>0</v>
      </c>
    </row>
    <row r="120" spans="2:22">
      <c r="B120" s="59">
        <v>115</v>
      </c>
      <c r="C120" s="59">
        <f>IFERROR(VLOOKUP($B120,OverallResults!$B$3:$Z$508,2,FALSE),"")</f>
        <v>34</v>
      </c>
      <c r="D120" s="149" t="str">
        <f>IFERROR(VLOOKUP($B120,OverallResults!$B$3:$Z$508,3,FALSE),"")</f>
        <v>Ryan Liversage</v>
      </c>
      <c r="E120" s="146">
        <f>IFERROR(VLOOKUP(C120,SeriesPoints!$A$2:$B$51,2,FALSE),"")</f>
        <v>22</v>
      </c>
      <c r="F120" s="148" t="str">
        <f>IFERROR(VLOOKUP($D120,EntryList!$B$3:$V$291,21,FALSE),"")</f>
        <v>-</v>
      </c>
      <c r="G120" s="100" t="str">
        <f>IFERROR(VLOOKUP($D120,EntryList!$B$3:$N$596,5,FALSE),"")</f>
        <v>M</v>
      </c>
      <c r="H120" s="145" t="str">
        <f>IFERROR(VLOOKUP($D120,EntryList!$B$3:$N$596,6,FALSE),"")</f>
        <v>Master Men</v>
      </c>
      <c r="I120" s="59">
        <f>IFERROR(VLOOKUP($B120,OverallResults!$B$3:$Z$492,8,FALSE),"")</f>
        <v>5</v>
      </c>
      <c r="J120" s="57" t="str">
        <f>IFERROR(VLOOKUP($B120,OverallResults!$B$3:$BB$492,9,FALSE),"")</f>
        <v>00:05:06.1 (110)</v>
      </c>
      <c r="K120" s="58" t="str">
        <f>IFERROR(VLOOKUP($B120,OverallResults!$B$3:$BB$492,10,FALSE),"")</f>
        <v>00:04:52.4 (192)</v>
      </c>
      <c r="L120" s="57" t="str">
        <f>IFERROR(VLOOKUP($B120,OverallResults!$B$3:$BB$492,11,FALSE),"")</f>
        <v>00:02:34.7 (130)</v>
      </c>
      <c r="M120" s="57" t="str">
        <f>IFERROR(VLOOKUP($B120,OverallResults!$B$3:$BB$492,12,FALSE),"")</f>
        <v>00:05:19.6 (114)</v>
      </c>
      <c r="N120" s="58" t="str">
        <f>IFERROR(VLOOKUP($B120,OverallResults!$B$3:$BB$492,13,FALSE),"")</f>
        <v>00:06:33.9 (193)</v>
      </c>
      <c r="O120" s="58" t="str">
        <f>IFERROR(VLOOKUP($B120,OverallResults!$B$3:$BB$492,14,FALSE),"")</f>
        <v>DNS/DNF ()</v>
      </c>
      <c r="P120" s="58" t="str">
        <f>IFERROR(VLOOKUP($B120,OverallResults!$B$3:$BB$492,15,FALSE),"")</f>
        <v>DNS/DNF ()</v>
      </c>
      <c r="Q120" s="58" t="str">
        <f>IFERROR(VLOOKUP($B120,OverallResults!$B$3:$BB$492,16,FALSE),"")</f>
        <v>DNS/DNF ()</v>
      </c>
      <c r="R120" s="58" t="str">
        <f>IFERROR(VLOOKUP($B120,OverallResults!$B$3:$BB$492,17,FALSE),"")</f>
        <v>00:24:26.611</v>
      </c>
      <c r="S120" s="170" t="str">
        <f t="shared" si="2"/>
        <v>00:03</v>
      </c>
      <c r="T120" s="170" t="str">
        <f t="shared" si="3"/>
        <v>07:37</v>
      </c>
      <c r="U120" s="359">
        <f>IFERROR(VLOOKUP($D120,EntryList!$B$3:$S$291,18,FALSE),"")</f>
        <v>0</v>
      </c>
      <c r="V120" s="359">
        <f>IFERROR(VLOOKUP($D120,EntryList!$B$3:$S$291,17,FALSE),"")</f>
        <v>0</v>
      </c>
    </row>
    <row r="121" spans="2:22">
      <c r="B121" s="59">
        <v>116</v>
      </c>
      <c r="C121" s="59">
        <f>IFERROR(VLOOKUP($B121,OverallResults!$B$3:$Z$508,2,FALSE),"")</f>
        <v>27</v>
      </c>
      <c r="D121" s="149" t="str">
        <f>IFERROR(VLOOKUP($B121,OverallResults!$B$3:$Z$508,3,FALSE),"")</f>
        <v>Grant Morris</v>
      </c>
      <c r="E121" s="146">
        <f>IFERROR(VLOOKUP(C121,SeriesPoints!$A$2:$B$51,2,FALSE),"")</f>
        <v>39</v>
      </c>
      <c r="F121" s="148" t="str">
        <f>IFERROR(VLOOKUP($D121,EntryList!$B$3:$V$291,21,FALSE),"")</f>
        <v>-</v>
      </c>
      <c r="G121" s="100" t="str">
        <f>IFERROR(VLOOKUP($D121,EntryList!$B$3:$N$596,5,FALSE),"")</f>
        <v>M</v>
      </c>
      <c r="H121" s="145" t="str">
        <f>IFERROR(VLOOKUP($D121,EntryList!$B$3:$N$596,6,FALSE),"")</f>
        <v>Elite Men</v>
      </c>
      <c r="I121" s="59">
        <f>IFERROR(VLOOKUP($B121,OverallResults!$B$3:$Z$492,8,FALSE),"")</f>
        <v>5</v>
      </c>
      <c r="J121" s="57" t="str">
        <f>IFERROR(VLOOKUP($B121,OverallResults!$B$3:$BB$492,9,FALSE),"")</f>
        <v>00:06:22.4 (130)</v>
      </c>
      <c r="K121" s="58" t="str">
        <f>IFERROR(VLOOKUP($B121,OverallResults!$B$3:$BB$492,10,FALSE),"")</f>
        <v>00:04:32.8 (144)</v>
      </c>
      <c r="L121" s="57" t="str">
        <f>IFERROR(VLOOKUP($B121,OverallResults!$B$3:$BB$492,11,FALSE),"")</f>
        <v>00:02:27.7 (102)</v>
      </c>
      <c r="M121" s="57" t="str">
        <f>IFERROR(VLOOKUP($B121,OverallResults!$B$3:$BB$492,12,FALSE),"")</f>
        <v>00:05:10.6 (106)</v>
      </c>
      <c r="N121" s="58" t="str">
        <f>IFERROR(VLOOKUP($B121,OverallResults!$B$3:$BB$492,13,FALSE),"")</f>
        <v>00:05:53.7 (122)</v>
      </c>
      <c r="O121" s="58" t="str">
        <f>IFERROR(VLOOKUP($B121,OverallResults!$B$3:$BB$492,14,FALSE),"")</f>
        <v>DNS/DNF ()</v>
      </c>
      <c r="P121" s="58" t="str">
        <f>IFERROR(VLOOKUP($B121,OverallResults!$B$3:$BB$492,15,FALSE),"")</f>
        <v>DNS/DNF ()</v>
      </c>
      <c r="Q121" s="58" t="str">
        <f>IFERROR(VLOOKUP($B121,OverallResults!$B$3:$BB$492,16,FALSE),"")</f>
        <v>DNS/DNF ()</v>
      </c>
      <c r="R121" s="58" t="str">
        <f>IFERROR(VLOOKUP($B121,OverallResults!$B$3:$BB$492,17,FALSE),"")</f>
        <v>00:24:27.124</v>
      </c>
      <c r="S121" s="170" t="str">
        <f t="shared" si="2"/>
        <v>00:01</v>
      </c>
      <c r="T121" s="170" t="str">
        <f t="shared" si="3"/>
        <v>07:37</v>
      </c>
      <c r="U121" s="359">
        <f>IFERROR(VLOOKUP($D121,EntryList!$B$3:$S$291,18,FALSE),"")</f>
        <v>0</v>
      </c>
      <c r="V121" s="359">
        <f>IFERROR(VLOOKUP($D121,EntryList!$B$3:$S$291,17,FALSE),"")</f>
        <v>0</v>
      </c>
    </row>
    <row r="122" spans="2:22">
      <c r="B122" s="59">
        <v>117</v>
      </c>
      <c r="C122" s="59">
        <f>IFERROR(VLOOKUP($B122,OverallResults!$B$3:$Z$508,2,FALSE),"")</f>
        <v>35</v>
      </c>
      <c r="D122" s="149" t="str">
        <f>IFERROR(VLOOKUP($B122,OverallResults!$B$3:$Z$508,3,FALSE),"")</f>
        <v>Marc Ruwiel</v>
      </c>
      <c r="E122" s="146">
        <f>IFERROR(VLOOKUP(C122,SeriesPoints!$A$2:$B$51,2,FALSE),"")</f>
        <v>20</v>
      </c>
      <c r="F122" s="148" t="str">
        <f>IFERROR(VLOOKUP($D122,EntryList!$B$3:$V$291,21,FALSE),"")</f>
        <v>-</v>
      </c>
      <c r="G122" s="100" t="str">
        <f>IFERROR(VLOOKUP($D122,EntryList!$B$3:$N$596,5,FALSE),"")</f>
        <v>M</v>
      </c>
      <c r="H122" s="145" t="str">
        <f>IFERROR(VLOOKUP($D122,EntryList!$B$3:$N$596,6,FALSE),"")</f>
        <v>Master Men</v>
      </c>
      <c r="I122" s="59">
        <f>IFERROR(VLOOKUP($B122,OverallResults!$B$3:$Z$492,8,FALSE),"")</f>
        <v>5</v>
      </c>
      <c r="J122" s="57" t="str">
        <f>IFERROR(VLOOKUP($B122,OverallResults!$B$3:$BB$492,9,FALSE),"")</f>
        <v>00:05:40.6 (123)</v>
      </c>
      <c r="K122" s="58" t="str">
        <f>IFERROR(VLOOKUP($B122,OverallResults!$B$3:$BB$492,10,FALSE),"")</f>
        <v>00:04:37.5 (160)</v>
      </c>
      <c r="L122" s="57" t="str">
        <f>IFERROR(VLOOKUP($B122,OverallResults!$B$3:$BB$492,11,FALSE),"")</f>
        <v>00:02:52.3 (190)</v>
      </c>
      <c r="M122" s="57" t="str">
        <f>IFERROR(VLOOKUP($B122,OverallResults!$B$3:$BB$492,12,FALSE),"")</f>
        <v>00:05:28.0 (120)</v>
      </c>
      <c r="N122" s="58" t="str">
        <f>IFERROR(VLOOKUP($B122,OverallResults!$B$3:$BB$492,13,FALSE),"")</f>
        <v>00:05:58.4 (136)</v>
      </c>
      <c r="O122" s="58" t="str">
        <f>IFERROR(VLOOKUP($B122,OverallResults!$B$3:$BB$492,14,FALSE),"")</f>
        <v>DNS/DNF ()</v>
      </c>
      <c r="P122" s="58" t="str">
        <f>IFERROR(VLOOKUP($B122,OverallResults!$B$3:$BB$492,15,FALSE),"")</f>
        <v>DNS/DNF ()</v>
      </c>
      <c r="Q122" s="58" t="str">
        <f>IFERROR(VLOOKUP($B122,OverallResults!$B$3:$BB$492,16,FALSE),"")</f>
        <v>DNS/DNF ()</v>
      </c>
      <c r="R122" s="58" t="str">
        <f>IFERROR(VLOOKUP($B122,OverallResults!$B$3:$BB$492,17,FALSE),"")</f>
        <v>00:24:36.840</v>
      </c>
      <c r="S122" s="170" t="str">
        <f t="shared" si="2"/>
        <v>00:10</v>
      </c>
      <c r="T122" s="170" t="str">
        <f t="shared" si="3"/>
        <v>07:47</v>
      </c>
      <c r="U122" s="359">
        <f>IFERROR(VLOOKUP($D122,EntryList!$B$3:$S$291,18,FALSE),"")</f>
        <v>0</v>
      </c>
      <c r="V122" s="359">
        <f>IFERROR(VLOOKUP($D122,EntryList!$B$3:$S$291,17,FALSE),"")</f>
        <v>0</v>
      </c>
    </row>
    <row r="123" spans="2:22">
      <c r="B123" s="59">
        <v>118</v>
      </c>
      <c r="C123" s="59">
        <f>IFERROR(VLOOKUP($B123,OverallResults!$B$3:$Z$508,2,FALSE),"")</f>
        <v>36</v>
      </c>
      <c r="D123" s="149" t="str">
        <f>IFERROR(VLOOKUP($B123,OverallResults!$B$3:$Z$508,3,FALSE),"")</f>
        <v>Chris Kistner</v>
      </c>
      <c r="E123" s="146">
        <f>IFERROR(VLOOKUP(C123,SeriesPoints!$A$2:$B$51,2,FALSE),"")</f>
        <v>18</v>
      </c>
      <c r="F123" s="148" t="str">
        <f>IFERROR(VLOOKUP($D123,EntryList!$B$3:$V$291,21,FALSE),"")</f>
        <v>-</v>
      </c>
      <c r="G123" s="100" t="str">
        <f>IFERROR(VLOOKUP($D123,EntryList!$B$3:$N$596,5,FALSE),"")</f>
        <v>M</v>
      </c>
      <c r="H123" s="145" t="str">
        <f>IFERROR(VLOOKUP($D123,EntryList!$B$3:$N$596,6,FALSE),"")</f>
        <v>Master Men</v>
      </c>
      <c r="I123" s="59">
        <f>IFERROR(VLOOKUP($B123,OverallResults!$B$3:$Z$492,8,FALSE),"")</f>
        <v>5</v>
      </c>
      <c r="J123" s="57" t="str">
        <f>IFERROR(VLOOKUP($B123,OverallResults!$B$3:$BB$492,9,FALSE),"")</f>
        <v>00:05:59.0 (127)</v>
      </c>
      <c r="K123" s="58" t="str">
        <f>IFERROR(VLOOKUP($B123,OverallResults!$B$3:$BB$492,10,FALSE),"")</f>
        <v>00:04:30.5 (138)</v>
      </c>
      <c r="L123" s="57" t="str">
        <f>IFERROR(VLOOKUP($B123,OverallResults!$B$3:$BB$492,11,FALSE),"")</f>
        <v>00:02:39.7 (149)</v>
      </c>
      <c r="M123" s="57" t="str">
        <f>IFERROR(VLOOKUP($B123,OverallResults!$B$3:$BB$492,12,FALSE),"")</f>
        <v>00:05:19.8 (115)</v>
      </c>
      <c r="N123" s="58" t="str">
        <f>IFERROR(VLOOKUP($B123,OverallResults!$B$3:$BB$492,13,FALSE),"")</f>
        <v>00:06:09.6 (162)</v>
      </c>
      <c r="O123" s="58" t="str">
        <f>IFERROR(VLOOKUP($B123,OverallResults!$B$3:$BB$492,14,FALSE),"")</f>
        <v>DNS/DNF ()</v>
      </c>
      <c r="P123" s="58" t="str">
        <f>IFERROR(VLOOKUP($B123,OverallResults!$B$3:$BB$492,15,FALSE),"")</f>
        <v>DNS/DNF ()</v>
      </c>
      <c r="Q123" s="58" t="str">
        <f>IFERROR(VLOOKUP($B123,OverallResults!$B$3:$BB$492,16,FALSE),"")</f>
        <v>DNS/DNF ()</v>
      </c>
      <c r="R123" s="58" t="str">
        <f>IFERROR(VLOOKUP($B123,OverallResults!$B$3:$BB$492,17,FALSE),"")</f>
        <v>00:24:38.589</v>
      </c>
      <c r="S123" s="170" t="str">
        <f t="shared" si="2"/>
        <v>00:02</v>
      </c>
      <c r="T123" s="170" t="str">
        <f t="shared" si="3"/>
        <v>07:49</v>
      </c>
      <c r="U123" s="359">
        <f>IFERROR(VLOOKUP($D123,EntryList!$B$3:$S$291,18,FALSE),"")</f>
        <v>0</v>
      </c>
      <c r="V123" s="359">
        <f>IFERROR(VLOOKUP($D123,EntryList!$B$3:$S$291,17,FALSE),"")</f>
        <v>0</v>
      </c>
    </row>
    <row r="124" spans="2:22">
      <c r="B124" s="59">
        <v>119</v>
      </c>
      <c r="C124" s="59">
        <f>IFERROR(VLOOKUP($B124,OverallResults!$B$3:$Z$508,2,FALSE),"")</f>
        <v>28</v>
      </c>
      <c r="D124" s="149" t="str">
        <f>IFERROR(VLOOKUP($B124,OverallResults!$B$3:$Z$508,3,FALSE),"")</f>
        <v>Rory Butler</v>
      </c>
      <c r="E124" s="146">
        <f>IFERROR(VLOOKUP(C124,SeriesPoints!$A$2:$B$51,2,FALSE),"")</f>
        <v>36</v>
      </c>
      <c r="F124" s="148" t="str">
        <f>IFERROR(VLOOKUP($D124,EntryList!$B$3:$V$291,21,FALSE),"")</f>
        <v>-</v>
      </c>
      <c r="G124" s="100" t="str">
        <f>IFERROR(VLOOKUP($D124,EntryList!$B$3:$N$596,5,FALSE),"")</f>
        <v>M</v>
      </c>
      <c r="H124" s="145" t="str">
        <f>IFERROR(VLOOKUP($D124,EntryList!$B$3:$N$596,6,FALSE),"")</f>
        <v>Elite Men</v>
      </c>
      <c r="I124" s="59">
        <f>IFERROR(VLOOKUP($B124,OverallResults!$B$3:$Z$492,8,FALSE),"")</f>
        <v>5</v>
      </c>
      <c r="J124" s="57" t="str">
        <f>IFERROR(VLOOKUP($B124,OverallResults!$B$3:$BB$492,9,FALSE),"")</f>
        <v>00:05:12.4 (114)</v>
      </c>
      <c r="K124" s="58" t="str">
        <f>IFERROR(VLOOKUP($B124,OverallResults!$B$3:$BB$492,10,FALSE),"")</f>
        <v>00:04:49.4 (188)</v>
      </c>
      <c r="L124" s="57" t="str">
        <f>IFERROR(VLOOKUP($B124,OverallResults!$B$3:$BB$492,11,FALSE),"")</f>
        <v>00:02:41.6 (164)</v>
      </c>
      <c r="M124" s="57" t="str">
        <f>IFERROR(VLOOKUP($B124,OverallResults!$B$3:$BB$492,12,FALSE),"")</f>
        <v>00:05:36.3 (124)</v>
      </c>
      <c r="N124" s="58" t="str">
        <f>IFERROR(VLOOKUP($B124,OverallResults!$B$3:$BB$492,13,FALSE),"")</f>
        <v>00:06:25.8 (182)</v>
      </c>
      <c r="O124" s="58" t="str">
        <f>IFERROR(VLOOKUP($B124,OverallResults!$B$3:$BB$492,14,FALSE),"")</f>
        <v>DNS/DNF ()</v>
      </c>
      <c r="P124" s="58" t="str">
        <f>IFERROR(VLOOKUP($B124,OverallResults!$B$3:$BB$492,15,FALSE),"")</f>
        <v>DNS/DNF ()</v>
      </c>
      <c r="Q124" s="58" t="str">
        <f>IFERROR(VLOOKUP($B124,OverallResults!$B$3:$BB$492,16,FALSE),"")</f>
        <v>DNS/DNF ()</v>
      </c>
      <c r="R124" s="58" t="str">
        <f>IFERROR(VLOOKUP($B124,OverallResults!$B$3:$BB$492,17,FALSE),"")</f>
        <v>00:24:45.518</v>
      </c>
      <c r="S124" s="170" t="str">
        <f t="shared" si="2"/>
        <v>00:07</v>
      </c>
      <c r="T124" s="170" t="str">
        <f t="shared" si="3"/>
        <v>07:55</v>
      </c>
      <c r="U124" s="359">
        <f>IFERROR(VLOOKUP($D124,EntryList!$B$3:$S$291,18,FALSE),"")</f>
        <v>0</v>
      </c>
      <c r="V124" s="359">
        <f>IFERROR(VLOOKUP($D124,EntryList!$B$3:$S$291,17,FALSE),"")</f>
        <v>0</v>
      </c>
    </row>
    <row r="125" spans="2:22">
      <c r="B125" s="59">
        <v>120</v>
      </c>
      <c r="C125" s="59">
        <f>IFERROR(VLOOKUP($B125,OverallResults!$B$3:$Z$508,2,FALSE),"")</f>
        <v>37</v>
      </c>
      <c r="D125" s="149" t="str">
        <f>IFERROR(VLOOKUP($B125,OverallResults!$B$3:$Z$508,3,FALSE),"")</f>
        <v>Andrew Henwood</v>
      </c>
      <c r="E125" s="146">
        <f>IFERROR(VLOOKUP(C125,SeriesPoints!$A$2:$B$51,2,FALSE),"")</f>
        <v>16</v>
      </c>
      <c r="F125" s="148" t="str">
        <f>IFERROR(VLOOKUP($D125,EntryList!$B$3:$V$291,21,FALSE),"")</f>
        <v>-</v>
      </c>
      <c r="G125" s="100" t="str">
        <f>IFERROR(VLOOKUP($D125,EntryList!$B$3:$N$596,5,FALSE),"")</f>
        <v>M</v>
      </c>
      <c r="H125" s="145" t="str">
        <f>IFERROR(VLOOKUP($D125,EntryList!$B$3:$N$596,6,FALSE),"")</f>
        <v>Master Men</v>
      </c>
      <c r="I125" s="59">
        <f>IFERROR(VLOOKUP($B125,OverallResults!$B$3:$Z$492,8,FALSE),"")</f>
        <v>5</v>
      </c>
      <c r="J125" s="57" t="str">
        <f>IFERROR(VLOOKUP($B125,OverallResults!$B$3:$BB$492,9,FALSE),"")</f>
        <v>00:06:05.2 (128)</v>
      </c>
      <c r="K125" s="58" t="str">
        <f>IFERROR(VLOOKUP($B125,OverallResults!$B$3:$BB$492,10,FALSE),"")</f>
        <v>00:05:03.2 (205)</v>
      </c>
      <c r="L125" s="57" t="str">
        <f>IFERROR(VLOOKUP($B125,OverallResults!$B$3:$BB$492,11,FALSE),"")</f>
        <v>00:02:54.1 (193)</v>
      </c>
      <c r="M125" s="57" t="str">
        <f>IFERROR(VLOOKUP($B125,OverallResults!$B$3:$BB$492,12,FALSE),"")</f>
        <v>00:05:33.3 (122)</v>
      </c>
      <c r="N125" s="58" t="str">
        <f>IFERROR(VLOOKUP($B125,OverallResults!$B$3:$BB$492,13,FALSE),"")</f>
        <v>00:06:15.8 (170)</v>
      </c>
      <c r="O125" s="58" t="str">
        <f>IFERROR(VLOOKUP($B125,OverallResults!$B$3:$BB$492,14,FALSE),"")</f>
        <v>DNS/DNF ()</v>
      </c>
      <c r="P125" s="58" t="str">
        <f>IFERROR(VLOOKUP($B125,OverallResults!$B$3:$BB$492,15,FALSE),"")</f>
        <v>DNS/DNF ()</v>
      </c>
      <c r="Q125" s="58" t="str">
        <f>IFERROR(VLOOKUP($B125,OverallResults!$B$3:$BB$492,16,FALSE),"")</f>
        <v>DNS/DNF ()</v>
      </c>
      <c r="R125" s="58" t="str">
        <f>IFERROR(VLOOKUP($B125,OverallResults!$B$3:$BB$492,17,FALSE),"")</f>
        <v>00:25:51.566</v>
      </c>
      <c r="S125" s="170" t="str">
        <f t="shared" si="2"/>
        <v>01:06</v>
      </c>
      <c r="T125" s="170" t="str">
        <f t="shared" si="3"/>
        <v>09:02</v>
      </c>
      <c r="U125" s="359">
        <f>IFERROR(VLOOKUP($D125,EntryList!$B$3:$S$291,18,FALSE),"")</f>
        <v>0</v>
      </c>
      <c r="V125" s="359">
        <f>IFERROR(VLOOKUP($D125,EntryList!$B$3:$S$291,17,FALSE),"")</f>
        <v>0</v>
      </c>
    </row>
    <row r="126" spans="2:22">
      <c r="B126" s="59">
        <v>121</v>
      </c>
      <c r="C126" s="59">
        <f>IFERROR(VLOOKUP($B126,OverallResults!$B$3:$Z$508,2,FALSE),"")</f>
        <v>38</v>
      </c>
      <c r="D126" s="149" t="str">
        <f>IFERROR(VLOOKUP($B126,OverallResults!$B$3:$Z$508,3,FALSE),"")</f>
        <v>Jedri Visser</v>
      </c>
      <c r="E126" s="146">
        <f>IFERROR(VLOOKUP(C126,SeriesPoints!$A$2:$B$51,2,FALSE),"")</f>
        <v>14</v>
      </c>
      <c r="F126" s="148" t="str">
        <f>IFERROR(VLOOKUP($D126,EntryList!$B$3:$V$291,21,FALSE),"")</f>
        <v>-</v>
      </c>
      <c r="G126" s="100" t="str">
        <f>IFERROR(VLOOKUP($D126,EntryList!$B$3:$N$596,5,FALSE),"")</f>
        <v>M</v>
      </c>
      <c r="H126" s="145" t="str">
        <f>IFERROR(VLOOKUP($D126,EntryList!$B$3:$N$596,6,FALSE),"")</f>
        <v>Master Men</v>
      </c>
      <c r="I126" s="59">
        <f>IFERROR(VLOOKUP($B126,OverallResults!$B$3:$Z$492,8,FALSE),"")</f>
        <v>5</v>
      </c>
      <c r="J126" s="57" t="str">
        <f>IFERROR(VLOOKUP($B126,OverallResults!$B$3:$BB$492,9,FALSE),"")</f>
        <v>00:05:46.3 (125)</v>
      </c>
      <c r="K126" s="58" t="str">
        <f>IFERROR(VLOOKUP($B126,OverallResults!$B$3:$BB$492,10,FALSE),"")</f>
        <v>00:05:11.3 (212)</v>
      </c>
      <c r="L126" s="57" t="str">
        <f>IFERROR(VLOOKUP($B126,OverallResults!$B$3:$BB$492,11,FALSE),"")</f>
        <v>00:03:02.8 (211)</v>
      </c>
      <c r="M126" s="57" t="str">
        <f>IFERROR(VLOOKUP($B126,OverallResults!$B$3:$BB$492,12,FALSE),"")</f>
        <v>00:05:34.5 (123)</v>
      </c>
      <c r="N126" s="58" t="str">
        <f>IFERROR(VLOOKUP($B126,OverallResults!$B$3:$BB$492,13,FALSE),"")</f>
        <v>00:06:17.5 (172)</v>
      </c>
      <c r="O126" s="58" t="str">
        <f>IFERROR(VLOOKUP($B126,OverallResults!$B$3:$BB$492,14,FALSE),"")</f>
        <v>DNS/DNF ()</v>
      </c>
      <c r="P126" s="58" t="str">
        <f>IFERROR(VLOOKUP($B126,OverallResults!$B$3:$BB$492,15,FALSE),"")</f>
        <v>DNS/DNF ()</v>
      </c>
      <c r="Q126" s="58" t="str">
        <f>IFERROR(VLOOKUP($B126,OverallResults!$B$3:$BB$492,16,FALSE),"")</f>
        <v>DNS/DNF ()</v>
      </c>
      <c r="R126" s="58" t="str">
        <f>IFERROR(VLOOKUP($B126,OverallResults!$B$3:$BB$492,17,FALSE),"")</f>
        <v>00:25:52.568</v>
      </c>
      <c r="S126" s="170" t="str">
        <f t="shared" si="2"/>
        <v>00:01</v>
      </c>
      <c r="T126" s="170" t="str">
        <f t="shared" si="3"/>
        <v>09:03</v>
      </c>
      <c r="U126" s="359">
        <f>IFERROR(VLOOKUP($D126,EntryList!$B$3:$S$291,18,FALSE),"")</f>
        <v>0</v>
      </c>
      <c r="V126" s="359">
        <f>IFERROR(VLOOKUP($D126,EntryList!$B$3:$S$291,17,FALSE),"")</f>
        <v>0</v>
      </c>
    </row>
    <row r="127" spans="2:22">
      <c r="B127" s="59">
        <v>122</v>
      </c>
      <c r="C127" s="59">
        <f>IFERROR(VLOOKUP($B127,OverallResults!$B$3:$Z$508,2,FALSE),"")</f>
        <v>15</v>
      </c>
      <c r="D127" s="149" t="str">
        <f>IFERROR(VLOOKUP($B127,OverallResults!$B$3:$Z$508,3,FALSE),"")</f>
        <v>Conner Morrison</v>
      </c>
      <c r="E127" s="146">
        <f>IFERROR(VLOOKUP(C127,SeriesPoints!$A$2:$B$51,2,FALSE),"")</f>
        <v>80</v>
      </c>
      <c r="F127" s="148" t="str">
        <f>IFERROR(VLOOKUP($D127,EntryList!$B$3:$V$291,21,FALSE),"")</f>
        <v>-</v>
      </c>
      <c r="G127" s="100" t="str">
        <f>IFERROR(VLOOKUP($D127,EntryList!$B$3:$N$596,5,FALSE),"")</f>
        <v>M</v>
      </c>
      <c r="H127" s="145" t="str">
        <f>IFERROR(VLOOKUP($D127,EntryList!$B$3:$N$596,6,FALSE),"")</f>
        <v>E-Bike M</v>
      </c>
      <c r="I127" s="59">
        <f>IFERROR(VLOOKUP($B127,OverallResults!$B$3:$Z$492,8,FALSE),"")</f>
        <v>5</v>
      </c>
      <c r="J127" s="57" t="str">
        <f>IFERROR(VLOOKUP($B127,OverallResults!$B$3:$BB$492,9,FALSE),"")</f>
        <v>00:08:00.5 (137)</v>
      </c>
      <c r="K127" s="58" t="str">
        <f>IFERROR(VLOOKUP($B127,OverallResults!$B$3:$BB$492,10,FALSE),"")</f>
        <v>00:03:53.0 (45)</v>
      </c>
      <c r="L127" s="57" t="str">
        <f>IFERROR(VLOOKUP($B127,OverallResults!$B$3:$BB$492,11,FALSE),"")</f>
        <v>00:02:11.3 (53)</v>
      </c>
      <c r="M127" s="57" t="str">
        <f>IFERROR(VLOOKUP($B127,OverallResults!$B$3:$BB$492,12,FALSE),"")</f>
        <v>00:04:07.8 (27)</v>
      </c>
      <c r="N127" s="58" t="str">
        <f>IFERROR(VLOOKUP($B127,OverallResults!$B$3:$BB$492,13,FALSE),"")</f>
        <v>00:07:53.8 (237)</v>
      </c>
      <c r="O127" s="58" t="str">
        <f>IFERROR(VLOOKUP($B127,OverallResults!$B$3:$BB$492,14,FALSE),"")</f>
        <v>DNS/DNF ()</v>
      </c>
      <c r="P127" s="58" t="str">
        <f>IFERROR(VLOOKUP($B127,OverallResults!$B$3:$BB$492,15,FALSE),"")</f>
        <v>DNS/DNF ()</v>
      </c>
      <c r="Q127" s="58" t="str">
        <f>IFERROR(VLOOKUP($B127,OverallResults!$B$3:$BB$492,16,FALSE),"")</f>
        <v>DNS/DNF ()</v>
      </c>
      <c r="R127" s="58" t="str">
        <f>IFERROR(VLOOKUP($B127,OverallResults!$B$3:$BB$492,17,FALSE),"")</f>
        <v>00:26:06.502</v>
      </c>
      <c r="S127" s="170" t="str">
        <f t="shared" si="2"/>
        <v>00:14</v>
      </c>
      <c r="T127" s="170" t="str">
        <f t="shared" si="3"/>
        <v>09:16</v>
      </c>
      <c r="U127" s="359">
        <f>IFERROR(VLOOKUP($D127,EntryList!$B$3:$S$291,18,FALSE),"")</f>
        <v>0</v>
      </c>
      <c r="V127" s="359">
        <f>IFERROR(VLOOKUP($D127,EntryList!$B$3:$S$291,17,FALSE),"")</f>
        <v>0</v>
      </c>
    </row>
    <row r="128" spans="2:22">
      <c r="B128" s="59">
        <v>123</v>
      </c>
      <c r="C128" s="59">
        <f>IFERROR(VLOOKUP($B128,OverallResults!$B$3:$Z$508,2,FALSE),"")</f>
        <v>16</v>
      </c>
      <c r="D128" s="149" t="str">
        <f>IFERROR(VLOOKUP($B128,OverallResults!$B$3:$Z$508,3,FALSE),"")</f>
        <v>Pieter Venter Snr</v>
      </c>
      <c r="E128" s="146">
        <f>IFERROR(VLOOKUP(C128,SeriesPoints!$A$2:$B$51,2,FALSE),"")</f>
        <v>76</v>
      </c>
      <c r="F128" s="148" t="str">
        <f>IFERROR(VLOOKUP($D128,EntryList!$B$3:$V$291,21,FALSE),"")</f>
        <v>-</v>
      </c>
      <c r="G128" s="100" t="str">
        <f>IFERROR(VLOOKUP($D128,EntryList!$B$3:$N$596,5,FALSE),"")</f>
        <v>M</v>
      </c>
      <c r="H128" s="145" t="str">
        <f>IFERROR(VLOOKUP($D128,EntryList!$B$3:$N$596,6,FALSE),"")</f>
        <v>E-Bike M</v>
      </c>
      <c r="I128" s="59">
        <f>IFERROR(VLOOKUP($B128,OverallResults!$B$3:$Z$492,8,FALSE),"")</f>
        <v>5</v>
      </c>
      <c r="J128" s="57" t="str">
        <f>IFERROR(VLOOKUP($B128,OverallResults!$B$3:$BB$492,9,FALSE),"")</f>
        <v>00:07:55.8 (136)</v>
      </c>
      <c r="K128" s="58" t="str">
        <f>IFERROR(VLOOKUP($B128,OverallResults!$B$3:$BB$492,10,FALSE),"")</f>
        <v>00:04:27.8 (130)</v>
      </c>
      <c r="L128" s="57" t="str">
        <f>IFERROR(VLOOKUP($B128,OverallResults!$B$3:$BB$492,11,FALSE),"")</f>
        <v>00:02:48.6 (182)</v>
      </c>
      <c r="M128" s="57" t="str">
        <f>IFERROR(VLOOKUP($B128,OverallResults!$B$3:$BB$492,12,FALSE),"")</f>
        <v>00:05:06.6 (103)</v>
      </c>
      <c r="N128" s="58" t="str">
        <f>IFERROR(VLOOKUP($B128,OverallResults!$B$3:$BB$492,13,FALSE),"")</f>
        <v>00:05:51.9 (114)</v>
      </c>
      <c r="O128" s="58" t="str">
        <f>IFERROR(VLOOKUP($B128,OverallResults!$B$3:$BB$492,14,FALSE),"")</f>
        <v>DNS/DNF ()</v>
      </c>
      <c r="P128" s="58" t="str">
        <f>IFERROR(VLOOKUP($B128,OverallResults!$B$3:$BB$492,15,FALSE),"")</f>
        <v>DNS/DNF ()</v>
      </c>
      <c r="Q128" s="58" t="str">
        <f>IFERROR(VLOOKUP($B128,OverallResults!$B$3:$BB$492,16,FALSE),"")</f>
        <v>DNS/DNF ()</v>
      </c>
      <c r="R128" s="58" t="str">
        <f>IFERROR(VLOOKUP($B128,OverallResults!$B$3:$BB$492,17,FALSE),"")</f>
        <v>00:26:10.679</v>
      </c>
      <c r="S128" s="170" t="str">
        <f t="shared" si="2"/>
        <v>00:04</v>
      </c>
      <c r="T128" s="170" t="str">
        <f t="shared" si="3"/>
        <v>09:21</v>
      </c>
      <c r="U128" s="359">
        <f>IFERROR(VLOOKUP($D128,EntryList!$B$3:$S$291,18,FALSE),"")</f>
        <v>0</v>
      </c>
      <c r="V128" s="359">
        <f>IFERROR(VLOOKUP($D128,EntryList!$B$3:$S$291,17,FALSE),"")</f>
        <v>0</v>
      </c>
    </row>
    <row r="129" spans="2:22">
      <c r="B129" s="59">
        <v>124</v>
      </c>
      <c r="C129" s="59">
        <f>IFERROR(VLOOKUP($B129,OverallResults!$B$3:$Z$508,2,FALSE),"")</f>
        <v>26</v>
      </c>
      <c r="D129" s="149" t="str">
        <f>IFERROR(VLOOKUP($B129,OverallResults!$B$3:$Z$508,3,FALSE),"")</f>
        <v>Tristan Harley</v>
      </c>
      <c r="E129" s="146">
        <f>IFERROR(VLOOKUP(C129,SeriesPoints!$A$2:$B$51,2,FALSE),"")</f>
        <v>42</v>
      </c>
      <c r="F129" s="148" t="str">
        <f>IFERROR(VLOOKUP($D129,EntryList!$B$3:$V$291,21,FALSE),"")</f>
        <v>-</v>
      </c>
      <c r="G129" s="100" t="str">
        <f>IFERROR(VLOOKUP($D129,EntryList!$B$3:$N$596,5,FALSE),"")</f>
        <v>M</v>
      </c>
      <c r="H129" s="145" t="str">
        <f>IFERROR(VLOOKUP($D129,EntryList!$B$3:$N$596,6,FALSE),"")</f>
        <v>Youth Men</v>
      </c>
      <c r="I129" s="59">
        <f>IFERROR(VLOOKUP($B129,OverallResults!$B$3:$Z$492,8,FALSE),"")</f>
        <v>5</v>
      </c>
      <c r="J129" s="57" t="str">
        <f>IFERROR(VLOOKUP($B129,OverallResults!$B$3:$BB$492,9,FALSE),"")</f>
        <v>00:06:54.7 (134)</v>
      </c>
      <c r="K129" s="58" t="str">
        <f>IFERROR(VLOOKUP($B129,OverallResults!$B$3:$BB$492,10,FALSE),"")</f>
        <v>00:04:33.5 (149)</v>
      </c>
      <c r="L129" s="57" t="str">
        <f>IFERROR(VLOOKUP($B129,OverallResults!$B$3:$BB$492,11,FALSE),"")</f>
        <v>00:02:49.8 (186)</v>
      </c>
      <c r="M129" s="57" t="str">
        <f>IFERROR(VLOOKUP($B129,OverallResults!$B$3:$BB$492,12,FALSE),"")</f>
        <v>00:05:52.0 (128)</v>
      </c>
      <c r="N129" s="58" t="str">
        <f>IFERROR(VLOOKUP($B129,OverallResults!$B$3:$BB$492,13,FALSE),"")</f>
        <v>00:06:10.9 (163)</v>
      </c>
      <c r="O129" s="58" t="str">
        <f>IFERROR(VLOOKUP($B129,OverallResults!$B$3:$BB$492,14,FALSE),"")</f>
        <v>DNS/DNF ()</v>
      </c>
      <c r="P129" s="58" t="str">
        <f>IFERROR(VLOOKUP($B129,OverallResults!$B$3:$BB$492,15,FALSE),"")</f>
        <v>DNS/DNF ()</v>
      </c>
      <c r="Q129" s="58" t="str">
        <f>IFERROR(VLOOKUP($B129,OverallResults!$B$3:$BB$492,16,FALSE),"")</f>
        <v>DNS/DNF ()</v>
      </c>
      <c r="R129" s="58" t="str">
        <f>IFERROR(VLOOKUP($B129,OverallResults!$B$3:$BB$492,17,FALSE),"")</f>
        <v>00:26:20.922</v>
      </c>
      <c r="S129" s="170" t="str">
        <f t="shared" si="2"/>
        <v>00:10</v>
      </c>
      <c r="T129" s="170" t="str">
        <f t="shared" si="3"/>
        <v>09:31</v>
      </c>
      <c r="U129" s="359">
        <f>IFERROR(VLOOKUP($D129,EntryList!$B$3:$S$291,18,FALSE),"")</f>
        <v>0</v>
      </c>
      <c r="V129" s="359">
        <f>IFERROR(VLOOKUP($D129,EntryList!$B$3:$S$291,17,FALSE),"")</f>
        <v>0</v>
      </c>
    </row>
    <row r="130" spans="2:22">
      <c r="B130" s="59">
        <v>125</v>
      </c>
      <c r="C130" s="59">
        <f>IFERROR(VLOOKUP($B130,OverallResults!$B$3:$Z$508,2,FALSE),"")</f>
        <v>17</v>
      </c>
      <c r="D130" s="149" t="str">
        <f>IFERROR(VLOOKUP($B130,OverallResults!$B$3:$Z$508,3,FALSE),"")</f>
        <v>Max Sullivan</v>
      </c>
      <c r="E130" s="146">
        <f>IFERROR(VLOOKUP(C130,SeriesPoints!$A$2:$B$51,2,FALSE),"")</f>
        <v>72</v>
      </c>
      <c r="F130" s="148" t="str">
        <f>IFERROR(VLOOKUP($D130,EntryList!$B$3:$V$291,21,FALSE),"")</f>
        <v>-</v>
      </c>
      <c r="G130" s="100" t="str">
        <f>IFERROR(VLOOKUP($D130,EntryList!$B$3:$N$596,5,FALSE),"")</f>
        <v>M</v>
      </c>
      <c r="H130" s="145" t="str">
        <f>IFERROR(VLOOKUP($D130,EntryList!$B$3:$N$596,6,FALSE),"")</f>
        <v>E-Bike M</v>
      </c>
      <c r="I130" s="59">
        <f>IFERROR(VLOOKUP($B130,OverallResults!$B$3:$Z$492,8,FALSE),"")</f>
        <v>5</v>
      </c>
      <c r="J130" s="57" t="str">
        <f>IFERROR(VLOOKUP($B130,OverallResults!$B$3:$BB$492,9,FALSE),"")</f>
        <v>00:12:02.1 (141)</v>
      </c>
      <c r="K130" s="58" t="str">
        <f>IFERROR(VLOOKUP($B130,OverallResults!$B$3:$BB$492,10,FALSE),"")</f>
        <v>00:03:32.6 (9)</v>
      </c>
      <c r="L130" s="57" t="str">
        <f>IFERROR(VLOOKUP($B130,OverallResults!$B$3:$BB$492,11,FALSE),"")</f>
        <v>00:01:55.8 (5)</v>
      </c>
      <c r="M130" s="57" t="str">
        <f>IFERROR(VLOOKUP($B130,OverallResults!$B$3:$BB$492,12,FALSE),"")</f>
        <v>00:03:46.4 (3)</v>
      </c>
      <c r="N130" s="58" t="str">
        <f>IFERROR(VLOOKUP($B130,OverallResults!$B$3:$BB$492,13,FALSE),"")</f>
        <v>00:05:09.1 (30)</v>
      </c>
      <c r="O130" s="58" t="str">
        <f>IFERROR(VLOOKUP($B130,OverallResults!$B$3:$BB$492,14,FALSE),"")</f>
        <v>DNS/DNF ()</v>
      </c>
      <c r="P130" s="58" t="str">
        <f>IFERROR(VLOOKUP($B130,OverallResults!$B$3:$BB$492,15,FALSE),"")</f>
        <v>DNS/DNF ()</v>
      </c>
      <c r="Q130" s="58" t="str">
        <f>IFERROR(VLOOKUP($B130,OverallResults!$B$3:$BB$492,16,FALSE),"")</f>
        <v>DNS/DNF ()</v>
      </c>
      <c r="R130" s="58" t="str">
        <f>IFERROR(VLOOKUP($B130,OverallResults!$B$3:$BB$492,17,FALSE),"")</f>
        <v>00:26:25.993</v>
      </c>
      <c r="S130" s="170" t="str">
        <f t="shared" si="2"/>
        <v>00:05</v>
      </c>
      <c r="T130" s="170" t="str">
        <f t="shared" si="3"/>
        <v>09:36</v>
      </c>
      <c r="U130" s="359">
        <f>IFERROR(VLOOKUP($D130,EntryList!$B$3:$S$291,18,FALSE),"")</f>
        <v>0</v>
      </c>
      <c r="V130" s="359">
        <f>IFERROR(VLOOKUP($D130,EntryList!$B$3:$S$291,17,FALSE),"")</f>
        <v>0</v>
      </c>
    </row>
    <row r="131" spans="2:22">
      <c r="B131" s="59">
        <v>126</v>
      </c>
      <c r="C131" s="59">
        <f>IFERROR(VLOOKUP($B131,OverallResults!$B$3:$Z$508,2,FALSE),"")</f>
        <v>29</v>
      </c>
      <c r="D131" s="149" t="str">
        <f>IFERROR(VLOOKUP($B131,OverallResults!$B$3:$Z$508,3,FALSE),"")</f>
        <v>Marc Van Der Meer</v>
      </c>
      <c r="E131" s="146">
        <f>IFERROR(VLOOKUP(C131,SeriesPoints!$A$2:$B$51,2,FALSE),"")</f>
        <v>33</v>
      </c>
      <c r="F131" s="148" t="str">
        <f>IFERROR(VLOOKUP($D131,EntryList!$B$3:$V$291,21,FALSE),"")</f>
        <v>-</v>
      </c>
      <c r="G131" s="100" t="str">
        <f>IFERROR(VLOOKUP($D131,EntryList!$B$3:$N$596,5,FALSE),"")</f>
        <v>M</v>
      </c>
      <c r="H131" s="145" t="str">
        <f>IFERROR(VLOOKUP($D131,EntryList!$B$3:$N$596,6,FALSE),"")</f>
        <v>Elite Men</v>
      </c>
      <c r="I131" s="59">
        <f>IFERROR(VLOOKUP($B131,OverallResults!$B$3:$Z$492,8,FALSE),"")</f>
        <v>5</v>
      </c>
      <c r="J131" s="57" t="str">
        <f>IFERROR(VLOOKUP($B131,OverallResults!$B$3:$BB$492,9,FALSE),"")</f>
        <v>00:06:47.2 (133)</v>
      </c>
      <c r="K131" s="58" t="str">
        <f>IFERROR(VLOOKUP($B131,OverallResults!$B$3:$BB$492,10,FALSE),"")</f>
        <v>00:04:56.6 (198)</v>
      </c>
      <c r="L131" s="57" t="str">
        <f>IFERROR(VLOOKUP($B131,OverallResults!$B$3:$BB$492,11,FALSE),"")</f>
        <v>00:02:44.0 (173)</v>
      </c>
      <c r="M131" s="57" t="str">
        <f>IFERROR(VLOOKUP($B131,OverallResults!$B$3:$BB$492,12,FALSE),"")</f>
        <v>00:05:50.6 (127)</v>
      </c>
      <c r="N131" s="58" t="str">
        <f>IFERROR(VLOOKUP($B131,OverallResults!$B$3:$BB$492,13,FALSE),"")</f>
        <v>00:06:43.4 (205)</v>
      </c>
      <c r="O131" s="58" t="str">
        <f>IFERROR(VLOOKUP($B131,OverallResults!$B$3:$BB$492,14,FALSE),"")</f>
        <v>DNS/DNF ()</v>
      </c>
      <c r="P131" s="58" t="str">
        <f>IFERROR(VLOOKUP($B131,OverallResults!$B$3:$BB$492,15,FALSE),"")</f>
        <v>DNS/DNF ()</v>
      </c>
      <c r="Q131" s="58" t="str">
        <f>IFERROR(VLOOKUP($B131,OverallResults!$B$3:$BB$492,16,FALSE),"")</f>
        <v>DNS/DNF ()</v>
      </c>
      <c r="R131" s="58" t="str">
        <f>IFERROR(VLOOKUP($B131,OverallResults!$B$3:$BB$492,17,FALSE),"")</f>
        <v>00:27:01.867</v>
      </c>
      <c r="S131" s="170" t="str">
        <f t="shared" si="2"/>
        <v>00:36</v>
      </c>
      <c r="T131" s="170" t="str">
        <f t="shared" si="3"/>
        <v>10:12</v>
      </c>
      <c r="U131" s="359">
        <f>IFERROR(VLOOKUP($D131,EntryList!$B$3:$S$291,18,FALSE),"")</f>
        <v>0</v>
      </c>
      <c r="V131" s="359">
        <f>IFERROR(VLOOKUP($D131,EntryList!$B$3:$S$291,17,FALSE),"")</f>
        <v>0</v>
      </c>
    </row>
    <row r="132" spans="2:22">
      <c r="B132" s="59">
        <v>127</v>
      </c>
      <c r="C132" s="59">
        <f>IFERROR(VLOOKUP($B132,OverallResults!$B$3:$Z$508,2,FALSE),"")</f>
        <v>39</v>
      </c>
      <c r="D132" s="149" t="str">
        <f>IFERROR(VLOOKUP($B132,OverallResults!$B$3:$Z$508,3,FALSE),"")</f>
        <v>Nicholas Thompson</v>
      </c>
      <c r="E132" s="146">
        <f>IFERROR(VLOOKUP(C132,SeriesPoints!$A$2:$B$51,2,FALSE),"")</f>
        <v>12</v>
      </c>
      <c r="F132" s="148" t="str">
        <f>IFERROR(VLOOKUP($D132,EntryList!$B$3:$V$291,21,FALSE),"")</f>
        <v>-</v>
      </c>
      <c r="G132" s="100" t="str">
        <f>IFERROR(VLOOKUP($D132,EntryList!$B$3:$N$596,5,FALSE),"")</f>
        <v>M</v>
      </c>
      <c r="H132" s="145" t="str">
        <f>IFERROR(VLOOKUP($D132,EntryList!$B$3:$N$596,6,FALSE),"")</f>
        <v>Master Men</v>
      </c>
      <c r="I132" s="59">
        <f>IFERROR(VLOOKUP($B132,OverallResults!$B$3:$Z$492,8,FALSE),"")</f>
        <v>5</v>
      </c>
      <c r="J132" s="57" t="str">
        <f>IFERROR(VLOOKUP($B132,OverallResults!$B$3:$BB$492,9,FALSE),"")</f>
        <v>00:06:17.4 (129)</v>
      </c>
      <c r="K132" s="58" t="str">
        <f>IFERROR(VLOOKUP($B132,OverallResults!$B$3:$BB$492,10,FALSE),"")</f>
        <v>00:04:53.3 (193)</v>
      </c>
      <c r="L132" s="57" t="str">
        <f>IFERROR(VLOOKUP($B132,OverallResults!$B$3:$BB$492,11,FALSE),"")</f>
        <v>00:03:08.8 (215)</v>
      </c>
      <c r="M132" s="57" t="str">
        <f>IFERROR(VLOOKUP($B132,OverallResults!$B$3:$BB$492,12,FALSE),"")</f>
        <v>00:06:22.1 (132)</v>
      </c>
      <c r="N132" s="58" t="str">
        <f>IFERROR(VLOOKUP($B132,OverallResults!$B$3:$BB$492,13,FALSE),"")</f>
        <v>00:06:48.7 (211)</v>
      </c>
      <c r="O132" s="58" t="str">
        <f>IFERROR(VLOOKUP($B132,OverallResults!$B$3:$BB$492,14,FALSE),"")</f>
        <v>DNS/DNF ()</v>
      </c>
      <c r="P132" s="58" t="str">
        <f>IFERROR(VLOOKUP($B132,OverallResults!$B$3:$BB$492,15,FALSE),"")</f>
        <v>DNS/DNF ()</v>
      </c>
      <c r="Q132" s="58" t="str">
        <f>IFERROR(VLOOKUP($B132,OverallResults!$B$3:$BB$492,16,FALSE),"")</f>
        <v>DNS/DNF ()</v>
      </c>
      <c r="R132" s="58" t="str">
        <f>IFERROR(VLOOKUP($B132,OverallResults!$B$3:$BB$492,17,FALSE),"")</f>
        <v>00:27:30.289</v>
      </c>
      <c r="S132" s="170" t="str">
        <f t="shared" si="2"/>
        <v>00:28</v>
      </c>
      <c r="T132" s="170" t="str">
        <f t="shared" si="3"/>
        <v>10:40</v>
      </c>
      <c r="U132" s="359">
        <f>IFERROR(VLOOKUP($D132,EntryList!$B$3:$S$291,18,FALSE),"")</f>
        <v>0</v>
      </c>
      <c r="V132" s="359">
        <f>IFERROR(VLOOKUP($D132,EntryList!$B$3:$S$291,17,FALSE),"")</f>
        <v>0</v>
      </c>
    </row>
    <row r="133" spans="2:22">
      <c r="B133" s="59">
        <v>128</v>
      </c>
      <c r="C133" s="59">
        <f>IFERROR(VLOOKUP($B133,OverallResults!$B$3:$Z$508,2,FALSE),"")</f>
        <v>27</v>
      </c>
      <c r="D133" s="149" t="str">
        <f>IFERROR(VLOOKUP($B133,OverallResults!$B$3:$Z$508,3,FALSE),"")</f>
        <v>Jan Cilliers</v>
      </c>
      <c r="E133" s="146">
        <f>IFERROR(VLOOKUP(C133,SeriesPoints!$A$2:$B$51,2,FALSE),"")</f>
        <v>39</v>
      </c>
      <c r="F133" s="148" t="str">
        <f>IFERROR(VLOOKUP($D133,EntryList!$B$3:$V$291,21,FALSE),"")</f>
        <v>-</v>
      </c>
      <c r="G133" s="100" t="str">
        <f>IFERROR(VLOOKUP($D133,EntryList!$B$3:$N$596,5,FALSE),"")</f>
        <v>M</v>
      </c>
      <c r="H133" s="145" t="str">
        <f>IFERROR(VLOOKUP($D133,EntryList!$B$3:$N$596,6,FALSE),"")</f>
        <v>Youth Men</v>
      </c>
      <c r="I133" s="59">
        <f>IFERROR(VLOOKUP($B133,OverallResults!$B$3:$Z$492,8,FALSE),"")</f>
        <v>5</v>
      </c>
      <c r="J133" s="57" t="str">
        <f>IFERROR(VLOOKUP($B133,OverallResults!$B$3:$BB$492,9,FALSE),"")</f>
        <v>00:06:22.9 (131)</v>
      </c>
      <c r="K133" s="58" t="str">
        <f>IFERROR(VLOOKUP($B133,OverallResults!$B$3:$BB$492,10,FALSE),"")</f>
        <v>00:05:25.1 (224)</v>
      </c>
      <c r="L133" s="57" t="str">
        <f>IFERROR(VLOOKUP($B133,OverallResults!$B$3:$BB$492,11,FALSE),"")</f>
        <v>00:02:59.4 (206)</v>
      </c>
      <c r="M133" s="57" t="str">
        <f>IFERROR(VLOOKUP($B133,OverallResults!$B$3:$BB$492,12,FALSE),"")</f>
        <v>00:06:17.8 (131)</v>
      </c>
      <c r="N133" s="58" t="str">
        <f>IFERROR(VLOOKUP($B133,OverallResults!$B$3:$BB$492,13,FALSE),"")</f>
        <v>00:07:23.9 (226)</v>
      </c>
      <c r="O133" s="58" t="str">
        <f>IFERROR(VLOOKUP($B133,OverallResults!$B$3:$BB$492,14,FALSE),"")</f>
        <v>DNS/DNF ()</v>
      </c>
      <c r="P133" s="58" t="str">
        <f>IFERROR(VLOOKUP($B133,OverallResults!$B$3:$BB$492,15,FALSE),"")</f>
        <v>DNS/DNF ()</v>
      </c>
      <c r="Q133" s="58" t="str">
        <f>IFERROR(VLOOKUP($B133,OverallResults!$B$3:$BB$492,16,FALSE),"")</f>
        <v>DNS/DNF ()</v>
      </c>
      <c r="R133" s="58" t="str">
        <f>IFERROR(VLOOKUP($B133,OverallResults!$B$3:$BB$492,17,FALSE),"")</f>
        <v>00:28:29.137</v>
      </c>
      <c r="S133" s="170" t="str">
        <f t="shared" ref="S133:S196" si="4">IFERROR(TEXT(($R133-$R132),"mm:ss"),"N/A")</f>
        <v>00:59</v>
      </c>
      <c r="T133" s="170" t="str">
        <f t="shared" si="3"/>
        <v>11:39</v>
      </c>
      <c r="U133" s="359">
        <f>IFERROR(VLOOKUP($D133,EntryList!$B$3:$S$291,18,FALSE),"")</f>
        <v>0</v>
      </c>
      <c r="V133" s="359">
        <f>IFERROR(VLOOKUP($D133,EntryList!$B$3:$S$291,17,FALSE),"")</f>
        <v>0</v>
      </c>
    </row>
    <row r="134" spans="2:22">
      <c r="B134" s="59">
        <v>129</v>
      </c>
      <c r="C134" s="59">
        <f>IFERROR(VLOOKUP($B134,OverallResults!$B$3:$Z$508,2,FALSE),"")</f>
        <v>30</v>
      </c>
      <c r="D134" s="149" t="str">
        <f>IFERROR(VLOOKUP($B134,OverallResults!$B$3:$Z$508,3,FALSE),"")</f>
        <v>Devon Coombe</v>
      </c>
      <c r="E134" s="146">
        <f>IFERROR(VLOOKUP(C134,SeriesPoints!$A$2:$B$51,2,FALSE),"")</f>
        <v>30</v>
      </c>
      <c r="F134" s="148" t="str">
        <f>IFERROR(VLOOKUP($D134,EntryList!$B$3:$V$291,21,FALSE),"")</f>
        <v>-</v>
      </c>
      <c r="G134" s="100" t="str">
        <f>IFERROR(VLOOKUP($D134,EntryList!$B$3:$N$596,5,FALSE),"")</f>
        <v>M</v>
      </c>
      <c r="H134" s="145" t="str">
        <f>IFERROR(VLOOKUP($D134,EntryList!$B$3:$N$596,6,FALSE),"")</f>
        <v>Elite Men</v>
      </c>
      <c r="I134" s="59">
        <f>IFERROR(VLOOKUP($B134,OverallResults!$B$3:$Z$492,8,FALSE),"")</f>
        <v>5</v>
      </c>
      <c r="J134" s="57" t="str">
        <f>IFERROR(VLOOKUP($B134,OverallResults!$B$3:$BB$492,9,FALSE),"")</f>
        <v>00:11:40.3 (140)</v>
      </c>
      <c r="K134" s="58" t="str">
        <f>IFERROR(VLOOKUP($B134,OverallResults!$B$3:$BB$492,10,FALSE),"")</f>
        <v>00:04:46.7 (185)</v>
      </c>
      <c r="L134" s="57" t="str">
        <f>IFERROR(VLOOKUP($B134,OverallResults!$B$3:$BB$492,11,FALSE),"")</f>
        <v>00:03:16.1 (223)</v>
      </c>
      <c r="M134" s="57" t="str">
        <f>IFERROR(VLOOKUP($B134,OverallResults!$B$3:$BB$492,12,FALSE),"")</f>
        <v>00:06:01.0 (130)</v>
      </c>
      <c r="N134" s="58" t="str">
        <f>IFERROR(VLOOKUP($B134,OverallResults!$B$3:$BB$492,13,FALSE),"")</f>
        <v>00:06:24.9 (181)</v>
      </c>
      <c r="O134" s="58" t="str">
        <f>IFERROR(VLOOKUP($B134,OverallResults!$B$3:$BB$492,14,FALSE),"")</f>
        <v>DNS/DNF ()</v>
      </c>
      <c r="P134" s="58" t="str">
        <f>IFERROR(VLOOKUP($B134,OverallResults!$B$3:$BB$492,15,FALSE),"")</f>
        <v>DNS/DNF ()</v>
      </c>
      <c r="Q134" s="58" t="str">
        <f>IFERROR(VLOOKUP($B134,OverallResults!$B$3:$BB$492,16,FALSE),"")</f>
        <v>DNS/DNF ()</v>
      </c>
      <c r="R134" s="58" t="str">
        <f>IFERROR(VLOOKUP($B134,OverallResults!$B$3:$BB$492,17,FALSE),"")</f>
        <v>00:32:08.976</v>
      </c>
      <c r="S134" s="170" t="str">
        <f t="shared" si="4"/>
        <v>03:40</v>
      </c>
      <c r="T134" s="170" t="str">
        <f t="shared" ref="T134:T197" si="5">IF($I134-$I133&lt;0,"N/A",IFERROR(TEXT(($R134-$R$6),"mm:ss"),"N/A"))</f>
        <v>15:19</v>
      </c>
      <c r="U134" s="359">
        <f>IFERROR(VLOOKUP($D134,EntryList!$B$3:$S$291,18,FALSE),"")</f>
        <v>0</v>
      </c>
      <c r="V134" s="359">
        <f>IFERROR(VLOOKUP($D134,EntryList!$B$3:$S$291,17,FALSE),"")</f>
        <v>0</v>
      </c>
    </row>
    <row r="135" spans="2:22">
      <c r="B135" s="59">
        <v>130</v>
      </c>
      <c r="C135" s="59">
        <f>IFERROR(VLOOKUP($B135,OverallResults!$B$3:$Z$508,2,FALSE),"")</f>
        <v>40</v>
      </c>
      <c r="D135" s="149" t="str">
        <f>IFERROR(VLOOKUP($B135,OverallResults!$B$3:$Z$508,3,FALSE),"")</f>
        <v>Julian Peter Oosthuizen</v>
      </c>
      <c r="E135" s="146">
        <f>IFERROR(VLOOKUP(C135,SeriesPoints!$A$2:$B$51,2,FALSE),"")</f>
        <v>11</v>
      </c>
      <c r="F135" s="148" t="str">
        <f>IFERROR(VLOOKUP($D135,EntryList!$B$3:$V$291,21,FALSE),"")</f>
        <v>-</v>
      </c>
      <c r="G135" s="100" t="str">
        <f>IFERROR(VLOOKUP($D135,EntryList!$B$3:$N$596,5,FALSE),"")</f>
        <v>M</v>
      </c>
      <c r="H135" s="145" t="str">
        <f>IFERROR(VLOOKUP($D135,EntryList!$B$3:$N$596,6,FALSE),"")</f>
        <v>Master Men</v>
      </c>
      <c r="I135" s="59">
        <f>IFERROR(VLOOKUP($B135,OverallResults!$B$3:$Z$492,8,FALSE),"")</f>
        <v>5</v>
      </c>
      <c r="J135" s="57" t="str">
        <f>IFERROR(VLOOKUP($B135,OverallResults!$B$3:$BB$492,9,FALSE),"")</f>
        <v>00:08:39.8 (139)</v>
      </c>
      <c r="K135" s="58" t="str">
        <f>IFERROR(VLOOKUP($B135,OverallResults!$B$3:$BB$492,10,FALSE),"")</f>
        <v>00:05:33.8 (234)</v>
      </c>
      <c r="L135" s="57" t="str">
        <f>IFERROR(VLOOKUP($B135,OverallResults!$B$3:$BB$492,11,FALSE),"")</f>
        <v>00:03:29.5 (234)</v>
      </c>
      <c r="M135" s="57" t="str">
        <f>IFERROR(VLOOKUP($B135,OverallResults!$B$3:$BB$492,12,FALSE),"")</f>
        <v>00:08:00.8 (137)</v>
      </c>
      <c r="N135" s="58" t="str">
        <f>IFERROR(VLOOKUP($B135,OverallResults!$B$3:$BB$492,13,FALSE),"")</f>
        <v>00:07:51.1 (236)</v>
      </c>
      <c r="O135" s="58" t="str">
        <f>IFERROR(VLOOKUP($B135,OverallResults!$B$3:$BB$492,14,FALSE),"")</f>
        <v>DNS/DNF ()</v>
      </c>
      <c r="P135" s="58" t="str">
        <f>IFERROR(VLOOKUP($B135,OverallResults!$B$3:$BB$492,15,FALSE),"")</f>
        <v>DNS/DNF ()</v>
      </c>
      <c r="Q135" s="58" t="str">
        <f>IFERROR(VLOOKUP($B135,OverallResults!$B$3:$BB$492,16,FALSE),"")</f>
        <v>DNS/DNF ()</v>
      </c>
      <c r="R135" s="58" t="str">
        <f>IFERROR(VLOOKUP($B135,OverallResults!$B$3:$BB$492,17,FALSE),"")</f>
        <v>00:33:34.964</v>
      </c>
      <c r="S135" s="170" t="str">
        <f t="shared" si="4"/>
        <v>01:26</v>
      </c>
      <c r="T135" s="170" t="str">
        <f t="shared" si="5"/>
        <v>16:45</v>
      </c>
      <c r="U135" s="359" t="str">
        <f>IFERROR(VLOOKUP($D135,EntryList!$B$3:$S$291,18,FALSE),"")</f>
        <v/>
      </c>
      <c r="V135" s="359" t="str">
        <f>IFERROR(VLOOKUP($D135,EntryList!$B$3:$S$291,17,FALSE),"")</f>
        <v/>
      </c>
    </row>
    <row r="136" spans="2:22">
      <c r="B136" s="59">
        <v>131</v>
      </c>
      <c r="C136" s="59">
        <f>IFERROR(VLOOKUP($B136,OverallResults!$B$3:$Z$508,2,FALSE),"")</f>
        <v>1</v>
      </c>
      <c r="D136" s="149" t="str">
        <f>IFERROR(VLOOKUP($B136,OverallResults!$B$3:$Z$508,3,FALSE),"")</f>
        <v>Louis Van Der Walt</v>
      </c>
      <c r="E136" s="146">
        <f>IFERROR(VLOOKUP(C136,SeriesPoints!$A$2:$B$51,2,FALSE),"")</f>
        <v>200</v>
      </c>
      <c r="F136" s="148" t="str">
        <f>IFERROR(VLOOKUP($D136,EntryList!$B$3:$V$291,21,FALSE),"")</f>
        <v>-</v>
      </c>
      <c r="G136" s="100" t="str">
        <f>IFERROR(VLOOKUP($D136,EntryList!$B$3:$N$596,5,FALSE),"")</f>
        <v>M</v>
      </c>
      <c r="H136" s="145" t="str">
        <f>IFERROR(VLOOKUP($D136,EntryList!$B$3:$N$596,6,FALSE),"")</f>
        <v>Lite M</v>
      </c>
      <c r="I136" s="59">
        <f>IFERROR(VLOOKUP($B136,OverallResults!$B$3:$Z$492,8,FALSE),"")</f>
        <v>3</v>
      </c>
      <c r="J136" s="57" t="str">
        <f>IFERROR(VLOOKUP($B136,OverallResults!$B$3:$BB$492,9,FALSE),"")</f>
        <v>DNS/DNF ()</v>
      </c>
      <c r="K136" s="58" t="str">
        <f>IFERROR(VLOOKUP($B136,OverallResults!$B$3:$BB$492,10,FALSE),"")</f>
        <v>00:03:51.9 (41)</v>
      </c>
      <c r="L136" s="57" t="str">
        <f>IFERROR(VLOOKUP($B136,OverallResults!$B$3:$BB$492,11,FALSE),"")</f>
        <v>00:02:06.4 (31)</v>
      </c>
      <c r="M136" s="57" t="str">
        <f>IFERROR(VLOOKUP($B136,OverallResults!$B$3:$BB$492,12,FALSE),"")</f>
        <v>DNS/DNF ()</v>
      </c>
      <c r="N136" s="58" t="str">
        <f>IFERROR(VLOOKUP($B136,OverallResults!$B$3:$BB$492,13,FALSE),"")</f>
        <v>00:05:11.8 (38)</v>
      </c>
      <c r="O136" s="58" t="str">
        <f>IFERROR(VLOOKUP($B136,OverallResults!$B$3:$BB$492,14,FALSE),"")</f>
        <v>DNS/DNF ()</v>
      </c>
      <c r="P136" s="58" t="str">
        <f>IFERROR(VLOOKUP($B136,OverallResults!$B$3:$BB$492,15,FALSE),"")</f>
        <v>DNS/DNF ()</v>
      </c>
      <c r="Q136" s="58" t="str">
        <f>IFERROR(VLOOKUP($B136,OverallResults!$B$3:$BB$492,16,FALSE),"")</f>
        <v>DNS/DNF ()</v>
      </c>
      <c r="R136" s="58" t="str">
        <f>IFERROR(VLOOKUP($B136,OverallResults!$B$3:$BB$492,17,FALSE),"")</f>
        <v>00:11:10.123</v>
      </c>
      <c r="S136" s="170" t="str">
        <f t="shared" si="4"/>
        <v>N/A</v>
      </c>
      <c r="T136" s="170" t="str">
        <f t="shared" si="5"/>
        <v>N/A</v>
      </c>
      <c r="U136" s="359">
        <f>IFERROR(VLOOKUP($D136,EntryList!$B$3:$S$291,18,FALSE),"")</f>
        <v>0</v>
      </c>
      <c r="V136" s="359">
        <f>IFERROR(VLOOKUP($D136,EntryList!$B$3:$S$291,17,FALSE),"")</f>
        <v>0</v>
      </c>
    </row>
    <row r="137" spans="2:22">
      <c r="B137" s="59">
        <v>132</v>
      </c>
      <c r="C137" s="59">
        <f>IFERROR(VLOOKUP($B137,OverallResults!$B$3:$Z$508,2,FALSE),"")</f>
        <v>1</v>
      </c>
      <c r="D137" s="149" t="str">
        <f>IFERROR(VLOOKUP($B137,OverallResults!$B$3:$Z$508,3,FALSE),"")</f>
        <v>Christiaan De Villiers</v>
      </c>
      <c r="E137" s="146">
        <f>IFERROR(VLOOKUP(C137,SeriesPoints!$A$2:$B$51,2,FALSE),"")</f>
        <v>200</v>
      </c>
      <c r="F137" s="148" t="str">
        <f>IFERROR(VLOOKUP($D137,EntryList!$B$3:$V$291,21,FALSE),"")</f>
        <v>-</v>
      </c>
      <c r="G137" s="100" t="str">
        <f>IFERROR(VLOOKUP($D137,EntryList!$B$3:$N$596,5,FALSE),"")</f>
        <v>M</v>
      </c>
      <c r="H137" s="145" t="str">
        <f>IFERROR(VLOOKUP($D137,EntryList!$B$3:$N$596,6,FALSE),"")</f>
        <v>Sub Junior Boys</v>
      </c>
      <c r="I137" s="59">
        <f>IFERROR(VLOOKUP($B137,OverallResults!$B$3:$Z$492,8,FALSE),"")</f>
        <v>3</v>
      </c>
      <c r="J137" s="57" t="str">
        <f>IFERROR(VLOOKUP($B137,OverallResults!$B$3:$BB$492,9,FALSE),"")</f>
        <v>DNS/DNF ()</v>
      </c>
      <c r="K137" s="58" t="str">
        <f>IFERROR(VLOOKUP($B137,OverallResults!$B$3:$BB$492,10,FALSE),"")</f>
        <v>00:03:55.0 (52)</v>
      </c>
      <c r="L137" s="57" t="str">
        <f>IFERROR(VLOOKUP($B137,OverallResults!$B$3:$BB$492,11,FALSE),"")</f>
        <v>00:02:06.2 (30)</v>
      </c>
      <c r="M137" s="57" t="str">
        <f>IFERROR(VLOOKUP($B137,OverallResults!$B$3:$BB$492,12,FALSE),"")</f>
        <v>DNS/DNF ()</v>
      </c>
      <c r="N137" s="58" t="str">
        <f>IFERROR(VLOOKUP($B137,OverallResults!$B$3:$BB$492,13,FALSE),"")</f>
        <v>00:05:10.5 (33)</v>
      </c>
      <c r="O137" s="58" t="str">
        <f>IFERROR(VLOOKUP($B137,OverallResults!$B$3:$BB$492,14,FALSE),"")</f>
        <v>DNS/DNF ()</v>
      </c>
      <c r="P137" s="58" t="str">
        <f>IFERROR(VLOOKUP($B137,OverallResults!$B$3:$BB$492,15,FALSE),"")</f>
        <v>DNS/DNF ()</v>
      </c>
      <c r="Q137" s="58" t="str">
        <f>IFERROR(VLOOKUP($B137,OverallResults!$B$3:$BB$492,16,FALSE),"")</f>
        <v>DNS/DNF ()</v>
      </c>
      <c r="R137" s="58" t="str">
        <f>IFERROR(VLOOKUP($B137,OverallResults!$B$3:$BB$492,17,FALSE),"")</f>
        <v>00:11:11.777</v>
      </c>
      <c r="S137" s="170" t="str">
        <f t="shared" si="4"/>
        <v>00:02</v>
      </c>
      <c r="T137" s="170" t="str">
        <f t="shared" si="5"/>
        <v>N/A</v>
      </c>
      <c r="U137" s="359">
        <f>IFERROR(VLOOKUP($D137,EntryList!$B$3:$S$291,18,FALSE),"")</f>
        <v>0</v>
      </c>
      <c r="V137" s="359">
        <f>IFERROR(VLOOKUP($D137,EntryList!$B$3:$S$291,17,FALSE),"")</f>
        <v>0</v>
      </c>
    </row>
    <row r="138" spans="2:22">
      <c r="B138" s="59">
        <v>133</v>
      </c>
      <c r="C138" s="59">
        <f>IFERROR(VLOOKUP($B138,OverallResults!$B$3:$Z$508,2,FALSE),"")</f>
        <v>1</v>
      </c>
      <c r="D138" s="149" t="str">
        <f>IFERROR(VLOOKUP($B138,OverallResults!$B$3:$Z$508,3,FALSE),"")</f>
        <v>Sven Etsebeth</v>
      </c>
      <c r="E138" s="146">
        <f>IFERROR(VLOOKUP(C138,SeriesPoints!$A$2:$B$51,2,FALSE),"")</f>
        <v>200</v>
      </c>
      <c r="F138" s="148" t="str">
        <f>IFERROR(VLOOKUP($D138,EntryList!$B$3:$V$291,21,FALSE),"")</f>
        <v>-</v>
      </c>
      <c r="G138" s="100" t="str">
        <f>IFERROR(VLOOKUP($D138,EntryList!$B$3:$N$596,5,FALSE),"")</f>
        <v>M</v>
      </c>
      <c r="H138" s="145" t="str">
        <f>IFERROR(VLOOKUP($D138,EntryList!$B$3:$N$596,6,FALSE),"")</f>
        <v>Sprog Boys</v>
      </c>
      <c r="I138" s="59">
        <f>IFERROR(VLOOKUP($B138,OverallResults!$B$3:$Z$492,8,FALSE),"")</f>
        <v>3</v>
      </c>
      <c r="J138" s="57" t="str">
        <f>IFERROR(VLOOKUP($B138,OverallResults!$B$3:$BB$492,9,FALSE),"")</f>
        <v>DNS/DNF ()</v>
      </c>
      <c r="K138" s="58" t="str">
        <f>IFERROR(VLOOKUP($B138,OverallResults!$B$3:$BB$492,10,FALSE),"")</f>
        <v>00:03:58.3 (58)</v>
      </c>
      <c r="L138" s="57" t="str">
        <f>IFERROR(VLOOKUP($B138,OverallResults!$B$3:$BB$492,11,FALSE),"")</f>
        <v>00:02:15.0 (60)</v>
      </c>
      <c r="M138" s="57" t="str">
        <f>IFERROR(VLOOKUP($B138,OverallResults!$B$3:$BB$492,12,FALSE),"")</f>
        <v>DNS/DNF ()</v>
      </c>
      <c r="N138" s="58" t="str">
        <f>IFERROR(VLOOKUP($B138,OverallResults!$B$3:$BB$492,13,FALSE),"")</f>
        <v>00:05:12.5 (39)</v>
      </c>
      <c r="O138" s="58" t="str">
        <f>IFERROR(VLOOKUP($B138,OverallResults!$B$3:$BB$492,14,FALSE),"")</f>
        <v>DNS/DNF ()</v>
      </c>
      <c r="P138" s="58" t="str">
        <f>IFERROR(VLOOKUP($B138,OverallResults!$B$3:$BB$492,15,FALSE),"")</f>
        <v>DNS/DNF ()</v>
      </c>
      <c r="Q138" s="58" t="str">
        <f>IFERROR(VLOOKUP($B138,OverallResults!$B$3:$BB$492,16,FALSE),"")</f>
        <v>DNS/DNF ()</v>
      </c>
      <c r="R138" s="58" t="str">
        <f>IFERROR(VLOOKUP($B138,OverallResults!$B$3:$BB$492,17,FALSE),"")</f>
        <v>00:11:25.743</v>
      </c>
      <c r="S138" s="170" t="str">
        <f t="shared" si="4"/>
        <v>00:14</v>
      </c>
      <c r="T138" s="170" t="str">
        <f t="shared" si="5"/>
        <v>N/A</v>
      </c>
      <c r="U138" s="359">
        <f>IFERROR(VLOOKUP($D138,EntryList!$B$3:$S$291,18,FALSE),"")</f>
        <v>0</v>
      </c>
      <c r="V138" s="359">
        <f>IFERROR(VLOOKUP($D138,EntryList!$B$3:$S$291,17,FALSE),"")</f>
        <v>0</v>
      </c>
    </row>
    <row r="139" spans="2:22">
      <c r="B139" s="59">
        <v>134</v>
      </c>
      <c r="C139" s="59">
        <f>IFERROR(VLOOKUP($B139,OverallResults!$B$3:$Z$508,2,FALSE),"")</f>
        <v>2</v>
      </c>
      <c r="D139" s="149" t="str">
        <f>IFERROR(VLOOKUP($B139,OverallResults!$B$3:$Z$508,3,FALSE),"")</f>
        <v>Pieter Heyns</v>
      </c>
      <c r="E139" s="146">
        <f>IFERROR(VLOOKUP(C139,SeriesPoints!$A$2:$B$51,2,FALSE),"")</f>
        <v>170</v>
      </c>
      <c r="F139" s="148" t="str">
        <f>IFERROR(VLOOKUP($D139,EntryList!$B$3:$V$291,21,FALSE),"")</f>
        <v>-</v>
      </c>
      <c r="G139" s="100" t="str">
        <f>IFERROR(VLOOKUP($D139,EntryList!$B$3:$N$596,5,FALSE),"")</f>
        <v>M</v>
      </c>
      <c r="H139" s="145" t="str">
        <f>IFERROR(VLOOKUP($D139,EntryList!$B$3:$N$596,6,FALSE),"")</f>
        <v>Lite M</v>
      </c>
      <c r="I139" s="59">
        <f>IFERROR(VLOOKUP($B139,OverallResults!$B$3:$Z$492,8,FALSE),"")</f>
        <v>3</v>
      </c>
      <c r="J139" s="57" t="str">
        <f>IFERROR(VLOOKUP($B139,OverallResults!$B$3:$BB$492,9,FALSE),"")</f>
        <v>DNS/DNF ()</v>
      </c>
      <c r="K139" s="58" t="str">
        <f>IFERROR(VLOOKUP($B139,OverallResults!$B$3:$BB$492,10,FALSE),"")</f>
        <v>00:03:58.6 (59)</v>
      </c>
      <c r="L139" s="57" t="str">
        <f>IFERROR(VLOOKUP($B139,OverallResults!$B$3:$BB$492,11,FALSE),"")</f>
        <v>00:02:09.8 (43)</v>
      </c>
      <c r="M139" s="57" t="str">
        <f>IFERROR(VLOOKUP($B139,OverallResults!$B$3:$BB$492,12,FALSE),"")</f>
        <v>DNS/DNF ()</v>
      </c>
      <c r="N139" s="58" t="str">
        <f>IFERROR(VLOOKUP($B139,OverallResults!$B$3:$BB$492,13,FALSE),"")</f>
        <v>00:05:24.7 (57)</v>
      </c>
      <c r="O139" s="58" t="str">
        <f>IFERROR(VLOOKUP($B139,OverallResults!$B$3:$BB$492,14,FALSE),"")</f>
        <v>DNS/DNF ()</v>
      </c>
      <c r="P139" s="58" t="str">
        <f>IFERROR(VLOOKUP($B139,OverallResults!$B$3:$BB$492,15,FALSE),"")</f>
        <v>DNS/DNF ()</v>
      </c>
      <c r="Q139" s="58" t="str">
        <f>IFERROR(VLOOKUP($B139,OverallResults!$B$3:$BB$492,16,FALSE),"")</f>
        <v>DNS/DNF ()</v>
      </c>
      <c r="R139" s="58" t="str">
        <f>IFERROR(VLOOKUP($B139,OverallResults!$B$3:$BB$492,17,FALSE),"")</f>
        <v>00:11:33.146</v>
      </c>
      <c r="S139" s="170" t="str">
        <f t="shared" si="4"/>
        <v>00:07</v>
      </c>
      <c r="T139" s="170" t="str">
        <f t="shared" si="5"/>
        <v>N/A</v>
      </c>
      <c r="U139" s="359">
        <f>IFERROR(VLOOKUP($D139,EntryList!$B$3:$S$291,18,FALSE),"")</f>
        <v>0</v>
      </c>
      <c r="V139" s="359">
        <f>IFERROR(VLOOKUP($D139,EntryList!$B$3:$S$291,17,FALSE),"")</f>
        <v>0</v>
      </c>
    </row>
    <row r="140" spans="2:22">
      <c r="B140" s="59">
        <v>135</v>
      </c>
      <c r="C140" s="59">
        <f>IFERROR(VLOOKUP($B140,OverallResults!$B$3:$Z$508,2,FALSE),"")</f>
        <v>3</v>
      </c>
      <c r="D140" s="149" t="str">
        <f>IFERROR(VLOOKUP($B140,OverallResults!$B$3:$Z$508,3,FALSE),"")</f>
        <v>Wynand Mostert</v>
      </c>
      <c r="E140" s="146">
        <f>IFERROR(VLOOKUP(C140,SeriesPoints!$A$2:$B$51,2,FALSE),"")</f>
        <v>150</v>
      </c>
      <c r="F140" s="148" t="str">
        <f>IFERROR(VLOOKUP($D140,EntryList!$B$3:$V$291,21,FALSE),"")</f>
        <v>-</v>
      </c>
      <c r="G140" s="100" t="str">
        <f>IFERROR(VLOOKUP($D140,EntryList!$B$3:$N$596,5,FALSE),"")</f>
        <v>M</v>
      </c>
      <c r="H140" s="145" t="str">
        <f>IFERROR(VLOOKUP($D140,EntryList!$B$3:$N$596,6,FALSE),"")</f>
        <v>Lite M</v>
      </c>
      <c r="I140" s="59">
        <f>IFERROR(VLOOKUP($B140,OverallResults!$B$3:$Z$492,8,FALSE),"")</f>
        <v>3</v>
      </c>
      <c r="J140" s="57" t="str">
        <f>IFERROR(VLOOKUP($B140,OverallResults!$B$3:$BB$492,9,FALSE),"")</f>
        <v>DNS/DNF ()</v>
      </c>
      <c r="K140" s="58" t="str">
        <f>IFERROR(VLOOKUP($B140,OverallResults!$B$3:$BB$492,10,FALSE),"")</f>
        <v>00:03:56.0 (53)</v>
      </c>
      <c r="L140" s="57" t="str">
        <f>IFERROR(VLOOKUP($B140,OverallResults!$B$3:$BB$492,11,FALSE),"")</f>
        <v>00:02:14.5 (59)</v>
      </c>
      <c r="M140" s="57" t="str">
        <f>IFERROR(VLOOKUP($B140,OverallResults!$B$3:$BB$492,12,FALSE),"")</f>
        <v>DNS/DNF ()</v>
      </c>
      <c r="N140" s="58" t="str">
        <f>IFERROR(VLOOKUP($B140,OverallResults!$B$3:$BB$492,13,FALSE),"")</f>
        <v>00:05:25.7 (60)</v>
      </c>
      <c r="O140" s="58" t="str">
        <f>IFERROR(VLOOKUP($B140,OverallResults!$B$3:$BB$492,14,FALSE),"")</f>
        <v>DNS/DNF ()</v>
      </c>
      <c r="P140" s="58" t="str">
        <f>IFERROR(VLOOKUP($B140,OverallResults!$B$3:$BB$492,15,FALSE),"")</f>
        <v>DNS/DNF ()</v>
      </c>
      <c r="Q140" s="58" t="str">
        <f>IFERROR(VLOOKUP($B140,OverallResults!$B$3:$BB$492,16,FALSE),"")</f>
        <v>DNS/DNF ()</v>
      </c>
      <c r="R140" s="58" t="str">
        <f>IFERROR(VLOOKUP($B140,OverallResults!$B$3:$BB$492,17,FALSE),"")</f>
        <v>00:11:36.188</v>
      </c>
      <c r="S140" s="170" t="str">
        <f t="shared" si="4"/>
        <v>00:03</v>
      </c>
      <c r="T140" s="170" t="str">
        <f t="shared" si="5"/>
        <v>N/A</v>
      </c>
      <c r="U140" s="359">
        <f>IFERROR(VLOOKUP($D140,EntryList!$B$3:$S$291,18,FALSE),"")</f>
        <v>0</v>
      </c>
      <c r="V140" s="359">
        <f>IFERROR(VLOOKUP($D140,EntryList!$B$3:$S$291,17,FALSE),"")</f>
        <v>0</v>
      </c>
    </row>
    <row r="141" spans="2:22">
      <c r="B141" s="59">
        <v>136</v>
      </c>
      <c r="C141" s="59">
        <f>IFERROR(VLOOKUP($B141,OverallResults!$B$3:$Z$508,2,FALSE),"")</f>
        <v>2</v>
      </c>
      <c r="D141" s="149" t="str">
        <f>IFERROR(VLOOKUP($B141,OverallResults!$B$3:$Z$508,3,FALSE),"")</f>
        <v>Benjamin Fourie</v>
      </c>
      <c r="E141" s="146">
        <f>IFERROR(VLOOKUP(C141,SeriesPoints!$A$2:$B$51,2,FALSE),"")</f>
        <v>170</v>
      </c>
      <c r="F141" s="148" t="str">
        <f>IFERROR(VLOOKUP($D141,EntryList!$B$3:$V$291,21,FALSE),"")</f>
        <v>-</v>
      </c>
      <c r="G141" s="100" t="str">
        <f>IFERROR(VLOOKUP($D141,EntryList!$B$3:$N$596,5,FALSE),"")</f>
        <v>M</v>
      </c>
      <c r="H141" s="145" t="str">
        <f>IFERROR(VLOOKUP($D141,EntryList!$B$3:$N$596,6,FALSE),"")</f>
        <v>Sub Junior Boys</v>
      </c>
      <c r="I141" s="59">
        <f>IFERROR(VLOOKUP($B141,OverallResults!$B$3:$Z$492,8,FALSE),"")</f>
        <v>3</v>
      </c>
      <c r="J141" s="57" t="str">
        <f>IFERROR(VLOOKUP($B141,OverallResults!$B$3:$BB$492,9,FALSE),"")</f>
        <v>DNS/DNF ()</v>
      </c>
      <c r="K141" s="58" t="str">
        <f>IFERROR(VLOOKUP($B141,OverallResults!$B$3:$BB$492,10,FALSE),"")</f>
        <v>00:04:06.8 (80)</v>
      </c>
      <c r="L141" s="57" t="str">
        <f>IFERROR(VLOOKUP($B141,OverallResults!$B$3:$BB$492,11,FALSE),"")</f>
        <v>00:02:17.8 (71)</v>
      </c>
      <c r="M141" s="57" t="str">
        <f>IFERROR(VLOOKUP($B141,OverallResults!$B$3:$BB$492,12,FALSE),"")</f>
        <v>DNS/DNF ()</v>
      </c>
      <c r="N141" s="58" t="str">
        <f>IFERROR(VLOOKUP($B141,OverallResults!$B$3:$BB$492,13,FALSE),"")</f>
        <v>00:05:14.9 (42)</v>
      </c>
      <c r="O141" s="58" t="str">
        <f>IFERROR(VLOOKUP($B141,OverallResults!$B$3:$BB$492,14,FALSE),"")</f>
        <v>DNS/DNF ()</v>
      </c>
      <c r="P141" s="58" t="str">
        <f>IFERROR(VLOOKUP($B141,OverallResults!$B$3:$BB$492,15,FALSE),"")</f>
        <v>DNS/DNF ()</v>
      </c>
      <c r="Q141" s="58" t="str">
        <f>IFERROR(VLOOKUP($B141,OverallResults!$B$3:$BB$492,16,FALSE),"")</f>
        <v>DNS/DNF ()</v>
      </c>
      <c r="R141" s="58" t="str">
        <f>IFERROR(VLOOKUP($B141,OverallResults!$B$3:$BB$492,17,FALSE),"")</f>
        <v>00:11:39.552</v>
      </c>
      <c r="S141" s="170" t="str">
        <f t="shared" si="4"/>
        <v>00:03</v>
      </c>
      <c r="T141" s="170" t="str">
        <f t="shared" si="5"/>
        <v>N/A</v>
      </c>
      <c r="U141" s="359">
        <f>IFERROR(VLOOKUP($D141,EntryList!$B$3:$S$291,18,FALSE),"")</f>
        <v>0</v>
      </c>
      <c r="V141" s="359">
        <f>IFERROR(VLOOKUP($D141,EntryList!$B$3:$S$291,17,FALSE),"")</f>
        <v>0</v>
      </c>
    </row>
    <row r="142" spans="2:22">
      <c r="B142" s="59">
        <v>137</v>
      </c>
      <c r="C142" s="59">
        <f>IFERROR(VLOOKUP($B142,OverallResults!$B$3:$Z$508,2,FALSE),"")</f>
        <v>4</v>
      </c>
      <c r="D142" s="149" t="str">
        <f>IFERROR(VLOOKUP($B142,OverallResults!$B$3:$Z$508,3,FALSE),"")</f>
        <v>Johmar Loubser</v>
      </c>
      <c r="E142" s="146">
        <f>IFERROR(VLOOKUP(C142,SeriesPoints!$A$2:$B$51,2,FALSE),"")</f>
        <v>135</v>
      </c>
      <c r="F142" s="148" t="str">
        <f>IFERROR(VLOOKUP($D142,EntryList!$B$3:$V$291,21,FALSE),"")</f>
        <v>-</v>
      </c>
      <c r="G142" s="100" t="str">
        <f>IFERROR(VLOOKUP($D142,EntryList!$B$3:$N$596,5,FALSE),"")</f>
        <v>M</v>
      </c>
      <c r="H142" s="145" t="str">
        <f>IFERROR(VLOOKUP($D142,EntryList!$B$3:$N$596,6,FALSE),"")</f>
        <v>Lite M</v>
      </c>
      <c r="I142" s="59">
        <f>IFERROR(VLOOKUP($B142,OverallResults!$B$3:$Z$492,8,FALSE),"")</f>
        <v>3</v>
      </c>
      <c r="J142" s="57" t="str">
        <f>IFERROR(VLOOKUP($B142,OverallResults!$B$3:$BB$492,9,FALSE),"")</f>
        <v>DNS/DNF ()</v>
      </c>
      <c r="K142" s="58" t="str">
        <f>IFERROR(VLOOKUP($B142,OverallResults!$B$3:$BB$492,10,FALSE),"")</f>
        <v>00:04:04.8 (74)</v>
      </c>
      <c r="L142" s="57" t="str">
        <f>IFERROR(VLOOKUP($B142,OverallResults!$B$3:$BB$492,11,FALSE),"")</f>
        <v>00:02:16.6 (67)</v>
      </c>
      <c r="M142" s="57" t="str">
        <f>IFERROR(VLOOKUP($B142,OverallResults!$B$3:$BB$492,12,FALSE),"")</f>
        <v>DNS/DNF ()</v>
      </c>
      <c r="N142" s="58" t="str">
        <f>IFERROR(VLOOKUP($B142,OverallResults!$B$3:$BB$492,13,FALSE),"")</f>
        <v>00:05:19.0 (51)</v>
      </c>
      <c r="O142" s="58" t="str">
        <f>IFERROR(VLOOKUP($B142,OverallResults!$B$3:$BB$492,14,FALSE),"")</f>
        <v>DNS/DNF ()</v>
      </c>
      <c r="P142" s="58" t="str">
        <f>IFERROR(VLOOKUP($B142,OverallResults!$B$3:$BB$492,15,FALSE),"")</f>
        <v>DNS/DNF ()</v>
      </c>
      <c r="Q142" s="58" t="str">
        <f>IFERROR(VLOOKUP($B142,OverallResults!$B$3:$BB$492,16,FALSE),"")</f>
        <v>DNS/DNF ()</v>
      </c>
      <c r="R142" s="58" t="str">
        <f>IFERROR(VLOOKUP($B142,OverallResults!$B$3:$BB$492,17,FALSE),"")</f>
        <v>00:11:40.479</v>
      </c>
      <c r="S142" s="170" t="str">
        <f t="shared" si="4"/>
        <v>00:01</v>
      </c>
      <c r="T142" s="170" t="str">
        <f t="shared" si="5"/>
        <v>N/A</v>
      </c>
      <c r="U142" s="359">
        <f>IFERROR(VLOOKUP($D142,EntryList!$B$3:$S$291,18,FALSE),"")</f>
        <v>0</v>
      </c>
      <c r="V142" s="359">
        <f>IFERROR(VLOOKUP($D142,EntryList!$B$3:$S$291,17,FALSE),"")</f>
        <v>0</v>
      </c>
    </row>
    <row r="143" spans="2:22">
      <c r="B143" s="59">
        <v>138</v>
      </c>
      <c r="C143" s="59">
        <f>IFERROR(VLOOKUP($B143,OverallResults!$B$3:$Z$508,2,FALSE),"")</f>
        <v>5</v>
      </c>
      <c r="D143" s="149" t="str">
        <f>IFERROR(VLOOKUP($B143,OverallResults!$B$3:$Z$508,3,FALSE),"")</f>
        <v>Heinrich Vreken</v>
      </c>
      <c r="E143" s="146">
        <f>IFERROR(VLOOKUP(C143,SeriesPoints!$A$2:$B$51,2,FALSE),"")</f>
        <v>125</v>
      </c>
      <c r="F143" s="148" t="str">
        <f>IFERROR(VLOOKUP($D143,EntryList!$B$3:$V$291,21,FALSE),"")</f>
        <v>-</v>
      </c>
      <c r="G143" s="100" t="str">
        <f>IFERROR(VLOOKUP($D143,EntryList!$B$3:$N$596,5,FALSE),"")</f>
        <v>M</v>
      </c>
      <c r="H143" s="145" t="str">
        <f>IFERROR(VLOOKUP($D143,EntryList!$B$3:$N$596,6,FALSE),"")</f>
        <v>Lite M</v>
      </c>
      <c r="I143" s="59">
        <f>IFERROR(VLOOKUP($B143,OverallResults!$B$3:$Z$492,8,FALSE),"")</f>
        <v>3</v>
      </c>
      <c r="J143" s="57" t="str">
        <f>IFERROR(VLOOKUP($B143,OverallResults!$B$3:$BB$492,9,FALSE),"")</f>
        <v>DNS/DNF ()</v>
      </c>
      <c r="K143" s="58" t="str">
        <f>IFERROR(VLOOKUP($B143,OverallResults!$B$3:$BB$492,10,FALSE),"")</f>
        <v>00:04:09.0 (85)</v>
      </c>
      <c r="L143" s="57" t="str">
        <f>IFERROR(VLOOKUP($B143,OverallResults!$B$3:$BB$492,11,FALSE),"")</f>
        <v>00:02:17.2 (68)</v>
      </c>
      <c r="M143" s="57" t="str">
        <f>IFERROR(VLOOKUP($B143,OverallResults!$B$3:$BB$492,12,FALSE),"")</f>
        <v>DNS/DNF ()</v>
      </c>
      <c r="N143" s="58" t="str">
        <f>IFERROR(VLOOKUP($B143,OverallResults!$B$3:$BB$492,13,FALSE),"")</f>
        <v>00:05:32.4 (71)</v>
      </c>
      <c r="O143" s="58" t="str">
        <f>IFERROR(VLOOKUP($B143,OverallResults!$B$3:$BB$492,14,FALSE),"")</f>
        <v>DNS/DNF ()</v>
      </c>
      <c r="P143" s="58" t="str">
        <f>IFERROR(VLOOKUP($B143,OverallResults!$B$3:$BB$492,15,FALSE),"")</f>
        <v>DNS/DNF ()</v>
      </c>
      <c r="Q143" s="58" t="str">
        <f>IFERROR(VLOOKUP($B143,OverallResults!$B$3:$BB$492,16,FALSE),"")</f>
        <v>DNS/DNF ()</v>
      </c>
      <c r="R143" s="58" t="str">
        <f>IFERROR(VLOOKUP($B143,OverallResults!$B$3:$BB$492,17,FALSE),"")</f>
        <v>00:11:58.665</v>
      </c>
      <c r="S143" s="170" t="str">
        <f t="shared" si="4"/>
        <v>00:18</v>
      </c>
      <c r="T143" s="170" t="str">
        <f t="shared" si="5"/>
        <v>N/A</v>
      </c>
      <c r="U143" s="359">
        <f>IFERROR(VLOOKUP($D143,EntryList!$B$3:$S$291,18,FALSE),"")</f>
        <v>0</v>
      </c>
      <c r="V143" s="359">
        <f>IFERROR(VLOOKUP($D143,EntryList!$B$3:$S$291,17,FALSE),"")</f>
        <v>0</v>
      </c>
    </row>
    <row r="144" spans="2:22">
      <c r="B144" s="59">
        <v>139</v>
      </c>
      <c r="C144" s="59">
        <f>IFERROR(VLOOKUP($B144,OverallResults!$B$3:$Z$508,2,FALSE),"")</f>
        <v>1</v>
      </c>
      <c r="D144" s="149" t="str">
        <f>IFERROR(VLOOKUP($B144,OverallResults!$B$3:$Z$508,3,FALSE),"")</f>
        <v>Phil Hulse</v>
      </c>
      <c r="E144" s="146">
        <f>IFERROR(VLOOKUP(C144,SeriesPoints!$A$2:$B$51,2,FALSE),"")</f>
        <v>200</v>
      </c>
      <c r="F144" s="148" t="str">
        <f>IFERROR(VLOOKUP($D144,EntryList!$B$3:$V$291,21,FALSE),"")</f>
        <v>-</v>
      </c>
      <c r="G144" s="100" t="str">
        <f>IFERROR(VLOOKUP($D144,EntryList!$B$3:$N$596,5,FALSE),"")</f>
        <v>M</v>
      </c>
      <c r="H144" s="145" t="str">
        <f>IFERROR(VLOOKUP($D144,EntryList!$B$3:$N$596,6,FALSE),"")</f>
        <v>E-Bike Lite M</v>
      </c>
      <c r="I144" s="59">
        <f>IFERROR(VLOOKUP($B144,OverallResults!$B$3:$Z$492,8,FALSE),"")</f>
        <v>3</v>
      </c>
      <c r="J144" s="57" t="str">
        <f>IFERROR(VLOOKUP($B144,OverallResults!$B$3:$BB$492,9,FALSE),"")</f>
        <v>DNS/DNF ()</v>
      </c>
      <c r="K144" s="58" t="str">
        <f>IFERROR(VLOOKUP($B144,OverallResults!$B$3:$BB$492,10,FALSE),"")</f>
        <v>00:04:07.8 (81)</v>
      </c>
      <c r="L144" s="57" t="str">
        <f>IFERROR(VLOOKUP($B144,OverallResults!$B$3:$BB$492,11,FALSE),"")</f>
        <v>00:02:17.7 (70)</v>
      </c>
      <c r="M144" s="57" t="str">
        <f>IFERROR(VLOOKUP($B144,OverallResults!$B$3:$BB$492,12,FALSE),"")</f>
        <v>DNS/DNF ()</v>
      </c>
      <c r="N144" s="58" t="str">
        <f>IFERROR(VLOOKUP($B144,OverallResults!$B$3:$BB$492,13,FALSE),"")</f>
        <v>00:05:34.0 (74)</v>
      </c>
      <c r="O144" s="58" t="str">
        <f>IFERROR(VLOOKUP($B144,OverallResults!$B$3:$BB$492,14,FALSE),"")</f>
        <v>DNS/DNF ()</v>
      </c>
      <c r="P144" s="58" t="str">
        <f>IFERROR(VLOOKUP($B144,OverallResults!$B$3:$BB$492,15,FALSE),"")</f>
        <v>DNS/DNF ()</v>
      </c>
      <c r="Q144" s="58" t="str">
        <f>IFERROR(VLOOKUP($B144,OverallResults!$B$3:$BB$492,16,FALSE),"")</f>
        <v>DNS/DNF ()</v>
      </c>
      <c r="R144" s="58" t="str">
        <f>IFERROR(VLOOKUP($B144,OverallResults!$B$3:$BB$492,17,FALSE),"")</f>
        <v>00:11:59.419</v>
      </c>
      <c r="S144" s="170" t="str">
        <f t="shared" si="4"/>
        <v>00:01</v>
      </c>
      <c r="T144" s="170" t="str">
        <f t="shared" si="5"/>
        <v>N/A</v>
      </c>
      <c r="U144" s="359">
        <f>IFERROR(VLOOKUP($D144,EntryList!$B$3:$S$291,18,FALSE),"")</f>
        <v>0</v>
      </c>
      <c r="V144" s="359">
        <f>IFERROR(VLOOKUP($D144,EntryList!$B$3:$S$291,17,FALSE),"")</f>
        <v>0</v>
      </c>
    </row>
    <row r="145" spans="2:22">
      <c r="B145" s="59">
        <v>140</v>
      </c>
      <c r="C145" s="59">
        <f>IFERROR(VLOOKUP($B145,OverallResults!$B$3:$Z$508,2,FALSE),"")</f>
        <v>2</v>
      </c>
      <c r="D145" s="149" t="str">
        <f>IFERROR(VLOOKUP($B145,OverallResults!$B$3:$Z$508,3,FALSE),"")</f>
        <v>Paul Combrinck</v>
      </c>
      <c r="E145" s="146">
        <f>IFERROR(VLOOKUP(C145,SeriesPoints!$A$2:$B$51,2,FALSE),"")</f>
        <v>170</v>
      </c>
      <c r="F145" s="148" t="str">
        <f>IFERROR(VLOOKUP($D145,EntryList!$B$3:$V$291,21,FALSE),"")</f>
        <v>-</v>
      </c>
      <c r="G145" s="100" t="str">
        <f>IFERROR(VLOOKUP($D145,EntryList!$B$3:$N$596,5,FALSE),"")</f>
        <v>M</v>
      </c>
      <c r="H145" s="145" t="str">
        <f>IFERROR(VLOOKUP($D145,EntryList!$B$3:$N$596,6,FALSE),"")</f>
        <v>E-Bike Lite M</v>
      </c>
      <c r="I145" s="59">
        <f>IFERROR(VLOOKUP($B145,OverallResults!$B$3:$Z$492,8,FALSE),"")</f>
        <v>3</v>
      </c>
      <c r="J145" s="57" t="str">
        <f>IFERROR(VLOOKUP($B145,OverallResults!$B$3:$BB$492,9,FALSE),"")</f>
        <v>DNS/DNF ()</v>
      </c>
      <c r="K145" s="58" t="str">
        <f>IFERROR(VLOOKUP($B145,OverallResults!$B$3:$BB$492,10,FALSE),"")</f>
        <v>00:04:08.8 (84)</v>
      </c>
      <c r="L145" s="57" t="str">
        <f>IFERROR(VLOOKUP($B145,OverallResults!$B$3:$BB$492,11,FALSE),"")</f>
        <v>00:02:31.3 (114)</v>
      </c>
      <c r="M145" s="57" t="str">
        <f>IFERROR(VLOOKUP($B145,OverallResults!$B$3:$BB$492,12,FALSE),"")</f>
        <v>DNS/DNF ()</v>
      </c>
      <c r="N145" s="58" t="str">
        <f>IFERROR(VLOOKUP($B145,OverallResults!$B$3:$BB$492,13,FALSE),"")</f>
        <v>00:05:37.1 (79)</v>
      </c>
      <c r="O145" s="58" t="str">
        <f>IFERROR(VLOOKUP($B145,OverallResults!$B$3:$BB$492,14,FALSE),"")</f>
        <v>DNS/DNF ()</v>
      </c>
      <c r="P145" s="58" t="str">
        <f>IFERROR(VLOOKUP($B145,OverallResults!$B$3:$BB$492,15,FALSE),"")</f>
        <v>DNS/DNF ()</v>
      </c>
      <c r="Q145" s="58" t="str">
        <f>IFERROR(VLOOKUP($B145,OverallResults!$B$3:$BB$492,16,FALSE),"")</f>
        <v>DNS/DNF ()</v>
      </c>
      <c r="R145" s="58" t="str">
        <f>IFERROR(VLOOKUP($B145,OverallResults!$B$3:$BB$492,17,FALSE),"")</f>
        <v>00:12:17.200</v>
      </c>
      <c r="S145" s="170" t="str">
        <f t="shared" si="4"/>
        <v>00:18</v>
      </c>
      <c r="T145" s="170" t="str">
        <f t="shared" si="5"/>
        <v>N/A</v>
      </c>
      <c r="U145" s="359">
        <f>IFERROR(VLOOKUP($D145,EntryList!$B$3:$S$291,18,FALSE),"")</f>
        <v>0</v>
      </c>
      <c r="V145" s="359">
        <f>IFERROR(VLOOKUP($D145,EntryList!$B$3:$S$291,17,FALSE),"")</f>
        <v>0</v>
      </c>
    </row>
    <row r="146" spans="2:22">
      <c r="B146" s="59">
        <v>141</v>
      </c>
      <c r="C146" s="59">
        <f>IFERROR(VLOOKUP($B146,OverallResults!$B$3:$Z$508,2,FALSE),"")</f>
        <v>3</v>
      </c>
      <c r="D146" s="149" t="str">
        <f>IFERROR(VLOOKUP($B146,OverallResults!$B$3:$Z$508,3,FALSE),"")</f>
        <v>Jack Goosen</v>
      </c>
      <c r="E146" s="146">
        <f>IFERROR(VLOOKUP(C146,SeriesPoints!$A$2:$B$51,2,FALSE),"")</f>
        <v>150</v>
      </c>
      <c r="F146" s="148" t="str">
        <f>IFERROR(VLOOKUP($D146,EntryList!$B$3:$V$291,21,FALSE),"")</f>
        <v>-</v>
      </c>
      <c r="G146" s="100" t="str">
        <f>IFERROR(VLOOKUP($D146,EntryList!$B$3:$N$596,5,FALSE),"")</f>
        <v>M</v>
      </c>
      <c r="H146" s="145" t="str">
        <f>IFERROR(VLOOKUP($D146,EntryList!$B$3:$N$596,6,FALSE),"")</f>
        <v>Sub Junior Boys</v>
      </c>
      <c r="I146" s="59">
        <f>IFERROR(VLOOKUP($B146,OverallResults!$B$3:$Z$492,8,FALSE),"")</f>
        <v>3</v>
      </c>
      <c r="J146" s="57" t="str">
        <f>IFERROR(VLOOKUP($B146,OverallResults!$B$3:$BB$492,9,FALSE),"")</f>
        <v>DNS/DNF ()</v>
      </c>
      <c r="K146" s="58" t="str">
        <f>IFERROR(VLOOKUP($B146,OverallResults!$B$3:$BB$492,10,FALSE),"")</f>
        <v>00:04:26.6 (126)</v>
      </c>
      <c r="L146" s="57" t="str">
        <f>IFERROR(VLOOKUP($B146,OverallResults!$B$3:$BB$492,11,FALSE),"")</f>
        <v>00:02:23.0 (85)</v>
      </c>
      <c r="M146" s="57" t="str">
        <f>IFERROR(VLOOKUP($B146,OverallResults!$B$3:$BB$492,12,FALSE),"")</f>
        <v>DNS/DNF ()</v>
      </c>
      <c r="N146" s="58" t="str">
        <f>IFERROR(VLOOKUP($B146,OverallResults!$B$3:$BB$492,13,FALSE),"")</f>
        <v>00:05:37.1 (80)</v>
      </c>
      <c r="O146" s="58" t="str">
        <f>IFERROR(VLOOKUP($B146,OverallResults!$B$3:$BB$492,14,FALSE),"")</f>
        <v>DNS/DNF ()</v>
      </c>
      <c r="P146" s="58" t="str">
        <f>IFERROR(VLOOKUP($B146,OverallResults!$B$3:$BB$492,15,FALSE),"")</f>
        <v>DNS/DNF ()</v>
      </c>
      <c r="Q146" s="58" t="str">
        <f>IFERROR(VLOOKUP($B146,OverallResults!$B$3:$BB$492,16,FALSE),"")</f>
        <v>DNS/DNF ()</v>
      </c>
      <c r="R146" s="58" t="str">
        <f>IFERROR(VLOOKUP($B146,OverallResults!$B$3:$BB$492,17,FALSE),"")</f>
        <v>00:12:26.764</v>
      </c>
      <c r="S146" s="170" t="str">
        <f t="shared" si="4"/>
        <v>00:10</v>
      </c>
      <c r="T146" s="170" t="str">
        <f t="shared" si="5"/>
        <v>N/A</v>
      </c>
      <c r="U146" s="359">
        <f>IFERROR(VLOOKUP($D146,EntryList!$B$3:$S$291,18,FALSE),"")</f>
        <v>0</v>
      </c>
      <c r="V146" s="359">
        <f>IFERROR(VLOOKUP($D146,EntryList!$B$3:$S$291,17,FALSE),"")</f>
        <v>0</v>
      </c>
    </row>
    <row r="147" spans="2:22">
      <c r="B147" s="59">
        <v>142</v>
      </c>
      <c r="C147" s="59">
        <f>IFERROR(VLOOKUP($B147,OverallResults!$B$3:$Z$508,2,FALSE),"")</f>
        <v>4</v>
      </c>
      <c r="D147" s="149" t="str">
        <f>IFERROR(VLOOKUP($B147,OverallResults!$B$3:$Z$508,3,FALSE),"")</f>
        <v>Jonathan Dunkley</v>
      </c>
      <c r="E147" s="146">
        <f>IFERROR(VLOOKUP(C147,SeriesPoints!$A$2:$B$51,2,FALSE),"")</f>
        <v>135</v>
      </c>
      <c r="F147" s="148" t="str">
        <f>IFERROR(VLOOKUP($D147,EntryList!$B$3:$V$291,21,FALSE),"")</f>
        <v>-</v>
      </c>
      <c r="G147" s="100" t="str">
        <f>IFERROR(VLOOKUP($D147,EntryList!$B$3:$N$596,5,FALSE),"")</f>
        <v>M</v>
      </c>
      <c r="H147" s="145" t="str">
        <f>IFERROR(VLOOKUP($D147,EntryList!$B$3:$N$596,6,FALSE),"")</f>
        <v>Sub Junior Boys</v>
      </c>
      <c r="I147" s="59">
        <f>IFERROR(VLOOKUP($B147,OverallResults!$B$3:$Z$492,8,FALSE),"")</f>
        <v>3</v>
      </c>
      <c r="J147" s="57" t="str">
        <f>IFERROR(VLOOKUP($B147,OverallResults!$B$3:$BB$492,9,FALSE),"")</f>
        <v>DNS/DNF ()</v>
      </c>
      <c r="K147" s="58" t="str">
        <f>IFERROR(VLOOKUP($B147,OverallResults!$B$3:$BB$492,10,FALSE),"")</f>
        <v>00:04:12.5 (91)</v>
      </c>
      <c r="L147" s="57" t="str">
        <f>IFERROR(VLOOKUP($B147,OverallResults!$B$3:$BB$492,11,FALSE),"")</f>
        <v>00:02:31.9 (120)</v>
      </c>
      <c r="M147" s="57" t="str">
        <f>IFERROR(VLOOKUP($B147,OverallResults!$B$3:$BB$492,12,FALSE),"")</f>
        <v>DNS/DNF ()</v>
      </c>
      <c r="N147" s="58" t="str">
        <f>IFERROR(VLOOKUP($B147,OverallResults!$B$3:$BB$492,13,FALSE),"")</f>
        <v>00:05:43.8 (96)</v>
      </c>
      <c r="O147" s="58" t="str">
        <f>IFERROR(VLOOKUP($B147,OverallResults!$B$3:$BB$492,14,FALSE),"")</f>
        <v>DNS/DNF ()</v>
      </c>
      <c r="P147" s="58" t="str">
        <f>IFERROR(VLOOKUP($B147,OverallResults!$B$3:$BB$492,15,FALSE),"")</f>
        <v>DNS/DNF ()</v>
      </c>
      <c r="Q147" s="58" t="str">
        <f>IFERROR(VLOOKUP($B147,OverallResults!$B$3:$BB$492,16,FALSE),"")</f>
        <v>DNS/DNF ()</v>
      </c>
      <c r="R147" s="58" t="str">
        <f>IFERROR(VLOOKUP($B147,OverallResults!$B$3:$BB$492,17,FALSE),"")</f>
        <v>00:12:28.240</v>
      </c>
      <c r="S147" s="170" t="str">
        <f t="shared" si="4"/>
        <v>00:01</v>
      </c>
      <c r="T147" s="170" t="str">
        <f t="shared" si="5"/>
        <v>N/A</v>
      </c>
      <c r="U147" s="359">
        <f>IFERROR(VLOOKUP($D147,EntryList!$B$3:$S$291,18,FALSE),"")</f>
        <v>0</v>
      </c>
      <c r="V147" s="359">
        <f>IFERROR(VLOOKUP($D147,EntryList!$B$3:$S$291,17,FALSE),"")</f>
        <v>0</v>
      </c>
    </row>
    <row r="148" spans="2:22">
      <c r="B148" s="59">
        <v>143</v>
      </c>
      <c r="C148" s="59">
        <f>IFERROR(VLOOKUP($B148,OverallResults!$B$3:$Z$508,2,FALSE),"")</f>
        <v>6</v>
      </c>
      <c r="D148" s="149" t="str">
        <f>IFERROR(VLOOKUP($B148,OverallResults!$B$3:$Z$508,3,FALSE),"")</f>
        <v>Aaron Budke</v>
      </c>
      <c r="E148" s="146">
        <f>IFERROR(VLOOKUP(C148,SeriesPoints!$A$2:$B$51,2,FALSE),"")</f>
        <v>120</v>
      </c>
      <c r="F148" s="148" t="str">
        <f>IFERROR(VLOOKUP($D148,EntryList!$B$3:$V$291,21,FALSE),"")</f>
        <v>-</v>
      </c>
      <c r="G148" s="100" t="str">
        <f>IFERROR(VLOOKUP($D148,EntryList!$B$3:$N$596,5,FALSE),"")</f>
        <v>M</v>
      </c>
      <c r="H148" s="145" t="str">
        <f>IFERROR(VLOOKUP($D148,EntryList!$B$3:$N$596,6,FALSE),"")</f>
        <v>Lite M</v>
      </c>
      <c r="I148" s="59">
        <f>IFERROR(VLOOKUP($B148,OverallResults!$B$3:$Z$492,8,FALSE),"")</f>
        <v>3</v>
      </c>
      <c r="J148" s="57" t="str">
        <f>IFERROR(VLOOKUP($B148,OverallResults!$B$3:$BB$492,9,FALSE),"")</f>
        <v>DNS/DNF ()</v>
      </c>
      <c r="K148" s="58" t="str">
        <f>IFERROR(VLOOKUP($B148,OverallResults!$B$3:$BB$492,10,FALSE),"")</f>
        <v>00:04:26.2 (125)</v>
      </c>
      <c r="L148" s="57" t="str">
        <f>IFERROR(VLOOKUP($B148,OverallResults!$B$3:$BB$492,11,FALSE),"")</f>
        <v>00:02:29.0 (107)</v>
      </c>
      <c r="M148" s="57" t="str">
        <f>IFERROR(VLOOKUP($B148,OverallResults!$B$3:$BB$492,12,FALSE),"")</f>
        <v>DNS/DNF ()</v>
      </c>
      <c r="N148" s="58" t="str">
        <f>IFERROR(VLOOKUP($B148,OverallResults!$B$3:$BB$492,13,FALSE),"")</f>
        <v>00:05:34.3 (76)</v>
      </c>
      <c r="O148" s="58" t="str">
        <f>IFERROR(VLOOKUP($B148,OverallResults!$B$3:$BB$492,14,FALSE),"")</f>
        <v>DNS/DNF ()</v>
      </c>
      <c r="P148" s="58" t="str">
        <f>IFERROR(VLOOKUP($B148,OverallResults!$B$3:$BB$492,15,FALSE),"")</f>
        <v>DNS/DNF ()</v>
      </c>
      <c r="Q148" s="58" t="str">
        <f>IFERROR(VLOOKUP($B148,OverallResults!$B$3:$BB$492,16,FALSE),"")</f>
        <v>DNS/DNF ()</v>
      </c>
      <c r="R148" s="58" t="str">
        <f>IFERROR(VLOOKUP($B148,OverallResults!$B$3:$BB$492,17,FALSE),"")</f>
        <v>00:12:29.523</v>
      </c>
      <c r="S148" s="170" t="str">
        <f t="shared" si="4"/>
        <v>00:01</v>
      </c>
      <c r="T148" s="170" t="str">
        <f t="shared" si="5"/>
        <v>N/A</v>
      </c>
      <c r="U148" s="359">
        <f>IFERROR(VLOOKUP($D148,EntryList!$B$3:$S$291,18,FALSE),"")</f>
        <v>0</v>
      </c>
      <c r="V148" s="359">
        <f>IFERROR(VLOOKUP($D148,EntryList!$B$3:$S$291,17,FALSE),"")</f>
        <v>0</v>
      </c>
    </row>
    <row r="149" spans="2:22">
      <c r="B149" s="59">
        <v>144</v>
      </c>
      <c r="C149" s="59">
        <f>IFERROR(VLOOKUP($B149,OverallResults!$B$3:$Z$508,2,FALSE),"")</f>
        <v>2</v>
      </c>
      <c r="D149" s="149" t="str">
        <f>IFERROR(VLOOKUP($B149,OverallResults!$B$3:$Z$508,3,FALSE),"")</f>
        <v>Lian De Jager</v>
      </c>
      <c r="E149" s="146">
        <f>IFERROR(VLOOKUP(C149,SeriesPoints!$A$2:$B$51,2,FALSE),"")</f>
        <v>170</v>
      </c>
      <c r="F149" s="148" t="str">
        <f>IFERROR(VLOOKUP($D149,EntryList!$B$3:$V$291,21,FALSE),"")</f>
        <v>-</v>
      </c>
      <c r="G149" s="100" t="str">
        <f>IFERROR(VLOOKUP($D149,EntryList!$B$3:$N$596,5,FALSE),"")</f>
        <v>M</v>
      </c>
      <c r="H149" s="145" t="str">
        <f>IFERROR(VLOOKUP($D149,EntryList!$B$3:$N$596,6,FALSE),"")</f>
        <v>Sprog Boys</v>
      </c>
      <c r="I149" s="59">
        <f>IFERROR(VLOOKUP($B149,OverallResults!$B$3:$Z$492,8,FALSE),"")</f>
        <v>3</v>
      </c>
      <c r="J149" s="57" t="str">
        <f>IFERROR(VLOOKUP($B149,OverallResults!$B$3:$BB$492,9,FALSE),"")</f>
        <v>DNS/DNF ()</v>
      </c>
      <c r="K149" s="58" t="str">
        <f>IFERROR(VLOOKUP($B149,OverallResults!$B$3:$BB$492,10,FALSE),"")</f>
        <v>00:04:34.9 (153)</v>
      </c>
      <c r="L149" s="57" t="str">
        <f>IFERROR(VLOOKUP($B149,OverallResults!$B$3:$BB$492,11,FALSE),"")</f>
        <v>00:02:21.8 (81)</v>
      </c>
      <c r="M149" s="57" t="str">
        <f>IFERROR(VLOOKUP($B149,OverallResults!$B$3:$BB$492,12,FALSE),"")</f>
        <v>DNS/DNF ()</v>
      </c>
      <c r="N149" s="58" t="str">
        <f>IFERROR(VLOOKUP($B149,OverallResults!$B$3:$BB$492,13,FALSE),"")</f>
        <v>00:05:36.8 (78)</v>
      </c>
      <c r="O149" s="58" t="str">
        <f>IFERROR(VLOOKUP($B149,OverallResults!$B$3:$BB$492,14,FALSE),"")</f>
        <v>DNS/DNF ()</v>
      </c>
      <c r="P149" s="58" t="str">
        <f>IFERROR(VLOOKUP($B149,OverallResults!$B$3:$BB$492,15,FALSE),"")</f>
        <v>DNS/DNF ()</v>
      </c>
      <c r="Q149" s="58" t="str">
        <f>IFERROR(VLOOKUP($B149,OverallResults!$B$3:$BB$492,16,FALSE),"")</f>
        <v>DNS/DNF ()</v>
      </c>
      <c r="R149" s="58" t="str">
        <f>IFERROR(VLOOKUP($B149,OverallResults!$B$3:$BB$492,17,FALSE),"")</f>
        <v>00:12:33.493</v>
      </c>
      <c r="S149" s="170" t="str">
        <f t="shared" si="4"/>
        <v>00:04</v>
      </c>
      <c r="T149" s="170" t="str">
        <f t="shared" si="5"/>
        <v>N/A</v>
      </c>
      <c r="U149" s="359">
        <f>IFERROR(VLOOKUP($D149,EntryList!$B$3:$S$291,18,FALSE),"")</f>
        <v>0</v>
      </c>
      <c r="V149" s="359">
        <f>IFERROR(VLOOKUP($D149,EntryList!$B$3:$S$291,17,FALSE),"")</f>
        <v>0</v>
      </c>
    </row>
    <row r="150" spans="2:22">
      <c r="B150" s="59">
        <v>145</v>
      </c>
      <c r="C150" s="59">
        <f>IFERROR(VLOOKUP($B150,OverallResults!$B$3:$Z$508,2,FALSE),"")</f>
        <v>7</v>
      </c>
      <c r="D150" s="149" t="str">
        <f>IFERROR(VLOOKUP($B150,OverallResults!$B$3:$Z$508,3,FALSE),"")</f>
        <v>Calum Marriott</v>
      </c>
      <c r="E150" s="146">
        <f>IFERROR(VLOOKUP(C150,SeriesPoints!$A$2:$B$51,2,FALSE),"")</f>
        <v>115</v>
      </c>
      <c r="F150" s="148" t="str">
        <f>IFERROR(VLOOKUP($D150,EntryList!$B$3:$V$291,21,FALSE),"")</f>
        <v>-</v>
      </c>
      <c r="G150" s="100" t="str">
        <f>IFERROR(VLOOKUP($D150,EntryList!$B$3:$N$596,5,FALSE),"")</f>
        <v>M</v>
      </c>
      <c r="H150" s="145" t="str">
        <f>IFERROR(VLOOKUP($D150,EntryList!$B$3:$N$596,6,FALSE),"")</f>
        <v>Lite M</v>
      </c>
      <c r="I150" s="59">
        <f>IFERROR(VLOOKUP($B150,OverallResults!$B$3:$Z$492,8,FALSE),"")</f>
        <v>3</v>
      </c>
      <c r="J150" s="57" t="str">
        <f>IFERROR(VLOOKUP($B150,OverallResults!$B$3:$BB$492,9,FALSE),"")</f>
        <v>DNS/DNF ()</v>
      </c>
      <c r="K150" s="58" t="str">
        <f>IFERROR(VLOOKUP($B150,OverallResults!$B$3:$BB$492,10,FALSE),"")</f>
        <v>00:04:18.0 (106)</v>
      </c>
      <c r="L150" s="57" t="str">
        <f>IFERROR(VLOOKUP($B150,OverallResults!$B$3:$BB$492,11,FALSE),"")</f>
        <v>00:02:26.4 (97)</v>
      </c>
      <c r="M150" s="57" t="str">
        <f>IFERROR(VLOOKUP($B150,OverallResults!$B$3:$BB$492,12,FALSE),"")</f>
        <v>DNS/DNF ()</v>
      </c>
      <c r="N150" s="58" t="str">
        <f>IFERROR(VLOOKUP($B150,OverallResults!$B$3:$BB$492,13,FALSE),"")</f>
        <v>00:05:50.0 (108)</v>
      </c>
      <c r="O150" s="58" t="str">
        <f>IFERROR(VLOOKUP($B150,OverallResults!$B$3:$BB$492,14,FALSE),"")</f>
        <v>DNS/DNF ()</v>
      </c>
      <c r="P150" s="58" t="str">
        <f>IFERROR(VLOOKUP($B150,OverallResults!$B$3:$BB$492,15,FALSE),"")</f>
        <v>DNS/DNF ()</v>
      </c>
      <c r="Q150" s="58" t="str">
        <f>IFERROR(VLOOKUP($B150,OverallResults!$B$3:$BB$492,16,FALSE),"")</f>
        <v>DNS/DNF ()</v>
      </c>
      <c r="R150" s="58" t="str">
        <f>IFERROR(VLOOKUP($B150,OverallResults!$B$3:$BB$492,17,FALSE),"")</f>
        <v>00:12:34.382</v>
      </c>
      <c r="S150" s="170" t="str">
        <f t="shared" si="4"/>
        <v>00:01</v>
      </c>
      <c r="T150" s="170" t="str">
        <f t="shared" si="5"/>
        <v>N/A</v>
      </c>
      <c r="U150" s="359">
        <f>IFERROR(VLOOKUP($D150,EntryList!$B$3:$S$291,18,FALSE),"")</f>
        <v>0</v>
      </c>
      <c r="V150" s="359">
        <f>IFERROR(VLOOKUP($D150,EntryList!$B$3:$S$291,17,FALSE),"")</f>
        <v>0</v>
      </c>
    </row>
    <row r="151" spans="2:22">
      <c r="B151" s="59">
        <v>146</v>
      </c>
      <c r="C151" s="59">
        <f>IFERROR(VLOOKUP($B151,OverallResults!$B$3:$Z$508,2,FALSE),"")</f>
        <v>8</v>
      </c>
      <c r="D151" s="149" t="str">
        <f>IFERROR(VLOOKUP($B151,OverallResults!$B$3:$Z$508,3,FALSE),"")</f>
        <v>Thomas Dawson</v>
      </c>
      <c r="E151" s="146">
        <f>IFERROR(VLOOKUP(C151,SeriesPoints!$A$2:$B$51,2,FALSE),"")</f>
        <v>110</v>
      </c>
      <c r="F151" s="148" t="str">
        <f>IFERROR(VLOOKUP($D151,EntryList!$B$3:$V$291,21,FALSE),"")</f>
        <v>-</v>
      </c>
      <c r="G151" s="100" t="str">
        <f>IFERROR(VLOOKUP($D151,EntryList!$B$3:$N$596,5,FALSE),"")</f>
        <v>M</v>
      </c>
      <c r="H151" s="145" t="str">
        <f>IFERROR(VLOOKUP($D151,EntryList!$B$3:$N$596,6,FALSE),"")</f>
        <v>Lite M</v>
      </c>
      <c r="I151" s="59">
        <f>IFERROR(VLOOKUP($B151,OverallResults!$B$3:$Z$492,8,FALSE),"")</f>
        <v>3</v>
      </c>
      <c r="J151" s="57" t="str">
        <f>IFERROR(VLOOKUP($B151,OverallResults!$B$3:$BB$492,9,FALSE),"")</f>
        <v>DNS/DNF ()</v>
      </c>
      <c r="K151" s="58" t="str">
        <f>IFERROR(VLOOKUP($B151,OverallResults!$B$3:$BB$492,10,FALSE),"")</f>
        <v>00:04:16.3 (99)</v>
      </c>
      <c r="L151" s="57" t="str">
        <f>IFERROR(VLOOKUP($B151,OverallResults!$B$3:$BB$492,11,FALSE),"")</f>
        <v>00:02:26.7 (98)</v>
      </c>
      <c r="M151" s="57" t="str">
        <f>IFERROR(VLOOKUP($B151,OverallResults!$B$3:$BB$492,12,FALSE),"")</f>
        <v>DNS/DNF ()</v>
      </c>
      <c r="N151" s="58" t="str">
        <f>IFERROR(VLOOKUP($B151,OverallResults!$B$3:$BB$492,13,FALSE),"")</f>
        <v>00:05:51.9 (113)</v>
      </c>
      <c r="O151" s="58" t="str">
        <f>IFERROR(VLOOKUP($B151,OverallResults!$B$3:$BB$492,14,FALSE),"")</f>
        <v>DNS/DNF ()</v>
      </c>
      <c r="P151" s="58" t="str">
        <f>IFERROR(VLOOKUP($B151,OverallResults!$B$3:$BB$492,15,FALSE),"")</f>
        <v>DNS/DNF ()</v>
      </c>
      <c r="Q151" s="58" t="str">
        <f>IFERROR(VLOOKUP($B151,OverallResults!$B$3:$BB$492,16,FALSE),"")</f>
        <v>DNS/DNF ()</v>
      </c>
      <c r="R151" s="58" t="str">
        <f>IFERROR(VLOOKUP($B151,OverallResults!$B$3:$BB$492,17,FALSE),"")</f>
        <v>00:12:34.864</v>
      </c>
      <c r="S151" s="170" t="str">
        <f t="shared" si="4"/>
        <v>00:00</v>
      </c>
      <c r="T151" s="170" t="str">
        <f t="shared" si="5"/>
        <v>N/A</v>
      </c>
      <c r="U151" s="359">
        <f>IFERROR(VLOOKUP($D151,EntryList!$B$3:$S$291,18,FALSE),"")</f>
        <v>0</v>
      </c>
      <c r="V151" s="359">
        <f>IFERROR(VLOOKUP($D151,EntryList!$B$3:$S$291,17,FALSE),"")</f>
        <v>0</v>
      </c>
    </row>
    <row r="152" spans="2:22">
      <c r="B152" s="59">
        <v>147</v>
      </c>
      <c r="C152" s="59">
        <f>IFERROR(VLOOKUP($B152,OverallResults!$B$3:$Z$508,2,FALSE),"")</f>
        <v>9</v>
      </c>
      <c r="D152" s="149" t="str">
        <f>IFERROR(VLOOKUP($B152,OverallResults!$B$3:$Z$508,3,FALSE),"")</f>
        <v>Sean Stephens</v>
      </c>
      <c r="E152" s="146">
        <f>IFERROR(VLOOKUP(C152,SeriesPoints!$A$2:$B$51,2,FALSE),"")</f>
        <v>105</v>
      </c>
      <c r="F152" s="148" t="str">
        <f>IFERROR(VLOOKUP($D152,EntryList!$B$3:$V$291,21,FALSE),"")</f>
        <v>-</v>
      </c>
      <c r="G152" s="100" t="str">
        <f>IFERROR(VLOOKUP($D152,EntryList!$B$3:$N$596,5,FALSE),"")</f>
        <v>M</v>
      </c>
      <c r="H152" s="145" t="str">
        <f>IFERROR(VLOOKUP($D152,EntryList!$B$3:$N$596,6,FALSE),"")</f>
        <v>Lite M</v>
      </c>
      <c r="I152" s="59">
        <f>IFERROR(VLOOKUP($B152,OverallResults!$B$3:$Z$492,8,FALSE),"")</f>
        <v>3</v>
      </c>
      <c r="J152" s="57" t="str">
        <f>IFERROR(VLOOKUP($B152,OverallResults!$B$3:$BB$492,9,FALSE),"")</f>
        <v>DNS/DNF ()</v>
      </c>
      <c r="K152" s="58" t="str">
        <f>IFERROR(VLOOKUP($B152,OverallResults!$B$3:$BB$492,10,FALSE),"")</f>
        <v>00:04:17.9 (104)</v>
      </c>
      <c r="L152" s="57" t="str">
        <f>IFERROR(VLOOKUP($B152,OverallResults!$B$3:$BB$492,11,FALSE),"")</f>
        <v>00:02:29.7 (110)</v>
      </c>
      <c r="M152" s="57" t="str">
        <f>IFERROR(VLOOKUP($B152,OverallResults!$B$3:$BB$492,12,FALSE),"")</f>
        <v>DNS/DNF ()</v>
      </c>
      <c r="N152" s="58" t="str">
        <f>IFERROR(VLOOKUP($B152,OverallResults!$B$3:$BB$492,13,FALSE),"")</f>
        <v>00:05:51.7 (110)</v>
      </c>
      <c r="O152" s="58" t="str">
        <f>IFERROR(VLOOKUP($B152,OverallResults!$B$3:$BB$492,14,FALSE),"")</f>
        <v>DNS/DNF ()</v>
      </c>
      <c r="P152" s="58" t="str">
        <f>IFERROR(VLOOKUP($B152,OverallResults!$B$3:$BB$492,15,FALSE),"")</f>
        <v>DNS/DNF ()</v>
      </c>
      <c r="Q152" s="58" t="str">
        <f>IFERROR(VLOOKUP($B152,OverallResults!$B$3:$BB$492,16,FALSE),"")</f>
        <v>DNS/DNF ()</v>
      </c>
      <c r="R152" s="58" t="str">
        <f>IFERROR(VLOOKUP($B152,OverallResults!$B$3:$BB$492,17,FALSE),"")</f>
        <v>00:12:39.304</v>
      </c>
      <c r="S152" s="170" t="str">
        <f t="shared" si="4"/>
        <v>00:04</v>
      </c>
      <c r="T152" s="170" t="str">
        <f t="shared" si="5"/>
        <v>N/A</v>
      </c>
      <c r="U152" s="359">
        <f>IFERROR(VLOOKUP($D152,EntryList!$B$3:$S$291,18,FALSE),"")</f>
        <v>0</v>
      </c>
      <c r="V152" s="359">
        <f>IFERROR(VLOOKUP($D152,EntryList!$B$3:$S$291,17,FALSE),"")</f>
        <v>0</v>
      </c>
    </row>
    <row r="153" spans="2:22">
      <c r="B153" s="59">
        <v>148</v>
      </c>
      <c r="C153" s="59">
        <f>IFERROR(VLOOKUP($B153,OverallResults!$B$3:$Z$508,2,FALSE),"")</f>
        <v>10</v>
      </c>
      <c r="D153" s="149" t="str">
        <f>IFERROR(VLOOKUP($B153,OverallResults!$B$3:$Z$508,3,FALSE),"")</f>
        <v>Christiaan De Villiers Snr</v>
      </c>
      <c r="E153" s="146">
        <f>IFERROR(VLOOKUP(C153,SeriesPoints!$A$2:$B$51,2,FALSE),"")</f>
        <v>100</v>
      </c>
      <c r="F153" s="148" t="str">
        <f>IFERROR(VLOOKUP($D153,EntryList!$B$3:$V$291,21,FALSE),"")</f>
        <v>-</v>
      </c>
      <c r="G153" s="100" t="str">
        <f>IFERROR(VLOOKUP($D153,EntryList!$B$3:$N$596,5,FALSE),"")</f>
        <v>M</v>
      </c>
      <c r="H153" s="145" t="str">
        <f>IFERROR(VLOOKUP($D153,EntryList!$B$3:$N$596,6,FALSE),"")</f>
        <v>Lite M</v>
      </c>
      <c r="I153" s="59">
        <f>IFERROR(VLOOKUP($B153,OverallResults!$B$3:$Z$492,8,FALSE),"")</f>
        <v>3</v>
      </c>
      <c r="J153" s="57" t="str">
        <f>IFERROR(VLOOKUP($B153,OverallResults!$B$3:$BB$492,9,FALSE),"")</f>
        <v>DNS/DNF ()</v>
      </c>
      <c r="K153" s="58" t="str">
        <f>IFERROR(VLOOKUP($B153,OverallResults!$B$3:$BB$492,10,FALSE),"")</f>
        <v>00:04:19.3 (110)</v>
      </c>
      <c r="L153" s="57" t="str">
        <f>IFERROR(VLOOKUP($B153,OverallResults!$B$3:$BB$492,11,FALSE),"")</f>
        <v>00:02:40.2 (152)</v>
      </c>
      <c r="M153" s="57" t="str">
        <f>IFERROR(VLOOKUP($B153,OverallResults!$B$3:$BB$492,12,FALSE),"")</f>
        <v>DNS/DNF ()</v>
      </c>
      <c r="N153" s="58" t="str">
        <f>IFERROR(VLOOKUP($B153,OverallResults!$B$3:$BB$492,13,FALSE),"")</f>
        <v>00:05:40.0 (86)</v>
      </c>
      <c r="O153" s="58" t="str">
        <f>IFERROR(VLOOKUP($B153,OverallResults!$B$3:$BB$492,14,FALSE),"")</f>
        <v>DNS/DNF ()</v>
      </c>
      <c r="P153" s="58" t="str">
        <f>IFERROR(VLOOKUP($B153,OverallResults!$B$3:$BB$492,15,FALSE),"")</f>
        <v>DNS/DNF ()</v>
      </c>
      <c r="Q153" s="58" t="str">
        <f>IFERROR(VLOOKUP($B153,OverallResults!$B$3:$BB$492,16,FALSE),"")</f>
        <v>DNS/DNF ()</v>
      </c>
      <c r="R153" s="58" t="str">
        <f>IFERROR(VLOOKUP($B153,OverallResults!$B$3:$BB$492,17,FALSE),"")</f>
        <v>00:12:39.481</v>
      </c>
      <c r="S153" s="170" t="str">
        <f t="shared" si="4"/>
        <v>00:00</v>
      </c>
      <c r="T153" s="170" t="str">
        <f t="shared" si="5"/>
        <v>N/A</v>
      </c>
      <c r="U153" s="359">
        <f>IFERROR(VLOOKUP($D153,EntryList!$B$3:$S$291,18,FALSE),"")</f>
        <v>0</v>
      </c>
      <c r="V153" s="359">
        <f>IFERROR(VLOOKUP($D153,EntryList!$B$3:$S$291,17,FALSE),"")</f>
        <v>0</v>
      </c>
    </row>
    <row r="154" spans="2:22">
      <c r="B154" s="59">
        <v>149</v>
      </c>
      <c r="C154" s="59">
        <f>IFERROR(VLOOKUP($B154,OverallResults!$B$3:$Z$508,2,FALSE),"")</f>
        <v>11</v>
      </c>
      <c r="D154" s="149" t="str">
        <f>IFERROR(VLOOKUP($B154,OverallResults!$B$3:$Z$508,3,FALSE),"")</f>
        <v>Duncan Sephton</v>
      </c>
      <c r="E154" s="146">
        <f>IFERROR(VLOOKUP(C154,SeriesPoints!$A$2:$B$51,2,FALSE),"")</f>
        <v>96</v>
      </c>
      <c r="F154" s="148" t="str">
        <f>IFERROR(VLOOKUP($D154,EntryList!$B$3:$V$291,21,FALSE),"")</f>
        <v>-</v>
      </c>
      <c r="G154" s="100" t="str">
        <f>IFERROR(VLOOKUP($D154,EntryList!$B$3:$N$596,5,FALSE),"")</f>
        <v>M</v>
      </c>
      <c r="H154" s="145" t="str">
        <f>IFERROR(VLOOKUP($D154,EntryList!$B$3:$N$596,6,FALSE),"")</f>
        <v>Lite M</v>
      </c>
      <c r="I154" s="59">
        <f>IFERROR(VLOOKUP($B154,OverallResults!$B$3:$Z$492,8,FALSE),"")</f>
        <v>3</v>
      </c>
      <c r="J154" s="57" t="str">
        <f>IFERROR(VLOOKUP($B154,OverallResults!$B$3:$BB$492,9,FALSE),"")</f>
        <v>DNS/DNF ()</v>
      </c>
      <c r="K154" s="58" t="str">
        <f>IFERROR(VLOOKUP($B154,OverallResults!$B$3:$BB$492,10,FALSE),"")</f>
        <v>00:04:19.1 (108)</v>
      </c>
      <c r="L154" s="57" t="str">
        <f>IFERROR(VLOOKUP($B154,OverallResults!$B$3:$BB$492,11,FALSE),"")</f>
        <v>00:02:40.7 (157)</v>
      </c>
      <c r="M154" s="57" t="str">
        <f>IFERROR(VLOOKUP($B154,OverallResults!$B$3:$BB$492,12,FALSE),"")</f>
        <v>DNS/DNF ()</v>
      </c>
      <c r="N154" s="58" t="str">
        <f>IFERROR(VLOOKUP($B154,OverallResults!$B$3:$BB$492,13,FALSE),"")</f>
        <v>00:05:43.2 (94)</v>
      </c>
      <c r="O154" s="58" t="str">
        <f>IFERROR(VLOOKUP($B154,OverallResults!$B$3:$BB$492,14,FALSE),"")</f>
        <v>DNS/DNF ()</v>
      </c>
      <c r="P154" s="58" t="str">
        <f>IFERROR(VLOOKUP($B154,OverallResults!$B$3:$BB$492,15,FALSE),"")</f>
        <v>DNS/DNF ()</v>
      </c>
      <c r="Q154" s="58" t="str">
        <f>IFERROR(VLOOKUP($B154,OverallResults!$B$3:$BB$492,16,FALSE),"")</f>
        <v>DNS/DNF ()</v>
      </c>
      <c r="R154" s="58" t="str">
        <f>IFERROR(VLOOKUP($B154,OverallResults!$B$3:$BB$492,17,FALSE),"")</f>
        <v>00:12:43.009</v>
      </c>
      <c r="S154" s="170" t="str">
        <f t="shared" si="4"/>
        <v>00:04</v>
      </c>
      <c r="T154" s="170" t="str">
        <f t="shared" si="5"/>
        <v>N/A</v>
      </c>
      <c r="U154" s="359">
        <f>IFERROR(VLOOKUP($D154,EntryList!$B$3:$S$291,18,FALSE),"")</f>
        <v>0</v>
      </c>
      <c r="V154" s="359">
        <f>IFERROR(VLOOKUP($D154,EntryList!$B$3:$S$291,17,FALSE),"")</f>
        <v>0</v>
      </c>
    </row>
    <row r="155" spans="2:22">
      <c r="B155" s="59">
        <v>150</v>
      </c>
      <c r="C155" s="59">
        <f>IFERROR(VLOOKUP($B155,OverallResults!$B$3:$Z$508,2,FALSE),"")</f>
        <v>12</v>
      </c>
      <c r="D155" s="149" t="str">
        <f>IFERROR(VLOOKUP($B155,OverallResults!$B$3:$Z$508,3,FALSE),"")</f>
        <v>Ridha Davids</v>
      </c>
      <c r="E155" s="146">
        <f>IFERROR(VLOOKUP(C155,SeriesPoints!$A$2:$B$51,2,FALSE),"")</f>
        <v>92</v>
      </c>
      <c r="F155" s="148" t="str">
        <f>IFERROR(VLOOKUP($D155,EntryList!$B$3:$V$291,21,FALSE),"")</f>
        <v>-</v>
      </c>
      <c r="G155" s="100" t="str">
        <f>IFERROR(VLOOKUP($D155,EntryList!$B$3:$N$596,5,FALSE),"")</f>
        <v>M</v>
      </c>
      <c r="H155" s="145" t="str">
        <f>IFERROR(VLOOKUP($D155,EntryList!$B$3:$N$596,6,FALSE),"")</f>
        <v>Lite M</v>
      </c>
      <c r="I155" s="59">
        <f>IFERROR(VLOOKUP($B155,OverallResults!$B$3:$Z$492,8,FALSE),"")</f>
        <v>3</v>
      </c>
      <c r="J155" s="57" t="str">
        <f>IFERROR(VLOOKUP($B155,OverallResults!$B$3:$BB$492,9,FALSE),"")</f>
        <v>DNS/DNF ()</v>
      </c>
      <c r="K155" s="58" t="str">
        <f>IFERROR(VLOOKUP($B155,OverallResults!$B$3:$BB$492,10,FALSE),"")</f>
        <v>00:04:28.4 (131)</v>
      </c>
      <c r="L155" s="57" t="str">
        <f>IFERROR(VLOOKUP($B155,OverallResults!$B$3:$BB$492,11,FALSE),"")</f>
        <v>00:02:31.8 (117)</v>
      </c>
      <c r="M155" s="57" t="str">
        <f>IFERROR(VLOOKUP($B155,OverallResults!$B$3:$BB$492,12,FALSE),"")</f>
        <v>DNS/DNF ()</v>
      </c>
      <c r="N155" s="58" t="str">
        <f>IFERROR(VLOOKUP($B155,OverallResults!$B$3:$BB$492,13,FALSE),"")</f>
        <v>00:05:47.8 (101)</v>
      </c>
      <c r="O155" s="58" t="str">
        <f>IFERROR(VLOOKUP($B155,OverallResults!$B$3:$BB$492,14,FALSE),"")</f>
        <v>DNS/DNF ()</v>
      </c>
      <c r="P155" s="58" t="str">
        <f>IFERROR(VLOOKUP($B155,OverallResults!$B$3:$BB$492,15,FALSE),"")</f>
        <v>DNS/DNF ()</v>
      </c>
      <c r="Q155" s="58" t="str">
        <f>IFERROR(VLOOKUP($B155,OverallResults!$B$3:$BB$492,16,FALSE),"")</f>
        <v>DNS/DNF ()</v>
      </c>
      <c r="R155" s="58" t="str">
        <f>IFERROR(VLOOKUP($B155,OverallResults!$B$3:$BB$492,17,FALSE),"")</f>
        <v>00:12:47.984</v>
      </c>
      <c r="S155" s="170" t="str">
        <f t="shared" si="4"/>
        <v>00:05</v>
      </c>
      <c r="T155" s="170" t="str">
        <f t="shared" si="5"/>
        <v>N/A</v>
      </c>
      <c r="U155" s="359">
        <f>IFERROR(VLOOKUP($D155,EntryList!$B$3:$S$291,18,FALSE),"")</f>
        <v>0</v>
      </c>
      <c r="V155" s="359">
        <f>IFERROR(VLOOKUP($D155,EntryList!$B$3:$S$291,17,FALSE),"")</f>
        <v>0</v>
      </c>
    </row>
    <row r="156" spans="2:22">
      <c r="B156" s="59">
        <v>151</v>
      </c>
      <c r="C156" s="59">
        <f>IFERROR(VLOOKUP($B156,OverallResults!$B$3:$Z$508,2,FALSE),"")</f>
        <v>13</v>
      </c>
      <c r="D156" s="149" t="str">
        <f>IFERROR(VLOOKUP($B156,OverallResults!$B$3:$Z$508,3,FALSE),"")</f>
        <v>Thomas Kabalin</v>
      </c>
      <c r="E156" s="146">
        <f>IFERROR(VLOOKUP(C156,SeriesPoints!$A$2:$B$51,2,FALSE),"")</f>
        <v>88</v>
      </c>
      <c r="F156" s="148" t="str">
        <f>IFERROR(VLOOKUP($D156,EntryList!$B$3:$V$291,21,FALSE),"")</f>
        <v>-</v>
      </c>
      <c r="G156" s="100" t="str">
        <f>IFERROR(VLOOKUP($D156,EntryList!$B$3:$N$596,5,FALSE),"")</f>
        <v>M</v>
      </c>
      <c r="H156" s="145" t="str">
        <f>IFERROR(VLOOKUP($D156,EntryList!$B$3:$N$596,6,FALSE),"")</f>
        <v>Lite M</v>
      </c>
      <c r="I156" s="59">
        <f>IFERROR(VLOOKUP($B156,OverallResults!$B$3:$Z$492,8,FALSE),"")</f>
        <v>3</v>
      </c>
      <c r="J156" s="57" t="str">
        <f>IFERROR(VLOOKUP($B156,OverallResults!$B$3:$BB$492,9,FALSE),"")</f>
        <v>DNS/DNF ()</v>
      </c>
      <c r="K156" s="58" t="str">
        <f>IFERROR(VLOOKUP($B156,OverallResults!$B$3:$BB$492,10,FALSE),"")</f>
        <v>00:04:22.7 (115)</v>
      </c>
      <c r="L156" s="57" t="str">
        <f>IFERROR(VLOOKUP($B156,OverallResults!$B$3:$BB$492,11,FALSE),"")</f>
        <v>00:02:31.1 (112)</v>
      </c>
      <c r="M156" s="57" t="str">
        <f>IFERROR(VLOOKUP($B156,OverallResults!$B$3:$BB$492,12,FALSE),"")</f>
        <v>DNS/DNF ()</v>
      </c>
      <c r="N156" s="58" t="str">
        <f>IFERROR(VLOOKUP($B156,OverallResults!$B$3:$BB$492,13,FALSE),"")</f>
        <v>00:05:54.6 (126)</v>
      </c>
      <c r="O156" s="58" t="str">
        <f>IFERROR(VLOOKUP($B156,OverallResults!$B$3:$BB$492,14,FALSE),"")</f>
        <v>DNS/DNF ()</v>
      </c>
      <c r="P156" s="58" t="str">
        <f>IFERROR(VLOOKUP($B156,OverallResults!$B$3:$BB$492,15,FALSE),"")</f>
        <v>DNS/DNF ()</v>
      </c>
      <c r="Q156" s="58" t="str">
        <f>IFERROR(VLOOKUP($B156,OverallResults!$B$3:$BB$492,16,FALSE),"")</f>
        <v>DNS/DNF ()</v>
      </c>
      <c r="R156" s="58" t="str">
        <f>IFERROR(VLOOKUP($B156,OverallResults!$B$3:$BB$492,17,FALSE),"")</f>
        <v>00:12:48.373</v>
      </c>
      <c r="S156" s="170" t="str">
        <f t="shared" si="4"/>
        <v>00:00</v>
      </c>
      <c r="T156" s="170" t="str">
        <f t="shared" si="5"/>
        <v>N/A</v>
      </c>
      <c r="U156" s="359">
        <f>IFERROR(VLOOKUP($D156,EntryList!$B$3:$S$291,18,FALSE),"")</f>
        <v>0</v>
      </c>
      <c r="V156" s="359">
        <f>IFERROR(VLOOKUP($D156,EntryList!$B$3:$S$291,17,FALSE),"")</f>
        <v>0</v>
      </c>
    </row>
    <row r="157" spans="2:22">
      <c r="B157" s="59">
        <v>152</v>
      </c>
      <c r="C157" s="59">
        <f>IFERROR(VLOOKUP($B157,OverallResults!$B$3:$Z$508,2,FALSE),"")</f>
        <v>14</v>
      </c>
      <c r="D157" s="149" t="str">
        <f>IFERROR(VLOOKUP($B157,OverallResults!$B$3:$Z$508,3,FALSE),"")</f>
        <v>Joshua Baptie</v>
      </c>
      <c r="E157" s="146">
        <f>IFERROR(VLOOKUP(C157,SeriesPoints!$A$2:$B$51,2,FALSE),"")</f>
        <v>84</v>
      </c>
      <c r="F157" s="148" t="str">
        <f>IFERROR(VLOOKUP($D157,EntryList!$B$3:$V$291,21,FALSE),"")</f>
        <v>-</v>
      </c>
      <c r="G157" s="100" t="str">
        <f>IFERROR(VLOOKUP($D157,EntryList!$B$3:$N$596,5,FALSE),"")</f>
        <v>M</v>
      </c>
      <c r="H157" s="145" t="str">
        <f>IFERROR(VLOOKUP($D157,EntryList!$B$3:$N$596,6,FALSE),"")</f>
        <v>Lite M</v>
      </c>
      <c r="I157" s="59">
        <f>IFERROR(VLOOKUP($B157,OverallResults!$B$3:$Z$492,8,FALSE),"")</f>
        <v>3</v>
      </c>
      <c r="J157" s="57" t="str">
        <f>IFERROR(VLOOKUP($B157,OverallResults!$B$3:$BB$492,9,FALSE),"")</f>
        <v>DNS/DNF ()</v>
      </c>
      <c r="K157" s="58" t="str">
        <f>IFERROR(VLOOKUP($B157,OverallResults!$B$3:$BB$492,10,FALSE),"")</f>
        <v>00:04:21.5 (114)</v>
      </c>
      <c r="L157" s="57" t="str">
        <f>IFERROR(VLOOKUP($B157,OverallResults!$B$3:$BB$492,11,FALSE),"")</f>
        <v>00:02:26.3 (96)</v>
      </c>
      <c r="M157" s="57" t="str">
        <f>IFERROR(VLOOKUP($B157,OverallResults!$B$3:$BB$492,12,FALSE),"")</f>
        <v>DNS/DNF ()</v>
      </c>
      <c r="N157" s="58" t="str">
        <f>IFERROR(VLOOKUP($B157,OverallResults!$B$3:$BB$492,13,FALSE),"")</f>
        <v>00:06:05.1 (151)</v>
      </c>
      <c r="O157" s="58" t="str">
        <f>IFERROR(VLOOKUP($B157,OverallResults!$B$3:$BB$492,14,FALSE),"")</f>
        <v>DNS/DNF ()</v>
      </c>
      <c r="P157" s="58" t="str">
        <f>IFERROR(VLOOKUP($B157,OverallResults!$B$3:$BB$492,15,FALSE),"")</f>
        <v>DNS/DNF ()</v>
      </c>
      <c r="Q157" s="58" t="str">
        <f>IFERROR(VLOOKUP($B157,OverallResults!$B$3:$BB$492,16,FALSE),"")</f>
        <v>DNS/DNF ()</v>
      </c>
      <c r="R157" s="58" t="str">
        <f>IFERROR(VLOOKUP($B157,OverallResults!$B$3:$BB$492,17,FALSE),"")</f>
        <v>00:12:52.881</v>
      </c>
      <c r="S157" s="170" t="str">
        <f t="shared" si="4"/>
        <v>00:05</v>
      </c>
      <c r="T157" s="170" t="str">
        <f t="shared" si="5"/>
        <v>N/A</v>
      </c>
      <c r="U157" s="359">
        <f>IFERROR(VLOOKUP($D157,EntryList!$B$3:$S$291,18,FALSE),"")</f>
        <v>0</v>
      </c>
      <c r="V157" s="359">
        <f>IFERROR(VLOOKUP($D157,EntryList!$B$3:$S$291,17,FALSE),"")</f>
        <v>0</v>
      </c>
    </row>
    <row r="158" spans="2:22">
      <c r="B158" s="59">
        <v>153</v>
      </c>
      <c r="C158" s="59">
        <f>IFERROR(VLOOKUP($B158,OverallResults!$B$3:$Z$508,2,FALSE),"")</f>
        <v>15</v>
      </c>
      <c r="D158" s="149" t="str">
        <f>IFERROR(VLOOKUP($B158,OverallResults!$B$3:$Z$508,3,FALSE),"")</f>
        <v>Michael Collins</v>
      </c>
      <c r="E158" s="146">
        <f>IFERROR(VLOOKUP(C158,SeriesPoints!$A$2:$B$51,2,FALSE),"")</f>
        <v>80</v>
      </c>
      <c r="F158" s="148" t="str">
        <f>IFERROR(VLOOKUP($D158,EntryList!$B$3:$V$291,21,FALSE),"")</f>
        <v>-</v>
      </c>
      <c r="G158" s="100" t="str">
        <f>IFERROR(VLOOKUP($D158,EntryList!$B$3:$N$596,5,FALSE),"")</f>
        <v>M</v>
      </c>
      <c r="H158" s="145" t="str">
        <f>IFERROR(VLOOKUP($D158,EntryList!$B$3:$N$596,6,FALSE),"")</f>
        <v>Lite M</v>
      </c>
      <c r="I158" s="59">
        <f>IFERROR(VLOOKUP($B158,OverallResults!$B$3:$Z$492,8,FALSE),"")</f>
        <v>3</v>
      </c>
      <c r="J158" s="57" t="str">
        <f>IFERROR(VLOOKUP($B158,OverallResults!$B$3:$BB$492,9,FALSE),"")</f>
        <v>DNS/DNF ()</v>
      </c>
      <c r="K158" s="58" t="str">
        <f>IFERROR(VLOOKUP($B158,OverallResults!$B$3:$BB$492,10,FALSE),"")</f>
        <v>00:04:25.6 (121)</v>
      </c>
      <c r="L158" s="57" t="str">
        <f>IFERROR(VLOOKUP($B158,OverallResults!$B$3:$BB$492,11,FALSE),"")</f>
        <v>00:02:46.3 (179)</v>
      </c>
      <c r="M158" s="57" t="str">
        <f>IFERROR(VLOOKUP($B158,OverallResults!$B$3:$BB$492,12,FALSE),"")</f>
        <v>DNS/DNF ()</v>
      </c>
      <c r="N158" s="58" t="str">
        <f>IFERROR(VLOOKUP($B158,OverallResults!$B$3:$BB$492,13,FALSE),"")</f>
        <v>00:05:43.1 (93)</v>
      </c>
      <c r="O158" s="58" t="str">
        <f>IFERROR(VLOOKUP($B158,OverallResults!$B$3:$BB$492,14,FALSE),"")</f>
        <v>DNS/DNF ()</v>
      </c>
      <c r="P158" s="58" t="str">
        <f>IFERROR(VLOOKUP($B158,OverallResults!$B$3:$BB$492,15,FALSE),"")</f>
        <v>DNS/DNF ()</v>
      </c>
      <c r="Q158" s="58" t="str">
        <f>IFERROR(VLOOKUP($B158,OverallResults!$B$3:$BB$492,16,FALSE),"")</f>
        <v>DNS/DNF ()</v>
      </c>
      <c r="R158" s="58" t="str">
        <f>IFERROR(VLOOKUP($B158,OverallResults!$B$3:$BB$492,17,FALSE),"")</f>
        <v>00:12:54.963</v>
      </c>
      <c r="S158" s="170" t="str">
        <f t="shared" si="4"/>
        <v>00:02</v>
      </c>
      <c r="T158" s="170" t="str">
        <f t="shared" si="5"/>
        <v>N/A</v>
      </c>
      <c r="U158" s="359">
        <f>IFERROR(VLOOKUP($D158,EntryList!$B$3:$S$291,18,FALSE),"")</f>
        <v>0</v>
      </c>
      <c r="V158" s="359">
        <f>IFERROR(VLOOKUP($D158,EntryList!$B$3:$S$291,17,FALSE),"")</f>
        <v>0</v>
      </c>
    </row>
    <row r="159" spans="2:22">
      <c r="B159" s="59">
        <v>154</v>
      </c>
      <c r="C159" s="59">
        <f>IFERROR(VLOOKUP($B159,OverallResults!$B$3:$Z$508,2,FALSE),"")</f>
        <v>16</v>
      </c>
      <c r="D159" s="149" t="str">
        <f>IFERROR(VLOOKUP($B159,OverallResults!$B$3:$Z$508,3,FALSE),"")</f>
        <v>Carlo Stephens</v>
      </c>
      <c r="E159" s="146">
        <f>IFERROR(VLOOKUP(C159,SeriesPoints!$A$2:$B$51,2,FALSE),"")</f>
        <v>76</v>
      </c>
      <c r="F159" s="148" t="str">
        <f>IFERROR(VLOOKUP($D159,EntryList!$B$3:$V$291,21,FALSE),"")</f>
        <v>-</v>
      </c>
      <c r="G159" s="100" t="str">
        <f>IFERROR(VLOOKUP($D159,EntryList!$B$3:$N$596,5,FALSE),"")</f>
        <v>M</v>
      </c>
      <c r="H159" s="145" t="str">
        <f>IFERROR(VLOOKUP($D159,EntryList!$B$3:$N$596,6,FALSE),"")</f>
        <v>Lite M</v>
      </c>
      <c r="I159" s="59">
        <f>IFERROR(VLOOKUP($B159,OverallResults!$B$3:$Z$492,8,FALSE),"")</f>
        <v>3</v>
      </c>
      <c r="J159" s="57" t="str">
        <f>IFERROR(VLOOKUP($B159,OverallResults!$B$3:$BB$492,9,FALSE),"")</f>
        <v>DNS/DNF ()</v>
      </c>
      <c r="K159" s="58" t="str">
        <f>IFERROR(VLOOKUP($B159,OverallResults!$B$3:$BB$492,10,FALSE),"")</f>
        <v>00:04:28.8 (133)</v>
      </c>
      <c r="L159" s="57" t="str">
        <f>IFERROR(VLOOKUP($B159,OverallResults!$B$3:$BB$492,11,FALSE),"")</f>
        <v>00:02:40.8 (159)</v>
      </c>
      <c r="M159" s="57" t="str">
        <f>IFERROR(VLOOKUP($B159,OverallResults!$B$3:$BB$492,12,FALSE),"")</f>
        <v>DNS/DNF ()</v>
      </c>
      <c r="N159" s="58" t="str">
        <f>IFERROR(VLOOKUP($B159,OverallResults!$B$3:$BB$492,13,FALSE),"")</f>
        <v>00:05:48.8 (106)</v>
      </c>
      <c r="O159" s="58" t="str">
        <f>IFERROR(VLOOKUP($B159,OverallResults!$B$3:$BB$492,14,FALSE),"")</f>
        <v>DNS/DNF ()</v>
      </c>
      <c r="P159" s="58" t="str">
        <f>IFERROR(VLOOKUP($B159,OverallResults!$B$3:$BB$492,15,FALSE),"")</f>
        <v>DNS/DNF ()</v>
      </c>
      <c r="Q159" s="58" t="str">
        <f>IFERROR(VLOOKUP($B159,OverallResults!$B$3:$BB$492,16,FALSE),"")</f>
        <v>DNS/DNF ()</v>
      </c>
      <c r="R159" s="58" t="str">
        <f>IFERROR(VLOOKUP($B159,OverallResults!$B$3:$BB$492,17,FALSE),"")</f>
        <v>00:12:58.466</v>
      </c>
      <c r="S159" s="170" t="str">
        <f t="shared" si="4"/>
        <v>00:04</v>
      </c>
      <c r="T159" s="170" t="str">
        <f t="shared" si="5"/>
        <v>N/A</v>
      </c>
      <c r="U159" s="359">
        <f>IFERROR(VLOOKUP($D159,EntryList!$B$3:$S$291,18,FALSE),"")</f>
        <v>0</v>
      </c>
      <c r="V159" s="359">
        <f>IFERROR(VLOOKUP($D159,EntryList!$B$3:$S$291,17,FALSE),"")</f>
        <v>0</v>
      </c>
    </row>
    <row r="160" spans="2:22">
      <c r="B160" s="59">
        <v>155</v>
      </c>
      <c r="C160" s="59">
        <f>IFERROR(VLOOKUP($B160,OverallResults!$B$3:$Z$508,2,FALSE),"")</f>
        <v>5</v>
      </c>
      <c r="D160" s="149" t="str">
        <f>IFERROR(VLOOKUP($B160,OverallResults!$B$3:$Z$508,3,FALSE),"")</f>
        <v>Nico De Nysschen</v>
      </c>
      <c r="E160" s="146">
        <f>IFERROR(VLOOKUP(C160,SeriesPoints!$A$2:$B$51,2,FALSE),"")</f>
        <v>125</v>
      </c>
      <c r="F160" s="148" t="str">
        <f>IFERROR(VLOOKUP($D160,EntryList!$B$3:$V$291,21,FALSE),"")</f>
        <v>-</v>
      </c>
      <c r="G160" s="100" t="str">
        <f>IFERROR(VLOOKUP($D160,EntryList!$B$3:$N$596,5,FALSE),"")</f>
        <v>M</v>
      </c>
      <c r="H160" s="145" t="str">
        <f>IFERROR(VLOOKUP($D160,EntryList!$B$3:$N$596,6,FALSE),"")</f>
        <v>Sub Junior Boys</v>
      </c>
      <c r="I160" s="59">
        <f>IFERROR(VLOOKUP($B160,OverallResults!$B$3:$Z$492,8,FALSE),"")</f>
        <v>3</v>
      </c>
      <c r="J160" s="57" t="str">
        <f>IFERROR(VLOOKUP($B160,OverallResults!$B$3:$BB$492,9,FALSE),"")</f>
        <v>DNS/DNF ()</v>
      </c>
      <c r="K160" s="58" t="str">
        <f>IFERROR(VLOOKUP($B160,OverallResults!$B$3:$BB$492,10,FALSE),"")</f>
        <v>00:04:36.1 (155)</v>
      </c>
      <c r="L160" s="57" t="str">
        <f>IFERROR(VLOOKUP($B160,OverallResults!$B$3:$BB$492,11,FALSE),"")</f>
        <v>00:02:35.0 (133)</v>
      </c>
      <c r="M160" s="57" t="str">
        <f>IFERROR(VLOOKUP($B160,OverallResults!$B$3:$BB$492,12,FALSE),"")</f>
        <v>DNS/DNF ()</v>
      </c>
      <c r="N160" s="58" t="str">
        <f>IFERROR(VLOOKUP($B160,OverallResults!$B$3:$BB$492,13,FALSE),"")</f>
        <v>00:05:48.7 (104)</v>
      </c>
      <c r="O160" s="58" t="str">
        <f>IFERROR(VLOOKUP($B160,OverallResults!$B$3:$BB$492,14,FALSE),"")</f>
        <v>DNS/DNF ()</v>
      </c>
      <c r="P160" s="58" t="str">
        <f>IFERROR(VLOOKUP($B160,OverallResults!$B$3:$BB$492,15,FALSE),"")</f>
        <v>DNS/DNF ()</v>
      </c>
      <c r="Q160" s="58" t="str">
        <f>IFERROR(VLOOKUP($B160,OverallResults!$B$3:$BB$492,16,FALSE),"")</f>
        <v>DNS/DNF ()</v>
      </c>
      <c r="R160" s="58" t="str">
        <f>IFERROR(VLOOKUP($B160,OverallResults!$B$3:$BB$492,17,FALSE),"")</f>
        <v>00:12:59.827</v>
      </c>
      <c r="S160" s="170" t="str">
        <f t="shared" si="4"/>
        <v>00:01</v>
      </c>
      <c r="T160" s="170" t="str">
        <f t="shared" si="5"/>
        <v>N/A</v>
      </c>
      <c r="U160" s="359">
        <f>IFERROR(VLOOKUP($D160,EntryList!$B$3:$S$291,18,FALSE),"")</f>
        <v>0</v>
      </c>
      <c r="V160" s="359">
        <f>IFERROR(VLOOKUP($D160,EntryList!$B$3:$S$291,17,FALSE),"")</f>
        <v>0</v>
      </c>
    </row>
    <row r="161" spans="2:22">
      <c r="B161" s="59">
        <v>156</v>
      </c>
      <c r="C161" s="59">
        <f>IFERROR(VLOOKUP($B161,OverallResults!$B$3:$Z$508,2,FALSE),"")</f>
        <v>17</v>
      </c>
      <c r="D161" s="149" t="str">
        <f>IFERROR(VLOOKUP($B161,OverallResults!$B$3:$Z$508,3,FALSE),"")</f>
        <v>Gary Kroukamp</v>
      </c>
      <c r="E161" s="146">
        <f>IFERROR(VLOOKUP(C161,SeriesPoints!$A$2:$B$51,2,FALSE),"")</f>
        <v>72</v>
      </c>
      <c r="F161" s="148" t="str">
        <f>IFERROR(VLOOKUP($D161,EntryList!$B$3:$V$291,21,FALSE),"")</f>
        <v>-</v>
      </c>
      <c r="G161" s="100" t="str">
        <f>IFERROR(VLOOKUP($D161,EntryList!$B$3:$N$596,5,FALSE),"")</f>
        <v>M</v>
      </c>
      <c r="H161" s="145" t="str">
        <f>IFERROR(VLOOKUP($D161,EntryList!$B$3:$N$596,6,FALSE),"")</f>
        <v>Lite M</v>
      </c>
      <c r="I161" s="59">
        <f>IFERROR(VLOOKUP($B161,OverallResults!$B$3:$Z$492,8,FALSE),"")</f>
        <v>3</v>
      </c>
      <c r="J161" s="57" t="str">
        <f>IFERROR(VLOOKUP($B161,OverallResults!$B$3:$BB$492,9,FALSE),"")</f>
        <v>DNS/DNF ()</v>
      </c>
      <c r="K161" s="58" t="str">
        <f>IFERROR(VLOOKUP($B161,OverallResults!$B$3:$BB$492,10,FALSE),"")</f>
        <v>00:04:32.6 (143)</v>
      </c>
      <c r="L161" s="57" t="str">
        <f>IFERROR(VLOOKUP($B161,OverallResults!$B$3:$BB$492,11,FALSE),"")</f>
        <v>00:02:33.9 (126)</v>
      </c>
      <c r="M161" s="57" t="str">
        <f>IFERROR(VLOOKUP($B161,OverallResults!$B$3:$BB$492,12,FALSE),"")</f>
        <v>DNS/DNF ()</v>
      </c>
      <c r="N161" s="58" t="str">
        <f>IFERROR(VLOOKUP($B161,OverallResults!$B$3:$BB$492,13,FALSE),"")</f>
        <v>00:05:58.1 (134)</v>
      </c>
      <c r="O161" s="58" t="str">
        <f>IFERROR(VLOOKUP($B161,OverallResults!$B$3:$BB$492,14,FALSE),"")</f>
        <v>DNS/DNF ()</v>
      </c>
      <c r="P161" s="58" t="str">
        <f>IFERROR(VLOOKUP($B161,OverallResults!$B$3:$BB$492,15,FALSE),"")</f>
        <v>DNS/DNF ()</v>
      </c>
      <c r="Q161" s="58" t="str">
        <f>IFERROR(VLOOKUP($B161,OverallResults!$B$3:$BB$492,16,FALSE),"")</f>
        <v>DNS/DNF ()</v>
      </c>
      <c r="R161" s="58" t="str">
        <f>IFERROR(VLOOKUP($B161,OverallResults!$B$3:$BB$492,17,FALSE),"")</f>
        <v>00:13:04.605</v>
      </c>
      <c r="S161" s="170" t="str">
        <f t="shared" si="4"/>
        <v>00:05</v>
      </c>
      <c r="T161" s="170" t="str">
        <f t="shared" si="5"/>
        <v>N/A</v>
      </c>
      <c r="U161" s="359">
        <f>IFERROR(VLOOKUP($D161,EntryList!$B$3:$S$291,18,FALSE),"")</f>
        <v>0</v>
      </c>
      <c r="V161" s="359">
        <f>IFERROR(VLOOKUP($D161,EntryList!$B$3:$S$291,17,FALSE),"")</f>
        <v>0</v>
      </c>
    </row>
    <row r="162" spans="2:22">
      <c r="B162" s="59">
        <v>157</v>
      </c>
      <c r="C162" s="59">
        <f>IFERROR(VLOOKUP($B162,OverallResults!$B$3:$Z$508,2,FALSE),"")</f>
        <v>1</v>
      </c>
      <c r="D162" s="149" t="str">
        <f>IFERROR(VLOOKUP($B162,OverallResults!$B$3:$Z$508,3,FALSE),"")</f>
        <v>Kylie Hanekom</v>
      </c>
      <c r="E162" s="146">
        <f>IFERROR(VLOOKUP(C162,SeriesPoints!$A$2:$B$51,2,FALSE),"")</f>
        <v>200</v>
      </c>
      <c r="F162" s="148" t="str">
        <f>IFERROR(VLOOKUP($D162,EntryList!$B$3:$V$291,21,FALSE),"")</f>
        <v>-</v>
      </c>
      <c r="G162" s="100" t="str">
        <f>IFERROR(VLOOKUP($D162,EntryList!$B$3:$N$596,5,FALSE),"")</f>
        <v>F</v>
      </c>
      <c r="H162" s="145" t="str">
        <f>IFERROR(VLOOKUP($D162,EntryList!$B$3:$N$596,6,FALSE),"")</f>
        <v>Lite F</v>
      </c>
      <c r="I162" s="59">
        <f>IFERROR(VLOOKUP($B162,OverallResults!$B$3:$Z$492,8,FALSE),"")</f>
        <v>3</v>
      </c>
      <c r="J162" s="57" t="str">
        <f>IFERROR(VLOOKUP($B162,OverallResults!$B$3:$BB$492,9,FALSE),"")</f>
        <v>DNS/DNF ()</v>
      </c>
      <c r="K162" s="58" t="str">
        <f>IFERROR(VLOOKUP($B162,OverallResults!$B$3:$BB$492,10,FALSE),"")</f>
        <v>00:04:23.0 (116)</v>
      </c>
      <c r="L162" s="57" t="str">
        <f>IFERROR(VLOOKUP($B162,OverallResults!$B$3:$BB$492,11,FALSE),"")</f>
        <v>00:02:36.2 (137)</v>
      </c>
      <c r="M162" s="57" t="str">
        <f>IFERROR(VLOOKUP($B162,OverallResults!$B$3:$BB$492,12,FALSE),"")</f>
        <v>DNS/DNF ()</v>
      </c>
      <c r="N162" s="58" t="str">
        <f>IFERROR(VLOOKUP($B162,OverallResults!$B$3:$BB$492,13,FALSE),"")</f>
        <v>00:06:09.0 (160)</v>
      </c>
      <c r="O162" s="58" t="str">
        <f>IFERROR(VLOOKUP($B162,OverallResults!$B$3:$BB$492,14,FALSE),"")</f>
        <v>DNS/DNF ()</v>
      </c>
      <c r="P162" s="58" t="str">
        <f>IFERROR(VLOOKUP($B162,OverallResults!$B$3:$BB$492,15,FALSE),"")</f>
        <v>DNS/DNF ()</v>
      </c>
      <c r="Q162" s="58" t="str">
        <f>IFERROR(VLOOKUP($B162,OverallResults!$B$3:$BB$492,16,FALSE),"")</f>
        <v>DNS/DNF ()</v>
      </c>
      <c r="R162" s="58" t="str">
        <f>IFERROR(VLOOKUP($B162,OverallResults!$B$3:$BB$492,17,FALSE),"")</f>
        <v>00:13:08.212</v>
      </c>
      <c r="S162" s="170" t="str">
        <f t="shared" si="4"/>
        <v>00:04</v>
      </c>
      <c r="T162" s="170" t="str">
        <f t="shared" si="5"/>
        <v>N/A</v>
      </c>
      <c r="U162" s="359">
        <f>IFERROR(VLOOKUP($D162,EntryList!$B$3:$S$291,18,FALSE),"")</f>
        <v>0</v>
      </c>
      <c r="V162" s="359">
        <f>IFERROR(VLOOKUP($D162,EntryList!$B$3:$S$291,17,FALSE),"")</f>
        <v>0</v>
      </c>
    </row>
    <row r="163" spans="2:22">
      <c r="B163" s="59">
        <v>158</v>
      </c>
      <c r="C163" s="59">
        <f>IFERROR(VLOOKUP($B163,OverallResults!$B$3:$Z$508,2,FALSE),"")</f>
        <v>18</v>
      </c>
      <c r="D163" s="149" t="str">
        <f>IFERROR(VLOOKUP($B163,OverallResults!$B$3:$Z$508,3,FALSE),"")</f>
        <v>Chrisman De Jager</v>
      </c>
      <c r="E163" s="146">
        <f>IFERROR(VLOOKUP(C163,SeriesPoints!$A$2:$B$51,2,FALSE),"")</f>
        <v>68</v>
      </c>
      <c r="F163" s="148" t="str">
        <f>IFERROR(VLOOKUP($D163,EntryList!$B$3:$V$291,21,FALSE),"")</f>
        <v>-</v>
      </c>
      <c r="G163" s="100" t="str">
        <f>IFERROR(VLOOKUP($D163,EntryList!$B$3:$N$596,5,FALSE),"")</f>
        <v>M</v>
      </c>
      <c r="H163" s="145" t="str">
        <f>IFERROR(VLOOKUP($D163,EntryList!$B$3:$N$596,6,FALSE),"")</f>
        <v>Lite M</v>
      </c>
      <c r="I163" s="59">
        <f>IFERROR(VLOOKUP($B163,OverallResults!$B$3:$Z$492,8,FALSE),"")</f>
        <v>3</v>
      </c>
      <c r="J163" s="57" t="str">
        <f>IFERROR(VLOOKUP($B163,OverallResults!$B$3:$BB$492,9,FALSE),"")</f>
        <v>DNS/DNF ()</v>
      </c>
      <c r="K163" s="58" t="str">
        <f>IFERROR(VLOOKUP($B163,OverallResults!$B$3:$BB$492,10,FALSE),"")</f>
        <v>00:04:32.3 (141)</v>
      </c>
      <c r="L163" s="57" t="str">
        <f>IFERROR(VLOOKUP($B163,OverallResults!$B$3:$BB$492,11,FALSE),"")</f>
        <v>00:02:39.6 (147)</v>
      </c>
      <c r="M163" s="57" t="str">
        <f>IFERROR(VLOOKUP($B163,OverallResults!$B$3:$BB$492,12,FALSE),"")</f>
        <v>DNS/DNF ()</v>
      </c>
      <c r="N163" s="58" t="str">
        <f>IFERROR(VLOOKUP($B163,OverallResults!$B$3:$BB$492,13,FALSE),"")</f>
        <v>00:05:56.4 (129)</v>
      </c>
      <c r="O163" s="58" t="str">
        <f>IFERROR(VLOOKUP($B163,OverallResults!$B$3:$BB$492,14,FALSE),"")</f>
        <v>DNS/DNF ()</v>
      </c>
      <c r="P163" s="58" t="str">
        <f>IFERROR(VLOOKUP($B163,OverallResults!$B$3:$BB$492,15,FALSE),"")</f>
        <v>DNS/DNF ()</v>
      </c>
      <c r="Q163" s="58" t="str">
        <f>IFERROR(VLOOKUP($B163,OverallResults!$B$3:$BB$492,16,FALSE),"")</f>
        <v>DNS/DNF ()</v>
      </c>
      <c r="R163" s="58" t="str">
        <f>IFERROR(VLOOKUP($B163,OverallResults!$B$3:$BB$492,17,FALSE),"")</f>
        <v>00:13:08.299</v>
      </c>
      <c r="S163" s="170" t="str">
        <f t="shared" si="4"/>
        <v>00:00</v>
      </c>
      <c r="T163" s="170" t="str">
        <f t="shared" si="5"/>
        <v>N/A</v>
      </c>
      <c r="U163" s="359">
        <f>IFERROR(VLOOKUP($D163,EntryList!$B$3:$S$291,18,FALSE),"")</f>
        <v>0</v>
      </c>
      <c r="V163" s="359">
        <f>IFERROR(VLOOKUP($D163,EntryList!$B$3:$S$291,17,FALSE),"")</f>
        <v>0</v>
      </c>
    </row>
    <row r="164" spans="2:22">
      <c r="B164" s="59">
        <v>159</v>
      </c>
      <c r="C164" s="59">
        <f>IFERROR(VLOOKUP($B164,OverallResults!$B$3:$Z$508,2,FALSE),"")</f>
        <v>6</v>
      </c>
      <c r="D164" s="149" t="str">
        <f>IFERROR(VLOOKUP($B164,OverallResults!$B$3:$Z$508,3,FALSE),"")</f>
        <v>Jadon Hunter</v>
      </c>
      <c r="E164" s="146">
        <f>IFERROR(VLOOKUP(C164,SeriesPoints!$A$2:$B$51,2,FALSE),"")</f>
        <v>120</v>
      </c>
      <c r="F164" s="148" t="str">
        <f>IFERROR(VLOOKUP($D164,EntryList!$B$3:$V$291,21,FALSE),"")</f>
        <v>-</v>
      </c>
      <c r="G164" s="100" t="str">
        <f>IFERROR(VLOOKUP($D164,EntryList!$B$3:$N$596,5,FALSE),"")</f>
        <v>M</v>
      </c>
      <c r="H164" s="145" t="str">
        <f>IFERROR(VLOOKUP($D164,EntryList!$B$3:$N$596,6,FALSE),"")</f>
        <v>Sub Junior Boys</v>
      </c>
      <c r="I164" s="59">
        <f>IFERROR(VLOOKUP($B164,OverallResults!$B$3:$Z$492,8,FALSE),"")</f>
        <v>3</v>
      </c>
      <c r="J164" s="57" t="str">
        <f>IFERROR(VLOOKUP($B164,OverallResults!$B$3:$BB$492,9,FALSE),"")</f>
        <v>DNS/DNF ()</v>
      </c>
      <c r="K164" s="58" t="str">
        <f>IFERROR(VLOOKUP($B164,OverallResults!$B$3:$BB$492,10,FALSE),"")</f>
        <v>00:04:33.2 (146)</v>
      </c>
      <c r="L164" s="57" t="str">
        <f>IFERROR(VLOOKUP($B164,OverallResults!$B$3:$BB$492,11,FALSE),"")</f>
        <v>00:02:34.4 (129)</v>
      </c>
      <c r="M164" s="57" t="str">
        <f>IFERROR(VLOOKUP($B164,OverallResults!$B$3:$BB$492,12,FALSE),"")</f>
        <v>DNS/DNF ()</v>
      </c>
      <c r="N164" s="58" t="str">
        <f>IFERROR(VLOOKUP($B164,OverallResults!$B$3:$BB$492,13,FALSE),"")</f>
        <v>00:06:01.2 (145)</v>
      </c>
      <c r="O164" s="58" t="str">
        <f>IFERROR(VLOOKUP($B164,OverallResults!$B$3:$BB$492,14,FALSE),"")</f>
        <v>DNS/DNF ()</v>
      </c>
      <c r="P164" s="58" t="str">
        <f>IFERROR(VLOOKUP($B164,OverallResults!$B$3:$BB$492,15,FALSE),"")</f>
        <v>DNS/DNF ()</v>
      </c>
      <c r="Q164" s="58" t="str">
        <f>IFERROR(VLOOKUP($B164,OverallResults!$B$3:$BB$492,16,FALSE),"")</f>
        <v>DNS/DNF ()</v>
      </c>
      <c r="R164" s="58" t="str">
        <f>IFERROR(VLOOKUP($B164,OverallResults!$B$3:$BB$492,17,FALSE),"")</f>
        <v>00:13:08.781</v>
      </c>
      <c r="S164" s="170" t="str">
        <f t="shared" si="4"/>
        <v>00:00</v>
      </c>
      <c r="T164" s="170" t="str">
        <f t="shared" si="5"/>
        <v>N/A</v>
      </c>
      <c r="U164" s="359">
        <f>IFERROR(VLOOKUP($D164,EntryList!$B$3:$S$291,18,FALSE),"")</f>
        <v>0</v>
      </c>
      <c r="V164" s="359">
        <f>IFERROR(VLOOKUP($D164,EntryList!$B$3:$S$291,17,FALSE),"")</f>
        <v>0</v>
      </c>
    </row>
    <row r="165" spans="2:22">
      <c r="B165" s="59">
        <v>160</v>
      </c>
      <c r="C165" s="59">
        <f>IFERROR(VLOOKUP($B165,OverallResults!$B$3:$Z$508,2,FALSE),"")</f>
        <v>19</v>
      </c>
      <c r="D165" s="149" t="str">
        <f>IFERROR(VLOOKUP($B165,OverallResults!$B$3:$Z$508,3,FALSE),"")</f>
        <v>Ezra Evans</v>
      </c>
      <c r="E165" s="146">
        <f>IFERROR(VLOOKUP(C165,SeriesPoints!$A$2:$B$51,2,FALSE),"")</f>
        <v>64</v>
      </c>
      <c r="F165" s="148" t="str">
        <f>IFERROR(VLOOKUP($D165,EntryList!$B$3:$V$291,21,FALSE),"")</f>
        <v>-</v>
      </c>
      <c r="G165" s="100" t="str">
        <f>IFERROR(VLOOKUP($D165,EntryList!$B$3:$N$596,5,FALSE),"")</f>
        <v>M</v>
      </c>
      <c r="H165" s="145" t="str">
        <f>IFERROR(VLOOKUP($D165,EntryList!$B$3:$N$596,6,FALSE),"")</f>
        <v>Lite M</v>
      </c>
      <c r="I165" s="59">
        <f>IFERROR(VLOOKUP($B165,OverallResults!$B$3:$Z$492,8,FALSE),"")</f>
        <v>3</v>
      </c>
      <c r="J165" s="57" t="str">
        <f>IFERROR(VLOOKUP($B165,OverallResults!$B$3:$BB$492,9,FALSE),"")</f>
        <v>DNS/DNF ()</v>
      </c>
      <c r="K165" s="58" t="str">
        <f>IFERROR(VLOOKUP($B165,OverallResults!$B$3:$BB$492,10,FALSE),"")</f>
        <v>00:04:33.1 (145)</v>
      </c>
      <c r="L165" s="57" t="str">
        <f>IFERROR(VLOOKUP($B165,OverallResults!$B$3:$BB$492,11,FALSE),"")</f>
        <v>00:02:31.8 (118)</v>
      </c>
      <c r="M165" s="57" t="str">
        <f>IFERROR(VLOOKUP($B165,OverallResults!$B$3:$BB$492,12,FALSE),"")</f>
        <v>DNS/DNF ()</v>
      </c>
      <c r="N165" s="58" t="str">
        <f>IFERROR(VLOOKUP($B165,OverallResults!$B$3:$BB$492,13,FALSE),"")</f>
        <v>00:06:04.8 (150)</v>
      </c>
      <c r="O165" s="58" t="str">
        <f>IFERROR(VLOOKUP($B165,OverallResults!$B$3:$BB$492,14,FALSE),"")</f>
        <v>DNS/DNF ()</v>
      </c>
      <c r="P165" s="58" t="str">
        <f>IFERROR(VLOOKUP($B165,OverallResults!$B$3:$BB$492,15,FALSE),"")</f>
        <v>DNS/DNF ()</v>
      </c>
      <c r="Q165" s="58" t="str">
        <f>IFERROR(VLOOKUP($B165,OverallResults!$B$3:$BB$492,16,FALSE),"")</f>
        <v>DNS/DNF ()</v>
      </c>
      <c r="R165" s="58" t="str">
        <f>IFERROR(VLOOKUP($B165,OverallResults!$B$3:$BB$492,17,FALSE),"")</f>
        <v>00:13:09.694</v>
      </c>
      <c r="S165" s="170" t="str">
        <f t="shared" si="4"/>
        <v>00:01</v>
      </c>
      <c r="T165" s="170" t="str">
        <f t="shared" si="5"/>
        <v>N/A</v>
      </c>
      <c r="U165" s="359" t="str">
        <f>IFERROR(VLOOKUP($D165,EntryList!$B$3:$S$291,18,FALSE),"")</f>
        <v/>
      </c>
      <c r="V165" s="359" t="str">
        <f>IFERROR(VLOOKUP($D165,EntryList!$B$3:$S$291,17,FALSE),"")</f>
        <v/>
      </c>
    </row>
    <row r="166" spans="2:22">
      <c r="B166" s="59">
        <v>161</v>
      </c>
      <c r="C166" s="59">
        <f>IFERROR(VLOOKUP($B166,OverallResults!$B$3:$Z$508,2,FALSE),"")</f>
        <v>7</v>
      </c>
      <c r="D166" s="149" t="str">
        <f>IFERROR(VLOOKUP($B166,OverallResults!$B$3:$Z$508,3,FALSE),"")</f>
        <v>Adam Dawson</v>
      </c>
      <c r="E166" s="146">
        <f>IFERROR(VLOOKUP(C166,SeriesPoints!$A$2:$B$51,2,FALSE),"")</f>
        <v>115</v>
      </c>
      <c r="F166" s="148" t="str">
        <f>IFERROR(VLOOKUP($D166,EntryList!$B$3:$V$291,21,FALSE),"")</f>
        <v>-</v>
      </c>
      <c r="G166" s="100" t="str">
        <f>IFERROR(VLOOKUP($D166,EntryList!$B$3:$N$596,5,FALSE),"")</f>
        <v>M</v>
      </c>
      <c r="H166" s="145" t="str">
        <f>IFERROR(VLOOKUP($D166,EntryList!$B$3:$N$596,6,FALSE),"")</f>
        <v>Sub Junior Boys</v>
      </c>
      <c r="I166" s="59">
        <f>IFERROR(VLOOKUP($B166,OverallResults!$B$3:$Z$492,8,FALSE),"")</f>
        <v>3</v>
      </c>
      <c r="J166" s="57" t="str">
        <f>IFERROR(VLOOKUP($B166,OverallResults!$B$3:$BB$492,9,FALSE),"")</f>
        <v>DNS/DNF ()</v>
      </c>
      <c r="K166" s="58" t="str">
        <f>IFERROR(VLOOKUP($B166,OverallResults!$B$3:$BB$492,10,FALSE),"")</f>
        <v>00:04:35.8 (154)</v>
      </c>
      <c r="L166" s="57" t="str">
        <f>IFERROR(VLOOKUP($B166,OverallResults!$B$3:$BB$492,11,FALSE),"")</f>
        <v>00:02:42.9 (168)</v>
      </c>
      <c r="M166" s="57" t="str">
        <f>IFERROR(VLOOKUP($B166,OverallResults!$B$3:$BB$492,12,FALSE),"")</f>
        <v>DNS/DNF ()</v>
      </c>
      <c r="N166" s="58" t="str">
        <f>IFERROR(VLOOKUP($B166,OverallResults!$B$3:$BB$492,13,FALSE),"")</f>
        <v>00:05:52.3 (117)</v>
      </c>
      <c r="O166" s="58" t="str">
        <f>IFERROR(VLOOKUP($B166,OverallResults!$B$3:$BB$492,14,FALSE),"")</f>
        <v>DNS/DNF ()</v>
      </c>
      <c r="P166" s="58" t="str">
        <f>IFERROR(VLOOKUP($B166,OverallResults!$B$3:$BB$492,15,FALSE),"")</f>
        <v>DNS/DNF ()</v>
      </c>
      <c r="Q166" s="58" t="str">
        <f>IFERROR(VLOOKUP($B166,OverallResults!$B$3:$BB$492,16,FALSE),"")</f>
        <v>DNS/DNF ()</v>
      </c>
      <c r="R166" s="58" t="str">
        <f>IFERROR(VLOOKUP($B166,OverallResults!$B$3:$BB$492,17,FALSE),"")</f>
        <v>00:13:11.056</v>
      </c>
      <c r="S166" s="170" t="str">
        <f t="shared" si="4"/>
        <v>00:01</v>
      </c>
      <c r="T166" s="170" t="str">
        <f t="shared" si="5"/>
        <v>N/A</v>
      </c>
      <c r="U166" s="359">
        <f>IFERROR(VLOOKUP($D166,EntryList!$B$3:$S$291,18,FALSE),"")</f>
        <v>0</v>
      </c>
      <c r="V166" s="359">
        <f>IFERROR(VLOOKUP($D166,EntryList!$B$3:$S$291,17,FALSE),"")</f>
        <v>0</v>
      </c>
    </row>
    <row r="167" spans="2:22">
      <c r="B167" s="59">
        <v>162</v>
      </c>
      <c r="C167" s="59">
        <f>IFERROR(VLOOKUP($B167,OverallResults!$B$3:$Z$508,2,FALSE),"")</f>
        <v>20</v>
      </c>
      <c r="D167" s="149" t="str">
        <f>IFERROR(VLOOKUP($B167,OverallResults!$B$3:$Z$508,3,FALSE),"")</f>
        <v>Stéphen Du Toit</v>
      </c>
      <c r="E167" s="146">
        <f>IFERROR(VLOOKUP(C167,SeriesPoints!$A$2:$B$51,2,FALSE),"")</f>
        <v>60</v>
      </c>
      <c r="F167" s="148" t="str">
        <f>IFERROR(VLOOKUP($D167,EntryList!$B$3:$V$291,21,FALSE),"")</f>
        <v>-</v>
      </c>
      <c r="G167" s="100" t="str">
        <f>IFERROR(VLOOKUP($D167,EntryList!$B$3:$N$596,5,FALSE),"")</f>
        <v>M</v>
      </c>
      <c r="H167" s="145" t="str">
        <f>IFERROR(VLOOKUP($D167,EntryList!$B$3:$N$596,6,FALSE),"")</f>
        <v>Lite M</v>
      </c>
      <c r="I167" s="59">
        <f>IFERROR(VLOOKUP($B167,OverallResults!$B$3:$Z$492,8,FALSE),"")</f>
        <v>3</v>
      </c>
      <c r="J167" s="57" t="str">
        <f>IFERROR(VLOOKUP($B167,OverallResults!$B$3:$BB$492,9,FALSE),"")</f>
        <v>DNS/DNF ()</v>
      </c>
      <c r="K167" s="58" t="str">
        <f>IFERROR(VLOOKUP($B167,OverallResults!$B$3:$BB$492,10,FALSE),"")</f>
        <v>00:04:33.5 (148)</v>
      </c>
      <c r="L167" s="57" t="str">
        <f>IFERROR(VLOOKUP($B167,OverallResults!$B$3:$BB$492,11,FALSE),"")</f>
        <v>00:02:40.3 (153)</v>
      </c>
      <c r="M167" s="57" t="str">
        <f>IFERROR(VLOOKUP($B167,OverallResults!$B$3:$BB$492,12,FALSE),"")</f>
        <v>DNS/DNF ()</v>
      </c>
      <c r="N167" s="58" t="str">
        <f>IFERROR(VLOOKUP($B167,OverallResults!$B$3:$BB$492,13,FALSE),"")</f>
        <v>00:05:59.5 (138)</v>
      </c>
      <c r="O167" s="58" t="str">
        <f>IFERROR(VLOOKUP($B167,OverallResults!$B$3:$BB$492,14,FALSE),"")</f>
        <v>DNS/DNF ()</v>
      </c>
      <c r="P167" s="58" t="str">
        <f>IFERROR(VLOOKUP($B167,OverallResults!$B$3:$BB$492,15,FALSE),"")</f>
        <v>DNS/DNF ()</v>
      </c>
      <c r="Q167" s="58" t="str">
        <f>IFERROR(VLOOKUP($B167,OverallResults!$B$3:$BB$492,16,FALSE),"")</f>
        <v>DNS/DNF ()</v>
      </c>
      <c r="R167" s="58" t="str">
        <f>IFERROR(VLOOKUP($B167,OverallResults!$B$3:$BB$492,17,FALSE),"")</f>
        <v>00:13:13.332</v>
      </c>
      <c r="S167" s="170" t="str">
        <f t="shared" si="4"/>
        <v>00:02</v>
      </c>
      <c r="T167" s="170" t="str">
        <f t="shared" si="5"/>
        <v>N/A</v>
      </c>
      <c r="U167" s="359">
        <f>IFERROR(VLOOKUP($D167,EntryList!$B$3:$S$291,18,FALSE),"")</f>
        <v>0</v>
      </c>
      <c r="V167" s="359">
        <f>IFERROR(VLOOKUP($D167,EntryList!$B$3:$S$291,17,FALSE),"")</f>
        <v>0</v>
      </c>
    </row>
    <row r="168" spans="2:22">
      <c r="B168" s="59">
        <v>163</v>
      </c>
      <c r="C168" s="59">
        <f>IFERROR(VLOOKUP($B168,OverallResults!$B$3:$Z$508,2,FALSE),"")</f>
        <v>2</v>
      </c>
      <c r="D168" s="149" t="str">
        <f>IFERROR(VLOOKUP($B168,OverallResults!$B$3:$Z$508,3,FALSE),"")</f>
        <v>Michelle George</v>
      </c>
      <c r="E168" s="146">
        <f>IFERROR(VLOOKUP(C168,SeriesPoints!$A$2:$B$51,2,FALSE),"")</f>
        <v>170</v>
      </c>
      <c r="F168" s="148" t="str">
        <f>IFERROR(VLOOKUP($D168,EntryList!$B$3:$V$291,21,FALSE),"")</f>
        <v>-</v>
      </c>
      <c r="G168" s="100" t="str">
        <f>IFERROR(VLOOKUP($D168,EntryList!$B$3:$N$596,5,FALSE),"")</f>
        <v>F</v>
      </c>
      <c r="H168" s="145" t="str">
        <f>IFERROR(VLOOKUP($D168,EntryList!$B$3:$N$596,6,FALSE),"")</f>
        <v>Lite F</v>
      </c>
      <c r="I168" s="59">
        <f>IFERROR(VLOOKUP($B168,OverallResults!$B$3:$Z$492,8,FALSE),"")</f>
        <v>3</v>
      </c>
      <c r="J168" s="57" t="str">
        <f>IFERROR(VLOOKUP($B168,OverallResults!$B$3:$BB$492,9,FALSE),"")</f>
        <v>DNS/DNF ()</v>
      </c>
      <c r="K168" s="58" t="str">
        <f>IFERROR(VLOOKUP($B168,OverallResults!$B$3:$BB$492,10,FALSE),"")</f>
        <v>00:04:33.5 (147)</v>
      </c>
      <c r="L168" s="57" t="str">
        <f>IFERROR(VLOOKUP($B168,OverallResults!$B$3:$BB$492,11,FALSE),"")</f>
        <v>00:02:43.6 (170)</v>
      </c>
      <c r="M168" s="57" t="str">
        <f>IFERROR(VLOOKUP($B168,OverallResults!$B$3:$BB$492,12,FALSE),"")</f>
        <v>DNS/DNF ()</v>
      </c>
      <c r="N168" s="58" t="str">
        <f>IFERROR(VLOOKUP($B168,OverallResults!$B$3:$BB$492,13,FALSE),"")</f>
        <v>00:05:59.6 (139)</v>
      </c>
      <c r="O168" s="58" t="str">
        <f>IFERROR(VLOOKUP($B168,OverallResults!$B$3:$BB$492,14,FALSE),"")</f>
        <v>DNS/DNF ()</v>
      </c>
      <c r="P168" s="58" t="str">
        <f>IFERROR(VLOOKUP($B168,OverallResults!$B$3:$BB$492,15,FALSE),"")</f>
        <v>DNS/DNF ()</v>
      </c>
      <c r="Q168" s="58" t="str">
        <f>IFERROR(VLOOKUP($B168,OverallResults!$B$3:$BB$492,16,FALSE),"")</f>
        <v>DNS/DNF ()</v>
      </c>
      <c r="R168" s="58" t="str">
        <f>IFERROR(VLOOKUP($B168,OverallResults!$B$3:$BB$492,17,FALSE),"")</f>
        <v>00:13:16.804</v>
      </c>
      <c r="S168" s="170" t="str">
        <f t="shared" si="4"/>
        <v>00:03</v>
      </c>
      <c r="T168" s="170" t="str">
        <f t="shared" si="5"/>
        <v>N/A</v>
      </c>
      <c r="U168" s="359" t="str">
        <f>IFERROR(VLOOKUP($D168,EntryList!$B$3:$S$291,18,FALSE),"")</f>
        <v/>
      </c>
      <c r="V168" s="359" t="str">
        <f>IFERROR(VLOOKUP($D168,EntryList!$B$3:$S$291,17,FALSE),"")</f>
        <v/>
      </c>
    </row>
    <row r="169" spans="2:22">
      <c r="B169" s="59">
        <v>164</v>
      </c>
      <c r="C169" s="59">
        <f>IFERROR(VLOOKUP($B169,OverallResults!$B$3:$Z$508,2,FALSE),"")</f>
        <v>21</v>
      </c>
      <c r="D169" s="149" t="str">
        <f>IFERROR(VLOOKUP($B169,OverallResults!$B$3:$Z$508,3,FALSE),"")</f>
        <v>Fred Lowe</v>
      </c>
      <c r="E169" s="146">
        <f>IFERROR(VLOOKUP(C169,SeriesPoints!$A$2:$B$51,2,FALSE),"")</f>
        <v>57</v>
      </c>
      <c r="F169" s="148" t="str">
        <f>IFERROR(VLOOKUP($D169,EntryList!$B$3:$V$291,21,FALSE),"")</f>
        <v>-</v>
      </c>
      <c r="G169" s="100" t="str">
        <f>IFERROR(VLOOKUP($D169,EntryList!$B$3:$N$596,5,FALSE),"")</f>
        <v>M</v>
      </c>
      <c r="H169" s="145" t="str">
        <f>IFERROR(VLOOKUP($D169,EntryList!$B$3:$N$596,6,FALSE),"")</f>
        <v>Lite M</v>
      </c>
      <c r="I169" s="59">
        <f>IFERROR(VLOOKUP($B169,OverallResults!$B$3:$Z$492,8,FALSE),"")</f>
        <v>3</v>
      </c>
      <c r="J169" s="57" t="str">
        <f>IFERROR(VLOOKUP($B169,OverallResults!$B$3:$BB$492,9,FALSE),"")</f>
        <v>DNS/DNF ()</v>
      </c>
      <c r="K169" s="58" t="str">
        <f>IFERROR(VLOOKUP($B169,OverallResults!$B$3:$BB$492,10,FALSE),"")</f>
        <v>00:04:44.5 (181)</v>
      </c>
      <c r="L169" s="57" t="str">
        <f>IFERROR(VLOOKUP($B169,OverallResults!$B$3:$BB$492,11,FALSE),"")</f>
        <v>00:02:41.8 (165)</v>
      </c>
      <c r="M169" s="57" t="str">
        <f>IFERROR(VLOOKUP($B169,OverallResults!$B$3:$BB$492,12,FALSE),"")</f>
        <v>DNS/DNF ()</v>
      </c>
      <c r="N169" s="58" t="str">
        <f>IFERROR(VLOOKUP($B169,OverallResults!$B$3:$BB$492,13,FALSE),"")</f>
        <v>00:05:52.0 (115)</v>
      </c>
      <c r="O169" s="58" t="str">
        <f>IFERROR(VLOOKUP($B169,OverallResults!$B$3:$BB$492,14,FALSE),"")</f>
        <v>DNS/DNF ()</v>
      </c>
      <c r="P169" s="58" t="str">
        <f>IFERROR(VLOOKUP($B169,OverallResults!$B$3:$BB$492,15,FALSE),"")</f>
        <v>DNS/DNF ()</v>
      </c>
      <c r="Q169" s="58" t="str">
        <f>IFERROR(VLOOKUP($B169,OverallResults!$B$3:$BB$492,16,FALSE),"")</f>
        <v>DNS/DNF ()</v>
      </c>
      <c r="R169" s="58" t="str">
        <f>IFERROR(VLOOKUP($B169,OverallResults!$B$3:$BB$492,17,FALSE),"")</f>
        <v>00:13:18.259</v>
      </c>
      <c r="S169" s="170" t="str">
        <f t="shared" si="4"/>
        <v>00:01</v>
      </c>
      <c r="T169" s="170" t="str">
        <f t="shared" si="5"/>
        <v>N/A</v>
      </c>
      <c r="U169" s="359">
        <f>IFERROR(VLOOKUP($D169,EntryList!$B$3:$S$291,18,FALSE),"")</f>
        <v>0</v>
      </c>
      <c r="V169" s="359">
        <f>IFERROR(VLOOKUP($D169,EntryList!$B$3:$S$291,17,FALSE),"")</f>
        <v>0</v>
      </c>
    </row>
    <row r="170" spans="2:22">
      <c r="B170" s="59">
        <v>165</v>
      </c>
      <c r="C170" s="59">
        <f>IFERROR(VLOOKUP($B170,OverallResults!$B$3:$Z$508,2,FALSE),"")</f>
        <v>3</v>
      </c>
      <c r="D170" s="149" t="str">
        <f>IFERROR(VLOOKUP($B170,OverallResults!$B$3:$Z$508,3,FALSE),"")</f>
        <v>Christiaan Steffens</v>
      </c>
      <c r="E170" s="146">
        <f>IFERROR(VLOOKUP(C170,SeriesPoints!$A$2:$B$51,2,FALSE),"")</f>
        <v>150</v>
      </c>
      <c r="F170" s="148" t="str">
        <f>IFERROR(VLOOKUP($D170,EntryList!$B$3:$V$291,21,FALSE),"")</f>
        <v>-</v>
      </c>
      <c r="G170" s="100" t="str">
        <f>IFERROR(VLOOKUP($D170,EntryList!$B$3:$N$596,5,FALSE),"")</f>
        <v>M</v>
      </c>
      <c r="H170" s="145" t="str">
        <f>IFERROR(VLOOKUP($D170,EntryList!$B$3:$N$596,6,FALSE),"")</f>
        <v>E-Bike Lite M</v>
      </c>
      <c r="I170" s="59">
        <f>IFERROR(VLOOKUP($B170,OverallResults!$B$3:$Z$492,8,FALSE),"")</f>
        <v>3</v>
      </c>
      <c r="J170" s="57" t="str">
        <f>IFERROR(VLOOKUP($B170,OverallResults!$B$3:$BB$492,9,FALSE),"")</f>
        <v>DNS/DNF ()</v>
      </c>
      <c r="K170" s="58" t="str">
        <f>IFERROR(VLOOKUP($B170,OverallResults!$B$3:$BB$492,10,FALSE),"")</f>
        <v>00:04:40.8 (174)</v>
      </c>
      <c r="L170" s="57" t="str">
        <f>IFERROR(VLOOKUP($B170,OverallResults!$B$3:$BB$492,11,FALSE),"")</f>
        <v>00:02:41.6 (163)</v>
      </c>
      <c r="M170" s="57" t="str">
        <f>IFERROR(VLOOKUP($B170,OverallResults!$B$3:$BB$492,12,FALSE),"")</f>
        <v>DNS/DNF ()</v>
      </c>
      <c r="N170" s="58" t="str">
        <f>IFERROR(VLOOKUP($B170,OverallResults!$B$3:$BB$492,13,FALSE),"")</f>
        <v>00:05:56.4 (128)</v>
      </c>
      <c r="O170" s="58" t="str">
        <f>IFERROR(VLOOKUP($B170,OverallResults!$B$3:$BB$492,14,FALSE),"")</f>
        <v>DNS/DNF ()</v>
      </c>
      <c r="P170" s="58" t="str">
        <f>IFERROR(VLOOKUP($B170,OverallResults!$B$3:$BB$492,15,FALSE),"")</f>
        <v>DNS/DNF ()</v>
      </c>
      <c r="Q170" s="58" t="str">
        <f>IFERROR(VLOOKUP($B170,OverallResults!$B$3:$BB$492,16,FALSE),"")</f>
        <v>DNS/DNF ()</v>
      </c>
      <c r="R170" s="58" t="str">
        <f>IFERROR(VLOOKUP($B170,OverallResults!$B$3:$BB$492,17,FALSE),"")</f>
        <v>00:13:18.757</v>
      </c>
      <c r="S170" s="170" t="str">
        <f t="shared" si="4"/>
        <v>00:00</v>
      </c>
      <c r="T170" s="170" t="str">
        <f t="shared" si="5"/>
        <v>N/A</v>
      </c>
      <c r="U170" s="359">
        <f>IFERROR(VLOOKUP($D170,EntryList!$B$3:$S$291,18,FALSE),"")</f>
        <v>0</v>
      </c>
      <c r="V170" s="359">
        <f>IFERROR(VLOOKUP($D170,EntryList!$B$3:$S$291,17,FALSE),"")</f>
        <v>0</v>
      </c>
    </row>
    <row r="171" spans="2:22">
      <c r="B171" s="59">
        <v>166</v>
      </c>
      <c r="C171" s="59">
        <f>IFERROR(VLOOKUP($B171,OverallResults!$B$3:$Z$508,2,FALSE),"")</f>
        <v>8</v>
      </c>
      <c r="D171" s="149" t="str">
        <f>IFERROR(VLOOKUP($B171,OverallResults!$B$3:$Z$508,3,FALSE),"")</f>
        <v>Joshua Ord</v>
      </c>
      <c r="E171" s="146">
        <f>IFERROR(VLOOKUP(C171,SeriesPoints!$A$2:$B$51,2,FALSE),"")</f>
        <v>110</v>
      </c>
      <c r="F171" s="148" t="str">
        <f>IFERROR(VLOOKUP($D171,EntryList!$B$3:$V$291,21,FALSE),"")</f>
        <v>-</v>
      </c>
      <c r="G171" s="100" t="str">
        <f>IFERROR(VLOOKUP($D171,EntryList!$B$3:$N$596,5,FALSE),"")</f>
        <v>M</v>
      </c>
      <c r="H171" s="145" t="str">
        <f>IFERROR(VLOOKUP($D171,EntryList!$B$3:$N$596,6,FALSE),"")</f>
        <v>Sub Junior Boys</v>
      </c>
      <c r="I171" s="59">
        <f>IFERROR(VLOOKUP($B171,OverallResults!$B$3:$Z$492,8,FALSE),"")</f>
        <v>3</v>
      </c>
      <c r="J171" s="57" t="str">
        <f>IFERROR(VLOOKUP($B171,OverallResults!$B$3:$BB$492,9,FALSE),"")</f>
        <v>DNS/DNF ()</v>
      </c>
      <c r="K171" s="58" t="str">
        <f>IFERROR(VLOOKUP($B171,OverallResults!$B$3:$BB$492,10,FALSE),"")</f>
        <v>00:04:42.7 (176)</v>
      </c>
      <c r="L171" s="57" t="str">
        <f>IFERROR(VLOOKUP($B171,OverallResults!$B$3:$BB$492,11,FALSE),"")</f>
        <v>00:02:39.8 (150)</v>
      </c>
      <c r="M171" s="57" t="str">
        <f>IFERROR(VLOOKUP($B171,OverallResults!$B$3:$BB$492,12,FALSE),"")</f>
        <v>DNS/DNF ()</v>
      </c>
      <c r="N171" s="58" t="str">
        <f>IFERROR(VLOOKUP($B171,OverallResults!$B$3:$BB$492,13,FALSE),"")</f>
        <v>00:06:02.4 (146)</v>
      </c>
      <c r="O171" s="58" t="str">
        <f>IFERROR(VLOOKUP($B171,OverallResults!$B$3:$BB$492,14,FALSE),"")</f>
        <v>DNS/DNF ()</v>
      </c>
      <c r="P171" s="58" t="str">
        <f>IFERROR(VLOOKUP($B171,OverallResults!$B$3:$BB$492,15,FALSE),"")</f>
        <v>DNS/DNF ()</v>
      </c>
      <c r="Q171" s="58" t="str">
        <f>IFERROR(VLOOKUP($B171,OverallResults!$B$3:$BB$492,16,FALSE),"")</f>
        <v>DNS/DNF ()</v>
      </c>
      <c r="R171" s="58" t="str">
        <f>IFERROR(VLOOKUP($B171,OverallResults!$B$3:$BB$492,17,FALSE),"")</f>
        <v>00:13:24.921</v>
      </c>
      <c r="S171" s="170" t="str">
        <f t="shared" si="4"/>
        <v>00:06</v>
      </c>
      <c r="T171" s="170" t="str">
        <f t="shared" si="5"/>
        <v>N/A</v>
      </c>
      <c r="U171" s="359">
        <f>IFERROR(VLOOKUP($D171,EntryList!$B$3:$S$291,18,FALSE),"")</f>
        <v>0</v>
      </c>
      <c r="V171" s="359">
        <f>IFERROR(VLOOKUP($D171,EntryList!$B$3:$S$291,17,FALSE),"")</f>
        <v>0</v>
      </c>
    </row>
    <row r="172" spans="2:22">
      <c r="B172" s="59">
        <v>167</v>
      </c>
      <c r="C172" s="59">
        <f>IFERROR(VLOOKUP($B172,OverallResults!$B$3:$Z$508,2,FALSE),"")</f>
        <v>4</v>
      </c>
      <c r="D172" s="149" t="str">
        <f>IFERROR(VLOOKUP($B172,OverallResults!$B$3:$Z$508,3,FALSE),"")</f>
        <v>Robert Du Preez</v>
      </c>
      <c r="E172" s="146">
        <f>IFERROR(VLOOKUP(C172,SeriesPoints!$A$2:$B$51,2,FALSE),"")</f>
        <v>135</v>
      </c>
      <c r="F172" s="148" t="str">
        <f>IFERROR(VLOOKUP($D172,EntryList!$B$3:$V$291,21,FALSE),"")</f>
        <v>-</v>
      </c>
      <c r="G172" s="100" t="str">
        <f>IFERROR(VLOOKUP($D172,EntryList!$B$3:$N$596,5,FALSE),"")</f>
        <v>M</v>
      </c>
      <c r="H172" s="145" t="str">
        <f>IFERROR(VLOOKUP($D172,EntryList!$B$3:$N$596,6,FALSE),"")</f>
        <v>E-Bike Lite M</v>
      </c>
      <c r="I172" s="59">
        <f>IFERROR(VLOOKUP($B172,OverallResults!$B$3:$Z$492,8,FALSE),"")</f>
        <v>3</v>
      </c>
      <c r="J172" s="57" t="str">
        <f>IFERROR(VLOOKUP($B172,OverallResults!$B$3:$BB$492,9,FALSE),"")</f>
        <v>DNS/DNF ()</v>
      </c>
      <c r="K172" s="58" t="str">
        <f>IFERROR(VLOOKUP($B172,OverallResults!$B$3:$BB$492,10,FALSE),"")</f>
        <v>00:04:26.8 (127)</v>
      </c>
      <c r="L172" s="57" t="str">
        <f>IFERROR(VLOOKUP($B172,OverallResults!$B$3:$BB$492,11,FALSE),"")</f>
        <v>00:02:45.0 (176)</v>
      </c>
      <c r="M172" s="57" t="str">
        <f>IFERROR(VLOOKUP($B172,OverallResults!$B$3:$BB$492,12,FALSE),"")</f>
        <v>DNS/DNF ()</v>
      </c>
      <c r="N172" s="58" t="str">
        <f>IFERROR(VLOOKUP($B172,OverallResults!$B$3:$BB$492,13,FALSE),"")</f>
        <v>00:06:13.5 (166)</v>
      </c>
      <c r="O172" s="58" t="str">
        <f>IFERROR(VLOOKUP($B172,OverallResults!$B$3:$BB$492,14,FALSE),"")</f>
        <v>DNS/DNF ()</v>
      </c>
      <c r="P172" s="58" t="str">
        <f>IFERROR(VLOOKUP($B172,OverallResults!$B$3:$BB$492,15,FALSE),"")</f>
        <v>DNS/DNF ()</v>
      </c>
      <c r="Q172" s="58" t="str">
        <f>IFERROR(VLOOKUP($B172,OverallResults!$B$3:$BB$492,16,FALSE),"")</f>
        <v>DNS/DNF ()</v>
      </c>
      <c r="R172" s="58" t="str">
        <f>IFERROR(VLOOKUP($B172,OverallResults!$B$3:$BB$492,17,FALSE),"")</f>
        <v>00:13:25.340</v>
      </c>
      <c r="S172" s="170" t="str">
        <f t="shared" si="4"/>
        <v>00:00</v>
      </c>
      <c r="T172" s="170" t="str">
        <f t="shared" si="5"/>
        <v>N/A</v>
      </c>
      <c r="U172" s="359">
        <f>IFERROR(VLOOKUP($D172,EntryList!$B$3:$S$291,18,FALSE),"")</f>
        <v>0</v>
      </c>
      <c r="V172" s="359">
        <f>IFERROR(VLOOKUP($D172,EntryList!$B$3:$S$291,17,FALSE),"")</f>
        <v>0</v>
      </c>
    </row>
    <row r="173" spans="2:22">
      <c r="B173" s="59">
        <v>168</v>
      </c>
      <c r="C173" s="59">
        <f>IFERROR(VLOOKUP($B173,OverallResults!$B$3:$Z$508,2,FALSE),"")</f>
        <v>3</v>
      </c>
      <c r="D173" s="149" t="str">
        <f>IFERROR(VLOOKUP($B173,OverallResults!$B$3:$Z$508,3,FALSE),"")</f>
        <v>Amy Burton</v>
      </c>
      <c r="E173" s="146">
        <f>IFERROR(VLOOKUP(C173,SeriesPoints!$A$2:$B$51,2,FALSE),"")</f>
        <v>150</v>
      </c>
      <c r="F173" s="148" t="str">
        <f>IFERROR(VLOOKUP($D173,EntryList!$B$3:$V$291,21,FALSE),"")</f>
        <v>-</v>
      </c>
      <c r="G173" s="100" t="str">
        <f>IFERROR(VLOOKUP($D173,EntryList!$B$3:$N$596,5,FALSE),"")</f>
        <v>F</v>
      </c>
      <c r="H173" s="145" t="str">
        <f>IFERROR(VLOOKUP($D173,EntryList!$B$3:$N$596,6,FALSE),"")</f>
        <v>Lite F</v>
      </c>
      <c r="I173" s="59">
        <f>IFERROR(VLOOKUP($B173,OverallResults!$B$3:$Z$492,8,FALSE),"")</f>
        <v>3</v>
      </c>
      <c r="J173" s="57" t="str">
        <f>IFERROR(VLOOKUP($B173,OverallResults!$B$3:$BB$492,9,FALSE),"")</f>
        <v>DNS/DNF ()</v>
      </c>
      <c r="K173" s="58" t="str">
        <f>IFERROR(VLOOKUP($B173,OverallResults!$B$3:$BB$492,10,FALSE),"")</f>
        <v>00:04:41.2 (175)</v>
      </c>
      <c r="L173" s="57" t="str">
        <f>IFERROR(VLOOKUP($B173,OverallResults!$B$3:$BB$492,11,FALSE),"")</f>
        <v>00:02:43.9 (172)</v>
      </c>
      <c r="M173" s="57" t="str">
        <f>IFERROR(VLOOKUP($B173,OverallResults!$B$3:$BB$492,12,FALSE),"")</f>
        <v>DNS/DNF ()</v>
      </c>
      <c r="N173" s="58" t="str">
        <f>IFERROR(VLOOKUP($B173,OverallResults!$B$3:$BB$492,13,FALSE),"")</f>
        <v>00:06:00.6 (144)</v>
      </c>
      <c r="O173" s="58" t="str">
        <f>IFERROR(VLOOKUP($B173,OverallResults!$B$3:$BB$492,14,FALSE),"")</f>
        <v>DNS/DNF ()</v>
      </c>
      <c r="P173" s="58" t="str">
        <f>IFERROR(VLOOKUP($B173,OverallResults!$B$3:$BB$492,15,FALSE),"")</f>
        <v>DNS/DNF ()</v>
      </c>
      <c r="Q173" s="58" t="str">
        <f>IFERROR(VLOOKUP($B173,OverallResults!$B$3:$BB$492,16,FALSE),"")</f>
        <v>DNS/DNF ()</v>
      </c>
      <c r="R173" s="58" t="str">
        <f>IFERROR(VLOOKUP($B173,OverallResults!$B$3:$BB$492,17,FALSE),"")</f>
        <v>00:13:25.752</v>
      </c>
      <c r="S173" s="170" t="str">
        <f t="shared" si="4"/>
        <v>00:00</v>
      </c>
      <c r="T173" s="170" t="str">
        <f t="shared" si="5"/>
        <v>N/A</v>
      </c>
      <c r="U173" s="359">
        <f>IFERROR(VLOOKUP($D173,EntryList!$B$3:$S$291,18,FALSE),"")</f>
        <v>0</v>
      </c>
      <c r="V173" s="359">
        <f>IFERROR(VLOOKUP($D173,EntryList!$B$3:$S$291,17,FALSE),"")</f>
        <v>0</v>
      </c>
    </row>
    <row r="174" spans="2:22">
      <c r="B174" s="59">
        <v>169</v>
      </c>
      <c r="C174" s="59">
        <f>IFERROR(VLOOKUP($B174,OverallResults!$B$3:$Z$508,2,FALSE),"")</f>
        <v>4</v>
      </c>
      <c r="D174" s="149" t="str">
        <f>IFERROR(VLOOKUP($B174,OverallResults!$B$3:$Z$508,3,FALSE),"")</f>
        <v>Megan Van Der Helm</v>
      </c>
      <c r="E174" s="146">
        <f>IFERROR(VLOOKUP(C174,SeriesPoints!$A$2:$B$51,2,FALSE),"")</f>
        <v>135</v>
      </c>
      <c r="F174" s="148" t="str">
        <f>IFERROR(VLOOKUP($D174,EntryList!$B$3:$V$291,21,FALSE),"")</f>
        <v>-</v>
      </c>
      <c r="G174" s="100" t="str">
        <f>IFERROR(VLOOKUP($D174,EntryList!$B$3:$N$596,5,FALSE),"")</f>
        <v>F</v>
      </c>
      <c r="H174" s="145" t="str">
        <f>IFERROR(VLOOKUP($D174,EntryList!$B$3:$N$596,6,FALSE),"")</f>
        <v>Lite F</v>
      </c>
      <c r="I174" s="59">
        <f>IFERROR(VLOOKUP($B174,OverallResults!$B$3:$Z$492,8,FALSE),"")</f>
        <v>3</v>
      </c>
      <c r="J174" s="57" t="str">
        <f>IFERROR(VLOOKUP($B174,OverallResults!$B$3:$BB$492,9,FALSE),"")</f>
        <v>DNS/DNF ()</v>
      </c>
      <c r="K174" s="58" t="str">
        <f>IFERROR(VLOOKUP($B174,OverallResults!$B$3:$BB$492,10,FALSE),"")</f>
        <v>00:04:40.3 (170)</v>
      </c>
      <c r="L174" s="57" t="str">
        <f>IFERROR(VLOOKUP($B174,OverallResults!$B$3:$BB$492,11,FALSE),"")</f>
        <v>00:02:39.4 (145)</v>
      </c>
      <c r="M174" s="57" t="str">
        <f>IFERROR(VLOOKUP($B174,OverallResults!$B$3:$BB$492,12,FALSE),"")</f>
        <v>DNS/DNF ()</v>
      </c>
      <c r="N174" s="58" t="str">
        <f>IFERROR(VLOOKUP($B174,OverallResults!$B$3:$BB$492,13,FALSE),"")</f>
        <v>00:06:07.7 (155)</v>
      </c>
      <c r="O174" s="58" t="str">
        <f>IFERROR(VLOOKUP($B174,OverallResults!$B$3:$BB$492,14,FALSE),"")</f>
        <v>DNS/DNF ()</v>
      </c>
      <c r="P174" s="58" t="str">
        <f>IFERROR(VLOOKUP($B174,OverallResults!$B$3:$BB$492,15,FALSE),"")</f>
        <v>DNS/DNF ()</v>
      </c>
      <c r="Q174" s="58" t="str">
        <f>IFERROR(VLOOKUP($B174,OverallResults!$B$3:$BB$492,16,FALSE),"")</f>
        <v>DNS/DNF ()</v>
      </c>
      <c r="R174" s="58" t="str">
        <f>IFERROR(VLOOKUP($B174,OverallResults!$B$3:$BB$492,17,FALSE),"")</f>
        <v>00:13:27.391</v>
      </c>
      <c r="S174" s="170" t="str">
        <f t="shared" si="4"/>
        <v>00:02</v>
      </c>
      <c r="T174" s="170" t="str">
        <f t="shared" si="5"/>
        <v>N/A</v>
      </c>
      <c r="U174" s="359">
        <f>IFERROR(VLOOKUP($D174,EntryList!$B$3:$S$291,18,FALSE),"")</f>
        <v>0</v>
      </c>
      <c r="V174" s="359">
        <f>IFERROR(VLOOKUP($D174,EntryList!$B$3:$S$291,17,FALSE),"")</f>
        <v>0</v>
      </c>
    </row>
    <row r="175" spans="2:22">
      <c r="B175" s="59">
        <v>170</v>
      </c>
      <c r="C175" s="59">
        <f>IFERROR(VLOOKUP($B175,OverallResults!$B$3:$Z$508,2,FALSE),"")</f>
        <v>3</v>
      </c>
      <c r="D175" s="149" t="str">
        <f>IFERROR(VLOOKUP($B175,OverallResults!$B$3:$Z$508,3,FALSE),"")</f>
        <v>Luc Riley Rossouw</v>
      </c>
      <c r="E175" s="146">
        <f>IFERROR(VLOOKUP(C175,SeriesPoints!$A$2:$B$51,2,FALSE),"")</f>
        <v>150</v>
      </c>
      <c r="F175" s="148" t="str">
        <f>IFERROR(VLOOKUP($D175,EntryList!$B$3:$V$291,21,FALSE),"")</f>
        <v>-</v>
      </c>
      <c r="G175" s="100" t="str">
        <f>IFERROR(VLOOKUP($D175,EntryList!$B$3:$N$596,5,FALSE),"")</f>
        <v>M</v>
      </c>
      <c r="H175" s="145" t="str">
        <f>IFERROR(VLOOKUP($D175,EntryList!$B$3:$N$596,6,FALSE),"")</f>
        <v>Sprog Boys</v>
      </c>
      <c r="I175" s="59">
        <f>IFERROR(VLOOKUP($B175,OverallResults!$B$3:$Z$492,8,FALSE),"")</f>
        <v>3</v>
      </c>
      <c r="J175" s="57" t="str">
        <f>IFERROR(VLOOKUP($B175,OverallResults!$B$3:$BB$492,9,FALSE),"")</f>
        <v>DNS/DNF ()</v>
      </c>
      <c r="K175" s="58" t="str">
        <f>IFERROR(VLOOKUP($B175,OverallResults!$B$3:$BB$492,10,FALSE),"")</f>
        <v>00:04:40.7 (173)</v>
      </c>
      <c r="L175" s="57" t="str">
        <f>IFERROR(VLOOKUP($B175,OverallResults!$B$3:$BB$492,11,FALSE),"")</f>
        <v>00:02:36.1 (136)</v>
      </c>
      <c r="M175" s="57" t="str">
        <f>IFERROR(VLOOKUP($B175,OverallResults!$B$3:$BB$492,12,FALSE),"")</f>
        <v>DNS/DNF ()</v>
      </c>
      <c r="N175" s="58" t="str">
        <f>IFERROR(VLOOKUP($B175,OverallResults!$B$3:$BB$492,13,FALSE),"")</f>
        <v>00:06:11.9 (165)</v>
      </c>
      <c r="O175" s="58" t="str">
        <f>IFERROR(VLOOKUP($B175,OverallResults!$B$3:$BB$492,14,FALSE),"")</f>
        <v>DNS/DNF ()</v>
      </c>
      <c r="P175" s="58" t="str">
        <f>IFERROR(VLOOKUP($B175,OverallResults!$B$3:$BB$492,15,FALSE),"")</f>
        <v>DNS/DNF ()</v>
      </c>
      <c r="Q175" s="58" t="str">
        <f>IFERROR(VLOOKUP($B175,OverallResults!$B$3:$BB$492,16,FALSE),"")</f>
        <v>DNS/DNF ()</v>
      </c>
      <c r="R175" s="58" t="str">
        <f>IFERROR(VLOOKUP($B175,OverallResults!$B$3:$BB$492,17,FALSE),"")</f>
        <v>00:13:28.711</v>
      </c>
      <c r="S175" s="170" t="str">
        <f t="shared" si="4"/>
        <v>00:01</v>
      </c>
      <c r="T175" s="170" t="str">
        <f t="shared" si="5"/>
        <v>N/A</v>
      </c>
      <c r="U175" s="359">
        <f>IFERROR(VLOOKUP($D175,EntryList!$B$3:$S$291,18,FALSE),"")</f>
        <v>0</v>
      </c>
      <c r="V175" s="359">
        <f>IFERROR(VLOOKUP($D175,EntryList!$B$3:$S$291,17,FALSE),"")</f>
        <v>0</v>
      </c>
    </row>
    <row r="176" spans="2:22">
      <c r="B176" s="59">
        <v>171</v>
      </c>
      <c r="C176" s="59">
        <f>IFERROR(VLOOKUP($B176,OverallResults!$B$3:$Z$508,2,FALSE),"")</f>
        <v>22</v>
      </c>
      <c r="D176" s="149" t="str">
        <f>IFERROR(VLOOKUP($B176,OverallResults!$B$3:$Z$508,3,FALSE),"")</f>
        <v>Joffre Venter</v>
      </c>
      <c r="E176" s="146">
        <f>IFERROR(VLOOKUP(C176,SeriesPoints!$A$2:$B$51,2,FALSE),"")</f>
        <v>54</v>
      </c>
      <c r="F176" s="148" t="str">
        <f>IFERROR(VLOOKUP($D176,EntryList!$B$3:$V$291,21,FALSE),"")</f>
        <v>-</v>
      </c>
      <c r="G176" s="100" t="str">
        <f>IFERROR(VLOOKUP($D176,EntryList!$B$3:$N$596,5,FALSE),"")</f>
        <v>M</v>
      </c>
      <c r="H176" s="145" t="str">
        <f>IFERROR(VLOOKUP($D176,EntryList!$B$3:$N$596,6,FALSE),"")</f>
        <v>Lite M</v>
      </c>
      <c r="I176" s="59">
        <f>IFERROR(VLOOKUP($B176,OverallResults!$B$3:$Z$492,8,FALSE),"")</f>
        <v>3</v>
      </c>
      <c r="J176" s="57" t="str">
        <f>IFERROR(VLOOKUP($B176,OverallResults!$B$3:$BB$492,9,FALSE),"")</f>
        <v>DNS/DNF ()</v>
      </c>
      <c r="K176" s="58" t="str">
        <f>IFERROR(VLOOKUP($B176,OverallResults!$B$3:$BB$492,10,FALSE),"")</f>
        <v>00:04:38.8 (165)</v>
      </c>
      <c r="L176" s="57" t="str">
        <f>IFERROR(VLOOKUP($B176,OverallResults!$B$3:$BB$492,11,FALSE),"")</f>
        <v>00:02:55.0 (197)</v>
      </c>
      <c r="M176" s="57" t="str">
        <f>IFERROR(VLOOKUP($B176,OverallResults!$B$3:$BB$492,12,FALSE),"")</f>
        <v>DNS/DNF ()</v>
      </c>
      <c r="N176" s="58" t="str">
        <f>IFERROR(VLOOKUP($B176,OverallResults!$B$3:$BB$492,13,FALSE),"")</f>
        <v>00:05:59.4 (137)</v>
      </c>
      <c r="O176" s="58" t="str">
        <f>IFERROR(VLOOKUP($B176,OverallResults!$B$3:$BB$492,14,FALSE),"")</f>
        <v>DNS/DNF ()</v>
      </c>
      <c r="P176" s="58" t="str">
        <f>IFERROR(VLOOKUP($B176,OverallResults!$B$3:$BB$492,15,FALSE),"")</f>
        <v>DNS/DNF ()</v>
      </c>
      <c r="Q176" s="58" t="str">
        <f>IFERROR(VLOOKUP($B176,OverallResults!$B$3:$BB$492,16,FALSE),"")</f>
        <v>DNS/DNF ()</v>
      </c>
      <c r="R176" s="58" t="str">
        <f>IFERROR(VLOOKUP($B176,OverallResults!$B$3:$BB$492,17,FALSE),"")</f>
        <v>00:13:33.194</v>
      </c>
      <c r="S176" s="170" t="str">
        <f t="shared" si="4"/>
        <v>00:04</v>
      </c>
      <c r="T176" s="170" t="str">
        <f t="shared" si="5"/>
        <v>N/A</v>
      </c>
      <c r="U176" s="359">
        <f>IFERROR(VLOOKUP($D176,EntryList!$B$3:$S$291,18,FALSE),"")</f>
        <v>0</v>
      </c>
      <c r="V176" s="359">
        <f>IFERROR(VLOOKUP($D176,EntryList!$B$3:$S$291,17,FALSE),"")</f>
        <v>0</v>
      </c>
    </row>
    <row r="177" spans="2:22">
      <c r="B177" s="59">
        <v>172</v>
      </c>
      <c r="C177" s="59">
        <f>IFERROR(VLOOKUP($B177,OverallResults!$B$3:$Z$508,2,FALSE),"")</f>
        <v>23</v>
      </c>
      <c r="D177" s="149" t="str">
        <f>IFERROR(VLOOKUP($B177,OverallResults!$B$3:$Z$508,3,FALSE),"")</f>
        <v>Ebrahiem Van Der Schyff</v>
      </c>
      <c r="E177" s="146">
        <f>IFERROR(VLOOKUP(C177,SeriesPoints!$A$2:$B$51,2,FALSE),"")</f>
        <v>51</v>
      </c>
      <c r="F177" s="148" t="str">
        <f>IFERROR(VLOOKUP($D177,EntryList!$B$3:$V$291,21,FALSE),"")</f>
        <v>-</v>
      </c>
      <c r="G177" s="100" t="str">
        <f>IFERROR(VLOOKUP($D177,EntryList!$B$3:$N$596,5,FALSE),"")</f>
        <v>M</v>
      </c>
      <c r="H177" s="145" t="str">
        <f>IFERROR(VLOOKUP($D177,EntryList!$B$3:$N$596,6,FALSE),"")</f>
        <v>Lite M</v>
      </c>
      <c r="I177" s="59">
        <f>IFERROR(VLOOKUP($B177,OverallResults!$B$3:$Z$492,8,FALSE),"")</f>
        <v>3</v>
      </c>
      <c r="J177" s="57" t="str">
        <f>IFERROR(VLOOKUP($B177,OverallResults!$B$3:$BB$492,9,FALSE),"")</f>
        <v>DNS/DNF ()</v>
      </c>
      <c r="K177" s="58" t="str">
        <f>IFERROR(VLOOKUP($B177,OverallResults!$B$3:$BB$492,10,FALSE),"")</f>
        <v>00:04:40.6 (172)</v>
      </c>
      <c r="L177" s="57" t="str">
        <f>IFERROR(VLOOKUP($B177,OverallResults!$B$3:$BB$492,11,FALSE),"")</f>
        <v>00:02:51.2 (188)</v>
      </c>
      <c r="M177" s="57" t="str">
        <f>IFERROR(VLOOKUP($B177,OverallResults!$B$3:$BB$492,12,FALSE),"")</f>
        <v>DNS/DNF ()</v>
      </c>
      <c r="N177" s="58" t="str">
        <f>IFERROR(VLOOKUP($B177,OverallResults!$B$3:$BB$492,13,FALSE),"")</f>
        <v>00:06:04.3 (148)</v>
      </c>
      <c r="O177" s="58" t="str">
        <f>IFERROR(VLOOKUP($B177,OverallResults!$B$3:$BB$492,14,FALSE),"")</f>
        <v>DNS/DNF ()</v>
      </c>
      <c r="P177" s="58" t="str">
        <f>IFERROR(VLOOKUP($B177,OverallResults!$B$3:$BB$492,15,FALSE),"")</f>
        <v>DNS/DNF ()</v>
      </c>
      <c r="Q177" s="58" t="str">
        <f>IFERROR(VLOOKUP($B177,OverallResults!$B$3:$BB$492,16,FALSE),"")</f>
        <v>DNS/DNF ()</v>
      </c>
      <c r="R177" s="58" t="str">
        <f>IFERROR(VLOOKUP($B177,OverallResults!$B$3:$BB$492,17,FALSE),"")</f>
        <v>00:13:36.209</v>
      </c>
      <c r="S177" s="170" t="str">
        <f t="shared" si="4"/>
        <v>00:03</v>
      </c>
      <c r="T177" s="170" t="str">
        <f t="shared" si="5"/>
        <v>N/A</v>
      </c>
      <c r="U177" s="359">
        <f>IFERROR(VLOOKUP($D177,EntryList!$B$3:$S$291,18,FALSE),"")</f>
        <v>0</v>
      </c>
      <c r="V177" s="359">
        <f>IFERROR(VLOOKUP($D177,EntryList!$B$3:$S$291,17,FALSE),"")</f>
        <v>0</v>
      </c>
    </row>
    <row r="178" spans="2:22">
      <c r="B178" s="59">
        <v>173</v>
      </c>
      <c r="C178" s="59">
        <f>IFERROR(VLOOKUP($B178,OverallResults!$B$3:$Z$508,2,FALSE),"")</f>
        <v>5</v>
      </c>
      <c r="D178" s="149" t="str">
        <f>IFERROR(VLOOKUP($B178,OverallResults!$B$3:$Z$508,3,FALSE),"")</f>
        <v>Lineke Groenewald</v>
      </c>
      <c r="E178" s="146">
        <f>IFERROR(VLOOKUP(C178,SeriesPoints!$A$2:$B$51,2,FALSE),"")</f>
        <v>125</v>
      </c>
      <c r="F178" s="148" t="str">
        <f>IFERROR(VLOOKUP($D178,EntryList!$B$3:$V$291,21,FALSE),"")</f>
        <v>-</v>
      </c>
      <c r="G178" s="100" t="str">
        <f>IFERROR(VLOOKUP($D178,EntryList!$B$3:$N$596,5,FALSE),"")</f>
        <v>F</v>
      </c>
      <c r="H178" s="145" t="str">
        <f>IFERROR(VLOOKUP($D178,EntryList!$B$3:$N$596,6,FALSE),"")</f>
        <v>Lite F</v>
      </c>
      <c r="I178" s="59">
        <f>IFERROR(VLOOKUP($B178,OverallResults!$B$3:$Z$492,8,FALSE),"")</f>
        <v>3</v>
      </c>
      <c r="J178" s="57" t="str">
        <f>IFERROR(VLOOKUP($B178,OverallResults!$B$3:$BB$492,9,FALSE),"")</f>
        <v>DNS/DNF ()</v>
      </c>
      <c r="K178" s="58" t="str">
        <f>IFERROR(VLOOKUP($B178,OverallResults!$B$3:$BB$492,10,FALSE),"")</f>
        <v>00:04:50.2 (189)</v>
      </c>
      <c r="L178" s="57" t="str">
        <f>IFERROR(VLOOKUP($B178,OverallResults!$B$3:$BB$492,11,FALSE),"")</f>
        <v>00:02:43.5 (169)</v>
      </c>
      <c r="M178" s="57" t="str">
        <f>IFERROR(VLOOKUP($B178,OverallResults!$B$3:$BB$492,12,FALSE),"")</f>
        <v>DNS/DNF ()</v>
      </c>
      <c r="N178" s="58" t="str">
        <f>IFERROR(VLOOKUP($B178,OverallResults!$B$3:$BB$492,13,FALSE),"")</f>
        <v>00:06:06.3 (154)</v>
      </c>
      <c r="O178" s="58" t="str">
        <f>IFERROR(VLOOKUP($B178,OverallResults!$B$3:$BB$492,14,FALSE),"")</f>
        <v>DNS/DNF ()</v>
      </c>
      <c r="P178" s="58" t="str">
        <f>IFERROR(VLOOKUP($B178,OverallResults!$B$3:$BB$492,15,FALSE),"")</f>
        <v>DNS/DNF ()</v>
      </c>
      <c r="Q178" s="58" t="str">
        <f>IFERROR(VLOOKUP($B178,OverallResults!$B$3:$BB$492,16,FALSE),"")</f>
        <v>DNS/DNF ()</v>
      </c>
      <c r="R178" s="58" t="str">
        <f>IFERROR(VLOOKUP($B178,OverallResults!$B$3:$BB$492,17,FALSE),"")</f>
        <v>00:13:39.982</v>
      </c>
      <c r="S178" s="170" t="str">
        <f t="shared" si="4"/>
        <v>00:04</v>
      </c>
      <c r="T178" s="170" t="str">
        <f t="shared" si="5"/>
        <v>N/A</v>
      </c>
      <c r="U178" s="359">
        <f>IFERROR(VLOOKUP($D178,EntryList!$B$3:$S$291,18,FALSE),"")</f>
        <v>0</v>
      </c>
      <c r="V178" s="359">
        <f>IFERROR(VLOOKUP($D178,EntryList!$B$3:$S$291,17,FALSE),"")</f>
        <v>0</v>
      </c>
    </row>
    <row r="179" spans="2:22">
      <c r="B179" s="59">
        <v>174</v>
      </c>
      <c r="C179" s="59">
        <f>IFERROR(VLOOKUP($B179,OverallResults!$B$3:$Z$508,2,FALSE),"")</f>
        <v>5</v>
      </c>
      <c r="D179" s="149" t="str">
        <f>IFERROR(VLOOKUP($B179,OverallResults!$B$3:$Z$508,3,FALSE),"")</f>
        <v>Charl Du Plessis</v>
      </c>
      <c r="E179" s="146">
        <f>IFERROR(VLOOKUP(C179,SeriesPoints!$A$2:$B$51,2,FALSE),"")</f>
        <v>125</v>
      </c>
      <c r="F179" s="148" t="str">
        <f>IFERROR(VLOOKUP($D179,EntryList!$B$3:$V$291,21,FALSE),"")</f>
        <v>-</v>
      </c>
      <c r="G179" s="100" t="str">
        <f>IFERROR(VLOOKUP($D179,EntryList!$B$3:$N$596,5,FALSE),"")</f>
        <v>M</v>
      </c>
      <c r="H179" s="145" t="str">
        <f>IFERROR(VLOOKUP($D179,EntryList!$B$3:$N$596,6,FALSE),"")</f>
        <v>E-Bike Lite M</v>
      </c>
      <c r="I179" s="59">
        <f>IFERROR(VLOOKUP($B179,OverallResults!$B$3:$Z$492,8,FALSE),"")</f>
        <v>3</v>
      </c>
      <c r="J179" s="57" t="str">
        <f>IFERROR(VLOOKUP($B179,OverallResults!$B$3:$BB$492,9,FALSE),"")</f>
        <v>DNS/DNF ()</v>
      </c>
      <c r="K179" s="58" t="str">
        <f>IFERROR(VLOOKUP($B179,OverallResults!$B$3:$BB$492,10,FALSE),"")</f>
        <v>00:04:37.7 (162)</v>
      </c>
      <c r="L179" s="57" t="str">
        <f>IFERROR(VLOOKUP($B179,OverallResults!$B$3:$BB$492,11,FALSE),"")</f>
        <v>00:02:48.9 (184)</v>
      </c>
      <c r="M179" s="57" t="str">
        <f>IFERROR(VLOOKUP($B179,OverallResults!$B$3:$BB$492,12,FALSE),"")</f>
        <v>DNS/DNF ()</v>
      </c>
      <c r="N179" s="58" t="str">
        <f>IFERROR(VLOOKUP($B179,OverallResults!$B$3:$BB$492,13,FALSE),"")</f>
        <v>00:06:14.9 (168)</v>
      </c>
      <c r="O179" s="58" t="str">
        <f>IFERROR(VLOOKUP($B179,OverallResults!$B$3:$BB$492,14,FALSE),"")</f>
        <v>DNS/DNF ()</v>
      </c>
      <c r="P179" s="58" t="str">
        <f>IFERROR(VLOOKUP($B179,OverallResults!$B$3:$BB$492,15,FALSE),"")</f>
        <v>DNS/DNF ()</v>
      </c>
      <c r="Q179" s="58" t="str">
        <f>IFERROR(VLOOKUP($B179,OverallResults!$B$3:$BB$492,16,FALSE),"")</f>
        <v>DNS/DNF ()</v>
      </c>
      <c r="R179" s="58" t="str">
        <f>IFERROR(VLOOKUP($B179,OverallResults!$B$3:$BB$492,17,FALSE),"")</f>
        <v>00:13:41.574</v>
      </c>
      <c r="S179" s="170" t="str">
        <f t="shared" si="4"/>
        <v>00:02</v>
      </c>
      <c r="T179" s="170" t="str">
        <f t="shared" si="5"/>
        <v>N/A</v>
      </c>
      <c r="U179" s="359">
        <f>IFERROR(VLOOKUP($D179,EntryList!$B$3:$S$291,18,FALSE),"")</f>
        <v>0</v>
      </c>
      <c r="V179" s="359">
        <f>IFERROR(VLOOKUP($D179,EntryList!$B$3:$S$291,17,FALSE),"")</f>
        <v>0</v>
      </c>
    </row>
    <row r="180" spans="2:22">
      <c r="B180" s="59">
        <v>175</v>
      </c>
      <c r="C180" s="59">
        <f>IFERROR(VLOOKUP($B180,OverallResults!$B$3:$Z$508,2,FALSE),"")</f>
        <v>9</v>
      </c>
      <c r="D180" s="149" t="str">
        <f>IFERROR(VLOOKUP($B180,OverallResults!$B$3:$Z$508,3,FALSE),"")</f>
        <v>Hanru Van Heyningen</v>
      </c>
      <c r="E180" s="146">
        <f>IFERROR(VLOOKUP(C180,SeriesPoints!$A$2:$B$51,2,FALSE),"")</f>
        <v>105</v>
      </c>
      <c r="F180" s="148" t="str">
        <f>IFERROR(VLOOKUP($D180,EntryList!$B$3:$V$291,21,FALSE),"")</f>
        <v>-</v>
      </c>
      <c r="G180" s="100" t="str">
        <f>IFERROR(VLOOKUP($D180,EntryList!$B$3:$N$596,5,FALSE),"")</f>
        <v>M</v>
      </c>
      <c r="H180" s="145" t="str">
        <f>IFERROR(VLOOKUP($D180,EntryList!$B$3:$N$596,6,FALSE),"")</f>
        <v>Sub Junior Boys</v>
      </c>
      <c r="I180" s="59">
        <f>IFERROR(VLOOKUP($B180,OverallResults!$B$3:$Z$492,8,FALSE),"")</f>
        <v>3</v>
      </c>
      <c r="J180" s="57" t="str">
        <f>IFERROR(VLOOKUP($B180,OverallResults!$B$3:$BB$492,9,FALSE),"")</f>
        <v>DNS/DNF ()</v>
      </c>
      <c r="K180" s="58" t="str">
        <f>IFERROR(VLOOKUP($B180,OverallResults!$B$3:$BB$492,10,FALSE),"")</f>
        <v>00:04:54.0 (194)</v>
      </c>
      <c r="L180" s="57" t="str">
        <f>IFERROR(VLOOKUP($B180,OverallResults!$B$3:$BB$492,11,FALSE),"")</f>
        <v>00:02:42.0 (166)</v>
      </c>
      <c r="M180" s="57" t="str">
        <f>IFERROR(VLOOKUP($B180,OverallResults!$B$3:$BB$492,12,FALSE),"")</f>
        <v>DNS/DNF ()</v>
      </c>
      <c r="N180" s="58" t="str">
        <f>IFERROR(VLOOKUP($B180,OverallResults!$B$3:$BB$492,13,FALSE),"")</f>
        <v>00:06:11.0 (164)</v>
      </c>
      <c r="O180" s="58" t="str">
        <f>IFERROR(VLOOKUP($B180,OverallResults!$B$3:$BB$492,14,FALSE),"")</f>
        <v>DNS/DNF ()</v>
      </c>
      <c r="P180" s="58" t="str">
        <f>IFERROR(VLOOKUP($B180,OverallResults!$B$3:$BB$492,15,FALSE),"")</f>
        <v>DNS/DNF ()</v>
      </c>
      <c r="Q180" s="58" t="str">
        <f>IFERROR(VLOOKUP($B180,OverallResults!$B$3:$BB$492,16,FALSE),"")</f>
        <v>DNS/DNF ()</v>
      </c>
      <c r="R180" s="58" t="str">
        <f>IFERROR(VLOOKUP($B180,OverallResults!$B$3:$BB$492,17,FALSE),"")</f>
        <v>00:13:47.057</v>
      </c>
      <c r="S180" s="170" t="str">
        <f t="shared" si="4"/>
        <v>00:05</v>
      </c>
      <c r="T180" s="170" t="str">
        <f t="shared" si="5"/>
        <v>N/A</v>
      </c>
      <c r="U180" s="359">
        <f>IFERROR(VLOOKUP($D180,EntryList!$B$3:$S$291,18,FALSE),"")</f>
        <v>0</v>
      </c>
      <c r="V180" s="359">
        <f>IFERROR(VLOOKUP($D180,EntryList!$B$3:$S$291,17,FALSE),"")</f>
        <v>0</v>
      </c>
    </row>
    <row r="181" spans="2:22">
      <c r="B181" s="59">
        <v>176</v>
      </c>
      <c r="C181" s="59">
        <f>IFERROR(VLOOKUP($B181,OverallResults!$B$3:$Z$508,2,FALSE),"")</f>
        <v>24</v>
      </c>
      <c r="D181" s="149" t="str">
        <f>IFERROR(VLOOKUP($B181,OverallResults!$B$3:$Z$508,3,FALSE),"")</f>
        <v>Andrew Hunter</v>
      </c>
      <c r="E181" s="146">
        <f>IFERROR(VLOOKUP(C181,SeriesPoints!$A$2:$B$51,2,FALSE),"")</f>
        <v>48</v>
      </c>
      <c r="F181" s="148" t="str">
        <f>IFERROR(VLOOKUP($D181,EntryList!$B$3:$V$291,21,FALSE),"")</f>
        <v>-</v>
      </c>
      <c r="G181" s="100" t="str">
        <f>IFERROR(VLOOKUP($D181,EntryList!$B$3:$N$596,5,FALSE),"")</f>
        <v>M</v>
      </c>
      <c r="H181" s="145" t="str">
        <f>IFERROR(VLOOKUP($D181,EntryList!$B$3:$N$596,6,FALSE),"")</f>
        <v>Lite M</v>
      </c>
      <c r="I181" s="59">
        <f>IFERROR(VLOOKUP($B181,OverallResults!$B$3:$Z$492,8,FALSE),"")</f>
        <v>3</v>
      </c>
      <c r="J181" s="57" t="str">
        <f>IFERROR(VLOOKUP($B181,OverallResults!$B$3:$BB$492,9,FALSE),"")</f>
        <v>DNS/DNF ()</v>
      </c>
      <c r="K181" s="58" t="str">
        <f>IFERROR(VLOOKUP($B181,OverallResults!$B$3:$BB$492,10,FALSE),"")</f>
        <v>00:04:49.0 (187)</v>
      </c>
      <c r="L181" s="57" t="str">
        <f>IFERROR(VLOOKUP($B181,OverallResults!$B$3:$BB$492,11,FALSE),"")</f>
        <v>00:02:51.2 (189)</v>
      </c>
      <c r="M181" s="57" t="str">
        <f>IFERROR(VLOOKUP($B181,OverallResults!$B$3:$BB$492,12,FALSE),"")</f>
        <v>DNS/DNF ()</v>
      </c>
      <c r="N181" s="58" t="str">
        <f>IFERROR(VLOOKUP($B181,OverallResults!$B$3:$BB$492,13,FALSE),"")</f>
        <v>00:06:14.1 (167)</v>
      </c>
      <c r="O181" s="58" t="str">
        <f>IFERROR(VLOOKUP($B181,OverallResults!$B$3:$BB$492,14,FALSE),"")</f>
        <v>DNS/DNF ()</v>
      </c>
      <c r="P181" s="58" t="str">
        <f>IFERROR(VLOOKUP($B181,OverallResults!$B$3:$BB$492,15,FALSE),"")</f>
        <v>DNS/DNF ()</v>
      </c>
      <c r="Q181" s="58" t="str">
        <f>IFERROR(VLOOKUP($B181,OverallResults!$B$3:$BB$492,16,FALSE),"")</f>
        <v>DNS/DNF ()</v>
      </c>
      <c r="R181" s="58" t="str">
        <f>IFERROR(VLOOKUP($B181,OverallResults!$B$3:$BB$492,17,FALSE),"")</f>
        <v>00:13:54.295</v>
      </c>
      <c r="S181" s="170" t="str">
        <f t="shared" si="4"/>
        <v>00:07</v>
      </c>
      <c r="T181" s="170" t="str">
        <f t="shared" si="5"/>
        <v>N/A</v>
      </c>
      <c r="U181" s="359">
        <f>IFERROR(VLOOKUP($D181,EntryList!$B$3:$S$291,18,FALSE),"")</f>
        <v>0</v>
      </c>
      <c r="V181" s="359">
        <f>IFERROR(VLOOKUP($D181,EntryList!$B$3:$S$291,17,FALSE),"")</f>
        <v>0</v>
      </c>
    </row>
    <row r="182" spans="2:22">
      <c r="B182" s="59">
        <v>177</v>
      </c>
      <c r="C182" s="59">
        <f>IFERROR(VLOOKUP($B182,OverallResults!$B$3:$Z$508,2,FALSE),"")</f>
        <v>1</v>
      </c>
      <c r="D182" s="149" t="str">
        <f>IFERROR(VLOOKUP($B182,OverallResults!$B$3:$Z$508,3,FALSE),"")</f>
        <v>James Marais</v>
      </c>
      <c r="E182" s="146">
        <f>IFERROR(VLOOKUP(C182,SeriesPoints!$A$2:$B$51,2,FALSE),"")</f>
        <v>200</v>
      </c>
      <c r="F182" s="148" t="str">
        <f>IFERROR(VLOOKUP($D182,EntryList!$B$3:$V$291,21,FALSE),"")</f>
        <v>-</v>
      </c>
      <c r="G182" s="100" t="str">
        <f>IFERROR(VLOOKUP($D182,EntryList!$B$3:$N$596,5,FALSE),"")</f>
        <v>M</v>
      </c>
      <c r="H182" s="145" t="str">
        <f>IFERROR(VLOOKUP($D182,EntryList!$B$3:$N$596,6,FALSE),"")</f>
        <v>Nipper Boys</v>
      </c>
      <c r="I182" s="59">
        <f>IFERROR(VLOOKUP($B182,OverallResults!$B$3:$Z$492,8,FALSE),"")</f>
        <v>3</v>
      </c>
      <c r="J182" s="57" t="str">
        <f>IFERROR(VLOOKUP($B182,OverallResults!$B$3:$BB$492,9,FALSE),"")</f>
        <v>DNS/DNF ()</v>
      </c>
      <c r="K182" s="58" t="str">
        <f>IFERROR(VLOOKUP($B182,OverallResults!$B$3:$BB$492,10,FALSE),"")</f>
        <v>00:04:36.9 (159)</v>
      </c>
      <c r="L182" s="57" t="str">
        <f>IFERROR(VLOOKUP($B182,OverallResults!$B$3:$BB$492,11,FALSE),"")</f>
        <v>00:02:55.7 (201)</v>
      </c>
      <c r="M182" s="57" t="str">
        <f>IFERROR(VLOOKUP($B182,OverallResults!$B$3:$BB$492,12,FALSE),"")</f>
        <v>DNS/DNF ()</v>
      </c>
      <c r="N182" s="58" t="str">
        <f>IFERROR(VLOOKUP($B182,OverallResults!$B$3:$BB$492,13,FALSE),"")</f>
        <v>00:06:22.4 (178)</v>
      </c>
      <c r="O182" s="58" t="str">
        <f>IFERROR(VLOOKUP($B182,OverallResults!$B$3:$BB$492,14,FALSE),"")</f>
        <v>DNS/DNF ()</v>
      </c>
      <c r="P182" s="58" t="str">
        <f>IFERROR(VLOOKUP($B182,OverallResults!$B$3:$BB$492,15,FALSE),"")</f>
        <v>DNS/DNF ()</v>
      </c>
      <c r="Q182" s="58" t="str">
        <f>IFERROR(VLOOKUP($B182,OverallResults!$B$3:$BB$492,16,FALSE),"")</f>
        <v>DNS/DNF ()</v>
      </c>
      <c r="R182" s="58" t="str">
        <f>IFERROR(VLOOKUP($B182,OverallResults!$B$3:$BB$492,17,FALSE),"")</f>
        <v>00:13:54.993</v>
      </c>
      <c r="S182" s="170" t="str">
        <f t="shared" si="4"/>
        <v>00:01</v>
      </c>
      <c r="T182" s="170" t="str">
        <f t="shared" si="5"/>
        <v>N/A</v>
      </c>
      <c r="U182" s="359">
        <f>IFERROR(VLOOKUP($D182,EntryList!$B$3:$S$291,18,FALSE),"")</f>
        <v>0</v>
      </c>
      <c r="V182" s="359">
        <f>IFERROR(VLOOKUP($D182,EntryList!$B$3:$S$291,17,FALSE),"")</f>
        <v>0</v>
      </c>
    </row>
    <row r="183" spans="2:22">
      <c r="B183" s="59">
        <v>178</v>
      </c>
      <c r="C183" s="59">
        <f>IFERROR(VLOOKUP($B183,OverallResults!$B$3:$Z$508,2,FALSE),"")</f>
        <v>25</v>
      </c>
      <c r="D183" s="149" t="str">
        <f>IFERROR(VLOOKUP($B183,OverallResults!$B$3:$Z$508,3,FALSE),"")</f>
        <v>Marc Dawson</v>
      </c>
      <c r="E183" s="146">
        <f>IFERROR(VLOOKUP(C183,SeriesPoints!$A$2:$B$51,2,FALSE),"")</f>
        <v>45</v>
      </c>
      <c r="F183" s="148" t="str">
        <f>IFERROR(VLOOKUP($D183,EntryList!$B$3:$V$291,21,FALSE),"")</f>
        <v>-</v>
      </c>
      <c r="G183" s="100" t="str">
        <f>IFERROR(VLOOKUP($D183,EntryList!$B$3:$N$596,5,FALSE),"")</f>
        <v>M</v>
      </c>
      <c r="H183" s="145" t="str">
        <f>IFERROR(VLOOKUP($D183,EntryList!$B$3:$N$596,6,FALSE),"")</f>
        <v>Lite M</v>
      </c>
      <c r="I183" s="59">
        <f>IFERROR(VLOOKUP($B183,OverallResults!$B$3:$Z$492,8,FALSE),"")</f>
        <v>3</v>
      </c>
      <c r="J183" s="57" t="str">
        <f>IFERROR(VLOOKUP($B183,OverallResults!$B$3:$BB$492,9,FALSE),"")</f>
        <v>DNS/DNF ()</v>
      </c>
      <c r="K183" s="58" t="str">
        <f>IFERROR(VLOOKUP($B183,OverallResults!$B$3:$BB$492,10,FALSE),"")</f>
        <v>00:04:44.4 (179)</v>
      </c>
      <c r="L183" s="57" t="str">
        <f>IFERROR(VLOOKUP($B183,OverallResults!$B$3:$BB$492,11,FALSE),"")</f>
        <v>00:02:57.0 (203)</v>
      </c>
      <c r="M183" s="57" t="str">
        <f>IFERROR(VLOOKUP($B183,OverallResults!$B$3:$BB$492,12,FALSE),"")</f>
        <v>DNS/DNF ()</v>
      </c>
      <c r="N183" s="58" t="str">
        <f>IFERROR(VLOOKUP($B183,OverallResults!$B$3:$BB$492,13,FALSE),"")</f>
        <v>00:06:17.8 (173)</v>
      </c>
      <c r="O183" s="58" t="str">
        <f>IFERROR(VLOOKUP($B183,OverallResults!$B$3:$BB$492,14,FALSE),"")</f>
        <v>DNS/DNF ()</v>
      </c>
      <c r="P183" s="58" t="str">
        <f>IFERROR(VLOOKUP($B183,OverallResults!$B$3:$BB$492,15,FALSE),"")</f>
        <v>DNS/DNF ()</v>
      </c>
      <c r="Q183" s="58" t="str">
        <f>IFERROR(VLOOKUP($B183,OverallResults!$B$3:$BB$492,16,FALSE),"")</f>
        <v>DNS/DNF ()</v>
      </c>
      <c r="R183" s="58" t="str">
        <f>IFERROR(VLOOKUP($B183,OverallResults!$B$3:$BB$492,17,FALSE),"")</f>
        <v>00:13:59.273</v>
      </c>
      <c r="S183" s="170" t="str">
        <f t="shared" si="4"/>
        <v>00:04</v>
      </c>
      <c r="T183" s="170" t="str">
        <f t="shared" si="5"/>
        <v>N/A</v>
      </c>
      <c r="U183" s="359">
        <f>IFERROR(VLOOKUP($D183,EntryList!$B$3:$S$291,18,FALSE),"")</f>
        <v>0</v>
      </c>
      <c r="V183" s="359">
        <f>IFERROR(VLOOKUP($D183,EntryList!$B$3:$S$291,17,FALSE),"")</f>
        <v>0</v>
      </c>
    </row>
    <row r="184" spans="2:22">
      <c r="B184" s="59">
        <v>179</v>
      </c>
      <c r="C184" s="59">
        <f>IFERROR(VLOOKUP($B184,OverallResults!$B$3:$Z$508,2,FALSE),"")</f>
        <v>26</v>
      </c>
      <c r="D184" s="149" t="str">
        <f>IFERROR(VLOOKUP($B184,OverallResults!$B$3:$Z$508,3,FALSE),"")</f>
        <v>Rezah Levy</v>
      </c>
      <c r="E184" s="146">
        <f>IFERROR(VLOOKUP(C184,SeriesPoints!$A$2:$B$51,2,FALSE),"")</f>
        <v>42</v>
      </c>
      <c r="F184" s="148" t="str">
        <f>IFERROR(VLOOKUP($D184,EntryList!$B$3:$V$291,21,FALSE),"")</f>
        <v>-</v>
      </c>
      <c r="G184" s="100" t="str">
        <f>IFERROR(VLOOKUP($D184,EntryList!$B$3:$N$596,5,FALSE),"")</f>
        <v>M</v>
      </c>
      <c r="H184" s="145" t="str">
        <f>IFERROR(VLOOKUP($D184,EntryList!$B$3:$N$596,6,FALSE),"")</f>
        <v>Lite M</v>
      </c>
      <c r="I184" s="59">
        <f>IFERROR(VLOOKUP($B184,OverallResults!$B$3:$Z$492,8,FALSE),"")</f>
        <v>3</v>
      </c>
      <c r="J184" s="57" t="str">
        <f>IFERROR(VLOOKUP($B184,OverallResults!$B$3:$BB$492,9,FALSE),"")</f>
        <v>DNS/DNF ()</v>
      </c>
      <c r="K184" s="58" t="str">
        <f>IFERROR(VLOOKUP($B184,OverallResults!$B$3:$BB$492,10,FALSE),"")</f>
        <v>00:04:45.6 (184)</v>
      </c>
      <c r="L184" s="57" t="str">
        <f>IFERROR(VLOOKUP($B184,OverallResults!$B$3:$BB$492,11,FALSE),"")</f>
        <v>00:02:48.2 (181)</v>
      </c>
      <c r="M184" s="57" t="str">
        <f>IFERROR(VLOOKUP($B184,OverallResults!$B$3:$BB$492,12,FALSE),"")</f>
        <v>DNS/DNF ()</v>
      </c>
      <c r="N184" s="58" t="str">
        <f>IFERROR(VLOOKUP($B184,OverallResults!$B$3:$BB$492,13,FALSE),"")</f>
        <v>00:06:28.2 (184)</v>
      </c>
      <c r="O184" s="58" t="str">
        <f>IFERROR(VLOOKUP($B184,OverallResults!$B$3:$BB$492,14,FALSE),"")</f>
        <v>DNS/DNF ()</v>
      </c>
      <c r="P184" s="58" t="str">
        <f>IFERROR(VLOOKUP($B184,OverallResults!$B$3:$BB$492,15,FALSE),"")</f>
        <v>DNS/DNF ()</v>
      </c>
      <c r="Q184" s="58" t="str">
        <f>IFERROR(VLOOKUP($B184,OverallResults!$B$3:$BB$492,16,FALSE),"")</f>
        <v>DNS/DNF ()</v>
      </c>
      <c r="R184" s="58" t="str">
        <f>IFERROR(VLOOKUP($B184,OverallResults!$B$3:$BB$492,17,FALSE),"")</f>
        <v>00:14:02.035</v>
      </c>
      <c r="S184" s="170" t="str">
        <f t="shared" si="4"/>
        <v>00:03</v>
      </c>
      <c r="T184" s="170" t="str">
        <f t="shared" si="5"/>
        <v>N/A</v>
      </c>
      <c r="U184" s="359">
        <f>IFERROR(VLOOKUP($D184,EntryList!$B$3:$S$291,18,FALSE),"")</f>
        <v>0</v>
      </c>
      <c r="V184" s="359">
        <f>IFERROR(VLOOKUP($D184,EntryList!$B$3:$S$291,17,FALSE),"")</f>
        <v>0</v>
      </c>
    </row>
    <row r="185" spans="2:22">
      <c r="B185" s="59">
        <v>180</v>
      </c>
      <c r="C185" s="59">
        <f>IFERROR(VLOOKUP($B185,OverallResults!$B$3:$Z$508,2,FALSE),"")</f>
        <v>27</v>
      </c>
      <c r="D185" s="149" t="str">
        <f>IFERROR(VLOOKUP($B185,OverallResults!$B$3:$Z$508,3,FALSE),"")</f>
        <v>Henk De Kock</v>
      </c>
      <c r="E185" s="146">
        <f>IFERROR(VLOOKUP(C185,SeriesPoints!$A$2:$B$51,2,FALSE),"")</f>
        <v>39</v>
      </c>
      <c r="F185" s="148" t="str">
        <f>IFERROR(VLOOKUP($D185,EntryList!$B$3:$V$291,21,FALSE),"")</f>
        <v>-</v>
      </c>
      <c r="G185" s="100" t="str">
        <f>IFERROR(VLOOKUP($D185,EntryList!$B$3:$N$596,5,FALSE),"")</f>
        <v>M</v>
      </c>
      <c r="H185" s="145" t="str">
        <f>IFERROR(VLOOKUP($D185,EntryList!$B$3:$N$596,6,FALSE),"")</f>
        <v>Lite M</v>
      </c>
      <c r="I185" s="59">
        <f>IFERROR(VLOOKUP($B185,OverallResults!$B$3:$Z$492,8,FALSE),"")</f>
        <v>3</v>
      </c>
      <c r="J185" s="57" t="str">
        <f>IFERROR(VLOOKUP($B185,OverallResults!$B$3:$BB$492,9,FALSE),"")</f>
        <v>DNS/DNF ()</v>
      </c>
      <c r="K185" s="58" t="str">
        <f>IFERROR(VLOOKUP($B185,OverallResults!$B$3:$BB$492,10,FALSE),"")</f>
        <v>00:04:51.0 (190)</v>
      </c>
      <c r="L185" s="57" t="str">
        <f>IFERROR(VLOOKUP($B185,OverallResults!$B$3:$BB$492,11,FALSE),"")</f>
        <v>00:02:46.2 (178)</v>
      </c>
      <c r="M185" s="57" t="str">
        <f>IFERROR(VLOOKUP($B185,OverallResults!$B$3:$BB$492,12,FALSE),"")</f>
        <v>DNS/DNF ()</v>
      </c>
      <c r="N185" s="58" t="str">
        <f>IFERROR(VLOOKUP($B185,OverallResults!$B$3:$BB$492,13,FALSE),"")</f>
        <v>00:06:27.9 (183)</v>
      </c>
      <c r="O185" s="58" t="str">
        <f>IFERROR(VLOOKUP($B185,OverallResults!$B$3:$BB$492,14,FALSE),"")</f>
        <v>DNS/DNF ()</v>
      </c>
      <c r="P185" s="58" t="str">
        <f>IFERROR(VLOOKUP($B185,OverallResults!$B$3:$BB$492,15,FALSE),"")</f>
        <v>DNS/DNF ()</v>
      </c>
      <c r="Q185" s="58" t="str">
        <f>IFERROR(VLOOKUP($B185,OverallResults!$B$3:$BB$492,16,FALSE),"")</f>
        <v>DNS/DNF ()</v>
      </c>
      <c r="R185" s="58" t="str">
        <f>IFERROR(VLOOKUP($B185,OverallResults!$B$3:$BB$492,17,FALSE),"")</f>
        <v>00:14:05.150</v>
      </c>
      <c r="S185" s="170" t="str">
        <f t="shared" si="4"/>
        <v>00:03</v>
      </c>
      <c r="T185" s="170" t="str">
        <f t="shared" si="5"/>
        <v>N/A</v>
      </c>
      <c r="U185" s="359">
        <f>IFERROR(VLOOKUP($D185,EntryList!$B$3:$S$291,18,FALSE),"")</f>
        <v>0</v>
      </c>
      <c r="V185" s="359">
        <f>IFERROR(VLOOKUP($D185,EntryList!$B$3:$S$291,17,FALSE),"")</f>
        <v>0</v>
      </c>
    </row>
    <row r="186" spans="2:22">
      <c r="B186" s="59">
        <v>181</v>
      </c>
      <c r="C186" s="59">
        <f>IFERROR(VLOOKUP($B186,OverallResults!$B$3:$Z$508,2,FALSE),"")</f>
        <v>28</v>
      </c>
      <c r="D186" s="149" t="str">
        <f>IFERROR(VLOOKUP($B186,OverallResults!$B$3:$Z$508,3,FALSE),"")</f>
        <v>Jean Ehlers</v>
      </c>
      <c r="E186" s="146">
        <f>IFERROR(VLOOKUP(C186,SeriesPoints!$A$2:$B$51,2,FALSE),"")</f>
        <v>36</v>
      </c>
      <c r="F186" s="148" t="str">
        <f>IFERROR(VLOOKUP($D186,EntryList!$B$3:$V$291,21,FALSE),"")</f>
        <v>-</v>
      </c>
      <c r="G186" s="100" t="str">
        <f>IFERROR(VLOOKUP($D186,EntryList!$B$3:$N$596,5,FALSE),"")</f>
        <v>M</v>
      </c>
      <c r="H186" s="145" t="str">
        <f>IFERROR(VLOOKUP($D186,EntryList!$B$3:$N$596,6,FALSE),"")</f>
        <v>Lite M</v>
      </c>
      <c r="I186" s="59">
        <f>IFERROR(VLOOKUP($B186,OverallResults!$B$3:$Z$492,8,FALSE),"")</f>
        <v>3</v>
      </c>
      <c r="J186" s="57" t="str">
        <f>IFERROR(VLOOKUP($B186,OverallResults!$B$3:$BB$492,9,FALSE),"")</f>
        <v>DNS/DNF ()</v>
      </c>
      <c r="K186" s="58" t="str">
        <f>IFERROR(VLOOKUP($B186,OverallResults!$B$3:$BB$492,10,FALSE),"")</f>
        <v>00:05:01.3 (203)</v>
      </c>
      <c r="L186" s="57" t="str">
        <f>IFERROR(VLOOKUP($B186,OverallResults!$B$3:$BB$492,11,FALSE),"")</f>
        <v>00:03:14.3 (220)</v>
      </c>
      <c r="M186" s="57" t="str">
        <f>IFERROR(VLOOKUP($B186,OverallResults!$B$3:$BB$492,12,FALSE),"")</f>
        <v>DNS/DNF ()</v>
      </c>
      <c r="N186" s="58" t="str">
        <f>IFERROR(VLOOKUP($B186,OverallResults!$B$3:$BB$492,13,FALSE),"")</f>
        <v>00:05:51.2 (109)</v>
      </c>
      <c r="O186" s="58" t="str">
        <f>IFERROR(VLOOKUP($B186,OverallResults!$B$3:$BB$492,14,FALSE),"")</f>
        <v>DNS/DNF ()</v>
      </c>
      <c r="P186" s="58" t="str">
        <f>IFERROR(VLOOKUP($B186,OverallResults!$B$3:$BB$492,15,FALSE),"")</f>
        <v>DNS/DNF ()</v>
      </c>
      <c r="Q186" s="58" t="str">
        <f>IFERROR(VLOOKUP($B186,OverallResults!$B$3:$BB$492,16,FALSE),"")</f>
        <v>DNS/DNF ()</v>
      </c>
      <c r="R186" s="58" t="str">
        <f>IFERROR(VLOOKUP($B186,OverallResults!$B$3:$BB$492,17,FALSE),"")</f>
        <v>00:14:06.894</v>
      </c>
      <c r="S186" s="170" t="str">
        <f t="shared" si="4"/>
        <v>00:02</v>
      </c>
      <c r="T186" s="170" t="str">
        <f t="shared" si="5"/>
        <v>N/A</v>
      </c>
      <c r="U186" s="359">
        <f>IFERROR(VLOOKUP($D186,EntryList!$B$3:$S$291,18,FALSE),"")</f>
        <v>0</v>
      </c>
      <c r="V186" s="359">
        <f>IFERROR(VLOOKUP($D186,EntryList!$B$3:$S$291,17,FALSE),"")</f>
        <v>0</v>
      </c>
    </row>
    <row r="187" spans="2:22">
      <c r="B187" s="59">
        <v>182</v>
      </c>
      <c r="C187" s="59">
        <f>IFERROR(VLOOKUP($B187,OverallResults!$B$3:$Z$508,2,FALSE),"")</f>
        <v>29</v>
      </c>
      <c r="D187" s="149" t="str">
        <f>IFERROR(VLOOKUP($B187,OverallResults!$B$3:$Z$508,3,FALSE),"")</f>
        <v>James Collins</v>
      </c>
      <c r="E187" s="146">
        <f>IFERROR(VLOOKUP(C187,SeriesPoints!$A$2:$B$51,2,FALSE),"")</f>
        <v>33</v>
      </c>
      <c r="F187" s="148" t="str">
        <f>IFERROR(VLOOKUP($D187,EntryList!$B$3:$V$291,21,FALSE),"")</f>
        <v>-</v>
      </c>
      <c r="G187" s="100" t="str">
        <f>IFERROR(VLOOKUP($D187,EntryList!$B$3:$N$596,5,FALSE),"")</f>
        <v>M</v>
      </c>
      <c r="H187" s="145" t="str">
        <f>IFERROR(VLOOKUP($D187,EntryList!$B$3:$N$596,6,FALSE),"")</f>
        <v>Lite M</v>
      </c>
      <c r="I187" s="59">
        <f>IFERROR(VLOOKUP($B187,OverallResults!$B$3:$Z$492,8,FALSE),"")</f>
        <v>3</v>
      </c>
      <c r="J187" s="57" t="str">
        <f>IFERROR(VLOOKUP($B187,OverallResults!$B$3:$BB$492,9,FALSE),"")</f>
        <v>DNS/DNF ()</v>
      </c>
      <c r="K187" s="58" t="str">
        <f>IFERROR(VLOOKUP($B187,OverallResults!$B$3:$BB$492,10,FALSE),"")</f>
        <v>00:04:44.6 (183)</v>
      </c>
      <c r="L187" s="57" t="str">
        <f>IFERROR(VLOOKUP($B187,OverallResults!$B$3:$BB$492,11,FALSE),"")</f>
        <v>00:02:40.8 (158)</v>
      </c>
      <c r="M187" s="57" t="str">
        <f>IFERROR(VLOOKUP($B187,OverallResults!$B$3:$BB$492,12,FALSE),"")</f>
        <v>DNS/DNF ()</v>
      </c>
      <c r="N187" s="58" t="str">
        <f>IFERROR(VLOOKUP($B187,OverallResults!$B$3:$BB$492,13,FALSE),"")</f>
        <v>00:06:44.6 (206)</v>
      </c>
      <c r="O187" s="58" t="str">
        <f>IFERROR(VLOOKUP($B187,OverallResults!$B$3:$BB$492,14,FALSE),"")</f>
        <v>DNS/DNF ()</v>
      </c>
      <c r="P187" s="58" t="str">
        <f>IFERROR(VLOOKUP($B187,OverallResults!$B$3:$BB$492,15,FALSE),"")</f>
        <v>DNS/DNF ()</v>
      </c>
      <c r="Q187" s="58" t="str">
        <f>IFERROR(VLOOKUP($B187,OverallResults!$B$3:$BB$492,16,FALSE),"")</f>
        <v>DNS/DNF ()</v>
      </c>
      <c r="R187" s="58" t="str">
        <f>IFERROR(VLOOKUP($B187,OverallResults!$B$3:$BB$492,17,FALSE),"")</f>
        <v>00:14:09.993</v>
      </c>
      <c r="S187" s="170" t="str">
        <f t="shared" si="4"/>
        <v>00:03</v>
      </c>
      <c r="T187" s="170" t="str">
        <f t="shared" si="5"/>
        <v>N/A</v>
      </c>
      <c r="U187" s="359">
        <f>IFERROR(VLOOKUP($D187,EntryList!$B$3:$S$291,18,FALSE),"")</f>
        <v>0</v>
      </c>
      <c r="V187" s="359">
        <f>IFERROR(VLOOKUP($D187,EntryList!$B$3:$S$291,17,FALSE),"")</f>
        <v>0</v>
      </c>
    </row>
    <row r="188" spans="2:22">
      <c r="B188" s="59">
        <v>183</v>
      </c>
      <c r="C188" s="59">
        <f>IFERROR(VLOOKUP($B188,OverallResults!$B$3:$Z$508,2,FALSE),"")</f>
        <v>10</v>
      </c>
      <c r="D188" s="149" t="str">
        <f>IFERROR(VLOOKUP($B188,OverallResults!$B$3:$Z$508,3,FALSE),"")</f>
        <v>Julian Robin Oosthuizen</v>
      </c>
      <c r="E188" s="146">
        <f>IFERROR(VLOOKUP(C188,SeriesPoints!$A$2:$B$51,2,FALSE),"")</f>
        <v>100</v>
      </c>
      <c r="F188" s="148" t="str">
        <f>IFERROR(VLOOKUP($D188,EntryList!$B$3:$V$291,21,FALSE),"")</f>
        <v>-</v>
      </c>
      <c r="G188" s="100" t="str">
        <f>IFERROR(VLOOKUP($D188,EntryList!$B$3:$N$596,5,FALSE),"")</f>
        <v>M</v>
      </c>
      <c r="H188" s="145" t="str">
        <f>IFERROR(VLOOKUP($D188,EntryList!$B$3:$N$596,6,FALSE),"")</f>
        <v>Sub Junior Boys</v>
      </c>
      <c r="I188" s="59">
        <f>IFERROR(VLOOKUP($B188,OverallResults!$B$3:$Z$492,8,FALSE),"")</f>
        <v>3</v>
      </c>
      <c r="J188" s="57" t="str">
        <f>IFERROR(VLOOKUP($B188,OverallResults!$B$3:$BB$492,9,FALSE),"")</f>
        <v>DNS/DNF ()</v>
      </c>
      <c r="K188" s="58" t="str">
        <f>IFERROR(VLOOKUP($B188,OverallResults!$B$3:$BB$492,10,FALSE),"")</f>
        <v>00:04:51.2 (191)</v>
      </c>
      <c r="L188" s="57" t="str">
        <f>IFERROR(VLOOKUP($B188,OverallResults!$B$3:$BB$492,11,FALSE),"")</f>
        <v>00:03:24.6 (230)</v>
      </c>
      <c r="M188" s="57" t="str">
        <f>IFERROR(VLOOKUP($B188,OverallResults!$B$3:$BB$492,12,FALSE),"")</f>
        <v>00:06:00.0 (129)</v>
      </c>
      <c r="N188" s="58" t="str">
        <f>IFERROR(VLOOKUP($B188,OverallResults!$B$3:$BB$492,13,FALSE),"")</f>
        <v>DNS/DNF ()</v>
      </c>
      <c r="O188" s="58" t="str">
        <f>IFERROR(VLOOKUP($B188,OverallResults!$B$3:$BB$492,14,FALSE),"")</f>
        <v>DNS/DNF ()</v>
      </c>
      <c r="P188" s="58" t="str">
        <f>IFERROR(VLOOKUP($B188,OverallResults!$B$3:$BB$492,15,FALSE),"")</f>
        <v>DNS/DNF ()</v>
      </c>
      <c r="Q188" s="58" t="str">
        <f>IFERROR(VLOOKUP($B188,OverallResults!$B$3:$BB$492,16,FALSE),"")</f>
        <v>DNS/DNF ()</v>
      </c>
      <c r="R188" s="58" t="str">
        <f>IFERROR(VLOOKUP($B188,OverallResults!$B$3:$BB$492,17,FALSE),"")</f>
        <v>00:14:15.868</v>
      </c>
      <c r="S188" s="170" t="str">
        <f t="shared" si="4"/>
        <v>00:06</v>
      </c>
      <c r="T188" s="170" t="str">
        <f t="shared" si="5"/>
        <v>N/A</v>
      </c>
      <c r="U188" s="359">
        <f>IFERROR(VLOOKUP($D188,EntryList!$B$3:$S$291,18,FALSE),"")</f>
        <v>0</v>
      </c>
      <c r="V188" s="359">
        <f>IFERROR(VLOOKUP($D188,EntryList!$B$3:$S$291,17,FALSE),"")</f>
        <v>0</v>
      </c>
    </row>
    <row r="189" spans="2:22">
      <c r="B189" s="59">
        <v>184</v>
      </c>
      <c r="C189" s="59">
        <f>IFERROR(VLOOKUP($B189,OverallResults!$B$3:$Z$508,2,FALSE),"")</f>
        <v>4</v>
      </c>
      <c r="D189" s="149" t="str">
        <f>IFERROR(VLOOKUP($B189,OverallResults!$B$3:$Z$508,3,FALSE),"")</f>
        <v>Lombard Rousseau</v>
      </c>
      <c r="E189" s="146">
        <f>IFERROR(VLOOKUP(C189,SeriesPoints!$A$2:$B$51,2,FALSE),"")</f>
        <v>135</v>
      </c>
      <c r="F189" s="148" t="str">
        <f>IFERROR(VLOOKUP($D189,EntryList!$B$3:$V$291,21,FALSE),"")</f>
        <v>-</v>
      </c>
      <c r="G189" s="100" t="str">
        <f>IFERROR(VLOOKUP($D189,EntryList!$B$3:$N$596,5,FALSE),"")</f>
        <v>M</v>
      </c>
      <c r="H189" s="145" t="str">
        <f>IFERROR(VLOOKUP($D189,EntryList!$B$3:$N$596,6,FALSE),"")</f>
        <v>Sprog Boys</v>
      </c>
      <c r="I189" s="59">
        <f>IFERROR(VLOOKUP($B189,OverallResults!$B$3:$Z$492,8,FALSE),"")</f>
        <v>3</v>
      </c>
      <c r="J189" s="57" t="str">
        <f>IFERROR(VLOOKUP($B189,OverallResults!$B$3:$BB$492,9,FALSE),"")</f>
        <v>DNS/DNF ()</v>
      </c>
      <c r="K189" s="58" t="str">
        <f>IFERROR(VLOOKUP($B189,OverallResults!$B$3:$BB$492,10,FALSE),"")</f>
        <v>00:04:57.2 (199)</v>
      </c>
      <c r="L189" s="57" t="str">
        <f>IFERROR(VLOOKUP($B189,OverallResults!$B$3:$BB$492,11,FALSE),"")</f>
        <v>00:02:46.5 (180)</v>
      </c>
      <c r="M189" s="57" t="str">
        <f>IFERROR(VLOOKUP($B189,OverallResults!$B$3:$BB$492,12,FALSE),"")</f>
        <v>DNS/DNF ()</v>
      </c>
      <c r="N189" s="58" t="str">
        <f>IFERROR(VLOOKUP($B189,OverallResults!$B$3:$BB$492,13,FALSE),"")</f>
        <v>00:06:42.6 (204)</v>
      </c>
      <c r="O189" s="58" t="str">
        <f>IFERROR(VLOOKUP($B189,OverallResults!$B$3:$BB$492,14,FALSE),"")</f>
        <v>DNS/DNF ()</v>
      </c>
      <c r="P189" s="58" t="str">
        <f>IFERROR(VLOOKUP($B189,OverallResults!$B$3:$BB$492,15,FALSE),"")</f>
        <v>DNS/DNF ()</v>
      </c>
      <c r="Q189" s="58" t="str">
        <f>IFERROR(VLOOKUP($B189,OverallResults!$B$3:$BB$492,16,FALSE),"")</f>
        <v>DNS/DNF ()</v>
      </c>
      <c r="R189" s="58" t="str">
        <f>IFERROR(VLOOKUP($B189,OverallResults!$B$3:$BB$492,17,FALSE),"")</f>
        <v>00:14:26.293</v>
      </c>
      <c r="S189" s="170" t="str">
        <f t="shared" si="4"/>
        <v>00:10</v>
      </c>
      <c r="T189" s="170" t="str">
        <f t="shared" si="5"/>
        <v>N/A</v>
      </c>
      <c r="U189" s="359">
        <f>IFERROR(VLOOKUP($D189,EntryList!$B$3:$S$291,18,FALSE),"")</f>
        <v>0</v>
      </c>
      <c r="V189" s="359">
        <f>IFERROR(VLOOKUP($D189,EntryList!$B$3:$S$291,17,FALSE),"")</f>
        <v>0</v>
      </c>
    </row>
    <row r="190" spans="2:22">
      <c r="B190" s="59">
        <v>185</v>
      </c>
      <c r="C190" s="59">
        <f>IFERROR(VLOOKUP($B190,OverallResults!$B$3:$Z$508,2,FALSE),"")</f>
        <v>11</v>
      </c>
      <c r="D190" s="149" t="str">
        <f>IFERROR(VLOOKUP($B190,OverallResults!$B$3:$Z$508,3,FALSE),"")</f>
        <v>Ben Kroukamp</v>
      </c>
      <c r="E190" s="146">
        <f>IFERROR(VLOOKUP(C190,SeriesPoints!$A$2:$B$51,2,FALSE),"")</f>
        <v>96</v>
      </c>
      <c r="F190" s="148" t="str">
        <f>IFERROR(VLOOKUP($D190,EntryList!$B$3:$V$291,21,FALSE),"")</f>
        <v>-</v>
      </c>
      <c r="G190" s="100" t="str">
        <f>IFERROR(VLOOKUP($D190,EntryList!$B$3:$N$596,5,FALSE),"")</f>
        <v>M</v>
      </c>
      <c r="H190" s="145" t="str">
        <f>IFERROR(VLOOKUP($D190,EntryList!$B$3:$N$596,6,FALSE),"")</f>
        <v>Sub Junior Boys</v>
      </c>
      <c r="I190" s="59">
        <f>IFERROR(VLOOKUP($B190,OverallResults!$B$3:$Z$492,8,FALSE),"")</f>
        <v>3</v>
      </c>
      <c r="J190" s="57" t="str">
        <f>IFERROR(VLOOKUP($B190,OverallResults!$B$3:$BB$492,9,FALSE),"")</f>
        <v>DNS/DNF ()</v>
      </c>
      <c r="K190" s="58" t="str">
        <f>IFERROR(VLOOKUP($B190,OverallResults!$B$3:$BB$492,10,FALSE),"")</f>
        <v>00:05:08.1 (210)</v>
      </c>
      <c r="L190" s="57" t="str">
        <f>IFERROR(VLOOKUP($B190,OverallResults!$B$3:$BB$492,11,FALSE),"")</f>
        <v>00:02:52.8 (192)</v>
      </c>
      <c r="M190" s="57" t="str">
        <f>IFERROR(VLOOKUP($B190,OverallResults!$B$3:$BB$492,12,FALSE),"")</f>
        <v>DNS/DNF ()</v>
      </c>
      <c r="N190" s="58" t="str">
        <f>IFERROR(VLOOKUP($B190,OverallResults!$B$3:$BB$492,13,FALSE),"")</f>
        <v>00:06:28.5 (185)</v>
      </c>
      <c r="O190" s="58" t="str">
        <f>IFERROR(VLOOKUP($B190,OverallResults!$B$3:$BB$492,14,FALSE),"")</f>
        <v>DNS/DNF ()</v>
      </c>
      <c r="P190" s="58" t="str">
        <f>IFERROR(VLOOKUP($B190,OverallResults!$B$3:$BB$492,15,FALSE),"")</f>
        <v>DNS/DNF ()</v>
      </c>
      <c r="Q190" s="58" t="str">
        <f>IFERROR(VLOOKUP($B190,OverallResults!$B$3:$BB$492,16,FALSE),"")</f>
        <v>DNS/DNF ()</v>
      </c>
      <c r="R190" s="58" t="str">
        <f>IFERROR(VLOOKUP($B190,OverallResults!$B$3:$BB$492,17,FALSE),"")</f>
        <v>00:14:29.379</v>
      </c>
      <c r="S190" s="170" t="str">
        <f t="shared" si="4"/>
        <v>00:03</v>
      </c>
      <c r="T190" s="170" t="str">
        <f t="shared" si="5"/>
        <v>N/A</v>
      </c>
      <c r="U190" s="359">
        <f>IFERROR(VLOOKUP($D190,EntryList!$B$3:$S$291,18,FALSE),"")</f>
        <v>0</v>
      </c>
      <c r="V190" s="359">
        <f>IFERROR(VLOOKUP($D190,EntryList!$B$3:$S$291,17,FALSE),"")</f>
        <v>0</v>
      </c>
    </row>
    <row r="191" spans="2:22">
      <c r="B191" s="59">
        <v>186</v>
      </c>
      <c r="C191" s="59">
        <f>IFERROR(VLOOKUP($B191,OverallResults!$B$3:$Z$508,2,FALSE),"")</f>
        <v>12</v>
      </c>
      <c r="D191" s="149" t="str">
        <f>IFERROR(VLOOKUP($B191,OverallResults!$B$3:$Z$508,3,FALSE),"")</f>
        <v>Alec Retief</v>
      </c>
      <c r="E191" s="146">
        <f>IFERROR(VLOOKUP(C191,SeriesPoints!$A$2:$B$51,2,FALSE),"")</f>
        <v>92</v>
      </c>
      <c r="F191" s="148" t="str">
        <f>IFERROR(VLOOKUP($D191,EntryList!$B$3:$V$291,21,FALSE),"")</f>
        <v>-</v>
      </c>
      <c r="G191" s="100" t="str">
        <f>IFERROR(VLOOKUP($D191,EntryList!$B$3:$N$596,5,FALSE),"")</f>
        <v>M</v>
      </c>
      <c r="H191" s="145" t="str">
        <f>IFERROR(VLOOKUP($D191,EntryList!$B$3:$N$596,6,FALSE),"")</f>
        <v>Sub Junior Boys</v>
      </c>
      <c r="I191" s="59">
        <f>IFERROR(VLOOKUP($B191,OverallResults!$B$3:$Z$492,8,FALSE),"")</f>
        <v>3</v>
      </c>
      <c r="J191" s="57" t="str">
        <f>IFERROR(VLOOKUP($B191,OverallResults!$B$3:$BB$492,9,FALSE),"")</f>
        <v>DNS/DNF ()</v>
      </c>
      <c r="K191" s="58" t="str">
        <f>IFERROR(VLOOKUP($B191,OverallResults!$B$3:$BB$492,10,FALSE),"")</f>
        <v>00:05:20.3 (219)</v>
      </c>
      <c r="L191" s="57" t="str">
        <f>IFERROR(VLOOKUP($B191,OverallResults!$B$3:$BB$492,11,FALSE),"")</f>
        <v>00:02:45.0 (175)</v>
      </c>
      <c r="M191" s="57" t="str">
        <f>IFERROR(VLOOKUP($B191,OverallResults!$B$3:$BB$492,12,FALSE),"")</f>
        <v>DNS/DNF ()</v>
      </c>
      <c r="N191" s="58" t="str">
        <f>IFERROR(VLOOKUP($B191,OverallResults!$B$3:$BB$492,13,FALSE),"")</f>
        <v>00:06:24.8 (180)</v>
      </c>
      <c r="O191" s="58" t="str">
        <f>IFERROR(VLOOKUP($B191,OverallResults!$B$3:$BB$492,14,FALSE),"")</f>
        <v>DNS/DNF ()</v>
      </c>
      <c r="P191" s="58" t="str">
        <f>IFERROR(VLOOKUP($B191,OverallResults!$B$3:$BB$492,15,FALSE),"")</f>
        <v>DNS/DNF ()</v>
      </c>
      <c r="Q191" s="58" t="str">
        <f>IFERROR(VLOOKUP($B191,OverallResults!$B$3:$BB$492,16,FALSE),"")</f>
        <v>DNS/DNF ()</v>
      </c>
      <c r="R191" s="58" t="str">
        <f>IFERROR(VLOOKUP($B191,OverallResults!$B$3:$BB$492,17,FALSE),"")</f>
        <v>00:14:30.039</v>
      </c>
      <c r="S191" s="170" t="str">
        <f t="shared" si="4"/>
        <v>00:01</v>
      </c>
      <c r="T191" s="170" t="str">
        <f t="shared" si="5"/>
        <v>N/A</v>
      </c>
      <c r="U191" s="359">
        <f>IFERROR(VLOOKUP($D191,EntryList!$B$3:$S$291,18,FALSE),"")</f>
        <v>0</v>
      </c>
      <c r="V191" s="359">
        <f>IFERROR(VLOOKUP($D191,EntryList!$B$3:$S$291,17,FALSE),"")</f>
        <v>0</v>
      </c>
    </row>
    <row r="192" spans="2:22">
      <c r="B192" s="59">
        <v>187</v>
      </c>
      <c r="C192" s="59">
        <f>IFERROR(VLOOKUP($B192,OverallResults!$B$3:$Z$508,2,FALSE),"")</f>
        <v>30</v>
      </c>
      <c r="D192" s="149" t="str">
        <f>IFERROR(VLOOKUP($B192,OverallResults!$B$3:$Z$508,3,FALSE),"")</f>
        <v>Taegan Felton</v>
      </c>
      <c r="E192" s="146">
        <f>IFERROR(VLOOKUP(C192,SeriesPoints!$A$2:$B$51,2,FALSE),"")</f>
        <v>30</v>
      </c>
      <c r="F192" s="148" t="str">
        <f>IFERROR(VLOOKUP($D192,EntryList!$B$3:$V$291,21,FALSE),"")</f>
        <v>-</v>
      </c>
      <c r="G192" s="100" t="str">
        <f>IFERROR(VLOOKUP($D192,EntryList!$B$3:$N$596,5,FALSE),"")</f>
        <v>M</v>
      </c>
      <c r="H192" s="145" t="str">
        <f>IFERROR(VLOOKUP($D192,EntryList!$B$3:$N$596,6,FALSE),"")</f>
        <v>Lite M</v>
      </c>
      <c r="I192" s="59">
        <f>IFERROR(VLOOKUP($B192,OverallResults!$B$3:$Z$492,8,FALSE),"")</f>
        <v>3</v>
      </c>
      <c r="J192" s="57" t="str">
        <f>IFERROR(VLOOKUP($B192,OverallResults!$B$3:$BB$492,9,FALSE),"")</f>
        <v>DNS/DNF ()</v>
      </c>
      <c r="K192" s="58" t="str">
        <f>IFERROR(VLOOKUP($B192,OverallResults!$B$3:$BB$492,10,FALSE),"")</f>
        <v>00:05:04.3 (206)</v>
      </c>
      <c r="L192" s="57" t="str">
        <f>IFERROR(VLOOKUP($B192,OverallResults!$B$3:$BB$492,11,FALSE),"")</f>
        <v>00:02:56.1 (202)</v>
      </c>
      <c r="M192" s="57" t="str">
        <f>IFERROR(VLOOKUP($B192,OverallResults!$B$3:$BB$492,12,FALSE),"")</f>
        <v>DNS/DNF ()</v>
      </c>
      <c r="N192" s="58" t="str">
        <f>IFERROR(VLOOKUP($B192,OverallResults!$B$3:$BB$492,13,FALSE),"")</f>
        <v>00:06:31.4 (189)</v>
      </c>
      <c r="O192" s="58" t="str">
        <f>IFERROR(VLOOKUP($B192,OverallResults!$B$3:$BB$492,14,FALSE),"")</f>
        <v>DNS/DNF ()</v>
      </c>
      <c r="P192" s="58" t="str">
        <f>IFERROR(VLOOKUP($B192,OverallResults!$B$3:$BB$492,15,FALSE),"")</f>
        <v>DNS/DNF ()</v>
      </c>
      <c r="Q192" s="58" t="str">
        <f>IFERROR(VLOOKUP($B192,OverallResults!$B$3:$BB$492,16,FALSE),"")</f>
        <v>DNS/DNF ()</v>
      </c>
      <c r="R192" s="58" t="str">
        <f>IFERROR(VLOOKUP($B192,OverallResults!$B$3:$BB$492,17,FALSE),"")</f>
        <v>00:14:31.681</v>
      </c>
      <c r="S192" s="170" t="str">
        <f t="shared" si="4"/>
        <v>00:02</v>
      </c>
      <c r="T192" s="170" t="str">
        <f t="shared" si="5"/>
        <v>N/A</v>
      </c>
      <c r="U192" s="359">
        <f>IFERROR(VLOOKUP($D192,EntryList!$B$3:$S$291,18,FALSE),"")</f>
        <v>0</v>
      </c>
      <c r="V192" s="359">
        <f>IFERROR(VLOOKUP($D192,EntryList!$B$3:$S$291,17,FALSE),"")</f>
        <v>0</v>
      </c>
    </row>
    <row r="193" spans="2:22">
      <c r="B193" s="59">
        <v>188</v>
      </c>
      <c r="C193" s="59">
        <f>IFERROR(VLOOKUP($B193,OverallResults!$B$3:$Z$508,2,FALSE),"")</f>
        <v>31</v>
      </c>
      <c r="D193" s="149" t="str">
        <f>IFERROR(VLOOKUP($B193,OverallResults!$B$3:$Z$508,3,FALSE),"")</f>
        <v>Shane Robert</v>
      </c>
      <c r="E193" s="146">
        <f>IFERROR(VLOOKUP(C193,SeriesPoints!$A$2:$B$51,2,FALSE),"")</f>
        <v>28</v>
      </c>
      <c r="F193" s="148" t="str">
        <f>IFERROR(VLOOKUP($D193,EntryList!$B$3:$V$291,21,FALSE),"")</f>
        <v>-</v>
      </c>
      <c r="G193" s="100" t="str">
        <f>IFERROR(VLOOKUP($D193,EntryList!$B$3:$N$596,5,FALSE),"")</f>
        <v>M</v>
      </c>
      <c r="H193" s="145" t="str">
        <f>IFERROR(VLOOKUP($D193,EntryList!$B$3:$N$596,6,FALSE),"")</f>
        <v>Lite M</v>
      </c>
      <c r="I193" s="59">
        <f>IFERROR(VLOOKUP($B193,OverallResults!$B$3:$Z$492,8,FALSE),"")</f>
        <v>3</v>
      </c>
      <c r="J193" s="57" t="str">
        <f>IFERROR(VLOOKUP($B193,OverallResults!$B$3:$BB$492,9,FALSE),"")</f>
        <v>DNS/DNF ()</v>
      </c>
      <c r="K193" s="58" t="str">
        <f>IFERROR(VLOOKUP($B193,OverallResults!$B$3:$BB$492,10,FALSE),"")</f>
        <v>00:04:55.1 (195)</v>
      </c>
      <c r="L193" s="57" t="str">
        <f>IFERROR(VLOOKUP($B193,OverallResults!$B$3:$BB$492,11,FALSE),"")</f>
        <v>00:03:02.6 (210)</v>
      </c>
      <c r="M193" s="57" t="str">
        <f>IFERROR(VLOOKUP($B193,OverallResults!$B$3:$BB$492,12,FALSE),"")</f>
        <v>DNS/DNF ()</v>
      </c>
      <c r="N193" s="58" t="str">
        <f>IFERROR(VLOOKUP($B193,OverallResults!$B$3:$BB$492,13,FALSE),"")</f>
        <v>00:06:35.6 (196)</v>
      </c>
      <c r="O193" s="58" t="str">
        <f>IFERROR(VLOOKUP($B193,OverallResults!$B$3:$BB$492,14,FALSE),"")</f>
        <v>DNS/DNF ()</v>
      </c>
      <c r="P193" s="58" t="str">
        <f>IFERROR(VLOOKUP($B193,OverallResults!$B$3:$BB$492,15,FALSE),"")</f>
        <v>DNS/DNF ()</v>
      </c>
      <c r="Q193" s="58" t="str">
        <f>IFERROR(VLOOKUP($B193,OverallResults!$B$3:$BB$492,16,FALSE),"")</f>
        <v>DNS/DNF ()</v>
      </c>
      <c r="R193" s="58" t="str">
        <f>IFERROR(VLOOKUP($B193,OverallResults!$B$3:$BB$492,17,FALSE),"")</f>
        <v>00:14:33.268</v>
      </c>
      <c r="S193" s="170" t="str">
        <f t="shared" si="4"/>
        <v>00:02</v>
      </c>
      <c r="T193" s="170" t="str">
        <f t="shared" si="5"/>
        <v>N/A</v>
      </c>
      <c r="U193" s="359">
        <f>IFERROR(VLOOKUP($D193,EntryList!$B$3:$S$291,18,FALSE),"")</f>
        <v>0</v>
      </c>
      <c r="V193" s="359">
        <f>IFERROR(VLOOKUP($D193,EntryList!$B$3:$S$291,17,FALSE),"")</f>
        <v>0</v>
      </c>
    </row>
    <row r="194" spans="2:22">
      <c r="B194" s="59">
        <v>189</v>
      </c>
      <c r="C194" s="59">
        <f>IFERROR(VLOOKUP($B194,OverallResults!$B$3:$Z$508,2,FALSE),"")</f>
        <v>13</v>
      </c>
      <c r="D194" s="149" t="str">
        <f>IFERROR(VLOOKUP($B194,OverallResults!$B$3:$Z$508,3,FALSE),"")</f>
        <v>Carter Spolander</v>
      </c>
      <c r="E194" s="146">
        <f>IFERROR(VLOOKUP(C194,SeriesPoints!$A$2:$B$51,2,FALSE),"")</f>
        <v>88</v>
      </c>
      <c r="F194" s="148" t="str">
        <f>IFERROR(VLOOKUP($D194,EntryList!$B$3:$V$291,21,FALSE),"")</f>
        <v>-</v>
      </c>
      <c r="G194" s="100" t="str">
        <f>IFERROR(VLOOKUP($D194,EntryList!$B$3:$N$596,5,FALSE),"")</f>
        <v>M</v>
      </c>
      <c r="H194" s="145" t="str">
        <f>IFERROR(VLOOKUP($D194,EntryList!$B$3:$N$596,6,FALSE),"")</f>
        <v>Sub Junior Boys</v>
      </c>
      <c r="I194" s="59">
        <f>IFERROR(VLOOKUP($B194,OverallResults!$B$3:$Z$492,8,FALSE),"")</f>
        <v>3</v>
      </c>
      <c r="J194" s="57" t="str">
        <f>IFERROR(VLOOKUP($B194,OverallResults!$B$3:$BB$492,9,FALSE),"")</f>
        <v>DNS/DNF ()</v>
      </c>
      <c r="K194" s="58" t="str">
        <f>IFERROR(VLOOKUP($B194,OverallResults!$B$3:$BB$492,10,FALSE),"")</f>
        <v>00:04:59.8 (202)</v>
      </c>
      <c r="L194" s="57" t="str">
        <f>IFERROR(VLOOKUP($B194,OverallResults!$B$3:$BB$492,11,FALSE),"")</f>
        <v>00:02:54.2 (195)</v>
      </c>
      <c r="M194" s="57" t="str">
        <f>IFERROR(VLOOKUP($B194,OverallResults!$B$3:$BB$492,12,FALSE),"")</f>
        <v>DNS/DNF ()</v>
      </c>
      <c r="N194" s="58" t="str">
        <f>IFERROR(VLOOKUP($B194,OverallResults!$B$3:$BB$492,13,FALSE),"")</f>
        <v>00:06:41.8 (203)</v>
      </c>
      <c r="O194" s="58" t="str">
        <f>IFERROR(VLOOKUP($B194,OverallResults!$B$3:$BB$492,14,FALSE),"")</f>
        <v>DNS/DNF ()</v>
      </c>
      <c r="P194" s="58" t="str">
        <f>IFERROR(VLOOKUP($B194,OverallResults!$B$3:$BB$492,15,FALSE),"")</f>
        <v>DNS/DNF ()</v>
      </c>
      <c r="Q194" s="58" t="str">
        <f>IFERROR(VLOOKUP($B194,OverallResults!$B$3:$BB$492,16,FALSE),"")</f>
        <v>DNS/DNF ()</v>
      </c>
      <c r="R194" s="58" t="str">
        <f>IFERROR(VLOOKUP($B194,OverallResults!$B$3:$BB$492,17,FALSE),"")</f>
        <v>00:14:35.848</v>
      </c>
      <c r="S194" s="170" t="str">
        <f t="shared" si="4"/>
        <v>00:03</v>
      </c>
      <c r="T194" s="170" t="str">
        <f t="shared" si="5"/>
        <v>N/A</v>
      </c>
      <c r="U194" s="359">
        <f>IFERROR(VLOOKUP($D194,EntryList!$B$3:$S$291,18,FALSE),"")</f>
        <v>0</v>
      </c>
      <c r="V194" s="359">
        <f>IFERROR(VLOOKUP($D194,EntryList!$B$3:$S$291,17,FALSE),"")</f>
        <v>0</v>
      </c>
    </row>
    <row r="195" spans="2:22">
      <c r="B195" s="59">
        <v>190</v>
      </c>
      <c r="C195" s="59">
        <f>IFERROR(VLOOKUP($B195,OverallResults!$B$3:$Z$508,2,FALSE),"")</f>
        <v>32</v>
      </c>
      <c r="D195" s="149" t="str">
        <f>IFERROR(VLOOKUP($B195,OverallResults!$B$3:$Z$508,3,FALSE),"")</f>
        <v>Schalk Duvenage</v>
      </c>
      <c r="E195" s="146">
        <f>IFERROR(VLOOKUP(C195,SeriesPoints!$A$2:$B$51,2,FALSE),"")</f>
        <v>26</v>
      </c>
      <c r="F195" s="148" t="str">
        <f>IFERROR(VLOOKUP($D195,EntryList!$B$3:$V$291,21,FALSE),"")</f>
        <v>-</v>
      </c>
      <c r="G195" s="100" t="str">
        <f>IFERROR(VLOOKUP($D195,EntryList!$B$3:$N$596,5,FALSE),"")</f>
        <v>M</v>
      </c>
      <c r="H195" s="145" t="str">
        <f>IFERROR(VLOOKUP($D195,EntryList!$B$3:$N$596,6,FALSE),"")</f>
        <v>Lite M</v>
      </c>
      <c r="I195" s="331">
        <f>IFERROR(VLOOKUP($B195,OverallResults!$B$3:$Z$492,8,FALSE),"")</f>
        <v>3</v>
      </c>
      <c r="J195" s="58" t="str">
        <f>IFERROR(VLOOKUP($B195,OverallResults!$B$3:$BB$492,9,FALSE),"")</f>
        <v>DNS/DNF ()</v>
      </c>
      <c r="K195" s="58" t="str">
        <f>IFERROR(VLOOKUP($B195,OverallResults!$B$3:$BB$492,10,FALSE),"")</f>
        <v>00:05:13.4 (213)</v>
      </c>
      <c r="L195" s="58" t="str">
        <f>IFERROR(VLOOKUP($B195,OverallResults!$B$3:$BB$492,11,FALSE),"")</f>
        <v>00:02:55.6 (199)</v>
      </c>
      <c r="M195" s="58" t="str">
        <f>IFERROR(VLOOKUP($B195,OverallResults!$B$3:$BB$492,12,FALSE),"")</f>
        <v>DNS/DNF ()</v>
      </c>
      <c r="N195" s="58" t="str">
        <f>IFERROR(VLOOKUP($B195,OverallResults!$B$3:$BB$492,13,FALSE),"")</f>
        <v>00:06:34.2 (194)</v>
      </c>
      <c r="O195" s="58" t="str">
        <f>IFERROR(VLOOKUP($B195,OverallResults!$B$3:$BB$492,14,FALSE),"")</f>
        <v>DNS/DNF ()</v>
      </c>
      <c r="P195" s="58" t="str">
        <f>IFERROR(VLOOKUP($B195,OverallResults!$B$3:$BB$492,15,FALSE),"")</f>
        <v>DNS/DNF ()</v>
      </c>
      <c r="Q195" s="58" t="str">
        <f>IFERROR(VLOOKUP($B195,OverallResults!$B$3:$BB$492,16,FALSE),"")</f>
        <v>DNS/DNF ()</v>
      </c>
      <c r="R195" s="58" t="str">
        <f>IFERROR(VLOOKUP($B195,OverallResults!$B$3:$BB$492,17,FALSE),"")</f>
        <v>00:14:43.111</v>
      </c>
      <c r="S195" s="170" t="str">
        <f t="shared" si="4"/>
        <v>00:07</v>
      </c>
      <c r="T195" s="170" t="str">
        <f t="shared" si="5"/>
        <v>N/A</v>
      </c>
      <c r="U195" s="359">
        <f>IFERROR(VLOOKUP($D195,EntryList!$B$3:$S$291,18,FALSE),"")</f>
        <v>0</v>
      </c>
      <c r="V195" s="359">
        <f>IFERROR(VLOOKUP($D195,EntryList!$B$3:$S$291,17,FALSE),"")</f>
        <v>0</v>
      </c>
    </row>
    <row r="196" spans="2:22">
      <c r="B196" s="59">
        <v>191</v>
      </c>
      <c r="C196" s="59">
        <f>IFERROR(VLOOKUP($B196,OverallResults!$B$3:$Z$508,2,FALSE),"")</f>
        <v>6</v>
      </c>
      <c r="D196" s="149" t="str">
        <f>IFERROR(VLOOKUP($B196,OverallResults!$B$3:$Z$508,3,FALSE),"")</f>
        <v>Jeanie De Villiers</v>
      </c>
      <c r="E196" s="146">
        <f>IFERROR(VLOOKUP(C196,SeriesPoints!$A$2:$B$51,2,FALSE),"")</f>
        <v>120</v>
      </c>
      <c r="F196" s="148" t="str">
        <f>IFERROR(VLOOKUP($D196,EntryList!$B$3:$V$291,21,FALSE),"")</f>
        <v>-</v>
      </c>
      <c r="G196" s="100" t="str">
        <f>IFERROR(VLOOKUP($D196,EntryList!$B$3:$N$596,5,FALSE),"")</f>
        <v>F</v>
      </c>
      <c r="H196" s="145" t="str">
        <f>IFERROR(VLOOKUP($D196,EntryList!$B$3:$N$596,6,FALSE),"")</f>
        <v>Lite F</v>
      </c>
      <c r="I196" s="331">
        <f>IFERROR(VLOOKUP($B196,OverallResults!$B$3:$Z$492,8,FALSE),"")</f>
        <v>3</v>
      </c>
      <c r="J196" s="58" t="str">
        <f>IFERROR(VLOOKUP($B196,OverallResults!$B$3:$BB$492,9,FALSE),"")</f>
        <v>DNS/DNF ()</v>
      </c>
      <c r="K196" s="58" t="str">
        <f>IFERROR(VLOOKUP($B196,OverallResults!$B$3:$BB$492,10,FALSE),"")</f>
        <v>00:05:15.6 (216)</v>
      </c>
      <c r="L196" s="58" t="str">
        <f>IFERROR(VLOOKUP($B196,OverallResults!$B$3:$BB$492,11,FALSE),"")</f>
        <v>00:02:58.2 (204)</v>
      </c>
      <c r="M196" s="58" t="str">
        <f>IFERROR(VLOOKUP($B196,OverallResults!$B$3:$BB$492,12,FALSE),"")</f>
        <v>DNS/DNF ()</v>
      </c>
      <c r="N196" s="58" t="str">
        <f>IFERROR(VLOOKUP($B196,OverallResults!$B$3:$BB$492,13,FALSE),"")</f>
        <v>00:06:29.8 (187)</v>
      </c>
      <c r="O196" s="58" t="str">
        <f>IFERROR(VLOOKUP($B196,OverallResults!$B$3:$BB$492,14,FALSE),"")</f>
        <v>DNS/DNF ()</v>
      </c>
      <c r="P196" s="58" t="str">
        <f>IFERROR(VLOOKUP($B196,OverallResults!$B$3:$BB$492,15,FALSE),"")</f>
        <v>DNS/DNF ()</v>
      </c>
      <c r="Q196" s="58" t="str">
        <f>IFERROR(VLOOKUP($B196,OverallResults!$B$3:$BB$492,16,FALSE),"")</f>
        <v>DNS/DNF ()</v>
      </c>
      <c r="R196" s="58" t="str">
        <f>IFERROR(VLOOKUP($B196,OverallResults!$B$3:$BB$492,17,FALSE),"")</f>
        <v>00:14:43.566</v>
      </c>
      <c r="S196" s="170" t="str">
        <f t="shared" si="4"/>
        <v>00:00</v>
      </c>
      <c r="T196" s="170" t="str">
        <f t="shared" si="5"/>
        <v>N/A</v>
      </c>
      <c r="U196" s="359">
        <f>IFERROR(VLOOKUP($D196,EntryList!$B$3:$S$291,18,FALSE),"")</f>
        <v>0</v>
      </c>
      <c r="V196" s="359">
        <f>IFERROR(VLOOKUP($D196,EntryList!$B$3:$S$291,17,FALSE),"")</f>
        <v>0</v>
      </c>
    </row>
    <row r="197" spans="2:22">
      <c r="B197" s="59">
        <v>192</v>
      </c>
      <c r="C197" s="59">
        <f>IFERROR(VLOOKUP($B197,OverallResults!$B$3:$Z$508,2,FALSE),"")</f>
        <v>33</v>
      </c>
      <c r="D197" s="149" t="str">
        <f>IFERROR(VLOOKUP($B197,OverallResults!$B$3:$Z$508,3,FALSE),"")</f>
        <v>Adeeb Said</v>
      </c>
      <c r="E197" s="146">
        <f>IFERROR(VLOOKUP(C197,SeriesPoints!$A$2:$B$51,2,FALSE),"")</f>
        <v>24</v>
      </c>
      <c r="F197" s="148" t="str">
        <f>IFERROR(VLOOKUP($D197,EntryList!$B$3:$V$291,21,FALSE),"")</f>
        <v>-</v>
      </c>
      <c r="G197" s="100" t="str">
        <f>IFERROR(VLOOKUP($D197,EntryList!$B$3:$N$596,5,FALSE),"")</f>
        <v>M</v>
      </c>
      <c r="H197" s="145" t="str">
        <f>IFERROR(VLOOKUP($D197,EntryList!$B$3:$N$596,6,FALSE),"")</f>
        <v>Lite M</v>
      </c>
      <c r="I197" s="331">
        <f>IFERROR(VLOOKUP($B197,OverallResults!$B$3:$Z$492,8,FALSE),"")</f>
        <v>3</v>
      </c>
      <c r="J197" s="58" t="str">
        <f>IFERROR(VLOOKUP($B197,OverallResults!$B$3:$BB$492,9,FALSE),"")</f>
        <v>DNS/DNF ()</v>
      </c>
      <c r="K197" s="58" t="str">
        <f>IFERROR(VLOOKUP($B197,OverallResults!$B$3:$BB$492,10,FALSE),"")</f>
        <v>00:05:11.3 (211)</v>
      </c>
      <c r="L197" s="58" t="str">
        <f>IFERROR(VLOOKUP($B197,OverallResults!$B$3:$BB$492,11,FALSE),"")</f>
        <v>00:02:52.7 (191)</v>
      </c>
      <c r="M197" s="58" t="str">
        <f>IFERROR(VLOOKUP($B197,OverallResults!$B$3:$BB$492,12,FALSE),"")</f>
        <v>DNS/DNF ()</v>
      </c>
      <c r="N197" s="58" t="str">
        <f>IFERROR(VLOOKUP($B197,OverallResults!$B$3:$BB$492,13,FALSE),"")</f>
        <v>00:06:41.2 (202)</v>
      </c>
      <c r="O197" s="58" t="str">
        <f>IFERROR(VLOOKUP($B197,OverallResults!$B$3:$BB$492,14,FALSE),"")</f>
        <v>DNS/DNF ()</v>
      </c>
      <c r="P197" s="58" t="str">
        <f>IFERROR(VLOOKUP($B197,OverallResults!$B$3:$BB$492,15,FALSE),"")</f>
        <v>DNS/DNF ()</v>
      </c>
      <c r="Q197" s="58" t="str">
        <f>IFERROR(VLOOKUP($B197,OverallResults!$B$3:$BB$492,16,FALSE),"")</f>
        <v>DNS/DNF ()</v>
      </c>
      <c r="R197" s="58" t="str">
        <f>IFERROR(VLOOKUP($B197,OverallResults!$B$3:$BB$492,17,FALSE),"")</f>
        <v>00:14:45.292</v>
      </c>
      <c r="S197" s="170" t="str">
        <f t="shared" ref="S197:S260" si="6">IFERROR(TEXT(($R197-$R196),"mm:ss"),"N/A")</f>
        <v>00:02</v>
      </c>
      <c r="T197" s="170" t="str">
        <f t="shared" si="5"/>
        <v>N/A</v>
      </c>
      <c r="U197" s="359">
        <f>IFERROR(VLOOKUP($D197,EntryList!$B$3:$S$291,18,FALSE),"")</f>
        <v>0</v>
      </c>
      <c r="V197" s="359">
        <f>IFERROR(VLOOKUP($D197,EntryList!$B$3:$S$291,17,FALSE),"")</f>
        <v>0</v>
      </c>
    </row>
    <row r="198" spans="2:22">
      <c r="B198" s="59">
        <v>193</v>
      </c>
      <c r="C198" s="59">
        <f>IFERROR(VLOOKUP($B198,OverallResults!$B$3:$Z$508,2,FALSE),"")</f>
        <v>6</v>
      </c>
      <c r="D198" s="149" t="str">
        <f>IFERROR(VLOOKUP($B198,OverallResults!$B$3:$Z$508,3,FALSE),"")</f>
        <v>Warren Lawrence</v>
      </c>
      <c r="E198" s="146">
        <f>IFERROR(VLOOKUP(C198,SeriesPoints!$A$2:$B$51,2,FALSE),"")</f>
        <v>120</v>
      </c>
      <c r="F198" s="148" t="str">
        <f>IFERROR(VLOOKUP($D198,EntryList!$B$3:$V$291,21,FALSE),"")</f>
        <v>-</v>
      </c>
      <c r="G198" s="100" t="str">
        <f>IFERROR(VLOOKUP($D198,EntryList!$B$3:$N$596,5,FALSE),"")</f>
        <v>M</v>
      </c>
      <c r="H198" s="145" t="str">
        <f>IFERROR(VLOOKUP($D198,EntryList!$B$3:$N$596,6,FALSE),"")</f>
        <v>E-Bike Lite M</v>
      </c>
      <c r="I198" s="331">
        <f>IFERROR(VLOOKUP($B198,OverallResults!$B$3:$Z$492,8,FALSE),"")</f>
        <v>3</v>
      </c>
      <c r="J198" s="58" t="str">
        <f>IFERROR(VLOOKUP($B198,OverallResults!$B$3:$BB$492,9,FALSE),"")</f>
        <v>DNS/DNF ()</v>
      </c>
      <c r="K198" s="58" t="str">
        <f>IFERROR(VLOOKUP($B198,OverallResults!$B$3:$BB$492,10,FALSE),"")</f>
        <v>00:05:03.0 (204)</v>
      </c>
      <c r="L198" s="58" t="str">
        <f>IFERROR(VLOOKUP($B198,OverallResults!$B$3:$BB$492,11,FALSE),"")</f>
        <v>00:02:55.6 (200)</v>
      </c>
      <c r="M198" s="58" t="str">
        <f>IFERROR(VLOOKUP($B198,OverallResults!$B$3:$BB$492,12,FALSE),"")</f>
        <v>DNS/DNF ()</v>
      </c>
      <c r="N198" s="58" t="str">
        <f>IFERROR(VLOOKUP($B198,OverallResults!$B$3:$BB$492,13,FALSE),"")</f>
        <v>00:06:48.1 (209)</v>
      </c>
      <c r="O198" s="58" t="str">
        <f>IFERROR(VLOOKUP($B198,OverallResults!$B$3:$BB$492,14,FALSE),"")</f>
        <v>DNS/DNF ()</v>
      </c>
      <c r="P198" s="58" t="str">
        <f>IFERROR(VLOOKUP($B198,OverallResults!$B$3:$BB$492,15,FALSE),"")</f>
        <v>DNS/DNF ()</v>
      </c>
      <c r="Q198" s="58" t="str">
        <f>IFERROR(VLOOKUP($B198,OverallResults!$B$3:$BB$492,16,FALSE),"")</f>
        <v>DNS/DNF ()</v>
      </c>
      <c r="R198" s="58" t="str">
        <f>IFERROR(VLOOKUP($B198,OverallResults!$B$3:$BB$492,17,FALSE),"")</f>
        <v>00:14:46.656</v>
      </c>
      <c r="S198" s="170" t="str">
        <f t="shared" si="6"/>
        <v>00:01</v>
      </c>
      <c r="T198" s="170" t="str">
        <f t="shared" ref="T198:T261" si="7">IF($I198-$I197&lt;0,"N/A",IFERROR(TEXT(($R198-$R$6),"mm:ss"),"N/A"))</f>
        <v>N/A</v>
      </c>
      <c r="U198" s="359">
        <f>IFERROR(VLOOKUP($D198,EntryList!$B$3:$S$291,18,FALSE),"")</f>
        <v>0</v>
      </c>
      <c r="V198" s="359">
        <f>IFERROR(VLOOKUP($D198,EntryList!$B$3:$S$291,17,FALSE),"")</f>
        <v>0</v>
      </c>
    </row>
    <row r="199" spans="2:22">
      <c r="B199" s="59">
        <v>194</v>
      </c>
      <c r="C199" s="59">
        <f>IFERROR(VLOOKUP($B199,OverallResults!$B$3:$Z$508,2,FALSE),"")</f>
        <v>34</v>
      </c>
      <c r="D199" s="149" t="str">
        <f>IFERROR(VLOOKUP($B199,OverallResults!$B$3:$Z$508,3,FALSE),"")</f>
        <v>Mike Fairbrother</v>
      </c>
      <c r="E199" s="146">
        <f>IFERROR(VLOOKUP(C199,SeriesPoints!$A$2:$B$51,2,FALSE),"")</f>
        <v>22</v>
      </c>
      <c r="F199" s="148" t="str">
        <f>IFERROR(VLOOKUP($D199,EntryList!$B$3:$V$291,21,FALSE),"")</f>
        <v>-</v>
      </c>
      <c r="G199" s="100" t="str">
        <f>IFERROR(VLOOKUP($D199,EntryList!$B$3:$N$596,5,FALSE),"")</f>
        <v>M</v>
      </c>
      <c r="H199" s="145" t="str">
        <f>IFERROR(VLOOKUP($D199,EntryList!$B$3:$N$596,6,FALSE),"")</f>
        <v>Lite M</v>
      </c>
      <c r="I199" s="331">
        <f>IFERROR(VLOOKUP($B199,OverallResults!$B$3:$Z$492,8,FALSE),"")</f>
        <v>3</v>
      </c>
      <c r="J199" s="58" t="str">
        <f>IFERROR(VLOOKUP($B199,OverallResults!$B$3:$BB$492,9,FALSE),"")</f>
        <v>DNS/DNF ()</v>
      </c>
      <c r="K199" s="58" t="str">
        <f>IFERROR(VLOOKUP($B199,OverallResults!$B$3:$BB$492,10,FALSE),"")</f>
        <v>00:05:07.5 (209)</v>
      </c>
      <c r="L199" s="58" t="str">
        <f>IFERROR(VLOOKUP($B199,OverallResults!$B$3:$BB$492,11,FALSE),"")</f>
        <v>00:03:10.9 (216)</v>
      </c>
      <c r="M199" s="58" t="str">
        <f>IFERROR(VLOOKUP($B199,OverallResults!$B$3:$BB$492,12,FALSE),"")</f>
        <v>DNS/DNF ()</v>
      </c>
      <c r="N199" s="58" t="str">
        <f>IFERROR(VLOOKUP($B199,OverallResults!$B$3:$BB$492,13,FALSE),"")</f>
        <v>00:06:32.7 (192)</v>
      </c>
      <c r="O199" s="58" t="str">
        <f>IFERROR(VLOOKUP($B199,OverallResults!$B$3:$BB$492,14,FALSE),"")</f>
        <v>DNS/DNF ()</v>
      </c>
      <c r="P199" s="58" t="str">
        <f>IFERROR(VLOOKUP($B199,OverallResults!$B$3:$BB$492,15,FALSE),"")</f>
        <v>DNS/DNF ()</v>
      </c>
      <c r="Q199" s="58" t="str">
        <f>IFERROR(VLOOKUP($B199,OverallResults!$B$3:$BB$492,16,FALSE),"")</f>
        <v>DNS/DNF ()</v>
      </c>
      <c r="R199" s="58" t="str">
        <f>IFERROR(VLOOKUP($B199,OverallResults!$B$3:$BB$492,17,FALSE),"")</f>
        <v>00:14:51.062</v>
      </c>
      <c r="S199" s="170" t="str">
        <f t="shared" si="6"/>
        <v>00:04</v>
      </c>
      <c r="T199" s="170" t="str">
        <f t="shared" si="7"/>
        <v>N/A</v>
      </c>
      <c r="U199" s="359">
        <f>IFERROR(VLOOKUP($D199,EntryList!$B$3:$S$291,18,FALSE),"")</f>
        <v>0</v>
      </c>
      <c r="V199" s="359">
        <f>IFERROR(VLOOKUP($D199,EntryList!$B$3:$S$291,17,FALSE),"")</f>
        <v>0</v>
      </c>
    </row>
    <row r="200" spans="2:22">
      <c r="B200" s="59">
        <v>195</v>
      </c>
      <c r="C200" s="59">
        <f>IFERROR(VLOOKUP($B200,OverallResults!$B$3:$Z$508,2,FALSE),"")</f>
        <v>14</v>
      </c>
      <c r="D200" s="149" t="str">
        <f>IFERROR(VLOOKUP($B200,OverallResults!$B$3:$Z$508,3,FALSE),"")</f>
        <v>Chris Groeneveld</v>
      </c>
      <c r="E200" s="146">
        <f>IFERROR(VLOOKUP(C200,SeriesPoints!$A$2:$B$51,2,FALSE),"")</f>
        <v>84</v>
      </c>
      <c r="F200" s="148" t="str">
        <f>IFERROR(VLOOKUP($D200,EntryList!$B$3:$V$291,21,FALSE),"")</f>
        <v>-</v>
      </c>
      <c r="G200" s="100" t="str">
        <f>IFERROR(VLOOKUP($D200,EntryList!$B$3:$N$596,5,FALSE),"")</f>
        <v>M</v>
      </c>
      <c r="H200" s="145" t="str">
        <f>IFERROR(VLOOKUP($D200,EntryList!$B$3:$N$596,6,FALSE),"")</f>
        <v>Sub Junior Boys</v>
      </c>
      <c r="I200" s="331">
        <f>IFERROR(VLOOKUP($B200,OverallResults!$B$3:$Z$492,8,FALSE),"")</f>
        <v>3</v>
      </c>
      <c r="J200" s="58" t="str">
        <f>IFERROR(VLOOKUP($B200,OverallResults!$B$3:$BB$492,9,FALSE),"")</f>
        <v>DNS/DNF ()</v>
      </c>
      <c r="K200" s="58" t="str">
        <f>IFERROR(VLOOKUP($B200,OverallResults!$B$3:$BB$492,10,FALSE),"")</f>
        <v>00:05:22.4 (220)</v>
      </c>
      <c r="L200" s="58" t="str">
        <f>IFERROR(VLOOKUP($B200,OverallResults!$B$3:$BB$492,11,FALSE),"")</f>
        <v>00:02:54.5 (196)</v>
      </c>
      <c r="M200" s="58" t="str">
        <f>IFERROR(VLOOKUP($B200,OverallResults!$B$3:$BB$492,12,FALSE),"")</f>
        <v>DNS/DNF ()</v>
      </c>
      <c r="N200" s="58" t="str">
        <f>IFERROR(VLOOKUP($B200,OverallResults!$B$3:$BB$492,13,FALSE),"")</f>
        <v>00:06:34.9 (195)</v>
      </c>
      <c r="O200" s="58" t="str">
        <f>IFERROR(VLOOKUP($B200,OverallResults!$B$3:$BB$492,14,FALSE),"")</f>
        <v>DNS/DNF ()</v>
      </c>
      <c r="P200" s="58" t="str">
        <f>IFERROR(VLOOKUP($B200,OverallResults!$B$3:$BB$492,15,FALSE),"")</f>
        <v>DNS/DNF ()</v>
      </c>
      <c r="Q200" s="58" t="str">
        <f>IFERROR(VLOOKUP($B200,OverallResults!$B$3:$BB$492,16,FALSE),"")</f>
        <v>DNS/DNF ()</v>
      </c>
      <c r="R200" s="58" t="str">
        <f>IFERROR(VLOOKUP($B200,OverallResults!$B$3:$BB$492,17,FALSE),"")</f>
        <v>00:14:51.880</v>
      </c>
      <c r="S200" s="170" t="str">
        <f t="shared" si="6"/>
        <v>00:01</v>
      </c>
      <c r="T200" s="170" t="str">
        <f t="shared" si="7"/>
        <v>N/A</v>
      </c>
      <c r="U200" s="359">
        <f>IFERROR(VLOOKUP($D200,EntryList!$B$3:$S$291,18,FALSE),"")</f>
        <v>0</v>
      </c>
      <c r="V200" s="359">
        <f>IFERROR(VLOOKUP($D200,EntryList!$B$3:$S$291,17,FALSE),"")</f>
        <v>0</v>
      </c>
    </row>
    <row r="201" spans="2:22">
      <c r="B201" s="59">
        <v>196</v>
      </c>
      <c r="C201" s="59">
        <f>IFERROR(VLOOKUP($B201,OverallResults!$B$3:$Z$508,2,FALSE),"")</f>
        <v>7</v>
      </c>
      <c r="D201" s="149" t="str">
        <f>IFERROR(VLOOKUP($B201,OverallResults!$B$3:$Z$508,3,FALSE),"")</f>
        <v>Shandri Erasmus</v>
      </c>
      <c r="E201" s="146">
        <f>IFERROR(VLOOKUP(C201,SeriesPoints!$A$2:$B$51,2,FALSE),"")</f>
        <v>115</v>
      </c>
      <c r="F201" s="148" t="str">
        <f>IFERROR(VLOOKUP($D201,EntryList!$B$3:$V$291,21,FALSE),"")</f>
        <v>-</v>
      </c>
      <c r="G201" s="100" t="str">
        <f>IFERROR(VLOOKUP($D201,EntryList!$B$3:$N$596,5,FALSE),"")</f>
        <v>F</v>
      </c>
      <c r="H201" s="145" t="str">
        <f>IFERROR(VLOOKUP($D201,EntryList!$B$3:$N$596,6,FALSE),"")</f>
        <v>Lite F</v>
      </c>
      <c r="I201" s="331">
        <f>IFERROR(VLOOKUP($B201,OverallResults!$B$3:$Z$492,8,FALSE),"")</f>
        <v>3</v>
      </c>
      <c r="J201" s="58" t="str">
        <f>IFERROR(VLOOKUP($B201,OverallResults!$B$3:$BB$492,9,FALSE),"")</f>
        <v>DNS/DNF ()</v>
      </c>
      <c r="K201" s="58" t="str">
        <f>IFERROR(VLOOKUP($B201,OverallResults!$B$3:$BB$492,10,FALSE),"")</f>
        <v>00:05:07.5 (208)</v>
      </c>
      <c r="L201" s="58" t="str">
        <f>IFERROR(VLOOKUP($B201,OverallResults!$B$3:$BB$492,11,FALSE),"")</f>
        <v>00:03:15.9 (222)</v>
      </c>
      <c r="M201" s="58" t="str">
        <f>IFERROR(VLOOKUP($B201,OverallResults!$B$3:$BB$492,12,FALSE),"")</f>
        <v>DNS/DNF ()</v>
      </c>
      <c r="N201" s="58" t="str">
        <f>IFERROR(VLOOKUP($B201,OverallResults!$B$3:$BB$492,13,FALSE),"")</f>
        <v>00:06:31.0 (188)</v>
      </c>
      <c r="O201" s="58" t="str">
        <f>IFERROR(VLOOKUP($B201,OverallResults!$B$3:$BB$492,14,FALSE),"")</f>
        <v>DNS/DNF ()</v>
      </c>
      <c r="P201" s="58" t="str">
        <f>IFERROR(VLOOKUP($B201,OverallResults!$B$3:$BB$492,15,FALSE),"")</f>
        <v>DNS/DNF ()</v>
      </c>
      <c r="Q201" s="58" t="str">
        <f>IFERROR(VLOOKUP($B201,OverallResults!$B$3:$BB$492,16,FALSE),"")</f>
        <v>DNS/DNF ()</v>
      </c>
      <c r="R201" s="58" t="str">
        <f>IFERROR(VLOOKUP($B201,OverallResults!$B$3:$BB$492,17,FALSE),"")</f>
        <v>00:14:54.398</v>
      </c>
      <c r="S201" s="170" t="str">
        <f t="shared" si="6"/>
        <v>00:03</v>
      </c>
      <c r="T201" s="170" t="str">
        <f t="shared" si="7"/>
        <v>N/A</v>
      </c>
      <c r="U201" s="359">
        <f>IFERROR(VLOOKUP($D201,EntryList!$B$3:$S$291,18,FALSE),"")</f>
        <v>0</v>
      </c>
      <c r="V201" s="359">
        <f>IFERROR(VLOOKUP($D201,EntryList!$B$3:$S$291,17,FALSE),"")</f>
        <v>0</v>
      </c>
    </row>
    <row r="202" spans="2:22">
      <c r="B202" s="59">
        <v>197</v>
      </c>
      <c r="C202" s="59">
        <f>IFERROR(VLOOKUP($B202,OverallResults!$B$3:$Z$508,2,FALSE),"")</f>
        <v>35</v>
      </c>
      <c r="D202" s="149" t="str">
        <f>IFERROR(VLOOKUP($B202,OverallResults!$B$3:$Z$508,3,FALSE),"")</f>
        <v>Gregg Blomeyer</v>
      </c>
      <c r="E202" s="146">
        <f>IFERROR(VLOOKUP(C202,SeriesPoints!$A$2:$B$51,2,FALSE),"")</f>
        <v>20</v>
      </c>
      <c r="F202" s="148" t="str">
        <f>IFERROR(VLOOKUP($D202,EntryList!$B$3:$V$291,21,FALSE),"")</f>
        <v>-</v>
      </c>
      <c r="G202" s="100" t="str">
        <f>IFERROR(VLOOKUP($D202,EntryList!$B$3:$N$596,5,FALSE),"")</f>
        <v>M</v>
      </c>
      <c r="H202" s="145" t="str">
        <f>IFERROR(VLOOKUP($D202,EntryList!$B$3:$N$596,6,FALSE),"")</f>
        <v>Lite M</v>
      </c>
      <c r="I202" s="331">
        <f>IFERROR(VLOOKUP($B202,OverallResults!$B$3:$Z$492,8,FALSE),"")</f>
        <v>3</v>
      </c>
      <c r="J202" s="58" t="str">
        <f>IFERROR(VLOOKUP($B202,OverallResults!$B$3:$BB$492,9,FALSE),"")</f>
        <v>DNS/DNF ()</v>
      </c>
      <c r="K202" s="58" t="str">
        <f>IFERROR(VLOOKUP($B202,OverallResults!$B$3:$BB$492,10,FALSE),"")</f>
        <v>00:04:55.6 (196)</v>
      </c>
      <c r="L202" s="58" t="str">
        <f>IFERROR(VLOOKUP($B202,OverallResults!$B$3:$BB$492,11,FALSE),"")</f>
        <v>00:02:59.2 (205)</v>
      </c>
      <c r="M202" s="58" t="str">
        <f>IFERROR(VLOOKUP($B202,OverallResults!$B$3:$BB$492,12,FALSE),"")</f>
        <v>DNS/DNF ()</v>
      </c>
      <c r="N202" s="58" t="str">
        <f>IFERROR(VLOOKUP($B202,OverallResults!$B$3:$BB$492,13,FALSE),"")</f>
        <v>00:07:00.7 (216)</v>
      </c>
      <c r="O202" s="58" t="str">
        <f>IFERROR(VLOOKUP($B202,OverallResults!$B$3:$BB$492,14,FALSE),"")</f>
        <v>DNS/DNF ()</v>
      </c>
      <c r="P202" s="58" t="str">
        <f>IFERROR(VLOOKUP($B202,OverallResults!$B$3:$BB$492,15,FALSE),"")</f>
        <v>DNS/DNF ()</v>
      </c>
      <c r="Q202" s="58" t="str">
        <f>IFERROR(VLOOKUP($B202,OverallResults!$B$3:$BB$492,16,FALSE),"")</f>
        <v>DNS/DNF ()</v>
      </c>
      <c r="R202" s="58" t="str">
        <f>IFERROR(VLOOKUP($B202,OverallResults!$B$3:$BB$492,17,FALSE),"")</f>
        <v>00:14:55.483</v>
      </c>
      <c r="S202" s="170" t="str">
        <f t="shared" si="6"/>
        <v>00:01</v>
      </c>
      <c r="T202" s="170" t="str">
        <f t="shared" si="7"/>
        <v>N/A</v>
      </c>
      <c r="U202" s="359">
        <f>IFERROR(VLOOKUP($D202,EntryList!$B$3:$S$291,18,FALSE),"")</f>
        <v>0</v>
      </c>
      <c r="V202" s="359">
        <f>IFERROR(VLOOKUP($D202,EntryList!$B$3:$S$291,17,FALSE),"")</f>
        <v>0</v>
      </c>
    </row>
    <row r="203" spans="2:22">
      <c r="B203" s="59">
        <v>198</v>
      </c>
      <c r="C203" s="59">
        <f>IFERROR(VLOOKUP($B203,OverallResults!$B$3:$Z$508,2,FALSE),"")</f>
        <v>36</v>
      </c>
      <c r="D203" s="149" t="str">
        <f>IFERROR(VLOOKUP($B203,OverallResults!$B$3:$Z$508,3,FALSE),"")</f>
        <v>Michael Morgan</v>
      </c>
      <c r="E203" s="146">
        <f>IFERROR(VLOOKUP(C203,SeriesPoints!$A$2:$B$51,2,FALSE),"")</f>
        <v>18</v>
      </c>
      <c r="F203" s="148" t="str">
        <f>IFERROR(VLOOKUP($D203,EntryList!$B$3:$V$291,21,FALSE),"")</f>
        <v>-</v>
      </c>
      <c r="G203" s="100" t="str">
        <f>IFERROR(VLOOKUP($D203,EntryList!$B$3:$N$596,5,FALSE),"")</f>
        <v>M</v>
      </c>
      <c r="H203" s="145" t="str">
        <f>IFERROR(VLOOKUP($D203,EntryList!$B$3:$N$596,6,FALSE),"")</f>
        <v>Lite M</v>
      </c>
      <c r="I203" s="331">
        <f>IFERROR(VLOOKUP($B203,OverallResults!$B$3:$Z$492,8,FALSE),"")</f>
        <v>3</v>
      </c>
      <c r="J203" s="58" t="str">
        <f>IFERROR(VLOOKUP($B203,OverallResults!$B$3:$BB$492,9,FALSE),"")</f>
        <v>DNS/DNF ()</v>
      </c>
      <c r="K203" s="58" t="str">
        <f>IFERROR(VLOOKUP($B203,OverallResults!$B$3:$BB$492,10,FALSE),"")</f>
        <v>00:05:13.6 (214)</v>
      </c>
      <c r="L203" s="58" t="str">
        <f>IFERROR(VLOOKUP($B203,OverallResults!$B$3:$BB$492,11,FALSE),"")</f>
        <v>00:03:01.7 (209)</v>
      </c>
      <c r="M203" s="58" t="str">
        <f>IFERROR(VLOOKUP($B203,OverallResults!$B$3:$BB$492,12,FALSE),"")</f>
        <v>DNS/DNF ()</v>
      </c>
      <c r="N203" s="58" t="str">
        <f>IFERROR(VLOOKUP($B203,OverallResults!$B$3:$BB$492,13,FALSE),"")</f>
        <v>00:06:47.0 (208)</v>
      </c>
      <c r="O203" s="58" t="str">
        <f>IFERROR(VLOOKUP($B203,OverallResults!$B$3:$BB$492,14,FALSE),"")</f>
        <v>DNS/DNF ()</v>
      </c>
      <c r="P203" s="58" t="str">
        <f>IFERROR(VLOOKUP($B203,OverallResults!$B$3:$BB$492,15,FALSE),"")</f>
        <v>DNS/DNF ()</v>
      </c>
      <c r="Q203" s="58" t="str">
        <f>IFERROR(VLOOKUP($B203,OverallResults!$B$3:$BB$492,16,FALSE),"")</f>
        <v>DNS/DNF ()</v>
      </c>
      <c r="R203" s="58" t="str">
        <f>IFERROR(VLOOKUP($B203,OverallResults!$B$3:$BB$492,17,FALSE),"")</f>
        <v>00:15:02.331</v>
      </c>
      <c r="S203" s="170" t="str">
        <f>IFERROR(TEXT(($R203-$R231),"mm:ss"),"N/A")</f>
        <v>N/A</v>
      </c>
      <c r="T203" s="170" t="str">
        <f>IF($I203-$I231&lt;0,"N/A",IFERROR(TEXT(($R203-$R$6),"mm:ss"),"N/A"))</f>
        <v>N/A</v>
      </c>
      <c r="U203" s="359">
        <f>IFERROR(VLOOKUP($D203,EntryList!$B$3:$S$291,18,FALSE),"")</f>
        <v>0</v>
      </c>
      <c r="V203" s="359">
        <f>IFERROR(VLOOKUP($D203,EntryList!$B$3:$S$291,17,FALSE),"")</f>
        <v>0</v>
      </c>
    </row>
    <row r="204" spans="2:22">
      <c r="B204" s="59">
        <v>199</v>
      </c>
      <c r="C204" s="59">
        <f>IFERROR(VLOOKUP($B204,OverallResults!$B$3:$Z$508,2,FALSE),"")</f>
        <v>37</v>
      </c>
      <c r="D204" s="149" t="str">
        <f>IFERROR(VLOOKUP($B204,OverallResults!$B$3:$Z$508,3,FALSE),"")</f>
        <v>Dj Oosthuizen</v>
      </c>
      <c r="E204" s="146">
        <f>IFERROR(VLOOKUP(C204,SeriesPoints!$A$2:$B$51,2,FALSE),"")</f>
        <v>16</v>
      </c>
      <c r="F204" s="148" t="str">
        <f>IFERROR(VLOOKUP($D204,EntryList!$B$3:$V$291,21,FALSE),"")</f>
        <v>-</v>
      </c>
      <c r="G204" s="100" t="str">
        <f>IFERROR(VLOOKUP($D204,EntryList!$B$3:$N$596,5,FALSE),"")</f>
        <v>M</v>
      </c>
      <c r="H204" s="145" t="str">
        <f>IFERROR(VLOOKUP($D204,EntryList!$B$3:$N$596,6,FALSE),"")</f>
        <v>Lite M</v>
      </c>
      <c r="I204" s="331">
        <f>IFERROR(VLOOKUP($B204,OverallResults!$B$3:$Z$492,8,FALSE),"")</f>
        <v>3</v>
      </c>
      <c r="J204" s="58" t="str">
        <f>IFERROR(VLOOKUP($B204,OverallResults!$B$3:$BB$492,9,FALSE),"")</f>
        <v>DNS/DNF ()</v>
      </c>
      <c r="K204" s="58" t="str">
        <f>IFERROR(VLOOKUP($B204,OverallResults!$B$3:$BB$492,10,FALSE),"")</f>
        <v>00:04:56.1 (197)</v>
      </c>
      <c r="L204" s="58" t="str">
        <f>IFERROR(VLOOKUP($B204,OverallResults!$B$3:$BB$492,11,FALSE),"")</f>
        <v>00:02:59.9 (207)</v>
      </c>
      <c r="M204" s="58" t="str">
        <f>IFERROR(VLOOKUP($B204,OverallResults!$B$3:$BB$492,12,FALSE),"")</f>
        <v>DNS/DNF ()</v>
      </c>
      <c r="N204" s="58" t="str">
        <f>IFERROR(VLOOKUP($B204,OverallResults!$B$3:$BB$492,13,FALSE),"")</f>
        <v>00:07:09.7 (221)</v>
      </c>
      <c r="O204" s="58" t="str">
        <f>IFERROR(VLOOKUP($B204,OverallResults!$B$3:$BB$492,14,FALSE),"")</f>
        <v>DNS/DNF ()</v>
      </c>
      <c r="P204" s="58" t="str">
        <f>IFERROR(VLOOKUP($B204,OverallResults!$B$3:$BB$492,15,FALSE),"")</f>
        <v>DNS/DNF ()</v>
      </c>
      <c r="Q204" s="58" t="str">
        <f>IFERROR(VLOOKUP($B204,OverallResults!$B$3:$BB$492,16,FALSE),"")</f>
        <v>DNS/DNF ()</v>
      </c>
      <c r="R204" s="58" t="str">
        <f>IFERROR(VLOOKUP($B204,OverallResults!$B$3:$BB$492,17,FALSE),"")</f>
        <v>00:15:05.763</v>
      </c>
      <c r="S204" s="170" t="str">
        <f t="shared" si="6"/>
        <v>00:03</v>
      </c>
      <c r="T204" s="170" t="str">
        <f t="shared" si="7"/>
        <v>N/A</v>
      </c>
      <c r="U204" s="359">
        <f>IFERROR(VLOOKUP($D204,EntryList!$B$3:$S$291,18,FALSE),"")</f>
        <v>0</v>
      </c>
      <c r="V204" s="359">
        <f>IFERROR(VLOOKUP($D204,EntryList!$B$3:$S$291,17,FALSE),"")</f>
        <v>0</v>
      </c>
    </row>
    <row r="205" spans="2:22">
      <c r="B205" s="59">
        <v>200</v>
      </c>
      <c r="C205" s="59">
        <f>IFERROR(VLOOKUP($B205,OverallResults!$B$3:$Z$508,2,FALSE),"")</f>
        <v>38</v>
      </c>
      <c r="D205" s="149" t="str">
        <f>IFERROR(VLOOKUP($B205,OverallResults!$B$3:$Z$508,3,FALSE),"")</f>
        <v>Bradley Stow</v>
      </c>
      <c r="E205" s="146">
        <f>IFERROR(VLOOKUP(C205,SeriesPoints!$A$2:$B$51,2,FALSE),"")</f>
        <v>14</v>
      </c>
      <c r="F205" s="148" t="str">
        <f>IFERROR(VLOOKUP($D205,EntryList!$B$3:$V$291,21,FALSE),"")</f>
        <v>-</v>
      </c>
      <c r="G205" s="100" t="str">
        <f>IFERROR(VLOOKUP($D205,EntryList!$B$3:$N$596,5,FALSE),"")</f>
        <v>M</v>
      </c>
      <c r="H205" s="145" t="str">
        <f>IFERROR(VLOOKUP($D205,EntryList!$B$3:$N$596,6,FALSE),"")</f>
        <v>Lite M</v>
      </c>
      <c r="I205" s="331">
        <f>IFERROR(VLOOKUP($B205,OverallResults!$B$3:$Z$492,8,FALSE),"")</f>
        <v>3</v>
      </c>
      <c r="J205" s="58" t="str">
        <f>IFERROR(VLOOKUP($B205,OverallResults!$B$3:$BB$492,9,FALSE),"")</f>
        <v>DNS/DNF ()</v>
      </c>
      <c r="K205" s="58" t="str">
        <f>IFERROR(VLOOKUP($B205,OverallResults!$B$3:$BB$492,10,FALSE),"")</f>
        <v>00:04:23.5 (117)</v>
      </c>
      <c r="L205" s="58" t="str">
        <f>IFERROR(VLOOKUP($B205,OverallResults!$B$3:$BB$492,11,FALSE),"")</f>
        <v>00:02:54.1 (194)</v>
      </c>
      <c r="M205" s="58" t="str">
        <f>IFERROR(VLOOKUP($B205,OverallResults!$B$3:$BB$492,12,FALSE),"")</f>
        <v>DNS/DNF ()</v>
      </c>
      <c r="N205" s="58" t="str">
        <f>IFERROR(VLOOKUP($B205,OverallResults!$B$3:$BB$492,13,FALSE),"")</f>
        <v>00:07:54.0 (238)</v>
      </c>
      <c r="O205" s="58" t="str">
        <f>IFERROR(VLOOKUP($B205,OverallResults!$B$3:$BB$492,14,FALSE),"")</f>
        <v>DNS/DNF ()</v>
      </c>
      <c r="P205" s="58" t="str">
        <f>IFERROR(VLOOKUP($B205,OverallResults!$B$3:$BB$492,15,FALSE),"")</f>
        <v>DNS/DNF ()</v>
      </c>
      <c r="Q205" s="58" t="str">
        <f>IFERROR(VLOOKUP($B205,OverallResults!$B$3:$BB$492,16,FALSE),"")</f>
        <v>DNS/DNF ()</v>
      </c>
      <c r="R205" s="58" t="str">
        <f>IFERROR(VLOOKUP($B205,OverallResults!$B$3:$BB$492,17,FALSE),"")</f>
        <v>00:15:11.688</v>
      </c>
      <c r="S205" s="170" t="str">
        <f t="shared" si="6"/>
        <v>00:06</v>
      </c>
      <c r="T205" s="170" t="str">
        <f t="shared" si="7"/>
        <v>N/A</v>
      </c>
      <c r="U205" s="359">
        <f>IFERROR(VLOOKUP($D205,EntryList!$B$3:$S$291,18,FALSE),"")</f>
        <v>0</v>
      </c>
      <c r="V205" s="359">
        <f>IFERROR(VLOOKUP($D205,EntryList!$B$3:$S$291,17,FALSE),"")</f>
        <v>0</v>
      </c>
    </row>
    <row r="206" spans="2:22">
      <c r="B206" s="59">
        <v>201</v>
      </c>
      <c r="C206" s="59">
        <f>IFERROR(VLOOKUP($B206,OverallResults!$B$3:$Z$508,2,FALSE),"")</f>
        <v>39</v>
      </c>
      <c r="D206" s="149" t="str">
        <f>IFERROR(VLOOKUP($B206,OverallResults!$B$3:$Z$508,3,FALSE),"")</f>
        <v>Yaseen Enos</v>
      </c>
      <c r="E206" s="146">
        <f>IFERROR(VLOOKUP(C206,SeriesPoints!$A$2:$B$51,2,FALSE),"")</f>
        <v>12</v>
      </c>
      <c r="F206" s="148" t="str">
        <f>IFERROR(VLOOKUP($D206,EntryList!$B$3:$V$291,21,FALSE),"")</f>
        <v>-</v>
      </c>
      <c r="G206" s="100" t="str">
        <f>IFERROR(VLOOKUP($D206,EntryList!$B$3:$N$596,5,FALSE),"")</f>
        <v>M</v>
      </c>
      <c r="H206" s="145" t="str">
        <f>IFERROR(VLOOKUP($D206,EntryList!$B$3:$N$596,6,FALSE),"")</f>
        <v>Lite M</v>
      </c>
      <c r="I206" s="331">
        <f>IFERROR(VLOOKUP($B206,OverallResults!$B$3:$Z$492,8,FALSE),"")</f>
        <v>3</v>
      </c>
      <c r="J206" s="58" t="str">
        <f>IFERROR(VLOOKUP($B206,OverallResults!$B$3:$BB$492,9,FALSE),"")</f>
        <v>DNS/DNF ()</v>
      </c>
      <c r="K206" s="58" t="str">
        <f>IFERROR(VLOOKUP($B206,OverallResults!$B$3:$BB$492,10,FALSE),"")</f>
        <v>00:05:30.6 (230)</v>
      </c>
      <c r="L206" s="58" t="str">
        <f>IFERROR(VLOOKUP($B206,OverallResults!$B$3:$BB$492,11,FALSE),"")</f>
        <v>00:03:03.4 (212)</v>
      </c>
      <c r="M206" s="58" t="str">
        <f>IFERROR(VLOOKUP($B206,OverallResults!$B$3:$BB$492,12,FALSE),"")</f>
        <v>DNS/DNF ()</v>
      </c>
      <c r="N206" s="58" t="str">
        <f>IFERROR(VLOOKUP($B206,OverallResults!$B$3:$BB$492,13,FALSE),"")</f>
        <v>00:06:38.0 (199)</v>
      </c>
      <c r="O206" s="58" t="str">
        <f>IFERROR(VLOOKUP($B206,OverallResults!$B$3:$BB$492,14,FALSE),"")</f>
        <v>DNS/DNF ()</v>
      </c>
      <c r="P206" s="58" t="str">
        <f>IFERROR(VLOOKUP($B206,OverallResults!$B$3:$BB$492,15,FALSE),"")</f>
        <v>DNS/DNF ()</v>
      </c>
      <c r="Q206" s="58" t="str">
        <f>IFERROR(VLOOKUP($B206,OverallResults!$B$3:$BB$492,16,FALSE),"")</f>
        <v>DNS/DNF ()</v>
      </c>
      <c r="R206" s="58" t="str">
        <f>IFERROR(VLOOKUP($B206,OverallResults!$B$3:$BB$492,17,FALSE),"")</f>
        <v>00:15:12.016</v>
      </c>
      <c r="S206" s="170" t="str">
        <f t="shared" si="6"/>
        <v>00:00</v>
      </c>
      <c r="T206" s="170" t="str">
        <f t="shared" si="7"/>
        <v>N/A</v>
      </c>
      <c r="U206" s="359">
        <f>IFERROR(VLOOKUP($D206,EntryList!$B$3:$S$291,18,FALSE),"")</f>
        <v>0</v>
      </c>
      <c r="V206" s="359">
        <f>IFERROR(VLOOKUP($D206,EntryList!$B$3:$S$291,17,FALSE),"")</f>
        <v>0</v>
      </c>
    </row>
    <row r="207" spans="2:22">
      <c r="B207" s="59">
        <v>202</v>
      </c>
      <c r="C207" s="59">
        <f>IFERROR(VLOOKUP($B207,OverallResults!$B$3:$Z$508,2,FALSE),"")</f>
        <v>7</v>
      </c>
      <c r="D207" s="149" t="str">
        <f>IFERROR(VLOOKUP($B207,OverallResults!$B$3:$Z$508,3,FALSE),"")</f>
        <v>Matt Nicholson</v>
      </c>
      <c r="E207" s="146">
        <f>IFERROR(VLOOKUP(C207,SeriesPoints!$A$2:$B$51,2,FALSE),"")</f>
        <v>115</v>
      </c>
      <c r="F207" s="148" t="str">
        <f>IFERROR(VLOOKUP($D207,EntryList!$B$3:$V$291,21,FALSE),"")</f>
        <v>-</v>
      </c>
      <c r="G207" s="100" t="str">
        <f>IFERROR(VLOOKUP($D207,EntryList!$B$3:$N$596,5,FALSE),"")</f>
        <v>M</v>
      </c>
      <c r="H207" s="145" t="str">
        <f>IFERROR(VLOOKUP($D207,EntryList!$B$3:$N$596,6,FALSE),"")</f>
        <v>E-Bike Lite M</v>
      </c>
      <c r="I207" s="331">
        <f>IFERROR(VLOOKUP($B207,OverallResults!$B$3:$Z$492,8,FALSE),"")</f>
        <v>3</v>
      </c>
      <c r="J207" s="58" t="str">
        <f>IFERROR(VLOOKUP($B207,OverallResults!$B$3:$BB$492,9,FALSE),"")</f>
        <v>DNS/DNF ()</v>
      </c>
      <c r="K207" s="58" t="str">
        <f>IFERROR(VLOOKUP($B207,OverallResults!$B$3:$BB$492,10,FALSE),"")</f>
        <v>00:05:32.7 (233)</v>
      </c>
      <c r="L207" s="58" t="str">
        <f>IFERROR(VLOOKUP($B207,OverallResults!$B$3:$BB$492,11,FALSE),"")</f>
        <v>00:03:07.1 (214)</v>
      </c>
      <c r="M207" s="58" t="str">
        <f>IFERROR(VLOOKUP($B207,OverallResults!$B$3:$BB$492,12,FALSE),"")</f>
        <v>DNS/DNF ()</v>
      </c>
      <c r="N207" s="58" t="str">
        <f>IFERROR(VLOOKUP($B207,OverallResults!$B$3:$BB$492,13,FALSE),"")</f>
        <v>00:06:32.5 (191)</v>
      </c>
      <c r="O207" s="58" t="str">
        <f>IFERROR(VLOOKUP($B207,OverallResults!$B$3:$BB$492,14,FALSE),"")</f>
        <v>DNS/DNF ()</v>
      </c>
      <c r="P207" s="58" t="str">
        <f>IFERROR(VLOOKUP($B207,OverallResults!$B$3:$BB$492,15,FALSE),"")</f>
        <v>DNS/DNF ()</v>
      </c>
      <c r="Q207" s="58" t="str">
        <f>IFERROR(VLOOKUP($B207,OverallResults!$B$3:$BB$492,16,FALSE),"")</f>
        <v>DNS/DNF ()</v>
      </c>
      <c r="R207" s="58" t="str">
        <f>IFERROR(VLOOKUP($B207,OverallResults!$B$3:$BB$492,17,FALSE),"")</f>
        <v>00:15:12.296</v>
      </c>
      <c r="S207" s="170" t="str">
        <f t="shared" si="6"/>
        <v>00:00</v>
      </c>
      <c r="T207" s="170" t="str">
        <f t="shared" si="7"/>
        <v>N/A</v>
      </c>
      <c r="U207" s="359">
        <f>IFERROR(VLOOKUP($D207,EntryList!$B$3:$S$291,18,FALSE),"")</f>
        <v>0</v>
      </c>
      <c r="V207" s="359">
        <f>IFERROR(VLOOKUP($D207,EntryList!$B$3:$S$291,17,FALSE),"")</f>
        <v>0</v>
      </c>
    </row>
    <row r="208" spans="2:22">
      <c r="B208" s="59">
        <v>203</v>
      </c>
      <c r="C208" s="59">
        <f>IFERROR(VLOOKUP($B208,OverallResults!$B$3:$Z$508,2,FALSE),"")</f>
        <v>5</v>
      </c>
      <c r="D208" s="149" t="str">
        <f>IFERROR(VLOOKUP($B208,OverallResults!$B$3:$Z$508,3,FALSE),"")</f>
        <v>Dylan Wiggill</v>
      </c>
      <c r="E208" s="146">
        <f>IFERROR(VLOOKUP(C208,SeriesPoints!$A$2:$B$51,2,FALSE),"")</f>
        <v>125</v>
      </c>
      <c r="F208" s="148" t="str">
        <f>IFERROR(VLOOKUP($D208,EntryList!$B$3:$V$291,21,FALSE),"")</f>
        <v>-</v>
      </c>
      <c r="G208" s="100" t="str">
        <f>IFERROR(VLOOKUP($D208,EntryList!$B$3:$N$596,5,FALSE),"")</f>
        <v>M</v>
      </c>
      <c r="H208" s="145" t="str">
        <f>IFERROR(VLOOKUP($D208,EntryList!$B$3:$N$596,6,FALSE),"")</f>
        <v>Sprog Boys</v>
      </c>
      <c r="I208" s="331">
        <f>IFERROR(VLOOKUP($B208,OverallResults!$B$3:$Z$492,8,FALSE),"")</f>
        <v>3</v>
      </c>
      <c r="J208" s="58" t="str">
        <f>IFERROR(VLOOKUP($B208,OverallResults!$B$3:$BB$492,9,FALSE),"")</f>
        <v>DNS/DNF ()</v>
      </c>
      <c r="K208" s="58" t="str">
        <f>IFERROR(VLOOKUP($B208,OverallResults!$B$3:$BB$492,10,FALSE),"")</f>
        <v>00:05:16.5 (217)</v>
      </c>
      <c r="L208" s="58" t="str">
        <f>IFERROR(VLOOKUP($B208,OverallResults!$B$3:$BB$492,11,FALSE),"")</f>
        <v>00:03:28.0 (232)</v>
      </c>
      <c r="M208" s="58" t="str">
        <f>IFERROR(VLOOKUP($B208,OverallResults!$B$3:$BB$492,12,FALSE),"")</f>
        <v>DNS/DNF ()</v>
      </c>
      <c r="N208" s="58" t="str">
        <f>IFERROR(VLOOKUP($B208,OverallResults!$B$3:$BB$492,13,FALSE),"")</f>
        <v>00:06:38.4 (200)</v>
      </c>
      <c r="O208" s="58" t="str">
        <f>IFERROR(VLOOKUP($B208,OverallResults!$B$3:$BB$492,14,FALSE),"")</f>
        <v>DNS/DNF ()</v>
      </c>
      <c r="P208" s="58" t="str">
        <f>IFERROR(VLOOKUP($B208,OverallResults!$B$3:$BB$492,15,FALSE),"")</f>
        <v>DNS/DNF ()</v>
      </c>
      <c r="Q208" s="58" t="str">
        <f>IFERROR(VLOOKUP($B208,OverallResults!$B$3:$BB$492,16,FALSE),"")</f>
        <v>DNS/DNF ()</v>
      </c>
      <c r="R208" s="58" t="str">
        <f>IFERROR(VLOOKUP($B208,OverallResults!$B$3:$BB$492,17,FALSE),"")</f>
        <v>00:15:22.967</v>
      </c>
      <c r="S208" s="170" t="str">
        <f t="shared" si="6"/>
        <v>00:11</v>
      </c>
      <c r="T208" s="170" t="str">
        <f t="shared" si="7"/>
        <v>N/A</v>
      </c>
      <c r="U208" s="359">
        <f>IFERROR(VLOOKUP($D208,EntryList!$B$3:$S$291,18,FALSE),"")</f>
        <v>0</v>
      </c>
      <c r="V208" s="359">
        <f>IFERROR(VLOOKUP($D208,EntryList!$B$3:$S$291,17,FALSE),"")</f>
        <v>0</v>
      </c>
    </row>
    <row r="209" spans="2:22">
      <c r="B209" s="59">
        <v>204</v>
      </c>
      <c r="C209" s="59">
        <f>IFERROR(VLOOKUP($B209,OverallResults!$B$3:$Z$508,2,FALSE),"")</f>
        <v>40</v>
      </c>
      <c r="D209" s="149" t="str">
        <f>IFERROR(VLOOKUP($B209,OverallResults!$B$3:$Z$508,3,FALSE),"")</f>
        <v>Frans Smit</v>
      </c>
      <c r="E209" s="146">
        <f>IFERROR(VLOOKUP(C209,SeriesPoints!$A$2:$B$51,2,FALSE),"")</f>
        <v>11</v>
      </c>
      <c r="F209" s="148" t="str">
        <f>IFERROR(VLOOKUP($D209,EntryList!$B$3:$V$291,21,FALSE),"")</f>
        <v>-</v>
      </c>
      <c r="G209" s="100" t="str">
        <f>IFERROR(VLOOKUP($D209,EntryList!$B$3:$N$596,5,FALSE),"")</f>
        <v>M</v>
      </c>
      <c r="H209" s="145" t="str">
        <f>IFERROR(VLOOKUP($D209,EntryList!$B$3:$N$596,6,FALSE),"")</f>
        <v>Lite M</v>
      </c>
      <c r="I209" s="331">
        <f>IFERROR(VLOOKUP($B209,OverallResults!$B$3:$Z$492,8,FALSE),"")</f>
        <v>3</v>
      </c>
      <c r="J209" s="58" t="str">
        <f>IFERROR(VLOOKUP($B209,OverallResults!$B$3:$BB$492,9,FALSE),"")</f>
        <v>DNS/DNF ()</v>
      </c>
      <c r="K209" s="58" t="str">
        <f>IFERROR(VLOOKUP($B209,OverallResults!$B$3:$BB$492,10,FALSE),"")</f>
        <v>00:06:04.9 (241)</v>
      </c>
      <c r="L209" s="58" t="str">
        <f>IFERROR(VLOOKUP($B209,OverallResults!$B$3:$BB$492,11,FALSE),"")</f>
        <v>00:02:55.4 (198)</v>
      </c>
      <c r="M209" s="58" t="str">
        <f>IFERROR(VLOOKUP($B209,OverallResults!$B$3:$BB$492,12,FALSE),"")</f>
        <v>DNS/DNF ()</v>
      </c>
      <c r="N209" s="58" t="str">
        <f>IFERROR(VLOOKUP($B209,OverallResults!$B$3:$BB$492,13,FALSE),"")</f>
        <v>00:06:24.2 (179)</v>
      </c>
      <c r="O209" s="58" t="str">
        <f>IFERROR(VLOOKUP($B209,OverallResults!$B$3:$BB$492,14,FALSE),"")</f>
        <v>DNS/DNF ()</v>
      </c>
      <c r="P209" s="58" t="str">
        <f>IFERROR(VLOOKUP($B209,OverallResults!$B$3:$BB$492,15,FALSE),"")</f>
        <v>DNS/DNF ()</v>
      </c>
      <c r="Q209" s="58" t="str">
        <f>IFERROR(VLOOKUP($B209,OverallResults!$B$3:$BB$492,16,FALSE),"")</f>
        <v>DNS/DNF ()</v>
      </c>
      <c r="R209" s="58" t="str">
        <f>IFERROR(VLOOKUP($B209,OverallResults!$B$3:$BB$492,17,FALSE),"")</f>
        <v>00:15:24.502</v>
      </c>
      <c r="S209" s="170" t="str">
        <f t="shared" si="6"/>
        <v>00:02</v>
      </c>
      <c r="T209" s="170" t="str">
        <f t="shared" si="7"/>
        <v>N/A</v>
      </c>
      <c r="U209" s="359">
        <f>IFERROR(VLOOKUP($D209,EntryList!$B$3:$S$291,18,FALSE),"")</f>
        <v>0</v>
      </c>
      <c r="V209" s="359">
        <f>IFERROR(VLOOKUP($D209,EntryList!$B$3:$S$291,17,FALSE),"")</f>
        <v>0</v>
      </c>
    </row>
    <row r="210" spans="2:22">
      <c r="B210" s="59">
        <v>205</v>
      </c>
      <c r="C210" s="59">
        <f>IFERROR(VLOOKUP($B210,OverallResults!$B$3:$Z$508,2,FALSE),"")</f>
        <v>8</v>
      </c>
      <c r="D210" s="149" t="str">
        <f>IFERROR(VLOOKUP($B210,OverallResults!$B$3:$Z$508,3,FALSE),"")</f>
        <v>Alisha Myers</v>
      </c>
      <c r="E210" s="146">
        <f>IFERROR(VLOOKUP(C210,SeriesPoints!$A$2:$B$51,2,FALSE),"")</f>
        <v>110</v>
      </c>
      <c r="F210" s="148" t="str">
        <f>IFERROR(VLOOKUP($D210,EntryList!$B$3:$V$291,21,FALSE),"")</f>
        <v>-</v>
      </c>
      <c r="G210" s="100" t="str">
        <f>IFERROR(VLOOKUP($D210,EntryList!$B$3:$N$596,5,FALSE),"")</f>
        <v>F</v>
      </c>
      <c r="H210" s="145" t="str">
        <f>IFERROR(VLOOKUP($D210,EntryList!$B$3:$N$596,6,FALSE),"")</f>
        <v>Lite F</v>
      </c>
      <c r="I210" s="331">
        <f>IFERROR(VLOOKUP($B210,OverallResults!$B$3:$Z$492,8,FALSE),"")</f>
        <v>3</v>
      </c>
      <c r="J210" s="58" t="str">
        <f>IFERROR(VLOOKUP($B210,OverallResults!$B$3:$BB$492,9,FALSE),"")</f>
        <v>DNS/DNF ()</v>
      </c>
      <c r="K210" s="58" t="str">
        <f>IFERROR(VLOOKUP($B210,OverallResults!$B$3:$BB$492,10,FALSE),"")</f>
        <v>00:05:23.1 (222)</v>
      </c>
      <c r="L210" s="58" t="str">
        <f>IFERROR(VLOOKUP($B210,OverallResults!$B$3:$BB$492,11,FALSE),"")</f>
        <v>00:03:03.9 (213)</v>
      </c>
      <c r="M210" s="58" t="str">
        <f>IFERROR(VLOOKUP($B210,OverallResults!$B$3:$BB$492,12,FALSE),"")</f>
        <v>DNS/DNF ()</v>
      </c>
      <c r="N210" s="58" t="str">
        <f>IFERROR(VLOOKUP($B210,OverallResults!$B$3:$BB$492,13,FALSE),"")</f>
        <v>00:06:57.9 (214)</v>
      </c>
      <c r="O210" s="58" t="str">
        <f>IFERROR(VLOOKUP($B210,OverallResults!$B$3:$BB$492,14,FALSE),"")</f>
        <v>DNS/DNF ()</v>
      </c>
      <c r="P210" s="58" t="str">
        <f>IFERROR(VLOOKUP($B210,OverallResults!$B$3:$BB$492,15,FALSE),"")</f>
        <v>DNS/DNF ()</v>
      </c>
      <c r="Q210" s="58" t="str">
        <f>IFERROR(VLOOKUP($B210,OverallResults!$B$3:$BB$492,16,FALSE),"")</f>
        <v>DNS/DNF ()</v>
      </c>
      <c r="R210" s="58" t="str">
        <f>IFERROR(VLOOKUP($B210,OverallResults!$B$3:$BB$492,17,FALSE),"")</f>
        <v>00:15:24.902</v>
      </c>
      <c r="S210" s="170" t="str">
        <f t="shared" si="6"/>
        <v>00:00</v>
      </c>
      <c r="T210" s="170" t="str">
        <f t="shared" si="7"/>
        <v>N/A</v>
      </c>
      <c r="U210" s="359">
        <f>IFERROR(VLOOKUP($D210,EntryList!$B$3:$S$291,18,FALSE),"")</f>
        <v>0</v>
      </c>
      <c r="V210" s="359">
        <f>IFERROR(VLOOKUP($D210,EntryList!$B$3:$S$291,17,FALSE),"")</f>
        <v>0</v>
      </c>
    </row>
    <row r="211" spans="2:22">
      <c r="B211" s="59">
        <v>206</v>
      </c>
      <c r="C211" s="59">
        <f>IFERROR(VLOOKUP($B211,OverallResults!$B$3:$Z$508,2,FALSE),"")</f>
        <v>41</v>
      </c>
      <c r="D211" s="149" t="str">
        <f>IFERROR(VLOOKUP($B211,OverallResults!$B$3:$Z$508,3,FALSE),"")</f>
        <v>Adam Bethlehem</v>
      </c>
      <c r="E211" s="146">
        <f>IFERROR(VLOOKUP(C211,SeriesPoints!$A$2:$B$51,2,FALSE),"")</f>
        <v>10</v>
      </c>
      <c r="F211" s="148" t="str">
        <f>IFERROR(VLOOKUP($D211,EntryList!$B$3:$V$291,21,FALSE),"")</f>
        <v>-</v>
      </c>
      <c r="G211" s="100" t="str">
        <f>IFERROR(VLOOKUP($D211,EntryList!$B$3:$N$596,5,FALSE),"")</f>
        <v>M</v>
      </c>
      <c r="H211" s="145" t="str">
        <f>IFERROR(VLOOKUP($D211,EntryList!$B$3:$N$596,6,FALSE),"")</f>
        <v>Lite M</v>
      </c>
      <c r="I211" s="331">
        <f>IFERROR(VLOOKUP($B211,OverallResults!$B$3:$Z$492,8,FALSE),"")</f>
        <v>3</v>
      </c>
      <c r="J211" s="58" t="str">
        <f>IFERROR(VLOOKUP($B211,OverallResults!$B$3:$BB$492,9,FALSE),"")</f>
        <v>DNS/DNF ()</v>
      </c>
      <c r="K211" s="58" t="str">
        <f>IFERROR(VLOOKUP($B211,OverallResults!$B$3:$BB$492,10,FALSE),"")</f>
        <v>00:05:30.2 (229)</v>
      </c>
      <c r="L211" s="58" t="str">
        <f>IFERROR(VLOOKUP($B211,OverallResults!$B$3:$BB$492,11,FALSE),"")</f>
        <v>00:03:18.2 (225)</v>
      </c>
      <c r="M211" s="58" t="str">
        <f>IFERROR(VLOOKUP($B211,OverallResults!$B$3:$BB$492,12,FALSE),"")</f>
        <v>DNS/DNF ()</v>
      </c>
      <c r="N211" s="58" t="str">
        <f>IFERROR(VLOOKUP($B211,OverallResults!$B$3:$BB$492,13,FALSE),"")</f>
        <v>00:06:36.7 (198)</v>
      </c>
      <c r="O211" s="58" t="str">
        <f>IFERROR(VLOOKUP($B211,OverallResults!$B$3:$BB$492,14,FALSE),"")</f>
        <v>DNS/DNF ()</v>
      </c>
      <c r="P211" s="58" t="str">
        <f>IFERROR(VLOOKUP($B211,OverallResults!$B$3:$BB$492,15,FALSE),"")</f>
        <v>DNS/DNF ()</v>
      </c>
      <c r="Q211" s="58" t="str">
        <f>IFERROR(VLOOKUP($B211,OverallResults!$B$3:$BB$492,16,FALSE),"")</f>
        <v>DNS/DNF ()</v>
      </c>
      <c r="R211" s="58" t="str">
        <f>IFERROR(VLOOKUP($B211,OverallResults!$B$3:$BB$492,17,FALSE),"")</f>
        <v>00:15:25.181</v>
      </c>
      <c r="S211" s="170" t="str">
        <f t="shared" si="6"/>
        <v>00:00</v>
      </c>
      <c r="T211" s="170" t="str">
        <f t="shared" si="7"/>
        <v>N/A</v>
      </c>
      <c r="U211" s="359">
        <f>IFERROR(VLOOKUP($D211,EntryList!$B$3:$S$291,18,FALSE),"")</f>
        <v>0</v>
      </c>
      <c r="V211" s="359">
        <f>IFERROR(VLOOKUP($D211,EntryList!$B$3:$S$291,17,FALSE),"")</f>
        <v>0</v>
      </c>
    </row>
    <row r="212" spans="2:22">
      <c r="B212" s="59">
        <v>207</v>
      </c>
      <c r="C212" s="59">
        <f>IFERROR(VLOOKUP($B212,OverallResults!$B$3:$Z$508,2,FALSE),"")</f>
        <v>15</v>
      </c>
      <c r="D212" s="149" t="str">
        <f>IFERROR(VLOOKUP($B212,OverallResults!$B$3:$Z$508,3,FALSE),"")</f>
        <v>Gabriel Cohn</v>
      </c>
      <c r="E212" s="146">
        <f>IFERROR(VLOOKUP(C212,SeriesPoints!$A$2:$B$51,2,FALSE),"")</f>
        <v>80</v>
      </c>
      <c r="F212" s="148" t="str">
        <f>IFERROR(VLOOKUP($D212,EntryList!$B$3:$V$291,21,FALSE),"")</f>
        <v>-</v>
      </c>
      <c r="G212" s="100" t="str">
        <f>IFERROR(VLOOKUP($D212,EntryList!$B$3:$N$596,5,FALSE),"")</f>
        <v>M</v>
      </c>
      <c r="H212" s="145" t="str">
        <f>IFERROR(VLOOKUP($D212,EntryList!$B$3:$N$596,6,FALSE),"")</f>
        <v>Sub Junior Boys</v>
      </c>
      <c r="I212" s="331">
        <f>IFERROR(VLOOKUP($B212,OverallResults!$B$3:$Z$492,8,FALSE),"")</f>
        <v>3</v>
      </c>
      <c r="J212" s="58" t="str">
        <f>IFERROR(VLOOKUP($B212,OverallResults!$B$3:$BB$492,9,FALSE),"")</f>
        <v>DNS/DNF ()</v>
      </c>
      <c r="K212" s="58" t="str">
        <f>IFERROR(VLOOKUP($B212,OverallResults!$B$3:$BB$492,10,FALSE),"")</f>
        <v>00:05:32.2 (232)</v>
      </c>
      <c r="L212" s="58" t="str">
        <f>IFERROR(VLOOKUP($B212,OverallResults!$B$3:$BB$492,11,FALSE),"")</f>
        <v>00:03:21.7 (227)</v>
      </c>
      <c r="M212" s="58" t="str">
        <f>IFERROR(VLOOKUP($B212,OverallResults!$B$3:$BB$492,12,FALSE),"")</f>
        <v>DNS/DNF ()</v>
      </c>
      <c r="N212" s="58" t="str">
        <f>IFERROR(VLOOKUP($B212,OverallResults!$B$3:$BB$492,13,FALSE),"")</f>
        <v>00:06:40.6 (201)</v>
      </c>
      <c r="O212" s="58" t="str">
        <f>IFERROR(VLOOKUP($B212,OverallResults!$B$3:$BB$492,14,FALSE),"")</f>
        <v>DNS/DNF ()</v>
      </c>
      <c r="P212" s="58" t="str">
        <f>IFERROR(VLOOKUP($B212,OverallResults!$B$3:$BB$492,15,FALSE),"")</f>
        <v>DNS/DNF ()</v>
      </c>
      <c r="Q212" s="58" t="str">
        <f>IFERROR(VLOOKUP($B212,OverallResults!$B$3:$BB$492,16,FALSE),"")</f>
        <v>DNS/DNF ()</v>
      </c>
      <c r="R212" s="58" t="str">
        <f>IFERROR(VLOOKUP($B212,OverallResults!$B$3:$BB$492,17,FALSE),"")</f>
        <v>00:15:34.511</v>
      </c>
      <c r="S212" s="170" t="str">
        <f t="shared" si="6"/>
        <v>00:09</v>
      </c>
      <c r="T212" s="170" t="str">
        <f t="shared" si="7"/>
        <v>N/A</v>
      </c>
      <c r="U212" s="359">
        <f>IFERROR(VLOOKUP($D212,EntryList!$B$3:$S$291,18,FALSE),"")</f>
        <v>0</v>
      </c>
      <c r="V212" s="359">
        <f>IFERROR(VLOOKUP($D212,EntryList!$B$3:$S$291,17,FALSE),"")</f>
        <v>0</v>
      </c>
    </row>
    <row r="213" spans="2:22">
      <c r="B213" s="59">
        <v>208</v>
      </c>
      <c r="C213" s="59">
        <f>IFERROR(VLOOKUP($B213,OverallResults!$B$3:$Z$508,2,FALSE),"")</f>
        <v>42</v>
      </c>
      <c r="D213" s="149" t="str">
        <f>IFERROR(VLOOKUP($B213,OverallResults!$B$3:$Z$508,3,FALSE),"")</f>
        <v>Ridoh Gamildien</v>
      </c>
      <c r="E213" s="146">
        <f>IFERROR(VLOOKUP(C213,SeriesPoints!$A$2:$B$51,2,FALSE),"")</f>
        <v>9</v>
      </c>
      <c r="F213" s="148" t="str">
        <f>IFERROR(VLOOKUP($D213,EntryList!$B$3:$V$291,21,FALSE),"")</f>
        <v>-</v>
      </c>
      <c r="G213" s="100" t="str">
        <f>IFERROR(VLOOKUP($D213,EntryList!$B$3:$N$596,5,FALSE),"")</f>
        <v>M</v>
      </c>
      <c r="H213" s="145" t="str">
        <f>IFERROR(VLOOKUP($D213,EntryList!$B$3:$N$596,6,FALSE),"")</f>
        <v>Lite M</v>
      </c>
      <c r="I213" s="331">
        <f>IFERROR(VLOOKUP($B213,OverallResults!$B$3:$Z$492,8,FALSE),"")</f>
        <v>3</v>
      </c>
      <c r="J213" s="58" t="str">
        <f>IFERROR(VLOOKUP($B213,OverallResults!$B$3:$BB$492,9,FALSE),"")</f>
        <v>DNS/DNF ()</v>
      </c>
      <c r="K213" s="58" t="str">
        <f>IFERROR(VLOOKUP($B213,OverallResults!$B$3:$BB$492,10,FALSE),"")</f>
        <v>00:05:26.2 (225)</v>
      </c>
      <c r="L213" s="58" t="str">
        <f>IFERROR(VLOOKUP($B213,OverallResults!$B$3:$BB$492,11,FALSE),"")</f>
        <v>00:03:22.4 (229)</v>
      </c>
      <c r="M213" s="58" t="str">
        <f>IFERROR(VLOOKUP($B213,OverallResults!$B$3:$BB$492,12,FALSE),"")</f>
        <v>DNS/DNF ()</v>
      </c>
      <c r="N213" s="58" t="str">
        <f>IFERROR(VLOOKUP($B213,OverallResults!$B$3:$BB$492,13,FALSE),"")</f>
        <v>00:06:46.8 (207)</v>
      </c>
      <c r="O213" s="58" t="str">
        <f>IFERROR(VLOOKUP($B213,OverallResults!$B$3:$BB$492,14,FALSE),"")</f>
        <v>DNS/DNF ()</v>
      </c>
      <c r="P213" s="58" t="str">
        <f>IFERROR(VLOOKUP($B213,OverallResults!$B$3:$BB$492,15,FALSE),"")</f>
        <v>DNS/DNF ()</v>
      </c>
      <c r="Q213" s="58" t="str">
        <f>IFERROR(VLOOKUP($B213,OverallResults!$B$3:$BB$492,16,FALSE),"")</f>
        <v>DNS/DNF ()</v>
      </c>
      <c r="R213" s="58" t="str">
        <f>IFERROR(VLOOKUP($B213,OverallResults!$B$3:$BB$492,17,FALSE),"")</f>
        <v>00:15:35.406</v>
      </c>
      <c r="S213" s="170" t="str">
        <f t="shared" si="6"/>
        <v>00:01</v>
      </c>
      <c r="T213" s="170" t="str">
        <f t="shared" si="7"/>
        <v>N/A</v>
      </c>
      <c r="U213" s="359">
        <f>IFERROR(VLOOKUP($D213,EntryList!$B$3:$S$291,18,FALSE),"")</f>
        <v>0</v>
      </c>
      <c r="V213" s="359">
        <f>IFERROR(VLOOKUP($D213,EntryList!$B$3:$S$291,17,FALSE),"")</f>
        <v>0</v>
      </c>
    </row>
    <row r="214" spans="2:22">
      <c r="B214" s="59">
        <v>209</v>
      </c>
      <c r="C214" s="59">
        <f>IFERROR(VLOOKUP($B214,OverallResults!$B$3:$Z$508,2,FALSE),"")</f>
        <v>2</v>
      </c>
      <c r="D214" s="149" t="str">
        <f>IFERROR(VLOOKUP($B214,OverallResults!$B$3:$Z$508,3,FALSE),"")</f>
        <v>Robert-John Behan</v>
      </c>
      <c r="E214" s="146">
        <f>IFERROR(VLOOKUP(C214,SeriesPoints!$A$2:$B$51,2,FALSE),"")</f>
        <v>170</v>
      </c>
      <c r="F214" s="148" t="str">
        <f>IFERROR(VLOOKUP($D214,EntryList!$B$3:$V$291,21,FALSE),"")</f>
        <v>-</v>
      </c>
      <c r="G214" s="100" t="str">
        <f>IFERROR(VLOOKUP($D214,EntryList!$B$3:$N$596,5,FALSE),"")</f>
        <v>M</v>
      </c>
      <c r="H214" s="145" t="str">
        <f>IFERROR(VLOOKUP($D214,EntryList!$B$3:$N$596,6,FALSE),"")</f>
        <v>Nipper Boys</v>
      </c>
      <c r="I214" s="331">
        <f>IFERROR(VLOOKUP($B214,OverallResults!$B$3:$Z$492,8,FALSE),"")</f>
        <v>3</v>
      </c>
      <c r="J214" s="58" t="str">
        <f>IFERROR(VLOOKUP($B214,OverallResults!$B$3:$BB$492,9,FALSE),"")</f>
        <v>DNS/DNF ()</v>
      </c>
      <c r="K214" s="58" t="str">
        <f>IFERROR(VLOOKUP($B214,OverallResults!$B$3:$BB$492,10,FALSE),"")</f>
        <v>00:05:18.1 (218)</v>
      </c>
      <c r="L214" s="58" t="str">
        <f>IFERROR(VLOOKUP($B214,OverallResults!$B$3:$BB$492,11,FALSE),"")</f>
        <v>00:03:21.5 (226)</v>
      </c>
      <c r="M214" s="58" t="str">
        <f>IFERROR(VLOOKUP($B214,OverallResults!$B$3:$BB$492,12,FALSE),"")</f>
        <v>DNS/DNF ()</v>
      </c>
      <c r="N214" s="58" t="str">
        <f>IFERROR(VLOOKUP($B214,OverallResults!$B$3:$BB$492,13,FALSE),"")</f>
        <v>00:06:58.3 (215)</v>
      </c>
      <c r="O214" s="58" t="str">
        <f>IFERROR(VLOOKUP($B214,OverallResults!$B$3:$BB$492,14,FALSE),"")</f>
        <v>DNS/DNF ()</v>
      </c>
      <c r="P214" s="58" t="str">
        <f>IFERROR(VLOOKUP($B214,OverallResults!$B$3:$BB$492,15,FALSE),"")</f>
        <v>DNS/DNF ()</v>
      </c>
      <c r="Q214" s="58" t="str">
        <f>IFERROR(VLOOKUP($B214,OverallResults!$B$3:$BB$492,16,FALSE),"")</f>
        <v>DNS/DNF ()</v>
      </c>
      <c r="R214" s="58" t="str">
        <f>IFERROR(VLOOKUP($B214,OverallResults!$B$3:$BB$492,17,FALSE),"")</f>
        <v>00:15:37.932</v>
      </c>
      <c r="S214" s="170" t="str">
        <f t="shared" si="6"/>
        <v>00:03</v>
      </c>
      <c r="T214" s="170" t="str">
        <f t="shared" si="7"/>
        <v>N/A</v>
      </c>
      <c r="U214" s="359" t="str">
        <f>IFERROR(VLOOKUP($D214,EntryList!$B$3:$S$291,18,FALSE),"")</f>
        <v/>
      </c>
      <c r="V214" s="359" t="str">
        <f>IFERROR(VLOOKUP($D214,EntryList!$B$3:$S$291,17,FALSE),"")</f>
        <v/>
      </c>
    </row>
    <row r="215" spans="2:22">
      <c r="B215" s="59">
        <v>210</v>
      </c>
      <c r="C215" s="59">
        <f>IFERROR(VLOOKUP($B215,OverallResults!$B$3:$Z$508,2,FALSE),"")</f>
        <v>43</v>
      </c>
      <c r="D215" s="149" t="str">
        <f>IFERROR(VLOOKUP($B215,OverallResults!$B$3:$Z$508,3,FALSE),"")</f>
        <v>John Kabalin</v>
      </c>
      <c r="E215" s="146">
        <f>IFERROR(VLOOKUP(C215,SeriesPoints!$A$2:$B$51,2,FALSE),"")</f>
        <v>8</v>
      </c>
      <c r="F215" s="148" t="str">
        <f>IFERROR(VLOOKUP($D215,EntryList!$B$3:$V$291,21,FALSE),"")</f>
        <v>-</v>
      </c>
      <c r="G215" s="100" t="str">
        <f>IFERROR(VLOOKUP($D215,EntryList!$B$3:$N$596,5,FALSE),"")</f>
        <v>M</v>
      </c>
      <c r="H215" s="145" t="str">
        <f>IFERROR(VLOOKUP($D215,EntryList!$B$3:$N$596,6,FALSE),"")</f>
        <v>Lite M</v>
      </c>
      <c r="I215" s="331">
        <f>IFERROR(VLOOKUP($B215,OverallResults!$B$3:$Z$492,8,FALSE),"")</f>
        <v>3</v>
      </c>
      <c r="J215" s="58" t="str">
        <f>IFERROR(VLOOKUP($B215,OverallResults!$B$3:$BB$492,9,FALSE),"")</f>
        <v>DNS/DNF ()</v>
      </c>
      <c r="K215" s="58" t="str">
        <f>IFERROR(VLOOKUP($B215,OverallResults!$B$3:$BB$492,10,FALSE),"")</f>
        <v>00:05:40.2 (237)</v>
      </c>
      <c r="L215" s="58" t="str">
        <f>IFERROR(VLOOKUP($B215,OverallResults!$B$3:$BB$492,11,FALSE),"")</f>
        <v>00:03:13.0 (219)</v>
      </c>
      <c r="M215" s="58" t="str">
        <f>IFERROR(VLOOKUP($B215,OverallResults!$B$3:$BB$492,12,FALSE),"")</f>
        <v>DNS/DNF ()</v>
      </c>
      <c r="N215" s="58" t="str">
        <f>IFERROR(VLOOKUP($B215,OverallResults!$B$3:$BB$492,13,FALSE),"")</f>
        <v>00:06:48.1 (210)</v>
      </c>
      <c r="O215" s="58" t="str">
        <f>IFERROR(VLOOKUP($B215,OverallResults!$B$3:$BB$492,14,FALSE),"")</f>
        <v>DNS/DNF ()</v>
      </c>
      <c r="P215" s="58" t="str">
        <f>IFERROR(VLOOKUP($B215,OverallResults!$B$3:$BB$492,15,FALSE),"")</f>
        <v>DNS/DNF ()</v>
      </c>
      <c r="Q215" s="58" t="str">
        <f>IFERROR(VLOOKUP($B215,OverallResults!$B$3:$BB$492,16,FALSE),"")</f>
        <v>DNS/DNF ()</v>
      </c>
      <c r="R215" s="58" t="str">
        <f>IFERROR(VLOOKUP($B215,OverallResults!$B$3:$BB$492,17,FALSE),"")</f>
        <v>00:15:41.359</v>
      </c>
      <c r="S215" s="170" t="str">
        <f t="shared" si="6"/>
        <v>00:03</v>
      </c>
      <c r="T215" s="170" t="str">
        <f t="shared" si="7"/>
        <v>N/A</v>
      </c>
      <c r="U215" s="359">
        <f>IFERROR(VLOOKUP($D215,EntryList!$B$3:$S$291,18,FALSE),"")</f>
        <v>0</v>
      </c>
      <c r="V215" s="359">
        <f>IFERROR(VLOOKUP($D215,EntryList!$B$3:$S$291,17,FALSE),"")</f>
        <v>0</v>
      </c>
    </row>
    <row r="216" spans="2:22">
      <c r="B216" s="59">
        <v>211</v>
      </c>
      <c r="C216" s="59">
        <f>IFERROR(VLOOKUP($B216,OverallResults!$B$3:$Z$508,2,FALSE),"")</f>
        <v>44</v>
      </c>
      <c r="D216" s="149" t="str">
        <f>IFERROR(VLOOKUP($B216,OverallResults!$B$3:$Z$508,3,FALSE),"")</f>
        <v>Dean Du Plooy</v>
      </c>
      <c r="E216" s="146">
        <f>IFERROR(VLOOKUP(C216,SeriesPoints!$A$2:$B$51,2,FALSE),"")</f>
        <v>7</v>
      </c>
      <c r="F216" s="148" t="str">
        <f>IFERROR(VLOOKUP($D216,EntryList!$B$3:$V$291,21,FALSE),"")</f>
        <v>-</v>
      </c>
      <c r="G216" s="100" t="str">
        <f>IFERROR(VLOOKUP($D216,EntryList!$B$3:$N$596,5,FALSE),"")</f>
        <v>M</v>
      </c>
      <c r="H216" s="145" t="str">
        <f>IFERROR(VLOOKUP($D216,EntryList!$B$3:$N$596,6,FALSE),"")</f>
        <v>Lite M</v>
      </c>
      <c r="I216" s="331">
        <f>IFERROR(VLOOKUP($B216,OverallResults!$B$3:$Z$492,8,FALSE),"")</f>
        <v>3</v>
      </c>
      <c r="J216" s="58" t="str">
        <f>IFERROR(VLOOKUP($B216,OverallResults!$B$3:$BB$492,9,FALSE),"")</f>
        <v>DNS/DNF ()</v>
      </c>
      <c r="K216" s="58" t="str">
        <f>IFERROR(VLOOKUP($B216,OverallResults!$B$3:$BB$492,10,FALSE),"")</f>
        <v>00:05:24.2 (223)</v>
      </c>
      <c r="L216" s="58" t="str">
        <f>IFERROR(VLOOKUP($B216,OverallResults!$B$3:$BB$492,11,FALSE),"")</f>
        <v>00:03:21.9 (228)</v>
      </c>
      <c r="M216" s="58" t="str">
        <f>IFERROR(VLOOKUP($B216,OverallResults!$B$3:$BB$492,12,FALSE),"")</f>
        <v>DNS/DNF ()</v>
      </c>
      <c r="N216" s="58" t="str">
        <f>IFERROR(VLOOKUP($B216,OverallResults!$B$3:$BB$492,13,FALSE),"")</f>
        <v>00:07:01.4 (217)</v>
      </c>
      <c r="O216" s="58" t="str">
        <f>IFERROR(VLOOKUP($B216,OverallResults!$B$3:$BB$492,14,FALSE),"")</f>
        <v>DNS/DNF ()</v>
      </c>
      <c r="P216" s="58" t="str">
        <f>IFERROR(VLOOKUP($B216,OverallResults!$B$3:$BB$492,15,FALSE),"")</f>
        <v>DNS/DNF ()</v>
      </c>
      <c r="Q216" s="58" t="str">
        <f>IFERROR(VLOOKUP($B216,OverallResults!$B$3:$BB$492,16,FALSE),"")</f>
        <v>DNS/DNF ()</v>
      </c>
      <c r="R216" s="58" t="str">
        <f>IFERROR(VLOOKUP($B216,OverallResults!$B$3:$BB$492,17,FALSE),"")</f>
        <v>00:15:47.514</v>
      </c>
      <c r="S216" s="170" t="str">
        <f t="shared" si="6"/>
        <v>00:06</v>
      </c>
      <c r="T216" s="170" t="str">
        <f t="shared" si="7"/>
        <v>N/A</v>
      </c>
      <c r="U216" s="359">
        <f>IFERROR(VLOOKUP($D216,EntryList!$B$3:$S$291,18,FALSE),"")</f>
        <v>0</v>
      </c>
      <c r="V216" s="359">
        <f>IFERROR(VLOOKUP($D216,EntryList!$B$3:$S$291,17,FALSE),"")</f>
        <v>0</v>
      </c>
    </row>
    <row r="217" spans="2:22">
      <c r="B217" s="59">
        <v>212</v>
      </c>
      <c r="C217" s="59">
        <f>IFERROR(VLOOKUP($B217,OverallResults!$B$3:$Z$508,2,FALSE),"")</f>
        <v>45</v>
      </c>
      <c r="D217" s="149" t="str">
        <f>IFERROR(VLOOKUP($B217,OverallResults!$B$3:$Z$508,3,FALSE),"")</f>
        <v>Alan Chait</v>
      </c>
      <c r="E217" s="146">
        <f>IFERROR(VLOOKUP(C217,SeriesPoints!$A$2:$B$51,2,FALSE),"")</f>
        <v>6</v>
      </c>
      <c r="F217" s="148" t="str">
        <f>IFERROR(VLOOKUP($D217,EntryList!$B$3:$V$291,21,FALSE),"")</f>
        <v>-</v>
      </c>
      <c r="G217" s="100" t="str">
        <f>IFERROR(VLOOKUP($D217,EntryList!$B$3:$N$596,5,FALSE),"")</f>
        <v>M</v>
      </c>
      <c r="H217" s="145" t="str">
        <f>IFERROR(VLOOKUP($D217,EntryList!$B$3:$N$596,6,FALSE),"")</f>
        <v>Lite M</v>
      </c>
      <c r="I217" s="331">
        <f>IFERROR(VLOOKUP($B217,OverallResults!$B$3:$Z$492,8,FALSE),"")</f>
        <v>3</v>
      </c>
      <c r="J217" s="58" t="str">
        <f>IFERROR(VLOOKUP($B217,OverallResults!$B$3:$BB$492,9,FALSE),"")</f>
        <v>DNS/DNF ()</v>
      </c>
      <c r="K217" s="58" t="str">
        <f>IFERROR(VLOOKUP($B217,OverallResults!$B$3:$BB$492,10,FALSE),"")</f>
        <v>00:05:57.3 (240)</v>
      </c>
      <c r="L217" s="58" t="str">
        <f>IFERROR(VLOOKUP($B217,OverallResults!$B$3:$BB$492,11,FALSE),"")</f>
        <v>00:03:30.4 (235)</v>
      </c>
      <c r="M217" s="58" t="str">
        <f>IFERROR(VLOOKUP($B217,OverallResults!$B$3:$BB$492,12,FALSE),"")</f>
        <v>DNS/DNF ()</v>
      </c>
      <c r="N217" s="58" t="str">
        <f>IFERROR(VLOOKUP($B217,OverallResults!$B$3:$BB$492,13,FALSE),"")</f>
        <v>00:06:21.7 (176)</v>
      </c>
      <c r="O217" s="58" t="str">
        <f>IFERROR(VLOOKUP($B217,OverallResults!$B$3:$BB$492,14,FALSE),"")</f>
        <v>DNS/DNF ()</v>
      </c>
      <c r="P217" s="58" t="str">
        <f>IFERROR(VLOOKUP($B217,OverallResults!$B$3:$BB$492,15,FALSE),"")</f>
        <v>DNS/DNF ()</v>
      </c>
      <c r="Q217" s="58" t="str">
        <f>IFERROR(VLOOKUP($B217,OverallResults!$B$3:$BB$492,16,FALSE),"")</f>
        <v>DNS/DNF ()</v>
      </c>
      <c r="R217" s="58" t="str">
        <f>IFERROR(VLOOKUP($B217,OverallResults!$B$3:$BB$492,17,FALSE),"")</f>
        <v>00:15:49.377</v>
      </c>
      <c r="S217" s="170" t="str">
        <f t="shared" si="6"/>
        <v>00:02</v>
      </c>
      <c r="T217" s="170" t="str">
        <f t="shared" si="7"/>
        <v>N/A</v>
      </c>
      <c r="U217" s="359">
        <f>IFERROR(VLOOKUP($D217,EntryList!$B$3:$S$291,18,FALSE),"")</f>
        <v>0</v>
      </c>
      <c r="V217" s="359">
        <f>IFERROR(VLOOKUP($D217,EntryList!$B$3:$S$291,17,FALSE),"")</f>
        <v>0</v>
      </c>
    </row>
    <row r="218" spans="2:22">
      <c r="B218" s="59">
        <v>213</v>
      </c>
      <c r="C218" s="59">
        <f>IFERROR(VLOOKUP($B218,OverallResults!$B$3:$Z$508,2,FALSE),"")</f>
        <v>46</v>
      </c>
      <c r="D218" s="149" t="str">
        <f>IFERROR(VLOOKUP($B218,OverallResults!$B$3:$Z$508,3,FALSE),"")</f>
        <v>Karl Van Niekerk</v>
      </c>
      <c r="E218" s="146">
        <f>IFERROR(VLOOKUP(C218,SeriesPoints!$A$2:$B$51,2,FALSE),"")</f>
        <v>5</v>
      </c>
      <c r="F218" s="148" t="str">
        <f>IFERROR(VLOOKUP($D218,EntryList!$B$3:$V$291,21,FALSE),"")</f>
        <v>-</v>
      </c>
      <c r="G218" s="100" t="str">
        <f>IFERROR(VLOOKUP($D218,EntryList!$B$3:$N$596,5,FALSE),"")</f>
        <v>M</v>
      </c>
      <c r="H218" s="145" t="str">
        <f>IFERROR(VLOOKUP($D218,EntryList!$B$3:$N$596,6,FALSE),"")</f>
        <v>Lite M</v>
      </c>
      <c r="I218" s="331">
        <f>IFERROR(VLOOKUP($B218,OverallResults!$B$3:$Z$492,8,FALSE),"")</f>
        <v>3</v>
      </c>
      <c r="J218" s="58" t="str">
        <f>IFERROR(VLOOKUP($B218,OverallResults!$B$3:$BB$492,9,FALSE),"")</f>
        <v>DNS/DNF ()</v>
      </c>
      <c r="K218" s="58" t="str">
        <f>IFERROR(VLOOKUP($B218,OverallResults!$B$3:$BB$492,10,FALSE),"")</f>
        <v>00:05:14.3 (215)</v>
      </c>
      <c r="L218" s="58" t="str">
        <f>IFERROR(VLOOKUP($B218,OverallResults!$B$3:$BB$492,11,FALSE),"")</f>
        <v>00:03:00.7 (208)</v>
      </c>
      <c r="M218" s="58" t="str">
        <f>IFERROR(VLOOKUP($B218,OverallResults!$B$3:$BB$492,12,FALSE),"")</f>
        <v>DNS/DNF ()</v>
      </c>
      <c r="N218" s="58" t="str">
        <f>IFERROR(VLOOKUP($B218,OverallResults!$B$3:$BB$492,13,FALSE),"")</f>
        <v>00:07:36.3 (231)</v>
      </c>
      <c r="O218" s="58" t="str">
        <f>IFERROR(VLOOKUP($B218,OverallResults!$B$3:$BB$492,14,FALSE),"")</f>
        <v>DNS/DNF ()</v>
      </c>
      <c r="P218" s="58" t="str">
        <f>IFERROR(VLOOKUP($B218,OverallResults!$B$3:$BB$492,15,FALSE),"")</f>
        <v>DNS/DNF ()</v>
      </c>
      <c r="Q218" s="58" t="str">
        <f>IFERROR(VLOOKUP($B218,OverallResults!$B$3:$BB$492,16,FALSE),"")</f>
        <v>DNS/DNF ()</v>
      </c>
      <c r="R218" s="58" t="str">
        <f>IFERROR(VLOOKUP($B218,OverallResults!$B$3:$BB$492,17,FALSE),"")</f>
        <v>00:15:51.309</v>
      </c>
      <c r="S218" s="170" t="str">
        <f t="shared" si="6"/>
        <v>00:02</v>
      </c>
      <c r="T218" s="170" t="str">
        <f t="shared" si="7"/>
        <v>N/A</v>
      </c>
      <c r="U218" s="359">
        <f>IFERROR(VLOOKUP($D218,EntryList!$B$3:$S$291,18,FALSE),"")</f>
        <v>0</v>
      </c>
      <c r="V218" s="359">
        <f>IFERROR(VLOOKUP($D218,EntryList!$B$3:$S$291,17,FALSE),"")</f>
        <v>0</v>
      </c>
    </row>
    <row r="219" spans="2:22">
      <c r="B219" s="59">
        <v>214</v>
      </c>
      <c r="C219" s="59">
        <f>IFERROR(VLOOKUP($B219,OverallResults!$B$3:$Z$508,2,FALSE),"")</f>
        <v>9</v>
      </c>
      <c r="D219" s="149" t="str">
        <f>IFERROR(VLOOKUP($B219,OverallResults!$B$3:$Z$508,3,FALSE),"")</f>
        <v>Samantha Sharp</v>
      </c>
      <c r="E219" s="146">
        <f>IFERROR(VLOOKUP(C219,SeriesPoints!$A$2:$B$51,2,FALSE),"")</f>
        <v>105</v>
      </c>
      <c r="F219" s="148" t="str">
        <f>IFERROR(VLOOKUP($D219,EntryList!$B$3:$V$291,21,FALSE),"")</f>
        <v>-</v>
      </c>
      <c r="G219" s="100" t="str">
        <f>IFERROR(VLOOKUP($D219,EntryList!$B$3:$N$596,5,FALSE),"")</f>
        <v>F</v>
      </c>
      <c r="H219" s="145" t="str">
        <f>IFERROR(VLOOKUP($D219,EntryList!$B$3:$N$596,6,FALSE),"")</f>
        <v>Lite F</v>
      </c>
      <c r="I219" s="331">
        <f>IFERROR(VLOOKUP($B219,OverallResults!$B$3:$Z$492,8,FALSE),"")</f>
        <v>3</v>
      </c>
      <c r="J219" s="58" t="str">
        <f>IFERROR(VLOOKUP($B219,OverallResults!$B$3:$BB$492,9,FALSE),"")</f>
        <v>DNS/DNF ()</v>
      </c>
      <c r="K219" s="58" t="str">
        <f>IFERROR(VLOOKUP($B219,OverallResults!$B$3:$BB$492,10,FALSE),"")</f>
        <v>00:05:35.2 (235)</v>
      </c>
      <c r="L219" s="58" t="str">
        <f>IFERROR(VLOOKUP($B219,OverallResults!$B$3:$BB$492,11,FALSE),"")</f>
        <v>00:03:12.7 (218)</v>
      </c>
      <c r="M219" s="58" t="str">
        <f>IFERROR(VLOOKUP($B219,OverallResults!$B$3:$BB$492,12,FALSE),"")</f>
        <v>DNS/DNF ()</v>
      </c>
      <c r="N219" s="58" t="str">
        <f>IFERROR(VLOOKUP($B219,OverallResults!$B$3:$BB$492,13,FALSE),"")</f>
        <v>00:07:09.3 (220)</v>
      </c>
      <c r="O219" s="58" t="str">
        <f>IFERROR(VLOOKUP($B219,OverallResults!$B$3:$BB$492,14,FALSE),"")</f>
        <v>DNS/DNF ()</v>
      </c>
      <c r="P219" s="58" t="str">
        <f>IFERROR(VLOOKUP($B219,OverallResults!$B$3:$BB$492,15,FALSE),"")</f>
        <v>DNS/DNF ()</v>
      </c>
      <c r="Q219" s="58" t="str">
        <f>IFERROR(VLOOKUP($B219,OverallResults!$B$3:$BB$492,16,FALSE),"")</f>
        <v>DNS/DNF ()</v>
      </c>
      <c r="R219" s="58" t="str">
        <f>IFERROR(VLOOKUP($B219,OverallResults!$B$3:$BB$492,17,FALSE),"")</f>
        <v>00:15:57.169</v>
      </c>
      <c r="S219" s="170" t="str">
        <f t="shared" si="6"/>
        <v>00:06</v>
      </c>
      <c r="T219" s="170" t="str">
        <f t="shared" si="7"/>
        <v>N/A</v>
      </c>
      <c r="U219" s="359">
        <f>IFERROR(VLOOKUP($D219,EntryList!$B$3:$S$291,18,FALSE),"")</f>
        <v>0</v>
      </c>
      <c r="V219" s="359">
        <f>IFERROR(VLOOKUP($D219,EntryList!$B$3:$S$291,17,FALSE),"")</f>
        <v>0</v>
      </c>
    </row>
    <row r="220" spans="2:22">
      <c r="B220" s="59">
        <v>215</v>
      </c>
      <c r="C220" s="59">
        <f>IFERROR(VLOOKUP($B220,OverallResults!$B$3:$Z$508,2,FALSE),"")</f>
        <v>47</v>
      </c>
      <c r="D220" s="149" t="str">
        <f>IFERROR(VLOOKUP($B220,OverallResults!$B$3:$Z$508,3,FALSE),"")</f>
        <v>Dacre Ewan</v>
      </c>
      <c r="E220" s="146">
        <f>IFERROR(VLOOKUP(C220,SeriesPoints!$A$2:$B$51,2,FALSE),"")</f>
        <v>4</v>
      </c>
      <c r="F220" s="148" t="str">
        <f>IFERROR(VLOOKUP($D220,EntryList!$B$3:$V$291,21,FALSE),"")</f>
        <v>-</v>
      </c>
      <c r="G220" s="100" t="str">
        <f>IFERROR(VLOOKUP($D220,EntryList!$B$3:$N$596,5,FALSE),"")</f>
        <v>M</v>
      </c>
      <c r="H220" s="145" t="str">
        <f>IFERROR(VLOOKUP($D220,EntryList!$B$3:$N$596,6,FALSE),"")</f>
        <v>Lite M</v>
      </c>
      <c r="I220" s="331">
        <f>IFERROR(VLOOKUP($B220,OverallResults!$B$3:$Z$492,8,FALSE),"")</f>
        <v>3</v>
      </c>
      <c r="J220" s="58" t="str">
        <f>IFERROR(VLOOKUP($B220,OverallResults!$B$3:$BB$492,9,FALSE),"")</f>
        <v>DNS/DNF ()</v>
      </c>
      <c r="K220" s="58" t="str">
        <f>IFERROR(VLOOKUP($B220,OverallResults!$B$3:$BB$492,10,FALSE),"")</f>
        <v>00:05:29.0 (227)</v>
      </c>
      <c r="L220" s="58" t="str">
        <f>IFERROR(VLOOKUP($B220,OverallResults!$B$3:$BB$492,11,FALSE),"")</f>
        <v>00:03:27.4 (231)</v>
      </c>
      <c r="M220" s="58" t="str">
        <f>IFERROR(VLOOKUP($B220,OverallResults!$B$3:$BB$492,12,FALSE),"")</f>
        <v>DNS/DNF ()</v>
      </c>
      <c r="N220" s="58" t="str">
        <f>IFERROR(VLOOKUP($B220,OverallResults!$B$3:$BB$492,13,FALSE),"")</f>
        <v>00:07:06.7 (219)</v>
      </c>
      <c r="O220" s="58" t="str">
        <f>IFERROR(VLOOKUP($B220,OverallResults!$B$3:$BB$492,14,FALSE),"")</f>
        <v>DNS/DNF ()</v>
      </c>
      <c r="P220" s="58" t="str">
        <f>IFERROR(VLOOKUP($B220,OverallResults!$B$3:$BB$492,15,FALSE),"")</f>
        <v>DNS/DNF ()</v>
      </c>
      <c r="Q220" s="58" t="str">
        <f>IFERROR(VLOOKUP($B220,OverallResults!$B$3:$BB$492,16,FALSE),"")</f>
        <v>DNS/DNF ()</v>
      </c>
      <c r="R220" s="58" t="str">
        <f>IFERROR(VLOOKUP($B220,OverallResults!$B$3:$BB$492,17,FALSE),"")</f>
        <v>00:16:03.132</v>
      </c>
      <c r="S220" s="170" t="str">
        <f t="shared" si="6"/>
        <v>00:06</v>
      </c>
      <c r="T220" s="170" t="str">
        <f t="shared" si="7"/>
        <v>N/A</v>
      </c>
      <c r="U220" s="359">
        <f>IFERROR(VLOOKUP($D220,EntryList!$B$3:$S$291,18,FALSE),"")</f>
        <v>0</v>
      </c>
      <c r="V220" s="359">
        <f>IFERROR(VLOOKUP($D220,EntryList!$B$3:$S$291,17,FALSE),"")</f>
        <v>0</v>
      </c>
    </row>
    <row r="221" spans="2:22">
      <c r="B221" s="59">
        <v>216</v>
      </c>
      <c r="C221" s="59">
        <f>IFERROR(VLOOKUP($B221,OverallResults!$B$3:$Z$508,2,FALSE),"")</f>
        <v>16</v>
      </c>
      <c r="D221" s="149" t="str">
        <f>IFERROR(VLOOKUP($B221,OverallResults!$B$3:$Z$508,3,FALSE),"")</f>
        <v>Gean Boegman</v>
      </c>
      <c r="E221" s="146">
        <f>IFERROR(VLOOKUP(C221,SeriesPoints!$A$2:$B$51,2,FALSE),"")</f>
        <v>76</v>
      </c>
      <c r="F221" s="148" t="str">
        <f>IFERROR(VLOOKUP($D221,EntryList!$B$3:$V$291,21,FALSE),"")</f>
        <v>-</v>
      </c>
      <c r="G221" s="100" t="str">
        <f>IFERROR(VLOOKUP($D221,EntryList!$B$3:$N$596,5,FALSE),"")</f>
        <v>M</v>
      </c>
      <c r="H221" s="145" t="str">
        <f>IFERROR(VLOOKUP($D221,EntryList!$B$3:$N$596,6,FALSE),"")</f>
        <v>Sub Junior Boys</v>
      </c>
      <c r="I221" s="331">
        <f>IFERROR(VLOOKUP($B221,OverallResults!$B$3:$Z$492,8,FALSE),"")</f>
        <v>3</v>
      </c>
      <c r="J221" s="58" t="str">
        <f>IFERROR(VLOOKUP($B221,OverallResults!$B$3:$BB$492,9,FALSE),"")</f>
        <v>DNS/DNF ()</v>
      </c>
      <c r="K221" s="58" t="str">
        <f>IFERROR(VLOOKUP($B221,OverallResults!$B$3:$BB$492,10,FALSE),"")</f>
        <v>00:05:53.6 (239)</v>
      </c>
      <c r="L221" s="58" t="str">
        <f>IFERROR(VLOOKUP($B221,OverallResults!$B$3:$BB$492,11,FALSE),"")</f>
        <v>00:03:35.1 (237)</v>
      </c>
      <c r="M221" s="58" t="str">
        <f>IFERROR(VLOOKUP($B221,OverallResults!$B$3:$BB$492,12,FALSE),"")</f>
        <v>DNS/DNF ()</v>
      </c>
      <c r="N221" s="58" t="str">
        <f>IFERROR(VLOOKUP($B221,OverallResults!$B$3:$BB$492,13,FALSE),"")</f>
        <v>00:07:09.8 (222)</v>
      </c>
      <c r="O221" s="58" t="str">
        <f>IFERROR(VLOOKUP($B221,OverallResults!$B$3:$BB$492,14,FALSE),"")</f>
        <v>DNS/DNF ()</v>
      </c>
      <c r="P221" s="58" t="str">
        <f>IFERROR(VLOOKUP($B221,OverallResults!$B$3:$BB$492,15,FALSE),"")</f>
        <v>DNS/DNF ()</v>
      </c>
      <c r="Q221" s="58" t="str">
        <f>IFERROR(VLOOKUP($B221,OverallResults!$B$3:$BB$492,16,FALSE),"")</f>
        <v>DNS/DNF ()</v>
      </c>
      <c r="R221" s="58" t="str">
        <f>IFERROR(VLOOKUP($B221,OverallResults!$B$3:$BB$492,17,FALSE),"")</f>
        <v>00:16:38.453</v>
      </c>
      <c r="S221" s="170" t="str">
        <f t="shared" si="6"/>
        <v>00:35</v>
      </c>
      <c r="T221" s="170" t="str">
        <f t="shared" si="7"/>
        <v>N/A</v>
      </c>
      <c r="U221" s="359">
        <f>IFERROR(VLOOKUP($D221,EntryList!$B$3:$S$291,18,FALSE),"")</f>
        <v>0</v>
      </c>
      <c r="V221" s="359">
        <f>IFERROR(VLOOKUP($D221,EntryList!$B$3:$S$291,17,FALSE),"")</f>
        <v>0</v>
      </c>
    </row>
    <row r="222" spans="2:22">
      <c r="B222" s="59">
        <v>217</v>
      </c>
      <c r="C222" s="59">
        <f>IFERROR(VLOOKUP($B222,OverallResults!$B$3:$Z$508,2,FALSE),"")</f>
        <v>48</v>
      </c>
      <c r="D222" s="149" t="str">
        <f>IFERROR(VLOOKUP($B222,OverallResults!$B$3:$Z$508,3,FALSE),"")</f>
        <v>Daryn Clark</v>
      </c>
      <c r="E222" s="146">
        <f>IFERROR(VLOOKUP(C222,SeriesPoints!$A$2:$B$51,2,FALSE),"")</f>
        <v>3</v>
      </c>
      <c r="F222" s="148" t="str">
        <f>IFERROR(VLOOKUP($D222,EntryList!$B$3:$V$291,21,FALSE),"")</f>
        <v>-</v>
      </c>
      <c r="G222" s="100" t="str">
        <f>IFERROR(VLOOKUP($D222,EntryList!$B$3:$N$596,5,FALSE),"")</f>
        <v>M</v>
      </c>
      <c r="H222" s="145" t="str">
        <f>IFERROR(VLOOKUP($D222,EntryList!$B$3:$N$596,6,FALSE),"")</f>
        <v>Lite M</v>
      </c>
      <c r="I222" s="331">
        <f>IFERROR(VLOOKUP($B222,OverallResults!$B$3:$Z$492,8,FALSE),"")</f>
        <v>3</v>
      </c>
      <c r="J222" s="58" t="str">
        <f>IFERROR(VLOOKUP($B222,OverallResults!$B$3:$BB$492,9,FALSE),"")</f>
        <v>00:08:00.7 (138)</v>
      </c>
      <c r="K222" s="58" t="str">
        <f>IFERROR(VLOOKUP($B222,OverallResults!$B$3:$BB$492,10,FALSE),"")</f>
        <v>00:05:31.5 (231)</v>
      </c>
      <c r="L222" s="58" t="str">
        <f>IFERROR(VLOOKUP($B222,OverallResults!$B$3:$BB$492,11,FALSE),"")</f>
        <v>00:03:11.7 (217)</v>
      </c>
      <c r="M222" s="58" t="str">
        <f>IFERROR(VLOOKUP($B222,OverallResults!$B$3:$BB$492,12,FALSE),"")</f>
        <v>DNS/DNF ()</v>
      </c>
      <c r="N222" s="58" t="str">
        <f>IFERROR(VLOOKUP($B222,OverallResults!$B$3:$BB$492,13,FALSE),"")</f>
        <v>DNS/DNF ()</v>
      </c>
      <c r="O222" s="58" t="str">
        <f>IFERROR(VLOOKUP($B222,OverallResults!$B$3:$BB$492,14,FALSE),"")</f>
        <v>DNS/DNF ()</v>
      </c>
      <c r="P222" s="58" t="str">
        <f>IFERROR(VLOOKUP($B222,OverallResults!$B$3:$BB$492,15,FALSE),"")</f>
        <v>DNS/DNF ()</v>
      </c>
      <c r="Q222" s="58" t="str">
        <f>IFERROR(VLOOKUP($B222,OverallResults!$B$3:$BB$492,16,FALSE),"")</f>
        <v>DNS/DNF ()</v>
      </c>
      <c r="R222" s="58" t="str">
        <f>IFERROR(VLOOKUP($B222,OverallResults!$B$3:$BB$492,17,FALSE),"")</f>
        <v>00:16:43.938</v>
      </c>
      <c r="S222" s="170" t="str">
        <f t="shared" si="6"/>
        <v>00:05</v>
      </c>
      <c r="T222" s="170" t="str">
        <f t="shared" si="7"/>
        <v>N/A</v>
      </c>
      <c r="U222" s="359" t="str">
        <f>IFERROR(VLOOKUP($D222,EntryList!$B$3:$S$291,18,FALSE),"")</f>
        <v/>
      </c>
      <c r="V222" s="359" t="str">
        <f>IFERROR(VLOOKUP($D222,EntryList!$B$3:$S$291,17,FALSE),"")</f>
        <v/>
      </c>
    </row>
    <row r="223" spans="2:22">
      <c r="B223" s="59">
        <v>218</v>
      </c>
      <c r="C223" s="59">
        <f>IFERROR(VLOOKUP($B223,OverallResults!$B$3:$Z$508,2,FALSE),"")</f>
        <v>49</v>
      </c>
      <c r="D223" s="149" t="str">
        <f>IFERROR(VLOOKUP($B223,OverallResults!$B$3:$Z$508,3,FALSE),"")</f>
        <v>Ozair Hanware</v>
      </c>
      <c r="E223" s="146">
        <f>IFERROR(VLOOKUP(C223,SeriesPoints!$A$2:$B$51,2,FALSE),"")</f>
        <v>2</v>
      </c>
      <c r="F223" s="148" t="str">
        <f>IFERROR(VLOOKUP($D223,EntryList!$B$3:$V$291,21,FALSE),"")</f>
        <v>-</v>
      </c>
      <c r="G223" s="100" t="str">
        <f>IFERROR(VLOOKUP($D223,EntryList!$B$3:$N$596,5,FALSE),"")</f>
        <v>M</v>
      </c>
      <c r="H223" s="145" t="str">
        <f>IFERROR(VLOOKUP($D223,EntryList!$B$3:$N$596,6,FALSE),"")</f>
        <v>Lite M</v>
      </c>
      <c r="I223" s="331">
        <f>IFERROR(VLOOKUP($B223,OverallResults!$B$3:$Z$492,8,FALSE),"")</f>
        <v>3</v>
      </c>
      <c r="J223" s="58" t="str">
        <f>IFERROR(VLOOKUP($B223,OverallResults!$B$3:$BB$492,9,FALSE),"")</f>
        <v>DNS/DNF ()</v>
      </c>
      <c r="K223" s="58" t="str">
        <f>IFERROR(VLOOKUP($B223,OverallResults!$B$3:$BB$492,10,FALSE),"")</f>
        <v>00:05:27.0 (226)</v>
      </c>
      <c r="L223" s="58" t="str">
        <f>IFERROR(VLOOKUP($B223,OverallResults!$B$3:$BB$492,11,FALSE),"")</f>
        <v>00:04:05.3 (242)</v>
      </c>
      <c r="M223" s="58" t="str">
        <f>IFERROR(VLOOKUP($B223,OverallResults!$B$3:$BB$492,12,FALSE),"")</f>
        <v>DNS/DNF ()</v>
      </c>
      <c r="N223" s="58" t="str">
        <f>IFERROR(VLOOKUP($B223,OverallResults!$B$3:$BB$492,13,FALSE),"")</f>
        <v>00:07:19.3 (225)</v>
      </c>
      <c r="O223" s="58" t="str">
        <f>IFERROR(VLOOKUP($B223,OverallResults!$B$3:$BB$492,14,FALSE),"")</f>
        <v>DNS/DNF ()</v>
      </c>
      <c r="P223" s="58" t="str">
        <f>IFERROR(VLOOKUP($B223,OverallResults!$B$3:$BB$492,15,FALSE),"")</f>
        <v>DNS/DNF ()</v>
      </c>
      <c r="Q223" s="58" t="str">
        <f>IFERROR(VLOOKUP($B223,OverallResults!$B$3:$BB$492,16,FALSE),"")</f>
        <v>DNS/DNF ()</v>
      </c>
      <c r="R223" s="58" t="str">
        <f>IFERROR(VLOOKUP($B223,OverallResults!$B$3:$BB$492,17,FALSE),"")</f>
        <v>00:16:51.654</v>
      </c>
      <c r="S223" s="170" t="str">
        <f t="shared" si="6"/>
        <v>00:08</v>
      </c>
      <c r="T223" s="170" t="str">
        <f t="shared" si="7"/>
        <v>00:02</v>
      </c>
      <c r="U223" s="359">
        <f>IFERROR(VLOOKUP($D223,EntryList!$B$3:$S$291,18,FALSE),"")</f>
        <v>0</v>
      </c>
      <c r="V223" s="359">
        <f>IFERROR(VLOOKUP($D223,EntryList!$B$3:$S$291,17,FALSE),"")</f>
        <v>0</v>
      </c>
    </row>
    <row r="224" spans="2:22">
      <c r="B224" s="59">
        <v>219</v>
      </c>
      <c r="C224" s="59">
        <f>IFERROR(VLOOKUP($B224,OverallResults!$B$3:$Z$508,2,FALSE),"")</f>
        <v>50</v>
      </c>
      <c r="D224" s="149" t="str">
        <f>IFERROR(VLOOKUP($B224,OverallResults!$B$3:$Z$508,3,FALSE),"")</f>
        <v>Mario Abrahams</v>
      </c>
      <c r="E224" s="146">
        <f>IFERROR(VLOOKUP(C224,SeriesPoints!$A$2:$B$51,2,FALSE),"")</f>
        <v>1</v>
      </c>
      <c r="F224" s="148" t="str">
        <f>IFERROR(VLOOKUP($D224,EntryList!$B$3:$V$291,21,FALSE),"")</f>
        <v>-</v>
      </c>
      <c r="G224" s="100" t="str">
        <f>IFERROR(VLOOKUP($D224,EntryList!$B$3:$N$596,5,FALSE),"")</f>
        <v>M</v>
      </c>
      <c r="H224" s="145" t="str">
        <f>IFERROR(VLOOKUP($D224,EntryList!$B$3:$N$596,6,FALSE),"")</f>
        <v>Lite M</v>
      </c>
      <c r="I224" s="331">
        <f>IFERROR(VLOOKUP($B224,OverallResults!$B$3:$Z$492,8,FALSE),"")</f>
        <v>3</v>
      </c>
      <c r="J224" s="58" t="str">
        <f>IFERROR(VLOOKUP($B224,OverallResults!$B$3:$BB$492,9,FALSE),"")</f>
        <v>DNS/DNF ()</v>
      </c>
      <c r="K224" s="58" t="str">
        <f>IFERROR(VLOOKUP($B224,OverallResults!$B$3:$BB$492,10,FALSE),"")</f>
        <v>00:05:45.4 (238)</v>
      </c>
      <c r="L224" s="58" t="str">
        <f>IFERROR(VLOOKUP($B224,OverallResults!$B$3:$BB$492,11,FALSE),"")</f>
        <v>00:03:37.8 (239)</v>
      </c>
      <c r="M224" s="58" t="str">
        <f>IFERROR(VLOOKUP($B224,OverallResults!$B$3:$BB$492,12,FALSE),"")</f>
        <v>DNS/DNF ()</v>
      </c>
      <c r="N224" s="58" t="str">
        <f>IFERROR(VLOOKUP($B224,OverallResults!$B$3:$BB$492,13,FALSE),"")</f>
        <v>00:07:42.0 (232)</v>
      </c>
      <c r="O224" s="58" t="str">
        <f>IFERROR(VLOOKUP($B224,OverallResults!$B$3:$BB$492,14,FALSE),"")</f>
        <v>DNS/DNF ()</v>
      </c>
      <c r="P224" s="58" t="str">
        <f>IFERROR(VLOOKUP($B224,OverallResults!$B$3:$BB$492,15,FALSE),"")</f>
        <v>DNS/DNF ()</v>
      </c>
      <c r="Q224" s="58" t="str">
        <f>IFERROR(VLOOKUP($B224,OverallResults!$B$3:$BB$492,16,FALSE),"")</f>
        <v>DNS/DNF ()</v>
      </c>
      <c r="R224" s="58" t="str">
        <f>IFERROR(VLOOKUP($B224,OverallResults!$B$3:$BB$492,17,FALSE),"")</f>
        <v>00:17:05.235</v>
      </c>
      <c r="S224" s="170" t="str">
        <f t="shared" si="6"/>
        <v>00:14</v>
      </c>
      <c r="T224" s="170" t="str">
        <f t="shared" si="7"/>
        <v>00:15</v>
      </c>
      <c r="U224" s="359">
        <f>IFERROR(VLOOKUP($D224,EntryList!$B$3:$S$291,18,FALSE),"")</f>
        <v>0</v>
      </c>
      <c r="V224" s="359">
        <f>IFERROR(VLOOKUP($D224,EntryList!$B$3:$S$291,17,FALSE),"")</f>
        <v>0</v>
      </c>
    </row>
    <row r="225" spans="2:22">
      <c r="B225" s="59">
        <v>220</v>
      </c>
      <c r="C225" s="59">
        <f>IFERROR(VLOOKUP($B225,OverallResults!$B$3:$Z$508,2,FALSE),"")</f>
        <v>17</v>
      </c>
      <c r="D225" s="149" t="str">
        <f>IFERROR(VLOOKUP($B225,OverallResults!$B$3:$Z$508,3,FALSE),"")</f>
        <v>Michael Yeates</v>
      </c>
      <c r="E225" s="146">
        <f>IFERROR(VLOOKUP(C225,SeriesPoints!$A$2:$B$51,2,FALSE),"")</f>
        <v>72</v>
      </c>
      <c r="F225" s="148" t="str">
        <f>IFERROR(VLOOKUP($D225,EntryList!$B$3:$V$291,21,FALSE),"")</f>
        <v>-</v>
      </c>
      <c r="G225" s="100" t="str">
        <f>IFERROR(VLOOKUP($D225,EntryList!$B$3:$N$596,5,FALSE),"")</f>
        <v>M</v>
      </c>
      <c r="H225" s="145" t="str">
        <f>IFERROR(VLOOKUP($D225,EntryList!$B$3:$N$596,6,FALSE),"")</f>
        <v>Sub Junior Boys</v>
      </c>
      <c r="I225" s="331">
        <f>IFERROR(VLOOKUP($B225,OverallResults!$B$3:$Z$492,8,FALSE),"")</f>
        <v>3</v>
      </c>
      <c r="J225" s="58" t="str">
        <f>IFERROR(VLOOKUP($B225,OverallResults!$B$3:$BB$492,9,FALSE),"")</f>
        <v>DNS/DNF ()</v>
      </c>
      <c r="K225" s="58" t="str">
        <f>IFERROR(VLOOKUP($B225,OverallResults!$B$3:$BB$492,10,FALSE),"")</f>
        <v>00:06:12.2 (244)</v>
      </c>
      <c r="L225" s="58" t="str">
        <f>IFERROR(VLOOKUP($B225,OverallResults!$B$3:$BB$492,11,FALSE),"")</f>
        <v>00:03:28.4 (233)</v>
      </c>
      <c r="M225" s="58" t="str">
        <f>IFERROR(VLOOKUP($B225,OverallResults!$B$3:$BB$492,12,FALSE),"")</f>
        <v>DNS/DNF ()</v>
      </c>
      <c r="N225" s="58" t="str">
        <f>IFERROR(VLOOKUP($B225,OverallResults!$B$3:$BB$492,13,FALSE),"")</f>
        <v>00:07:29.4 (230)</v>
      </c>
      <c r="O225" s="58" t="str">
        <f>IFERROR(VLOOKUP($B225,OverallResults!$B$3:$BB$492,14,FALSE),"")</f>
        <v>DNS/DNF ()</v>
      </c>
      <c r="P225" s="58" t="str">
        <f>IFERROR(VLOOKUP($B225,OverallResults!$B$3:$BB$492,15,FALSE),"")</f>
        <v>DNS/DNF ()</v>
      </c>
      <c r="Q225" s="58" t="str">
        <f>IFERROR(VLOOKUP($B225,OverallResults!$B$3:$BB$492,16,FALSE),"")</f>
        <v>DNS/DNF ()</v>
      </c>
      <c r="R225" s="58" t="str">
        <f>IFERROR(VLOOKUP($B225,OverallResults!$B$3:$BB$492,17,FALSE),"")</f>
        <v>00:17:09.960</v>
      </c>
      <c r="S225" s="170" t="str">
        <f>IFERROR(TEXT(($R225-$R232),"mm:ss"),"N/A")</f>
        <v>N/A</v>
      </c>
      <c r="T225" s="170" t="str">
        <f>IF($I225-$I232&lt;0,"N/A",IFERROR(TEXT(($R225-$R$6),"mm:ss"),"N/A"))</f>
        <v>00:20</v>
      </c>
      <c r="U225" s="359">
        <f>IFERROR(VLOOKUP($D225,EntryList!$B$3:$S$291,18,FALSE),"")</f>
        <v>0</v>
      </c>
      <c r="V225" s="359">
        <f>IFERROR(VLOOKUP($D225,EntryList!$B$3:$S$291,17,FALSE),"")</f>
        <v>0</v>
      </c>
    </row>
    <row r="226" spans="2:22">
      <c r="B226" s="59">
        <v>221</v>
      </c>
      <c r="C226" s="59">
        <f>IFERROR(VLOOKUP($B226,OverallResults!$B$3:$Z$508,2,FALSE),"")</f>
        <v>8</v>
      </c>
      <c r="D226" s="149" t="str">
        <f>IFERROR(VLOOKUP($B226,OverallResults!$B$3:$Z$508,3,FALSE),"")</f>
        <v>Thaabit Toefy</v>
      </c>
      <c r="E226" s="146">
        <f>IFERROR(VLOOKUP(C226,SeriesPoints!$A$2:$B$51,2,FALSE),"")</f>
        <v>110</v>
      </c>
      <c r="F226" s="148" t="str">
        <f>IFERROR(VLOOKUP($D226,EntryList!$B$3:$V$291,21,FALSE),"")</f>
        <v>-</v>
      </c>
      <c r="G226" s="100" t="str">
        <f>IFERROR(VLOOKUP($D226,EntryList!$B$3:$N$596,5,FALSE),"")</f>
        <v>M</v>
      </c>
      <c r="H226" s="145" t="str">
        <f>IFERROR(VLOOKUP($D226,EntryList!$B$3:$N$596,6,FALSE),"")</f>
        <v>E-Bike Lite M</v>
      </c>
      <c r="I226" s="331">
        <f>IFERROR(VLOOKUP($B226,OverallResults!$B$3:$Z$492,8,FALSE),"")</f>
        <v>3</v>
      </c>
      <c r="J226" s="58" t="str">
        <f>IFERROR(VLOOKUP($B226,OverallResults!$B$3:$BB$492,9,FALSE),"")</f>
        <v>DNS/DNF ()</v>
      </c>
      <c r="K226" s="58" t="str">
        <f>IFERROR(VLOOKUP($B226,OverallResults!$B$3:$BB$492,10,FALSE),"")</f>
        <v>00:06:28.3 (249)</v>
      </c>
      <c r="L226" s="58" t="str">
        <f>IFERROR(VLOOKUP($B226,OverallResults!$B$3:$BB$492,11,FALSE),"")</f>
        <v>00:03:16.9 (224)</v>
      </c>
      <c r="M226" s="58" t="str">
        <f>IFERROR(VLOOKUP($B226,OverallResults!$B$3:$BB$492,12,FALSE),"")</f>
        <v>DNS/DNF ()</v>
      </c>
      <c r="N226" s="58" t="str">
        <f>IFERROR(VLOOKUP($B226,OverallResults!$B$3:$BB$492,13,FALSE),"")</f>
        <v>00:07:25.5 (228)</v>
      </c>
      <c r="O226" s="58" t="str">
        <f>IFERROR(VLOOKUP($B226,OverallResults!$B$3:$BB$492,14,FALSE),"")</f>
        <v>DNS/DNF ()</v>
      </c>
      <c r="P226" s="58" t="str">
        <f>IFERROR(VLOOKUP($B226,OverallResults!$B$3:$BB$492,15,FALSE),"")</f>
        <v>DNS/DNF ()</v>
      </c>
      <c r="Q226" s="58" t="str">
        <f>IFERROR(VLOOKUP($B226,OverallResults!$B$3:$BB$492,16,FALSE),"")</f>
        <v>DNS/DNF ()</v>
      </c>
      <c r="R226" s="58" t="str">
        <f>IFERROR(VLOOKUP($B226,OverallResults!$B$3:$BB$492,17,FALSE),"")</f>
        <v>00:17:10.740</v>
      </c>
      <c r="S226" s="170" t="str">
        <f t="shared" si="6"/>
        <v>00:01</v>
      </c>
      <c r="T226" s="170" t="str">
        <f t="shared" si="7"/>
        <v>00:21</v>
      </c>
      <c r="U226" s="359">
        <f>IFERROR(VLOOKUP($D226,EntryList!$B$3:$S$291,18,FALSE),"")</f>
        <v>0</v>
      </c>
      <c r="V226" s="359">
        <f>IFERROR(VLOOKUP($D226,EntryList!$B$3:$S$291,17,FALSE),"")</f>
        <v>0</v>
      </c>
    </row>
    <row r="227" spans="2:22">
      <c r="B227" s="59">
        <v>222</v>
      </c>
      <c r="C227" s="59">
        <f>IFERROR(VLOOKUP($B227,OverallResults!$B$3:$Z$508,2,FALSE),"")</f>
        <v>51</v>
      </c>
      <c r="D227" s="149" t="str">
        <f>IFERROR(VLOOKUP($B227,OverallResults!$B$3:$Z$508,3,FALSE),"")</f>
        <v>Brian America</v>
      </c>
      <c r="E227" s="146" t="str">
        <f>IFERROR(VLOOKUP(C227,SeriesPoints!$A$2:$B$51,2,FALSE),"")</f>
        <v/>
      </c>
      <c r="F227" s="148" t="str">
        <f>IFERROR(VLOOKUP($D227,EntryList!$B$3:$V$291,21,FALSE),"")</f>
        <v>-</v>
      </c>
      <c r="G227" s="100" t="str">
        <f>IFERROR(VLOOKUP($D227,EntryList!$B$3:$N$596,5,FALSE),"")</f>
        <v>M</v>
      </c>
      <c r="H227" s="145" t="str">
        <f>IFERROR(VLOOKUP($D227,EntryList!$B$3:$N$596,6,FALSE),"")</f>
        <v>Lite M</v>
      </c>
      <c r="I227" s="331">
        <f>IFERROR(VLOOKUP($B227,OverallResults!$B$3:$Z$492,8,FALSE),"")</f>
        <v>3</v>
      </c>
      <c r="J227" s="58" t="str">
        <f>IFERROR(VLOOKUP($B227,OverallResults!$B$3:$BB$492,9,FALSE),"")</f>
        <v>DNS/DNF ()</v>
      </c>
      <c r="K227" s="58" t="str">
        <f>IFERROR(VLOOKUP($B227,OverallResults!$B$3:$BB$492,10,FALSE),"")</f>
        <v>00:06:50.8 (250)</v>
      </c>
      <c r="L227" s="58" t="str">
        <f>IFERROR(VLOOKUP($B227,OverallResults!$B$3:$BB$492,11,FALSE),"")</f>
        <v>00:03:35.2 (238)</v>
      </c>
      <c r="M227" s="58" t="str">
        <f>IFERROR(VLOOKUP($B227,OverallResults!$B$3:$BB$492,12,FALSE),"")</f>
        <v>DNS/DNF ()</v>
      </c>
      <c r="N227" s="58" t="str">
        <f>IFERROR(VLOOKUP($B227,OverallResults!$B$3:$BB$492,13,FALSE),"")</f>
        <v>00:07:24.4 (227)</v>
      </c>
      <c r="O227" s="58" t="str">
        <f>IFERROR(VLOOKUP($B227,OverallResults!$B$3:$BB$492,14,FALSE),"")</f>
        <v>DNS/DNF ()</v>
      </c>
      <c r="P227" s="58" t="str">
        <f>IFERROR(VLOOKUP($B227,OverallResults!$B$3:$BB$492,15,FALSE),"")</f>
        <v>DNS/DNF ()</v>
      </c>
      <c r="Q227" s="58" t="str">
        <f>IFERROR(VLOOKUP($B227,OverallResults!$B$3:$BB$492,16,FALSE),"")</f>
        <v>DNS/DNF ()</v>
      </c>
      <c r="R227" s="58" t="str">
        <f>IFERROR(VLOOKUP($B227,OverallResults!$B$3:$BB$492,17,FALSE),"")</f>
        <v>00:17:50.408</v>
      </c>
      <c r="S227" s="170" t="str">
        <f t="shared" si="6"/>
        <v>00:40</v>
      </c>
      <c r="T227" s="170" t="str">
        <f t="shared" si="7"/>
        <v>01:00</v>
      </c>
      <c r="U227" s="359">
        <f>IFERROR(VLOOKUP($D227,EntryList!$B$3:$S$291,18,FALSE),"")</f>
        <v>0</v>
      </c>
      <c r="V227" s="359">
        <f>IFERROR(VLOOKUP($D227,EntryList!$B$3:$S$291,17,FALSE),"")</f>
        <v>0</v>
      </c>
    </row>
    <row r="228" spans="2:22">
      <c r="B228" s="59">
        <v>223</v>
      </c>
      <c r="C228" s="59">
        <f>IFERROR(VLOOKUP($B228,OverallResults!$B$3:$Z$508,2,FALSE),"")</f>
        <v>52</v>
      </c>
      <c r="D228" s="149" t="str">
        <f>IFERROR(VLOOKUP($B228,OverallResults!$B$3:$Z$508,3,FALSE),"")</f>
        <v>Geoff Dye</v>
      </c>
      <c r="E228" s="146" t="str">
        <f>IFERROR(VLOOKUP(C228,SeriesPoints!$A$2:$B$51,2,FALSE),"")</f>
        <v/>
      </c>
      <c r="F228" s="148" t="str">
        <f>IFERROR(VLOOKUP($D228,EntryList!$B$3:$V$291,21,FALSE),"")</f>
        <v>-</v>
      </c>
      <c r="G228" s="100" t="str">
        <f>IFERROR(VLOOKUP($D228,EntryList!$B$3:$N$596,5,FALSE),"")</f>
        <v>M</v>
      </c>
      <c r="H228" s="145" t="str">
        <f>IFERROR(VLOOKUP($D228,EntryList!$B$3:$N$596,6,FALSE),"")</f>
        <v>Lite M</v>
      </c>
      <c r="I228" s="331">
        <f>IFERROR(VLOOKUP($B228,OverallResults!$B$3:$Z$492,8,FALSE),"")</f>
        <v>3</v>
      </c>
      <c r="J228" s="58" t="str">
        <f>IFERROR(VLOOKUP($B228,OverallResults!$B$3:$BB$492,9,FALSE),"")</f>
        <v>DNS/DNF ()</v>
      </c>
      <c r="K228" s="58" t="str">
        <f>IFERROR(VLOOKUP($B228,OverallResults!$B$3:$BB$492,10,FALSE),"")</f>
        <v>00:06:10.6 (243)</v>
      </c>
      <c r="L228" s="58" t="str">
        <f>IFERROR(VLOOKUP($B228,OverallResults!$B$3:$BB$492,11,FALSE),"")</f>
        <v>00:04:31.3 (244)</v>
      </c>
      <c r="M228" s="58" t="str">
        <f>IFERROR(VLOOKUP($B228,OverallResults!$B$3:$BB$492,12,FALSE),"")</f>
        <v>DNS/DNF ()</v>
      </c>
      <c r="N228" s="58" t="str">
        <f>IFERROR(VLOOKUP($B228,OverallResults!$B$3:$BB$492,13,FALSE),"")</f>
        <v>00:07:27.1 (229)</v>
      </c>
      <c r="O228" s="58" t="str">
        <f>IFERROR(VLOOKUP($B228,OverallResults!$B$3:$BB$492,14,FALSE),"")</f>
        <v>DNS/DNF ()</v>
      </c>
      <c r="P228" s="58" t="str">
        <f>IFERROR(VLOOKUP($B228,OverallResults!$B$3:$BB$492,15,FALSE),"")</f>
        <v>DNS/DNF ()</v>
      </c>
      <c r="Q228" s="58" t="str">
        <f>IFERROR(VLOOKUP($B228,OverallResults!$B$3:$BB$492,16,FALSE),"")</f>
        <v>DNS/DNF ()</v>
      </c>
      <c r="R228" s="58" t="str">
        <f>IFERROR(VLOOKUP($B228,OverallResults!$B$3:$BB$492,17,FALSE),"")</f>
        <v>00:18:08.986</v>
      </c>
      <c r="S228" s="170" t="str">
        <f t="shared" si="6"/>
        <v>00:19</v>
      </c>
      <c r="T228" s="170" t="str">
        <f t="shared" si="7"/>
        <v>01:19</v>
      </c>
      <c r="U228" s="359">
        <f>IFERROR(VLOOKUP($D228,EntryList!$B$3:$S$291,18,FALSE),"")</f>
        <v>0</v>
      </c>
      <c r="V228" s="359">
        <f>IFERROR(VLOOKUP($D228,EntryList!$B$3:$S$291,17,FALSE),"")</f>
        <v>0</v>
      </c>
    </row>
    <row r="229" spans="2:22">
      <c r="B229" s="59">
        <v>224</v>
      </c>
      <c r="C229" s="59">
        <f>IFERROR(VLOOKUP($B229,OverallResults!$B$3:$Z$508,2,FALSE),"")</f>
        <v>3</v>
      </c>
      <c r="D229" s="149" t="str">
        <f>IFERROR(VLOOKUP($B229,OverallResults!$B$3:$Z$508,3,FALSE),"")</f>
        <v>Spencer Van Zyl</v>
      </c>
      <c r="E229" s="146">
        <f>IFERROR(VLOOKUP(C229,SeriesPoints!$A$2:$B$51,2,FALSE),"")</f>
        <v>150</v>
      </c>
      <c r="F229" s="148" t="str">
        <f>IFERROR(VLOOKUP($D229,EntryList!$B$3:$V$291,21,FALSE),"")</f>
        <v>-</v>
      </c>
      <c r="G229" s="100" t="str">
        <f>IFERROR(VLOOKUP($D229,EntryList!$B$3:$N$596,5,FALSE),"")</f>
        <v>M</v>
      </c>
      <c r="H229" s="145" t="str">
        <f>IFERROR(VLOOKUP($D229,EntryList!$B$3:$N$596,6,FALSE),"")</f>
        <v>Nipper Boys</v>
      </c>
      <c r="I229" s="331">
        <f>IFERROR(VLOOKUP($B229,OverallResults!$B$3:$Z$492,8,FALSE),"")</f>
        <v>3</v>
      </c>
      <c r="J229" s="58" t="str">
        <f>IFERROR(VLOOKUP($B229,OverallResults!$B$3:$BB$492,9,FALSE),"")</f>
        <v>DNS/DNF ()</v>
      </c>
      <c r="K229" s="58" t="str">
        <f>IFERROR(VLOOKUP($B229,OverallResults!$B$3:$BB$492,10,FALSE),"")</f>
        <v>00:07:29.0 (253)</v>
      </c>
      <c r="L229" s="58" t="str">
        <f>IFERROR(VLOOKUP($B229,OverallResults!$B$3:$BB$492,11,FALSE),"")</f>
        <v>00:03:31.6 (236)</v>
      </c>
      <c r="M229" s="58" t="str">
        <f>IFERROR(VLOOKUP($B229,OverallResults!$B$3:$BB$492,12,FALSE),"")</f>
        <v>DNS/DNF ()</v>
      </c>
      <c r="N229" s="58" t="str">
        <f>IFERROR(VLOOKUP($B229,OverallResults!$B$3:$BB$492,13,FALSE),"")</f>
        <v>00:07:10.2 (223)</v>
      </c>
      <c r="O229" s="58" t="str">
        <f>IFERROR(VLOOKUP($B229,OverallResults!$B$3:$BB$492,14,FALSE),"")</f>
        <v>DNS/DNF ()</v>
      </c>
      <c r="P229" s="58" t="str">
        <f>IFERROR(VLOOKUP($B229,OverallResults!$B$3:$BB$492,15,FALSE),"")</f>
        <v>DNS/DNF ()</v>
      </c>
      <c r="Q229" s="58" t="str">
        <f>IFERROR(VLOOKUP($B229,OverallResults!$B$3:$BB$492,16,FALSE),"")</f>
        <v>DNS/DNF ()</v>
      </c>
      <c r="R229" s="58" t="str">
        <f>IFERROR(VLOOKUP($B229,OverallResults!$B$3:$BB$492,17,FALSE),"")</f>
        <v>00:18:10.858</v>
      </c>
      <c r="S229" s="170" t="str">
        <f t="shared" si="6"/>
        <v>00:02</v>
      </c>
      <c r="T229" s="170" t="str">
        <f t="shared" si="7"/>
        <v>01:21</v>
      </c>
      <c r="U229" s="359">
        <f>IFERROR(VLOOKUP($D229,EntryList!$B$3:$S$291,18,FALSE),"")</f>
        <v>0</v>
      </c>
      <c r="V229" s="359">
        <f>IFERROR(VLOOKUP($D229,EntryList!$B$3:$S$291,17,FALSE),"")</f>
        <v>0</v>
      </c>
    </row>
    <row r="230" spans="2:22">
      <c r="B230" s="59">
        <v>225</v>
      </c>
      <c r="C230" s="59">
        <f>IFERROR(VLOOKUP($B230,OverallResults!$B$3:$Z$508,2,FALSE),"")</f>
        <v>1</v>
      </c>
      <c r="D230" s="149" t="str">
        <f>IFERROR(VLOOKUP($B230,OverallResults!$B$3:$Z$508,3,FALSE),"")</f>
        <v>Isabella Stermin</v>
      </c>
      <c r="E230" s="146">
        <f>IFERROR(VLOOKUP(C230,SeriesPoints!$A$2:$B$51,2,FALSE),"")</f>
        <v>200</v>
      </c>
      <c r="F230" s="148" t="str">
        <f>IFERROR(VLOOKUP($D230,EntryList!$B$3:$V$291,21,FALSE),"")</f>
        <v>-</v>
      </c>
      <c r="G230" s="100" t="str">
        <f>IFERROR(VLOOKUP($D230,EntryList!$B$3:$N$596,5,FALSE),"")</f>
        <v>F</v>
      </c>
      <c r="H230" s="145" t="str">
        <f>IFERROR(VLOOKUP($D230,EntryList!$B$3:$N$596,6,FALSE),"")</f>
        <v>Nipper Girls</v>
      </c>
      <c r="I230" s="331">
        <f>IFERROR(VLOOKUP($B230,OverallResults!$B$3:$Z$492,8,FALSE),"")</f>
        <v>3</v>
      </c>
      <c r="J230" s="58" t="str">
        <f>IFERROR(VLOOKUP($B230,OverallResults!$B$3:$BB$492,9,FALSE),"")</f>
        <v>DNS/DNF ()</v>
      </c>
      <c r="K230" s="58" t="str">
        <f>IFERROR(VLOOKUP($B230,OverallResults!$B$3:$BB$492,10,FALSE),"")</f>
        <v>00:06:16.4 (246)</v>
      </c>
      <c r="L230" s="58" t="str">
        <f>IFERROR(VLOOKUP($B230,OverallResults!$B$3:$BB$492,11,FALSE),"")</f>
        <v>00:04:09.7 (243)</v>
      </c>
      <c r="M230" s="58" t="str">
        <f>IFERROR(VLOOKUP($B230,OverallResults!$B$3:$BB$492,12,FALSE),"")</f>
        <v>DNS/DNF ()</v>
      </c>
      <c r="N230" s="58" t="str">
        <f>IFERROR(VLOOKUP($B230,OverallResults!$B$3:$BB$492,13,FALSE),"")</f>
        <v>00:07:55.5 (239)</v>
      </c>
      <c r="O230" s="58" t="str">
        <f>IFERROR(VLOOKUP($B230,OverallResults!$B$3:$BB$492,14,FALSE),"")</f>
        <v>DNS/DNF ()</v>
      </c>
      <c r="P230" s="58" t="str">
        <f>IFERROR(VLOOKUP($B230,OverallResults!$B$3:$BB$492,15,FALSE),"")</f>
        <v>DNS/DNF ()</v>
      </c>
      <c r="Q230" s="58" t="str">
        <f>IFERROR(VLOOKUP($B230,OverallResults!$B$3:$BB$492,16,FALSE),"")</f>
        <v>DNS/DNF ()</v>
      </c>
      <c r="R230" s="58" t="str">
        <f>IFERROR(VLOOKUP($B230,OverallResults!$B$3:$BB$492,17,FALSE),"")</f>
        <v>00:18:21.563</v>
      </c>
      <c r="S230" s="170" t="str">
        <f t="shared" si="6"/>
        <v>00:11</v>
      </c>
      <c r="T230" s="170" t="str">
        <f t="shared" si="7"/>
        <v>01:32</v>
      </c>
      <c r="U230" s="359">
        <f>IFERROR(VLOOKUP($D230,EntryList!$B$3:$S$291,18,FALSE),"")</f>
        <v>0</v>
      </c>
      <c r="V230" s="359">
        <f>IFERROR(VLOOKUP($D230,EntryList!$B$3:$S$291,17,FALSE),"")</f>
        <v>0</v>
      </c>
    </row>
    <row r="231" spans="2:22">
      <c r="B231" s="59">
        <v>226</v>
      </c>
      <c r="C231" s="59">
        <f>IFERROR(VLOOKUP($B231,OverallResults!$B$3:$Z$508,2,FALSE),"")</f>
        <v>53</v>
      </c>
      <c r="D231" s="149" t="str">
        <f>IFERROR(VLOOKUP($B231,OverallResults!$B$3:$Z$508,3,FALSE),"")</f>
        <v>Morne Share</v>
      </c>
      <c r="E231" s="146" t="str">
        <f>IFERROR(VLOOKUP(C231,SeriesPoints!$A$2:$B$51,2,FALSE),"")</f>
        <v/>
      </c>
      <c r="F231" s="148" t="str">
        <f>IFERROR(VLOOKUP($D231,EntryList!$B$3:$V$291,21,FALSE),"")</f>
        <v>-</v>
      </c>
      <c r="G231" s="100" t="str">
        <f>IFERROR(VLOOKUP($D231,EntryList!$B$3:$N$596,5,FALSE),"")</f>
        <v>M</v>
      </c>
      <c r="H231" s="145" t="str">
        <f>IFERROR(VLOOKUP($D231,EntryList!$B$3:$N$596,6,FALSE),"")</f>
        <v>Lite M</v>
      </c>
      <c r="I231" s="331">
        <f>IFERROR(VLOOKUP($B231,OverallResults!$B$3:$Z$492,8,FALSE),"")</f>
        <v>3</v>
      </c>
      <c r="J231" s="58" t="str">
        <f>IFERROR(VLOOKUP($B231,OverallResults!$B$3:$BB$492,9,FALSE),"")</f>
        <v>DNS/DNF ()</v>
      </c>
      <c r="K231" s="58" t="str">
        <f>IFERROR(VLOOKUP($B231,OverallResults!$B$3:$BB$492,10,FALSE),"")</f>
        <v>00:06:22.7 (247)</v>
      </c>
      <c r="L231" s="58" t="str">
        <f>IFERROR(VLOOKUP($B231,OverallResults!$B$3:$BB$492,11,FALSE),"")</f>
        <v>00:04:46.0 (247)</v>
      </c>
      <c r="M231" s="58" t="str">
        <f>IFERROR(VLOOKUP($B231,OverallResults!$B$3:$BB$492,12,FALSE),"")</f>
        <v>DNS/DNF ()</v>
      </c>
      <c r="N231" s="58" t="str">
        <f>IFERROR(VLOOKUP($B231,OverallResults!$B$3:$BB$492,13,FALSE),"")</f>
        <v>00:07:42.8 (234)</v>
      </c>
      <c r="O231" s="58" t="str">
        <f>IFERROR(VLOOKUP($B231,OverallResults!$B$3:$BB$492,14,FALSE),"")</f>
        <v>DNS/DNF ()</v>
      </c>
      <c r="P231" s="58" t="str">
        <f>IFERROR(VLOOKUP($B231,OverallResults!$B$3:$BB$492,15,FALSE),"")</f>
        <v>DNS/DNF ()</v>
      </c>
      <c r="Q231" s="58" t="str">
        <f>IFERROR(VLOOKUP($B231,OverallResults!$B$3:$BB$492,16,FALSE),"")</f>
        <v>DNS/DNF ()</v>
      </c>
      <c r="R231" s="58" t="str">
        <f>IFERROR(VLOOKUP($B231,OverallResults!$B$3:$BB$492,17,FALSE),"")</f>
        <v>00:18:51.476</v>
      </c>
      <c r="S231" s="170" t="str">
        <f>IFERROR(TEXT(($R231-$R202),"mm:ss"),"N/A")</f>
        <v>03:56</v>
      </c>
      <c r="T231" s="170" t="str">
        <f>IF($I231-$I202&lt;0,"N/A",IFERROR(TEXT(($R231-$R$6),"mm:ss"),"N/A"))</f>
        <v>02:01</v>
      </c>
      <c r="U231" s="359">
        <f>IFERROR(VLOOKUP($D231,EntryList!$B$3:$S$291,18,FALSE),"")</f>
        <v>0</v>
      </c>
      <c r="V231" s="359">
        <f>IFERROR(VLOOKUP($D231,EntryList!$B$3:$S$291,17,FALSE),"")</f>
        <v>0</v>
      </c>
    </row>
    <row r="232" spans="2:22">
      <c r="B232" s="59">
        <v>227</v>
      </c>
      <c r="C232" s="59">
        <f>IFERROR(VLOOKUP($B232,OverallResults!$B$3:$Z$508,2,FALSE),"")</f>
        <v>54</v>
      </c>
      <c r="D232" s="149" t="str">
        <f>IFERROR(VLOOKUP($B232,OverallResults!$B$3:$Z$508,3,FALSE),"")</f>
        <v>Rushdie Lagardien</v>
      </c>
      <c r="E232" s="146" t="str">
        <f>IFERROR(VLOOKUP(C232,SeriesPoints!$A$2:$B$51,2,FALSE),"")</f>
        <v/>
      </c>
      <c r="F232" s="148" t="str">
        <f>IFERROR(VLOOKUP($D232,EntryList!$B$3:$V$291,21,FALSE),"")</f>
        <v>-</v>
      </c>
      <c r="G232" s="100" t="str">
        <f>IFERROR(VLOOKUP($D232,EntryList!$B$3:$N$596,5,FALSE),"")</f>
        <v>M</v>
      </c>
      <c r="H232" s="145" t="str">
        <f>IFERROR(VLOOKUP($D232,EntryList!$B$3:$N$596,6,FALSE),"")</f>
        <v>Lite M</v>
      </c>
      <c r="I232" s="331">
        <f>IFERROR(VLOOKUP($B232,OverallResults!$B$3:$Z$492,8,FALSE),"")</f>
        <v>3</v>
      </c>
      <c r="J232" s="58" t="str">
        <f>IFERROR(VLOOKUP($B232,OverallResults!$B$3:$BB$492,9,FALSE),"")</f>
        <v>DNS/DNF ()</v>
      </c>
      <c r="K232" s="58" t="str">
        <f>IFERROR(VLOOKUP($B232,OverallResults!$B$3:$BB$492,10,FALSE),"")</f>
        <v>00:06:52.7 (251)</v>
      </c>
      <c r="L232" s="58" t="str">
        <f>IFERROR(VLOOKUP($B232,OverallResults!$B$3:$BB$492,11,FALSE),"")</f>
        <v>00:03:47.7 (240)</v>
      </c>
      <c r="M232" s="58" t="str">
        <f>IFERROR(VLOOKUP($B232,OverallResults!$B$3:$BB$492,12,FALSE),"")</f>
        <v>DNS/DNF ()</v>
      </c>
      <c r="N232" s="58" t="str">
        <f>IFERROR(VLOOKUP($B232,OverallResults!$B$3:$BB$492,13,FALSE),"")</f>
        <v>00:09:25.3 (241)</v>
      </c>
      <c r="O232" s="58" t="str">
        <f>IFERROR(VLOOKUP($B232,OverallResults!$B$3:$BB$492,14,FALSE),"")</f>
        <v>DNS/DNF ()</v>
      </c>
      <c r="P232" s="58" t="str">
        <f>IFERROR(VLOOKUP($B232,OverallResults!$B$3:$BB$492,15,FALSE),"")</f>
        <v>DNS/DNF ()</v>
      </c>
      <c r="Q232" s="58" t="str">
        <f>IFERROR(VLOOKUP($B232,OverallResults!$B$3:$BB$492,16,FALSE),"")</f>
        <v>DNS/DNF ()</v>
      </c>
      <c r="R232" s="58" t="str">
        <f>IFERROR(VLOOKUP($B232,OverallResults!$B$3:$BB$492,17,FALSE),"")</f>
        <v>00:20:05.747</v>
      </c>
      <c r="S232" s="170" t="str">
        <f>IFERROR(TEXT(($R232-$R224),"mm:ss"),"N/A")</f>
        <v>03:01</v>
      </c>
      <c r="T232" s="170" t="str">
        <f>IF($I232-$I224&lt;0,"N/A",IFERROR(TEXT(($R232-$R$6),"mm:ss"),"N/A"))</f>
        <v>03:16</v>
      </c>
      <c r="U232" s="359">
        <f>IFERROR(VLOOKUP($D232,EntryList!$B$3:$S$291,18,FALSE),"")</f>
        <v>0</v>
      </c>
      <c r="V232" s="359">
        <f>IFERROR(VLOOKUP($D232,EntryList!$B$3:$S$291,17,FALSE),"")</f>
        <v>0</v>
      </c>
    </row>
    <row r="233" spans="2:22">
      <c r="B233" s="59">
        <v>228</v>
      </c>
      <c r="C233" s="59" t="str">
        <f>IFERROR(VLOOKUP($B233,OverallResults!$B$3:$Z$508,2,FALSE),"")</f>
        <v>DNF</v>
      </c>
      <c r="D233" s="149" t="str">
        <f>IFERROR(VLOOKUP($B233,OverallResults!$B$3:$Z$508,3,FALSE),"")</f>
        <v/>
      </c>
      <c r="E233" s="146" t="str">
        <f>IFERROR(VLOOKUP(C233,SeriesPoints!$A$2:$B$51,2,FALSE),"")</f>
        <v/>
      </c>
      <c r="F233" s="148" t="str">
        <f>IFERROR(VLOOKUP($D233,EntryList!$B$3:$V$291,21,FALSE),"")</f>
        <v/>
      </c>
      <c r="G233" s="100" t="str">
        <f>IFERROR(VLOOKUP($D233,EntryList!$B$3:$N$596,5,FALSE),"")</f>
        <v/>
      </c>
      <c r="H233" s="145" t="str">
        <f>IFERROR(VLOOKUP($D233,EntryList!$B$3:$N$596,6,FALSE),"")</f>
        <v/>
      </c>
      <c r="I233" s="331" t="str">
        <f>IFERROR(VLOOKUP($B233,OverallResults!$B$3:$Z$492,8,FALSE),"")</f>
        <v/>
      </c>
      <c r="J233" s="58" t="str">
        <f>IFERROR(VLOOKUP($B233,OverallResults!$B$3:$BB$492,9,FALSE),"")</f>
        <v/>
      </c>
      <c r="K233" s="58" t="str">
        <f>IFERROR(VLOOKUP($B233,OverallResults!$B$3:$BB$492,10,FALSE),"")</f>
        <v/>
      </c>
      <c r="L233" s="58" t="str">
        <f>IFERROR(VLOOKUP($B233,OverallResults!$B$3:$BB$492,11,FALSE),"")</f>
        <v/>
      </c>
      <c r="M233" s="58" t="str">
        <f>IFERROR(VLOOKUP($B233,OverallResults!$B$3:$BB$492,12,FALSE),"")</f>
        <v/>
      </c>
      <c r="N233" s="58" t="str">
        <f>IFERROR(VLOOKUP($B233,OverallResults!$B$3:$BB$492,13,FALSE),"")</f>
        <v/>
      </c>
      <c r="O233" s="58" t="str">
        <f>IFERROR(VLOOKUP($B233,OverallResults!$B$3:$BB$492,14,FALSE),"")</f>
        <v/>
      </c>
      <c r="P233" s="58" t="str">
        <f>IFERROR(VLOOKUP($B233,OverallResults!$B$3:$BB$492,15,FALSE),"")</f>
        <v/>
      </c>
      <c r="Q233" s="58" t="str">
        <f>IFERROR(VLOOKUP($B233,OverallResults!$B$3:$BB$492,16,FALSE),"")</f>
        <v/>
      </c>
      <c r="R233" s="58" t="str">
        <f>IFERROR(VLOOKUP($B233,OverallResults!$B$3:$BB$492,17,FALSE),"")</f>
        <v/>
      </c>
      <c r="S233" s="170" t="str">
        <f>IFERROR(TEXT(($R233-$R230),"mm:ss"),"N/A")</f>
        <v>N/A</v>
      </c>
      <c r="T233" s="170" t="e">
        <f>IF($I233-$I230&lt;0,"N/A",IFERROR(TEXT(($R233-$R$6),"mm:ss"),"N/A"))</f>
        <v>#VALUE!</v>
      </c>
      <c r="U233" s="359" t="str">
        <f>IFERROR(VLOOKUP($D233,EntryList!$B$3:$S$291,18,FALSE),"")</f>
        <v/>
      </c>
      <c r="V233" s="359" t="str">
        <f>IFERROR(VLOOKUP($D233,EntryList!$B$3:$S$291,17,FALSE),"")</f>
        <v/>
      </c>
    </row>
    <row r="234" spans="2:22">
      <c r="B234" s="59">
        <v>229</v>
      </c>
      <c r="C234" s="59" t="str">
        <f>IFERROR(VLOOKUP($B234,OverallResults!$B$3:$Z$508,2,FALSE),"")</f>
        <v>DNF</v>
      </c>
      <c r="D234" s="149" t="str">
        <f>IFERROR(VLOOKUP($B234,OverallResults!$B$3:$Z$508,3,FALSE),"")</f>
        <v/>
      </c>
      <c r="E234" s="146" t="str">
        <f>IFERROR(VLOOKUP(C234,SeriesPoints!$A$2:$B$51,2,FALSE),"")</f>
        <v/>
      </c>
      <c r="F234" s="148" t="str">
        <f>IFERROR(VLOOKUP($D234,EntryList!$B$3:$V$291,21,FALSE),"")</f>
        <v/>
      </c>
      <c r="G234" s="100" t="str">
        <f>IFERROR(VLOOKUP($D234,EntryList!$B$3:$N$596,5,FALSE),"")</f>
        <v/>
      </c>
      <c r="H234" s="145" t="str">
        <f>IFERROR(VLOOKUP($D234,EntryList!$B$3:$N$596,6,FALSE),"")</f>
        <v/>
      </c>
      <c r="I234" s="331" t="str">
        <f>IFERROR(VLOOKUP($B234,OverallResults!$B$3:$Z$492,8,FALSE),"")</f>
        <v/>
      </c>
      <c r="J234" s="58" t="str">
        <f>IFERROR(VLOOKUP($B234,OverallResults!$B$3:$BB$492,9,FALSE),"")</f>
        <v/>
      </c>
      <c r="K234" s="58" t="str">
        <f>IFERROR(VLOOKUP($B234,OverallResults!$B$3:$BB$492,10,FALSE),"")</f>
        <v/>
      </c>
      <c r="L234" s="58" t="str">
        <f>IFERROR(VLOOKUP($B234,OverallResults!$B$3:$BB$492,11,FALSE),"")</f>
        <v/>
      </c>
      <c r="M234" s="58" t="str">
        <f>IFERROR(VLOOKUP($B234,OverallResults!$B$3:$BB$492,12,FALSE),"")</f>
        <v/>
      </c>
      <c r="N234" s="58" t="str">
        <f>IFERROR(VLOOKUP($B234,OverallResults!$B$3:$BB$492,13,FALSE),"")</f>
        <v/>
      </c>
      <c r="O234" s="58" t="str">
        <f>IFERROR(VLOOKUP($B234,OverallResults!$B$3:$BB$492,14,FALSE),"")</f>
        <v/>
      </c>
      <c r="P234" s="58" t="str">
        <f>IFERROR(VLOOKUP($B234,OverallResults!$B$3:$BB$492,15,FALSE),"")</f>
        <v/>
      </c>
      <c r="Q234" s="58" t="str">
        <f>IFERROR(VLOOKUP($B234,OverallResults!$B$3:$BB$492,16,FALSE),"")</f>
        <v/>
      </c>
      <c r="R234" s="58" t="str">
        <f>IFERROR(VLOOKUP($B234,OverallResults!$B$3:$BB$492,17,FALSE),"")</f>
        <v/>
      </c>
      <c r="S234" s="170" t="str">
        <f t="shared" si="6"/>
        <v>N/A</v>
      </c>
      <c r="T234" s="170" t="e">
        <f t="shared" si="7"/>
        <v>#VALUE!</v>
      </c>
      <c r="U234" s="359" t="str">
        <f>IFERROR(VLOOKUP($D234,EntryList!$B$3:$S$291,18,FALSE),"")</f>
        <v/>
      </c>
      <c r="V234" s="359" t="str">
        <f>IFERROR(VLOOKUP($D234,EntryList!$B$3:$S$291,17,FALSE),"")</f>
        <v/>
      </c>
    </row>
    <row r="235" spans="2:22">
      <c r="B235" s="59">
        <v>230</v>
      </c>
      <c r="C235" s="59" t="str">
        <f>IFERROR(VLOOKUP($B235,OverallResults!$B$3:$Z$508,2,FALSE),"")</f>
        <v>DNF</v>
      </c>
      <c r="D235" s="149" t="str">
        <f>IFERROR(VLOOKUP($B235,OverallResults!$B$3:$Z$508,3,FALSE),"")</f>
        <v/>
      </c>
      <c r="E235" s="146" t="str">
        <f>IFERROR(VLOOKUP(C235,SeriesPoints!$A$2:$B$51,2,FALSE),"")</f>
        <v/>
      </c>
      <c r="F235" s="148" t="str">
        <f>IFERROR(VLOOKUP($D235,EntryList!$B$3:$V$291,21,FALSE),"")</f>
        <v/>
      </c>
      <c r="G235" s="100" t="str">
        <f>IFERROR(VLOOKUP($D235,EntryList!$B$3:$N$596,5,FALSE),"")</f>
        <v/>
      </c>
      <c r="H235" s="145" t="str">
        <f>IFERROR(VLOOKUP($D235,EntryList!$B$3:$N$596,6,FALSE),"")</f>
        <v/>
      </c>
      <c r="I235" s="331" t="str">
        <f>IFERROR(VLOOKUP($B235,OverallResults!$B$3:$Z$492,8,FALSE),"")</f>
        <v/>
      </c>
      <c r="J235" s="58" t="str">
        <f>IFERROR(VLOOKUP($B235,OverallResults!$B$3:$BB$492,9,FALSE),"")</f>
        <v/>
      </c>
      <c r="K235" s="58" t="str">
        <f>IFERROR(VLOOKUP($B235,OverallResults!$B$3:$BB$492,10,FALSE),"")</f>
        <v/>
      </c>
      <c r="L235" s="58" t="str">
        <f>IFERROR(VLOOKUP($B235,OverallResults!$B$3:$BB$492,11,FALSE),"")</f>
        <v/>
      </c>
      <c r="M235" s="58" t="str">
        <f>IFERROR(VLOOKUP($B235,OverallResults!$B$3:$BB$492,12,FALSE),"")</f>
        <v/>
      </c>
      <c r="N235" s="58" t="str">
        <f>IFERROR(VLOOKUP($B235,OverallResults!$B$3:$BB$492,13,FALSE),"")</f>
        <v/>
      </c>
      <c r="O235" s="58" t="str">
        <f>IFERROR(VLOOKUP($B235,OverallResults!$B$3:$BB$492,14,FALSE),"")</f>
        <v/>
      </c>
      <c r="P235" s="58" t="str">
        <f>IFERROR(VLOOKUP($B235,OverallResults!$B$3:$BB$492,15,FALSE),"")</f>
        <v/>
      </c>
      <c r="Q235" s="58" t="str">
        <f>IFERROR(VLOOKUP($B235,OverallResults!$B$3:$BB$492,16,FALSE),"")</f>
        <v/>
      </c>
      <c r="R235" s="58" t="str">
        <f>IFERROR(VLOOKUP($B235,OverallResults!$B$3:$BB$492,17,FALSE),"")</f>
        <v/>
      </c>
      <c r="S235" s="170" t="str">
        <f t="shared" si="6"/>
        <v>N/A</v>
      </c>
      <c r="T235" s="170" t="e">
        <f t="shared" si="7"/>
        <v>#VALUE!</v>
      </c>
      <c r="U235" s="359" t="str">
        <f>IFERROR(VLOOKUP($D235,EntryList!$B$3:$S$291,18,FALSE),"")</f>
        <v/>
      </c>
      <c r="V235" s="359" t="str">
        <f>IFERROR(VLOOKUP($D235,EntryList!$B$3:$S$291,17,FALSE),"")</f>
        <v/>
      </c>
    </row>
    <row r="236" spans="2:22">
      <c r="B236" s="59">
        <v>231</v>
      </c>
      <c r="C236" s="59" t="str">
        <f>IFERROR(VLOOKUP($B236,OverallResults!$B$3:$Z$508,2,FALSE),"")</f>
        <v>DNF</v>
      </c>
      <c r="D236" s="149" t="str">
        <f>IFERROR(VLOOKUP($B236,OverallResults!$B$3:$Z$508,3,FALSE),"")</f>
        <v/>
      </c>
      <c r="E236" s="146" t="str">
        <f>IFERROR(VLOOKUP(C236,SeriesPoints!$A$2:$B$51,2,FALSE),"")</f>
        <v/>
      </c>
      <c r="F236" s="148" t="str">
        <f>IFERROR(VLOOKUP($D236,EntryList!$B$3:$V$291,21,FALSE),"")</f>
        <v/>
      </c>
      <c r="G236" s="100" t="str">
        <f>IFERROR(VLOOKUP($D236,EntryList!$B$3:$N$596,5,FALSE),"")</f>
        <v/>
      </c>
      <c r="H236" s="145" t="str">
        <f>IFERROR(VLOOKUP($D236,EntryList!$B$3:$N$596,6,FALSE),"")</f>
        <v/>
      </c>
      <c r="I236" s="331" t="str">
        <f>IFERROR(VLOOKUP($B236,OverallResults!$B$3:$Z$492,8,FALSE),"")</f>
        <v/>
      </c>
      <c r="J236" s="58" t="str">
        <f>IFERROR(VLOOKUP($B236,OverallResults!$B$3:$BB$492,9,FALSE),"")</f>
        <v/>
      </c>
      <c r="K236" s="58" t="str">
        <f>IFERROR(VLOOKUP($B236,OverallResults!$B$3:$BB$492,10,FALSE),"")</f>
        <v/>
      </c>
      <c r="L236" s="58" t="str">
        <f>IFERROR(VLOOKUP($B236,OverallResults!$B$3:$BB$492,11,FALSE),"")</f>
        <v/>
      </c>
      <c r="M236" s="58" t="str">
        <f>IFERROR(VLOOKUP($B236,OverallResults!$B$3:$BB$492,12,FALSE),"")</f>
        <v/>
      </c>
      <c r="N236" s="58" t="str">
        <f>IFERROR(VLOOKUP($B236,OverallResults!$B$3:$BB$492,13,FALSE),"")</f>
        <v/>
      </c>
      <c r="O236" s="58" t="str">
        <f>IFERROR(VLOOKUP($B236,OverallResults!$B$3:$BB$492,14,FALSE),"")</f>
        <v/>
      </c>
      <c r="P236" s="58" t="str">
        <f>IFERROR(VLOOKUP($B236,OverallResults!$B$3:$BB$492,15,FALSE),"")</f>
        <v/>
      </c>
      <c r="Q236" s="58" t="str">
        <f>IFERROR(VLOOKUP($B236,OverallResults!$B$3:$BB$492,16,FALSE),"")</f>
        <v/>
      </c>
      <c r="R236" s="58" t="str">
        <f>IFERROR(VLOOKUP($B236,OverallResults!$B$3:$BB$492,17,FALSE),"")</f>
        <v/>
      </c>
      <c r="S236" s="170" t="str">
        <f t="shared" si="6"/>
        <v>N/A</v>
      </c>
      <c r="T236" s="170" t="e">
        <f t="shared" si="7"/>
        <v>#VALUE!</v>
      </c>
      <c r="U236" s="359" t="str">
        <f>IFERROR(VLOOKUP($D236,EntryList!$B$3:$S$291,18,FALSE),"")</f>
        <v/>
      </c>
      <c r="V236" s="359" t="str">
        <f>IFERROR(VLOOKUP($D236,EntryList!$B$3:$S$291,17,FALSE),"")</f>
        <v/>
      </c>
    </row>
    <row r="237" spans="2:22">
      <c r="B237" s="59">
        <v>232</v>
      </c>
      <c r="C237" s="59" t="str">
        <f>IFERROR(VLOOKUP($B237,OverallResults!$B$3:$Z$508,2,FALSE),"")</f>
        <v>DNF</v>
      </c>
      <c r="D237" s="149" t="str">
        <f>IFERROR(VLOOKUP($B237,OverallResults!$B$3:$Z$508,3,FALSE),"")</f>
        <v/>
      </c>
      <c r="E237" s="146" t="str">
        <f>IFERROR(VLOOKUP(C237,SeriesPoints!$A$2:$B$51,2,FALSE),"")</f>
        <v/>
      </c>
      <c r="F237" s="148" t="str">
        <f>IFERROR(VLOOKUP($D237,EntryList!$B$3:$V$291,21,FALSE),"")</f>
        <v/>
      </c>
      <c r="G237" s="100" t="str">
        <f>IFERROR(VLOOKUP($D237,EntryList!$B$3:$N$596,5,FALSE),"")</f>
        <v/>
      </c>
      <c r="H237" s="145" t="str">
        <f>IFERROR(VLOOKUP($D237,EntryList!$B$3:$N$596,6,FALSE),"")</f>
        <v/>
      </c>
      <c r="I237" s="331" t="str">
        <f>IFERROR(VLOOKUP($B237,OverallResults!$B$3:$Z$492,8,FALSE),"")</f>
        <v/>
      </c>
      <c r="J237" s="58" t="str">
        <f>IFERROR(VLOOKUP($B237,OverallResults!$B$3:$BB$492,9,FALSE),"")</f>
        <v/>
      </c>
      <c r="K237" s="58" t="str">
        <f>IFERROR(VLOOKUP($B237,OverallResults!$B$3:$BB$492,10,FALSE),"")</f>
        <v/>
      </c>
      <c r="L237" s="58" t="str">
        <f>IFERROR(VLOOKUP($B237,OverallResults!$B$3:$BB$492,11,FALSE),"")</f>
        <v/>
      </c>
      <c r="M237" s="58" t="str">
        <f>IFERROR(VLOOKUP($B237,OverallResults!$B$3:$BB$492,12,FALSE),"")</f>
        <v/>
      </c>
      <c r="N237" s="58" t="str">
        <f>IFERROR(VLOOKUP($B237,OverallResults!$B$3:$BB$492,13,FALSE),"")</f>
        <v/>
      </c>
      <c r="O237" s="58" t="str">
        <f>IFERROR(VLOOKUP($B237,OverallResults!$B$3:$BB$492,14,FALSE),"")</f>
        <v/>
      </c>
      <c r="P237" s="58" t="str">
        <f>IFERROR(VLOOKUP($B237,OverallResults!$B$3:$BB$492,15,FALSE),"")</f>
        <v/>
      </c>
      <c r="Q237" s="58" t="str">
        <f>IFERROR(VLOOKUP($B237,OverallResults!$B$3:$BB$492,16,FALSE),"")</f>
        <v/>
      </c>
      <c r="R237" s="58" t="str">
        <f>IFERROR(VLOOKUP($B237,OverallResults!$B$3:$BB$492,17,FALSE),"")</f>
        <v/>
      </c>
      <c r="S237" s="170" t="str">
        <f t="shared" si="6"/>
        <v>N/A</v>
      </c>
      <c r="T237" s="170" t="e">
        <f t="shared" si="7"/>
        <v>#VALUE!</v>
      </c>
      <c r="U237" s="359" t="str">
        <f>IFERROR(VLOOKUP($D237,EntryList!$B$3:$S$291,18,FALSE),"")</f>
        <v/>
      </c>
      <c r="V237" s="359" t="str">
        <f>IFERROR(VLOOKUP($D237,EntryList!$B$3:$S$291,17,FALSE),"")</f>
        <v/>
      </c>
    </row>
    <row r="238" spans="2:22">
      <c r="B238" s="59">
        <v>233</v>
      </c>
      <c r="C238" s="59" t="str">
        <f>IFERROR(VLOOKUP($B238,OverallResults!$B$3:$Z$508,2,FALSE),"")</f>
        <v>DNF</v>
      </c>
      <c r="D238" s="149" t="str">
        <f>IFERROR(VLOOKUP($B238,OverallResults!$B$3:$Z$508,3,FALSE),"")</f>
        <v/>
      </c>
      <c r="E238" s="146" t="str">
        <f>IFERROR(VLOOKUP(C238,SeriesPoints!$A$2:$B$51,2,FALSE),"")</f>
        <v/>
      </c>
      <c r="F238" s="148" t="str">
        <f>IFERROR(VLOOKUP($D238,EntryList!$B$3:$V$291,21,FALSE),"")</f>
        <v/>
      </c>
      <c r="G238" s="100" t="str">
        <f>IFERROR(VLOOKUP($D238,EntryList!$B$3:$N$596,5,FALSE),"")</f>
        <v/>
      </c>
      <c r="H238" s="145" t="str">
        <f>IFERROR(VLOOKUP($D238,EntryList!$B$3:$N$596,6,FALSE),"")</f>
        <v/>
      </c>
      <c r="I238" s="331" t="str">
        <f>IFERROR(VLOOKUP($B238,OverallResults!$B$3:$Z$492,8,FALSE),"")</f>
        <v/>
      </c>
      <c r="J238" s="58" t="str">
        <f>IFERROR(VLOOKUP($B238,OverallResults!$B$3:$BB$492,9,FALSE),"")</f>
        <v/>
      </c>
      <c r="K238" s="58" t="str">
        <f>IFERROR(VLOOKUP($B238,OverallResults!$B$3:$BB$492,10,FALSE),"")</f>
        <v/>
      </c>
      <c r="L238" s="58" t="str">
        <f>IFERROR(VLOOKUP($B238,OverallResults!$B$3:$BB$492,11,FALSE),"")</f>
        <v/>
      </c>
      <c r="M238" s="58" t="str">
        <f>IFERROR(VLOOKUP($B238,OverallResults!$B$3:$BB$492,12,FALSE),"")</f>
        <v/>
      </c>
      <c r="N238" s="58" t="str">
        <f>IFERROR(VLOOKUP($B238,OverallResults!$B$3:$BB$492,13,FALSE),"")</f>
        <v/>
      </c>
      <c r="O238" s="58" t="str">
        <f>IFERROR(VLOOKUP($B238,OverallResults!$B$3:$BB$492,14,FALSE),"")</f>
        <v/>
      </c>
      <c r="P238" s="58" t="str">
        <f>IFERROR(VLOOKUP($B238,OverallResults!$B$3:$BB$492,15,FALSE),"")</f>
        <v/>
      </c>
      <c r="Q238" s="58" t="str">
        <f>IFERROR(VLOOKUP($B238,OverallResults!$B$3:$BB$492,16,FALSE),"")</f>
        <v/>
      </c>
      <c r="R238" s="58" t="str">
        <f>IFERROR(VLOOKUP($B238,OverallResults!$B$3:$BB$492,17,FALSE),"")</f>
        <v/>
      </c>
      <c r="S238" s="170" t="str">
        <f t="shared" si="6"/>
        <v>N/A</v>
      </c>
      <c r="T238" s="170" t="e">
        <f t="shared" si="7"/>
        <v>#VALUE!</v>
      </c>
      <c r="U238" s="359" t="str">
        <f>IFERROR(VLOOKUP($D238,EntryList!$B$3:$S$291,18,FALSE),"")</f>
        <v/>
      </c>
      <c r="V238" s="359" t="str">
        <f>IFERROR(VLOOKUP($D238,EntryList!$B$3:$S$291,17,FALSE),"")</f>
        <v/>
      </c>
    </row>
    <row r="239" spans="2:22">
      <c r="B239" s="59">
        <v>234</v>
      </c>
      <c r="C239" s="59" t="str">
        <f>IFERROR(VLOOKUP($B239,OverallResults!$B$3:$Z$508,2,FALSE),"")</f>
        <v>DNF</v>
      </c>
      <c r="D239" s="149" t="str">
        <f>IFERROR(VLOOKUP($B239,OverallResults!$B$3:$Z$508,3,FALSE),"")</f>
        <v/>
      </c>
      <c r="E239" s="146" t="str">
        <f>IFERROR(VLOOKUP(C239,SeriesPoints!$A$2:$B$51,2,FALSE),"")</f>
        <v/>
      </c>
      <c r="F239" s="148" t="str">
        <f>IFERROR(VLOOKUP($D239,EntryList!$B$3:$V$291,21,FALSE),"")</f>
        <v/>
      </c>
      <c r="G239" s="100" t="str">
        <f>IFERROR(VLOOKUP($D239,EntryList!$B$3:$N$596,5,FALSE),"")</f>
        <v/>
      </c>
      <c r="H239" s="145" t="str">
        <f>IFERROR(VLOOKUP($D239,EntryList!$B$3:$N$596,6,FALSE),"")</f>
        <v/>
      </c>
      <c r="I239" s="331" t="str">
        <f>IFERROR(VLOOKUP($B239,OverallResults!$B$3:$Z$492,8,FALSE),"")</f>
        <v/>
      </c>
      <c r="J239" s="58" t="str">
        <f>IFERROR(VLOOKUP($B239,OverallResults!$B$3:$BB$492,9,FALSE),"")</f>
        <v/>
      </c>
      <c r="K239" s="58" t="str">
        <f>IFERROR(VLOOKUP($B239,OverallResults!$B$3:$BB$492,10,FALSE),"")</f>
        <v/>
      </c>
      <c r="L239" s="58" t="str">
        <f>IFERROR(VLOOKUP($B239,OverallResults!$B$3:$BB$492,11,FALSE),"")</f>
        <v/>
      </c>
      <c r="M239" s="58" t="str">
        <f>IFERROR(VLOOKUP($B239,OverallResults!$B$3:$BB$492,12,FALSE),"")</f>
        <v/>
      </c>
      <c r="N239" s="58" t="str">
        <f>IFERROR(VLOOKUP($B239,OverallResults!$B$3:$BB$492,13,FALSE),"")</f>
        <v/>
      </c>
      <c r="O239" s="58" t="str">
        <f>IFERROR(VLOOKUP($B239,OverallResults!$B$3:$BB$492,14,FALSE),"")</f>
        <v/>
      </c>
      <c r="P239" s="58" t="str">
        <f>IFERROR(VLOOKUP($B239,OverallResults!$B$3:$BB$492,15,FALSE),"")</f>
        <v/>
      </c>
      <c r="Q239" s="58" t="str">
        <f>IFERROR(VLOOKUP($B239,OverallResults!$B$3:$BB$492,16,FALSE),"")</f>
        <v/>
      </c>
      <c r="R239" s="58" t="str">
        <f>IFERROR(VLOOKUP($B239,OverallResults!$B$3:$BB$492,17,FALSE),"")</f>
        <v/>
      </c>
      <c r="S239" s="170" t="str">
        <f t="shared" si="6"/>
        <v>N/A</v>
      </c>
      <c r="T239" s="170" t="e">
        <f t="shared" si="7"/>
        <v>#VALUE!</v>
      </c>
      <c r="U239" s="359" t="str">
        <f>IFERROR(VLOOKUP($D239,EntryList!$B$3:$S$291,18,FALSE),"")</f>
        <v/>
      </c>
      <c r="V239" s="359" t="str">
        <f>IFERROR(VLOOKUP($D239,EntryList!$B$3:$S$291,17,FALSE),"")</f>
        <v/>
      </c>
    </row>
    <row r="240" spans="2:22">
      <c r="B240" s="59">
        <v>235</v>
      </c>
      <c r="C240" s="59" t="str">
        <f>IFERROR(VLOOKUP($B240,OverallResults!$B$3:$Z$508,2,FALSE),"")</f>
        <v>DNF</v>
      </c>
      <c r="D240" s="149" t="str">
        <f>IFERROR(VLOOKUP($B240,OverallResults!$B$3:$Z$508,3,FALSE),"")</f>
        <v/>
      </c>
      <c r="E240" s="146" t="str">
        <f>IFERROR(VLOOKUP(C240,SeriesPoints!$A$2:$B$51,2,FALSE),"")</f>
        <v/>
      </c>
      <c r="F240" s="148" t="str">
        <f>IFERROR(VLOOKUP($D240,EntryList!$B$3:$V$291,21,FALSE),"")</f>
        <v/>
      </c>
      <c r="G240" s="100" t="str">
        <f>IFERROR(VLOOKUP($D240,EntryList!$B$3:$N$596,5,FALSE),"")</f>
        <v/>
      </c>
      <c r="H240" s="145" t="str">
        <f>IFERROR(VLOOKUP($D240,EntryList!$B$3:$N$596,6,FALSE),"")</f>
        <v/>
      </c>
      <c r="I240" s="331" t="str">
        <f>IFERROR(VLOOKUP($B240,OverallResults!$B$3:$Z$492,8,FALSE),"")</f>
        <v/>
      </c>
      <c r="J240" s="58" t="str">
        <f>IFERROR(VLOOKUP($B240,OverallResults!$B$3:$BB$492,9,FALSE),"")</f>
        <v/>
      </c>
      <c r="K240" s="58" t="str">
        <f>IFERROR(VLOOKUP($B240,OverallResults!$B$3:$BB$492,10,FALSE),"")</f>
        <v/>
      </c>
      <c r="L240" s="58" t="str">
        <f>IFERROR(VLOOKUP($B240,OverallResults!$B$3:$BB$492,11,FALSE),"")</f>
        <v/>
      </c>
      <c r="M240" s="58" t="str">
        <f>IFERROR(VLOOKUP($B240,OverallResults!$B$3:$BB$492,12,FALSE),"")</f>
        <v/>
      </c>
      <c r="N240" s="58" t="str">
        <f>IFERROR(VLOOKUP($B240,OverallResults!$B$3:$BB$492,13,FALSE),"")</f>
        <v/>
      </c>
      <c r="O240" s="58" t="str">
        <f>IFERROR(VLOOKUP($B240,OverallResults!$B$3:$BB$492,14,FALSE),"")</f>
        <v/>
      </c>
      <c r="P240" s="58" t="str">
        <f>IFERROR(VLOOKUP($B240,OverallResults!$B$3:$BB$492,15,FALSE),"")</f>
        <v/>
      </c>
      <c r="Q240" s="58" t="str">
        <f>IFERROR(VLOOKUP($B240,OverallResults!$B$3:$BB$492,16,FALSE),"")</f>
        <v/>
      </c>
      <c r="R240" s="58" t="str">
        <f>IFERROR(VLOOKUP($B240,OverallResults!$B$3:$BB$492,17,FALSE),"")</f>
        <v/>
      </c>
      <c r="S240" s="170" t="str">
        <f t="shared" si="6"/>
        <v>N/A</v>
      </c>
      <c r="T240" s="170" t="e">
        <f t="shared" si="7"/>
        <v>#VALUE!</v>
      </c>
      <c r="U240" s="359" t="str">
        <f>IFERROR(VLOOKUP($D240,EntryList!$B$3:$S$291,18,FALSE),"")</f>
        <v/>
      </c>
      <c r="V240" s="359" t="str">
        <f>IFERROR(VLOOKUP($D240,EntryList!$B$3:$S$291,17,FALSE),"")</f>
        <v/>
      </c>
    </row>
    <row r="241" spans="2:22">
      <c r="B241" s="59">
        <v>236</v>
      </c>
      <c r="C241" s="59" t="str">
        <f>IFERROR(VLOOKUP($B241,OverallResults!$B$3:$Z$508,2,FALSE),"")</f>
        <v>DNF</v>
      </c>
      <c r="D241" s="149" t="str">
        <f>IFERROR(VLOOKUP($B241,OverallResults!$B$3:$Z$508,3,FALSE),"")</f>
        <v/>
      </c>
      <c r="E241" s="146" t="str">
        <f>IFERROR(VLOOKUP(C241,SeriesPoints!$A$2:$B$51,2,FALSE),"")</f>
        <v/>
      </c>
      <c r="F241" s="148" t="str">
        <f>IFERROR(VLOOKUP($D241,EntryList!$B$3:$V$291,21,FALSE),"")</f>
        <v/>
      </c>
      <c r="G241" s="100" t="str">
        <f>IFERROR(VLOOKUP($D241,EntryList!$B$3:$N$596,5,FALSE),"")</f>
        <v/>
      </c>
      <c r="H241" s="145" t="str">
        <f>IFERROR(VLOOKUP($D241,EntryList!$B$3:$N$596,6,FALSE),"")</f>
        <v/>
      </c>
      <c r="I241" s="331" t="str">
        <f>IFERROR(VLOOKUP($B241,OverallResults!$B$3:$Z$492,8,FALSE),"")</f>
        <v/>
      </c>
      <c r="J241" s="58" t="str">
        <f>IFERROR(VLOOKUP($B241,OverallResults!$B$3:$BB$492,9,FALSE),"")</f>
        <v/>
      </c>
      <c r="K241" s="58" t="str">
        <f>IFERROR(VLOOKUP($B241,OverallResults!$B$3:$BB$492,10,FALSE),"")</f>
        <v/>
      </c>
      <c r="L241" s="58" t="str">
        <f>IFERROR(VLOOKUP($B241,OverallResults!$B$3:$BB$492,11,FALSE),"")</f>
        <v/>
      </c>
      <c r="M241" s="58" t="str">
        <f>IFERROR(VLOOKUP($B241,OverallResults!$B$3:$BB$492,12,FALSE),"")</f>
        <v/>
      </c>
      <c r="N241" s="58" t="str">
        <f>IFERROR(VLOOKUP($B241,OverallResults!$B$3:$BB$492,13,FALSE),"")</f>
        <v/>
      </c>
      <c r="O241" s="58" t="str">
        <f>IFERROR(VLOOKUP($B241,OverallResults!$B$3:$BB$492,14,FALSE),"")</f>
        <v/>
      </c>
      <c r="P241" s="58" t="str">
        <f>IFERROR(VLOOKUP($B241,OverallResults!$B$3:$BB$492,15,FALSE),"")</f>
        <v/>
      </c>
      <c r="Q241" s="58" t="str">
        <f>IFERROR(VLOOKUP($B241,OverallResults!$B$3:$BB$492,16,FALSE),"")</f>
        <v/>
      </c>
      <c r="R241" s="58" t="str">
        <f>IFERROR(VLOOKUP($B241,OverallResults!$B$3:$BB$492,17,FALSE),"")</f>
        <v/>
      </c>
      <c r="S241" s="170" t="str">
        <f t="shared" si="6"/>
        <v>N/A</v>
      </c>
      <c r="T241" s="170" t="e">
        <f t="shared" si="7"/>
        <v>#VALUE!</v>
      </c>
      <c r="U241" s="359" t="str">
        <f>IFERROR(VLOOKUP($D241,EntryList!$B$3:$S$291,18,FALSE),"")</f>
        <v/>
      </c>
      <c r="V241" s="359" t="str">
        <f>IFERROR(VLOOKUP($D241,EntryList!$B$3:$S$291,17,FALSE),"")</f>
        <v/>
      </c>
    </row>
    <row r="242" spans="2:22">
      <c r="B242" s="59">
        <v>237</v>
      </c>
      <c r="C242" s="59" t="str">
        <f>IFERROR(VLOOKUP($B242,OverallResults!$B$3:$Z$508,2,FALSE),"")</f>
        <v>DNF</v>
      </c>
      <c r="D242" s="149" t="str">
        <f>IFERROR(VLOOKUP($B242,OverallResults!$B$3:$Z$508,3,FALSE),"")</f>
        <v/>
      </c>
      <c r="E242" s="146" t="str">
        <f>IFERROR(VLOOKUP(C242,SeriesPoints!$A$2:$B$51,2,FALSE),"")</f>
        <v/>
      </c>
      <c r="F242" s="148" t="str">
        <f>IFERROR(VLOOKUP($D242,EntryList!$B$3:$V$291,21,FALSE),"")</f>
        <v/>
      </c>
      <c r="G242" s="100" t="str">
        <f>IFERROR(VLOOKUP($D242,EntryList!$B$3:$N$596,5,FALSE),"")</f>
        <v/>
      </c>
      <c r="H242" s="145" t="str">
        <f>IFERROR(VLOOKUP($D242,EntryList!$B$3:$N$596,6,FALSE),"")</f>
        <v/>
      </c>
      <c r="I242" s="331" t="str">
        <f>IFERROR(VLOOKUP($B242,OverallResults!$B$3:$Z$492,8,FALSE),"")</f>
        <v/>
      </c>
      <c r="J242" s="58" t="str">
        <f>IFERROR(VLOOKUP($B242,OverallResults!$B$3:$BB$492,9,FALSE),"")</f>
        <v/>
      </c>
      <c r="K242" s="58" t="str">
        <f>IFERROR(VLOOKUP($B242,OverallResults!$B$3:$BB$492,10,FALSE),"")</f>
        <v/>
      </c>
      <c r="L242" s="58" t="str">
        <f>IFERROR(VLOOKUP($B242,OverallResults!$B$3:$BB$492,11,FALSE),"")</f>
        <v/>
      </c>
      <c r="M242" s="58" t="str">
        <f>IFERROR(VLOOKUP($B242,OverallResults!$B$3:$BB$492,12,FALSE),"")</f>
        <v/>
      </c>
      <c r="N242" s="58" t="str">
        <f>IFERROR(VLOOKUP($B242,OverallResults!$B$3:$BB$492,13,FALSE),"")</f>
        <v/>
      </c>
      <c r="O242" s="58" t="str">
        <f>IFERROR(VLOOKUP($B242,OverallResults!$B$3:$BB$492,14,FALSE),"")</f>
        <v/>
      </c>
      <c r="P242" s="58" t="str">
        <f>IFERROR(VLOOKUP($B242,OverallResults!$B$3:$BB$492,15,FALSE),"")</f>
        <v/>
      </c>
      <c r="Q242" s="58" t="str">
        <f>IFERROR(VLOOKUP($B242,OverallResults!$B$3:$BB$492,16,FALSE),"")</f>
        <v/>
      </c>
      <c r="R242" s="58" t="str">
        <f>IFERROR(VLOOKUP($B242,OverallResults!$B$3:$BB$492,17,FALSE),"")</f>
        <v/>
      </c>
      <c r="S242" s="170" t="str">
        <f t="shared" si="6"/>
        <v>N/A</v>
      </c>
      <c r="T242" s="170" t="e">
        <f t="shared" si="7"/>
        <v>#VALUE!</v>
      </c>
      <c r="U242" s="359" t="str">
        <f>IFERROR(VLOOKUP($D242,EntryList!$B$3:$S$291,18,FALSE),"")</f>
        <v/>
      </c>
      <c r="V242" s="359" t="str">
        <f>IFERROR(VLOOKUP($D242,EntryList!$B$3:$S$291,17,FALSE),"")</f>
        <v/>
      </c>
    </row>
    <row r="243" spans="2:22">
      <c r="B243" s="59">
        <v>238</v>
      </c>
      <c r="C243" s="59" t="str">
        <f>IFERROR(VLOOKUP($B243,OverallResults!$B$3:$Z$508,2,FALSE),"")</f>
        <v>DNF</v>
      </c>
      <c r="D243" s="149" t="str">
        <f>IFERROR(VLOOKUP($B243,OverallResults!$B$3:$Z$508,3,FALSE),"")</f>
        <v/>
      </c>
      <c r="E243" s="146" t="str">
        <f>IFERROR(VLOOKUP(C243,SeriesPoints!$A$2:$B$51,2,FALSE),"")</f>
        <v/>
      </c>
      <c r="F243" s="148" t="str">
        <f>IFERROR(VLOOKUP($D243,EntryList!$B$3:$V$291,21,FALSE),"")</f>
        <v/>
      </c>
      <c r="G243" s="100" t="str">
        <f>IFERROR(VLOOKUP($D243,EntryList!$B$3:$N$596,5,FALSE),"")</f>
        <v/>
      </c>
      <c r="H243" s="145" t="str">
        <f>IFERROR(VLOOKUP($D243,EntryList!$B$3:$N$596,6,FALSE),"")</f>
        <v/>
      </c>
      <c r="I243" s="331" t="str">
        <f>IFERROR(VLOOKUP($B243,OverallResults!$B$3:$Z$492,8,FALSE),"")</f>
        <v/>
      </c>
      <c r="J243" s="58" t="str">
        <f>IFERROR(VLOOKUP($B243,OverallResults!$B$3:$BB$492,9,FALSE),"")</f>
        <v/>
      </c>
      <c r="K243" s="58" t="str">
        <f>IFERROR(VLOOKUP($B243,OverallResults!$B$3:$BB$492,10,FALSE),"")</f>
        <v/>
      </c>
      <c r="L243" s="58" t="str">
        <f>IFERROR(VLOOKUP($B243,OverallResults!$B$3:$BB$492,11,FALSE),"")</f>
        <v/>
      </c>
      <c r="M243" s="58" t="str">
        <f>IFERROR(VLOOKUP($B243,OverallResults!$B$3:$BB$492,12,FALSE),"")</f>
        <v/>
      </c>
      <c r="N243" s="58" t="str">
        <f>IFERROR(VLOOKUP($B243,OverallResults!$B$3:$BB$492,13,FALSE),"")</f>
        <v/>
      </c>
      <c r="O243" s="58" t="str">
        <f>IFERROR(VLOOKUP($B243,OverallResults!$B$3:$BB$492,14,FALSE),"")</f>
        <v/>
      </c>
      <c r="P243" s="58" t="str">
        <f>IFERROR(VLOOKUP($B243,OverallResults!$B$3:$BB$492,15,FALSE),"")</f>
        <v/>
      </c>
      <c r="Q243" s="58" t="str">
        <f>IFERROR(VLOOKUP($B243,OverallResults!$B$3:$BB$492,16,FALSE),"")</f>
        <v/>
      </c>
      <c r="R243" s="58" t="str">
        <f>IFERROR(VLOOKUP($B243,OverallResults!$B$3:$BB$492,17,FALSE),"")</f>
        <v/>
      </c>
      <c r="S243" s="170" t="str">
        <f t="shared" si="6"/>
        <v>N/A</v>
      </c>
      <c r="T243" s="170" t="e">
        <f t="shared" si="7"/>
        <v>#VALUE!</v>
      </c>
      <c r="U243" s="359" t="str">
        <f>IFERROR(VLOOKUP($D243,EntryList!$B$3:$S$291,18,FALSE),"")</f>
        <v/>
      </c>
      <c r="V243" s="359" t="str">
        <f>IFERROR(VLOOKUP($D243,EntryList!$B$3:$S$291,17,FALSE),"")</f>
        <v/>
      </c>
    </row>
    <row r="244" spans="2:22">
      <c r="B244" s="59">
        <v>239</v>
      </c>
      <c r="C244" s="59" t="str">
        <f>IFERROR(VLOOKUP($B244,OverallResults!$B$3:$Z$508,2,FALSE),"")</f>
        <v>DNF</v>
      </c>
      <c r="D244" s="149" t="str">
        <f>IFERROR(VLOOKUP($B244,OverallResults!$B$3:$Z$508,3,FALSE),"")</f>
        <v/>
      </c>
      <c r="E244" s="146" t="str">
        <f>IFERROR(VLOOKUP(C244,SeriesPoints!$A$2:$B$51,2,FALSE),"")</f>
        <v/>
      </c>
      <c r="F244" s="148" t="str">
        <f>IFERROR(VLOOKUP($D244,EntryList!$B$3:$V$291,21,FALSE),"")</f>
        <v/>
      </c>
      <c r="G244" s="100" t="str">
        <f>IFERROR(VLOOKUP($D244,EntryList!$B$3:$N$596,5,FALSE),"")</f>
        <v/>
      </c>
      <c r="H244" s="145" t="str">
        <f>IFERROR(VLOOKUP($D244,EntryList!$B$3:$N$596,6,FALSE),"")</f>
        <v/>
      </c>
      <c r="I244" s="331" t="str">
        <f>IFERROR(VLOOKUP($B244,OverallResults!$B$3:$Z$492,8,FALSE),"")</f>
        <v/>
      </c>
      <c r="J244" s="58" t="str">
        <f>IFERROR(VLOOKUP($B244,OverallResults!$B$3:$BB$492,9,FALSE),"")</f>
        <v/>
      </c>
      <c r="K244" s="58" t="str">
        <f>IFERROR(VLOOKUP($B244,OverallResults!$B$3:$BB$492,10,FALSE),"")</f>
        <v/>
      </c>
      <c r="L244" s="58" t="str">
        <f>IFERROR(VLOOKUP($B244,OverallResults!$B$3:$BB$492,11,FALSE),"")</f>
        <v/>
      </c>
      <c r="M244" s="58" t="str">
        <f>IFERROR(VLOOKUP($B244,OverallResults!$B$3:$BB$492,12,FALSE),"")</f>
        <v/>
      </c>
      <c r="N244" s="58" t="str">
        <f>IFERROR(VLOOKUP($B244,OverallResults!$B$3:$BB$492,13,FALSE),"")</f>
        <v/>
      </c>
      <c r="O244" s="58" t="str">
        <f>IFERROR(VLOOKUP($B244,OverallResults!$B$3:$BB$492,14,FALSE),"")</f>
        <v/>
      </c>
      <c r="P244" s="58" t="str">
        <f>IFERROR(VLOOKUP($B244,OverallResults!$B$3:$BB$492,15,FALSE),"")</f>
        <v/>
      </c>
      <c r="Q244" s="58" t="str">
        <f>IFERROR(VLOOKUP($B244,OverallResults!$B$3:$BB$492,16,FALSE),"")</f>
        <v/>
      </c>
      <c r="R244" s="58" t="str">
        <f>IFERROR(VLOOKUP($B244,OverallResults!$B$3:$BB$492,17,FALSE),"")</f>
        <v/>
      </c>
      <c r="S244" s="170" t="str">
        <f t="shared" si="6"/>
        <v>N/A</v>
      </c>
      <c r="T244" s="170" t="e">
        <f t="shared" si="7"/>
        <v>#VALUE!</v>
      </c>
      <c r="U244" s="359" t="str">
        <f>IFERROR(VLOOKUP($D244,EntryList!$B$3:$S$291,18,FALSE),"")</f>
        <v/>
      </c>
      <c r="V244" s="359" t="str">
        <f>IFERROR(VLOOKUP($D244,EntryList!$B$3:$S$291,17,FALSE),"")</f>
        <v/>
      </c>
    </row>
    <row r="245" spans="2:22">
      <c r="B245" s="59">
        <v>240</v>
      </c>
      <c r="C245" s="59" t="str">
        <f>IFERROR(VLOOKUP($B245,OverallResults!$B$3:$Z$508,2,FALSE),"")</f>
        <v>DNF</v>
      </c>
      <c r="D245" s="149" t="str">
        <f>IFERROR(VLOOKUP($B245,OverallResults!$B$3:$Z$508,3,FALSE),"")</f>
        <v/>
      </c>
      <c r="E245" s="146" t="str">
        <f>IFERROR(VLOOKUP(C245,SeriesPoints!$A$2:$B$51,2,FALSE),"")</f>
        <v/>
      </c>
      <c r="F245" s="148" t="str">
        <f>IFERROR(VLOOKUP($D245,EntryList!$B$3:$V$291,21,FALSE),"")</f>
        <v/>
      </c>
      <c r="G245" s="100" t="str">
        <f>IFERROR(VLOOKUP($D245,EntryList!$B$3:$N$596,5,FALSE),"")</f>
        <v/>
      </c>
      <c r="H245" s="145" t="str">
        <f>IFERROR(VLOOKUP($D245,EntryList!$B$3:$N$596,6,FALSE),"")</f>
        <v/>
      </c>
      <c r="I245" s="331" t="str">
        <f>IFERROR(VLOOKUP($B245,OverallResults!$B$3:$Z$492,8,FALSE),"")</f>
        <v/>
      </c>
      <c r="J245" s="58" t="str">
        <f>IFERROR(VLOOKUP($B245,OverallResults!$B$3:$BB$492,9,FALSE),"")</f>
        <v/>
      </c>
      <c r="K245" s="58" t="str">
        <f>IFERROR(VLOOKUP($B245,OverallResults!$B$3:$BB$492,10,FALSE),"")</f>
        <v/>
      </c>
      <c r="L245" s="58" t="str">
        <f>IFERROR(VLOOKUP($B245,OverallResults!$B$3:$BB$492,11,FALSE),"")</f>
        <v/>
      </c>
      <c r="M245" s="58" t="str">
        <f>IFERROR(VLOOKUP($B245,OverallResults!$B$3:$BB$492,12,FALSE),"")</f>
        <v/>
      </c>
      <c r="N245" s="58" t="str">
        <f>IFERROR(VLOOKUP($B245,OverallResults!$B$3:$BB$492,13,FALSE),"")</f>
        <v/>
      </c>
      <c r="O245" s="58" t="str">
        <f>IFERROR(VLOOKUP($B245,OverallResults!$B$3:$BB$492,14,FALSE),"")</f>
        <v/>
      </c>
      <c r="P245" s="58" t="str">
        <f>IFERROR(VLOOKUP($B245,OverallResults!$B$3:$BB$492,15,FALSE),"")</f>
        <v/>
      </c>
      <c r="Q245" s="58" t="str">
        <f>IFERROR(VLOOKUP($B245,OverallResults!$B$3:$BB$492,16,FALSE),"")</f>
        <v/>
      </c>
      <c r="R245" s="58" t="str">
        <f>IFERROR(VLOOKUP($B245,OverallResults!$B$3:$BB$492,17,FALSE),"")</f>
        <v/>
      </c>
      <c r="S245" s="170" t="str">
        <f t="shared" si="6"/>
        <v>N/A</v>
      </c>
      <c r="T245" s="170" t="e">
        <f t="shared" si="7"/>
        <v>#VALUE!</v>
      </c>
      <c r="U245" s="359" t="str">
        <f>IFERROR(VLOOKUP($D245,EntryList!$B$3:$S$291,18,FALSE),"")</f>
        <v/>
      </c>
      <c r="V245" s="359" t="str">
        <f>IFERROR(VLOOKUP($D245,EntryList!$B$3:$S$291,17,FALSE),"")</f>
        <v/>
      </c>
    </row>
    <row r="246" spans="2:22">
      <c r="B246" s="59">
        <v>241</v>
      </c>
      <c r="C246" s="59" t="str">
        <f>IFERROR(VLOOKUP($B246,OverallResults!$B$3:$Z$508,2,FALSE),"")</f>
        <v>DNF</v>
      </c>
      <c r="D246" s="149" t="str">
        <f>IFERROR(VLOOKUP($B246,OverallResults!$B$3:$Z$508,3,FALSE),"")</f>
        <v/>
      </c>
      <c r="E246" s="146" t="str">
        <f>IFERROR(VLOOKUP(C246,SeriesPoints!$A$2:$B$51,2,FALSE),"")</f>
        <v/>
      </c>
      <c r="F246" s="148" t="str">
        <f>IFERROR(VLOOKUP($D246,EntryList!$B$3:$V$291,21,FALSE),"")</f>
        <v/>
      </c>
      <c r="G246" s="100" t="str">
        <f>IFERROR(VLOOKUP($D246,EntryList!$B$3:$N$596,5,FALSE),"")</f>
        <v/>
      </c>
      <c r="H246" s="145" t="str">
        <f>IFERROR(VLOOKUP($D246,EntryList!$B$3:$N$596,6,FALSE),"")</f>
        <v/>
      </c>
      <c r="I246" s="331" t="str">
        <f>IFERROR(VLOOKUP($B246,OverallResults!$B$3:$Z$492,8,FALSE),"")</f>
        <v/>
      </c>
      <c r="J246" s="58" t="str">
        <f>IFERROR(VLOOKUP($B246,OverallResults!$B$3:$BB$492,9,FALSE),"")</f>
        <v/>
      </c>
      <c r="K246" s="58" t="str">
        <f>IFERROR(VLOOKUP($B246,OverallResults!$B$3:$BB$492,10,FALSE),"")</f>
        <v/>
      </c>
      <c r="L246" s="58" t="str">
        <f>IFERROR(VLOOKUP($B246,OverallResults!$B$3:$BB$492,11,FALSE),"")</f>
        <v/>
      </c>
      <c r="M246" s="58" t="str">
        <f>IFERROR(VLOOKUP($B246,OverallResults!$B$3:$BB$492,12,FALSE),"")</f>
        <v/>
      </c>
      <c r="N246" s="58" t="str">
        <f>IFERROR(VLOOKUP($B246,OverallResults!$B$3:$BB$492,13,FALSE),"")</f>
        <v/>
      </c>
      <c r="O246" s="58" t="str">
        <f>IFERROR(VLOOKUP($B246,OverallResults!$B$3:$BB$492,14,FALSE),"")</f>
        <v/>
      </c>
      <c r="P246" s="58" t="str">
        <f>IFERROR(VLOOKUP($B246,OverallResults!$B$3:$BB$492,15,FALSE),"")</f>
        <v/>
      </c>
      <c r="Q246" s="58" t="str">
        <f>IFERROR(VLOOKUP($B246,OverallResults!$B$3:$BB$492,16,FALSE),"")</f>
        <v/>
      </c>
      <c r="R246" s="58" t="str">
        <f>IFERROR(VLOOKUP($B246,OverallResults!$B$3:$BB$492,17,FALSE),"")</f>
        <v/>
      </c>
      <c r="S246" s="170" t="str">
        <f t="shared" si="6"/>
        <v>N/A</v>
      </c>
      <c r="T246" s="170" t="e">
        <f t="shared" si="7"/>
        <v>#VALUE!</v>
      </c>
      <c r="U246" s="359" t="str">
        <f>IFERROR(VLOOKUP($D246,EntryList!$B$3:$S$291,18,FALSE),"")</f>
        <v/>
      </c>
      <c r="V246" s="359" t="str">
        <f>IFERROR(VLOOKUP($D246,EntryList!$B$3:$S$291,17,FALSE),"")</f>
        <v/>
      </c>
    </row>
    <row r="247" spans="2:22">
      <c r="B247" s="59">
        <v>242</v>
      </c>
      <c r="C247" s="59" t="str">
        <f>IFERROR(VLOOKUP($B247,OverallResults!$B$3:$Z$508,2,FALSE),"")</f>
        <v>DNF</v>
      </c>
      <c r="D247" s="149" t="str">
        <f>IFERROR(VLOOKUP($B247,OverallResults!$B$3:$Z$508,3,FALSE),"")</f>
        <v/>
      </c>
      <c r="E247" s="146" t="str">
        <f>IFERROR(VLOOKUP(C247,SeriesPoints!$A$2:$B$51,2,FALSE),"")</f>
        <v/>
      </c>
      <c r="F247" s="148" t="str">
        <f>IFERROR(VLOOKUP($D247,EntryList!$B$3:$V$291,21,FALSE),"")</f>
        <v/>
      </c>
      <c r="G247" s="100" t="str">
        <f>IFERROR(VLOOKUP($D247,EntryList!$B$3:$N$596,5,FALSE),"")</f>
        <v/>
      </c>
      <c r="H247" s="145" t="str">
        <f>IFERROR(VLOOKUP($D247,EntryList!$B$3:$N$596,6,FALSE),"")</f>
        <v/>
      </c>
      <c r="I247" s="331" t="str">
        <f>IFERROR(VLOOKUP($B247,OverallResults!$B$3:$Z$492,8,FALSE),"")</f>
        <v/>
      </c>
      <c r="J247" s="58" t="str">
        <f>IFERROR(VLOOKUP($B247,OverallResults!$B$3:$BB$492,9,FALSE),"")</f>
        <v/>
      </c>
      <c r="K247" s="58" t="str">
        <f>IFERROR(VLOOKUP($B247,OverallResults!$B$3:$BB$492,10,FALSE),"")</f>
        <v/>
      </c>
      <c r="L247" s="58" t="str">
        <f>IFERROR(VLOOKUP($B247,OverallResults!$B$3:$BB$492,11,FALSE),"")</f>
        <v/>
      </c>
      <c r="M247" s="58" t="str">
        <f>IFERROR(VLOOKUP($B247,OverallResults!$B$3:$BB$492,12,FALSE),"")</f>
        <v/>
      </c>
      <c r="N247" s="58" t="str">
        <f>IFERROR(VLOOKUP($B247,OverallResults!$B$3:$BB$492,13,FALSE),"")</f>
        <v/>
      </c>
      <c r="O247" s="58" t="str">
        <f>IFERROR(VLOOKUP($B247,OverallResults!$B$3:$BB$492,14,FALSE),"")</f>
        <v/>
      </c>
      <c r="P247" s="58" t="str">
        <f>IFERROR(VLOOKUP($B247,OverallResults!$B$3:$BB$492,15,FALSE),"")</f>
        <v/>
      </c>
      <c r="Q247" s="58" t="str">
        <f>IFERROR(VLOOKUP($B247,OverallResults!$B$3:$BB$492,16,FALSE),"")</f>
        <v/>
      </c>
      <c r="R247" s="58" t="str">
        <f>IFERROR(VLOOKUP($B247,OverallResults!$B$3:$BB$492,17,FALSE),"")</f>
        <v/>
      </c>
      <c r="S247" s="170" t="str">
        <f t="shared" si="6"/>
        <v>N/A</v>
      </c>
      <c r="T247" s="170" t="e">
        <f t="shared" si="7"/>
        <v>#VALUE!</v>
      </c>
      <c r="U247" s="359" t="str">
        <f>IFERROR(VLOOKUP($D247,EntryList!$B$3:$S$291,18,FALSE),"")</f>
        <v/>
      </c>
      <c r="V247" s="359" t="str">
        <f>IFERROR(VLOOKUP($D247,EntryList!$B$3:$S$291,17,FALSE),"")</f>
        <v/>
      </c>
    </row>
    <row r="248" spans="2:22">
      <c r="B248" s="59">
        <v>243</v>
      </c>
      <c r="C248" s="59" t="str">
        <f>IFERROR(VLOOKUP($B248,OverallResults!$B$3:$Z$508,2,FALSE),"")</f>
        <v>DNF</v>
      </c>
      <c r="D248" s="149" t="str">
        <f>IFERROR(VLOOKUP($B248,OverallResults!$B$3:$Z$508,3,FALSE),"")</f>
        <v/>
      </c>
      <c r="E248" s="146" t="str">
        <f>IFERROR(VLOOKUP(C248,SeriesPoints!$A$2:$B$51,2,FALSE),"")</f>
        <v/>
      </c>
      <c r="F248" s="148" t="str">
        <f>IFERROR(VLOOKUP($D248,EntryList!$B$3:$V$291,21,FALSE),"")</f>
        <v/>
      </c>
      <c r="G248" s="100" t="str">
        <f>IFERROR(VLOOKUP($D248,EntryList!$B$3:$N$596,5,FALSE),"")</f>
        <v/>
      </c>
      <c r="H248" s="145" t="str">
        <f>IFERROR(VLOOKUP($D248,EntryList!$B$3:$N$596,6,FALSE),"")</f>
        <v/>
      </c>
      <c r="I248" s="331" t="str">
        <f>IFERROR(VLOOKUP($B248,OverallResults!$B$3:$Z$492,8,FALSE),"")</f>
        <v/>
      </c>
      <c r="J248" s="58" t="str">
        <f>IFERROR(VLOOKUP($B248,OverallResults!$B$3:$BB$492,9,FALSE),"")</f>
        <v/>
      </c>
      <c r="K248" s="58" t="str">
        <f>IFERROR(VLOOKUP($B248,OverallResults!$B$3:$BB$492,10,FALSE),"")</f>
        <v/>
      </c>
      <c r="L248" s="58" t="str">
        <f>IFERROR(VLOOKUP($B248,OverallResults!$B$3:$BB$492,11,FALSE),"")</f>
        <v/>
      </c>
      <c r="M248" s="58" t="str">
        <f>IFERROR(VLOOKUP($B248,OverallResults!$B$3:$BB$492,12,FALSE),"")</f>
        <v/>
      </c>
      <c r="N248" s="58" t="str">
        <f>IFERROR(VLOOKUP($B248,OverallResults!$B$3:$BB$492,13,FALSE),"")</f>
        <v/>
      </c>
      <c r="O248" s="58" t="str">
        <f>IFERROR(VLOOKUP($B248,OverallResults!$B$3:$BB$492,14,FALSE),"")</f>
        <v/>
      </c>
      <c r="P248" s="58" t="str">
        <f>IFERROR(VLOOKUP($B248,OverallResults!$B$3:$BB$492,15,FALSE),"")</f>
        <v/>
      </c>
      <c r="Q248" s="58" t="str">
        <f>IFERROR(VLOOKUP($B248,OverallResults!$B$3:$BB$492,16,FALSE),"")</f>
        <v/>
      </c>
      <c r="R248" s="58" t="str">
        <f>IFERROR(VLOOKUP($B248,OverallResults!$B$3:$BB$492,17,FALSE),"")</f>
        <v/>
      </c>
      <c r="S248" s="170" t="str">
        <f t="shared" si="6"/>
        <v>N/A</v>
      </c>
      <c r="T248" s="170" t="e">
        <f t="shared" si="7"/>
        <v>#VALUE!</v>
      </c>
      <c r="U248" s="359" t="str">
        <f>IFERROR(VLOOKUP($D248,EntryList!$B$3:$S$291,18,FALSE),"")</f>
        <v/>
      </c>
      <c r="V248" s="359" t="str">
        <f>IFERROR(VLOOKUP($D248,EntryList!$B$3:$S$291,17,FALSE),"")</f>
        <v/>
      </c>
    </row>
    <row r="249" spans="2:22">
      <c r="B249" s="59">
        <v>244</v>
      </c>
      <c r="C249" s="59" t="str">
        <f>IFERROR(VLOOKUP($B249,OverallResults!$B$3:$Z$508,2,FALSE),"")</f>
        <v>DNF</v>
      </c>
      <c r="D249" s="149" t="str">
        <f>IFERROR(VLOOKUP($B249,OverallResults!$B$3:$Z$508,3,FALSE),"")</f>
        <v/>
      </c>
      <c r="E249" s="146" t="str">
        <f>IFERROR(VLOOKUP(C249,SeriesPoints!$A$2:$B$51,2,FALSE),"")</f>
        <v/>
      </c>
      <c r="F249" s="148" t="str">
        <f>IFERROR(VLOOKUP($D249,EntryList!$B$3:$V$291,21,FALSE),"")</f>
        <v/>
      </c>
      <c r="G249" s="100" t="str">
        <f>IFERROR(VLOOKUP($D249,EntryList!$B$3:$N$596,5,FALSE),"")</f>
        <v/>
      </c>
      <c r="H249" s="145" t="str">
        <f>IFERROR(VLOOKUP($D249,EntryList!$B$3:$N$596,6,FALSE),"")</f>
        <v/>
      </c>
      <c r="I249" s="331" t="str">
        <f>IFERROR(VLOOKUP($B249,OverallResults!$B$3:$Z$492,8,FALSE),"")</f>
        <v/>
      </c>
      <c r="J249" s="58" t="str">
        <f>IFERROR(VLOOKUP($B249,OverallResults!$B$3:$BB$492,9,FALSE),"")</f>
        <v/>
      </c>
      <c r="K249" s="58" t="str">
        <f>IFERROR(VLOOKUP($B249,OverallResults!$B$3:$BB$492,10,FALSE),"")</f>
        <v/>
      </c>
      <c r="L249" s="58" t="str">
        <f>IFERROR(VLOOKUP($B249,OverallResults!$B$3:$BB$492,11,FALSE),"")</f>
        <v/>
      </c>
      <c r="M249" s="58" t="str">
        <f>IFERROR(VLOOKUP($B249,OverallResults!$B$3:$BB$492,12,FALSE),"")</f>
        <v/>
      </c>
      <c r="N249" s="58" t="str">
        <f>IFERROR(VLOOKUP($B249,OverallResults!$B$3:$BB$492,13,FALSE),"")</f>
        <v/>
      </c>
      <c r="O249" s="58" t="str">
        <f>IFERROR(VLOOKUP($B249,OverallResults!$B$3:$BB$492,14,FALSE),"")</f>
        <v/>
      </c>
      <c r="P249" s="58" t="str">
        <f>IFERROR(VLOOKUP($B249,OverallResults!$B$3:$BB$492,15,FALSE),"")</f>
        <v/>
      </c>
      <c r="Q249" s="58" t="str">
        <f>IFERROR(VLOOKUP($B249,OverallResults!$B$3:$BB$492,16,FALSE),"")</f>
        <v/>
      </c>
      <c r="R249" s="58" t="str">
        <f>IFERROR(VLOOKUP($B249,OverallResults!$B$3:$BB$492,17,FALSE),"")</f>
        <v/>
      </c>
      <c r="S249" s="170" t="str">
        <f t="shared" si="6"/>
        <v>N/A</v>
      </c>
      <c r="T249" s="170" t="e">
        <f t="shared" si="7"/>
        <v>#VALUE!</v>
      </c>
      <c r="U249" s="359" t="str">
        <f>IFERROR(VLOOKUP($D249,EntryList!$B$3:$S$291,18,FALSE),"")</f>
        <v/>
      </c>
      <c r="V249" s="359" t="str">
        <f>IFERROR(VLOOKUP($D249,EntryList!$B$3:$S$291,17,FALSE),"")</f>
        <v/>
      </c>
    </row>
    <row r="250" spans="2:22">
      <c r="B250" s="59">
        <v>245</v>
      </c>
      <c r="C250" s="59" t="str">
        <f>IFERROR(VLOOKUP($B250,OverallResults!$B$3:$Z$508,2,FALSE),"")</f>
        <v>DNF</v>
      </c>
      <c r="D250" s="149" t="str">
        <f>IFERROR(VLOOKUP($B250,OverallResults!$B$3:$Z$508,3,FALSE),"")</f>
        <v/>
      </c>
      <c r="E250" s="146" t="str">
        <f>IFERROR(VLOOKUP(C250,SeriesPoints!$A$2:$B$51,2,FALSE),"")</f>
        <v/>
      </c>
      <c r="F250" s="148" t="str">
        <f>IFERROR(VLOOKUP($D250,EntryList!$B$3:$V$291,21,FALSE),"")</f>
        <v/>
      </c>
      <c r="G250" s="100" t="str">
        <f>IFERROR(VLOOKUP($D250,EntryList!$B$3:$N$596,5,FALSE),"")</f>
        <v/>
      </c>
      <c r="H250" s="145" t="str">
        <f>IFERROR(VLOOKUP($D250,EntryList!$B$3:$N$596,6,FALSE),"")</f>
        <v/>
      </c>
      <c r="I250" s="331" t="str">
        <f>IFERROR(VLOOKUP($B250,OverallResults!$B$3:$Z$492,8,FALSE),"")</f>
        <v/>
      </c>
      <c r="J250" s="58" t="str">
        <f>IFERROR(VLOOKUP($B250,OverallResults!$B$3:$BB$492,9,FALSE),"")</f>
        <v/>
      </c>
      <c r="K250" s="58" t="str">
        <f>IFERROR(VLOOKUP($B250,OverallResults!$B$3:$BB$492,10,FALSE),"")</f>
        <v/>
      </c>
      <c r="L250" s="58" t="str">
        <f>IFERROR(VLOOKUP($B250,OverallResults!$B$3:$BB$492,11,FALSE),"")</f>
        <v/>
      </c>
      <c r="M250" s="58" t="str">
        <f>IFERROR(VLOOKUP($B250,OverallResults!$B$3:$BB$492,12,FALSE),"")</f>
        <v/>
      </c>
      <c r="N250" s="58" t="str">
        <f>IFERROR(VLOOKUP($B250,OverallResults!$B$3:$BB$492,13,FALSE),"")</f>
        <v/>
      </c>
      <c r="O250" s="58" t="str">
        <f>IFERROR(VLOOKUP($B250,OverallResults!$B$3:$BB$492,14,FALSE),"")</f>
        <v/>
      </c>
      <c r="P250" s="58" t="str">
        <f>IFERROR(VLOOKUP($B250,OverallResults!$B$3:$BB$492,15,FALSE),"")</f>
        <v/>
      </c>
      <c r="Q250" s="58" t="str">
        <f>IFERROR(VLOOKUP($B250,OverallResults!$B$3:$BB$492,16,FALSE),"")</f>
        <v/>
      </c>
      <c r="R250" s="58" t="str">
        <f>IFERROR(VLOOKUP($B250,OverallResults!$B$3:$BB$492,17,FALSE),"")</f>
        <v/>
      </c>
      <c r="S250" s="170" t="str">
        <f t="shared" si="6"/>
        <v>N/A</v>
      </c>
      <c r="T250" s="170" t="e">
        <f t="shared" si="7"/>
        <v>#VALUE!</v>
      </c>
      <c r="U250" s="359" t="str">
        <f>IFERROR(VLOOKUP($D250,EntryList!$B$3:$S$291,18,FALSE),"")</f>
        <v/>
      </c>
      <c r="V250" s="359" t="str">
        <f>IFERROR(VLOOKUP($D250,EntryList!$B$3:$S$291,17,FALSE),"")</f>
        <v/>
      </c>
    </row>
    <row r="251" spans="2:22">
      <c r="B251" s="59">
        <v>246</v>
      </c>
      <c r="C251" s="59" t="str">
        <f>IFERROR(VLOOKUP($B251,OverallResults!$B$3:$Z$508,2,FALSE),"")</f>
        <v>DNF</v>
      </c>
      <c r="D251" s="149" t="str">
        <f>IFERROR(VLOOKUP($B251,OverallResults!$B$3:$Z$508,3,FALSE),"")</f>
        <v/>
      </c>
      <c r="E251" s="146" t="str">
        <f>IFERROR(VLOOKUP(C251,SeriesPoints!$A$2:$B$51,2,FALSE),"")</f>
        <v/>
      </c>
      <c r="F251" s="148" t="str">
        <f>IFERROR(VLOOKUP($D251,EntryList!$B$3:$V$291,21,FALSE),"")</f>
        <v/>
      </c>
      <c r="G251" s="100" t="str">
        <f>IFERROR(VLOOKUP($D251,EntryList!$B$3:$N$596,5,FALSE),"")</f>
        <v/>
      </c>
      <c r="H251" s="145" t="str">
        <f>IFERROR(VLOOKUP($D251,EntryList!$B$3:$N$596,6,FALSE),"")</f>
        <v/>
      </c>
      <c r="I251" s="331" t="str">
        <f>IFERROR(VLOOKUP($B251,OverallResults!$B$3:$Z$492,8,FALSE),"")</f>
        <v/>
      </c>
      <c r="J251" s="58" t="str">
        <f>IFERROR(VLOOKUP($B251,OverallResults!$B$3:$BB$492,9,FALSE),"")</f>
        <v/>
      </c>
      <c r="K251" s="58" t="str">
        <f>IFERROR(VLOOKUP($B251,OverallResults!$B$3:$BB$492,10,FALSE),"")</f>
        <v/>
      </c>
      <c r="L251" s="58" t="str">
        <f>IFERROR(VLOOKUP($B251,OverallResults!$B$3:$BB$492,11,FALSE),"")</f>
        <v/>
      </c>
      <c r="M251" s="58" t="str">
        <f>IFERROR(VLOOKUP($B251,OverallResults!$B$3:$BB$492,12,FALSE),"")</f>
        <v/>
      </c>
      <c r="N251" s="58" t="str">
        <f>IFERROR(VLOOKUP($B251,OverallResults!$B$3:$BB$492,13,FALSE),"")</f>
        <v/>
      </c>
      <c r="O251" s="58" t="str">
        <f>IFERROR(VLOOKUP($B251,OverallResults!$B$3:$BB$492,14,FALSE),"")</f>
        <v/>
      </c>
      <c r="P251" s="58" t="str">
        <f>IFERROR(VLOOKUP($B251,OverallResults!$B$3:$BB$492,15,FALSE),"")</f>
        <v/>
      </c>
      <c r="Q251" s="58" t="str">
        <f>IFERROR(VLOOKUP($B251,OverallResults!$B$3:$BB$492,16,FALSE),"")</f>
        <v/>
      </c>
      <c r="R251" s="58" t="str">
        <f>IFERROR(VLOOKUP($B251,OverallResults!$B$3:$BB$492,17,FALSE),"")</f>
        <v/>
      </c>
      <c r="S251" s="170" t="str">
        <f t="shared" si="6"/>
        <v>N/A</v>
      </c>
      <c r="T251" s="170" t="e">
        <f t="shared" si="7"/>
        <v>#VALUE!</v>
      </c>
      <c r="U251" s="359" t="str">
        <f>IFERROR(VLOOKUP($D251,EntryList!$B$3:$S$291,18,FALSE),"")</f>
        <v/>
      </c>
      <c r="V251" s="359" t="str">
        <f>IFERROR(VLOOKUP($D251,EntryList!$B$3:$S$291,17,FALSE),"")</f>
        <v/>
      </c>
    </row>
    <row r="252" spans="2:22">
      <c r="B252" s="59">
        <v>247</v>
      </c>
      <c r="C252" s="59" t="str">
        <f>IFERROR(VLOOKUP($B252,OverallResults!$B$3:$Z$508,2,FALSE),"")</f>
        <v>DNF</v>
      </c>
      <c r="D252" s="149" t="str">
        <f>IFERROR(VLOOKUP($B252,OverallResults!$B$3:$Z$508,3,FALSE),"")</f>
        <v/>
      </c>
      <c r="E252" s="146" t="str">
        <f>IFERROR(VLOOKUP(C252,SeriesPoints!$A$2:$B$51,2,FALSE),"")</f>
        <v/>
      </c>
      <c r="F252" s="148" t="str">
        <f>IFERROR(VLOOKUP($D252,EntryList!$B$3:$V$291,21,FALSE),"")</f>
        <v/>
      </c>
      <c r="G252" s="100" t="str">
        <f>IFERROR(VLOOKUP($D252,EntryList!$B$3:$N$596,5,FALSE),"")</f>
        <v/>
      </c>
      <c r="H252" s="145" t="str">
        <f>IFERROR(VLOOKUP($D252,EntryList!$B$3:$N$596,6,FALSE),"")</f>
        <v/>
      </c>
      <c r="I252" s="331" t="str">
        <f>IFERROR(VLOOKUP($B252,OverallResults!$B$3:$Z$492,8,FALSE),"")</f>
        <v/>
      </c>
      <c r="J252" s="58" t="str">
        <f>IFERROR(VLOOKUP($B252,OverallResults!$B$3:$BB$492,9,FALSE),"")</f>
        <v/>
      </c>
      <c r="K252" s="58" t="str">
        <f>IFERROR(VLOOKUP($B252,OverallResults!$B$3:$BB$492,10,FALSE),"")</f>
        <v/>
      </c>
      <c r="L252" s="58" t="str">
        <f>IFERROR(VLOOKUP($B252,OverallResults!$B$3:$BB$492,11,FALSE),"")</f>
        <v/>
      </c>
      <c r="M252" s="58" t="str">
        <f>IFERROR(VLOOKUP($B252,OverallResults!$B$3:$BB$492,12,FALSE),"")</f>
        <v/>
      </c>
      <c r="N252" s="58" t="str">
        <f>IFERROR(VLOOKUP($B252,OverallResults!$B$3:$BB$492,13,FALSE),"")</f>
        <v/>
      </c>
      <c r="O252" s="58" t="str">
        <f>IFERROR(VLOOKUP($B252,OverallResults!$B$3:$BB$492,14,FALSE),"")</f>
        <v/>
      </c>
      <c r="P252" s="58" t="str">
        <f>IFERROR(VLOOKUP($B252,OverallResults!$B$3:$BB$492,15,FALSE),"")</f>
        <v/>
      </c>
      <c r="Q252" s="58" t="str">
        <f>IFERROR(VLOOKUP($B252,OverallResults!$B$3:$BB$492,16,FALSE),"")</f>
        <v/>
      </c>
      <c r="R252" s="58" t="str">
        <f>IFERROR(VLOOKUP($B252,OverallResults!$B$3:$BB$492,17,FALSE),"")</f>
        <v/>
      </c>
      <c r="S252" s="170" t="str">
        <f t="shared" si="6"/>
        <v>N/A</v>
      </c>
      <c r="T252" s="170" t="e">
        <f t="shared" si="7"/>
        <v>#VALUE!</v>
      </c>
      <c r="U252" s="359" t="str">
        <f>IFERROR(VLOOKUP($D252,EntryList!$B$3:$S$291,18,FALSE),"")</f>
        <v/>
      </c>
      <c r="V252" s="359" t="str">
        <f>IFERROR(VLOOKUP($D252,EntryList!$B$3:$S$291,17,FALSE),"")</f>
        <v/>
      </c>
    </row>
    <row r="253" spans="2:22">
      <c r="B253" s="59">
        <v>248</v>
      </c>
      <c r="C253" s="59" t="str">
        <f>IFERROR(VLOOKUP($B253,OverallResults!$B$3:$Z$508,2,FALSE),"")</f>
        <v>DNF</v>
      </c>
      <c r="D253" s="149" t="str">
        <f>IFERROR(VLOOKUP($B253,OverallResults!$B$3:$Z$508,3,FALSE),"")</f>
        <v/>
      </c>
      <c r="E253" s="146" t="str">
        <f>IFERROR(VLOOKUP(C253,SeriesPoints!$A$2:$B$51,2,FALSE),"")</f>
        <v/>
      </c>
      <c r="F253" s="148" t="str">
        <f>IFERROR(VLOOKUP($D253,EntryList!$B$3:$V$291,21,FALSE),"")</f>
        <v/>
      </c>
      <c r="G253" s="100" t="str">
        <f>IFERROR(VLOOKUP($D253,EntryList!$B$3:$N$596,5,FALSE),"")</f>
        <v/>
      </c>
      <c r="H253" s="145" t="str">
        <f>IFERROR(VLOOKUP($D253,EntryList!$B$3:$N$596,6,FALSE),"")</f>
        <v/>
      </c>
      <c r="I253" s="331" t="str">
        <f>IFERROR(VLOOKUP($B253,OverallResults!$B$3:$Z$492,8,FALSE),"")</f>
        <v/>
      </c>
      <c r="J253" s="58" t="str">
        <f>IFERROR(VLOOKUP($B253,OverallResults!$B$3:$BB$492,9,FALSE),"")</f>
        <v/>
      </c>
      <c r="K253" s="58" t="str">
        <f>IFERROR(VLOOKUP($B253,OverallResults!$B$3:$BB$492,10,FALSE),"")</f>
        <v/>
      </c>
      <c r="L253" s="58" t="str">
        <f>IFERROR(VLOOKUP($B253,OverallResults!$B$3:$BB$492,11,FALSE),"")</f>
        <v/>
      </c>
      <c r="M253" s="58" t="str">
        <f>IFERROR(VLOOKUP($B253,OverallResults!$B$3:$BB$492,12,FALSE),"")</f>
        <v/>
      </c>
      <c r="N253" s="58" t="str">
        <f>IFERROR(VLOOKUP($B253,OverallResults!$B$3:$BB$492,13,FALSE),"")</f>
        <v/>
      </c>
      <c r="O253" s="58" t="str">
        <f>IFERROR(VLOOKUP($B253,OverallResults!$B$3:$BB$492,14,FALSE),"")</f>
        <v/>
      </c>
      <c r="P253" s="58" t="str">
        <f>IFERROR(VLOOKUP($B253,OverallResults!$B$3:$BB$492,15,FALSE),"")</f>
        <v/>
      </c>
      <c r="Q253" s="58" t="str">
        <f>IFERROR(VLOOKUP($B253,OverallResults!$B$3:$BB$492,16,FALSE),"")</f>
        <v/>
      </c>
      <c r="R253" s="58" t="str">
        <f>IFERROR(VLOOKUP($B253,OverallResults!$B$3:$BB$492,17,FALSE),"")</f>
        <v/>
      </c>
      <c r="S253" s="170" t="str">
        <f t="shared" si="6"/>
        <v>N/A</v>
      </c>
      <c r="T253" s="170" t="e">
        <f t="shared" si="7"/>
        <v>#VALUE!</v>
      </c>
      <c r="U253" s="359" t="str">
        <f>IFERROR(VLOOKUP($D253,EntryList!$B$3:$S$291,18,FALSE),"")</f>
        <v/>
      </c>
      <c r="V253" s="359" t="str">
        <f>IFERROR(VLOOKUP($D253,EntryList!$B$3:$S$291,17,FALSE),"")</f>
        <v/>
      </c>
    </row>
    <row r="254" spans="2:22">
      <c r="B254" s="59">
        <v>249</v>
      </c>
      <c r="C254" s="59" t="str">
        <f>IFERROR(VLOOKUP($B254,OverallResults!$B$3:$Z$508,2,FALSE),"")</f>
        <v>DNF</v>
      </c>
      <c r="D254" s="149" t="str">
        <f>IFERROR(VLOOKUP($B254,OverallResults!$B$3:$Z$508,3,FALSE),"")</f>
        <v/>
      </c>
      <c r="E254" s="146" t="str">
        <f>IFERROR(VLOOKUP(C254,SeriesPoints!$A$2:$B$51,2,FALSE),"")</f>
        <v/>
      </c>
      <c r="F254" s="148" t="str">
        <f>IFERROR(VLOOKUP($D254,EntryList!$B$3:$V$291,21,FALSE),"")</f>
        <v/>
      </c>
      <c r="G254" s="100" t="str">
        <f>IFERROR(VLOOKUP($D254,EntryList!$B$3:$N$596,5,FALSE),"")</f>
        <v/>
      </c>
      <c r="H254" s="145" t="str">
        <f>IFERROR(VLOOKUP($D254,EntryList!$B$3:$N$596,6,FALSE),"")</f>
        <v/>
      </c>
      <c r="I254" s="331" t="str">
        <f>IFERROR(VLOOKUP($B254,OverallResults!$B$3:$Z$492,8,FALSE),"")</f>
        <v/>
      </c>
      <c r="J254" s="58" t="str">
        <f>IFERROR(VLOOKUP($B254,OverallResults!$B$3:$BB$492,9,FALSE),"")</f>
        <v/>
      </c>
      <c r="K254" s="58" t="str">
        <f>IFERROR(VLOOKUP($B254,OverallResults!$B$3:$BB$492,10,FALSE),"")</f>
        <v/>
      </c>
      <c r="L254" s="58" t="str">
        <f>IFERROR(VLOOKUP($B254,OverallResults!$B$3:$BB$492,11,FALSE),"")</f>
        <v/>
      </c>
      <c r="M254" s="58" t="str">
        <f>IFERROR(VLOOKUP($B254,OverallResults!$B$3:$BB$492,12,FALSE),"")</f>
        <v/>
      </c>
      <c r="N254" s="58" t="str">
        <f>IFERROR(VLOOKUP($B254,OverallResults!$B$3:$BB$492,13,FALSE),"")</f>
        <v/>
      </c>
      <c r="O254" s="58" t="str">
        <f>IFERROR(VLOOKUP($B254,OverallResults!$B$3:$BB$492,14,FALSE),"")</f>
        <v/>
      </c>
      <c r="P254" s="58" t="str">
        <f>IFERROR(VLOOKUP($B254,OverallResults!$B$3:$BB$492,15,FALSE),"")</f>
        <v/>
      </c>
      <c r="Q254" s="58" t="str">
        <f>IFERROR(VLOOKUP($B254,OverallResults!$B$3:$BB$492,16,FALSE),"")</f>
        <v/>
      </c>
      <c r="R254" s="58" t="str">
        <f>IFERROR(VLOOKUP($B254,OverallResults!$B$3:$BB$492,17,FALSE),"")</f>
        <v/>
      </c>
      <c r="S254" s="170" t="str">
        <f t="shared" si="6"/>
        <v>N/A</v>
      </c>
      <c r="T254" s="170" t="e">
        <f t="shared" si="7"/>
        <v>#VALUE!</v>
      </c>
      <c r="U254" s="359" t="str">
        <f>IFERROR(VLOOKUP($D254,EntryList!$B$3:$S$291,18,FALSE),"")</f>
        <v/>
      </c>
      <c r="V254" s="359" t="str">
        <f>IFERROR(VLOOKUP($D254,EntryList!$B$3:$S$291,17,FALSE),"")</f>
        <v/>
      </c>
    </row>
    <row r="255" spans="2:22">
      <c r="B255" s="59">
        <v>250</v>
      </c>
      <c r="C255" s="59" t="str">
        <f>IFERROR(VLOOKUP($B255,OverallResults!$B$3:$Z$508,2,FALSE),"")</f>
        <v>DNF</v>
      </c>
      <c r="D255" s="149" t="str">
        <f>IFERROR(VLOOKUP($B255,OverallResults!$B$3:$Z$508,3,FALSE),"")</f>
        <v/>
      </c>
      <c r="E255" s="146" t="str">
        <f>IFERROR(VLOOKUP(C255,SeriesPoints!$A$2:$B$51,2,FALSE),"")</f>
        <v/>
      </c>
      <c r="F255" s="148" t="str">
        <f>IFERROR(VLOOKUP($D255,EntryList!$B$3:$V$291,21,FALSE),"")</f>
        <v/>
      </c>
      <c r="G255" s="100" t="str">
        <f>IFERROR(VLOOKUP($D255,EntryList!$B$3:$N$596,5,FALSE),"")</f>
        <v/>
      </c>
      <c r="H255" s="145" t="str">
        <f>IFERROR(VLOOKUP($D255,EntryList!$B$3:$N$596,6,FALSE),"")</f>
        <v/>
      </c>
      <c r="I255" s="331" t="str">
        <f>IFERROR(VLOOKUP($B255,OverallResults!$B$3:$Z$492,8,FALSE),"")</f>
        <v/>
      </c>
      <c r="J255" s="58" t="str">
        <f>IFERROR(VLOOKUP($B255,OverallResults!$B$3:$BB$492,9,FALSE),"")</f>
        <v/>
      </c>
      <c r="K255" s="58" t="str">
        <f>IFERROR(VLOOKUP($B255,OverallResults!$B$3:$BB$492,10,FALSE),"")</f>
        <v/>
      </c>
      <c r="L255" s="58" t="str">
        <f>IFERROR(VLOOKUP($B255,OverallResults!$B$3:$BB$492,11,FALSE),"")</f>
        <v/>
      </c>
      <c r="M255" s="58" t="str">
        <f>IFERROR(VLOOKUP($B255,OverallResults!$B$3:$BB$492,12,FALSE),"")</f>
        <v/>
      </c>
      <c r="N255" s="58" t="str">
        <f>IFERROR(VLOOKUP($B255,OverallResults!$B$3:$BB$492,13,FALSE),"")</f>
        <v/>
      </c>
      <c r="O255" s="58" t="str">
        <f>IFERROR(VLOOKUP($B255,OverallResults!$B$3:$BB$492,14,FALSE),"")</f>
        <v/>
      </c>
      <c r="P255" s="58" t="str">
        <f>IFERROR(VLOOKUP($B255,OverallResults!$B$3:$BB$492,15,FALSE),"")</f>
        <v/>
      </c>
      <c r="Q255" s="58" t="str">
        <f>IFERROR(VLOOKUP($B255,OverallResults!$B$3:$BB$492,16,FALSE),"")</f>
        <v/>
      </c>
      <c r="R255" s="58" t="str">
        <f>IFERROR(VLOOKUP($B255,OverallResults!$B$3:$BB$492,17,FALSE),"")</f>
        <v/>
      </c>
      <c r="S255" s="170" t="str">
        <f t="shared" si="6"/>
        <v>N/A</v>
      </c>
      <c r="T255" s="170" t="e">
        <f t="shared" si="7"/>
        <v>#VALUE!</v>
      </c>
      <c r="U255" s="359" t="str">
        <f>IFERROR(VLOOKUP($D255,EntryList!$B$3:$S$291,18,FALSE),"")</f>
        <v/>
      </c>
      <c r="V255" s="359" t="str">
        <f>IFERROR(VLOOKUP($D255,EntryList!$B$3:$S$291,17,FALSE),"")</f>
        <v/>
      </c>
    </row>
    <row r="256" spans="2:22">
      <c r="B256" s="59">
        <v>251</v>
      </c>
      <c r="C256" s="59" t="str">
        <f>IFERROR(VLOOKUP($B256,OverallResults!$B$3:$Z$508,2,FALSE),"")</f>
        <v>DNF</v>
      </c>
      <c r="D256" s="149" t="str">
        <f>IFERROR(VLOOKUP($B256,OverallResults!$B$3:$Z$508,3,FALSE),"")</f>
        <v/>
      </c>
      <c r="E256" s="146" t="str">
        <f>IFERROR(VLOOKUP(C256,SeriesPoints!$A$2:$B$51,2,FALSE),"")</f>
        <v/>
      </c>
      <c r="F256" s="148" t="str">
        <f>IFERROR(VLOOKUP($D256,EntryList!$B$3:$V$291,21,FALSE),"")</f>
        <v/>
      </c>
      <c r="G256" s="100" t="str">
        <f>IFERROR(VLOOKUP($D256,EntryList!$B$3:$N$596,5,FALSE),"")</f>
        <v/>
      </c>
      <c r="H256" s="145" t="str">
        <f>IFERROR(VLOOKUP($D256,EntryList!$B$3:$N$596,6,FALSE),"")</f>
        <v/>
      </c>
      <c r="I256" s="331" t="str">
        <f>IFERROR(VLOOKUP($B256,OverallResults!$B$3:$Z$492,8,FALSE),"")</f>
        <v/>
      </c>
      <c r="J256" s="58" t="str">
        <f>IFERROR(VLOOKUP($B256,OverallResults!$B$3:$BB$492,9,FALSE),"")</f>
        <v/>
      </c>
      <c r="K256" s="58" t="str">
        <f>IFERROR(VLOOKUP($B256,OverallResults!$B$3:$BB$492,10,FALSE),"")</f>
        <v/>
      </c>
      <c r="L256" s="58" t="str">
        <f>IFERROR(VLOOKUP($B256,OverallResults!$B$3:$BB$492,11,FALSE),"")</f>
        <v/>
      </c>
      <c r="M256" s="58" t="str">
        <f>IFERROR(VLOOKUP($B256,OverallResults!$B$3:$BB$492,12,FALSE),"")</f>
        <v/>
      </c>
      <c r="N256" s="58" t="str">
        <f>IFERROR(VLOOKUP($B256,OverallResults!$B$3:$BB$492,13,FALSE),"")</f>
        <v/>
      </c>
      <c r="O256" s="58" t="str">
        <f>IFERROR(VLOOKUP($B256,OverallResults!$B$3:$BB$492,14,FALSE),"")</f>
        <v/>
      </c>
      <c r="P256" s="58" t="str">
        <f>IFERROR(VLOOKUP($B256,OverallResults!$B$3:$BB$492,15,FALSE),"")</f>
        <v/>
      </c>
      <c r="Q256" s="58" t="str">
        <f>IFERROR(VLOOKUP($B256,OverallResults!$B$3:$BB$492,16,FALSE),"")</f>
        <v/>
      </c>
      <c r="R256" s="58" t="str">
        <f>IFERROR(VLOOKUP($B256,OverallResults!$B$3:$BB$492,17,FALSE),"")</f>
        <v/>
      </c>
      <c r="S256" s="170" t="str">
        <f t="shared" si="6"/>
        <v>N/A</v>
      </c>
      <c r="T256" s="170" t="e">
        <f t="shared" si="7"/>
        <v>#VALUE!</v>
      </c>
      <c r="U256" s="359" t="str">
        <f>IFERROR(VLOOKUP($D256,EntryList!$B$3:$S$291,18,FALSE),"")</f>
        <v/>
      </c>
      <c r="V256" s="359" t="str">
        <f>IFERROR(VLOOKUP($D256,EntryList!$B$3:$S$291,17,FALSE),"")</f>
        <v/>
      </c>
    </row>
    <row r="257" spans="2:22">
      <c r="B257" s="59">
        <v>252</v>
      </c>
      <c r="C257" s="59" t="str">
        <f>IFERROR(VLOOKUP($B257,OverallResults!$B$3:$Z$508,2,FALSE),"")</f>
        <v>DNF</v>
      </c>
      <c r="D257" s="149" t="str">
        <f>IFERROR(VLOOKUP($B257,OverallResults!$B$3:$Z$508,3,FALSE),"")</f>
        <v/>
      </c>
      <c r="E257" s="146" t="str">
        <f>IFERROR(VLOOKUP(C257,SeriesPoints!$A$2:$B$51,2,FALSE),"")</f>
        <v/>
      </c>
      <c r="F257" s="148" t="str">
        <f>IFERROR(VLOOKUP($D257,EntryList!$B$3:$V$291,21,FALSE),"")</f>
        <v/>
      </c>
      <c r="G257" s="100" t="str">
        <f>IFERROR(VLOOKUP($D257,EntryList!$B$3:$N$596,5,FALSE),"")</f>
        <v/>
      </c>
      <c r="H257" s="145" t="str">
        <f>IFERROR(VLOOKUP($D257,EntryList!$B$3:$N$596,6,FALSE),"")</f>
        <v/>
      </c>
      <c r="I257" s="331" t="str">
        <f>IFERROR(VLOOKUP($B257,OverallResults!$B$3:$Z$492,8,FALSE),"")</f>
        <v/>
      </c>
      <c r="J257" s="58" t="str">
        <f>IFERROR(VLOOKUP($B257,OverallResults!$B$3:$BB$492,9,FALSE),"")</f>
        <v/>
      </c>
      <c r="K257" s="58" t="str">
        <f>IFERROR(VLOOKUP($B257,OverallResults!$B$3:$BB$492,10,FALSE),"")</f>
        <v/>
      </c>
      <c r="L257" s="58" t="str">
        <f>IFERROR(VLOOKUP($B257,OverallResults!$B$3:$BB$492,11,FALSE),"")</f>
        <v/>
      </c>
      <c r="M257" s="58" t="str">
        <f>IFERROR(VLOOKUP($B257,OverallResults!$B$3:$BB$492,12,FALSE),"")</f>
        <v/>
      </c>
      <c r="N257" s="58" t="str">
        <f>IFERROR(VLOOKUP($B257,OverallResults!$B$3:$BB$492,13,FALSE),"")</f>
        <v/>
      </c>
      <c r="O257" s="58" t="str">
        <f>IFERROR(VLOOKUP($B257,OverallResults!$B$3:$BB$492,14,FALSE),"")</f>
        <v/>
      </c>
      <c r="P257" s="58" t="str">
        <f>IFERROR(VLOOKUP($B257,OverallResults!$B$3:$BB$492,15,FALSE),"")</f>
        <v/>
      </c>
      <c r="Q257" s="58" t="str">
        <f>IFERROR(VLOOKUP($B257,OverallResults!$B$3:$BB$492,16,FALSE),"")</f>
        <v/>
      </c>
      <c r="R257" s="58" t="str">
        <f>IFERROR(VLOOKUP($B257,OverallResults!$B$3:$BB$492,17,FALSE),"")</f>
        <v/>
      </c>
      <c r="S257" s="170" t="str">
        <f t="shared" si="6"/>
        <v>N/A</v>
      </c>
      <c r="T257" s="170" t="e">
        <f t="shared" si="7"/>
        <v>#VALUE!</v>
      </c>
      <c r="U257" s="359" t="str">
        <f>IFERROR(VLOOKUP($D257,EntryList!$B$3:$S$291,18,FALSE),"")</f>
        <v/>
      </c>
      <c r="V257" s="359" t="str">
        <f>IFERROR(VLOOKUP($D257,EntryList!$B$3:$S$291,17,FALSE),"")</f>
        <v/>
      </c>
    </row>
    <row r="258" spans="2:22">
      <c r="B258" s="59">
        <v>253</v>
      </c>
      <c r="C258" s="59" t="str">
        <f>IFERROR(VLOOKUP($B258,OverallResults!$B$3:$Z$508,2,FALSE),"")</f>
        <v>DNF</v>
      </c>
      <c r="D258" s="149" t="str">
        <f>IFERROR(VLOOKUP($B258,OverallResults!$B$3:$Z$508,3,FALSE),"")</f>
        <v/>
      </c>
      <c r="E258" s="146" t="str">
        <f>IFERROR(VLOOKUP(C258,SeriesPoints!$A$2:$B$51,2,FALSE),"")</f>
        <v/>
      </c>
      <c r="F258" s="148" t="str">
        <f>IFERROR(VLOOKUP($D258,EntryList!$B$3:$V$291,21,FALSE),"")</f>
        <v/>
      </c>
      <c r="G258" s="100" t="str">
        <f>IFERROR(VLOOKUP($D258,EntryList!$B$3:$N$596,5,FALSE),"")</f>
        <v/>
      </c>
      <c r="H258" s="145" t="str">
        <f>IFERROR(VLOOKUP($D258,EntryList!$B$3:$N$596,6,FALSE),"")</f>
        <v/>
      </c>
      <c r="I258" s="331" t="str">
        <f>IFERROR(VLOOKUP($B258,OverallResults!$B$3:$Z$492,8,FALSE),"")</f>
        <v/>
      </c>
      <c r="J258" s="58" t="str">
        <f>IFERROR(VLOOKUP($B258,OverallResults!$B$3:$BB$492,9,FALSE),"")</f>
        <v/>
      </c>
      <c r="K258" s="58" t="str">
        <f>IFERROR(VLOOKUP($B258,OverallResults!$B$3:$BB$492,10,FALSE),"")</f>
        <v/>
      </c>
      <c r="L258" s="58" t="str">
        <f>IFERROR(VLOOKUP($B258,OverallResults!$B$3:$BB$492,11,FALSE),"")</f>
        <v/>
      </c>
      <c r="M258" s="58" t="str">
        <f>IFERROR(VLOOKUP($B258,OverallResults!$B$3:$BB$492,12,FALSE),"")</f>
        <v/>
      </c>
      <c r="N258" s="58" t="str">
        <f>IFERROR(VLOOKUP($B258,OverallResults!$B$3:$BB$492,13,FALSE),"")</f>
        <v/>
      </c>
      <c r="O258" s="58" t="str">
        <f>IFERROR(VLOOKUP($B258,OverallResults!$B$3:$BB$492,14,FALSE),"")</f>
        <v/>
      </c>
      <c r="P258" s="58" t="str">
        <f>IFERROR(VLOOKUP($B258,OverallResults!$B$3:$BB$492,15,FALSE),"")</f>
        <v/>
      </c>
      <c r="Q258" s="58" t="str">
        <f>IFERROR(VLOOKUP($B258,OverallResults!$B$3:$BB$492,16,FALSE),"")</f>
        <v/>
      </c>
      <c r="R258" s="58" t="str">
        <f>IFERROR(VLOOKUP($B258,OverallResults!$B$3:$BB$492,17,FALSE),"")</f>
        <v/>
      </c>
      <c r="S258" s="170" t="str">
        <f t="shared" si="6"/>
        <v>N/A</v>
      </c>
      <c r="T258" s="170" t="e">
        <f t="shared" si="7"/>
        <v>#VALUE!</v>
      </c>
      <c r="U258" s="359" t="str">
        <f>IFERROR(VLOOKUP($D258,EntryList!$B$3:$S$291,18,FALSE),"")</f>
        <v/>
      </c>
      <c r="V258" s="359" t="str">
        <f>IFERROR(VLOOKUP($D258,EntryList!$B$3:$S$291,17,FALSE),"")</f>
        <v/>
      </c>
    </row>
    <row r="259" spans="2:22">
      <c r="B259" s="59">
        <v>254</v>
      </c>
      <c r="C259" s="59" t="str">
        <f>IFERROR(VLOOKUP($B259,OverallResults!$B$3:$Z$508,2,FALSE),"")</f>
        <v>DNF</v>
      </c>
      <c r="D259" s="149" t="str">
        <f>IFERROR(VLOOKUP($B259,OverallResults!$B$3:$Z$508,3,FALSE),"")</f>
        <v/>
      </c>
      <c r="E259" s="146" t="str">
        <f>IFERROR(VLOOKUP(C259,SeriesPoints!$A$2:$B$51,2,FALSE),"")</f>
        <v/>
      </c>
      <c r="F259" s="148" t="str">
        <f>IFERROR(VLOOKUP($D259,EntryList!$B$3:$V$291,21,FALSE),"")</f>
        <v/>
      </c>
      <c r="G259" s="100" t="str">
        <f>IFERROR(VLOOKUP($D259,EntryList!$B$3:$N$596,5,FALSE),"")</f>
        <v/>
      </c>
      <c r="H259" s="145" t="str">
        <f>IFERROR(VLOOKUP($D259,EntryList!$B$3:$N$596,6,FALSE),"")</f>
        <v/>
      </c>
      <c r="I259" s="331" t="str">
        <f>IFERROR(VLOOKUP($B259,OverallResults!$B$3:$Z$492,8,FALSE),"")</f>
        <v/>
      </c>
      <c r="J259" s="58" t="str">
        <f>IFERROR(VLOOKUP($B259,OverallResults!$B$3:$BB$492,9,FALSE),"")</f>
        <v/>
      </c>
      <c r="K259" s="58" t="str">
        <f>IFERROR(VLOOKUP($B259,OverallResults!$B$3:$BB$492,10,FALSE),"")</f>
        <v/>
      </c>
      <c r="L259" s="58" t="str">
        <f>IFERROR(VLOOKUP($B259,OverallResults!$B$3:$BB$492,11,FALSE),"")</f>
        <v/>
      </c>
      <c r="M259" s="58" t="str">
        <f>IFERROR(VLOOKUP($B259,OverallResults!$B$3:$BB$492,12,FALSE),"")</f>
        <v/>
      </c>
      <c r="N259" s="58" t="str">
        <f>IFERROR(VLOOKUP($B259,OverallResults!$B$3:$BB$492,13,FALSE),"")</f>
        <v/>
      </c>
      <c r="O259" s="58" t="str">
        <f>IFERROR(VLOOKUP($B259,OverallResults!$B$3:$BB$492,14,FALSE),"")</f>
        <v/>
      </c>
      <c r="P259" s="58" t="str">
        <f>IFERROR(VLOOKUP($B259,OverallResults!$B$3:$BB$492,15,FALSE),"")</f>
        <v/>
      </c>
      <c r="Q259" s="58" t="str">
        <f>IFERROR(VLOOKUP($B259,OverallResults!$B$3:$BB$492,16,FALSE),"")</f>
        <v/>
      </c>
      <c r="R259" s="58" t="str">
        <f>IFERROR(VLOOKUP($B259,OverallResults!$B$3:$BB$492,17,FALSE),"")</f>
        <v/>
      </c>
      <c r="S259" s="170" t="str">
        <f t="shared" si="6"/>
        <v>N/A</v>
      </c>
      <c r="T259" s="170" t="e">
        <f t="shared" si="7"/>
        <v>#VALUE!</v>
      </c>
      <c r="U259" s="359" t="str">
        <f>IFERROR(VLOOKUP($D259,EntryList!$B$3:$S$291,18,FALSE),"")</f>
        <v/>
      </c>
      <c r="V259" s="359" t="str">
        <f>IFERROR(VLOOKUP($D259,EntryList!$B$3:$S$291,17,FALSE),"")</f>
        <v/>
      </c>
    </row>
    <row r="260" spans="2:22">
      <c r="B260" s="59">
        <v>255</v>
      </c>
      <c r="C260" s="59" t="str">
        <f>IFERROR(VLOOKUP($B260,OverallResults!$B$3:$Z$508,2,FALSE),"")</f>
        <v>DNF</v>
      </c>
      <c r="D260" s="149" t="str">
        <f>IFERROR(VLOOKUP($B260,OverallResults!$B$3:$Z$508,3,FALSE),"")</f>
        <v/>
      </c>
      <c r="E260" s="146" t="str">
        <f>IFERROR(VLOOKUP(C260,SeriesPoints!$A$2:$B$51,2,FALSE),"")</f>
        <v/>
      </c>
      <c r="F260" s="148" t="str">
        <f>IFERROR(VLOOKUP($D260,EntryList!$B$3:$V$291,21,FALSE),"")</f>
        <v/>
      </c>
      <c r="G260" s="100" t="str">
        <f>IFERROR(VLOOKUP($D260,EntryList!$B$3:$N$596,5,FALSE),"")</f>
        <v/>
      </c>
      <c r="H260" s="145" t="str">
        <f>IFERROR(VLOOKUP($D260,EntryList!$B$3:$N$596,6,FALSE),"")</f>
        <v/>
      </c>
      <c r="I260" s="331" t="str">
        <f>IFERROR(VLOOKUP($B260,OverallResults!$B$3:$Z$492,8,FALSE),"")</f>
        <v/>
      </c>
      <c r="J260" s="58" t="str">
        <f>IFERROR(VLOOKUP($B260,OverallResults!$B$3:$BB$492,9,FALSE),"")</f>
        <v/>
      </c>
      <c r="K260" s="58" t="str">
        <f>IFERROR(VLOOKUP($B260,OverallResults!$B$3:$BB$492,10,FALSE),"")</f>
        <v/>
      </c>
      <c r="L260" s="58" t="str">
        <f>IFERROR(VLOOKUP($B260,OverallResults!$B$3:$BB$492,11,FALSE),"")</f>
        <v/>
      </c>
      <c r="M260" s="58" t="str">
        <f>IFERROR(VLOOKUP($B260,OverallResults!$B$3:$BB$492,12,FALSE),"")</f>
        <v/>
      </c>
      <c r="N260" s="58" t="str">
        <f>IFERROR(VLOOKUP($B260,OverallResults!$B$3:$BB$492,13,FALSE),"")</f>
        <v/>
      </c>
      <c r="O260" s="58" t="str">
        <f>IFERROR(VLOOKUP($B260,OverallResults!$B$3:$BB$492,14,FALSE),"")</f>
        <v/>
      </c>
      <c r="P260" s="58" t="str">
        <f>IFERROR(VLOOKUP($B260,OverallResults!$B$3:$BB$492,15,FALSE),"")</f>
        <v/>
      </c>
      <c r="Q260" s="58" t="str">
        <f>IFERROR(VLOOKUP($B260,OverallResults!$B$3:$BB$492,16,FALSE),"")</f>
        <v/>
      </c>
      <c r="R260" s="58" t="str">
        <f>IFERROR(VLOOKUP($B260,OverallResults!$B$3:$BB$492,17,FALSE),"")</f>
        <v/>
      </c>
      <c r="S260" s="170" t="str">
        <f t="shared" si="6"/>
        <v>N/A</v>
      </c>
      <c r="T260" s="170" t="e">
        <f t="shared" si="7"/>
        <v>#VALUE!</v>
      </c>
      <c r="U260" s="359" t="str">
        <f>IFERROR(VLOOKUP($D260,EntryList!$B$3:$S$291,18,FALSE),"")</f>
        <v/>
      </c>
      <c r="V260" s="359" t="str">
        <f>IFERROR(VLOOKUP($D260,EntryList!$B$3:$S$291,17,FALSE),"")</f>
        <v/>
      </c>
    </row>
    <row r="261" spans="2:22">
      <c r="B261" s="59">
        <v>256</v>
      </c>
      <c r="C261" s="59" t="str">
        <f>IFERROR(VLOOKUP($B261,OverallResults!$B$3:$Z$508,2,FALSE),"")</f>
        <v>DNF</v>
      </c>
      <c r="D261" s="149" t="str">
        <f>IFERROR(VLOOKUP($B261,OverallResults!$B$3:$Z$508,3,FALSE),"")</f>
        <v/>
      </c>
      <c r="E261" s="146" t="str">
        <f>IFERROR(VLOOKUP(C261,SeriesPoints!$A$2:$B$51,2,FALSE),"")</f>
        <v/>
      </c>
      <c r="F261" s="148" t="str">
        <f>IFERROR(VLOOKUP($D261,EntryList!$B$3:$V$291,21,FALSE),"")</f>
        <v/>
      </c>
      <c r="G261" s="100" t="str">
        <f>IFERROR(VLOOKUP($D261,EntryList!$B$3:$N$596,5,FALSE),"")</f>
        <v/>
      </c>
      <c r="H261" s="145" t="str">
        <f>IFERROR(VLOOKUP($D261,EntryList!$B$3:$N$596,6,FALSE),"")</f>
        <v/>
      </c>
      <c r="I261" s="331" t="str">
        <f>IFERROR(VLOOKUP($B261,OverallResults!$B$3:$Z$492,8,FALSE),"")</f>
        <v/>
      </c>
      <c r="J261" s="58" t="str">
        <f>IFERROR(VLOOKUP($B261,OverallResults!$B$3:$BB$492,9,FALSE),"")</f>
        <v/>
      </c>
      <c r="K261" s="58" t="str">
        <f>IFERROR(VLOOKUP($B261,OverallResults!$B$3:$BB$492,10,FALSE),"")</f>
        <v/>
      </c>
      <c r="L261" s="58" t="str">
        <f>IFERROR(VLOOKUP($B261,OverallResults!$B$3:$BB$492,11,FALSE),"")</f>
        <v/>
      </c>
      <c r="M261" s="58" t="str">
        <f>IFERROR(VLOOKUP($B261,OverallResults!$B$3:$BB$492,12,FALSE),"")</f>
        <v/>
      </c>
      <c r="N261" s="58" t="str">
        <f>IFERROR(VLOOKUP($B261,OverallResults!$B$3:$BB$492,13,FALSE),"")</f>
        <v/>
      </c>
      <c r="O261" s="58" t="str">
        <f>IFERROR(VLOOKUP($B261,OverallResults!$B$3:$BB$492,14,FALSE),"")</f>
        <v/>
      </c>
      <c r="P261" s="58" t="str">
        <f>IFERROR(VLOOKUP($B261,OverallResults!$B$3:$BB$492,15,FALSE),"")</f>
        <v/>
      </c>
      <c r="Q261" s="58" t="str">
        <f>IFERROR(VLOOKUP($B261,OverallResults!$B$3:$BB$492,16,FALSE),"")</f>
        <v/>
      </c>
      <c r="R261" s="58" t="str">
        <f>IFERROR(VLOOKUP($B261,OverallResults!$B$3:$BB$492,17,FALSE),"")</f>
        <v/>
      </c>
      <c r="S261" s="170" t="str">
        <f t="shared" ref="S261:S321" si="8">IFERROR(TEXT(($R261-$R260),"mm:ss"),"N/A")</f>
        <v>N/A</v>
      </c>
      <c r="T261" s="170" t="e">
        <f t="shared" si="7"/>
        <v>#VALUE!</v>
      </c>
      <c r="U261" s="359" t="str">
        <f>IFERROR(VLOOKUP($D261,EntryList!$B$3:$S$291,18,FALSE),"")</f>
        <v/>
      </c>
      <c r="V261" s="359" t="str">
        <f>IFERROR(VLOOKUP($D261,EntryList!$B$3:$S$291,17,FALSE),"")</f>
        <v/>
      </c>
    </row>
    <row r="262" spans="2:22">
      <c r="B262" s="59">
        <v>257</v>
      </c>
      <c r="C262" s="59" t="str">
        <f>IFERROR(VLOOKUP($B262,OverallResults!$B$3:$Z$508,2,FALSE),"")</f>
        <v>DNF</v>
      </c>
      <c r="D262" s="149" t="str">
        <f>IFERROR(VLOOKUP($B262,OverallResults!$B$3:$Z$508,3,FALSE),"")</f>
        <v/>
      </c>
      <c r="E262" s="146" t="str">
        <f>IFERROR(VLOOKUP(C262,SeriesPoints!$A$2:$B$51,2,FALSE),"")</f>
        <v/>
      </c>
      <c r="F262" s="148" t="str">
        <f>IFERROR(VLOOKUP($D262,EntryList!$B$3:$V$291,21,FALSE),"")</f>
        <v/>
      </c>
      <c r="G262" s="100" t="str">
        <f>IFERROR(VLOOKUP($D262,EntryList!$B$3:$N$596,5,FALSE),"")</f>
        <v/>
      </c>
      <c r="H262" s="145" t="str">
        <f>IFERROR(VLOOKUP($D262,EntryList!$B$3:$N$596,6,FALSE),"")</f>
        <v/>
      </c>
      <c r="I262" s="331" t="str">
        <f>IFERROR(VLOOKUP($B262,OverallResults!$B$3:$Z$492,8,FALSE),"")</f>
        <v/>
      </c>
      <c r="J262" s="58" t="str">
        <f>IFERROR(VLOOKUP($B262,OverallResults!$B$3:$BB$492,9,FALSE),"")</f>
        <v/>
      </c>
      <c r="K262" s="58" t="str">
        <f>IFERROR(VLOOKUP($B262,OverallResults!$B$3:$BB$492,10,FALSE),"")</f>
        <v/>
      </c>
      <c r="L262" s="58" t="str">
        <f>IFERROR(VLOOKUP($B262,OverallResults!$B$3:$BB$492,11,FALSE),"")</f>
        <v/>
      </c>
      <c r="M262" s="58" t="str">
        <f>IFERROR(VLOOKUP($B262,OverallResults!$B$3:$BB$492,12,FALSE),"")</f>
        <v/>
      </c>
      <c r="N262" s="58" t="str">
        <f>IFERROR(VLOOKUP($B262,OverallResults!$B$3:$BB$492,13,FALSE),"")</f>
        <v/>
      </c>
      <c r="O262" s="58" t="str">
        <f>IFERROR(VLOOKUP($B262,OverallResults!$B$3:$BB$492,14,FALSE),"")</f>
        <v/>
      </c>
      <c r="P262" s="58" t="str">
        <f>IFERROR(VLOOKUP($B262,OverallResults!$B$3:$BB$492,15,FALSE),"")</f>
        <v/>
      </c>
      <c r="Q262" s="58" t="str">
        <f>IFERROR(VLOOKUP($B262,OverallResults!$B$3:$BB$492,16,FALSE),"")</f>
        <v/>
      </c>
      <c r="R262" s="58" t="str">
        <f>IFERROR(VLOOKUP($B262,OverallResults!$B$3:$BB$492,17,FALSE),"")</f>
        <v/>
      </c>
      <c r="S262" s="170" t="str">
        <f t="shared" si="8"/>
        <v>N/A</v>
      </c>
      <c r="T262" s="170" t="e">
        <f t="shared" ref="T262:T321" si="9">IF($I262-$I261&lt;0,"N/A",IFERROR(TEXT(($R262-$R$6),"mm:ss"),"N/A"))</f>
        <v>#VALUE!</v>
      </c>
      <c r="U262" s="359" t="str">
        <f>IFERROR(VLOOKUP($D262,EntryList!$B$3:$S$291,18,FALSE),"")</f>
        <v/>
      </c>
      <c r="V262" s="359" t="str">
        <f>IFERROR(VLOOKUP($D262,EntryList!$B$3:$S$291,17,FALSE),"")</f>
        <v/>
      </c>
    </row>
    <row r="263" spans="2:22">
      <c r="B263" s="59">
        <v>258</v>
      </c>
      <c r="C263" s="59" t="str">
        <f>IFERROR(VLOOKUP($B263,OverallResults!$B$3:$Z$508,2,FALSE),"")</f>
        <v>DNF</v>
      </c>
      <c r="D263" s="149" t="str">
        <f>IFERROR(VLOOKUP($B263,OverallResults!$B$3:$Z$508,3,FALSE),"")</f>
        <v/>
      </c>
      <c r="E263" s="146" t="str">
        <f>IFERROR(VLOOKUP(C263,SeriesPoints!$A$2:$B$51,2,FALSE),"")</f>
        <v/>
      </c>
      <c r="F263" s="148" t="str">
        <f>IFERROR(VLOOKUP($D263,EntryList!$B$3:$V$291,21,FALSE),"")</f>
        <v/>
      </c>
      <c r="G263" s="100" t="str">
        <f>IFERROR(VLOOKUP($D263,EntryList!$B$3:$N$596,5,FALSE),"")</f>
        <v/>
      </c>
      <c r="H263" s="145" t="str">
        <f>IFERROR(VLOOKUP($D263,EntryList!$B$3:$N$596,6,FALSE),"")</f>
        <v/>
      </c>
      <c r="I263" s="331" t="str">
        <f>IFERROR(VLOOKUP($B263,OverallResults!$B$3:$Z$492,8,FALSE),"")</f>
        <v/>
      </c>
      <c r="J263" s="58" t="str">
        <f>IFERROR(VLOOKUP($B263,OverallResults!$B$3:$BB$492,9,FALSE),"")</f>
        <v/>
      </c>
      <c r="K263" s="58" t="str">
        <f>IFERROR(VLOOKUP($B263,OverallResults!$B$3:$BB$492,10,FALSE),"")</f>
        <v/>
      </c>
      <c r="L263" s="58" t="str">
        <f>IFERROR(VLOOKUP($B263,OverallResults!$B$3:$BB$492,11,FALSE),"")</f>
        <v/>
      </c>
      <c r="M263" s="58" t="str">
        <f>IFERROR(VLOOKUP($B263,OverallResults!$B$3:$BB$492,12,FALSE),"")</f>
        <v/>
      </c>
      <c r="N263" s="58" t="str">
        <f>IFERROR(VLOOKUP($B263,OverallResults!$B$3:$BB$492,13,FALSE),"")</f>
        <v/>
      </c>
      <c r="O263" s="58" t="str">
        <f>IFERROR(VLOOKUP($B263,OverallResults!$B$3:$BB$492,14,FALSE),"")</f>
        <v/>
      </c>
      <c r="P263" s="58" t="str">
        <f>IFERROR(VLOOKUP($B263,OverallResults!$B$3:$BB$492,15,FALSE),"")</f>
        <v/>
      </c>
      <c r="Q263" s="58" t="str">
        <f>IFERROR(VLOOKUP($B263,OverallResults!$B$3:$BB$492,16,FALSE),"")</f>
        <v/>
      </c>
      <c r="R263" s="58" t="str">
        <f>IFERROR(VLOOKUP($B263,OverallResults!$B$3:$BB$492,17,FALSE),"")</f>
        <v/>
      </c>
      <c r="S263" s="170" t="str">
        <f t="shared" si="8"/>
        <v>N/A</v>
      </c>
      <c r="T263" s="170" t="e">
        <f t="shared" si="9"/>
        <v>#VALUE!</v>
      </c>
      <c r="U263" s="359" t="str">
        <f>IFERROR(VLOOKUP($D263,EntryList!$B$3:$S$291,18,FALSE),"")</f>
        <v/>
      </c>
      <c r="V263" s="359" t="str">
        <f>IFERROR(VLOOKUP($D263,EntryList!$B$3:$S$291,17,FALSE),"")</f>
        <v/>
      </c>
    </row>
    <row r="264" spans="2:22">
      <c r="B264" s="59">
        <v>259</v>
      </c>
      <c r="C264" s="59" t="str">
        <f>IFERROR(VLOOKUP($B264,OverallResults!$B$3:$Z$508,2,FALSE),"")</f>
        <v>DNF</v>
      </c>
      <c r="D264" s="149" t="str">
        <f>IFERROR(VLOOKUP($B264,OverallResults!$B$3:$Z$508,3,FALSE),"")</f>
        <v/>
      </c>
      <c r="E264" s="146" t="str">
        <f>IFERROR(VLOOKUP(C264,SeriesPoints!$A$2:$B$51,2,FALSE),"")</f>
        <v/>
      </c>
      <c r="F264" s="148" t="str">
        <f>IFERROR(VLOOKUP($D264,EntryList!$B$3:$V$291,21,FALSE),"")</f>
        <v/>
      </c>
      <c r="G264" s="100" t="str">
        <f>IFERROR(VLOOKUP($D264,EntryList!$B$3:$N$596,5,FALSE),"")</f>
        <v/>
      </c>
      <c r="H264" s="145" t="str">
        <f>IFERROR(VLOOKUP($D264,EntryList!$B$3:$N$596,6,FALSE),"")</f>
        <v/>
      </c>
      <c r="I264" s="331" t="str">
        <f>IFERROR(VLOOKUP($B264,OverallResults!$B$3:$Z$492,8,FALSE),"")</f>
        <v/>
      </c>
      <c r="J264" s="58" t="str">
        <f>IFERROR(VLOOKUP($B264,OverallResults!$B$3:$BB$492,9,FALSE),"")</f>
        <v/>
      </c>
      <c r="K264" s="58" t="str">
        <f>IFERROR(VLOOKUP($B264,OverallResults!$B$3:$BB$492,10,FALSE),"")</f>
        <v/>
      </c>
      <c r="L264" s="58" t="str">
        <f>IFERROR(VLOOKUP($B264,OverallResults!$B$3:$BB$492,11,FALSE),"")</f>
        <v/>
      </c>
      <c r="M264" s="58" t="str">
        <f>IFERROR(VLOOKUP($B264,OverallResults!$B$3:$BB$492,12,FALSE),"")</f>
        <v/>
      </c>
      <c r="N264" s="58" t="str">
        <f>IFERROR(VLOOKUP($B264,OverallResults!$B$3:$BB$492,13,FALSE),"")</f>
        <v/>
      </c>
      <c r="O264" s="58" t="str">
        <f>IFERROR(VLOOKUP($B264,OverallResults!$B$3:$BB$492,14,FALSE),"")</f>
        <v/>
      </c>
      <c r="P264" s="58" t="str">
        <f>IFERROR(VLOOKUP($B264,OverallResults!$B$3:$BB$492,15,FALSE),"")</f>
        <v/>
      </c>
      <c r="Q264" s="58" t="str">
        <f>IFERROR(VLOOKUP($B264,OverallResults!$B$3:$BB$492,16,FALSE),"")</f>
        <v/>
      </c>
      <c r="R264" s="58" t="str">
        <f>IFERROR(VLOOKUP($B264,OverallResults!$B$3:$BB$492,17,FALSE),"")</f>
        <v/>
      </c>
      <c r="S264" s="170" t="str">
        <f t="shared" si="8"/>
        <v>N/A</v>
      </c>
      <c r="T264" s="170" t="e">
        <f t="shared" si="9"/>
        <v>#VALUE!</v>
      </c>
      <c r="U264" s="359" t="str">
        <f>IFERROR(VLOOKUP($D264,EntryList!$B$3:$S$291,18,FALSE),"")</f>
        <v/>
      </c>
      <c r="V264" s="359" t="str">
        <f>IFERROR(VLOOKUP($D264,EntryList!$B$3:$S$291,17,FALSE),"")</f>
        <v/>
      </c>
    </row>
    <row r="265" spans="2:22">
      <c r="B265" s="59">
        <v>260</v>
      </c>
      <c r="C265" s="59" t="str">
        <f>IFERROR(VLOOKUP($B265,OverallResults!$B$3:$Z$508,2,FALSE),"")</f>
        <v>DNF</v>
      </c>
      <c r="D265" s="149" t="str">
        <f>IFERROR(VLOOKUP($B265,OverallResults!$B$3:$Z$508,3,FALSE),"")</f>
        <v/>
      </c>
      <c r="E265" s="146" t="str">
        <f>IFERROR(VLOOKUP(C265,SeriesPoints!$A$2:$B$51,2,FALSE),"")</f>
        <v/>
      </c>
      <c r="F265" s="148" t="str">
        <f>IFERROR(VLOOKUP($D265,EntryList!$B$3:$V$291,21,FALSE),"")</f>
        <v/>
      </c>
      <c r="G265" s="100" t="str">
        <f>IFERROR(VLOOKUP($D265,EntryList!$B$3:$N$596,5,FALSE),"")</f>
        <v/>
      </c>
      <c r="H265" s="145" t="str">
        <f>IFERROR(VLOOKUP($D265,EntryList!$B$3:$N$596,6,FALSE),"")</f>
        <v/>
      </c>
      <c r="I265" s="331" t="str">
        <f>IFERROR(VLOOKUP($B265,OverallResults!$B$3:$Z$492,8,FALSE),"")</f>
        <v/>
      </c>
      <c r="J265" s="58" t="str">
        <f>IFERROR(VLOOKUP($B265,OverallResults!$B$3:$BB$492,9,FALSE),"")</f>
        <v/>
      </c>
      <c r="K265" s="58" t="str">
        <f>IFERROR(VLOOKUP($B265,OverallResults!$B$3:$BB$492,10,FALSE),"")</f>
        <v/>
      </c>
      <c r="L265" s="58" t="str">
        <f>IFERROR(VLOOKUP($B265,OverallResults!$B$3:$BB$492,11,FALSE),"")</f>
        <v/>
      </c>
      <c r="M265" s="58" t="str">
        <f>IFERROR(VLOOKUP($B265,OverallResults!$B$3:$BB$492,12,FALSE),"")</f>
        <v/>
      </c>
      <c r="N265" s="58" t="str">
        <f>IFERROR(VLOOKUP($B265,OverallResults!$B$3:$BB$492,13,FALSE),"")</f>
        <v/>
      </c>
      <c r="O265" s="58" t="str">
        <f>IFERROR(VLOOKUP($B265,OverallResults!$B$3:$BB$492,14,FALSE),"")</f>
        <v/>
      </c>
      <c r="P265" s="58" t="str">
        <f>IFERROR(VLOOKUP($B265,OverallResults!$B$3:$BB$492,15,FALSE),"")</f>
        <v/>
      </c>
      <c r="Q265" s="58" t="str">
        <f>IFERROR(VLOOKUP($B265,OverallResults!$B$3:$BB$492,16,FALSE),"")</f>
        <v/>
      </c>
      <c r="R265" s="58" t="str">
        <f>IFERROR(VLOOKUP($B265,OverallResults!$B$3:$BB$492,17,FALSE),"")</f>
        <v/>
      </c>
      <c r="S265" s="170" t="str">
        <f t="shared" si="8"/>
        <v>N/A</v>
      </c>
      <c r="T265" s="170" t="e">
        <f t="shared" si="9"/>
        <v>#VALUE!</v>
      </c>
      <c r="U265" s="359" t="str">
        <f>IFERROR(VLOOKUP($D265,EntryList!$B$3:$S$291,18,FALSE),"")</f>
        <v/>
      </c>
      <c r="V265" s="359" t="str">
        <f>IFERROR(VLOOKUP($D265,EntryList!$B$3:$S$291,17,FALSE),"")</f>
        <v/>
      </c>
    </row>
    <row r="266" spans="2:22">
      <c r="B266" s="59">
        <v>261</v>
      </c>
      <c r="C266" s="59" t="str">
        <f>IFERROR(VLOOKUP($B266,OverallResults!$B$3:$Z$508,2,FALSE),"")</f>
        <v>DNF</v>
      </c>
      <c r="D266" s="149" t="str">
        <f>IFERROR(VLOOKUP($B266,OverallResults!$B$3:$Z$508,3,FALSE),"")</f>
        <v/>
      </c>
      <c r="E266" s="146" t="str">
        <f>IFERROR(VLOOKUP(C266,SeriesPoints!$A$2:$B$51,2,FALSE),"")</f>
        <v/>
      </c>
      <c r="F266" s="148" t="str">
        <f>IFERROR(VLOOKUP($D266,EntryList!$B$3:$V$291,21,FALSE),"")</f>
        <v/>
      </c>
      <c r="G266" s="100" t="str">
        <f>IFERROR(VLOOKUP($D266,EntryList!$B$3:$N$596,5,FALSE),"")</f>
        <v/>
      </c>
      <c r="H266" s="145" t="str">
        <f>IFERROR(VLOOKUP($D266,EntryList!$B$3:$N$596,6,FALSE),"")</f>
        <v/>
      </c>
      <c r="I266" s="331" t="str">
        <f>IFERROR(VLOOKUP($B266,OverallResults!$B$3:$Z$492,8,FALSE),"")</f>
        <v/>
      </c>
      <c r="J266" s="58" t="str">
        <f>IFERROR(VLOOKUP($B266,OverallResults!$B$3:$BB$492,9,FALSE),"")</f>
        <v/>
      </c>
      <c r="K266" s="58" t="str">
        <f>IFERROR(VLOOKUP($B266,OverallResults!$B$3:$BB$492,10,FALSE),"")</f>
        <v/>
      </c>
      <c r="L266" s="58" t="str">
        <f>IFERROR(VLOOKUP($B266,OverallResults!$B$3:$BB$492,11,FALSE),"")</f>
        <v/>
      </c>
      <c r="M266" s="58" t="str">
        <f>IFERROR(VLOOKUP($B266,OverallResults!$B$3:$BB$492,12,FALSE),"")</f>
        <v/>
      </c>
      <c r="N266" s="58" t="str">
        <f>IFERROR(VLOOKUP($B266,OverallResults!$B$3:$BB$492,13,FALSE),"")</f>
        <v/>
      </c>
      <c r="O266" s="58" t="str">
        <f>IFERROR(VLOOKUP($B266,OverallResults!$B$3:$BB$492,14,FALSE),"")</f>
        <v/>
      </c>
      <c r="P266" s="58" t="str">
        <f>IFERROR(VLOOKUP($B266,OverallResults!$B$3:$BB$492,15,FALSE),"")</f>
        <v/>
      </c>
      <c r="Q266" s="58" t="str">
        <f>IFERROR(VLOOKUP($B266,OverallResults!$B$3:$BB$492,16,FALSE),"")</f>
        <v/>
      </c>
      <c r="R266" s="58" t="str">
        <f>IFERROR(VLOOKUP($B266,OverallResults!$B$3:$BB$492,17,FALSE),"")</f>
        <v/>
      </c>
      <c r="S266" s="170" t="str">
        <f t="shared" si="8"/>
        <v>N/A</v>
      </c>
      <c r="T266" s="170" t="e">
        <f t="shared" si="9"/>
        <v>#VALUE!</v>
      </c>
      <c r="U266" s="359" t="str">
        <f>IFERROR(VLOOKUP($D266,EntryList!$B$3:$S$291,18,FALSE),"")</f>
        <v/>
      </c>
      <c r="V266" s="359" t="str">
        <f>IFERROR(VLOOKUP($D266,EntryList!$B$3:$S$291,17,FALSE),"")</f>
        <v/>
      </c>
    </row>
    <row r="267" spans="2:22">
      <c r="B267" s="59">
        <v>262</v>
      </c>
      <c r="C267" s="59" t="str">
        <f>IFERROR(VLOOKUP($B267,OverallResults!$B$3:$Z$508,2,FALSE),"")</f>
        <v>DNF</v>
      </c>
      <c r="D267" s="149" t="str">
        <f>IFERROR(VLOOKUP($B267,OverallResults!$B$3:$Z$508,3,FALSE),"")</f>
        <v/>
      </c>
      <c r="E267" s="146" t="str">
        <f>IFERROR(VLOOKUP(C267,SeriesPoints!$A$2:$B$51,2,FALSE),"")</f>
        <v/>
      </c>
      <c r="F267" s="148" t="str">
        <f>IFERROR(VLOOKUP($D267,EntryList!$B$3:$V$291,21,FALSE),"")</f>
        <v/>
      </c>
      <c r="G267" s="100" t="str">
        <f>IFERROR(VLOOKUP($D267,EntryList!$B$3:$N$596,5,FALSE),"")</f>
        <v/>
      </c>
      <c r="H267" s="145" t="str">
        <f>IFERROR(VLOOKUP($D267,EntryList!$B$3:$N$596,6,FALSE),"")</f>
        <v/>
      </c>
      <c r="I267" s="331" t="str">
        <f>IFERROR(VLOOKUP($B267,OverallResults!$B$3:$Z$492,8,FALSE),"")</f>
        <v/>
      </c>
      <c r="J267" s="58" t="str">
        <f>IFERROR(VLOOKUP($B267,OverallResults!$B$3:$BB$492,9,FALSE),"")</f>
        <v/>
      </c>
      <c r="K267" s="58" t="str">
        <f>IFERROR(VLOOKUP($B267,OverallResults!$B$3:$BB$492,10,FALSE),"")</f>
        <v/>
      </c>
      <c r="L267" s="58" t="str">
        <f>IFERROR(VLOOKUP($B267,OverallResults!$B$3:$BB$492,11,FALSE),"")</f>
        <v/>
      </c>
      <c r="M267" s="58" t="str">
        <f>IFERROR(VLOOKUP($B267,OverallResults!$B$3:$BB$492,12,FALSE),"")</f>
        <v/>
      </c>
      <c r="N267" s="58" t="str">
        <f>IFERROR(VLOOKUP($B267,OverallResults!$B$3:$BB$492,13,FALSE),"")</f>
        <v/>
      </c>
      <c r="O267" s="58" t="str">
        <f>IFERROR(VLOOKUP($B267,OverallResults!$B$3:$BB$492,14,FALSE),"")</f>
        <v/>
      </c>
      <c r="P267" s="58" t="str">
        <f>IFERROR(VLOOKUP($B267,OverallResults!$B$3:$BB$492,15,FALSE),"")</f>
        <v/>
      </c>
      <c r="Q267" s="58" t="str">
        <f>IFERROR(VLOOKUP($B267,OverallResults!$B$3:$BB$492,16,FALSE),"")</f>
        <v/>
      </c>
      <c r="R267" s="58" t="str">
        <f>IFERROR(VLOOKUP($B267,OverallResults!$B$3:$BB$492,17,FALSE),"")</f>
        <v/>
      </c>
      <c r="S267" s="170" t="str">
        <f t="shared" si="8"/>
        <v>N/A</v>
      </c>
      <c r="T267" s="170" t="e">
        <f t="shared" si="9"/>
        <v>#VALUE!</v>
      </c>
      <c r="U267" s="359" t="str">
        <f>IFERROR(VLOOKUP($D267,EntryList!$B$3:$S$291,18,FALSE),"")</f>
        <v/>
      </c>
      <c r="V267" s="359" t="str">
        <f>IFERROR(VLOOKUP($D267,EntryList!$B$3:$S$291,17,FALSE),"")</f>
        <v/>
      </c>
    </row>
    <row r="268" spans="2:22">
      <c r="B268" s="59">
        <v>263</v>
      </c>
      <c r="C268" s="59" t="str">
        <f>IFERROR(VLOOKUP($B268,OverallResults!$B$3:$Z$508,2,FALSE),"")</f>
        <v>DNF</v>
      </c>
      <c r="D268" s="149" t="str">
        <f>IFERROR(VLOOKUP($B268,OverallResults!$B$3:$Z$508,3,FALSE),"")</f>
        <v/>
      </c>
      <c r="E268" s="146" t="str">
        <f>IFERROR(VLOOKUP(C268,SeriesPoints!$A$2:$B$51,2,FALSE),"")</f>
        <v/>
      </c>
      <c r="F268" s="148" t="str">
        <f>IFERROR(VLOOKUP($D268,EntryList!$B$3:$V$291,21,FALSE),"")</f>
        <v/>
      </c>
      <c r="G268" s="100" t="str">
        <f>IFERROR(VLOOKUP($D268,EntryList!$B$3:$N$596,5,FALSE),"")</f>
        <v/>
      </c>
      <c r="H268" s="145" t="str">
        <f>IFERROR(VLOOKUP($D268,EntryList!$B$3:$N$596,6,FALSE),"")</f>
        <v/>
      </c>
      <c r="I268" s="331" t="str">
        <f>IFERROR(VLOOKUP($B268,OverallResults!$B$3:$Z$492,8,FALSE),"")</f>
        <v/>
      </c>
      <c r="J268" s="58" t="str">
        <f>IFERROR(VLOOKUP($B268,OverallResults!$B$3:$BB$492,9,FALSE),"")</f>
        <v/>
      </c>
      <c r="K268" s="58" t="str">
        <f>IFERROR(VLOOKUP($B268,OverallResults!$B$3:$BB$492,10,FALSE),"")</f>
        <v/>
      </c>
      <c r="L268" s="58" t="str">
        <f>IFERROR(VLOOKUP($B268,OverallResults!$B$3:$BB$492,11,FALSE),"")</f>
        <v/>
      </c>
      <c r="M268" s="58" t="str">
        <f>IFERROR(VLOOKUP($B268,OverallResults!$B$3:$BB$492,12,FALSE),"")</f>
        <v/>
      </c>
      <c r="N268" s="58" t="str">
        <f>IFERROR(VLOOKUP($B268,OverallResults!$B$3:$BB$492,13,FALSE),"")</f>
        <v/>
      </c>
      <c r="O268" s="58" t="str">
        <f>IFERROR(VLOOKUP($B268,OverallResults!$B$3:$BB$492,14,FALSE),"")</f>
        <v/>
      </c>
      <c r="P268" s="58" t="str">
        <f>IFERROR(VLOOKUP($B268,OverallResults!$B$3:$BB$492,15,FALSE),"")</f>
        <v/>
      </c>
      <c r="Q268" s="58" t="str">
        <f>IFERROR(VLOOKUP($B268,OverallResults!$B$3:$BB$492,16,FALSE),"")</f>
        <v/>
      </c>
      <c r="R268" s="58" t="str">
        <f>IFERROR(VLOOKUP($B268,OverallResults!$B$3:$BB$492,17,FALSE),"")</f>
        <v/>
      </c>
      <c r="S268" s="170" t="str">
        <f t="shared" si="8"/>
        <v>N/A</v>
      </c>
      <c r="T268" s="170" t="e">
        <f t="shared" si="9"/>
        <v>#VALUE!</v>
      </c>
      <c r="U268" s="359" t="str">
        <f>IFERROR(VLOOKUP($D268,EntryList!$B$3:$S$291,18,FALSE),"")</f>
        <v/>
      </c>
      <c r="V268" s="359" t="str">
        <f>IFERROR(VLOOKUP($D268,EntryList!$B$3:$S$291,17,FALSE),"")</f>
        <v/>
      </c>
    </row>
    <row r="269" spans="2:22">
      <c r="B269" s="59">
        <v>264</v>
      </c>
      <c r="C269" s="59" t="str">
        <f>IFERROR(VLOOKUP($B269,OverallResults!$B$3:$Z$508,2,FALSE),"")</f>
        <v>DNF</v>
      </c>
      <c r="D269" s="149" t="str">
        <f>IFERROR(VLOOKUP($B269,OverallResults!$B$3:$Z$508,3,FALSE),"")</f>
        <v/>
      </c>
      <c r="E269" s="146" t="str">
        <f>IFERROR(VLOOKUP(C269,SeriesPoints!$A$2:$B$51,2,FALSE),"")</f>
        <v/>
      </c>
      <c r="F269" s="148" t="str">
        <f>IFERROR(VLOOKUP($D269,EntryList!$B$3:$V$291,21,FALSE),"")</f>
        <v/>
      </c>
      <c r="G269" s="100" t="str">
        <f>IFERROR(VLOOKUP($D269,EntryList!$B$3:$N$596,5,FALSE),"")</f>
        <v/>
      </c>
      <c r="H269" s="145" t="str">
        <f>IFERROR(VLOOKUP($D269,EntryList!$B$3:$N$596,6,FALSE),"")</f>
        <v/>
      </c>
      <c r="I269" s="331" t="str">
        <f>IFERROR(VLOOKUP($B269,OverallResults!$B$3:$Z$492,8,FALSE),"")</f>
        <v/>
      </c>
      <c r="J269" s="58" t="str">
        <f>IFERROR(VLOOKUP($B269,OverallResults!$B$3:$BB$492,9,FALSE),"")</f>
        <v/>
      </c>
      <c r="K269" s="58" t="str">
        <f>IFERROR(VLOOKUP($B269,OverallResults!$B$3:$BB$492,10,FALSE),"")</f>
        <v/>
      </c>
      <c r="L269" s="58" t="str">
        <f>IFERROR(VLOOKUP($B269,OverallResults!$B$3:$BB$492,11,FALSE),"")</f>
        <v/>
      </c>
      <c r="M269" s="58" t="str">
        <f>IFERROR(VLOOKUP($B269,OverallResults!$B$3:$BB$492,12,FALSE),"")</f>
        <v/>
      </c>
      <c r="N269" s="58" t="str">
        <f>IFERROR(VLOOKUP($B269,OverallResults!$B$3:$BB$492,13,FALSE),"")</f>
        <v/>
      </c>
      <c r="O269" s="58" t="str">
        <f>IFERROR(VLOOKUP($B269,OverallResults!$B$3:$BB$492,14,FALSE),"")</f>
        <v/>
      </c>
      <c r="P269" s="58" t="str">
        <f>IFERROR(VLOOKUP($B269,OverallResults!$B$3:$BB$492,15,FALSE),"")</f>
        <v/>
      </c>
      <c r="Q269" s="58" t="str">
        <f>IFERROR(VLOOKUP($B269,OverallResults!$B$3:$BB$492,16,FALSE),"")</f>
        <v/>
      </c>
      <c r="R269" s="58" t="str">
        <f>IFERROR(VLOOKUP($B269,OverallResults!$B$3:$BB$492,17,FALSE),"")</f>
        <v/>
      </c>
      <c r="S269" s="170" t="str">
        <f t="shared" si="8"/>
        <v>N/A</v>
      </c>
      <c r="T269" s="170" t="e">
        <f t="shared" si="9"/>
        <v>#VALUE!</v>
      </c>
      <c r="U269" s="359" t="str">
        <f>IFERROR(VLOOKUP($D269,EntryList!$B$3:$S$291,18,FALSE),"")</f>
        <v/>
      </c>
      <c r="V269" s="359" t="str">
        <f>IFERROR(VLOOKUP($D269,EntryList!$B$3:$S$291,17,FALSE),"")</f>
        <v/>
      </c>
    </row>
    <row r="270" spans="2:22">
      <c r="B270" s="59">
        <v>265</v>
      </c>
      <c r="C270" s="59" t="str">
        <f>IFERROR(VLOOKUP($B270,OverallResults!$B$3:$Z$508,2,FALSE),"")</f>
        <v>DNF</v>
      </c>
      <c r="D270" s="149" t="str">
        <f>IFERROR(VLOOKUP($B270,OverallResults!$B$3:$Z$508,3,FALSE),"")</f>
        <v/>
      </c>
      <c r="E270" s="146" t="str">
        <f>IFERROR(VLOOKUP(C270,SeriesPoints!$A$2:$B$51,2,FALSE),"")</f>
        <v/>
      </c>
      <c r="F270" s="148" t="str">
        <f>IFERROR(VLOOKUP($D270,EntryList!$B$3:$V$291,21,FALSE),"")</f>
        <v/>
      </c>
      <c r="G270" s="100" t="str">
        <f>IFERROR(VLOOKUP($D270,EntryList!$B$3:$N$596,5,FALSE),"")</f>
        <v/>
      </c>
      <c r="H270" s="145" t="str">
        <f>IFERROR(VLOOKUP($D270,EntryList!$B$3:$N$596,6,FALSE),"")</f>
        <v/>
      </c>
      <c r="I270" s="331" t="str">
        <f>IFERROR(VLOOKUP($B270,OverallResults!$B$3:$Z$492,8,FALSE),"")</f>
        <v/>
      </c>
      <c r="J270" s="58" t="str">
        <f>IFERROR(VLOOKUP($B270,OverallResults!$B$3:$BB$492,9,FALSE),"")</f>
        <v/>
      </c>
      <c r="K270" s="58" t="str">
        <f>IFERROR(VLOOKUP($B270,OverallResults!$B$3:$BB$492,10,FALSE),"")</f>
        <v/>
      </c>
      <c r="L270" s="58" t="str">
        <f>IFERROR(VLOOKUP($B270,OverallResults!$B$3:$BB$492,11,FALSE),"")</f>
        <v/>
      </c>
      <c r="M270" s="58" t="str">
        <f>IFERROR(VLOOKUP($B270,OverallResults!$B$3:$BB$492,12,FALSE),"")</f>
        <v/>
      </c>
      <c r="N270" s="58" t="str">
        <f>IFERROR(VLOOKUP($B270,OverallResults!$B$3:$BB$492,13,FALSE),"")</f>
        <v/>
      </c>
      <c r="O270" s="58" t="str">
        <f>IFERROR(VLOOKUP($B270,OverallResults!$B$3:$BB$492,14,FALSE),"")</f>
        <v/>
      </c>
      <c r="P270" s="58" t="str">
        <f>IFERROR(VLOOKUP($B270,OverallResults!$B$3:$BB$492,15,FALSE),"")</f>
        <v/>
      </c>
      <c r="Q270" s="58" t="str">
        <f>IFERROR(VLOOKUP($B270,OverallResults!$B$3:$BB$492,16,FALSE),"")</f>
        <v/>
      </c>
      <c r="R270" s="58" t="str">
        <f>IFERROR(VLOOKUP($B270,OverallResults!$B$3:$BB$492,17,FALSE),"")</f>
        <v/>
      </c>
      <c r="S270" s="170" t="str">
        <f t="shared" si="8"/>
        <v>N/A</v>
      </c>
      <c r="T270" s="170" t="e">
        <f t="shared" si="9"/>
        <v>#VALUE!</v>
      </c>
      <c r="U270" s="359" t="str">
        <f>IFERROR(VLOOKUP($D270,EntryList!$B$3:$S$291,18,FALSE),"")</f>
        <v/>
      </c>
      <c r="V270" s="359" t="str">
        <f>IFERROR(VLOOKUP($D270,EntryList!$B$3:$S$291,17,FALSE),"")</f>
        <v/>
      </c>
    </row>
    <row r="271" spans="2:22">
      <c r="B271" s="59">
        <v>266</v>
      </c>
      <c r="C271" s="59" t="str">
        <f>IFERROR(VLOOKUP($B271,OverallResults!$B$3:$Z$508,2,FALSE),"")</f>
        <v>DNF</v>
      </c>
      <c r="D271" s="149" t="str">
        <f>IFERROR(VLOOKUP($B271,OverallResults!$B$3:$Z$508,3,FALSE),"")</f>
        <v/>
      </c>
      <c r="E271" s="146" t="str">
        <f>IFERROR(VLOOKUP(C271,SeriesPoints!$A$2:$B$51,2,FALSE),"")</f>
        <v/>
      </c>
      <c r="F271" s="148" t="str">
        <f>IFERROR(VLOOKUP($D271,EntryList!$B$3:$V$291,21,FALSE),"")</f>
        <v/>
      </c>
      <c r="G271" s="100" t="str">
        <f>IFERROR(VLOOKUP($D271,EntryList!$B$3:$N$596,5,FALSE),"")</f>
        <v/>
      </c>
      <c r="H271" s="145" t="str">
        <f>IFERROR(VLOOKUP($D271,EntryList!$B$3:$N$596,6,FALSE),"")</f>
        <v/>
      </c>
      <c r="I271" s="331" t="str">
        <f>IFERROR(VLOOKUP($B271,OverallResults!$B$3:$Z$492,8,FALSE),"")</f>
        <v/>
      </c>
      <c r="J271" s="58" t="str">
        <f>IFERROR(VLOOKUP($B271,OverallResults!$B$3:$BB$492,9,FALSE),"")</f>
        <v/>
      </c>
      <c r="K271" s="58" t="str">
        <f>IFERROR(VLOOKUP($B271,OverallResults!$B$3:$BB$492,10,FALSE),"")</f>
        <v/>
      </c>
      <c r="L271" s="58" t="str">
        <f>IFERROR(VLOOKUP($B271,OverallResults!$B$3:$BB$492,11,FALSE),"")</f>
        <v/>
      </c>
      <c r="M271" s="58" t="str">
        <f>IFERROR(VLOOKUP($B271,OverallResults!$B$3:$BB$492,12,FALSE),"")</f>
        <v/>
      </c>
      <c r="N271" s="58" t="str">
        <f>IFERROR(VLOOKUP($B271,OverallResults!$B$3:$BB$492,13,FALSE),"")</f>
        <v/>
      </c>
      <c r="O271" s="58" t="str">
        <f>IFERROR(VLOOKUP($B271,OverallResults!$B$3:$BB$492,14,FALSE),"")</f>
        <v/>
      </c>
      <c r="P271" s="58" t="str">
        <f>IFERROR(VLOOKUP($B271,OverallResults!$B$3:$BB$492,15,FALSE),"")</f>
        <v/>
      </c>
      <c r="Q271" s="58" t="str">
        <f>IFERROR(VLOOKUP($B271,OverallResults!$B$3:$BB$492,16,FALSE),"")</f>
        <v/>
      </c>
      <c r="R271" s="58" t="str">
        <f>IFERROR(VLOOKUP($B271,OverallResults!$B$3:$BB$492,17,FALSE),"")</f>
        <v/>
      </c>
      <c r="S271" s="170" t="str">
        <f t="shared" si="8"/>
        <v>N/A</v>
      </c>
      <c r="T271" s="170" t="e">
        <f t="shared" si="9"/>
        <v>#VALUE!</v>
      </c>
      <c r="U271" s="359" t="str">
        <f>IFERROR(VLOOKUP($D271,EntryList!$B$3:$S$291,18,FALSE),"")</f>
        <v/>
      </c>
      <c r="V271" s="359" t="str">
        <f>IFERROR(VLOOKUP($D271,EntryList!$B$3:$S$291,17,FALSE),"")</f>
        <v/>
      </c>
    </row>
    <row r="272" spans="2:22">
      <c r="B272" s="59">
        <v>267</v>
      </c>
      <c r="C272" s="59" t="str">
        <f>IFERROR(VLOOKUP($B272,OverallResults!$B$3:$Z$508,2,FALSE),"")</f>
        <v>DNF</v>
      </c>
      <c r="D272" s="149" t="str">
        <f>IFERROR(VLOOKUP($B272,OverallResults!$B$3:$Z$508,3,FALSE),"")</f>
        <v/>
      </c>
      <c r="E272" s="146" t="str">
        <f>IFERROR(VLOOKUP(C272,SeriesPoints!$A$2:$B$51,2,FALSE),"")</f>
        <v/>
      </c>
      <c r="F272" s="148" t="str">
        <f>IFERROR(VLOOKUP($D272,EntryList!$B$3:$V$291,21,FALSE),"")</f>
        <v/>
      </c>
      <c r="G272" s="100" t="str">
        <f>IFERROR(VLOOKUP($D272,EntryList!$B$3:$N$596,5,FALSE),"")</f>
        <v/>
      </c>
      <c r="H272" s="145" t="str">
        <f>IFERROR(VLOOKUP($D272,EntryList!$B$3:$N$596,6,FALSE),"")</f>
        <v/>
      </c>
      <c r="I272" s="331" t="str">
        <f>IFERROR(VLOOKUP($B272,OverallResults!$B$3:$Z$492,8,FALSE),"")</f>
        <v/>
      </c>
      <c r="J272" s="58" t="str">
        <f>IFERROR(VLOOKUP($B272,OverallResults!$B$3:$BB$492,9,FALSE),"")</f>
        <v/>
      </c>
      <c r="K272" s="58" t="str">
        <f>IFERROR(VLOOKUP($B272,OverallResults!$B$3:$BB$492,10,FALSE),"")</f>
        <v/>
      </c>
      <c r="L272" s="58" t="str">
        <f>IFERROR(VLOOKUP($B272,OverallResults!$B$3:$BB$492,11,FALSE),"")</f>
        <v/>
      </c>
      <c r="M272" s="58" t="str">
        <f>IFERROR(VLOOKUP($B272,OverallResults!$B$3:$BB$492,12,FALSE),"")</f>
        <v/>
      </c>
      <c r="N272" s="58" t="str">
        <f>IFERROR(VLOOKUP($B272,OverallResults!$B$3:$BB$492,13,FALSE),"")</f>
        <v/>
      </c>
      <c r="O272" s="58" t="str">
        <f>IFERROR(VLOOKUP($B272,OverallResults!$B$3:$BB$492,14,FALSE),"")</f>
        <v/>
      </c>
      <c r="P272" s="58" t="str">
        <f>IFERROR(VLOOKUP($B272,OverallResults!$B$3:$BB$492,15,FALSE),"")</f>
        <v/>
      </c>
      <c r="Q272" s="58" t="str">
        <f>IFERROR(VLOOKUP($B272,OverallResults!$B$3:$BB$492,16,FALSE),"")</f>
        <v/>
      </c>
      <c r="R272" s="58" t="str">
        <f>IFERROR(VLOOKUP($B272,OverallResults!$B$3:$BB$492,17,FALSE),"")</f>
        <v/>
      </c>
      <c r="S272" s="170" t="str">
        <f t="shared" si="8"/>
        <v>N/A</v>
      </c>
      <c r="T272" s="170" t="e">
        <f t="shared" si="9"/>
        <v>#VALUE!</v>
      </c>
      <c r="U272" s="359" t="str">
        <f>IFERROR(VLOOKUP($D272,EntryList!$B$3:$S$291,18,FALSE),"")</f>
        <v/>
      </c>
      <c r="V272" s="359" t="str">
        <f>IFERROR(VLOOKUP($D272,EntryList!$B$3:$S$291,17,FALSE),"")</f>
        <v/>
      </c>
    </row>
    <row r="273" spans="2:22">
      <c r="B273" s="59">
        <v>268</v>
      </c>
      <c r="C273" s="59" t="str">
        <f>IFERROR(VLOOKUP($B273,OverallResults!$B$3:$Z$508,2,FALSE),"")</f>
        <v>DNF</v>
      </c>
      <c r="D273" s="149" t="str">
        <f>IFERROR(VLOOKUP($B273,OverallResults!$B$3:$Z$508,3,FALSE),"")</f>
        <v/>
      </c>
      <c r="E273" s="146" t="str">
        <f>IFERROR(VLOOKUP(C273,SeriesPoints!$A$2:$B$51,2,FALSE),"")</f>
        <v/>
      </c>
      <c r="F273" s="148" t="str">
        <f>IFERROR(VLOOKUP($D273,EntryList!$B$3:$V$291,21,FALSE),"")</f>
        <v/>
      </c>
      <c r="G273" s="100" t="str">
        <f>IFERROR(VLOOKUP($D273,EntryList!$B$3:$N$596,5,FALSE),"")</f>
        <v/>
      </c>
      <c r="H273" s="145" t="str">
        <f>IFERROR(VLOOKUP($D273,EntryList!$B$3:$N$596,6,FALSE),"")</f>
        <v/>
      </c>
      <c r="I273" s="331" t="str">
        <f>IFERROR(VLOOKUP($B273,OverallResults!$B$3:$Z$492,8,FALSE),"")</f>
        <v/>
      </c>
      <c r="J273" s="58" t="str">
        <f>IFERROR(VLOOKUP($B273,OverallResults!$B$3:$BB$492,9,FALSE),"")</f>
        <v/>
      </c>
      <c r="K273" s="58" t="str">
        <f>IFERROR(VLOOKUP($B273,OverallResults!$B$3:$BB$492,10,FALSE),"")</f>
        <v/>
      </c>
      <c r="L273" s="58" t="str">
        <f>IFERROR(VLOOKUP($B273,OverallResults!$B$3:$BB$492,11,FALSE),"")</f>
        <v/>
      </c>
      <c r="M273" s="58" t="str">
        <f>IFERROR(VLOOKUP($B273,OverallResults!$B$3:$BB$492,12,FALSE),"")</f>
        <v/>
      </c>
      <c r="N273" s="58" t="str">
        <f>IFERROR(VLOOKUP($B273,OverallResults!$B$3:$BB$492,13,FALSE),"")</f>
        <v/>
      </c>
      <c r="O273" s="58" t="str">
        <f>IFERROR(VLOOKUP($B273,OverallResults!$B$3:$BB$492,14,FALSE),"")</f>
        <v/>
      </c>
      <c r="P273" s="58" t="str">
        <f>IFERROR(VLOOKUP($B273,OverallResults!$B$3:$BB$492,15,FALSE),"")</f>
        <v/>
      </c>
      <c r="Q273" s="58" t="str">
        <f>IFERROR(VLOOKUP($B273,OverallResults!$B$3:$BB$492,16,FALSE),"")</f>
        <v/>
      </c>
      <c r="R273" s="58" t="str">
        <f>IFERROR(VLOOKUP($B273,OverallResults!$B$3:$BB$492,17,FALSE),"")</f>
        <v/>
      </c>
      <c r="S273" s="170" t="str">
        <f t="shared" si="8"/>
        <v>N/A</v>
      </c>
      <c r="T273" s="170" t="e">
        <f t="shared" si="9"/>
        <v>#VALUE!</v>
      </c>
      <c r="U273" s="359" t="str">
        <f>IFERROR(VLOOKUP($D273,EntryList!$B$3:$S$291,18,FALSE),"")</f>
        <v/>
      </c>
      <c r="V273" s="359" t="str">
        <f>IFERROR(VLOOKUP($D273,EntryList!$B$3:$S$291,17,FALSE),"")</f>
        <v/>
      </c>
    </row>
    <row r="274" spans="2:22">
      <c r="B274" s="59">
        <v>269</v>
      </c>
      <c r="C274" s="59" t="str">
        <f>IFERROR(VLOOKUP($B274,OverallResults!$B$3:$Z$508,2,FALSE),"")</f>
        <v>DNF</v>
      </c>
      <c r="D274" s="149" t="str">
        <f>IFERROR(VLOOKUP($B274,OverallResults!$B$3:$Z$508,3,FALSE),"")</f>
        <v/>
      </c>
      <c r="E274" s="146" t="str">
        <f>IFERROR(VLOOKUP(C274,SeriesPoints!$A$2:$B$51,2,FALSE),"")</f>
        <v/>
      </c>
      <c r="F274" s="148" t="str">
        <f>IFERROR(VLOOKUP($D274,EntryList!$B$3:$V$291,21,FALSE),"")</f>
        <v/>
      </c>
      <c r="G274" s="100" t="str">
        <f>IFERROR(VLOOKUP($D274,EntryList!$B$3:$N$596,5,FALSE),"")</f>
        <v/>
      </c>
      <c r="H274" s="145" t="str">
        <f>IFERROR(VLOOKUP($D274,EntryList!$B$3:$N$596,6,FALSE),"")</f>
        <v/>
      </c>
      <c r="I274" s="331" t="str">
        <f>IFERROR(VLOOKUP($B274,OverallResults!$B$3:$Z$492,8,FALSE),"")</f>
        <v/>
      </c>
      <c r="J274" s="58" t="str">
        <f>IFERROR(VLOOKUP($B274,OverallResults!$B$3:$BB$492,9,FALSE),"")</f>
        <v/>
      </c>
      <c r="K274" s="58" t="str">
        <f>IFERROR(VLOOKUP($B274,OverallResults!$B$3:$BB$492,10,FALSE),"")</f>
        <v/>
      </c>
      <c r="L274" s="58" t="str">
        <f>IFERROR(VLOOKUP($B274,OverallResults!$B$3:$BB$492,11,FALSE),"")</f>
        <v/>
      </c>
      <c r="M274" s="58" t="str">
        <f>IFERROR(VLOOKUP($B274,OverallResults!$B$3:$BB$492,12,FALSE),"")</f>
        <v/>
      </c>
      <c r="N274" s="58" t="str">
        <f>IFERROR(VLOOKUP($B274,OverallResults!$B$3:$BB$492,13,FALSE),"")</f>
        <v/>
      </c>
      <c r="O274" s="58" t="str">
        <f>IFERROR(VLOOKUP($B274,OverallResults!$B$3:$BB$492,14,FALSE),"")</f>
        <v/>
      </c>
      <c r="P274" s="58" t="str">
        <f>IFERROR(VLOOKUP($B274,OverallResults!$B$3:$BB$492,15,FALSE),"")</f>
        <v/>
      </c>
      <c r="Q274" s="58" t="str">
        <f>IFERROR(VLOOKUP($B274,OverallResults!$B$3:$BB$492,16,FALSE),"")</f>
        <v/>
      </c>
      <c r="R274" s="58" t="str">
        <f>IFERROR(VLOOKUP($B274,OverallResults!$B$3:$BB$492,17,FALSE),"")</f>
        <v/>
      </c>
      <c r="S274" s="170" t="str">
        <f t="shared" si="8"/>
        <v>N/A</v>
      </c>
      <c r="T274" s="170" t="e">
        <f t="shared" si="9"/>
        <v>#VALUE!</v>
      </c>
      <c r="U274" s="359" t="str">
        <f>IFERROR(VLOOKUP($D274,EntryList!$B$3:$S$291,18,FALSE),"")</f>
        <v/>
      </c>
      <c r="V274" s="359" t="str">
        <f>IFERROR(VLOOKUP($D274,EntryList!$B$3:$S$291,17,FALSE),"")</f>
        <v/>
      </c>
    </row>
    <row r="275" spans="2:22">
      <c r="B275" s="59">
        <v>270</v>
      </c>
      <c r="C275" s="59" t="str">
        <f>IFERROR(VLOOKUP($B275,OverallResults!$B$3:$Z$508,2,FALSE),"")</f>
        <v>DNF</v>
      </c>
      <c r="D275" s="149" t="str">
        <f>IFERROR(VLOOKUP($B275,OverallResults!$B$3:$Z$508,3,FALSE),"")</f>
        <v/>
      </c>
      <c r="E275" s="146" t="str">
        <f>IFERROR(VLOOKUP(C275,SeriesPoints!$A$2:$B$51,2,FALSE),"")</f>
        <v/>
      </c>
      <c r="F275" s="148" t="str">
        <f>IFERROR(VLOOKUP($D275,EntryList!$B$3:$V$291,21,FALSE),"")</f>
        <v/>
      </c>
      <c r="G275" s="100" t="str">
        <f>IFERROR(VLOOKUP($D275,EntryList!$B$3:$N$596,5,FALSE),"")</f>
        <v/>
      </c>
      <c r="H275" s="145" t="str">
        <f>IFERROR(VLOOKUP($D275,EntryList!$B$3:$N$596,6,FALSE),"")</f>
        <v/>
      </c>
      <c r="I275" s="331" t="str">
        <f>IFERROR(VLOOKUP($B275,OverallResults!$B$3:$Z$492,8,FALSE),"")</f>
        <v/>
      </c>
      <c r="J275" s="58" t="str">
        <f>IFERROR(VLOOKUP($B275,OverallResults!$B$3:$BB$492,9,FALSE),"")</f>
        <v/>
      </c>
      <c r="K275" s="58" t="str">
        <f>IFERROR(VLOOKUP($B275,OverallResults!$B$3:$BB$492,10,FALSE),"")</f>
        <v/>
      </c>
      <c r="L275" s="58" t="str">
        <f>IFERROR(VLOOKUP($B275,OverallResults!$B$3:$BB$492,11,FALSE),"")</f>
        <v/>
      </c>
      <c r="M275" s="58" t="str">
        <f>IFERROR(VLOOKUP($B275,OverallResults!$B$3:$BB$492,12,FALSE),"")</f>
        <v/>
      </c>
      <c r="N275" s="58" t="str">
        <f>IFERROR(VLOOKUP($B275,OverallResults!$B$3:$BB$492,13,FALSE),"")</f>
        <v/>
      </c>
      <c r="O275" s="58" t="str">
        <f>IFERROR(VLOOKUP($B275,OverallResults!$B$3:$BB$492,14,FALSE),"")</f>
        <v/>
      </c>
      <c r="P275" s="58" t="str">
        <f>IFERROR(VLOOKUP($B275,OverallResults!$B$3:$BB$492,15,FALSE),"")</f>
        <v/>
      </c>
      <c r="Q275" s="58" t="str">
        <f>IFERROR(VLOOKUP($B275,OverallResults!$B$3:$BB$492,16,FALSE),"")</f>
        <v/>
      </c>
      <c r="R275" s="58" t="str">
        <f>IFERROR(VLOOKUP($B275,OverallResults!$B$3:$BB$492,17,FALSE),"")</f>
        <v/>
      </c>
      <c r="S275" s="170" t="str">
        <f t="shared" si="8"/>
        <v>N/A</v>
      </c>
      <c r="T275" s="170" t="e">
        <f t="shared" si="9"/>
        <v>#VALUE!</v>
      </c>
      <c r="U275" s="359" t="str">
        <f>IFERROR(VLOOKUP($D275,EntryList!$B$3:$S$291,18,FALSE),"")</f>
        <v/>
      </c>
      <c r="V275" s="359" t="str">
        <f>IFERROR(VLOOKUP($D275,EntryList!$B$3:$S$291,17,FALSE),"")</f>
        <v/>
      </c>
    </row>
    <row r="276" spans="2:22">
      <c r="B276" s="59">
        <v>271</v>
      </c>
      <c r="C276" s="59" t="str">
        <f>IFERROR(VLOOKUP($B276,OverallResults!$B$3:$Z$508,2,FALSE),"")</f>
        <v>DNF</v>
      </c>
      <c r="D276" s="149" t="str">
        <f>IFERROR(VLOOKUP($B276,OverallResults!$B$3:$Z$508,3,FALSE),"")</f>
        <v/>
      </c>
      <c r="E276" s="146" t="str">
        <f>IFERROR(VLOOKUP(C276,SeriesPoints!$A$2:$B$51,2,FALSE),"")</f>
        <v/>
      </c>
      <c r="F276" s="148" t="str">
        <f>IFERROR(VLOOKUP($D276,EntryList!$B$3:$V$291,21,FALSE),"")</f>
        <v/>
      </c>
      <c r="G276" s="100" t="str">
        <f>IFERROR(VLOOKUP($D276,EntryList!$B$3:$N$596,5,FALSE),"")</f>
        <v/>
      </c>
      <c r="H276" s="145" t="str">
        <f>IFERROR(VLOOKUP($D276,EntryList!$B$3:$N$596,6,FALSE),"")</f>
        <v/>
      </c>
      <c r="I276" s="331" t="str">
        <f>IFERROR(VLOOKUP($B276,OverallResults!$B$3:$Z$492,8,FALSE),"")</f>
        <v/>
      </c>
      <c r="J276" s="58" t="str">
        <f>IFERROR(VLOOKUP($B276,OverallResults!$B$3:$BB$492,9,FALSE),"")</f>
        <v/>
      </c>
      <c r="K276" s="58" t="str">
        <f>IFERROR(VLOOKUP($B276,OverallResults!$B$3:$BB$492,10,FALSE),"")</f>
        <v/>
      </c>
      <c r="L276" s="58" t="str">
        <f>IFERROR(VLOOKUP($B276,OverallResults!$B$3:$BB$492,11,FALSE),"")</f>
        <v/>
      </c>
      <c r="M276" s="58" t="str">
        <f>IFERROR(VLOOKUP($B276,OverallResults!$B$3:$BB$492,12,FALSE),"")</f>
        <v/>
      </c>
      <c r="N276" s="58" t="str">
        <f>IFERROR(VLOOKUP($B276,OverallResults!$B$3:$BB$492,13,FALSE),"")</f>
        <v/>
      </c>
      <c r="O276" s="58" t="str">
        <f>IFERROR(VLOOKUP($B276,OverallResults!$B$3:$BB$492,14,FALSE),"")</f>
        <v/>
      </c>
      <c r="P276" s="58" t="str">
        <f>IFERROR(VLOOKUP($B276,OverallResults!$B$3:$BB$492,15,FALSE),"")</f>
        <v/>
      </c>
      <c r="Q276" s="58" t="str">
        <f>IFERROR(VLOOKUP($B276,OverallResults!$B$3:$BB$492,16,FALSE),"")</f>
        <v/>
      </c>
      <c r="R276" s="58" t="str">
        <f>IFERROR(VLOOKUP($B276,OverallResults!$B$3:$BB$492,17,FALSE),"")</f>
        <v/>
      </c>
      <c r="S276" s="170" t="str">
        <f t="shared" si="8"/>
        <v>N/A</v>
      </c>
      <c r="T276" s="170" t="e">
        <f t="shared" si="9"/>
        <v>#VALUE!</v>
      </c>
      <c r="U276" s="359" t="str">
        <f>IFERROR(VLOOKUP($D276,EntryList!$B$3:$S$291,18,FALSE),"")</f>
        <v/>
      </c>
      <c r="V276" s="359" t="str">
        <f>IFERROR(VLOOKUP($D276,EntryList!$B$3:$S$291,17,FALSE),"")</f>
        <v/>
      </c>
    </row>
    <row r="277" spans="2:22">
      <c r="B277" s="59">
        <v>272</v>
      </c>
      <c r="C277" s="59" t="str">
        <f>IFERROR(VLOOKUP($B277,OverallResults!$B$3:$Z$508,2,FALSE),"")</f>
        <v>DNF</v>
      </c>
      <c r="D277" s="149" t="str">
        <f>IFERROR(VLOOKUP($B277,OverallResults!$B$3:$Z$508,3,FALSE),"")</f>
        <v/>
      </c>
      <c r="E277" s="146" t="str">
        <f>IFERROR(VLOOKUP(C277,SeriesPoints!$A$2:$B$51,2,FALSE),"")</f>
        <v/>
      </c>
      <c r="F277" s="148" t="str">
        <f>IFERROR(VLOOKUP($D277,EntryList!$B$3:$V$291,21,FALSE),"")</f>
        <v/>
      </c>
      <c r="G277" s="100" t="str">
        <f>IFERROR(VLOOKUP($D277,EntryList!$B$3:$N$596,5,FALSE),"")</f>
        <v/>
      </c>
      <c r="H277" s="145" t="str">
        <f>IFERROR(VLOOKUP($D277,EntryList!$B$3:$N$596,6,FALSE),"")</f>
        <v/>
      </c>
      <c r="I277" s="331" t="str">
        <f>IFERROR(VLOOKUP($B277,OverallResults!$B$3:$Z$492,8,FALSE),"")</f>
        <v/>
      </c>
      <c r="J277" s="58" t="str">
        <f>IFERROR(VLOOKUP($B277,OverallResults!$B$3:$BB$492,9,FALSE),"")</f>
        <v/>
      </c>
      <c r="K277" s="58" t="str">
        <f>IFERROR(VLOOKUP($B277,OverallResults!$B$3:$BB$492,10,FALSE),"")</f>
        <v/>
      </c>
      <c r="L277" s="58" t="str">
        <f>IFERROR(VLOOKUP($B277,OverallResults!$B$3:$BB$492,11,FALSE),"")</f>
        <v/>
      </c>
      <c r="M277" s="58" t="str">
        <f>IFERROR(VLOOKUP($B277,OverallResults!$B$3:$BB$492,12,FALSE),"")</f>
        <v/>
      </c>
      <c r="N277" s="58" t="str">
        <f>IFERROR(VLOOKUP($B277,OverallResults!$B$3:$BB$492,13,FALSE),"")</f>
        <v/>
      </c>
      <c r="O277" s="58" t="str">
        <f>IFERROR(VLOOKUP($B277,OverallResults!$B$3:$BB$492,14,FALSE),"")</f>
        <v/>
      </c>
      <c r="P277" s="58" t="str">
        <f>IFERROR(VLOOKUP($B277,OverallResults!$B$3:$BB$492,15,FALSE),"")</f>
        <v/>
      </c>
      <c r="Q277" s="58" t="str">
        <f>IFERROR(VLOOKUP($B277,OverallResults!$B$3:$BB$492,16,FALSE),"")</f>
        <v/>
      </c>
      <c r="R277" s="58" t="str">
        <f>IFERROR(VLOOKUP($B277,OverallResults!$B$3:$BB$492,17,FALSE),"")</f>
        <v/>
      </c>
      <c r="S277" s="170" t="str">
        <f t="shared" si="8"/>
        <v>N/A</v>
      </c>
      <c r="T277" s="170" t="e">
        <f t="shared" si="9"/>
        <v>#VALUE!</v>
      </c>
      <c r="U277" s="359" t="str">
        <f>IFERROR(VLOOKUP($D277,EntryList!$B$3:$S$291,18,FALSE),"")</f>
        <v/>
      </c>
      <c r="V277" s="359" t="str">
        <f>IFERROR(VLOOKUP($D277,EntryList!$B$3:$S$291,17,FALSE),"")</f>
        <v/>
      </c>
    </row>
    <row r="278" spans="2:22">
      <c r="B278" s="59">
        <v>273</v>
      </c>
      <c r="C278" s="59" t="str">
        <f>IFERROR(VLOOKUP($B278,OverallResults!$B$3:$Z$508,2,FALSE),"")</f>
        <v>DNF</v>
      </c>
      <c r="D278" s="149" t="str">
        <f>IFERROR(VLOOKUP($B278,OverallResults!$B$3:$Z$508,3,FALSE),"")</f>
        <v/>
      </c>
      <c r="E278" s="146" t="str">
        <f>IFERROR(VLOOKUP(C278,SeriesPoints!$A$2:$B$51,2,FALSE),"")</f>
        <v/>
      </c>
      <c r="F278" s="148" t="str">
        <f>IFERROR(VLOOKUP($D278,EntryList!$B$3:$V$291,21,FALSE),"")</f>
        <v/>
      </c>
      <c r="G278" s="100" t="str">
        <f>IFERROR(VLOOKUP($D278,EntryList!$B$3:$N$596,5,FALSE),"")</f>
        <v/>
      </c>
      <c r="H278" s="145" t="str">
        <f>IFERROR(VLOOKUP($D278,EntryList!$B$3:$N$596,6,FALSE),"")</f>
        <v/>
      </c>
      <c r="I278" s="331" t="str">
        <f>IFERROR(VLOOKUP($B278,OverallResults!$B$3:$Z$492,8,FALSE),"")</f>
        <v/>
      </c>
      <c r="J278" s="58" t="str">
        <f>IFERROR(VLOOKUP($B278,OverallResults!$B$3:$BB$492,9,FALSE),"")</f>
        <v/>
      </c>
      <c r="K278" s="58" t="str">
        <f>IFERROR(VLOOKUP($B278,OverallResults!$B$3:$BB$492,10,FALSE),"")</f>
        <v/>
      </c>
      <c r="L278" s="58" t="str">
        <f>IFERROR(VLOOKUP($B278,OverallResults!$B$3:$BB$492,11,FALSE),"")</f>
        <v/>
      </c>
      <c r="M278" s="58" t="str">
        <f>IFERROR(VLOOKUP($B278,OverallResults!$B$3:$BB$492,12,FALSE),"")</f>
        <v/>
      </c>
      <c r="N278" s="58" t="str">
        <f>IFERROR(VLOOKUP($B278,OverallResults!$B$3:$BB$492,13,FALSE),"")</f>
        <v/>
      </c>
      <c r="O278" s="58" t="str">
        <f>IFERROR(VLOOKUP($B278,OverallResults!$B$3:$BB$492,14,FALSE),"")</f>
        <v/>
      </c>
      <c r="P278" s="58" t="str">
        <f>IFERROR(VLOOKUP($B278,OverallResults!$B$3:$BB$492,15,FALSE),"")</f>
        <v/>
      </c>
      <c r="Q278" s="58" t="str">
        <f>IFERROR(VLOOKUP($B278,OverallResults!$B$3:$BB$492,16,FALSE),"")</f>
        <v/>
      </c>
      <c r="R278" s="58" t="str">
        <f>IFERROR(VLOOKUP($B278,OverallResults!$B$3:$BB$492,17,FALSE),"")</f>
        <v/>
      </c>
      <c r="S278" s="170" t="str">
        <f t="shared" si="8"/>
        <v>N/A</v>
      </c>
      <c r="T278" s="170" t="e">
        <f t="shared" si="9"/>
        <v>#VALUE!</v>
      </c>
      <c r="U278" s="359" t="str">
        <f>IFERROR(VLOOKUP($D278,EntryList!$B$3:$S$291,18,FALSE),"")</f>
        <v/>
      </c>
      <c r="V278" s="359" t="str">
        <f>IFERROR(VLOOKUP($D278,EntryList!$B$3:$S$291,17,FALSE),"")</f>
        <v/>
      </c>
    </row>
    <row r="279" spans="2:22">
      <c r="B279" s="59">
        <v>274</v>
      </c>
      <c r="C279" s="59" t="str">
        <f>IFERROR(VLOOKUP($B279,OverallResults!$B$3:$Z$508,2,FALSE),"")</f>
        <v>DNF</v>
      </c>
      <c r="D279" s="149" t="str">
        <f>IFERROR(VLOOKUP($B279,OverallResults!$B$3:$Z$508,3,FALSE),"")</f>
        <v/>
      </c>
      <c r="E279" s="146" t="str">
        <f>IFERROR(VLOOKUP(C279,SeriesPoints!$A$2:$B$51,2,FALSE),"")</f>
        <v/>
      </c>
      <c r="F279" s="148" t="str">
        <f>IFERROR(VLOOKUP($D279,EntryList!$B$3:$V$291,21,FALSE),"")</f>
        <v/>
      </c>
      <c r="G279" s="100" t="str">
        <f>IFERROR(VLOOKUP($D279,EntryList!$B$3:$N$596,5,FALSE),"")</f>
        <v/>
      </c>
      <c r="H279" s="145" t="str">
        <f>IFERROR(VLOOKUP($D279,EntryList!$B$3:$N$596,6,FALSE),"")</f>
        <v/>
      </c>
      <c r="I279" s="331" t="str">
        <f>IFERROR(VLOOKUP($B279,OverallResults!$B$3:$Z$492,8,FALSE),"")</f>
        <v/>
      </c>
      <c r="J279" s="58" t="str">
        <f>IFERROR(VLOOKUP($B279,OverallResults!$B$3:$BB$492,9,FALSE),"")</f>
        <v/>
      </c>
      <c r="K279" s="58" t="str">
        <f>IFERROR(VLOOKUP($B279,OverallResults!$B$3:$BB$492,10,FALSE),"")</f>
        <v/>
      </c>
      <c r="L279" s="58" t="str">
        <f>IFERROR(VLOOKUP($B279,OverallResults!$B$3:$BB$492,11,FALSE),"")</f>
        <v/>
      </c>
      <c r="M279" s="58" t="str">
        <f>IFERROR(VLOOKUP($B279,OverallResults!$B$3:$BB$492,12,FALSE),"")</f>
        <v/>
      </c>
      <c r="N279" s="58" t="str">
        <f>IFERROR(VLOOKUP($B279,OverallResults!$B$3:$BB$492,13,FALSE),"")</f>
        <v/>
      </c>
      <c r="O279" s="58" t="str">
        <f>IFERROR(VLOOKUP($B279,OverallResults!$B$3:$BB$492,14,FALSE),"")</f>
        <v/>
      </c>
      <c r="P279" s="58" t="str">
        <f>IFERROR(VLOOKUP($B279,OverallResults!$B$3:$BB$492,15,FALSE),"")</f>
        <v/>
      </c>
      <c r="Q279" s="58" t="str">
        <f>IFERROR(VLOOKUP($B279,OverallResults!$B$3:$BB$492,16,FALSE),"")</f>
        <v/>
      </c>
      <c r="R279" s="58" t="str">
        <f>IFERROR(VLOOKUP($B279,OverallResults!$B$3:$BB$492,17,FALSE),"")</f>
        <v/>
      </c>
      <c r="S279" s="170" t="str">
        <f t="shared" si="8"/>
        <v>N/A</v>
      </c>
      <c r="T279" s="170" t="e">
        <f t="shared" si="9"/>
        <v>#VALUE!</v>
      </c>
      <c r="U279" s="359" t="str">
        <f>IFERROR(VLOOKUP($D279,EntryList!$B$3:$S$291,18,FALSE),"")</f>
        <v/>
      </c>
      <c r="V279" s="359" t="str">
        <f>IFERROR(VLOOKUP($D279,EntryList!$B$3:$S$291,17,FALSE),"")</f>
        <v/>
      </c>
    </row>
    <row r="280" spans="2:22">
      <c r="B280" s="59">
        <v>275</v>
      </c>
      <c r="C280" s="59" t="str">
        <f>IFERROR(VLOOKUP($B280,OverallResults!$B$3:$Z$508,2,FALSE),"")</f>
        <v>DNF</v>
      </c>
      <c r="D280" s="149" t="str">
        <f>IFERROR(VLOOKUP($B280,OverallResults!$B$3:$Z$508,3,FALSE),"")</f>
        <v/>
      </c>
      <c r="E280" s="146" t="str">
        <f>IFERROR(VLOOKUP(C280,SeriesPoints!$A$2:$B$51,2,FALSE),"")</f>
        <v/>
      </c>
      <c r="F280" s="148" t="str">
        <f>IFERROR(VLOOKUP($D280,EntryList!$B$3:$V$291,21,FALSE),"")</f>
        <v/>
      </c>
      <c r="G280" s="100" t="str">
        <f>IFERROR(VLOOKUP($D280,EntryList!$B$3:$N$596,5,FALSE),"")</f>
        <v/>
      </c>
      <c r="H280" s="145" t="str">
        <f>IFERROR(VLOOKUP($D280,EntryList!$B$3:$N$596,6,FALSE),"")</f>
        <v/>
      </c>
      <c r="I280" s="331" t="str">
        <f>IFERROR(VLOOKUP($B280,OverallResults!$B$3:$Z$492,8,FALSE),"")</f>
        <v/>
      </c>
      <c r="J280" s="58" t="str">
        <f>IFERROR(VLOOKUP($B280,OverallResults!$B$3:$BB$492,9,FALSE),"")</f>
        <v/>
      </c>
      <c r="K280" s="58" t="str">
        <f>IFERROR(VLOOKUP($B280,OverallResults!$B$3:$BB$492,10,FALSE),"")</f>
        <v/>
      </c>
      <c r="L280" s="58" t="str">
        <f>IFERROR(VLOOKUP($B280,OverallResults!$B$3:$BB$492,11,FALSE),"")</f>
        <v/>
      </c>
      <c r="M280" s="58" t="str">
        <f>IFERROR(VLOOKUP($B280,OverallResults!$B$3:$BB$492,12,FALSE),"")</f>
        <v/>
      </c>
      <c r="N280" s="58" t="str">
        <f>IFERROR(VLOOKUP($B280,OverallResults!$B$3:$BB$492,13,FALSE),"")</f>
        <v/>
      </c>
      <c r="O280" s="58" t="str">
        <f>IFERROR(VLOOKUP($B280,OverallResults!$B$3:$BB$492,14,FALSE),"")</f>
        <v/>
      </c>
      <c r="P280" s="58" t="str">
        <f>IFERROR(VLOOKUP($B280,OverallResults!$B$3:$BB$492,15,FALSE),"")</f>
        <v/>
      </c>
      <c r="Q280" s="58" t="str">
        <f>IFERROR(VLOOKUP($B280,OverallResults!$B$3:$BB$492,16,FALSE),"")</f>
        <v/>
      </c>
      <c r="R280" s="58" t="str">
        <f>IFERROR(VLOOKUP($B280,OverallResults!$B$3:$BB$492,17,FALSE),"")</f>
        <v/>
      </c>
      <c r="S280" s="170" t="str">
        <f t="shared" si="8"/>
        <v>N/A</v>
      </c>
      <c r="T280" s="170" t="e">
        <f t="shared" si="9"/>
        <v>#VALUE!</v>
      </c>
      <c r="U280" s="359" t="str">
        <f>IFERROR(VLOOKUP($D280,EntryList!$B$3:$S$291,18,FALSE),"")</f>
        <v/>
      </c>
      <c r="V280" s="359" t="str">
        <f>IFERROR(VLOOKUP($D280,EntryList!$B$3:$S$291,17,FALSE),"")</f>
        <v/>
      </c>
    </row>
    <row r="281" spans="2:22">
      <c r="B281" s="59">
        <v>276</v>
      </c>
      <c r="C281" s="59" t="str">
        <f>IFERROR(VLOOKUP($B281,OverallResults!$B$3:$Z$508,2,FALSE),"")</f>
        <v>DNF</v>
      </c>
      <c r="D281" s="149" t="str">
        <f>IFERROR(VLOOKUP($B281,OverallResults!$B$3:$Z$508,3,FALSE),"")</f>
        <v/>
      </c>
      <c r="E281" s="146" t="str">
        <f>IFERROR(VLOOKUP(C281,SeriesPoints!$A$2:$B$51,2,FALSE),"")</f>
        <v/>
      </c>
      <c r="F281" s="148" t="str">
        <f>IFERROR(VLOOKUP($D281,EntryList!$B$3:$V$291,21,FALSE),"")</f>
        <v/>
      </c>
      <c r="G281" s="100" t="str">
        <f>IFERROR(VLOOKUP($D281,EntryList!$B$3:$N$596,5,FALSE),"")</f>
        <v/>
      </c>
      <c r="H281" s="145" t="str">
        <f>IFERROR(VLOOKUP($D281,EntryList!$B$3:$N$596,6,FALSE),"")</f>
        <v/>
      </c>
      <c r="I281" s="331" t="str">
        <f>IFERROR(VLOOKUP($B281,OverallResults!$B$3:$Z$492,8,FALSE),"")</f>
        <v/>
      </c>
      <c r="J281" s="58" t="str">
        <f>IFERROR(VLOOKUP($B281,OverallResults!$B$3:$BB$492,9,FALSE),"")</f>
        <v/>
      </c>
      <c r="K281" s="58" t="str">
        <f>IFERROR(VLOOKUP($B281,OverallResults!$B$3:$BB$492,10,FALSE),"")</f>
        <v/>
      </c>
      <c r="L281" s="58" t="str">
        <f>IFERROR(VLOOKUP($B281,OverallResults!$B$3:$BB$492,11,FALSE),"")</f>
        <v/>
      </c>
      <c r="M281" s="58" t="str">
        <f>IFERROR(VLOOKUP($B281,OverallResults!$B$3:$BB$492,12,FALSE),"")</f>
        <v/>
      </c>
      <c r="N281" s="58" t="str">
        <f>IFERROR(VLOOKUP($B281,OverallResults!$B$3:$BB$492,13,FALSE),"")</f>
        <v/>
      </c>
      <c r="O281" s="58" t="str">
        <f>IFERROR(VLOOKUP($B281,OverallResults!$B$3:$BB$492,14,FALSE),"")</f>
        <v/>
      </c>
      <c r="P281" s="58" t="str">
        <f>IFERROR(VLOOKUP($B281,OverallResults!$B$3:$BB$492,15,FALSE),"")</f>
        <v/>
      </c>
      <c r="Q281" s="58" t="str">
        <f>IFERROR(VLOOKUP($B281,OverallResults!$B$3:$BB$492,16,FALSE),"")</f>
        <v/>
      </c>
      <c r="R281" s="58" t="str">
        <f>IFERROR(VLOOKUP($B281,OverallResults!$B$3:$BB$492,17,FALSE),"")</f>
        <v/>
      </c>
      <c r="S281" s="170" t="str">
        <f t="shared" si="8"/>
        <v>N/A</v>
      </c>
      <c r="T281" s="170" t="e">
        <f t="shared" si="9"/>
        <v>#VALUE!</v>
      </c>
      <c r="U281" s="359" t="str">
        <f>IFERROR(VLOOKUP($D281,EntryList!$B$3:$S$291,18,FALSE),"")</f>
        <v/>
      </c>
      <c r="V281" s="359" t="str">
        <f>IFERROR(VLOOKUP($D281,EntryList!$B$3:$S$291,17,FALSE),"")</f>
        <v/>
      </c>
    </row>
    <row r="282" spans="2:22">
      <c r="B282" s="59">
        <v>277</v>
      </c>
      <c r="C282" s="59" t="str">
        <f>IFERROR(VLOOKUP($B282,OverallResults!$B$3:$Z$508,2,FALSE),"")</f>
        <v>DNF</v>
      </c>
      <c r="D282" s="149" t="str">
        <f>IFERROR(VLOOKUP($B282,OverallResults!$B$3:$Z$508,3,FALSE),"")</f>
        <v/>
      </c>
      <c r="E282" s="146" t="str">
        <f>IFERROR(VLOOKUP(C282,SeriesPoints!$A$2:$B$51,2,FALSE),"")</f>
        <v/>
      </c>
      <c r="F282" s="148" t="str">
        <f>IFERROR(VLOOKUP($D282,EntryList!$B$3:$V$291,21,FALSE),"")</f>
        <v/>
      </c>
      <c r="G282" s="100" t="str">
        <f>IFERROR(VLOOKUP($D282,EntryList!$B$3:$N$596,5,FALSE),"")</f>
        <v/>
      </c>
      <c r="H282" s="145" t="str">
        <f>IFERROR(VLOOKUP($D282,EntryList!$B$3:$N$596,6,FALSE),"")</f>
        <v/>
      </c>
      <c r="I282" s="331" t="str">
        <f>IFERROR(VLOOKUP($B282,OverallResults!$B$3:$Z$492,8,FALSE),"")</f>
        <v/>
      </c>
      <c r="J282" s="58" t="str">
        <f>IFERROR(VLOOKUP($B282,OverallResults!$B$3:$BB$492,9,FALSE),"")</f>
        <v/>
      </c>
      <c r="K282" s="58" t="str">
        <f>IFERROR(VLOOKUP($B282,OverallResults!$B$3:$BB$492,10,FALSE),"")</f>
        <v/>
      </c>
      <c r="L282" s="58" t="str">
        <f>IFERROR(VLOOKUP($B282,OverallResults!$B$3:$BB$492,11,FALSE),"")</f>
        <v/>
      </c>
      <c r="M282" s="58" t="str">
        <f>IFERROR(VLOOKUP($B282,OverallResults!$B$3:$BB$492,12,FALSE),"")</f>
        <v/>
      </c>
      <c r="N282" s="58" t="str">
        <f>IFERROR(VLOOKUP($B282,OverallResults!$B$3:$BB$492,13,FALSE),"")</f>
        <v/>
      </c>
      <c r="O282" s="58" t="str">
        <f>IFERROR(VLOOKUP($B282,OverallResults!$B$3:$BB$492,14,FALSE),"")</f>
        <v/>
      </c>
      <c r="P282" s="58" t="str">
        <f>IFERROR(VLOOKUP($B282,OverallResults!$B$3:$BB$492,15,FALSE),"")</f>
        <v/>
      </c>
      <c r="Q282" s="58" t="str">
        <f>IFERROR(VLOOKUP($B282,OverallResults!$B$3:$BB$492,16,FALSE),"")</f>
        <v/>
      </c>
      <c r="R282" s="58" t="str">
        <f>IFERROR(VLOOKUP($B282,OverallResults!$B$3:$BB$492,17,FALSE),"")</f>
        <v/>
      </c>
      <c r="S282" s="170" t="str">
        <f t="shared" si="8"/>
        <v>N/A</v>
      </c>
      <c r="T282" s="170" t="e">
        <f t="shared" si="9"/>
        <v>#VALUE!</v>
      </c>
      <c r="U282" s="359" t="str">
        <f>IFERROR(VLOOKUP($D282,EntryList!$B$3:$S$291,18,FALSE),"")</f>
        <v/>
      </c>
      <c r="V282" s="359" t="str">
        <f>IFERROR(VLOOKUP($D282,EntryList!$B$3:$S$291,17,FALSE),"")</f>
        <v/>
      </c>
    </row>
    <row r="283" spans="2:22">
      <c r="B283" s="59">
        <v>278</v>
      </c>
      <c r="C283" s="59" t="str">
        <f>IFERROR(VLOOKUP($B283,OverallResults!$B$3:$Z$508,2,FALSE),"")</f>
        <v>DNF</v>
      </c>
      <c r="D283" s="149" t="str">
        <f>IFERROR(VLOOKUP($B283,OverallResults!$B$3:$Z$508,3,FALSE),"")</f>
        <v/>
      </c>
      <c r="E283" s="146" t="str">
        <f>IFERROR(VLOOKUP(C283,SeriesPoints!$A$2:$B$51,2,FALSE),"")</f>
        <v/>
      </c>
      <c r="F283" s="148" t="str">
        <f>IFERROR(VLOOKUP($D283,EntryList!$B$3:$V$291,21,FALSE),"")</f>
        <v/>
      </c>
      <c r="G283" s="100" t="str">
        <f>IFERROR(VLOOKUP($D283,EntryList!$B$3:$N$596,5,FALSE),"")</f>
        <v/>
      </c>
      <c r="H283" s="145" t="str">
        <f>IFERROR(VLOOKUP($D283,EntryList!$B$3:$N$596,6,FALSE),"")</f>
        <v/>
      </c>
      <c r="I283" s="331" t="str">
        <f>IFERROR(VLOOKUP($B283,OverallResults!$B$3:$Z$492,8,FALSE),"")</f>
        <v/>
      </c>
      <c r="J283" s="58" t="str">
        <f>IFERROR(VLOOKUP($B283,OverallResults!$B$3:$BB$492,9,FALSE),"")</f>
        <v/>
      </c>
      <c r="K283" s="58" t="str">
        <f>IFERROR(VLOOKUP($B283,OverallResults!$B$3:$BB$492,10,FALSE),"")</f>
        <v/>
      </c>
      <c r="L283" s="58" t="str">
        <f>IFERROR(VLOOKUP($B283,OverallResults!$B$3:$BB$492,11,FALSE),"")</f>
        <v/>
      </c>
      <c r="M283" s="58" t="str">
        <f>IFERROR(VLOOKUP($B283,OverallResults!$B$3:$BB$492,12,FALSE),"")</f>
        <v/>
      </c>
      <c r="N283" s="58" t="str">
        <f>IFERROR(VLOOKUP($B283,OverallResults!$B$3:$BB$492,13,FALSE),"")</f>
        <v/>
      </c>
      <c r="O283" s="58" t="str">
        <f>IFERROR(VLOOKUP($B283,OverallResults!$B$3:$BB$492,14,FALSE),"")</f>
        <v/>
      </c>
      <c r="P283" s="58" t="str">
        <f>IFERROR(VLOOKUP($B283,OverallResults!$B$3:$BB$492,15,FALSE),"")</f>
        <v/>
      </c>
      <c r="Q283" s="58" t="str">
        <f>IFERROR(VLOOKUP($B283,OverallResults!$B$3:$BB$492,16,FALSE),"")</f>
        <v/>
      </c>
      <c r="R283" s="58" t="str">
        <f>IFERROR(VLOOKUP($B283,OverallResults!$B$3:$BB$492,17,FALSE),"")</f>
        <v/>
      </c>
      <c r="S283" s="170" t="str">
        <f t="shared" si="8"/>
        <v>N/A</v>
      </c>
      <c r="T283" s="170" t="e">
        <f t="shared" si="9"/>
        <v>#VALUE!</v>
      </c>
      <c r="U283" s="359" t="str">
        <f>IFERROR(VLOOKUP($D283,EntryList!$B$3:$S$291,18,FALSE),"")</f>
        <v/>
      </c>
      <c r="V283" s="359" t="str">
        <f>IFERROR(VLOOKUP($D283,EntryList!$B$3:$S$291,17,FALSE),"")</f>
        <v/>
      </c>
    </row>
    <row r="284" spans="2:22">
      <c r="B284" s="59">
        <v>279</v>
      </c>
      <c r="C284" s="59" t="str">
        <f>IFERROR(VLOOKUP($B284,OverallResults!$B$3:$Z$508,2,FALSE),"")</f>
        <v>DNF</v>
      </c>
      <c r="D284" s="149" t="str">
        <f>IFERROR(VLOOKUP($B284,OverallResults!$B$3:$Z$508,3,FALSE),"")</f>
        <v/>
      </c>
      <c r="E284" s="146" t="str">
        <f>IFERROR(VLOOKUP(C284,SeriesPoints!$A$2:$B$51,2,FALSE),"")</f>
        <v/>
      </c>
      <c r="F284" s="148" t="str">
        <f>IFERROR(VLOOKUP($D284,EntryList!$B$3:$V$291,21,FALSE),"")</f>
        <v/>
      </c>
      <c r="G284" s="100" t="str">
        <f>IFERROR(VLOOKUP($D284,EntryList!$B$3:$N$596,5,FALSE),"")</f>
        <v/>
      </c>
      <c r="H284" s="145" t="str">
        <f>IFERROR(VLOOKUP($D284,EntryList!$B$3:$N$596,6,FALSE),"")</f>
        <v/>
      </c>
      <c r="I284" s="331" t="str">
        <f>IFERROR(VLOOKUP($B284,OverallResults!$B$3:$Z$492,8,FALSE),"")</f>
        <v/>
      </c>
      <c r="J284" s="58" t="str">
        <f>IFERROR(VLOOKUP($B284,OverallResults!$B$3:$BB$492,9,FALSE),"")</f>
        <v/>
      </c>
      <c r="K284" s="58" t="str">
        <f>IFERROR(VLOOKUP($B284,OverallResults!$B$3:$BB$492,10,FALSE),"")</f>
        <v/>
      </c>
      <c r="L284" s="58" t="str">
        <f>IFERROR(VLOOKUP($B284,OverallResults!$B$3:$BB$492,11,FALSE),"")</f>
        <v/>
      </c>
      <c r="M284" s="58" t="str">
        <f>IFERROR(VLOOKUP($B284,OverallResults!$B$3:$BB$492,12,FALSE),"")</f>
        <v/>
      </c>
      <c r="N284" s="58" t="str">
        <f>IFERROR(VLOOKUP($B284,OverallResults!$B$3:$BB$492,13,FALSE),"")</f>
        <v/>
      </c>
      <c r="O284" s="58" t="str">
        <f>IFERROR(VLOOKUP($B284,OverallResults!$B$3:$BB$492,14,FALSE),"")</f>
        <v/>
      </c>
      <c r="P284" s="58" t="str">
        <f>IFERROR(VLOOKUP($B284,OverallResults!$B$3:$BB$492,15,FALSE),"")</f>
        <v/>
      </c>
      <c r="Q284" s="58" t="str">
        <f>IFERROR(VLOOKUP($B284,OverallResults!$B$3:$BB$492,16,FALSE),"")</f>
        <v/>
      </c>
      <c r="R284" s="58" t="str">
        <f>IFERROR(VLOOKUP($B284,OverallResults!$B$3:$BB$492,17,FALSE),"")</f>
        <v/>
      </c>
      <c r="S284" s="170" t="str">
        <f t="shared" si="8"/>
        <v>N/A</v>
      </c>
      <c r="T284" s="170" t="e">
        <f t="shared" si="9"/>
        <v>#VALUE!</v>
      </c>
      <c r="U284" s="359" t="str">
        <f>IFERROR(VLOOKUP($D284,EntryList!$B$3:$S$291,18,FALSE),"")</f>
        <v/>
      </c>
      <c r="V284" s="359" t="str">
        <f>IFERROR(VLOOKUP($D284,EntryList!$B$3:$S$291,17,FALSE),"")</f>
        <v/>
      </c>
    </row>
    <row r="285" spans="2:22">
      <c r="B285" s="59">
        <v>280</v>
      </c>
      <c r="C285" s="59" t="str">
        <f>IFERROR(VLOOKUP($B285,OverallResults!$B$3:$Z$508,2,FALSE),"")</f>
        <v>DNF</v>
      </c>
      <c r="D285" s="149" t="str">
        <f>IFERROR(VLOOKUP($B285,OverallResults!$B$3:$Z$508,3,FALSE),"")</f>
        <v/>
      </c>
      <c r="E285" s="146" t="str">
        <f>IFERROR(VLOOKUP(C285,SeriesPoints!$A$2:$B$51,2,FALSE),"")</f>
        <v/>
      </c>
      <c r="F285" s="148" t="str">
        <f>IFERROR(VLOOKUP($D285,EntryList!$B$3:$V$291,21,FALSE),"")</f>
        <v/>
      </c>
      <c r="G285" s="100" t="str">
        <f>IFERROR(VLOOKUP($D285,EntryList!$B$3:$N$596,5,FALSE),"")</f>
        <v/>
      </c>
      <c r="H285" s="145" t="str">
        <f>IFERROR(VLOOKUP($D285,EntryList!$B$3:$N$596,6,FALSE),"")</f>
        <v/>
      </c>
      <c r="I285" s="331" t="str">
        <f>IFERROR(VLOOKUP($B285,OverallResults!$B$3:$Z$492,8,FALSE),"")</f>
        <v/>
      </c>
      <c r="J285" s="58" t="str">
        <f>IFERROR(VLOOKUP($B285,OverallResults!$B$3:$BB$492,9,FALSE),"")</f>
        <v/>
      </c>
      <c r="K285" s="58" t="str">
        <f>IFERROR(VLOOKUP($B285,OverallResults!$B$3:$BB$492,10,FALSE),"")</f>
        <v/>
      </c>
      <c r="L285" s="58" t="str">
        <f>IFERROR(VLOOKUP($B285,OverallResults!$B$3:$BB$492,11,FALSE),"")</f>
        <v/>
      </c>
      <c r="M285" s="58" t="str">
        <f>IFERROR(VLOOKUP($B285,OverallResults!$B$3:$BB$492,12,FALSE),"")</f>
        <v/>
      </c>
      <c r="N285" s="58" t="str">
        <f>IFERROR(VLOOKUP($B285,OverallResults!$B$3:$BB$492,13,FALSE),"")</f>
        <v/>
      </c>
      <c r="O285" s="58" t="str">
        <f>IFERROR(VLOOKUP($B285,OverallResults!$B$3:$BB$492,14,FALSE),"")</f>
        <v/>
      </c>
      <c r="P285" s="58" t="str">
        <f>IFERROR(VLOOKUP($B285,OverallResults!$B$3:$BB$492,15,FALSE),"")</f>
        <v/>
      </c>
      <c r="Q285" s="58" t="str">
        <f>IFERROR(VLOOKUP($B285,OverallResults!$B$3:$BB$492,16,FALSE),"")</f>
        <v/>
      </c>
      <c r="R285" s="58" t="str">
        <f>IFERROR(VLOOKUP($B285,OverallResults!$B$3:$BB$492,17,FALSE),"")</f>
        <v/>
      </c>
      <c r="S285" s="170" t="str">
        <f t="shared" si="8"/>
        <v>N/A</v>
      </c>
      <c r="T285" s="170" t="e">
        <f t="shared" si="9"/>
        <v>#VALUE!</v>
      </c>
      <c r="U285" s="359" t="str">
        <f>IFERROR(VLOOKUP($D285,EntryList!$B$3:$S$291,18,FALSE),"")</f>
        <v/>
      </c>
      <c r="V285" s="359" t="str">
        <f>IFERROR(VLOOKUP($D285,EntryList!$B$3:$S$291,17,FALSE),"")</f>
        <v/>
      </c>
    </row>
    <row r="286" spans="2:22">
      <c r="B286" s="59">
        <v>281</v>
      </c>
      <c r="C286" s="59" t="str">
        <f>IFERROR(VLOOKUP($B286,OverallResults!$B$3:$Z$508,2,FALSE),"")</f>
        <v>DNF</v>
      </c>
      <c r="D286" s="149" t="str">
        <f>IFERROR(VLOOKUP($B286,OverallResults!$B$3:$Z$508,3,FALSE),"")</f>
        <v/>
      </c>
      <c r="E286" s="146" t="str">
        <f>IFERROR(VLOOKUP(C286,SeriesPoints!$A$2:$B$51,2,FALSE),"")</f>
        <v/>
      </c>
      <c r="F286" s="148" t="str">
        <f>IFERROR(VLOOKUP($D286,EntryList!$B$3:$V$291,21,FALSE),"")</f>
        <v/>
      </c>
      <c r="G286" s="100" t="str">
        <f>IFERROR(VLOOKUP($D286,EntryList!$B$3:$N$596,5,FALSE),"")</f>
        <v/>
      </c>
      <c r="H286" s="145" t="str">
        <f>IFERROR(VLOOKUP($D286,EntryList!$B$3:$N$596,6,FALSE),"")</f>
        <v/>
      </c>
      <c r="I286" s="331" t="str">
        <f>IFERROR(VLOOKUP($B286,OverallResults!$B$3:$Z$492,8,FALSE),"")</f>
        <v/>
      </c>
      <c r="J286" s="58" t="str">
        <f>IFERROR(VLOOKUP($B286,OverallResults!$B$3:$BB$492,9,FALSE),"")</f>
        <v/>
      </c>
      <c r="K286" s="58" t="str">
        <f>IFERROR(VLOOKUP($B286,OverallResults!$B$3:$BB$492,10,FALSE),"")</f>
        <v/>
      </c>
      <c r="L286" s="58" t="str">
        <f>IFERROR(VLOOKUP($B286,OverallResults!$B$3:$BB$492,11,FALSE),"")</f>
        <v/>
      </c>
      <c r="M286" s="58" t="str">
        <f>IFERROR(VLOOKUP($B286,OverallResults!$B$3:$BB$492,12,FALSE),"")</f>
        <v/>
      </c>
      <c r="N286" s="58" t="str">
        <f>IFERROR(VLOOKUP($B286,OverallResults!$B$3:$BB$492,13,FALSE),"")</f>
        <v/>
      </c>
      <c r="O286" s="58" t="str">
        <f>IFERROR(VLOOKUP($B286,OverallResults!$B$3:$BB$492,14,FALSE),"")</f>
        <v/>
      </c>
      <c r="P286" s="58" t="str">
        <f>IFERROR(VLOOKUP($B286,OverallResults!$B$3:$BB$492,15,FALSE),"")</f>
        <v/>
      </c>
      <c r="Q286" s="58" t="str">
        <f>IFERROR(VLOOKUP($B286,OverallResults!$B$3:$BB$492,16,FALSE),"")</f>
        <v/>
      </c>
      <c r="R286" s="58" t="str">
        <f>IFERROR(VLOOKUP($B286,OverallResults!$B$3:$BB$492,17,FALSE),"")</f>
        <v/>
      </c>
      <c r="S286" s="170" t="str">
        <f t="shared" si="8"/>
        <v>N/A</v>
      </c>
      <c r="T286" s="170" t="e">
        <f t="shared" si="9"/>
        <v>#VALUE!</v>
      </c>
      <c r="U286" s="359" t="str">
        <f>IFERROR(VLOOKUP($D286,EntryList!$B$3:$S$291,18,FALSE),"")</f>
        <v/>
      </c>
      <c r="V286" s="359" t="str">
        <f>IFERROR(VLOOKUP($D286,EntryList!$B$3:$S$291,17,FALSE),"")</f>
        <v/>
      </c>
    </row>
    <row r="287" spans="2:22">
      <c r="B287" s="59">
        <v>282</v>
      </c>
      <c r="C287" s="59" t="str">
        <f>IFERROR(VLOOKUP($B287,OverallResults!$B$3:$Z$508,2,FALSE),"")</f>
        <v>DNF</v>
      </c>
      <c r="D287" s="149" t="str">
        <f>IFERROR(VLOOKUP($B287,OverallResults!$B$3:$Z$508,3,FALSE),"")</f>
        <v/>
      </c>
      <c r="E287" s="146" t="str">
        <f>IFERROR(VLOOKUP(C287,SeriesPoints!$A$2:$B$51,2,FALSE),"")</f>
        <v/>
      </c>
      <c r="F287" s="148" t="str">
        <f>IFERROR(VLOOKUP($D287,EntryList!$B$3:$V$291,21,FALSE),"")</f>
        <v/>
      </c>
      <c r="G287" s="100" t="str">
        <f>IFERROR(VLOOKUP($D287,EntryList!$B$3:$N$596,5,FALSE),"")</f>
        <v/>
      </c>
      <c r="H287" s="145" t="str">
        <f>IFERROR(VLOOKUP($D287,EntryList!$B$3:$N$596,6,FALSE),"")</f>
        <v/>
      </c>
      <c r="I287" s="331" t="str">
        <f>IFERROR(VLOOKUP($B287,OverallResults!$B$3:$Z$492,8,FALSE),"")</f>
        <v/>
      </c>
      <c r="J287" s="58" t="str">
        <f>IFERROR(VLOOKUP($B287,OverallResults!$B$3:$BB$492,9,FALSE),"")</f>
        <v/>
      </c>
      <c r="K287" s="58" t="str">
        <f>IFERROR(VLOOKUP($B287,OverallResults!$B$3:$BB$492,10,FALSE),"")</f>
        <v/>
      </c>
      <c r="L287" s="58" t="str">
        <f>IFERROR(VLOOKUP($B287,OverallResults!$B$3:$BB$492,11,FALSE),"")</f>
        <v/>
      </c>
      <c r="M287" s="58" t="str">
        <f>IFERROR(VLOOKUP($B287,OverallResults!$B$3:$BB$492,12,FALSE),"")</f>
        <v/>
      </c>
      <c r="N287" s="58" t="str">
        <f>IFERROR(VLOOKUP($B287,OverallResults!$B$3:$BB$492,13,FALSE),"")</f>
        <v/>
      </c>
      <c r="O287" s="58" t="str">
        <f>IFERROR(VLOOKUP($B287,OverallResults!$B$3:$BB$492,14,FALSE),"")</f>
        <v/>
      </c>
      <c r="P287" s="58" t="str">
        <f>IFERROR(VLOOKUP($B287,OverallResults!$B$3:$BB$492,15,FALSE),"")</f>
        <v/>
      </c>
      <c r="Q287" s="58" t="str">
        <f>IFERROR(VLOOKUP($B287,OverallResults!$B$3:$BB$492,16,FALSE),"")</f>
        <v/>
      </c>
      <c r="R287" s="58" t="str">
        <f>IFERROR(VLOOKUP($B287,OverallResults!$B$3:$BB$492,17,FALSE),"")</f>
        <v/>
      </c>
      <c r="S287" s="170" t="str">
        <f t="shared" si="8"/>
        <v>N/A</v>
      </c>
      <c r="T287" s="170" t="e">
        <f t="shared" si="9"/>
        <v>#VALUE!</v>
      </c>
      <c r="U287" s="359" t="str">
        <f>IFERROR(VLOOKUP($D287,EntryList!$B$3:$S$291,18,FALSE),"")</f>
        <v/>
      </c>
      <c r="V287" s="359" t="str">
        <f>IFERROR(VLOOKUP($D287,EntryList!$B$3:$S$291,17,FALSE),"")</f>
        <v/>
      </c>
    </row>
    <row r="288" spans="2:22">
      <c r="B288" s="59">
        <v>283</v>
      </c>
      <c r="C288" s="59" t="str">
        <f>IFERROR(VLOOKUP($B288,OverallResults!$B$3:$Z$508,2,FALSE),"")</f>
        <v>DNF</v>
      </c>
      <c r="D288" s="149" t="str">
        <f>IFERROR(VLOOKUP($B288,OverallResults!$B$3:$Z$508,3,FALSE),"")</f>
        <v/>
      </c>
      <c r="E288" s="146" t="str">
        <f>IFERROR(VLOOKUP(C288,SeriesPoints!$A$2:$B$51,2,FALSE),"")</f>
        <v/>
      </c>
      <c r="F288" s="148" t="str">
        <f>IFERROR(VLOOKUP($D288,EntryList!$B$3:$V$291,21,FALSE),"")</f>
        <v/>
      </c>
      <c r="G288" s="100" t="str">
        <f>IFERROR(VLOOKUP($D288,EntryList!$B$3:$N$596,5,FALSE),"")</f>
        <v/>
      </c>
      <c r="H288" s="145" t="str">
        <f>IFERROR(VLOOKUP($D288,EntryList!$B$3:$N$596,6,FALSE),"")</f>
        <v/>
      </c>
      <c r="I288" s="331" t="str">
        <f>IFERROR(VLOOKUP($B288,OverallResults!$B$3:$Z$492,8,FALSE),"")</f>
        <v/>
      </c>
      <c r="J288" s="58" t="str">
        <f>IFERROR(VLOOKUP($B288,OverallResults!$B$3:$BB$492,9,FALSE),"")</f>
        <v/>
      </c>
      <c r="K288" s="58" t="str">
        <f>IFERROR(VLOOKUP($B288,OverallResults!$B$3:$BB$492,10,FALSE),"")</f>
        <v/>
      </c>
      <c r="L288" s="58" t="str">
        <f>IFERROR(VLOOKUP($B288,OverallResults!$B$3:$BB$492,11,FALSE),"")</f>
        <v/>
      </c>
      <c r="M288" s="58" t="str">
        <f>IFERROR(VLOOKUP($B288,OverallResults!$B$3:$BB$492,12,FALSE),"")</f>
        <v/>
      </c>
      <c r="N288" s="58" t="str">
        <f>IFERROR(VLOOKUP($B288,OverallResults!$B$3:$BB$492,13,FALSE),"")</f>
        <v/>
      </c>
      <c r="O288" s="58" t="str">
        <f>IFERROR(VLOOKUP($B288,OverallResults!$B$3:$BB$492,14,FALSE),"")</f>
        <v/>
      </c>
      <c r="P288" s="58" t="str">
        <f>IFERROR(VLOOKUP($B288,OverallResults!$B$3:$BB$492,15,FALSE),"")</f>
        <v/>
      </c>
      <c r="Q288" s="58" t="str">
        <f>IFERROR(VLOOKUP($B288,OverallResults!$B$3:$BB$492,16,FALSE),"")</f>
        <v/>
      </c>
      <c r="R288" s="58" t="str">
        <f>IFERROR(VLOOKUP($B288,OverallResults!$B$3:$BB$492,17,FALSE),"")</f>
        <v/>
      </c>
      <c r="S288" s="170" t="str">
        <f t="shared" si="8"/>
        <v>N/A</v>
      </c>
      <c r="T288" s="170" t="e">
        <f t="shared" si="9"/>
        <v>#VALUE!</v>
      </c>
      <c r="U288" s="359" t="str">
        <f>IFERROR(VLOOKUP($D288,EntryList!$B$3:$S$291,18,FALSE),"")</f>
        <v/>
      </c>
      <c r="V288" s="359" t="str">
        <f>IFERROR(VLOOKUP($D288,EntryList!$B$3:$S$291,17,FALSE),"")</f>
        <v/>
      </c>
    </row>
    <row r="289" spans="2:22">
      <c r="B289" s="59">
        <v>284</v>
      </c>
      <c r="C289" s="59" t="str">
        <f>IFERROR(VLOOKUP($B289,OverallResults!$B$3:$Z$508,2,FALSE),"")</f>
        <v>DNF</v>
      </c>
      <c r="D289" s="149" t="str">
        <f>IFERROR(VLOOKUP($B289,OverallResults!$B$3:$Z$508,3,FALSE),"")</f>
        <v/>
      </c>
      <c r="E289" s="146" t="str">
        <f>IFERROR(VLOOKUP(C289,SeriesPoints!$A$2:$B$51,2,FALSE),"")</f>
        <v/>
      </c>
      <c r="F289" s="148" t="str">
        <f>IFERROR(VLOOKUP($D289,EntryList!$B$3:$V$291,21,FALSE),"")</f>
        <v/>
      </c>
      <c r="G289" s="100" t="str">
        <f>IFERROR(VLOOKUP($D289,EntryList!$B$3:$N$596,5,FALSE),"")</f>
        <v/>
      </c>
      <c r="H289" s="145" t="str">
        <f>IFERROR(VLOOKUP($D289,EntryList!$B$3:$N$596,6,FALSE),"")</f>
        <v/>
      </c>
      <c r="I289" s="331" t="str">
        <f>IFERROR(VLOOKUP($B289,OverallResults!$B$3:$Z$492,8,FALSE),"")</f>
        <v/>
      </c>
      <c r="J289" s="58" t="str">
        <f>IFERROR(VLOOKUP($B289,OverallResults!$B$3:$BB$492,9,FALSE),"")</f>
        <v/>
      </c>
      <c r="K289" s="58" t="str">
        <f>IFERROR(VLOOKUP($B289,OverallResults!$B$3:$BB$492,10,FALSE),"")</f>
        <v/>
      </c>
      <c r="L289" s="58" t="str">
        <f>IFERROR(VLOOKUP($B289,OverallResults!$B$3:$BB$492,11,FALSE),"")</f>
        <v/>
      </c>
      <c r="M289" s="58" t="str">
        <f>IFERROR(VLOOKUP($B289,OverallResults!$B$3:$BB$492,12,FALSE),"")</f>
        <v/>
      </c>
      <c r="N289" s="58" t="str">
        <f>IFERROR(VLOOKUP($B289,OverallResults!$B$3:$BB$492,13,FALSE),"")</f>
        <v/>
      </c>
      <c r="O289" s="58" t="str">
        <f>IFERROR(VLOOKUP($B289,OverallResults!$B$3:$BB$492,14,FALSE),"")</f>
        <v/>
      </c>
      <c r="P289" s="58" t="str">
        <f>IFERROR(VLOOKUP($B289,OverallResults!$B$3:$BB$492,15,FALSE),"")</f>
        <v/>
      </c>
      <c r="Q289" s="58" t="str">
        <f>IFERROR(VLOOKUP($B289,OverallResults!$B$3:$BB$492,16,FALSE),"")</f>
        <v/>
      </c>
      <c r="R289" s="58" t="str">
        <f>IFERROR(VLOOKUP($B289,OverallResults!$B$3:$BB$492,17,FALSE),"")</f>
        <v/>
      </c>
      <c r="S289" s="170" t="str">
        <f t="shared" si="8"/>
        <v>N/A</v>
      </c>
      <c r="T289" s="170" t="e">
        <f t="shared" si="9"/>
        <v>#VALUE!</v>
      </c>
      <c r="U289" s="359" t="str">
        <f>IFERROR(VLOOKUP($D289,EntryList!$B$3:$S$291,18,FALSE),"")</f>
        <v/>
      </c>
      <c r="V289" s="359" t="str">
        <f>IFERROR(VLOOKUP($D289,EntryList!$B$3:$S$291,17,FALSE),"")</f>
        <v/>
      </c>
    </row>
    <row r="290" spans="2:22">
      <c r="B290" s="59">
        <v>285</v>
      </c>
      <c r="C290" s="59" t="str">
        <f>IFERROR(VLOOKUP($B290,OverallResults!$B$3:$Z$508,2,FALSE),"")</f>
        <v>DNF</v>
      </c>
      <c r="D290" s="149" t="str">
        <f>IFERROR(VLOOKUP($B290,OverallResults!$B$3:$Z$508,3,FALSE),"")</f>
        <v/>
      </c>
      <c r="E290" s="146" t="str">
        <f>IFERROR(VLOOKUP(C290,SeriesPoints!$A$2:$B$51,2,FALSE),"")</f>
        <v/>
      </c>
      <c r="F290" s="148" t="str">
        <f>IFERROR(VLOOKUP($D290,EntryList!$B$3:$V$291,21,FALSE),"")</f>
        <v/>
      </c>
      <c r="G290" s="100" t="str">
        <f>IFERROR(VLOOKUP($D290,EntryList!$B$3:$N$596,5,FALSE),"")</f>
        <v/>
      </c>
      <c r="H290" s="145" t="str">
        <f>IFERROR(VLOOKUP($D290,EntryList!$B$3:$N$596,6,FALSE),"")</f>
        <v/>
      </c>
      <c r="I290" s="331" t="str">
        <f>IFERROR(VLOOKUP($B290,OverallResults!$B$3:$Z$492,8,FALSE),"")</f>
        <v/>
      </c>
      <c r="J290" s="58" t="str">
        <f>IFERROR(VLOOKUP($B290,OverallResults!$B$3:$BB$492,9,FALSE),"")</f>
        <v/>
      </c>
      <c r="K290" s="58" t="str">
        <f>IFERROR(VLOOKUP($B290,OverallResults!$B$3:$BB$492,10,FALSE),"")</f>
        <v/>
      </c>
      <c r="L290" s="58" t="str">
        <f>IFERROR(VLOOKUP($B290,OverallResults!$B$3:$BB$492,11,FALSE),"")</f>
        <v/>
      </c>
      <c r="M290" s="58" t="str">
        <f>IFERROR(VLOOKUP($B290,OverallResults!$B$3:$BB$492,12,FALSE),"")</f>
        <v/>
      </c>
      <c r="N290" s="58" t="str">
        <f>IFERROR(VLOOKUP($B290,OverallResults!$B$3:$BB$492,13,FALSE),"")</f>
        <v/>
      </c>
      <c r="O290" s="58" t="str">
        <f>IFERROR(VLOOKUP($B290,OverallResults!$B$3:$BB$492,14,FALSE),"")</f>
        <v/>
      </c>
      <c r="P290" s="58" t="str">
        <f>IFERROR(VLOOKUP($B290,OverallResults!$B$3:$BB$492,15,FALSE),"")</f>
        <v/>
      </c>
      <c r="Q290" s="58" t="str">
        <f>IFERROR(VLOOKUP($B290,OverallResults!$B$3:$BB$492,16,FALSE),"")</f>
        <v/>
      </c>
      <c r="R290" s="58" t="str">
        <f>IFERROR(VLOOKUP($B290,OverallResults!$B$3:$BB$492,17,FALSE),"")</f>
        <v/>
      </c>
      <c r="S290" s="170" t="str">
        <f t="shared" si="8"/>
        <v>N/A</v>
      </c>
      <c r="T290" s="170" t="e">
        <f t="shared" si="9"/>
        <v>#VALUE!</v>
      </c>
      <c r="U290" s="359" t="str">
        <f>IFERROR(VLOOKUP($D290,EntryList!$B$3:$S$291,18,FALSE),"")</f>
        <v/>
      </c>
      <c r="V290" s="359" t="str">
        <f>IFERROR(VLOOKUP($D290,EntryList!$B$3:$S$291,17,FALSE),"")</f>
        <v/>
      </c>
    </row>
    <row r="291" spans="2:22">
      <c r="B291" s="59">
        <v>286</v>
      </c>
      <c r="C291" s="59" t="str">
        <f>IFERROR(VLOOKUP($B291,OverallResults!$B$3:$Z$508,2,FALSE),"")</f>
        <v>DNF</v>
      </c>
      <c r="D291" s="149" t="str">
        <f>IFERROR(VLOOKUP($B291,OverallResults!$B$3:$Z$508,3,FALSE),"")</f>
        <v/>
      </c>
      <c r="E291" s="146" t="str">
        <f>IFERROR(VLOOKUP(C291,SeriesPoints!$A$2:$B$51,2,FALSE),"")</f>
        <v/>
      </c>
      <c r="F291" s="148" t="str">
        <f>IFERROR(VLOOKUP($D291,EntryList!$B$3:$V$291,21,FALSE),"")</f>
        <v/>
      </c>
      <c r="G291" s="100" t="str">
        <f>IFERROR(VLOOKUP($D291,EntryList!$B$3:$N$596,5,FALSE),"")</f>
        <v/>
      </c>
      <c r="H291" s="145" t="str">
        <f>IFERROR(VLOOKUP($D291,EntryList!$B$3:$N$596,6,FALSE),"")</f>
        <v/>
      </c>
      <c r="I291" s="331" t="str">
        <f>IFERROR(VLOOKUP($B291,OverallResults!$B$3:$Z$492,8,FALSE),"")</f>
        <v/>
      </c>
      <c r="J291" s="58" t="str">
        <f>IFERROR(VLOOKUP($B291,OverallResults!$B$3:$BB$492,9,FALSE),"")</f>
        <v/>
      </c>
      <c r="K291" s="58" t="str">
        <f>IFERROR(VLOOKUP($B291,OverallResults!$B$3:$BB$492,10,FALSE),"")</f>
        <v/>
      </c>
      <c r="L291" s="58" t="str">
        <f>IFERROR(VLOOKUP($B291,OverallResults!$B$3:$BB$492,11,FALSE),"")</f>
        <v/>
      </c>
      <c r="M291" s="58" t="str">
        <f>IFERROR(VLOOKUP($B291,OverallResults!$B$3:$BB$492,12,FALSE),"")</f>
        <v/>
      </c>
      <c r="N291" s="58" t="str">
        <f>IFERROR(VLOOKUP($B291,OverallResults!$B$3:$BB$492,13,FALSE),"")</f>
        <v/>
      </c>
      <c r="O291" s="58" t="str">
        <f>IFERROR(VLOOKUP($B291,OverallResults!$B$3:$BB$492,14,FALSE),"")</f>
        <v/>
      </c>
      <c r="P291" s="58" t="str">
        <f>IFERROR(VLOOKUP($B291,OverallResults!$B$3:$BB$492,15,FALSE),"")</f>
        <v/>
      </c>
      <c r="Q291" s="58" t="str">
        <f>IFERROR(VLOOKUP($B291,OverallResults!$B$3:$BB$492,16,FALSE),"")</f>
        <v/>
      </c>
      <c r="R291" s="58" t="str">
        <f>IFERROR(VLOOKUP($B291,OverallResults!$B$3:$BB$492,17,FALSE),"")</f>
        <v/>
      </c>
      <c r="S291" s="170" t="str">
        <f t="shared" si="8"/>
        <v>N/A</v>
      </c>
      <c r="T291" s="170" t="e">
        <f t="shared" si="9"/>
        <v>#VALUE!</v>
      </c>
      <c r="U291" s="359" t="str">
        <f>IFERROR(VLOOKUP($D291,EntryList!$B$3:$S$291,18,FALSE),"")</f>
        <v/>
      </c>
      <c r="V291" s="359" t="str">
        <f>IFERROR(VLOOKUP($D291,EntryList!$B$3:$S$291,17,FALSE),"")</f>
        <v/>
      </c>
    </row>
    <row r="292" spans="2:22">
      <c r="B292" s="59">
        <v>287</v>
      </c>
      <c r="C292" s="59" t="str">
        <f>IFERROR(VLOOKUP($B292,OverallResults!$B$3:$Z$508,2,FALSE),"")</f>
        <v>DNF</v>
      </c>
      <c r="D292" s="149" t="str">
        <f>IFERROR(VLOOKUP($B292,OverallResults!$B$3:$Z$508,3,FALSE),"")</f>
        <v/>
      </c>
      <c r="E292" s="146" t="str">
        <f>IFERROR(VLOOKUP(C292,SeriesPoints!$A$2:$B$51,2,FALSE),"")</f>
        <v/>
      </c>
      <c r="F292" s="148" t="str">
        <f>IFERROR(VLOOKUP($D292,EntryList!$B$3:$V$291,21,FALSE),"")</f>
        <v/>
      </c>
      <c r="G292" s="100" t="str">
        <f>IFERROR(VLOOKUP($D292,EntryList!$B$3:$N$596,5,FALSE),"")</f>
        <v/>
      </c>
      <c r="H292" s="145" t="str">
        <f>IFERROR(VLOOKUP($D292,EntryList!$B$3:$N$596,6,FALSE),"")</f>
        <v/>
      </c>
      <c r="I292" s="331" t="str">
        <f>IFERROR(VLOOKUP($B292,OverallResults!$B$3:$Z$492,8,FALSE),"")</f>
        <v/>
      </c>
      <c r="J292" s="58" t="str">
        <f>IFERROR(VLOOKUP($B292,OverallResults!$B$3:$BB$492,9,FALSE),"")</f>
        <v/>
      </c>
      <c r="K292" s="58" t="str">
        <f>IFERROR(VLOOKUP($B292,OverallResults!$B$3:$BB$492,10,FALSE),"")</f>
        <v/>
      </c>
      <c r="L292" s="58" t="str">
        <f>IFERROR(VLOOKUP($B292,OverallResults!$B$3:$BB$492,11,FALSE),"")</f>
        <v/>
      </c>
      <c r="M292" s="58" t="str">
        <f>IFERROR(VLOOKUP($B292,OverallResults!$B$3:$BB$492,12,FALSE),"")</f>
        <v/>
      </c>
      <c r="N292" s="58" t="str">
        <f>IFERROR(VLOOKUP($B292,OverallResults!$B$3:$BB$492,13,FALSE),"")</f>
        <v/>
      </c>
      <c r="O292" s="58" t="str">
        <f>IFERROR(VLOOKUP($B292,OverallResults!$B$3:$BB$492,14,FALSE),"")</f>
        <v/>
      </c>
      <c r="P292" s="58" t="str">
        <f>IFERROR(VLOOKUP($B292,OverallResults!$B$3:$BB$492,15,FALSE),"")</f>
        <v/>
      </c>
      <c r="Q292" s="58" t="str">
        <f>IFERROR(VLOOKUP($B292,OverallResults!$B$3:$BB$492,16,FALSE),"")</f>
        <v/>
      </c>
      <c r="R292" s="58" t="str">
        <f>IFERROR(VLOOKUP($B292,OverallResults!$B$3:$BB$492,17,FALSE),"")</f>
        <v/>
      </c>
      <c r="S292" s="170" t="str">
        <f t="shared" si="8"/>
        <v>N/A</v>
      </c>
      <c r="T292" s="170" t="e">
        <f t="shared" si="9"/>
        <v>#VALUE!</v>
      </c>
      <c r="U292" s="359" t="str">
        <f>IFERROR(VLOOKUP($D292,EntryList!$B$3:$S$291,18,FALSE),"")</f>
        <v/>
      </c>
      <c r="V292" s="359" t="str">
        <f>IFERROR(VLOOKUP($D292,EntryList!$B$3:$S$291,17,FALSE),"")</f>
        <v/>
      </c>
    </row>
    <row r="293" spans="2:22">
      <c r="B293" s="59">
        <v>288</v>
      </c>
      <c r="C293" s="59" t="str">
        <f>IFERROR(VLOOKUP($B293,OverallResults!$B$3:$Z$508,2,FALSE),"")</f>
        <v>DNF</v>
      </c>
      <c r="D293" s="149" t="str">
        <f>IFERROR(VLOOKUP($B293,OverallResults!$B$3:$Z$508,3,FALSE),"")</f>
        <v/>
      </c>
      <c r="E293" s="146" t="str">
        <f>IFERROR(VLOOKUP(C293,SeriesPoints!$A$2:$B$51,2,FALSE),"")</f>
        <v/>
      </c>
      <c r="F293" s="148" t="str">
        <f>IFERROR(VLOOKUP($D293,EntryList!$B$3:$V$291,21,FALSE),"")</f>
        <v/>
      </c>
      <c r="G293" s="100" t="str">
        <f>IFERROR(VLOOKUP($D293,EntryList!$B$3:$N$596,5,FALSE),"")</f>
        <v/>
      </c>
      <c r="H293" s="145" t="str">
        <f>IFERROR(VLOOKUP($D293,EntryList!$B$3:$N$596,6,FALSE),"")</f>
        <v/>
      </c>
      <c r="I293" s="331" t="str">
        <f>IFERROR(VLOOKUP($B293,OverallResults!$B$3:$Z$492,8,FALSE),"")</f>
        <v/>
      </c>
      <c r="J293" s="58" t="str">
        <f>IFERROR(VLOOKUP($B293,OverallResults!$B$3:$BB$492,9,FALSE),"")</f>
        <v/>
      </c>
      <c r="K293" s="58" t="str">
        <f>IFERROR(VLOOKUP($B293,OverallResults!$B$3:$BB$492,10,FALSE),"")</f>
        <v/>
      </c>
      <c r="L293" s="58" t="str">
        <f>IFERROR(VLOOKUP($B293,OverallResults!$B$3:$BB$492,11,FALSE),"")</f>
        <v/>
      </c>
      <c r="M293" s="58" t="str">
        <f>IFERROR(VLOOKUP($B293,OverallResults!$B$3:$BB$492,12,FALSE),"")</f>
        <v/>
      </c>
      <c r="N293" s="58" t="str">
        <f>IFERROR(VLOOKUP($B293,OverallResults!$B$3:$BB$492,13,FALSE),"")</f>
        <v/>
      </c>
      <c r="O293" s="58" t="str">
        <f>IFERROR(VLOOKUP($B293,OverallResults!$B$3:$BB$492,14,FALSE),"")</f>
        <v/>
      </c>
      <c r="P293" s="58" t="str">
        <f>IFERROR(VLOOKUP($B293,OverallResults!$B$3:$BB$492,15,FALSE),"")</f>
        <v/>
      </c>
      <c r="Q293" s="58" t="str">
        <f>IFERROR(VLOOKUP($B293,OverallResults!$B$3:$BB$492,16,FALSE),"")</f>
        <v/>
      </c>
      <c r="R293" s="58" t="str">
        <f>IFERROR(VLOOKUP($B293,OverallResults!$B$3:$BB$492,17,FALSE),"")</f>
        <v/>
      </c>
      <c r="S293" s="170" t="str">
        <f t="shared" si="8"/>
        <v>N/A</v>
      </c>
      <c r="T293" s="170" t="e">
        <f t="shared" si="9"/>
        <v>#VALUE!</v>
      </c>
      <c r="U293" s="359" t="str">
        <f>IFERROR(VLOOKUP($D293,EntryList!$B$3:$S$291,18,FALSE),"")</f>
        <v/>
      </c>
      <c r="V293" s="359" t="str">
        <f>IFERROR(VLOOKUP($D293,EntryList!$B$3:$S$291,17,FALSE),"")</f>
        <v/>
      </c>
    </row>
    <row r="294" spans="2:22">
      <c r="B294" s="59">
        <v>289</v>
      </c>
      <c r="C294" s="59" t="str">
        <f>IFERROR(VLOOKUP($B294,OverallResults!$B$3:$Z$508,2,FALSE),"")</f>
        <v>DNF</v>
      </c>
      <c r="D294" s="149" t="str">
        <f>IFERROR(VLOOKUP($B294,OverallResults!$B$3:$Z$508,3,FALSE),"")</f>
        <v/>
      </c>
      <c r="E294" s="146" t="str">
        <f>IFERROR(VLOOKUP(C294,SeriesPoints!$A$2:$B$51,2,FALSE),"")</f>
        <v/>
      </c>
      <c r="F294" s="148" t="str">
        <f>IFERROR(VLOOKUP($D294,EntryList!$B$3:$V$291,21,FALSE),"")</f>
        <v/>
      </c>
      <c r="G294" s="100" t="str">
        <f>IFERROR(VLOOKUP($D294,EntryList!$B$3:$N$596,5,FALSE),"")</f>
        <v/>
      </c>
      <c r="H294" s="145" t="str">
        <f>IFERROR(VLOOKUP($D294,EntryList!$B$3:$N$596,6,FALSE),"")</f>
        <v/>
      </c>
      <c r="I294" s="331" t="str">
        <f>IFERROR(VLOOKUP($B294,OverallResults!$B$3:$Z$492,8,FALSE),"")</f>
        <v/>
      </c>
      <c r="J294" s="58" t="str">
        <f>IFERROR(VLOOKUP($B294,OverallResults!$B$3:$BB$492,9,FALSE),"")</f>
        <v/>
      </c>
      <c r="K294" s="58" t="str">
        <f>IFERROR(VLOOKUP($B294,OverallResults!$B$3:$BB$492,10,FALSE),"")</f>
        <v/>
      </c>
      <c r="L294" s="58" t="str">
        <f>IFERROR(VLOOKUP($B294,OverallResults!$B$3:$BB$492,11,FALSE),"")</f>
        <v/>
      </c>
      <c r="M294" s="58" t="str">
        <f>IFERROR(VLOOKUP($B294,OverallResults!$B$3:$BB$492,12,FALSE),"")</f>
        <v/>
      </c>
      <c r="N294" s="58" t="str">
        <f>IFERROR(VLOOKUP($B294,OverallResults!$B$3:$BB$492,13,FALSE),"")</f>
        <v/>
      </c>
      <c r="O294" s="58" t="str">
        <f>IFERROR(VLOOKUP($B294,OverallResults!$B$3:$BB$492,14,FALSE),"")</f>
        <v/>
      </c>
      <c r="P294" s="58" t="str">
        <f>IFERROR(VLOOKUP($B294,OverallResults!$B$3:$BB$492,15,FALSE),"")</f>
        <v/>
      </c>
      <c r="Q294" s="58" t="str">
        <f>IFERROR(VLOOKUP($B294,OverallResults!$B$3:$BB$492,16,FALSE),"")</f>
        <v/>
      </c>
      <c r="R294" s="58" t="str">
        <f>IFERROR(VLOOKUP($B294,OverallResults!$B$3:$BB$492,17,FALSE),"")</f>
        <v/>
      </c>
      <c r="S294" s="170" t="str">
        <f t="shared" si="8"/>
        <v>N/A</v>
      </c>
      <c r="T294" s="170" t="e">
        <f t="shared" si="9"/>
        <v>#VALUE!</v>
      </c>
      <c r="U294" s="359" t="str">
        <f>IFERROR(VLOOKUP($D294,EntryList!$B$3:$S$291,18,FALSE),"")</f>
        <v/>
      </c>
      <c r="V294" s="359" t="str">
        <f>IFERROR(VLOOKUP($D294,EntryList!$B$3:$S$291,17,FALSE),"")</f>
        <v/>
      </c>
    </row>
    <row r="295" spans="2:22">
      <c r="B295" s="59">
        <v>290</v>
      </c>
      <c r="C295" s="59" t="str">
        <f>IFERROR(VLOOKUP($B295,OverallResults!$B$3:$Z$508,2,FALSE),"")</f>
        <v>DNF</v>
      </c>
      <c r="D295" s="149" t="str">
        <f>IFERROR(VLOOKUP($B295,OverallResults!$B$3:$Z$508,3,FALSE),"")</f>
        <v/>
      </c>
      <c r="E295" s="146" t="str">
        <f>IFERROR(VLOOKUP(C295,SeriesPoints!$A$2:$B$51,2,FALSE),"")</f>
        <v/>
      </c>
      <c r="F295" s="148" t="str">
        <f>IFERROR(VLOOKUP($D295,EntryList!$B$3:$V$291,21,FALSE),"")</f>
        <v/>
      </c>
      <c r="G295" s="100" t="str">
        <f>IFERROR(VLOOKUP($D295,EntryList!$B$3:$N$596,5,FALSE),"")</f>
        <v/>
      </c>
      <c r="H295" s="145" t="str">
        <f>IFERROR(VLOOKUP($D295,EntryList!$B$3:$N$596,6,FALSE),"")</f>
        <v/>
      </c>
      <c r="I295" s="331" t="str">
        <f>IFERROR(VLOOKUP($B295,OverallResults!$B$3:$Z$492,8,FALSE),"")</f>
        <v/>
      </c>
      <c r="J295" s="58" t="str">
        <f>IFERROR(VLOOKUP($B295,OverallResults!$B$3:$BB$492,9,FALSE),"")</f>
        <v/>
      </c>
      <c r="K295" s="58" t="str">
        <f>IFERROR(VLOOKUP($B295,OverallResults!$B$3:$BB$492,10,FALSE),"")</f>
        <v/>
      </c>
      <c r="L295" s="58" t="str">
        <f>IFERROR(VLOOKUP($B295,OverallResults!$B$3:$BB$492,11,FALSE),"")</f>
        <v/>
      </c>
      <c r="M295" s="58" t="str">
        <f>IFERROR(VLOOKUP($B295,OverallResults!$B$3:$BB$492,12,FALSE),"")</f>
        <v/>
      </c>
      <c r="N295" s="58" t="str">
        <f>IFERROR(VLOOKUP($B295,OverallResults!$B$3:$BB$492,13,FALSE),"")</f>
        <v/>
      </c>
      <c r="O295" s="58" t="str">
        <f>IFERROR(VLOOKUP($B295,OverallResults!$B$3:$BB$492,14,FALSE),"")</f>
        <v/>
      </c>
      <c r="P295" s="58" t="str">
        <f>IFERROR(VLOOKUP($B295,OverallResults!$B$3:$BB$492,15,FALSE),"")</f>
        <v/>
      </c>
      <c r="Q295" s="58" t="str">
        <f>IFERROR(VLOOKUP($B295,OverallResults!$B$3:$BB$492,16,FALSE),"")</f>
        <v/>
      </c>
      <c r="R295" s="58" t="str">
        <f>IFERROR(VLOOKUP($B295,OverallResults!$B$3:$BB$492,17,FALSE),"")</f>
        <v/>
      </c>
      <c r="S295" s="170" t="str">
        <f t="shared" si="8"/>
        <v>N/A</v>
      </c>
      <c r="T295" s="170" t="e">
        <f t="shared" si="9"/>
        <v>#VALUE!</v>
      </c>
      <c r="U295" s="359" t="str">
        <f>IFERROR(VLOOKUP($D295,EntryList!$B$3:$S$291,18,FALSE),"")</f>
        <v/>
      </c>
      <c r="V295" s="359" t="str">
        <f>IFERROR(VLOOKUP($D295,EntryList!$B$3:$S$291,17,FALSE),"")</f>
        <v/>
      </c>
    </row>
    <row r="296" spans="2:22">
      <c r="B296" s="59">
        <v>291</v>
      </c>
      <c r="C296" s="59" t="str">
        <f>IFERROR(VLOOKUP($B296,OverallResults!$B$3:$Z$508,2,FALSE),"")</f>
        <v>DNF</v>
      </c>
      <c r="D296" s="149" t="str">
        <f>IFERROR(VLOOKUP($B296,OverallResults!$B$3:$Z$508,3,FALSE),"")</f>
        <v/>
      </c>
      <c r="E296" s="146" t="str">
        <f>IFERROR(VLOOKUP(C296,SeriesPoints!$A$2:$B$51,2,FALSE),"")</f>
        <v/>
      </c>
      <c r="F296" s="148" t="str">
        <f>IFERROR(VLOOKUP($D296,EntryList!$B$3:$V$291,21,FALSE),"")</f>
        <v/>
      </c>
      <c r="G296" s="100" t="str">
        <f>IFERROR(VLOOKUP($D296,EntryList!$B$3:$N$596,5,FALSE),"")</f>
        <v/>
      </c>
      <c r="H296" s="145" t="str">
        <f>IFERROR(VLOOKUP($D296,EntryList!$B$3:$N$596,6,FALSE),"")</f>
        <v/>
      </c>
      <c r="I296" s="331" t="str">
        <f>IFERROR(VLOOKUP($B296,OverallResults!$B$3:$Z$492,8,FALSE),"")</f>
        <v/>
      </c>
      <c r="J296" s="58" t="str">
        <f>IFERROR(VLOOKUP($B296,OverallResults!$B$3:$BB$492,9,FALSE),"")</f>
        <v/>
      </c>
      <c r="K296" s="58" t="str">
        <f>IFERROR(VLOOKUP($B296,OverallResults!$B$3:$BB$492,10,FALSE),"")</f>
        <v/>
      </c>
      <c r="L296" s="58" t="str">
        <f>IFERROR(VLOOKUP($B296,OverallResults!$B$3:$BB$492,11,FALSE),"")</f>
        <v/>
      </c>
      <c r="M296" s="58" t="str">
        <f>IFERROR(VLOOKUP($B296,OverallResults!$B$3:$BB$492,12,FALSE),"")</f>
        <v/>
      </c>
      <c r="N296" s="58" t="str">
        <f>IFERROR(VLOOKUP($B296,OverallResults!$B$3:$BB$492,13,FALSE),"")</f>
        <v/>
      </c>
      <c r="O296" s="58" t="str">
        <f>IFERROR(VLOOKUP($B296,OverallResults!$B$3:$BB$492,14,FALSE),"")</f>
        <v/>
      </c>
      <c r="P296" s="58" t="str">
        <f>IFERROR(VLOOKUP($B296,OverallResults!$B$3:$BB$492,15,FALSE),"")</f>
        <v/>
      </c>
      <c r="Q296" s="58" t="str">
        <f>IFERROR(VLOOKUP($B296,OverallResults!$B$3:$BB$492,16,FALSE),"")</f>
        <v/>
      </c>
      <c r="R296" s="58" t="str">
        <f>IFERROR(VLOOKUP($B296,OverallResults!$B$3:$BB$492,17,FALSE),"")</f>
        <v/>
      </c>
      <c r="S296" s="170" t="str">
        <f t="shared" si="8"/>
        <v>N/A</v>
      </c>
      <c r="T296" s="170" t="e">
        <f t="shared" si="9"/>
        <v>#VALUE!</v>
      </c>
      <c r="U296" s="359" t="str">
        <f>IFERROR(VLOOKUP($D296,EntryList!$B$3:$S$291,18,FALSE),"")</f>
        <v/>
      </c>
      <c r="V296" s="359" t="str">
        <f>IFERROR(VLOOKUP($D296,EntryList!$B$3:$S$291,17,FALSE),"")</f>
        <v/>
      </c>
    </row>
    <row r="297" spans="2:22">
      <c r="B297" s="59">
        <v>292</v>
      </c>
      <c r="C297" s="59" t="str">
        <f>IFERROR(VLOOKUP($B297,OverallResults!$B$3:$Z$508,2,FALSE),"")</f>
        <v>DNF</v>
      </c>
      <c r="D297" s="149" t="str">
        <f>IFERROR(VLOOKUP($B297,OverallResults!$B$3:$Z$508,3,FALSE),"")</f>
        <v/>
      </c>
      <c r="E297" s="146" t="str">
        <f>IFERROR(VLOOKUP(C297,SeriesPoints!$A$2:$B$51,2,FALSE),"")</f>
        <v/>
      </c>
      <c r="F297" s="148" t="str">
        <f>IFERROR(VLOOKUP($D297,EntryList!$B$3:$V$291,21,FALSE),"")</f>
        <v/>
      </c>
      <c r="G297" s="100" t="str">
        <f>IFERROR(VLOOKUP($D297,EntryList!$B$3:$N$596,5,FALSE),"")</f>
        <v/>
      </c>
      <c r="H297" s="145" t="str">
        <f>IFERROR(VLOOKUP($D297,EntryList!$B$3:$N$596,6,FALSE),"")</f>
        <v/>
      </c>
      <c r="I297" s="331" t="str">
        <f>IFERROR(VLOOKUP($B297,OverallResults!$B$3:$Z$492,8,FALSE),"")</f>
        <v/>
      </c>
      <c r="J297" s="58" t="str">
        <f>IFERROR(VLOOKUP($B297,OverallResults!$B$3:$BB$492,9,FALSE),"")</f>
        <v/>
      </c>
      <c r="K297" s="58" t="str">
        <f>IFERROR(VLOOKUP($B297,OverallResults!$B$3:$BB$492,10,FALSE),"")</f>
        <v/>
      </c>
      <c r="L297" s="58" t="str">
        <f>IFERROR(VLOOKUP($B297,OverallResults!$B$3:$BB$492,11,FALSE),"")</f>
        <v/>
      </c>
      <c r="M297" s="58" t="str">
        <f>IFERROR(VLOOKUP($B297,OverallResults!$B$3:$BB$492,12,FALSE),"")</f>
        <v/>
      </c>
      <c r="N297" s="58" t="str">
        <f>IFERROR(VLOOKUP($B297,OverallResults!$B$3:$BB$492,13,FALSE),"")</f>
        <v/>
      </c>
      <c r="O297" s="58" t="str">
        <f>IFERROR(VLOOKUP($B297,OverallResults!$B$3:$BB$492,14,FALSE),"")</f>
        <v/>
      </c>
      <c r="P297" s="58" t="str">
        <f>IFERROR(VLOOKUP($B297,OverallResults!$B$3:$BB$492,15,FALSE),"")</f>
        <v/>
      </c>
      <c r="Q297" s="58" t="str">
        <f>IFERROR(VLOOKUP($B297,OverallResults!$B$3:$BB$492,16,FALSE),"")</f>
        <v/>
      </c>
      <c r="R297" s="58" t="str">
        <f>IFERROR(VLOOKUP($B297,OverallResults!$B$3:$BB$492,17,FALSE),"")</f>
        <v/>
      </c>
      <c r="S297" s="170" t="str">
        <f t="shared" si="8"/>
        <v>N/A</v>
      </c>
      <c r="T297" s="170" t="e">
        <f t="shared" si="9"/>
        <v>#VALUE!</v>
      </c>
      <c r="U297" s="359" t="str">
        <f>IFERROR(VLOOKUP($D297,EntryList!$B$3:$S$291,18,FALSE),"")</f>
        <v/>
      </c>
      <c r="V297" s="359" t="str">
        <f>IFERROR(VLOOKUP($D297,EntryList!$B$3:$S$291,17,FALSE),"")</f>
        <v/>
      </c>
    </row>
    <row r="298" spans="2:22">
      <c r="B298" s="59">
        <v>293</v>
      </c>
      <c r="C298" s="59" t="str">
        <f>IFERROR(VLOOKUP($B298,OverallResults!$B$3:$Z$508,2,FALSE),"")</f>
        <v>DNF</v>
      </c>
      <c r="D298" s="149" t="str">
        <f>IFERROR(VLOOKUP($B298,OverallResults!$B$3:$Z$508,3,FALSE),"")</f>
        <v/>
      </c>
      <c r="E298" s="146" t="str">
        <f>IFERROR(VLOOKUP(C298,SeriesPoints!$A$2:$B$51,2,FALSE),"")</f>
        <v/>
      </c>
      <c r="F298" s="148" t="str">
        <f>IFERROR(VLOOKUP($D298,EntryList!$B$3:$V$291,21,FALSE),"")</f>
        <v/>
      </c>
      <c r="G298" s="100" t="str">
        <f>IFERROR(VLOOKUP($D298,EntryList!$B$3:$N$596,5,FALSE),"")</f>
        <v/>
      </c>
      <c r="H298" s="145" t="str">
        <f>IFERROR(VLOOKUP($D298,EntryList!$B$3:$N$596,6,FALSE),"")</f>
        <v/>
      </c>
      <c r="I298" s="331" t="str">
        <f>IFERROR(VLOOKUP($B298,OverallResults!$B$3:$Z$492,8,FALSE),"")</f>
        <v/>
      </c>
      <c r="J298" s="58" t="str">
        <f>IFERROR(VLOOKUP($B298,OverallResults!$B$3:$BB$492,9,FALSE),"")</f>
        <v/>
      </c>
      <c r="K298" s="58" t="str">
        <f>IFERROR(VLOOKUP($B298,OverallResults!$B$3:$BB$492,10,FALSE),"")</f>
        <v/>
      </c>
      <c r="L298" s="58" t="str">
        <f>IFERROR(VLOOKUP($B298,OverallResults!$B$3:$BB$492,11,FALSE),"")</f>
        <v/>
      </c>
      <c r="M298" s="58" t="str">
        <f>IFERROR(VLOOKUP($B298,OverallResults!$B$3:$BB$492,12,FALSE),"")</f>
        <v/>
      </c>
      <c r="N298" s="58" t="str">
        <f>IFERROR(VLOOKUP($B298,OverallResults!$B$3:$BB$492,13,FALSE),"")</f>
        <v/>
      </c>
      <c r="O298" s="58" t="str">
        <f>IFERROR(VLOOKUP($B298,OverallResults!$B$3:$BB$492,14,FALSE),"")</f>
        <v/>
      </c>
      <c r="P298" s="58" t="str">
        <f>IFERROR(VLOOKUP($B298,OverallResults!$B$3:$BB$492,15,FALSE),"")</f>
        <v/>
      </c>
      <c r="Q298" s="58" t="str">
        <f>IFERROR(VLOOKUP($B298,OverallResults!$B$3:$BB$492,16,FALSE),"")</f>
        <v/>
      </c>
      <c r="R298" s="58" t="str">
        <f>IFERROR(VLOOKUP($B298,OverallResults!$B$3:$BB$492,17,FALSE),"")</f>
        <v/>
      </c>
      <c r="S298" s="170" t="str">
        <f t="shared" si="8"/>
        <v>N/A</v>
      </c>
      <c r="T298" s="170" t="e">
        <f t="shared" si="9"/>
        <v>#VALUE!</v>
      </c>
      <c r="U298" s="359" t="str">
        <f>IFERROR(VLOOKUP($D298,EntryList!$B$3:$S$291,18,FALSE),"")</f>
        <v/>
      </c>
      <c r="V298" s="359" t="str">
        <f>IFERROR(VLOOKUP($D298,EntryList!$B$3:$S$291,17,FALSE),"")</f>
        <v/>
      </c>
    </row>
    <row r="299" spans="2:22">
      <c r="B299" s="59">
        <v>294</v>
      </c>
      <c r="C299" s="59" t="str">
        <f>IFERROR(VLOOKUP($B299,OverallResults!$B$3:$Z$508,2,FALSE),"")</f>
        <v>DNF</v>
      </c>
      <c r="D299" s="149" t="str">
        <f>IFERROR(VLOOKUP($B299,OverallResults!$B$3:$Z$508,3,FALSE),"")</f>
        <v/>
      </c>
      <c r="E299" s="146" t="str">
        <f>IFERROR(VLOOKUP(C299,SeriesPoints!$A$2:$B$51,2,FALSE),"")</f>
        <v/>
      </c>
      <c r="F299" s="148" t="str">
        <f>IFERROR(VLOOKUP($D299,EntryList!$B$3:$V$291,21,FALSE),"")</f>
        <v/>
      </c>
      <c r="G299" s="100" t="str">
        <f>IFERROR(VLOOKUP($D299,EntryList!$B$3:$N$596,5,FALSE),"")</f>
        <v/>
      </c>
      <c r="H299" s="145" t="str">
        <f>IFERROR(VLOOKUP($D299,EntryList!$B$3:$N$596,6,FALSE),"")</f>
        <v/>
      </c>
      <c r="I299" s="331" t="str">
        <f>IFERROR(VLOOKUP($B299,OverallResults!$B$3:$Z$492,8,FALSE),"")</f>
        <v/>
      </c>
      <c r="J299" s="58" t="str">
        <f>IFERROR(VLOOKUP($B299,OverallResults!$B$3:$BB$492,9,FALSE),"")</f>
        <v/>
      </c>
      <c r="K299" s="58" t="str">
        <f>IFERROR(VLOOKUP($B299,OverallResults!$B$3:$BB$492,10,FALSE),"")</f>
        <v/>
      </c>
      <c r="L299" s="58" t="str">
        <f>IFERROR(VLOOKUP($B299,OverallResults!$B$3:$BB$492,11,FALSE),"")</f>
        <v/>
      </c>
      <c r="M299" s="58" t="str">
        <f>IFERROR(VLOOKUP($B299,OverallResults!$B$3:$BB$492,12,FALSE),"")</f>
        <v/>
      </c>
      <c r="N299" s="58" t="str">
        <f>IFERROR(VLOOKUP($B299,OverallResults!$B$3:$BB$492,13,FALSE),"")</f>
        <v/>
      </c>
      <c r="O299" s="58" t="str">
        <f>IFERROR(VLOOKUP($B299,OverallResults!$B$3:$BB$492,14,FALSE),"")</f>
        <v/>
      </c>
      <c r="P299" s="58" t="str">
        <f>IFERROR(VLOOKUP($B299,OverallResults!$B$3:$BB$492,15,FALSE),"")</f>
        <v/>
      </c>
      <c r="Q299" s="58" t="str">
        <f>IFERROR(VLOOKUP($B299,OverallResults!$B$3:$BB$492,16,FALSE),"")</f>
        <v/>
      </c>
      <c r="R299" s="58" t="str">
        <f>IFERROR(VLOOKUP($B299,OverallResults!$B$3:$BB$492,17,FALSE),"")</f>
        <v/>
      </c>
      <c r="S299" s="170" t="str">
        <f t="shared" si="8"/>
        <v>N/A</v>
      </c>
      <c r="T299" s="170" t="e">
        <f t="shared" si="9"/>
        <v>#VALUE!</v>
      </c>
      <c r="U299" s="359" t="str">
        <f>IFERROR(VLOOKUP($D299,EntryList!$B$3:$S$291,18,FALSE),"")</f>
        <v/>
      </c>
      <c r="V299" s="359" t="str">
        <f>IFERROR(VLOOKUP($D299,EntryList!$B$3:$S$291,17,FALSE),"")</f>
        <v/>
      </c>
    </row>
    <row r="300" spans="2:22">
      <c r="B300" s="59">
        <v>295</v>
      </c>
      <c r="C300" s="59" t="str">
        <f>IFERROR(VLOOKUP($B300,OverallResults!$B$3:$Z$508,2,FALSE),"")</f>
        <v>DNF</v>
      </c>
      <c r="D300" s="149" t="str">
        <f>IFERROR(VLOOKUP($B300,OverallResults!$B$3:$Z$508,3,FALSE),"")</f>
        <v/>
      </c>
      <c r="E300" s="146" t="str">
        <f>IFERROR(VLOOKUP(C300,SeriesPoints!$A$2:$B$51,2,FALSE),"")</f>
        <v/>
      </c>
      <c r="F300" s="148" t="str">
        <f>IFERROR(VLOOKUP($D300,EntryList!$B$3:$V$291,21,FALSE),"")</f>
        <v/>
      </c>
      <c r="G300" s="100" t="str">
        <f>IFERROR(VLOOKUP($D300,EntryList!$B$3:$N$596,5,FALSE),"")</f>
        <v/>
      </c>
      <c r="H300" s="145" t="str">
        <f>IFERROR(VLOOKUP($D300,EntryList!$B$3:$N$596,6,FALSE),"")</f>
        <v/>
      </c>
      <c r="I300" s="331" t="str">
        <f>IFERROR(VLOOKUP($B300,OverallResults!$B$3:$Z$492,8,FALSE),"")</f>
        <v/>
      </c>
      <c r="J300" s="58" t="str">
        <f>IFERROR(VLOOKUP($B300,OverallResults!$B$3:$BB$492,9,FALSE),"")</f>
        <v/>
      </c>
      <c r="K300" s="58" t="str">
        <f>IFERROR(VLOOKUP($B300,OverallResults!$B$3:$BB$492,10,FALSE),"")</f>
        <v/>
      </c>
      <c r="L300" s="58" t="str">
        <f>IFERROR(VLOOKUP($B300,OverallResults!$B$3:$BB$492,11,FALSE),"")</f>
        <v/>
      </c>
      <c r="M300" s="58" t="str">
        <f>IFERROR(VLOOKUP($B300,OverallResults!$B$3:$BB$492,12,FALSE),"")</f>
        <v/>
      </c>
      <c r="N300" s="58" t="str">
        <f>IFERROR(VLOOKUP($B300,OverallResults!$B$3:$BB$492,13,FALSE),"")</f>
        <v/>
      </c>
      <c r="O300" s="58" t="str">
        <f>IFERROR(VLOOKUP($B300,OverallResults!$B$3:$BB$492,14,FALSE),"")</f>
        <v/>
      </c>
      <c r="P300" s="58" t="str">
        <f>IFERROR(VLOOKUP($B300,OverallResults!$B$3:$BB$492,15,FALSE),"")</f>
        <v/>
      </c>
      <c r="Q300" s="58" t="str">
        <f>IFERROR(VLOOKUP($B300,OverallResults!$B$3:$BB$492,16,FALSE),"")</f>
        <v/>
      </c>
      <c r="R300" s="58" t="str">
        <f>IFERROR(VLOOKUP($B300,OverallResults!$B$3:$BB$492,17,FALSE),"")</f>
        <v/>
      </c>
      <c r="S300" s="170" t="str">
        <f t="shared" si="8"/>
        <v>N/A</v>
      </c>
      <c r="T300" s="170" t="e">
        <f t="shared" si="9"/>
        <v>#VALUE!</v>
      </c>
      <c r="U300" s="359" t="str">
        <f>IFERROR(VLOOKUP($D300,EntryList!$B$3:$S$291,18,FALSE),"")</f>
        <v/>
      </c>
      <c r="V300" s="359" t="str">
        <f>IFERROR(VLOOKUP($D300,EntryList!$B$3:$S$291,17,FALSE),"")</f>
        <v/>
      </c>
    </row>
    <row r="301" spans="2:22">
      <c r="B301" s="59">
        <v>296</v>
      </c>
      <c r="C301" s="59" t="str">
        <f>IFERROR(VLOOKUP($B301,OverallResults!$B$3:$Z$508,2,FALSE),"")</f>
        <v>DNF</v>
      </c>
      <c r="D301" s="149" t="str">
        <f>IFERROR(VLOOKUP($B301,OverallResults!$B$3:$Z$508,3,FALSE),"")</f>
        <v/>
      </c>
      <c r="E301" s="146" t="str">
        <f>IFERROR(VLOOKUP(C301,SeriesPoints!$A$2:$B$51,2,FALSE),"")</f>
        <v/>
      </c>
      <c r="F301" s="148" t="str">
        <f>IFERROR(VLOOKUP($D301,EntryList!$B$3:$V$291,21,FALSE),"")</f>
        <v/>
      </c>
      <c r="G301" s="100" t="str">
        <f>IFERROR(VLOOKUP($D301,EntryList!$B$3:$N$596,5,FALSE),"")</f>
        <v/>
      </c>
      <c r="H301" s="145" t="str">
        <f>IFERROR(VLOOKUP($D301,EntryList!$B$3:$N$596,6,FALSE),"")</f>
        <v/>
      </c>
      <c r="I301" s="331" t="str">
        <f>IFERROR(VLOOKUP($B301,OverallResults!$B$3:$Z$492,8,FALSE),"")</f>
        <v/>
      </c>
      <c r="J301" s="58" t="str">
        <f>IFERROR(VLOOKUP($B301,OverallResults!$B$3:$BB$492,9,FALSE),"")</f>
        <v/>
      </c>
      <c r="K301" s="58" t="str">
        <f>IFERROR(VLOOKUP($B301,OverallResults!$B$3:$BB$492,10,FALSE),"")</f>
        <v/>
      </c>
      <c r="L301" s="58" t="str">
        <f>IFERROR(VLOOKUP($B301,OverallResults!$B$3:$BB$492,11,FALSE),"")</f>
        <v/>
      </c>
      <c r="M301" s="58" t="str">
        <f>IFERROR(VLOOKUP($B301,OverallResults!$B$3:$BB$492,12,FALSE),"")</f>
        <v/>
      </c>
      <c r="N301" s="58" t="str">
        <f>IFERROR(VLOOKUP($B301,OverallResults!$B$3:$BB$492,13,FALSE),"")</f>
        <v/>
      </c>
      <c r="O301" s="58" t="str">
        <f>IFERROR(VLOOKUP($B301,OverallResults!$B$3:$BB$492,14,FALSE),"")</f>
        <v/>
      </c>
      <c r="P301" s="58" t="str">
        <f>IFERROR(VLOOKUP($B301,OverallResults!$B$3:$BB$492,15,FALSE),"")</f>
        <v/>
      </c>
      <c r="Q301" s="58" t="str">
        <f>IFERROR(VLOOKUP($B301,OverallResults!$B$3:$BB$492,16,FALSE),"")</f>
        <v/>
      </c>
      <c r="R301" s="58" t="str">
        <f>IFERROR(VLOOKUP($B301,OverallResults!$B$3:$BB$492,17,FALSE),"")</f>
        <v/>
      </c>
      <c r="S301" s="170" t="str">
        <f t="shared" si="8"/>
        <v>N/A</v>
      </c>
      <c r="T301" s="170" t="e">
        <f t="shared" si="9"/>
        <v>#VALUE!</v>
      </c>
      <c r="U301" s="359" t="str">
        <f>IFERROR(VLOOKUP($D301,EntryList!$B$3:$S$291,18,FALSE),"")</f>
        <v/>
      </c>
      <c r="V301" s="359" t="str">
        <f>IFERROR(VLOOKUP($D301,EntryList!$B$3:$S$291,17,FALSE),"")</f>
        <v/>
      </c>
    </row>
    <row r="302" spans="2:22">
      <c r="B302" s="59">
        <v>297</v>
      </c>
      <c r="C302" s="59" t="str">
        <f>IFERROR(VLOOKUP($B302,OverallResults!$B$3:$Z$508,2,FALSE),"")</f>
        <v>DNF</v>
      </c>
      <c r="D302" s="149" t="str">
        <f>IFERROR(VLOOKUP($B302,OverallResults!$B$3:$Z$508,3,FALSE),"")</f>
        <v/>
      </c>
      <c r="E302" s="146" t="str">
        <f>IFERROR(VLOOKUP(C302,SeriesPoints!$A$2:$B$51,2,FALSE),"")</f>
        <v/>
      </c>
      <c r="F302" s="148" t="str">
        <f>IFERROR(VLOOKUP($D302,EntryList!$B$3:$V$291,21,FALSE),"")</f>
        <v/>
      </c>
      <c r="G302" s="100" t="str">
        <f>IFERROR(VLOOKUP($D302,EntryList!$B$3:$N$596,5,FALSE),"")</f>
        <v/>
      </c>
      <c r="H302" s="145" t="str">
        <f>IFERROR(VLOOKUP($D302,EntryList!$B$3:$N$596,6,FALSE),"")</f>
        <v/>
      </c>
      <c r="I302" s="331" t="str">
        <f>IFERROR(VLOOKUP($B302,OverallResults!$B$3:$Z$492,8,FALSE),"")</f>
        <v/>
      </c>
      <c r="J302" s="58" t="str">
        <f>IFERROR(VLOOKUP($B302,OverallResults!$B$3:$BB$492,9,FALSE),"")</f>
        <v/>
      </c>
      <c r="K302" s="58" t="str">
        <f>IFERROR(VLOOKUP($B302,OverallResults!$B$3:$BB$492,10,FALSE),"")</f>
        <v/>
      </c>
      <c r="L302" s="58" t="str">
        <f>IFERROR(VLOOKUP($B302,OverallResults!$B$3:$BB$492,11,FALSE),"")</f>
        <v/>
      </c>
      <c r="M302" s="58" t="str">
        <f>IFERROR(VLOOKUP($B302,OverallResults!$B$3:$BB$492,12,FALSE),"")</f>
        <v/>
      </c>
      <c r="N302" s="58" t="str">
        <f>IFERROR(VLOOKUP($B302,OverallResults!$B$3:$BB$492,13,FALSE),"")</f>
        <v/>
      </c>
      <c r="O302" s="58" t="str">
        <f>IFERROR(VLOOKUP($B302,OverallResults!$B$3:$BB$492,14,FALSE),"")</f>
        <v/>
      </c>
      <c r="P302" s="58" t="str">
        <f>IFERROR(VLOOKUP($B302,OverallResults!$B$3:$BB$492,15,FALSE),"")</f>
        <v/>
      </c>
      <c r="Q302" s="58" t="str">
        <f>IFERROR(VLOOKUP($B302,OverallResults!$B$3:$BB$492,16,FALSE),"")</f>
        <v/>
      </c>
      <c r="R302" s="58" t="str">
        <f>IFERROR(VLOOKUP($B302,OverallResults!$B$3:$BB$492,17,FALSE),"")</f>
        <v/>
      </c>
      <c r="S302" s="170" t="str">
        <f t="shared" si="8"/>
        <v>N/A</v>
      </c>
      <c r="T302" s="170" t="e">
        <f t="shared" si="9"/>
        <v>#VALUE!</v>
      </c>
      <c r="U302" s="359" t="str">
        <f>IFERROR(VLOOKUP($D302,EntryList!$B$3:$S$291,18,FALSE),"")</f>
        <v/>
      </c>
      <c r="V302" s="359" t="str">
        <f>IFERROR(VLOOKUP($D302,EntryList!$B$3:$S$291,17,FALSE),"")</f>
        <v/>
      </c>
    </row>
    <row r="303" spans="2:22">
      <c r="B303" s="59">
        <v>298</v>
      </c>
      <c r="C303" s="59" t="str">
        <f>IFERROR(VLOOKUP($B303,OverallResults!$B$3:$Z$508,2,FALSE),"")</f>
        <v>DNF</v>
      </c>
      <c r="D303" s="149" t="str">
        <f>IFERROR(VLOOKUP($B303,OverallResults!$B$3:$Z$508,3,FALSE),"")</f>
        <v/>
      </c>
      <c r="E303" s="146" t="str">
        <f>IFERROR(VLOOKUP(C303,SeriesPoints!$A$2:$B$51,2,FALSE),"")</f>
        <v/>
      </c>
      <c r="F303" s="148" t="str">
        <f>IFERROR(VLOOKUP($D303,EntryList!$B$3:$V$291,21,FALSE),"")</f>
        <v/>
      </c>
      <c r="G303" s="100" t="str">
        <f>IFERROR(VLOOKUP($D303,EntryList!$B$3:$N$596,5,FALSE),"")</f>
        <v/>
      </c>
      <c r="H303" s="145" t="str">
        <f>IFERROR(VLOOKUP($D303,EntryList!$B$3:$N$596,6,FALSE),"")</f>
        <v/>
      </c>
      <c r="I303" s="331" t="str">
        <f>IFERROR(VLOOKUP($B303,OverallResults!$B$3:$Z$492,8,FALSE),"")</f>
        <v/>
      </c>
      <c r="J303" s="58" t="str">
        <f>IFERROR(VLOOKUP($B303,OverallResults!$B$3:$BB$492,9,FALSE),"")</f>
        <v/>
      </c>
      <c r="K303" s="58" t="str">
        <f>IFERROR(VLOOKUP($B303,OverallResults!$B$3:$BB$492,10,FALSE),"")</f>
        <v/>
      </c>
      <c r="L303" s="58" t="str">
        <f>IFERROR(VLOOKUP($B303,OverallResults!$B$3:$BB$492,11,FALSE),"")</f>
        <v/>
      </c>
      <c r="M303" s="58" t="str">
        <f>IFERROR(VLOOKUP($B303,OverallResults!$B$3:$BB$492,12,FALSE),"")</f>
        <v/>
      </c>
      <c r="N303" s="58" t="str">
        <f>IFERROR(VLOOKUP($B303,OverallResults!$B$3:$BB$492,13,FALSE),"")</f>
        <v/>
      </c>
      <c r="O303" s="58" t="str">
        <f>IFERROR(VLOOKUP($B303,OverallResults!$B$3:$BB$492,14,FALSE),"")</f>
        <v/>
      </c>
      <c r="P303" s="58" t="str">
        <f>IFERROR(VLOOKUP($B303,OverallResults!$B$3:$BB$492,15,FALSE),"")</f>
        <v/>
      </c>
      <c r="Q303" s="58" t="str">
        <f>IFERROR(VLOOKUP($B303,OverallResults!$B$3:$BB$492,16,FALSE),"")</f>
        <v/>
      </c>
      <c r="R303" s="58" t="str">
        <f>IFERROR(VLOOKUP($B303,OverallResults!$B$3:$BB$492,17,FALSE),"")</f>
        <v/>
      </c>
      <c r="S303" s="170" t="str">
        <f t="shared" si="8"/>
        <v>N/A</v>
      </c>
      <c r="T303" s="170" t="e">
        <f t="shared" si="9"/>
        <v>#VALUE!</v>
      </c>
      <c r="U303" s="359" t="str">
        <f>IFERROR(VLOOKUP($D303,EntryList!$B$3:$S$291,18,FALSE),"")</f>
        <v/>
      </c>
      <c r="V303" s="359" t="str">
        <f>IFERROR(VLOOKUP($D303,EntryList!$B$3:$S$291,17,FALSE),"")</f>
        <v/>
      </c>
    </row>
    <row r="304" spans="2:22">
      <c r="B304" s="59">
        <v>299</v>
      </c>
      <c r="C304" s="59" t="str">
        <f>IFERROR(VLOOKUP($B304,OverallResults!$B$3:$Z$508,2,FALSE),"")</f>
        <v>DNF</v>
      </c>
      <c r="D304" s="149" t="str">
        <f>IFERROR(VLOOKUP($B304,OverallResults!$B$3:$Z$508,3,FALSE),"")</f>
        <v/>
      </c>
      <c r="E304" s="146" t="str">
        <f>IFERROR(VLOOKUP(C304,SeriesPoints!$A$2:$B$51,2,FALSE),"")</f>
        <v/>
      </c>
      <c r="F304" s="148" t="str">
        <f>IFERROR(VLOOKUP($D304,EntryList!$B$3:$V$291,21,FALSE),"")</f>
        <v/>
      </c>
      <c r="G304" s="100" t="str">
        <f>IFERROR(VLOOKUP($D304,EntryList!$B$3:$N$596,5,FALSE),"")</f>
        <v/>
      </c>
      <c r="H304" s="145" t="str">
        <f>IFERROR(VLOOKUP($D304,EntryList!$B$3:$N$596,6,FALSE),"")</f>
        <v/>
      </c>
      <c r="I304" s="331" t="str">
        <f>IFERROR(VLOOKUP($B304,OverallResults!$B$3:$Z$492,8,FALSE),"")</f>
        <v/>
      </c>
      <c r="J304" s="58" t="str">
        <f>IFERROR(VLOOKUP($B304,OverallResults!$B$3:$BB$492,9,FALSE),"")</f>
        <v/>
      </c>
      <c r="K304" s="58" t="str">
        <f>IFERROR(VLOOKUP($B304,OverallResults!$B$3:$BB$492,10,FALSE),"")</f>
        <v/>
      </c>
      <c r="L304" s="58" t="str">
        <f>IFERROR(VLOOKUP($B304,OverallResults!$B$3:$BB$492,11,FALSE),"")</f>
        <v/>
      </c>
      <c r="M304" s="58" t="str">
        <f>IFERROR(VLOOKUP($B304,OverallResults!$B$3:$BB$492,12,FALSE),"")</f>
        <v/>
      </c>
      <c r="N304" s="58" t="str">
        <f>IFERROR(VLOOKUP($B304,OverallResults!$B$3:$BB$492,13,FALSE),"")</f>
        <v/>
      </c>
      <c r="O304" s="58" t="str">
        <f>IFERROR(VLOOKUP($B304,OverallResults!$B$3:$BB$492,14,FALSE),"")</f>
        <v/>
      </c>
      <c r="P304" s="58" t="str">
        <f>IFERROR(VLOOKUP($B304,OverallResults!$B$3:$BB$492,15,FALSE),"")</f>
        <v/>
      </c>
      <c r="Q304" s="58" t="str">
        <f>IFERROR(VLOOKUP($B304,OverallResults!$B$3:$BB$492,16,FALSE),"")</f>
        <v/>
      </c>
      <c r="R304" s="58" t="str">
        <f>IFERROR(VLOOKUP($B304,OverallResults!$B$3:$BB$492,17,FALSE),"")</f>
        <v/>
      </c>
      <c r="S304" s="170" t="str">
        <f t="shared" si="8"/>
        <v>N/A</v>
      </c>
      <c r="T304" s="170" t="e">
        <f t="shared" si="9"/>
        <v>#VALUE!</v>
      </c>
      <c r="U304" s="359" t="str">
        <f>IFERROR(VLOOKUP($D304,EntryList!$B$3:$S$291,18,FALSE),"")</f>
        <v/>
      </c>
      <c r="V304" s="359" t="str">
        <f>IFERROR(VLOOKUP($D304,EntryList!$B$3:$S$291,17,FALSE),"")</f>
        <v/>
      </c>
    </row>
    <row r="305" spans="2:22">
      <c r="B305" s="59">
        <v>300</v>
      </c>
      <c r="C305" s="59" t="str">
        <f>IFERROR(VLOOKUP($B305,OverallResults!$B$3:$Z$508,2,FALSE),"")</f>
        <v>DNF</v>
      </c>
      <c r="D305" s="149" t="str">
        <f>IFERROR(VLOOKUP($B305,OverallResults!$B$3:$Z$508,3,FALSE),"")</f>
        <v/>
      </c>
      <c r="E305" s="146" t="str">
        <f>IFERROR(VLOOKUP(C305,SeriesPoints!$A$2:$B$51,2,FALSE),"")</f>
        <v/>
      </c>
      <c r="F305" s="148" t="str">
        <f>IFERROR(VLOOKUP($D305,EntryList!$B$3:$V$291,21,FALSE),"")</f>
        <v/>
      </c>
      <c r="G305" s="100" t="str">
        <f>IFERROR(VLOOKUP($D305,EntryList!$B$3:$N$596,5,FALSE),"")</f>
        <v/>
      </c>
      <c r="H305" s="145" t="str">
        <f>IFERROR(VLOOKUP($D305,EntryList!$B$3:$N$596,6,FALSE),"")</f>
        <v/>
      </c>
      <c r="I305" s="331" t="str">
        <f>IFERROR(VLOOKUP($B305,OverallResults!$B$3:$Z$492,8,FALSE),"")</f>
        <v/>
      </c>
      <c r="J305" s="58" t="str">
        <f>IFERROR(VLOOKUP($B305,OverallResults!$B$3:$BB$492,9,FALSE),"")</f>
        <v/>
      </c>
      <c r="K305" s="58" t="str">
        <f>IFERROR(VLOOKUP($B305,OverallResults!$B$3:$BB$492,10,FALSE),"")</f>
        <v/>
      </c>
      <c r="L305" s="58" t="str">
        <f>IFERROR(VLOOKUP($B305,OverallResults!$B$3:$BB$492,11,FALSE),"")</f>
        <v/>
      </c>
      <c r="M305" s="58" t="str">
        <f>IFERROR(VLOOKUP($B305,OverallResults!$B$3:$BB$492,12,FALSE),"")</f>
        <v/>
      </c>
      <c r="N305" s="58" t="str">
        <f>IFERROR(VLOOKUP($B305,OverallResults!$B$3:$BB$492,13,FALSE),"")</f>
        <v/>
      </c>
      <c r="O305" s="58" t="str">
        <f>IFERROR(VLOOKUP($B305,OverallResults!$B$3:$BB$492,14,FALSE),"")</f>
        <v/>
      </c>
      <c r="P305" s="58" t="str">
        <f>IFERROR(VLOOKUP($B305,OverallResults!$B$3:$BB$492,15,FALSE),"")</f>
        <v/>
      </c>
      <c r="Q305" s="58" t="str">
        <f>IFERROR(VLOOKUP($B305,OverallResults!$B$3:$BB$492,16,FALSE),"")</f>
        <v/>
      </c>
      <c r="R305" s="58" t="str">
        <f>IFERROR(VLOOKUP($B305,OverallResults!$B$3:$BB$492,17,FALSE),"")</f>
        <v/>
      </c>
      <c r="S305" s="170" t="str">
        <f t="shared" si="8"/>
        <v>N/A</v>
      </c>
      <c r="T305" s="170" t="e">
        <f t="shared" si="9"/>
        <v>#VALUE!</v>
      </c>
      <c r="U305" s="359" t="str">
        <f>IFERROR(VLOOKUP($D305,EntryList!$B$3:$S$291,18,FALSE),"")</f>
        <v/>
      </c>
      <c r="V305" s="359" t="str">
        <f>IFERROR(VLOOKUP($D305,EntryList!$B$3:$S$291,17,FALSE),"")</f>
        <v/>
      </c>
    </row>
    <row r="306" spans="2:22">
      <c r="B306" s="59">
        <v>301</v>
      </c>
      <c r="C306" s="59" t="str">
        <f>IFERROR(VLOOKUP($B306,OverallResults!$B$3:$Z$508,2,FALSE),"")</f>
        <v>DNF</v>
      </c>
      <c r="D306" s="149" t="str">
        <f>IFERROR(VLOOKUP($B306,OverallResults!$B$3:$Z$508,3,FALSE),"")</f>
        <v/>
      </c>
      <c r="E306" s="146" t="str">
        <f>IFERROR(VLOOKUP(C306,SeriesPoints!$A$2:$B$51,2,FALSE),"")</f>
        <v/>
      </c>
      <c r="F306" s="148" t="str">
        <f>IFERROR(VLOOKUP($D306,EntryList!$B$3:$V$291,21,FALSE),"")</f>
        <v/>
      </c>
      <c r="G306" s="100" t="str">
        <f>IFERROR(VLOOKUP($D306,EntryList!$B$3:$N$596,5,FALSE),"")</f>
        <v/>
      </c>
      <c r="H306" s="145" t="str">
        <f>IFERROR(VLOOKUP($D306,EntryList!$B$3:$N$596,6,FALSE),"")</f>
        <v/>
      </c>
      <c r="I306" s="331" t="str">
        <f>IFERROR(VLOOKUP($B306,OverallResults!$B$3:$Z$492,8,FALSE),"")</f>
        <v/>
      </c>
      <c r="J306" s="58" t="str">
        <f>IFERROR(VLOOKUP($B306,OverallResults!$B$3:$BB$492,9,FALSE),"")</f>
        <v/>
      </c>
      <c r="K306" s="58" t="str">
        <f>IFERROR(VLOOKUP($B306,OverallResults!$B$3:$BB$492,10,FALSE),"")</f>
        <v/>
      </c>
      <c r="L306" s="58" t="str">
        <f>IFERROR(VLOOKUP($B306,OverallResults!$B$3:$BB$492,11,FALSE),"")</f>
        <v/>
      </c>
      <c r="M306" s="58" t="str">
        <f>IFERROR(VLOOKUP($B306,OverallResults!$B$3:$BB$492,12,FALSE),"")</f>
        <v/>
      </c>
      <c r="N306" s="58" t="str">
        <f>IFERROR(VLOOKUP($B306,OverallResults!$B$3:$BB$492,13,FALSE),"")</f>
        <v/>
      </c>
      <c r="O306" s="58" t="str">
        <f>IFERROR(VLOOKUP($B306,OverallResults!$B$3:$BB$492,14,FALSE),"")</f>
        <v/>
      </c>
      <c r="P306" s="58" t="str">
        <f>IFERROR(VLOOKUP($B306,OverallResults!$B$3:$BB$492,15,FALSE),"")</f>
        <v/>
      </c>
      <c r="Q306" s="58" t="str">
        <f>IFERROR(VLOOKUP($B306,OverallResults!$B$3:$BB$492,16,FALSE),"")</f>
        <v/>
      </c>
      <c r="R306" s="58" t="str">
        <f>IFERROR(VLOOKUP($B306,OverallResults!$B$3:$BB$492,17,FALSE),"")</f>
        <v/>
      </c>
      <c r="S306" s="170" t="str">
        <f t="shared" si="8"/>
        <v>N/A</v>
      </c>
      <c r="T306" s="170" t="e">
        <f t="shared" si="9"/>
        <v>#VALUE!</v>
      </c>
      <c r="U306" s="359" t="str">
        <f>IFERROR(VLOOKUP($D306,EntryList!$B$3:$S$291,18,FALSE),"")</f>
        <v/>
      </c>
      <c r="V306" s="359" t="str">
        <f>IFERROR(VLOOKUP($D306,EntryList!$B$3:$S$291,17,FALSE),"")</f>
        <v/>
      </c>
    </row>
    <row r="307" spans="2:22">
      <c r="B307" s="59">
        <v>302</v>
      </c>
      <c r="C307" s="59" t="str">
        <f>IFERROR(VLOOKUP($B307,OverallResults!$B$3:$Z$508,2,FALSE),"")</f>
        <v>DNF</v>
      </c>
      <c r="D307" s="149" t="str">
        <f>IFERROR(VLOOKUP($B307,OverallResults!$B$3:$Z$508,3,FALSE),"")</f>
        <v/>
      </c>
      <c r="E307" s="146" t="str">
        <f>IFERROR(VLOOKUP(C307,SeriesPoints!$A$2:$B$51,2,FALSE),"")</f>
        <v/>
      </c>
      <c r="F307" s="148" t="str">
        <f>IFERROR(VLOOKUP($D307,EntryList!$B$3:$V$291,21,FALSE),"")</f>
        <v/>
      </c>
      <c r="G307" s="100" t="str">
        <f>IFERROR(VLOOKUP($D307,EntryList!$B$3:$N$596,5,FALSE),"")</f>
        <v/>
      </c>
      <c r="H307" s="145" t="str">
        <f>IFERROR(VLOOKUP($D307,EntryList!$B$3:$N$596,6,FALSE),"")</f>
        <v/>
      </c>
      <c r="I307" s="331" t="str">
        <f>IFERROR(VLOOKUP($B307,OverallResults!$B$3:$Z$492,8,FALSE),"")</f>
        <v/>
      </c>
      <c r="J307" s="58" t="str">
        <f>IFERROR(VLOOKUP($B307,OverallResults!$B$3:$BB$492,9,FALSE),"")</f>
        <v/>
      </c>
      <c r="K307" s="58" t="str">
        <f>IFERROR(VLOOKUP($B307,OverallResults!$B$3:$BB$492,10,FALSE),"")</f>
        <v/>
      </c>
      <c r="L307" s="58" t="str">
        <f>IFERROR(VLOOKUP($B307,OverallResults!$B$3:$BB$492,11,FALSE),"")</f>
        <v/>
      </c>
      <c r="M307" s="58" t="str">
        <f>IFERROR(VLOOKUP($B307,OverallResults!$B$3:$BB$492,12,FALSE),"")</f>
        <v/>
      </c>
      <c r="N307" s="58" t="str">
        <f>IFERROR(VLOOKUP($B307,OverallResults!$B$3:$BB$492,13,FALSE),"")</f>
        <v/>
      </c>
      <c r="O307" s="58" t="str">
        <f>IFERROR(VLOOKUP($B307,OverallResults!$B$3:$BB$492,14,FALSE),"")</f>
        <v/>
      </c>
      <c r="P307" s="58" t="str">
        <f>IFERROR(VLOOKUP($B307,OverallResults!$B$3:$BB$492,15,FALSE),"")</f>
        <v/>
      </c>
      <c r="Q307" s="58" t="str">
        <f>IFERROR(VLOOKUP($B307,OverallResults!$B$3:$BB$492,16,FALSE),"")</f>
        <v/>
      </c>
      <c r="R307" s="58" t="str">
        <f>IFERROR(VLOOKUP($B307,OverallResults!$B$3:$BB$492,17,FALSE),"")</f>
        <v/>
      </c>
      <c r="S307" s="170" t="str">
        <f t="shared" si="8"/>
        <v>N/A</v>
      </c>
      <c r="T307" s="170" t="e">
        <f t="shared" si="9"/>
        <v>#VALUE!</v>
      </c>
      <c r="U307" s="359" t="str">
        <f>IFERROR(VLOOKUP($D307,EntryList!$B$3:$S$291,18,FALSE),"")</f>
        <v/>
      </c>
      <c r="V307" s="359" t="str">
        <f>IFERROR(VLOOKUP($D307,EntryList!$B$3:$S$291,17,FALSE),"")</f>
        <v/>
      </c>
    </row>
    <row r="308" spans="2:22">
      <c r="B308" s="59">
        <v>303</v>
      </c>
      <c r="C308" s="59" t="str">
        <f>IFERROR(VLOOKUP($B308,OverallResults!$B$3:$Z$508,2,FALSE),"")</f>
        <v>DNF</v>
      </c>
      <c r="D308" s="149" t="str">
        <f>IFERROR(VLOOKUP($B308,OverallResults!$B$3:$Z$508,3,FALSE),"")</f>
        <v/>
      </c>
      <c r="E308" s="146" t="str">
        <f>IFERROR(VLOOKUP(C308,SeriesPoints!$A$2:$B$51,2,FALSE),"")</f>
        <v/>
      </c>
      <c r="F308" s="148" t="str">
        <f>IFERROR(VLOOKUP($D308,EntryList!$B$3:$V$291,21,FALSE),"")</f>
        <v/>
      </c>
      <c r="G308" s="100" t="str">
        <f>IFERROR(VLOOKUP($D308,EntryList!$B$3:$N$596,5,FALSE),"")</f>
        <v/>
      </c>
      <c r="H308" s="145" t="str">
        <f>IFERROR(VLOOKUP($D308,EntryList!$B$3:$N$596,6,FALSE),"")</f>
        <v/>
      </c>
      <c r="I308" s="331" t="str">
        <f>IFERROR(VLOOKUP($B308,OverallResults!$B$3:$Z$492,8,FALSE),"")</f>
        <v/>
      </c>
      <c r="J308" s="58" t="str">
        <f>IFERROR(VLOOKUP($B308,OverallResults!$B$3:$BB$492,9,FALSE),"")</f>
        <v/>
      </c>
      <c r="K308" s="58" t="str">
        <f>IFERROR(VLOOKUP($B308,OverallResults!$B$3:$BB$492,10,FALSE),"")</f>
        <v/>
      </c>
      <c r="L308" s="58" t="str">
        <f>IFERROR(VLOOKUP($B308,OverallResults!$B$3:$BB$492,11,FALSE),"")</f>
        <v/>
      </c>
      <c r="M308" s="58" t="str">
        <f>IFERROR(VLOOKUP($B308,OverallResults!$B$3:$BB$492,12,FALSE),"")</f>
        <v/>
      </c>
      <c r="N308" s="58" t="str">
        <f>IFERROR(VLOOKUP($B308,OverallResults!$B$3:$BB$492,13,FALSE),"")</f>
        <v/>
      </c>
      <c r="O308" s="58" t="str">
        <f>IFERROR(VLOOKUP($B308,OverallResults!$B$3:$BB$492,14,FALSE),"")</f>
        <v/>
      </c>
      <c r="P308" s="58" t="str">
        <f>IFERROR(VLOOKUP($B308,OverallResults!$B$3:$BB$492,15,FALSE),"")</f>
        <v/>
      </c>
      <c r="Q308" s="58" t="str">
        <f>IFERROR(VLOOKUP($B308,OverallResults!$B$3:$BB$492,16,FALSE),"")</f>
        <v/>
      </c>
      <c r="R308" s="58" t="str">
        <f>IFERROR(VLOOKUP($B308,OverallResults!$B$3:$BB$492,17,FALSE),"")</f>
        <v/>
      </c>
      <c r="S308" s="170" t="str">
        <f t="shared" si="8"/>
        <v>N/A</v>
      </c>
      <c r="T308" s="170" t="e">
        <f t="shared" si="9"/>
        <v>#VALUE!</v>
      </c>
      <c r="U308" s="359" t="str">
        <f>IFERROR(VLOOKUP($D308,EntryList!$B$3:$S$291,18,FALSE),"")</f>
        <v/>
      </c>
      <c r="V308" s="359" t="str">
        <f>IFERROR(VLOOKUP($D308,EntryList!$B$3:$S$291,17,FALSE),"")</f>
        <v/>
      </c>
    </row>
    <row r="309" spans="2:22">
      <c r="B309" s="59">
        <v>304</v>
      </c>
      <c r="C309" s="59" t="str">
        <f>IFERROR(VLOOKUP($B309,OverallResults!$B$3:$Z$508,2,FALSE),"")</f>
        <v>DNF</v>
      </c>
      <c r="D309" s="149" t="str">
        <f>IFERROR(VLOOKUP($B309,OverallResults!$B$3:$Z$508,3,FALSE),"")</f>
        <v/>
      </c>
      <c r="E309" s="146" t="str">
        <f>IFERROR(VLOOKUP(C309,SeriesPoints!$A$2:$B$51,2,FALSE),"")</f>
        <v/>
      </c>
      <c r="F309" s="148" t="str">
        <f>IFERROR(VLOOKUP($D309,EntryList!$B$3:$V$291,21,FALSE),"")</f>
        <v/>
      </c>
      <c r="G309" s="100" t="str">
        <f>IFERROR(VLOOKUP($D309,EntryList!$B$3:$N$596,5,FALSE),"")</f>
        <v/>
      </c>
      <c r="H309" s="145" t="str">
        <f>IFERROR(VLOOKUP($D309,EntryList!$B$3:$N$596,6,FALSE),"")</f>
        <v/>
      </c>
      <c r="I309" s="331" t="str">
        <f>IFERROR(VLOOKUP($B309,OverallResults!$B$3:$Z$492,8,FALSE),"")</f>
        <v/>
      </c>
      <c r="J309" s="58" t="str">
        <f>IFERROR(VLOOKUP($B309,OverallResults!$B$3:$BB$492,9,FALSE),"")</f>
        <v/>
      </c>
      <c r="K309" s="58" t="str">
        <f>IFERROR(VLOOKUP($B309,OverallResults!$B$3:$BB$492,10,FALSE),"")</f>
        <v/>
      </c>
      <c r="L309" s="58" t="str">
        <f>IFERROR(VLOOKUP($B309,OverallResults!$B$3:$BB$492,11,FALSE),"")</f>
        <v/>
      </c>
      <c r="M309" s="58" t="str">
        <f>IFERROR(VLOOKUP($B309,OverallResults!$B$3:$BB$492,12,FALSE),"")</f>
        <v/>
      </c>
      <c r="N309" s="58" t="str">
        <f>IFERROR(VLOOKUP($B309,OverallResults!$B$3:$BB$492,13,FALSE),"")</f>
        <v/>
      </c>
      <c r="O309" s="58" t="str">
        <f>IFERROR(VLOOKUP($B309,OverallResults!$B$3:$BB$492,14,FALSE),"")</f>
        <v/>
      </c>
      <c r="P309" s="58" t="str">
        <f>IFERROR(VLOOKUP($B309,OverallResults!$B$3:$BB$492,15,FALSE),"")</f>
        <v/>
      </c>
      <c r="Q309" s="58" t="str">
        <f>IFERROR(VLOOKUP($B309,OverallResults!$B$3:$BB$492,16,FALSE),"")</f>
        <v/>
      </c>
      <c r="R309" s="58" t="str">
        <f>IFERROR(VLOOKUP($B309,OverallResults!$B$3:$BB$492,17,FALSE),"")</f>
        <v/>
      </c>
      <c r="S309" s="170" t="str">
        <f t="shared" si="8"/>
        <v>N/A</v>
      </c>
      <c r="T309" s="170" t="e">
        <f t="shared" si="9"/>
        <v>#VALUE!</v>
      </c>
      <c r="U309" s="359" t="str">
        <f>IFERROR(VLOOKUP($D309,EntryList!$B$3:$S$291,18,FALSE),"")</f>
        <v/>
      </c>
      <c r="V309" s="359" t="str">
        <f>IFERROR(VLOOKUP($D309,EntryList!$B$3:$S$291,17,FALSE),"")</f>
        <v/>
      </c>
    </row>
    <row r="310" spans="2:22">
      <c r="B310" s="59">
        <v>305</v>
      </c>
      <c r="C310" s="59" t="str">
        <f>IFERROR(VLOOKUP($B310,OverallResults!$B$3:$Z$508,2,FALSE),"")</f>
        <v>DNF</v>
      </c>
      <c r="D310" s="149" t="str">
        <f>IFERROR(VLOOKUP($B310,OverallResults!$B$3:$Z$508,3,FALSE),"")</f>
        <v/>
      </c>
      <c r="E310" s="146" t="str">
        <f>IFERROR(VLOOKUP(C310,SeriesPoints!$A$2:$B$51,2,FALSE),"")</f>
        <v/>
      </c>
      <c r="F310" s="148" t="str">
        <f>IFERROR(VLOOKUP($D310,EntryList!$B$3:$V$291,21,FALSE),"")</f>
        <v/>
      </c>
      <c r="G310" s="100" t="str">
        <f>IFERROR(VLOOKUP($D310,EntryList!$B$3:$N$596,5,FALSE),"")</f>
        <v/>
      </c>
      <c r="H310" s="145" t="str">
        <f>IFERROR(VLOOKUP($D310,EntryList!$B$3:$N$596,6,FALSE),"")</f>
        <v/>
      </c>
      <c r="I310" s="331" t="str">
        <f>IFERROR(VLOOKUP($B310,OverallResults!$B$3:$Z$492,8,FALSE),"")</f>
        <v/>
      </c>
      <c r="J310" s="58" t="str">
        <f>IFERROR(VLOOKUP($B310,OverallResults!$B$3:$BB$492,9,FALSE),"")</f>
        <v/>
      </c>
      <c r="K310" s="58" t="str">
        <f>IFERROR(VLOOKUP($B310,OverallResults!$B$3:$BB$492,10,FALSE),"")</f>
        <v/>
      </c>
      <c r="L310" s="58" t="str">
        <f>IFERROR(VLOOKUP($B310,OverallResults!$B$3:$BB$492,11,FALSE),"")</f>
        <v/>
      </c>
      <c r="M310" s="58" t="str">
        <f>IFERROR(VLOOKUP($B310,OverallResults!$B$3:$BB$492,12,FALSE),"")</f>
        <v/>
      </c>
      <c r="N310" s="58" t="str">
        <f>IFERROR(VLOOKUP($B310,OverallResults!$B$3:$BB$492,13,FALSE),"")</f>
        <v/>
      </c>
      <c r="O310" s="58" t="str">
        <f>IFERROR(VLOOKUP($B310,OverallResults!$B$3:$BB$492,14,FALSE),"")</f>
        <v/>
      </c>
      <c r="P310" s="58" t="str">
        <f>IFERROR(VLOOKUP($B310,OverallResults!$B$3:$BB$492,15,FALSE),"")</f>
        <v/>
      </c>
      <c r="Q310" s="58" t="str">
        <f>IFERROR(VLOOKUP($B310,OverallResults!$B$3:$BB$492,16,FALSE),"")</f>
        <v/>
      </c>
      <c r="R310" s="58" t="str">
        <f>IFERROR(VLOOKUP($B310,OverallResults!$B$3:$BB$492,17,FALSE),"")</f>
        <v/>
      </c>
      <c r="S310" s="170" t="str">
        <f t="shared" si="8"/>
        <v>N/A</v>
      </c>
      <c r="T310" s="170" t="e">
        <f t="shared" si="9"/>
        <v>#VALUE!</v>
      </c>
      <c r="U310" s="359" t="str">
        <f>IFERROR(VLOOKUP($D310,EntryList!$B$3:$S$291,18,FALSE),"")</f>
        <v/>
      </c>
      <c r="V310" s="359" t="str">
        <f>IFERROR(VLOOKUP($D310,EntryList!$B$3:$S$291,17,FALSE),"")</f>
        <v/>
      </c>
    </row>
    <row r="311" spans="2:22">
      <c r="B311" s="59">
        <v>306</v>
      </c>
      <c r="C311" s="59" t="str">
        <f>IFERROR(VLOOKUP($B311,OverallResults!$B$3:$Z$508,2,FALSE),"")</f>
        <v>DNF</v>
      </c>
      <c r="D311" s="149" t="str">
        <f>IFERROR(VLOOKUP($B311,OverallResults!$B$3:$Z$508,3,FALSE),"")</f>
        <v/>
      </c>
      <c r="E311" s="146" t="str">
        <f>IFERROR(VLOOKUP(C311,SeriesPoints!$A$2:$B$51,2,FALSE),"")</f>
        <v/>
      </c>
      <c r="F311" s="148" t="str">
        <f>IFERROR(VLOOKUP($D311,EntryList!$B$3:$V$291,21,FALSE),"")</f>
        <v/>
      </c>
      <c r="G311" s="100" t="str">
        <f>IFERROR(VLOOKUP($D311,EntryList!$B$3:$N$596,5,FALSE),"")</f>
        <v/>
      </c>
      <c r="H311" s="145" t="str">
        <f>IFERROR(VLOOKUP($D311,EntryList!$B$3:$N$596,6,FALSE),"")</f>
        <v/>
      </c>
      <c r="I311" s="331" t="str">
        <f>IFERROR(VLOOKUP($B311,OverallResults!$B$3:$Z$492,8,FALSE),"")</f>
        <v/>
      </c>
      <c r="J311" s="58" t="str">
        <f>IFERROR(VLOOKUP($B311,OverallResults!$B$3:$BB$492,9,FALSE),"")</f>
        <v/>
      </c>
      <c r="K311" s="58" t="str">
        <f>IFERROR(VLOOKUP($B311,OverallResults!$B$3:$BB$492,10,FALSE),"")</f>
        <v/>
      </c>
      <c r="L311" s="58" t="str">
        <f>IFERROR(VLOOKUP($B311,OverallResults!$B$3:$BB$492,11,FALSE),"")</f>
        <v/>
      </c>
      <c r="M311" s="58" t="str">
        <f>IFERROR(VLOOKUP($B311,OverallResults!$B$3:$BB$492,12,FALSE),"")</f>
        <v/>
      </c>
      <c r="N311" s="58" t="str">
        <f>IFERROR(VLOOKUP($B311,OverallResults!$B$3:$BB$492,13,FALSE),"")</f>
        <v/>
      </c>
      <c r="O311" s="58" t="str">
        <f>IFERROR(VLOOKUP($B311,OverallResults!$B$3:$BB$492,14,FALSE),"")</f>
        <v/>
      </c>
      <c r="P311" s="58" t="str">
        <f>IFERROR(VLOOKUP($B311,OverallResults!$B$3:$BB$492,15,FALSE),"")</f>
        <v/>
      </c>
      <c r="Q311" s="58" t="str">
        <f>IFERROR(VLOOKUP($B311,OverallResults!$B$3:$BB$492,16,FALSE),"")</f>
        <v/>
      </c>
      <c r="R311" s="58" t="str">
        <f>IFERROR(VLOOKUP($B311,OverallResults!$B$3:$BB$492,17,FALSE),"")</f>
        <v/>
      </c>
      <c r="S311" s="170" t="str">
        <f t="shared" si="8"/>
        <v>N/A</v>
      </c>
      <c r="T311" s="170" t="e">
        <f t="shared" si="9"/>
        <v>#VALUE!</v>
      </c>
      <c r="U311" s="359" t="str">
        <f>IFERROR(VLOOKUP($D311,EntryList!$B$3:$S$291,18,FALSE),"")</f>
        <v/>
      </c>
      <c r="V311" s="359" t="str">
        <f>IFERROR(VLOOKUP($D311,EntryList!$B$3:$S$291,17,FALSE),"")</f>
        <v/>
      </c>
    </row>
    <row r="312" spans="2:22">
      <c r="B312" s="59">
        <v>307</v>
      </c>
      <c r="C312" s="59" t="str">
        <f>IFERROR(VLOOKUP($B312,OverallResults!$B$3:$Z$508,2,FALSE),"")</f>
        <v>DNF</v>
      </c>
      <c r="D312" s="149" t="str">
        <f>IFERROR(VLOOKUP($B312,OverallResults!$B$3:$Z$508,3,FALSE),"")</f>
        <v/>
      </c>
      <c r="E312" s="146" t="str">
        <f>IFERROR(VLOOKUP(C312,SeriesPoints!$A$2:$B$51,2,FALSE),"")</f>
        <v/>
      </c>
      <c r="F312" s="148" t="str">
        <f>IFERROR(VLOOKUP($D312,EntryList!$B$3:$V$291,21,FALSE),"")</f>
        <v/>
      </c>
      <c r="G312" s="100" t="str">
        <f>IFERROR(VLOOKUP($D312,EntryList!$B$3:$N$596,5,FALSE),"")</f>
        <v/>
      </c>
      <c r="H312" s="145" t="str">
        <f>IFERROR(VLOOKUP($D312,EntryList!$B$3:$N$596,6,FALSE),"")</f>
        <v/>
      </c>
      <c r="I312" s="331" t="str">
        <f>IFERROR(VLOOKUP($B312,OverallResults!$B$3:$Z$492,8,FALSE),"")</f>
        <v/>
      </c>
      <c r="J312" s="58" t="str">
        <f>IFERROR(VLOOKUP($B312,OverallResults!$B$3:$BB$492,9,FALSE),"")</f>
        <v/>
      </c>
      <c r="K312" s="58" t="str">
        <f>IFERROR(VLOOKUP($B312,OverallResults!$B$3:$BB$492,10,FALSE),"")</f>
        <v/>
      </c>
      <c r="L312" s="58" t="str">
        <f>IFERROR(VLOOKUP($B312,OverallResults!$B$3:$BB$492,11,FALSE),"")</f>
        <v/>
      </c>
      <c r="M312" s="58" t="str">
        <f>IFERROR(VLOOKUP($B312,OverallResults!$B$3:$BB$492,12,FALSE),"")</f>
        <v/>
      </c>
      <c r="N312" s="58" t="str">
        <f>IFERROR(VLOOKUP($B312,OverallResults!$B$3:$BB$492,13,FALSE),"")</f>
        <v/>
      </c>
      <c r="O312" s="58" t="str">
        <f>IFERROR(VLOOKUP($B312,OverallResults!$B$3:$BB$492,14,FALSE),"")</f>
        <v/>
      </c>
      <c r="P312" s="58" t="str">
        <f>IFERROR(VLOOKUP($B312,OverallResults!$B$3:$BB$492,15,FALSE),"")</f>
        <v/>
      </c>
      <c r="Q312" s="58" t="str">
        <f>IFERROR(VLOOKUP($B312,OverallResults!$B$3:$BB$492,16,FALSE),"")</f>
        <v/>
      </c>
      <c r="R312" s="58" t="str">
        <f>IFERROR(VLOOKUP($B312,OverallResults!$B$3:$BB$492,17,FALSE),"")</f>
        <v/>
      </c>
      <c r="S312" s="170" t="str">
        <f t="shared" si="8"/>
        <v>N/A</v>
      </c>
      <c r="T312" s="170" t="e">
        <f t="shared" si="9"/>
        <v>#VALUE!</v>
      </c>
      <c r="U312" s="359" t="str">
        <f>IFERROR(VLOOKUP($D312,EntryList!$B$3:$S$291,18,FALSE),"")</f>
        <v/>
      </c>
      <c r="V312" s="359" t="str">
        <f>IFERROR(VLOOKUP($D312,EntryList!$B$3:$S$291,17,FALSE),"")</f>
        <v/>
      </c>
    </row>
    <row r="313" spans="2:22">
      <c r="B313" s="59">
        <v>308</v>
      </c>
      <c r="C313" s="59" t="str">
        <f>IFERROR(VLOOKUP($B313,OverallResults!$B$3:$Z$508,2,FALSE),"")</f>
        <v>DNF</v>
      </c>
      <c r="D313" s="149" t="str">
        <f>IFERROR(VLOOKUP($B313,OverallResults!$B$3:$Z$508,3,FALSE),"")</f>
        <v/>
      </c>
      <c r="E313" s="146" t="str">
        <f>IFERROR(VLOOKUP(C313,SeriesPoints!$A$2:$B$51,2,FALSE),"")</f>
        <v/>
      </c>
      <c r="F313" s="148" t="str">
        <f>IFERROR(VLOOKUP($D313,EntryList!$B$3:$V$291,21,FALSE),"")</f>
        <v/>
      </c>
      <c r="G313" s="100" t="str">
        <f>IFERROR(VLOOKUP($D313,EntryList!$B$3:$N$596,5,FALSE),"")</f>
        <v/>
      </c>
      <c r="H313" s="145" t="str">
        <f>IFERROR(VLOOKUP($D313,EntryList!$B$3:$N$596,6,FALSE),"")</f>
        <v/>
      </c>
      <c r="I313" s="331" t="str">
        <f>IFERROR(VLOOKUP($B313,OverallResults!$B$3:$Z$492,8,FALSE),"")</f>
        <v/>
      </c>
      <c r="J313" s="58" t="str">
        <f>IFERROR(VLOOKUP($B313,OverallResults!$B$3:$BB$492,9,FALSE),"")</f>
        <v/>
      </c>
      <c r="K313" s="58" t="str">
        <f>IFERROR(VLOOKUP($B313,OverallResults!$B$3:$BB$492,10,FALSE),"")</f>
        <v/>
      </c>
      <c r="L313" s="58" t="str">
        <f>IFERROR(VLOOKUP($B313,OverallResults!$B$3:$BB$492,11,FALSE),"")</f>
        <v/>
      </c>
      <c r="M313" s="58" t="str">
        <f>IFERROR(VLOOKUP($B313,OverallResults!$B$3:$BB$492,12,FALSE),"")</f>
        <v/>
      </c>
      <c r="N313" s="58" t="str">
        <f>IFERROR(VLOOKUP($B313,OverallResults!$B$3:$BB$492,13,FALSE),"")</f>
        <v/>
      </c>
      <c r="O313" s="58" t="str">
        <f>IFERROR(VLOOKUP($B313,OverallResults!$B$3:$BB$492,14,FALSE),"")</f>
        <v/>
      </c>
      <c r="P313" s="58" t="str">
        <f>IFERROR(VLOOKUP($B313,OverallResults!$B$3:$BB$492,15,FALSE),"")</f>
        <v/>
      </c>
      <c r="Q313" s="58" t="str">
        <f>IFERROR(VLOOKUP($B313,OverallResults!$B$3:$BB$492,16,FALSE),"")</f>
        <v/>
      </c>
      <c r="R313" s="58" t="str">
        <f>IFERROR(VLOOKUP($B313,OverallResults!$B$3:$BB$492,17,FALSE),"")</f>
        <v/>
      </c>
      <c r="S313" s="170" t="str">
        <f t="shared" si="8"/>
        <v>N/A</v>
      </c>
      <c r="T313" s="170" t="e">
        <f t="shared" si="9"/>
        <v>#VALUE!</v>
      </c>
      <c r="U313" s="359" t="str">
        <f>IFERROR(VLOOKUP($D313,EntryList!$B$3:$S$291,18,FALSE),"")</f>
        <v/>
      </c>
      <c r="V313" s="359" t="str">
        <f>IFERROR(VLOOKUP($D313,EntryList!$B$3:$S$291,17,FALSE),"")</f>
        <v/>
      </c>
    </row>
    <row r="314" spans="2:22">
      <c r="B314" s="59">
        <v>309</v>
      </c>
      <c r="C314" s="59" t="str">
        <f>IFERROR(VLOOKUP($B314,OverallResults!$B$3:$Z$508,2,FALSE),"")</f>
        <v>DNF</v>
      </c>
      <c r="D314" s="149" t="str">
        <f>IFERROR(VLOOKUP($B314,OverallResults!$B$3:$Z$508,3,FALSE),"")</f>
        <v/>
      </c>
      <c r="E314" s="146" t="str">
        <f>IFERROR(VLOOKUP(C314,SeriesPoints!$A$2:$B$51,2,FALSE),"")</f>
        <v/>
      </c>
      <c r="F314" s="148" t="str">
        <f>IFERROR(VLOOKUP($D314,EntryList!$B$3:$V$291,21,FALSE),"")</f>
        <v/>
      </c>
      <c r="G314" s="100" t="str">
        <f>IFERROR(VLOOKUP($D314,EntryList!$B$3:$N$596,5,FALSE),"")</f>
        <v/>
      </c>
      <c r="H314" s="145" t="str">
        <f>IFERROR(VLOOKUP($D314,EntryList!$B$3:$N$596,6,FALSE),"")</f>
        <v/>
      </c>
      <c r="I314" s="331" t="str">
        <f>IFERROR(VLOOKUP($B314,OverallResults!$B$3:$Z$492,8,FALSE),"")</f>
        <v/>
      </c>
      <c r="J314" s="58" t="str">
        <f>IFERROR(VLOOKUP($B314,OverallResults!$B$3:$BB$492,9,FALSE),"")</f>
        <v/>
      </c>
      <c r="K314" s="58" t="str">
        <f>IFERROR(VLOOKUP($B314,OverallResults!$B$3:$BB$492,10,FALSE),"")</f>
        <v/>
      </c>
      <c r="L314" s="58" t="str">
        <f>IFERROR(VLOOKUP($B314,OverallResults!$B$3:$BB$492,11,FALSE),"")</f>
        <v/>
      </c>
      <c r="M314" s="58" t="str">
        <f>IFERROR(VLOOKUP($B314,OverallResults!$B$3:$BB$492,12,FALSE),"")</f>
        <v/>
      </c>
      <c r="N314" s="58" t="str">
        <f>IFERROR(VLOOKUP($B314,OverallResults!$B$3:$BB$492,13,FALSE),"")</f>
        <v/>
      </c>
      <c r="O314" s="58" t="str">
        <f>IFERROR(VLOOKUP($B314,OverallResults!$B$3:$BB$492,14,FALSE),"")</f>
        <v/>
      </c>
      <c r="P314" s="58" t="str">
        <f>IFERROR(VLOOKUP($B314,OverallResults!$B$3:$BB$492,15,FALSE),"")</f>
        <v/>
      </c>
      <c r="Q314" s="58" t="str">
        <f>IFERROR(VLOOKUP($B314,OverallResults!$B$3:$BB$492,16,FALSE),"")</f>
        <v/>
      </c>
      <c r="R314" s="58" t="str">
        <f>IFERROR(VLOOKUP($B314,OverallResults!$B$3:$BB$492,17,FALSE),"")</f>
        <v/>
      </c>
      <c r="S314" s="170" t="str">
        <f t="shared" si="8"/>
        <v>N/A</v>
      </c>
      <c r="T314" s="170" t="e">
        <f t="shared" si="9"/>
        <v>#VALUE!</v>
      </c>
      <c r="U314" s="359" t="str">
        <f>IFERROR(VLOOKUP($D314,EntryList!$B$3:$S$291,18,FALSE),"")</f>
        <v/>
      </c>
      <c r="V314" s="359" t="str">
        <f>IFERROR(VLOOKUP($D314,EntryList!$B$3:$S$291,17,FALSE),"")</f>
        <v/>
      </c>
    </row>
    <row r="315" spans="2:22">
      <c r="B315" s="59">
        <v>310</v>
      </c>
      <c r="C315" s="59" t="str">
        <f>IFERROR(VLOOKUP($B315,OverallResults!$B$3:$Z$508,2,FALSE),"")</f>
        <v>DNF</v>
      </c>
      <c r="D315" s="149" t="str">
        <f>IFERROR(VLOOKUP($B315,OverallResults!$B$3:$Z$508,3,FALSE),"")</f>
        <v/>
      </c>
      <c r="E315" s="146" t="str">
        <f>IFERROR(VLOOKUP(C315,SeriesPoints!$A$2:$B$51,2,FALSE),"")</f>
        <v/>
      </c>
      <c r="F315" s="148" t="str">
        <f>IFERROR(VLOOKUP($D315,EntryList!$B$3:$V$291,21,FALSE),"")</f>
        <v/>
      </c>
      <c r="G315" s="100" t="str">
        <f>IFERROR(VLOOKUP($D315,EntryList!$B$3:$N$596,5,FALSE),"")</f>
        <v/>
      </c>
      <c r="H315" s="145" t="str">
        <f>IFERROR(VLOOKUP($D315,EntryList!$B$3:$N$596,6,FALSE),"")</f>
        <v/>
      </c>
      <c r="I315" s="331" t="str">
        <f>IFERROR(VLOOKUP($B315,OverallResults!$B$3:$Z$492,8,FALSE),"")</f>
        <v/>
      </c>
      <c r="J315" s="58" t="str">
        <f>IFERROR(VLOOKUP($B315,OverallResults!$B$3:$BB$492,9,FALSE),"")</f>
        <v/>
      </c>
      <c r="K315" s="58" t="str">
        <f>IFERROR(VLOOKUP($B315,OverallResults!$B$3:$BB$492,10,FALSE),"")</f>
        <v/>
      </c>
      <c r="L315" s="58" t="str">
        <f>IFERROR(VLOOKUP($B315,OverallResults!$B$3:$BB$492,11,FALSE),"")</f>
        <v/>
      </c>
      <c r="M315" s="58" t="str">
        <f>IFERROR(VLOOKUP($B315,OverallResults!$B$3:$BB$492,12,FALSE),"")</f>
        <v/>
      </c>
      <c r="N315" s="58" t="str">
        <f>IFERROR(VLOOKUP($B315,OverallResults!$B$3:$BB$492,13,FALSE),"")</f>
        <v/>
      </c>
      <c r="O315" s="58" t="str">
        <f>IFERROR(VLOOKUP($B315,OverallResults!$B$3:$BB$492,14,FALSE),"")</f>
        <v/>
      </c>
      <c r="P315" s="58" t="str">
        <f>IFERROR(VLOOKUP($B315,OverallResults!$B$3:$BB$492,15,FALSE),"")</f>
        <v/>
      </c>
      <c r="Q315" s="58" t="str">
        <f>IFERROR(VLOOKUP($B315,OverallResults!$B$3:$BB$492,16,FALSE),"")</f>
        <v/>
      </c>
      <c r="R315" s="58" t="str">
        <f>IFERROR(VLOOKUP($B315,OverallResults!$B$3:$BB$492,17,FALSE),"")</f>
        <v/>
      </c>
      <c r="S315" s="170" t="str">
        <f t="shared" si="8"/>
        <v>N/A</v>
      </c>
      <c r="T315" s="170" t="e">
        <f t="shared" si="9"/>
        <v>#VALUE!</v>
      </c>
      <c r="U315" s="359" t="str">
        <f>IFERROR(VLOOKUP($D315,EntryList!$B$3:$S$291,18,FALSE),"")</f>
        <v/>
      </c>
      <c r="V315" s="359" t="str">
        <f>IFERROR(VLOOKUP($D315,EntryList!$B$3:$S$291,17,FALSE),"")</f>
        <v/>
      </c>
    </row>
    <row r="316" spans="2:22">
      <c r="B316" s="59">
        <v>311</v>
      </c>
      <c r="C316" s="59" t="str">
        <f>IFERROR(VLOOKUP($B316,OverallResults!$B$3:$Z$508,2,FALSE),"")</f>
        <v>DNF</v>
      </c>
      <c r="D316" s="149" t="str">
        <f>IFERROR(VLOOKUP($B316,OverallResults!$B$3:$Z$508,3,FALSE),"")</f>
        <v/>
      </c>
      <c r="E316" s="146" t="str">
        <f>IFERROR(VLOOKUP(C316,SeriesPoints!$A$2:$B$51,2,FALSE),"")</f>
        <v/>
      </c>
      <c r="F316" s="148" t="str">
        <f>IFERROR(VLOOKUP($D316,EntryList!$B$3:$V$291,21,FALSE),"")</f>
        <v/>
      </c>
      <c r="G316" s="100" t="str">
        <f>IFERROR(VLOOKUP($D316,EntryList!$B$3:$N$596,5,FALSE),"")</f>
        <v/>
      </c>
      <c r="H316" s="145" t="str">
        <f>IFERROR(VLOOKUP($D316,EntryList!$B$3:$N$596,6,FALSE),"")</f>
        <v/>
      </c>
      <c r="I316" s="331" t="str">
        <f>IFERROR(VLOOKUP($B316,OverallResults!$B$3:$Z$492,8,FALSE),"")</f>
        <v/>
      </c>
      <c r="J316" s="58" t="str">
        <f>IFERROR(VLOOKUP($B316,OverallResults!$B$3:$BB$492,9,FALSE),"")</f>
        <v/>
      </c>
      <c r="K316" s="58" t="str">
        <f>IFERROR(VLOOKUP($B316,OverallResults!$B$3:$BB$492,10,FALSE),"")</f>
        <v/>
      </c>
      <c r="L316" s="58" t="str">
        <f>IFERROR(VLOOKUP($B316,OverallResults!$B$3:$BB$492,11,FALSE),"")</f>
        <v/>
      </c>
      <c r="M316" s="58" t="str">
        <f>IFERROR(VLOOKUP($B316,OverallResults!$B$3:$BB$492,12,FALSE),"")</f>
        <v/>
      </c>
      <c r="N316" s="58" t="str">
        <f>IFERROR(VLOOKUP($B316,OverallResults!$B$3:$BB$492,13,FALSE),"")</f>
        <v/>
      </c>
      <c r="O316" s="58" t="str">
        <f>IFERROR(VLOOKUP($B316,OverallResults!$B$3:$BB$492,14,FALSE),"")</f>
        <v/>
      </c>
      <c r="P316" s="58" t="str">
        <f>IFERROR(VLOOKUP($B316,OverallResults!$B$3:$BB$492,15,FALSE),"")</f>
        <v/>
      </c>
      <c r="Q316" s="58" t="str">
        <f>IFERROR(VLOOKUP($B316,OverallResults!$B$3:$BB$492,16,FALSE),"")</f>
        <v/>
      </c>
      <c r="R316" s="58" t="str">
        <f>IFERROR(VLOOKUP($B316,OverallResults!$B$3:$BB$492,17,FALSE),"")</f>
        <v/>
      </c>
      <c r="S316" s="170" t="str">
        <f t="shared" si="8"/>
        <v>N/A</v>
      </c>
      <c r="T316" s="170" t="e">
        <f t="shared" si="9"/>
        <v>#VALUE!</v>
      </c>
      <c r="U316" s="359" t="str">
        <f>IFERROR(VLOOKUP($D316,EntryList!$B$3:$S$291,18,FALSE),"")</f>
        <v/>
      </c>
      <c r="V316" s="359" t="str">
        <f>IFERROR(VLOOKUP($D316,EntryList!$B$3:$S$291,17,FALSE),"")</f>
        <v/>
      </c>
    </row>
    <row r="317" spans="2:22">
      <c r="B317" s="59">
        <v>312</v>
      </c>
      <c r="C317" s="59" t="str">
        <f>IFERROR(VLOOKUP($B317,OverallResults!$B$3:$Z$508,2,FALSE),"")</f>
        <v>DNF</v>
      </c>
      <c r="D317" s="149" t="str">
        <f>IFERROR(VLOOKUP($B317,OverallResults!$B$3:$Z$508,3,FALSE),"")</f>
        <v/>
      </c>
      <c r="E317" s="146" t="str">
        <f>IFERROR(VLOOKUP(C317,SeriesPoints!$A$2:$B$51,2,FALSE),"")</f>
        <v/>
      </c>
      <c r="F317" s="148" t="str">
        <f>IFERROR(VLOOKUP($D317,EntryList!$B$3:$V$291,21,FALSE),"")</f>
        <v/>
      </c>
      <c r="G317" s="100" t="str">
        <f>IFERROR(VLOOKUP($D317,EntryList!$B$3:$N$596,5,FALSE),"")</f>
        <v/>
      </c>
      <c r="H317" s="145" t="str">
        <f>IFERROR(VLOOKUP($D317,EntryList!$B$3:$N$596,6,FALSE),"")</f>
        <v/>
      </c>
      <c r="I317" s="331" t="str">
        <f>IFERROR(VLOOKUP($B317,OverallResults!$B$3:$Z$492,8,FALSE),"")</f>
        <v/>
      </c>
      <c r="J317" s="58" t="str">
        <f>IFERROR(VLOOKUP($B317,OverallResults!$B$3:$BB$492,9,FALSE),"")</f>
        <v/>
      </c>
      <c r="K317" s="58" t="str">
        <f>IFERROR(VLOOKUP($B317,OverallResults!$B$3:$BB$492,10,FALSE),"")</f>
        <v/>
      </c>
      <c r="L317" s="58" t="str">
        <f>IFERROR(VLOOKUP($B317,OverallResults!$B$3:$BB$492,11,FALSE),"")</f>
        <v/>
      </c>
      <c r="M317" s="58" t="str">
        <f>IFERROR(VLOOKUP($B317,OverallResults!$B$3:$BB$492,12,FALSE),"")</f>
        <v/>
      </c>
      <c r="N317" s="58" t="str">
        <f>IFERROR(VLOOKUP($B317,OverallResults!$B$3:$BB$492,13,FALSE),"")</f>
        <v/>
      </c>
      <c r="O317" s="58" t="str">
        <f>IFERROR(VLOOKUP($B317,OverallResults!$B$3:$BB$492,14,FALSE),"")</f>
        <v/>
      </c>
      <c r="P317" s="58" t="str">
        <f>IFERROR(VLOOKUP($B317,OverallResults!$B$3:$BB$492,15,FALSE),"")</f>
        <v/>
      </c>
      <c r="Q317" s="58" t="str">
        <f>IFERROR(VLOOKUP($B317,OverallResults!$B$3:$BB$492,16,FALSE),"")</f>
        <v/>
      </c>
      <c r="R317" s="58" t="str">
        <f>IFERROR(VLOOKUP($B317,OverallResults!$B$3:$BB$492,17,FALSE),"")</f>
        <v/>
      </c>
      <c r="S317" s="170" t="str">
        <f t="shared" si="8"/>
        <v>N/A</v>
      </c>
      <c r="T317" s="170" t="e">
        <f t="shared" si="9"/>
        <v>#VALUE!</v>
      </c>
      <c r="U317" s="359" t="str">
        <f>IFERROR(VLOOKUP($D317,EntryList!$B$3:$S$291,18,FALSE),"")</f>
        <v/>
      </c>
      <c r="V317" s="359" t="str">
        <f>IFERROR(VLOOKUP($D317,EntryList!$B$3:$S$291,17,FALSE),"")</f>
        <v/>
      </c>
    </row>
    <row r="318" spans="2:22">
      <c r="B318" s="59">
        <v>313</v>
      </c>
      <c r="C318" s="59" t="str">
        <f>IFERROR(VLOOKUP($B318,OverallResults!$B$3:$Z$508,2,FALSE),"")</f>
        <v>DNF</v>
      </c>
      <c r="D318" s="149" t="str">
        <f>IFERROR(VLOOKUP($B318,OverallResults!$B$3:$Z$508,3,FALSE),"")</f>
        <v/>
      </c>
      <c r="E318" s="146" t="str">
        <f>IFERROR(VLOOKUP(C318,SeriesPoints!$A$2:$B$51,2,FALSE),"")</f>
        <v/>
      </c>
      <c r="F318" s="148" t="str">
        <f>IFERROR(VLOOKUP($D318,EntryList!$B$3:$V$291,21,FALSE),"")</f>
        <v/>
      </c>
      <c r="G318" s="100" t="str">
        <f>IFERROR(VLOOKUP($D318,EntryList!$B$3:$N$596,5,FALSE),"")</f>
        <v/>
      </c>
      <c r="H318" s="145" t="str">
        <f>IFERROR(VLOOKUP($D318,EntryList!$B$3:$N$596,6,FALSE),"")</f>
        <v/>
      </c>
      <c r="I318" s="331" t="str">
        <f>IFERROR(VLOOKUP($B318,OverallResults!$B$3:$Z$492,8,FALSE),"")</f>
        <v/>
      </c>
      <c r="J318" s="58" t="str">
        <f>IFERROR(VLOOKUP($B318,OverallResults!$B$3:$BB$492,9,FALSE),"")</f>
        <v/>
      </c>
      <c r="K318" s="58" t="str">
        <f>IFERROR(VLOOKUP($B318,OverallResults!$B$3:$BB$492,10,FALSE),"")</f>
        <v/>
      </c>
      <c r="L318" s="58" t="str">
        <f>IFERROR(VLOOKUP($B318,OverallResults!$B$3:$BB$492,11,FALSE),"")</f>
        <v/>
      </c>
      <c r="M318" s="58" t="str">
        <f>IFERROR(VLOOKUP($B318,OverallResults!$B$3:$BB$492,12,FALSE),"")</f>
        <v/>
      </c>
      <c r="N318" s="58" t="str">
        <f>IFERROR(VLOOKUP($B318,OverallResults!$B$3:$BB$492,13,FALSE),"")</f>
        <v/>
      </c>
      <c r="O318" s="58" t="str">
        <f>IFERROR(VLOOKUP($B318,OverallResults!$B$3:$BB$492,14,FALSE),"")</f>
        <v/>
      </c>
      <c r="P318" s="58" t="str">
        <f>IFERROR(VLOOKUP($B318,OverallResults!$B$3:$BB$492,15,FALSE),"")</f>
        <v/>
      </c>
      <c r="Q318" s="58" t="str">
        <f>IFERROR(VLOOKUP($B318,OverallResults!$B$3:$BB$492,16,FALSE),"")</f>
        <v/>
      </c>
      <c r="R318" s="58" t="str">
        <f>IFERROR(VLOOKUP($B318,OverallResults!$B$3:$BB$492,17,FALSE),"")</f>
        <v/>
      </c>
      <c r="S318" s="170" t="str">
        <f t="shared" si="8"/>
        <v>N/A</v>
      </c>
      <c r="T318" s="170" t="e">
        <f t="shared" si="9"/>
        <v>#VALUE!</v>
      </c>
      <c r="U318" s="359" t="str">
        <f>IFERROR(VLOOKUP($D318,EntryList!$B$3:$S$291,18,FALSE),"")</f>
        <v/>
      </c>
      <c r="V318" s="359" t="str">
        <f>IFERROR(VLOOKUP($D318,EntryList!$B$3:$S$291,17,FALSE),"")</f>
        <v/>
      </c>
    </row>
    <row r="319" spans="2:22">
      <c r="B319" s="59">
        <v>314</v>
      </c>
      <c r="C319" s="59" t="str">
        <f>IFERROR(VLOOKUP($B319,OverallResults!$B$3:$Z$508,2,FALSE),"")</f>
        <v>DNF</v>
      </c>
      <c r="D319" s="149" t="str">
        <f>IFERROR(VLOOKUP($B319,OverallResults!$B$3:$Z$508,3,FALSE),"")</f>
        <v/>
      </c>
      <c r="E319" s="146" t="str">
        <f>IFERROR(VLOOKUP(C319,SeriesPoints!$A$2:$B$51,2,FALSE),"")</f>
        <v/>
      </c>
      <c r="F319" s="148" t="str">
        <f>IFERROR(VLOOKUP($D319,EntryList!$B$3:$V$291,21,FALSE),"")</f>
        <v/>
      </c>
      <c r="G319" s="100" t="str">
        <f>IFERROR(VLOOKUP($D319,EntryList!$B$3:$N$596,5,FALSE),"")</f>
        <v/>
      </c>
      <c r="H319" s="145" t="str">
        <f>IFERROR(VLOOKUP($D319,EntryList!$B$3:$N$596,6,FALSE),"")</f>
        <v/>
      </c>
      <c r="I319" s="331" t="str">
        <f>IFERROR(VLOOKUP($B319,OverallResults!$B$3:$Z$492,8,FALSE),"")</f>
        <v/>
      </c>
      <c r="J319" s="58" t="str">
        <f>IFERROR(VLOOKUP($B319,OverallResults!$B$3:$BB$492,9,FALSE),"")</f>
        <v/>
      </c>
      <c r="K319" s="58" t="str">
        <f>IFERROR(VLOOKUP($B319,OverallResults!$B$3:$BB$492,10,FALSE),"")</f>
        <v/>
      </c>
      <c r="L319" s="58" t="str">
        <f>IFERROR(VLOOKUP($B319,OverallResults!$B$3:$BB$492,11,FALSE),"")</f>
        <v/>
      </c>
      <c r="M319" s="58" t="str">
        <f>IFERROR(VLOOKUP($B319,OverallResults!$B$3:$BB$492,12,FALSE),"")</f>
        <v/>
      </c>
      <c r="N319" s="58" t="str">
        <f>IFERROR(VLOOKUP($B319,OverallResults!$B$3:$BB$492,13,FALSE),"")</f>
        <v/>
      </c>
      <c r="O319" s="58" t="str">
        <f>IFERROR(VLOOKUP($B319,OverallResults!$B$3:$BB$492,14,FALSE),"")</f>
        <v/>
      </c>
      <c r="P319" s="58" t="str">
        <f>IFERROR(VLOOKUP($B319,OverallResults!$B$3:$BB$492,15,FALSE),"")</f>
        <v/>
      </c>
      <c r="Q319" s="58" t="str">
        <f>IFERROR(VLOOKUP($B319,OverallResults!$B$3:$BB$492,16,FALSE),"")</f>
        <v/>
      </c>
      <c r="R319" s="58" t="str">
        <f>IFERROR(VLOOKUP($B319,OverallResults!$B$3:$BB$492,17,FALSE),"")</f>
        <v/>
      </c>
      <c r="S319" s="170" t="str">
        <f t="shared" si="8"/>
        <v>N/A</v>
      </c>
      <c r="T319" s="170" t="e">
        <f t="shared" si="9"/>
        <v>#VALUE!</v>
      </c>
      <c r="U319" s="359" t="str">
        <f>IFERROR(VLOOKUP($D319,EntryList!$B$3:$S$291,18,FALSE),"")</f>
        <v/>
      </c>
      <c r="V319" s="359" t="str">
        <f>IFERROR(VLOOKUP($D319,EntryList!$B$3:$S$291,17,FALSE),"")</f>
        <v/>
      </c>
    </row>
    <row r="320" spans="2:22">
      <c r="B320" s="59">
        <v>315</v>
      </c>
      <c r="C320" s="59" t="str">
        <f>IFERROR(VLOOKUP($B320,OverallResults!$B$3:$Z$508,2,FALSE),"")</f>
        <v>DNF</v>
      </c>
      <c r="D320" s="149" t="str">
        <f>IFERROR(VLOOKUP($B320,OverallResults!$B$3:$Z$508,3,FALSE),"")</f>
        <v/>
      </c>
      <c r="E320" s="146" t="str">
        <f>IFERROR(VLOOKUP(C320,SeriesPoints!$A$2:$B$51,2,FALSE),"")</f>
        <v/>
      </c>
      <c r="F320" s="148" t="str">
        <f>IFERROR(VLOOKUP($D320,EntryList!$B$3:$V$291,21,FALSE),"")</f>
        <v/>
      </c>
      <c r="G320" s="100" t="str">
        <f>IFERROR(VLOOKUP($D320,EntryList!$B$3:$N$596,5,FALSE),"")</f>
        <v/>
      </c>
      <c r="H320" s="145" t="str">
        <f>IFERROR(VLOOKUP($D320,EntryList!$B$3:$N$596,6,FALSE),"")</f>
        <v/>
      </c>
      <c r="I320" s="331" t="str">
        <f>IFERROR(VLOOKUP($B320,OverallResults!$B$3:$Z$492,8,FALSE),"")</f>
        <v/>
      </c>
      <c r="J320" s="58" t="str">
        <f>IFERROR(VLOOKUP($B320,OverallResults!$B$3:$BB$492,9,FALSE),"")</f>
        <v/>
      </c>
      <c r="K320" s="58" t="str">
        <f>IFERROR(VLOOKUP($B320,OverallResults!$B$3:$BB$492,10,FALSE),"")</f>
        <v/>
      </c>
      <c r="L320" s="58" t="str">
        <f>IFERROR(VLOOKUP($B320,OverallResults!$B$3:$BB$492,11,FALSE),"")</f>
        <v/>
      </c>
      <c r="M320" s="58" t="str">
        <f>IFERROR(VLOOKUP($B320,OverallResults!$B$3:$BB$492,12,FALSE),"")</f>
        <v/>
      </c>
      <c r="N320" s="58" t="str">
        <f>IFERROR(VLOOKUP($B320,OverallResults!$B$3:$BB$492,13,FALSE),"")</f>
        <v/>
      </c>
      <c r="O320" s="58" t="str">
        <f>IFERROR(VLOOKUP($B320,OverallResults!$B$3:$BB$492,14,FALSE),"")</f>
        <v/>
      </c>
      <c r="P320" s="58" t="str">
        <f>IFERROR(VLOOKUP($B320,OverallResults!$B$3:$BB$492,15,FALSE),"")</f>
        <v/>
      </c>
      <c r="Q320" s="58" t="str">
        <f>IFERROR(VLOOKUP($B320,OverallResults!$B$3:$BB$492,16,FALSE),"")</f>
        <v/>
      </c>
      <c r="R320" s="58" t="str">
        <f>IFERROR(VLOOKUP($B320,OverallResults!$B$3:$BB$492,17,FALSE),"")</f>
        <v/>
      </c>
      <c r="S320" s="170" t="str">
        <f t="shared" si="8"/>
        <v>N/A</v>
      </c>
      <c r="T320" s="170" t="e">
        <f t="shared" si="9"/>
        <v>#VALUE!</v>
      </c>
      <c r="U320" s="359" t="str">
        <f>IFERROR(VLOOKUP($D320,EntryList!$B$3:$S$291,18,FALSE),"")</f>
        <v/>
      </c>
      <c r="V320" s="359" t="str">
        <f>IFERROR(VLOOKUP($D320,EntryList!$B$3:$S$291,17,FALSE),"")</f>
        <v/>
      </c>
    </row>
    <row r="321" spans="2:22">
      <c r="B321" s="59">
        <v>316</v>
      </c>
      <c r="C321" s="59" t="str">
        <f>IFERROR(VLOOKUP($B321,OverallResults!$B$3:$Z$508,2,FALSE),"")</f>
        <v>DNF</v>
      </c>
      <c r="D321" s="149" t="str">
        <f>IFERROR(VLOOKUP($B321,OverallResults!$B$3:$Z$508,3,FALSE),"")</f>
        <v/>
      </c>
      <c r="E321" s="146" t="str">
        <f>IFERROR(VLOOKUP(C321,SeriesPoints!$A$2:$B$51,2,FALSE),"")</f>
        <v/>
      </c>
      <c r="F321" s="148" t="str">
        <f>IFERROR(VLOOKUP($D321,EntryList!$B$3:$V$291,21,FALSE),"")</f>
        <v/>
      </c>
      <c r="G321" s="100" t="str">
        <f>IFERROR(VLOOKUP($D321,EntryList!$B$3:$N$596,5,FALSE),"")</f>
        <v/>
      </c>
      <c r="H321" s="145" t="str">
        <f>IFERROR(VLOOKUP($D321,EntryList!$B$3:$N$596,6,FALSE),"")</f>
        <v/>
      </c>
      <c r="I321" s="331" t="str">
        <f>IFERROR(VLOOKUP($B321,OverallResults!$B$3:$Z$492,8,FALSE),"")</f>
        <v/>
      </c>
      <c r="J321" s="58" t="str">
        <f>IFERROR(VLOOKUP($B321,OverallResults!$B$3:$BB$492,9,FALSE),"")</f>
        <v/>
      </c>
      <c r="K321" s="58" t="str">
        <f>IFERROR(VLOOKUP($B321,OverallResults!$B$3:$BB$492,10,FALSE),"")</f>
        <v/>
      </c>
      <c r="L321" s="58" t="str">
        <f>IFERROR(VLOOKUP($B321,OverallResults!$B$3:$BB$492,11,FALSE),"")</f>
        <v/>
      </c>
      <c r="M321" s="58" t="str">
        <f>IFERROR(VLOOKUP($B321,OverallResults!$B$3:$BB$492,12,FALSE),"")</f>
        <v/>
      </c>
      <c r="N321" s="58" t="str">
        <f>IFERROR(VLOOKUP($B321,OverallResults!$B$3:$BB$492,13,FALSE),"")</f>
        <v/>
      </c>
      <c r="O321" s="58" t="str">
        <f>IFERROR(VLOOKUP($B321,OverallResults!$B$3:$BB$492,14,FALSE),"")</f>
        <v/>
      </c>
      <c r="P321" s="58" t="str">
        <f>IFERROR(VLOOKUP($B321,OverallResults!$B$3:$BB$492,15,FALSE),"")</f>
        <v/>
      </c>
      <c r="Q321" s="58" t="str">
        <f>IFERROR(VLOOKUP($B321,OverallResults!$B$3:$BB$492,16,FALSE),"")</f>
        <v/>
      </c>
      <c r="R321" s="58" t="str">
        <f>IFERROR(VLOOKUP($B321,OverallResults!$B$3:$BB$492,17,FALSE),"")</f>
        <v/>
      </c>
      <c r="S321" s="170" t="str">
        <f t="shared" si="8"/>
        <v>N/A</v>
      </c>
      <c r="T321" s="170" t="e">
        <f t="shared" si="9"/>
        <v>#VALUE!</v>
      </c>
      <c r="U321" s="359" t="str">
        <f>IFERROR(VLOOKUP($D321,EntryList!$B$3:$S$291,18,FALSE),"")</f>
        <v/>
      </c>
      <c r="V321" s="359" t="str">
        <f>IFERROR(VLOOKUP($D321,EntryList!$B$3:$S$291,17,FALSE),"")</f>
        <v/>
      </c>
    </row>
    <row r="322" spans="2:22">
      <c r="B322" s="59">
        <v>317</v>
      </c>
      <c r="C322" s="331" t="str">
        <f>IFERROR(VLOOKUP($B322,OverallResults!$B$3:$Z$508,2,FALSE),"")</f>
        <v>DNF</v>
      </c>
      <c r="D322" s="146" t="str">
        <f>IFERROR(VLOOKUP($B322,OverallResults!$B$3:$Z$508,3,FALSE),"")</f>
        <v/>
      </c>
      <c r="E322" s="146" t="str">
        <f>IFERROR(VLOOKUP(C322,SeriesPoints!$A$2:$B$51,2,FALSE),"")</f>
        <v/>
      </c>
      <c r="F322" s="148" t="str">
        <f>IFERROR(VLOOKUP($D322,EntryList!$B$3:$V$291,21,FALSE),"")</f>
        <v/>
      </c>
      <c r="G322" s="100" t="str">
        <f>IFERROR(VLOOKUP($D322,EntryList!$B$3:$N$596,5,FALSE),"")</f>
        <v/>
      </c>
      <c r="H322" s="145" t="str">
        <f>IFERROR(VLOOKUP($D322,EntryList!$B$3:$N$596,6,FALSE),"")</f>
        <v/>
      </c>
      <c r="I322" s="331" t="str">
        <f>IFERROR(VLOOKUP($B322,OverallResults!$B$3:$Z$492,8,FALSE),"")</f>
        <v/>
      </c>
      <c r="J322" s="58" t="str">
        <f>IFERROR(VLOOKUP($B322,OverallResults!$B$3:$BB$492,9,FALSE),"")</f>
        <v/>
      </c>
      <c r="K322" s="58" t="str">
        <f>IFERROR(VLOOKUP($B322,OverallResults!$B$3:$BB$492,10,FALSE),"")</f>
        <v/>
      </c>
      <c r="L322" s="58" t="str">
        <f>IFERROR(VLOOKUP($B322,OverallResults!$B$3:$BB$492,11,FALSE),"")</f>
        <v/>
      </c>
      <c r="M322" s="58" t="str">
        <f>IFERROR(VLOOKUP($B322,OverallResults!$B$3:$BB$492,12,FALSE),"")</f>
        <v/>
      </c>
      <c r="N322" s="58" t="str">
        <f>IFERROR(VLOOKUP($B322,OverallResults!$B$3:$BB$492,13,FALSE),"")</f>
        <v/>
      </c>
      <c r="O322" s="58" t="str">
        <f>IFERROR(VLOOKUP($B322,OverallResults!$B$3:$BB$492,14,FALSE),"")</f>
        <v/>
      </c>
      <c r="P322" s="58" t="str">
        <f>IFERROR(VLOOKUP($B322,OverallResults!$B$3:$BB$492,15,FALSE),"")</f>
        <v/>
      </c>
      <c r="Q322" s="58" t="str">
        <f>IFERROR(VLOOKUP($B322,OverallResults!$B$3:$BB$492,16,FALSE),"")</f>
        <v/>
      </c>
      <c r="R322" s="58" t="str">
        <f>IFERROR(VLOOKUP($B322,OverallResults!$B$3:$BB$492,17,FALSE),"")</f>
        <v/>
      </c>
      <c r="S322" s="170" t="e">
        <f t="shared" ref="S322:S353" si="10">R322-R321</f>
        <v>#VALUE!</v>
      </c>
      <c r="T322" s="170" t="e">
        <f t="shared" ref="T322:T353" si="11">R322-R$6</f>
        <v>#VALUE!</v>
      </c>
      <c r="U322" s="359" t="str">
        <f>IFERROR(VLOOKUP($D322,EntryList!$B$3:$S$291,18,FALSE),"")</f>
        <v/>
      </c>
      <c r="V322" s="359" t="str">
        <f>IFERROR(VLOOKUP($D322,EntryList!$B$3:$S$291,17,FALSE),"")</f>
        <v/>
      </c>
    </row>
    <row r="323" spans="2:22">
      <c r="B323" s="59">
        <v>318</v>
      </c>
      <c r="C323" s="331" t="str">
        <f>IFERROR(VLOOKUP($B323,OverallResults!$B$3:$Z$508,2,FALSE),"")</f>
        <v>DNF</v>
      </c>
      <c r="D323" s="146" t="str">
        <f>IFERROR(VLOOKUP($B323,OverallResults!$B$3:$Z$508,3,FALSE),"")</f>
        <v/>
      </c>
      <c r="E323" s="146" t="str">
        <f>IFERROR(VLOOKUP(C323,SeriesPoints!$A$2:$B$51,2,FALSE),"")</f>
        <v/>
      </c>
      <c r="F323" s="148" t="str">
        <f>IFERROR(VLOOKUP($D323,EntryList!$B$3:$V$291,21,FALSE),"")</f>
        <v/>
      </c>
      <c r="G323" s="100" t="str">
        <f>IFERROR(VLOOKUP($D323,EntryList!$B$3:$N$596,5,FALSE),"")</f>
        <v/>
      </c>
      <c r="H323" s="145" t="str">
        <f>IFERROR(VLOOKUP($D323,EntryList!$B$3:$N$596,6,FALSE),"")</f>
        <v/>
      </c>
      <c r="I323" s="331" t="str">
        <f>IFERROR(VLOOKUP($B323,OverallResults!$B$3:$Z$492,8,FALSE),"")</f>
        <v/>
      </c>
      <c r="J323" s="58" t="str">
        <f>IFERROR(VLOOKUP($B323,OverallResults!$B$3:$BB$492,9,FALSE),"")</f>
        <v/>
      </c>
      <c r="K323" s="58" t="str">
        <f>IFERROR(VLOOKUP($B323,OverallResults!$B$3:$BB$492,10,FALSE),"")</f>
        <v/>
      </c>
      <c r="L323" s="58" t="str">
        <f>IFERROR(VLOOKUP($B323,OverallResults!$B$3:$BB$492,11,FALSE),"")</f>
        <v/>
      </c>
      <c r="M323" s="58" t="str">
        <f>IFERROR(VLOOKUP($B323,OverallResults!$B$3:$BB$492,12,FALSE),"")</f>
        <v/>
      </c>
      <c r="N323" s="58" t="str">
        <f>IFERROR(VLOOKUP($B323,OverallResults!$B$3:$BB$492,13,FALSE),"")</f>
        <v/>
      </c>
      <c r="O323" s="58" t="str">
        <f>IFERROR(VLOOKUP($B323,OverallResults!$B$3:$BB$492,14,FALSE),"")</f>
        <v/>
      </c>
      <c r="P323" s="58" t="str">
        <f>IFERROR(VLOOKUP($B323,OverallResults!$B$3:$BB$492,15,FALSE),"")</f>
        <v/>
      </c>
      <c r="Q323" s="58" t="str">
        <f>IFERROR(VLOOKUP($B323,OverallResults!$B$3:$BB$492,16,FALSE),"")</f>
        <v/>
      </c>
      <c r="R323" s="58" t="str">
        <f>IFERROR(VLOOKUP($B323,OverallResults!$B$3:$BB$492,17,FALSE),"")</f>
        <v/>
      </c>
      <c r="S323" s="170" t="e">
        <f t="shared" si="10"/>
        <v>#VALUE!</v>
      </c>
      <c r="T323" s="170" t="e">
        <f t="shared" si="11"/>
        <v>#VALUE!</v>
      </c>
      <c r="U323" s="359" t="str">
        <f>IFERROR(VLOOKUP($D323,EntryList!$B$3:$S$291,18,FALSE),"")</f>
        <v/>
      </c>
      <c r="V323" s="359" t="str">
        <f>IFERROR(VLOOKUP($D323,EntryList!$B$3:$S$291,17,FALSE),"")</f>
        <v/>
      </c>
    </row>
    <row r="324" spans="2:22">
      <c r="B324" s="59">
        <v>319</v>
      </c>
      <c r="C324" s="331" t="str">
        <f>IFERROR(VLOOKUP($B324,OverallResults!$B$3:$Z$508,2,FALSE),"")</f>
        <v>DNF</v>
      </c>
      <c r="D324" s="146" t="str">
        <f>IFERROR(VLOOKUP($B324,OverallResults!$B$3:$Z$508,3,FALSE),"")</f>
        <v/>
      </c>
      <c r="E324" s="146" t="str">
        <f>IFERROR(VLOOKUP(C324,SeriesPoints!$A$2:$B$51,2,FALSE),"")</f>
        <v/>
      </c>
      <c r="F324" s="148" t="str">
        <f>IFERROR(VLOOKUP($D324,EntryList!$B$3:$V$291,21,FALSE),"")</f>
        <v/>
      </c>
      <c r="G324" s="100" t="str">
        <f>IFERROR(VLOOKUP($D324,EntryList!$B$3:$N$596,5,FALSE),"")</f>
        <v/>
      </c>
      <c r="H324" s="145" t="str">
        <f>IFERROR(VLOOKUP($D324,EntryList!$B$3:$N$596,6,FALSE),"")</f>
        <v/>
      </c>
      <c r="I324" s="331" t="str">
        <f>IFERROR(VLOOKUP($B324,OverallResults!$B$3:$Z$492,8,FALSE),"")</f>
        <v/>
      </c>
      <c r="J324" s="58" t="str">
        <f>IFERROR(VLOOKUP($B324,OverallResults!$B$3:$BB$492,9,FALSE),"")</f>
        <v/>
      </c>
      <c r="K324" s="58" t="str">
        <f>IFERROR(VLOOKUP($B324,OverallResults!$B$3:$BB$492,10,FALSE),"")</f>
        <v/>
      </c>
      <c r="L324" s="58" t="str">
        <f>IFERROR(VLOOKUP($B324,OverallResults!$B$3:$BB$492,11,FALSE),"")</f>
        <v/>
      </c>
      <c r="M324" s="58" t="str">
        <f>IFERROR(VLOOKUP($B324,OverallResults!$B$3:$BB$492,12,FALSE),"")</f>
        <v/>
      </c>
      <c r="N324" s="58" t="str">
        <f>IFERROR(VLOOKUP($B324,OverallResults!$B$3:$BB$492,13,FALSE),"")</f>
        <v/>
      </c>
      <c r="O324" s="58" t="str">
        <f>IFERROR(VLOOKUP($B324,OverallResults!$B$3:$BB$492,14,FALSE),"")</f>
        <v/>
      </c>
      <c r="P324" s="58" t="str">
        <f>IFERROR(VLOOKUP($B324,OverallResults!$B$3:$BB$492,15,FALSE),"")</f>
        <v/>
      </c>
      <c r="Q324" s="58" t="str">
        <f>IFERROR(VLOOKUP($B324,OverallResults!$B$3:$BB$492,16,FALSE),"")</f>
        <v/>
      </c>
      <c r="R324" s="58" t="str">
        <f>IFERROR(VLOOKUP($B324,OverallResults!$B$3:$BB$492,17,FALSE),"")</f>
        <v/>
      </c>
      <c r="S324" s="170" t="e">
        <f t="shared" si="10"/>
        <v>#VALUE!</v>
      </c>
      <c r="T324" s="170" t="e">
        <f t="shared" si="11"/>
        <v>#VALUE!</v>
      </c>
      <c r="U324" s="359" t="str">
        <f>IFERROR(VLOOKUP($D324,EntryList!$B$3:$S$291,18,FALSE),"")</f>
        <v/>
      </c>
      <c r="V324" s="359" t="str">
        <f>IFERROR(VLOOKUP($D324,EntryList!$B$3:$S$291,17,FALSE),"")</f>
        <v/>
      </c>
    </row>
    <row r="325" spans="2:22">
      <c r="B325" s="59">
        <v>320</v>
      </c>
      <c r="C325" s="331" t="str">
        <f>IFERROR(VLOOKUP($B325,OverallResults!$B$3:$Z$508,2,FALSE),"")</f>
        <v>DNF</v>
      </c>
      <c r="D325" s="146" t="str">
        <f>IFERROR(VLOOKUP($B325,OverallResults!$B$3:$Z$508,3,FALSE),"")</f>
        <v/>
      </c>
      <c r="E325" s="146" t="str">
        <f>IFERROR(VLOOKUP(C325,SeriesPoints!$A$2:$B$51,2,FALSE),"")</f>
        <v/>
      </c>
      <c r="F325" s="148" t="str">
        <f>IFERROR(VLOOKUP($D325,EntryList!$B$3:$V$291,21,FALSE),"")</f>
        <v/>
      </c>
      <c r="G325" s="100" t="str">
        <f>IFERROR(VLOOKUP($D325,EntryList!$B$3:$N$596,5,FALSE),"")</f>
        <v/>
      </c>
      <c r="H325" s="145" t="str">
        <f>IFERROR(VLOOKUP($D325,EntryList!$B$3:$N$596,6,FALSE),"")</f>
        <v/>
      </c>
      <c r="I325" s="331" t="str">
        <f>IFERROR(VLOOKUP($B325,OverallResults!$B$3:$Z$492,8,FALSE),"")</f>
        <v/>
      </c>
      <c r="J325" s="58" t="str">
        <f>IFERROR(VLOOKUP($B325,OverallResults!$B$3:$BB$492,9,FALSE),"")</f>
        <v/>
      </c>
      <c r="K325" s="58" t="str">
        <f>IFERROR(VLOOKUP($B325,OverallResults!$B$3:$BB$492,10,FALSE),"")</f>
        <v/>
      </c>
      <c r="L325" s="58" t="str">
        <f>IFERROR(VLOOKUP($B325,OverallResults!$B$3:$BB$492,11,FALSE),"")</f>
        <v/>
      </c>
      <c r="M325" s="58" t="str">
        <f>IFERROR(VLOOKUP($B325,OverallResults!$B$3:$BB$492,12,FALSE),"")</f>
        <v/>
      </c>
      <c r="N325" s="58" t="str">
        <f>IFERROR(VLOOKUP($B325,OverallResults!$B$3:$BB$492,13,FALSE),"")</f>
        <v/>
      </c>
      <c r="O325" s="58" t="str">
        <f>IFERROR(VLOOKUP($B325,OverallResults!$B$3:$BB$492,14,FALSE),"")</f>
        <v/>
      </c>
      <c r="P325" s="58" t="str">
        <f>IFERROR(VLOOKUP($B325,OverallResults!$B$3:$BB$492,15,FALSE),"")</f>
        <v/>
      </c>
      <c r="Q325" s="58" t="str">
        <f>IFERROR(VLOOKUP($B325,OverallResults!$B$3:$BB$492,16,FALSE),"")</f>
        <v/>
      </c>
      <c r="R325" s="58" t="str">
        <f>IFERROR(VLOOKUP($B325,OverallResults!$B$3:$BB$492,17,FALSE),"")</f>
        <v/>
      </c>
      <c r="S325" s="170" t="e">
        <f t="shared" si="10"/>
        <v>#VALUE!</v>
      </c>
      <c r="T325" s="170" t="e">
        <f t="shared" si="11"/>
        <v>#VALUE!</v>
      </c>
      <c r="U325" s="359" t="str">
        <f>IFERROR(VLOOKUP($D325,EntryList!$B$3:$S$291,18,FALSE),"")</f>
        <v/>
      </c>
      <c r="V325" s="359" t="str">
        <f>IFERROR(VLOOKUP($D325,EntryList!$B$3:$S$291,17,FALSE),"")</f>
        <v/>
      </c>
    </row>
    <row r="326" spans="2:22">
      <c r="B326" s="59">
        <v>321</v>
      </c>
      <c r="C326" s="331" t="str">
        <f>IFERROR(VLOOKUP($B326,OverallResults!$B$3:$Z$508,2,FALSE),"")</f>
        <v>DNF</v>
      </c>
      <c r="D326" s="146" t="str">
        <f>IFERROR(VLOOKUP($B326,OverallResults!$B$3:$Z$508,3,FALSE),"")</f>
        <v/>
      </c>
      <c r="E326" s="146" t="str">
        <f>IFERROR(VLOOKUP(C326,SeriesPoints!$A$2:$B$51,2,FALSE),"")</f>
        <v/>
      </c>
      <c r="F326" s="148" t="str">
        <f>IFERROR(VLOOKUP($D326,EntryList!$B$3:$V$291,21,FALSE),"")</f>
        <v/>
      </c>
      <c r="G326" s="100" t="str">
        <f>IFERROR(VLOOKUP($D326,EntryList!$B$3:$N$596,5,FALSE),"")</f>
        <v/>
      </c>
      <c r="H326" s="145" t="str">
        <f>IFERROR(VLOOKUP($D326,EntryList!$B$3:$N$596,6,FALSE),"")</f>
        <v/>
      </c>
      <c r="I326" s="331" t="str">
        <f>IFERROR(VLOOKUP($B326,OverallResults!$B$3:$Z$492,8,FALSE),"")</f>
        <v/>
      </c>
      <c r="J326" s="58" t="str">
        <f>IFERROR(VLOOKUP($B326,OverallResults!$B$3:$BB$492,9,FALSE),"")</f>
        <v/>
      </c>
      <c r="K326" s="58" t="str">
        <f>IFERROR(VLOOKUP($B326,OverallResults!$B$3:$BB$492,10,FALSE),"")</f>
        <v/>
      </c>
      <c r="L326" s="58" t="str">
        <f>IFERROR(VLOOKUP($B326,OverallResults!$B$3:$BB$492,11,FALSE),"")</f>
        <v/>
      </c>
      <c r="M326" s="58" t="str">
        <f>IFERROR(VLOOKUP($B326,OverallResults!$B$3:$BB$492,12,FALSE),"")</f>
        <v/>
      </c>
      <c r="N326" s="58" t="str">
        <f>IFERROR(VLOOKUP($B326,OverallResults!$B$3:$BB$492,13,FALSE),"")</f>
        <v/>
      </c>
      <c r="O326" s="58" t="str">
        <f>IFERROR(VLOOKUP($B326,OverallResults!$B$3:$BB$492,14,FALSE),"")</f>
        <v/>
      </c>
      <c r="P326" s="58" t="str">
        <f>IFERROR(VLOOKUP($B326,OverallResults!$B$3:$BB$492,15,FALSE),"")</f>
        <v/>
      </c>
      <c r="Q326" s="58" t="str">
        <f>IFERROR(VLOOKUP($B326,OverallResults!$B$3:$BB$492,16,FALSE),"")</f>
        <v/>
      </c>
      <c r="R326" s="58" t="str">
        <f>IFERROR(VLOOKUP($B326,OverallResults!$B$3:$BB$492,17,FALSE),"")</f>
        <v/>
      </c>
      <c r="S326" s="170" t="e">
        <f t="shared" si="10"/>
        <v>#VALUE!</v>
      </c>
      <c r="T326" s="170" t="e">
        <f t="shared" si="11"/>
        <v>#VALUE!</v>
      </c>
      <c r="U326" s="359" t="str">
        <f>IFERROR(VLOOKUP($D326,EntryList!$B$3:$S$291,18,FALSE),"")</f>
        <v/>
      </c>
      <c r="V326" s="359" t="str">
        <f>IFERROR(VLOOKUP($D326,EntryList!$B$3:$S$291,17,FALSE),"")</f>
        <v/>
      </c>
    </row>
    <row r="327" spans="2:22">
      <c r="B327" s="59">
        <v>322</v>
      </c>
      <c r="C327" s="331" t="str">
        <f>IFERROR(VLOOKUP($B327,OverallResults!$B$3:$Z$508,2,FALSE),"")</f>
        <v>DNF</v>
      </c>
      <c r="D327" s="146" t="str">
        <f>IFERROR(VLOOKUP($B327,OverallResults!$B$3:$Z$508,3,FALSE),"")</f>
        <v/>
      </c>
      <c r="E327" s="146" t="str">
        <f>IFERROR(VLOOKUP(C327,SeriesPoints!$A$2:$B$51,2,FALSE),"")</f>
        <v/>
      </c>
      <c r="F327" s="148" t="str">
        <f>IFERROR(VLOOKUP($D327,EntryList!$B$3:$V$291,21,FALSE),"")</f>
        <v/>
      </c>
      <c r="G327" s="100" t="str">
        <f>IFERROR(VLOOKUP($D327,EntryList!$B$3:$N$596,5,FALSE),"")</f>
        <v/>
      </c>
      <c r="H327" s="145" t="str">
        <f>IFERROR(VLOOKUP($D327,EntryList!$B$3:$N$596,6,FALSE),"")</f>
        <v/>
      </c>
      <c r="I327" s="331" t="str">
        <f>IFERROR(VLOOKUP($B327,OverallResults!$B$3:$Z$492,8,FALSE),"")</f>
        <v/>
      </c>
      <c r="J327" s="58" t="str">
        <f>IFERROR(VLOOKUP($B327,OverallResults!$B$3:$BB$492,9,FALSE),"")</f>
        <v/>
      </c>
      <c r="K327" s="58" t="str">
        <f>IFERROR(VLOOKUP($B327,OverallResults!$B$3:$BB$492,10,FALSE),"")</f>
        <v/>
      </c>
      <c r="L327" s="58" t="str">
        <f>IFERROR(VLOOKUP($B327,OverallResults!$B$3:$BB$492,11,FALSE),"")</f>
        <v/>
      </c>
      <c r="M327" s="58" t="str">
        <f>IFERROR(VLOOKUP($B327,OverallResults!$B$3:$BB$492,12,FALSE),"")</f>
        <v/>
      </c>
      <c r="N327" s="58" t="str">
        <f>IFERROR(VLOOKUP($B327,OverallResults!$B$3:$BB$492,13,FALSE),"")</f>
        <v/>
      </c>
      <c r="O327" s="58" t="str">
        <f>IFERROR(VLOOKUP($B327,OverallResults!$B$3:$BB$492,14,FALSE),"")</f>
        <v/>
      </c>
      <c r="P327" s="58" t="str">
        <f>IFERROR(VLOOKUP($B327,OverallResults!$B$3:$BB$492,15,FALSE),"")</f>
        <v/>
      </c>
      <c r="Q327" s="58" t="str">
        <f>IFERROR(VLOOKUP($B327,OverallResults!$B$3:$BB$492,16,FALSE),"")</f>
        <v/>
      </c>
      <c r="R327" s="58" t="str">
        <f>IFERROR(VLOOKUP($B327,OverallResults!$B$3:$BB$492,17,FALSE),"")</f>
        <v/>
      </c>
      <c r="S327" s="170" t="e">
        <f t="shared" si="10"/>
        <v>#VALUE!</v>
      </c>
      <c r="T327" s="170" t="e">
        <f t="shared" si="11"/>
        <v>#VALUE!</v>
      </c>
      <c r="U327" s="359" t="str">
        <f>IFERROR(VLOOKUP($D327,EntryList!$B$3:$S$291,18,FALSE),"")</f>
        <v/>
      </c>
      <c r="V327" s="359" t="str">
        <f>IFERROR(VLOOKUP($D327,EntryList!$B$3:$S$291,17,FALSE),"")</f>
        <v/>
      </c>
    </row>
    <row r="328" spans="2:22">
      <c r="B328" s="59">
        <v>323</v>
      </c>
      <c r="C328" s="331" t="str">
        <f>IFERROR(VLOOKUP($B328,OverallResults!$B$3:$Z$508,2,FALSE),"")</f>
        <v>DNF</v>
      </c>
      <c r="D328" s="146" t="str">
        <f>IFERROR(VLOOKUP($B328,OverallResults!$B$3:$Z$508,3,FALSE),"")</f>
        <v/>
      </c>
      <c r="E328" s="146" t="str">
        <f>IFERROR(VLOOKUP(C328,SeriesPoints!$A$2:$B$51,2,FALSE),"")</f>
        <v/>
      </c>
      <c r="F328" s="148" t="str">
        <f>IFERROR(VLOOKUP($D328,EntryList!$B$3:$V$291,21,FALSE),"")</f>
        <v/>
      </c>
      <c r="G328" s="100" t="str">
        <f>IFERROR(VLOOKUP($D328,EntryList!$B$3:$N$596,5,FALSE),"")</f>
        <v/>
      </c>
      <c r="H328" s="145" t="str">
        <f>IFERROR(VLOOKUP($D328,EntryList!$B$3:$N$596,6,FALSE),"")</f>
        <v/>
      </c>
      <c r="I328" s="331" t="str">
        <f>IFERROR(VLOOKUP($B328,OverallResults!$B$3:$Z$492,8,FALSE),"")</f>
        <v/>
      </c>
      <c r="J328" s="58" t="str">
        <f>IFERROR(VLOOKUP($B328,OverallResults!$B$3:$BB$492,9,FALSE),"")</f>
        <v/>
      </c>
      <c r="K328" s="58" t="str">
        <f>IFERROR(VLOOKUP($B328,OverallResults!$B$3:$BB$492,10,FALSE),"")</f>
        <v/>
      </c>
      <c r="L328" s="58" t="str">
        <f>IFERROR(VLOOKUP($B328,OverallResults!$B$3:$BB$492,11,FALSE),"")</f>
        <v/>
      </c>
      <c r="M328" s="58" t="str">
        <f>IFERROR(VLOOKUP($B328,OverallResults!$B$3:$BB$492,12,FALSE),"")</f>
        <v/>
      </c>
      <c r="N328" s="58" t="str">
        <f>IFERROR(VLOOKUP($B328,OverallResults!$B$3:$BB$492,13,FALSE),"")</f>
        <v/>
      </c>
      <c r="O328" s="58" t="str">
        <f>IFERROR(VLOOKUP($B328,OverallResults!$B$3:$BB$492,14,FALSE),"")</f>
        <v/>
      </c>
      <c r="P328" s="58" t="str">
        <f>IFERROR(VLOOKUP($B328,OverallResults!$B$3:$BB$492,15,FALSE),"")</f>
        <v/>
      </c>
      <c r="Q328" s="58" t="str">
        <f>IFERROR(VLOOKUP($B328,OverallResults!$B$3:$BB$492,16,FALSE),"")</f>
        <v/>
      </c>
      <c r="R328" s="58" t="str">
        <f>IFERROR(VLOOKUP($B328,OverallResults!$B$3:$BB$492,17,FALSE),"")</f>
        <v/>
      </c>
      <c r="S328" s="170" t="e">
        <f t="shared" si="10"/>
        <v>#VALUE!</v>
      </c>
      <c r="T328" s="170" t="e">
        <f t="shared" si="11"/>
        <v>#VALUE!</v>
      </c>
      <c r="U328" s="359" t="str">
        <f>IFERROR(VLOOKUP($D328,EntryList!$B$3:$S$291,18,FALSE),"")</f>
        <v/>
      </c>
      <c r="V328" s="359" t="str">
        <f>IFERROR(VLOOKUP($D328,EntryList!$B$3:$S$291,17,FALSE),"")</f>
        <v/>
      </c>
    </row>
    <row r="329" spans="2:22">
      <c r="B329" s="59">
        <v>324</v>
      </c>
      <c r="C329" s="331" t="str">
        <f>IFERROR(VLOOKUP($B329,OverallResults!$B$3:$Z$508,2,FALSE),"")</f>
        <v>DNF</v>
      </c>
      <c r="D329" s="146" t="str">
        <f>IFERROR(VLOOKUP($B329,OverallResults!$B$3:$Z$508,3,FALSE),"")</f>
        <v/>
      </c>
      <c r="E329" s="146" t="str">
        <f>IFERROR(VLOOKUP(C329,SeriesPoints!$A$2:$B$51,2,FALSE),"")</f>
        <v/>
      </c>
      <c r="F329" s="148" t="str">
        <f>IFERROR(VLOOKUP($D329,EntryList!$B$3:$V$291,21,FALSE),"")</f>
        <v/>
      </c>
      <c r="G329" s="100" t="str">
        <f>IFERROR(VLOOKUP($D329,EntryList!$B$3:$N$596,5,FALSE),"")</f>
        <v/>
      </c>
      <c r="H329" s="145" t="str">
        <f>IFERROR(VLOOKUP($D329,EntryList!$B$3:$N$596,6,FALSE),"")</f>
        <v/>
      </c>
      <c r="I329" s="331" t="str">
        <f>IFERROR(VLOOKUP($B329,OverallResults!$B$3:$Z$492,8,FALSE),"")</f>
        <v/>
      </c>
      <c r="J329" s="58" t="str">
        <f>IFERROR(VLOOKUP($B329,OverallResults!$B$3:$BB$492,9,FALSE),"")</f>
        <v/>
      </c>
      <c r="K329" s="58" t="str">
        <f>IFERROR(VLOOKUP($B329,OverallResults!$B$3:$BB$492,10,FALSE),"")</f>
        <v/>
      </c>
      <c r="L329" s="58" t="str">
        <f>IFERROR(VLOOKUP($B329,OverallResults!$B$3:$BB$492,11,FALSE),"")</f>
        <v/>
      </c>
      <c r="M329" s="58" t="str">
        <f>IFERROR(VLOOKUP($B329,OverallResults!$B$3:$BB$492,12,FALSE),"")</f>
        <v/>
      </c>
      <c r="N329" s="58" t="str">
        <f>IFERROR(VLOOKUP($B329,OverallResults!$B$3:$BB$492,13,FALSE),"")</f>
        <v/>
      </c>
      <c r="O329" s="58" t="str">
        <f>IFERROR(VLOOKUP($B329,OverallResults!$B$3:$BB$492,14,FALSE),"")</f>
        <v/>
      </c>
      <c r="P329" s="58" t="str">
        <f>IFERROR(VLOOKUP($B329,OverallResults!$B$3:$BB$492,15,FALSE),"")</f>
        <v/>
      </c>
      <c r="Q329" s="58" t="str">
        <f>IFERROR(VLOOKUP($B329,OverallResults!$B$3:$BB$492,16,FALSE),"")</f>
        <v/>
      </c>
      <c r="R329" s="58" t="str">
        <f>IFERROR(VLOOKUP($B329,OverallResults!$B$3:$BB$492,17,FALSE),"")</f>
        <v/>
      </c>
      <c r="S329" s="170" t="e">
        <f t="shared" si="10"/>
        <v>#VALUE!</v>
      </c>
      <c r="T329" s="170" t="e">
        <f t="shared" si="11"/>
        <v>#VALUE!</v>
      </c>
      <c r="U329" s="359" t="str">
        <f>IFERROR(VLOOKUP($D329,EntryList!$B$3:$S$291,18,FALSE),"")</f>
        <v/>
      </c>
      <c r="V329" s="359" t="str">
        <f>IFERROR(VLOOKUP($D329,EntryList!$B$3:$S$291,17,FALSE),"")</f>
        <v/>
      </c>
    </row>
    <row r="330" spans="2:22">
      <c r="B330" s="59">
        <v>325</v>
      </c>
      <c r="C330" s="331" t="str">
        <f>IFERROR(VLOOKUP($B330,OverallResults!$B$3:$Z$508,2,FALSE),"")</f>
        <v>DNF</v>
      </c>
      <c r="D330" s="146" t="str">
        <f>IFERROR(VLOOKUP($B330,OverallResults!$B$3:$Z$508,3,FALSE),"")</f>
        <v/>
      </c>
      <c r="E330" s="146" t="str">
        <f>IFERROR(VLOOKUP(C330,SeriesPoints!$A$2:$B$51,2,FALSE),"")</f>
        <v/>
      </c>
      <c r="F330" s="148" t="str">
        <f>IFERROR(VLOOKUP($D330,EntryList!$B$3:$V$291,21,FALSE),"")</f>
        <v/>
      </c>
      <c r="G330" s="100" t="str">
        <f>IFERROR(VLOOKUP($D330,EntryList!$B$3:$N$596,5,FALSE),"")</f>
        <v/>
      </c>
      <c r="H330" s="145" t="str">
        <f>IFERROR(VLOOKUP($D330,EntryList!$B$3:$N$596,6,FALSE),"")</f>
        <v/>
      </c>
      <c r="I330" s="331" t="str">
        <f>IFERROR(VLOOKUP($B330,OverallResults!$B$3:$Z$492,8,FALSE),"")</f>
        <v/>
      </c>
      <c r="J330" s="58" t="str">
        <f>IFERROR(VLOOKUP($B330,OverallResults!$B$3:$BB$492,9,FALSE),"")</f>
        <v/>
      </c>
      <c r="K330" s="58" t="str">
        <f>IFERROR(VLOOKUP($B330,OverallResults!$B$3:$BB$492,10,FALSE),"")</f>
        <v/>
      </c>
      <c r="L330" s="58" t="str">
        <f>IFERROR(VLOOKUP($B330,OverallResults!$B$3:$BB$492,11,FALSE),"")</f>
        <v/>
      </c>
      <c r="M330" s="58" t="str">
        <f>IFERROR(VLOOKUP($B330,OverallResults!$B$3:$BB$492,12,FALSE),"")</f>
        <v/>
      </c>
      <c r="N330" s="58" t="str">
        <f>IFERROR(VLOOKUP($B330,OverallResults!$B$3:$BB$492,13,FALSE),"")</f>
        <v/>
      </c>
      <c r="O330" s="58" t="str">
        <f>IFERROR(VLOOKUP($B330,OverallResults!$B$3:$BB$492,14,FALSE),"")</f>
        <v/>
      </c>
      <c r="P330" s="58" t="str">
        <f>IFERROR(VLOOKUP($B330,OverallResults!$B$3:$BB$492,15,FALSE),"")</f>
        <v/>
      </c>
      <c r="Q330" s="58" t="str">
        <f>IFERROR(VLOOKUP($B330,OverallResults!$B$3:$BB$492,16,FALSE),"")</f>
        <v/>
      </c>
      <c r="R330" s="58" t="str">
        <f>IFERROR(VLOOKUP($B330,OverallResults!$B$3:$BB$492,17,FALSE),"")</f>
        <v/>
      </c>
      <c r="S330" s="170" t="e">
        <f t="shared" si="10"/>
        <v>#VALUE!</v>
      </c>
      <c r="T330" s="170" t="e">
        <f t="shared" si="11"/>
        <v>#VALUE!</v>
      </c>
      <c r="U330" s="359" t="str">
        <f>IFERROR(VLOOKUP($D330,EntryList!$B$3:$S$291,18,FALSE),"")</f>
        <v/>
      </c>
      <c r="V330" s="359" t="str">
        <f>IFERROR(VLOOKUP($D330,EntryList!$B$3:$S$291,17,FALSE),"")</f>
        <v/>
      </c>
    </row>
    <row r="331" spans="2:22">
      <c r="B331" s="59">
        <v>326</v>
      </c>
      <c r="C331" s="331" t="str">
        <f>IFERROR(VLOOKUP($B331,OverallResults!$B$3:$Z$508,2,FALSE),"")</f>
        <v>DNF</v>
      </c>
      <c r="D331" s="146" t="str">
        <f>IFERROR(VLOOKUP($B331,OverallResults!$B$3:$Z$508,3,FALSE),"")</f>
        <v/>
      </c>
      <c r="E331" s="146" t="str">
        <f>IFERROR(VLOOKUP(C331,SeriesPoints!$A$2:$B$51,2,FALSE),"")</f>
        <v/>
      </c>
      <c r="F331" s="148" t="str">
        <f>IFERROR(VLOOKUP($D331,EntryList!$B$3:$V$291,21,FALSE),"")</f>
        <v/>
      </c>
      <c r="G331" s="100" t="str">
        <f>IFERROR(VLOOKUP($D331,EntryList!$B$3:$N$596,5,FALSE),"")</f>
        <v/>
      </c>
      <c r="H331" s="145" t="str">
        <f>IFERROR(VLOOKUP($D331,EntryList!$B$3:$N$596,6,FALSE),"")</f>
        <v/>
      </c>
      <c r="I331" s="331" t="str">
        <f>IFERROR(VLOOKUP($B331,OverallResults!$B$3:$Z$492,8,FALSE),"")</f>
        <v/>
      </c>
      <c r="J331" s="58" t="str">
        <f>IFERROR(VLOOKUP($B331,OverallResults!$B$3:$BB$492,9,FALSE),"")</f>
        <v/>
      </c>
      <c r="K331" s="58" t="str">
        <f>IFERROR(VLOOKUP($B331,OverallResults!$B$3:$BB$492,10,FALSE),"")</f>
        <v/>
      </c>
      <c r="L331" s="58" t="str">
        <f>IFERROR(VLOOKUP($B331,OverallResults!$B$3:$BB$492,11,FALSE),"")</f>
        <v/>
      </c>
      <c r="M331" s="58" t="str">
        <f>IFERROR(VLOOKUP($B331,OverallResults!$B$3:$BB$492,12,FALSE),"")</f>
        <v/>
      </c>
      <c r="N331" s="58" t="str">
        <f>IFERROR(VLOOKUP($B331,OverallResults!$B$3:$BB$492,13,FALSE),"")</f>
        <v/>
      </c>
      <c r="O331" s="58" t="str">
        <f>IFERROR(VLOOKUP($B331,OverallResults!$B$3:$BB$492,14,FALSE),"")</f>
        <v/>
      </c>
      <c r="P331" s="58" t="str">
        <f>IFERROR(VLOOKUP($B331,OverallResults!$B$3:$BB$492,15,FALSE),"")</f>
        <v/>
      </c>
      <c r="Q331" s="58" t="str">
        <f>IFERROR(VLOOKUP($B331,OverallResults!$B$3:$BB$492,16,FALSE),"")</f>
        <v/>
      </c>
      <c r="R331" s="58" t="str">
        <f>IFERROR(VLOOKUP($B331,OverallResults!$B$3:$BB$492,17,FALSE),"")</f>
        <v/>
      </c>
      <c r="S331" s="170" t="e">
        <f t="shared" si="10"/>
        <v>#VALUE!</v>
      </c>
      <c r="T331" s="170" t="e">
        <f t="shared" si="11"/>
        <v>#VALUE!</v>
      </c>
      <c r="U331" s="359" t="str">
        <f>IFERROR(VLOOKUP($D331,EntryList!$B$3:$S$291,18,FALSE),"")</f>
        <v/>
      </c>
      <c r="V331" s="359" t="str">
        <f>IFERROR(VLOOKUP($D331,EntryList!$B$3:$S$291,17,FALSE),"")</f>
        <v/>
      </c>
    </row>
    <row r="332" spans="2:22">
      <c r="B332" s="59">
        <v>327</v>
      </c>
      <c r="C332" s="331" t="str">
        <f>IFERROR(VLOOKUP($B332,OverallResults!$B$3:$Z$508,2,FALSE),"")</f>
        <v>DNF</v>
      </c>
      <c r="D332" s="146" t="str">
        <f>IFERROR(VLOOKUP($B332,OverallResults!$B$3:$Z$508,3,FALSE),"")</f>
        <v/>
      </c>
      <c r="E332" s="146" t="str">
        <f>IFERROR(VLOOKUP(C332,SeriesPoints!$A$2:$B$51,2,FALSE),"")</f>
        <v/>
      </c>
      <c r="F332" s="148" t="str">
        <f>IFERROR(VLOOKUP($D332,EntryList!$B$3:$V$291,21,FALSE),"")</f>
        <v/>
      </c>
      <c r="G332" s="100" t="str">
        <f>IFERROR(VLOOKUP($D332,EntryList!$B$3:$N$596,5,FALSE),"")</f>
        <v/>
      </c>
      <c r="H332" s="145" t="str">
        <f>IFERROR(VLOOKUP($D332,EntryList!$B$3:$N$596,6,FALSE),"")</f>
        <v/>
      </c>
      <c r="I332" s="331" t="str">
        <f>IFERROR(VLOOKUP($B332,OverallResults!$B$3:$Z$492,8,FALSE),"")</f>
        <v/>
      </c>
      <c r="J332" s="58" t="str">
        <f>IFERROR(VLOOKUP($B332,OverallResults!$B$3:$BB$492,9,FALSE),"")</f>
        <v/>
      </c>
      <c r="K332" s="58" t="str">
        <f>IFERROR(VLOOKUP($B332,OverallResults!$B$3:$BB$492,10,FALSE),"")</f>
        <v/>
      </c>
      <c r="L332" s="58" t="str">
        <f>IFERROR(VLOOKUP($B332,OverallResults!$B$3:$BB$492,11,FALSE),"")</f>
        <v/>
      </c>
      <c r="M332" s="58" t="str">
        <f>IFERROR(VLOOKUP($B332,OverallResults!$B$3:$BB$492,12,FALSE),"")</f>
        <v/>
      </c>
      <c r="N332" s="58" t="str">
        <f>IFERROR(VLOOKUP($B332,OverallResults!$B$3:$BB$492,13,FALSE),"")</f>
        <v/>
      </c>
      <c r="O332" s="58" t="str">
        <f>IFERROR(VLOOKUP($B332,OverallResults!$B$3:$BB$492,14,FALSE),"")</f>
        <v/>
      </c>
      <c r="P332" s="58" t="str">
        <f>IFERROR(VLOOKUP($B332,OverallResults!$B$3:$BB$492,15,FALSE),"")</f>
        <v/>
      </c>
      <c r="Q332" s="58" t="str">
        <f>IFERROR(VLOOKUP($B332,OverallResults!$B$3:$BB$492,16,FALSE),"")</f>
        <v/>
      </c>
      <c r="R332" s="58" t="str">
        <f>IFERROR(VLOOKUP($B332,OverallResults!$B$3:$BB$492,17,FALSE),"")</f>
        <v/>
      </c>
      <c r="S332" s="170" t="e">
        <f t="shared" si="10"/>
        <v>#VALUE!</v>
      </c>
      <c r="T332" s="170" t="e">
        <f t="shared" si="11"/>
        <v>#VALUE!</v>
      </c>
      <c r="U332" s="359" t="str">
        <f>IFERROR(VLOOKUP($D332,EntryList!$B$3:$S$291,18,FALSE),"")</f>
        <v/>
      </c>
      <c r="V332" s="359" t="str">
        <f>IFERROR(VLOOKUP($D332,EntryList!$B$3:$S$291,17,FALSE),"")</f>
        <v/>
      </c>
    </row>
    <row r="333" spans="2:22">
      <c r="B333" s="59">
        <v>328</v>
      </c>
      <c r="C333" s="331" t="str">
        <f>IFERROR(VLOOKUP($B333,OverallResults!$B$3:$Z$508,2,FALSE),"")</f>
        <v>DNF</v>
      </c>
      <c r="D333" s="146" t="str">
        <f>IFERROR(VLOOKUP($B333,OverallResults!$B$3:$Z$508,3,FALSE),"")</f>
        <v/>
      </c>
      <c r="E333" s="146" t="str">
        <f>IFERROR(VLOOKUP(C333,SeriesPoints!$A$2:$B$51,2,FALSE),"")</f>
        <v/>
      </c>
      <c r="F333" s="148" t="str">
        <f>IFERROR(VLOOKUP($D333,EntryList!$B$3:$V$291,21,FALSE),"")</f>
        <v/>
      </c>
      <c r="G333" s="100" t="str">
        <f>IFERROR(VLOOKUP($D333,EntryList!$B$3:$N$596,5,FALSE),"")</f>
        <v/>
      </c>
      <c r="H333" s="145" t="str">
        <f>IFERROR(VLOOKUP($D333,EntryList!$B$3:$N$596,6,FALSE),"")</f>
        <v/>
      </c>
      <c r="I333" s="331" t="str">
        <f>IFERROR(VLOOKUP($B333,OverallResults!$B$3:$Z$492,8,FALSE),"")</f>
        <v/>
      </c>
      <c r="J333" s="58" t="str">
        <f>IFERROR(VLOOKUP($B333,OverallResults!$B$3:$BB$492,9,FALSE),"")</f>
        <v/>
      </c>
      <c r="K333" s="58" t="str">
        <f>IFERROR(VLOOKUP($B333,OverallResults!$B$3:$BB$492,10,FALSE),"")</f>
        <v/>
      </c>
      <c r="L333" s="58" t="str">
        <f>IFERROR(VLOOKUP($B333,OverallResults!$B$3:$BB$492,11,FALSE),"")</f>
        <v/>
      </c>
      <c r="M333" s="58" t="str">
        <f>IFERROR(VLOOKUP($B333,OverallResults!$B$3:$BB$492,12,FALSE),"")</f>
        <v/>
      </c>
      <c r="N333" s="58" t="str">
        <f>IFERROR(VLOOKUP($B333,OverallResults!$B$3:$BB$492,13,FALSE),"")</f>
        <v/>
      </c>
      <c r="O333" s="58" t="str">
        <f>IFERROR(VLOOKUP($B333,OverallResults!$B$3:$BB$492,14,FALSE),"")</f>
        <v/>
      </c>
      <c r="P333" s="58" t="str">
        <f>IFERROR(VLOOKUP($B333,OverallResults!$B$3:$BB$492,15,FALSE),"")</f>
        <v/>
      </c>
      <c r="Q333" s="58" t="str">
        <f>IFERROR(VLOOKUP($B333,OverallResults!$B$3:$BB$492,16,FALSE),"")</f>
        <v/>
      </c>
      <c r="R333" s="58" t="str">
        <f>IFERROR(VLOOKUP($B333,OverallResults!$B$3:$BB$492,17,FALSE),"")</f>
        <v/>
      </c>
      <c r="S333" s="170" t="e">
        <f t="shared" si="10"/>
        <v>#VALUE!</v>
      </c>
      <c r="T333" s="170" t="e">
        <f t="shared" si="11"/>
        <v>#VALUE!</v>
      </c>
      <c r="U333" s="359" t="str">
        <f>IFERROR(VLOOKUP($D333,EntryList!$B$3:$S$291,18,FALSE),"")</f>
        <v/>
      </c>
      <c r="V333" s="359" t="str">
        <f>IFERROR(VLOOKUP($D333,EntryList!$B$3:$S$291,17,FALSE),"")</f>
        <v/>
      </c>
    </row>
    <row r="334" spans="2:22">
      <c r="B334" s="59">
        <v>329</v>
      </c>
      <c r="C334" s="331" t="str">
        <f>IFERROR(VLOOKUP($B334,OverallResults!$B$3:$Z$508,2,FALSE),"")</f>
        <v>DNF</v>
      </c>
      <c r="D334" s="146" t="str">
        <f>IFERROR(VLOOKUP($B334,OverallResults!$B$3:$Z$508,3,FALSE),"")</f>
        <v/>
      </c>
      <c r="E334" s="146" t="str">
        <f>IFERROR(VLOOKUP(C334,SeriesPoints!$A$2:$B$51,2,FALSE),"")</f>
        <v/>
      </c>
      <c r="F334" s="148" t="str">
        <f>IFERROR(VLOOKUP($D334,EntryList!$B$3:$V$291,21,FALSE),"")</f>
        <v/>
      </c>
      <c r="G334" s="100" t="str">
        <f>IFERROR(VLOOKUP($D334,EntryList!$B$3:$N$596,5,FALSE),"")</f>
        <v/>
      </c>
      <c r="H334" s="145" t="str">
        <f>IFERROR(VLOOKUP($D334,EntryList!$B$3:$N$596,6,FALSE),"")</f>
        <v/>
      </c>
      <c r="I334" s="331" t="str">
        <f>IFERROR(VLOOKUP($B334,OverallResults!$B$3:$Z$492,8,FALSE),"")</f>
        <v/>
      </c>
      <c r="J334" s="58" t="str">
        <f>IFERROR(VLOOKUP($B334,OverallResults!$B$3:$BB$492,9,FALSE),"")</f>
        <v/>
      </c>
      <c r="K334" s="58" t="str">
        <f>IFERROR(VLOOKUP($B334,OverallResults!$B$3:$BB$492,10,FALSE),"")</f>
        <v/>
      </c>
      <c r="L334" s="58" t="str">
        <f>IFERROR(VLOOKUP($B334,OverallResults!$B$3:$BB$492,11,FALSE),"")</f>
        <v/>
      </c>
      <c r="M334" s="58" t="str">
        <f>IFERROR(VLOOKUP($B334,OverallResults!$B$3:$BB$492,12,FALSE),"")</f>
        <v/>
      </c>
      <c r="N334" s="58" t="str">
        <f>IFERROR(VLOOKUP($B334,OverallResults!$B$3:$BB$492,13,FALSE),"")</f>
        <v/>
      </c>
      <c r="O334" s="58" t="str">
        <f>IFERROR(VLOOKUP($B334,OverallResults!$B$3:$BB$492,14,FALSE),"")</f>
        <v/>
      </c>
      <c r="P334" s="58" t="str">
        <f>IFERROR(VLOOKUP($B334,OverallResults!$B$3:$BB$492,15,FALSE),"")</f>
        <v/>
      </c>
      <c r="Q334" s="58" t="str">
        <f>IFERROR(VLOOKUP($B334,OverallResults!$B$3:$BB$492,16,FALSE),"")</f>
        <v/>
      </c>
      <c r="R334" s="58" t="str">
        <f>IFERROR(VLOOKUP($B334,OverallResults!$B$3:$BB$492,17,FALSE),"")</f>
        <v/>
      </c>
      <c r="S334" s="170" t="e">
        <f t="shared" si="10"/>
        <v>#VALUE!</v>
      </c>
      <c r="T334" s="170" t="e">
        <f t="shared" si="11"/>
        <v>#VALUE!</v>
      </c>
      <c r="U334" s="359" t="str">
        <f>IFERROR(VLOOKUP($D334,EntryList!$B$3:$S$291,18,FALSE),"")</f>
        <v/>
      </c>
      <c r="V334" s="359" t="str">
        <f>IFERROR(VLOOKUP($D334,EntryList!$B$3:$S$291,17,FALSE),"")</f>
        <v/>
      </c>
    </row>
    <row r="335" spans="2:22">
      <c r="B335" s="59">
        <v>330</v>
      </c>
      <c r="C335" s="331" t="str">
        <f>IFERROR(VLOOKUP($B335,OverallResults!$B$3:$Z$508,2,FALSE),"")</f>
        <v>DNF</v>
      </c>
      <c r="D335" s="146" t="str">
        <f>IFERROR(VLOOKUP($B335,OverallResults!$B$3:$Z$508,3,FALSE),"")</f>
        <v/>
      </c>
      <c r="E335" s="146" t="str">
        <f>IFERROR(VLOOKUP(C335,SeriesPoints!$A$2:$B$51,2,FALSE),"")</f>
        <v/>
      </c>
      <c r="F335" s="148" t="str">
        <f>IFERROR(VLOOKUP($D335,EntryList!$B$3:$V$291,21,FALSE),"")</f>
        <v/>
      </c>
      <c r="G335" s="100" t="str">
        <f>IFERROR(VLOOKUP($D335,EntryList!$B$3:$N$596,5,FALSE),"")</f>
        <v/>
      </c>
      <c r="H335" s="145" t="str">
        <f>IFERROR(VLOOKUP($D335,EntryList!$B$3:$N$596,6,FALSE),"")</f>
        <v/>
      </c>
      <c r="I335" s="331" t="str">
        <f>IFERROR(VLOOKUP($B335,OverallResults!$B$3:$Z$492,8,FALSE),"")</f>
        <v/>
      </c>
      <c r="J335" s="58" t="str">
        <f>IFERROR(VLOOKUP($B335,OverallResults!$B$3:$BB$492,9,FALSE),"")</f>
        <v/>
      </c>
      <c r="K335" s="58" t="str">
        <f>IFERROR(VLOOKUP($B335,OverallResults!$B$3:$BB$492,10,FALSE),"")</f>
        <v/>
      </c>
      <c r="L335" s="58" t="str">
        <f>IFERROR(VLOOKUP($B335,OverallResults!$B$3:$BB$492,11,FALSE),"")</f>
        <v/>
      </c>
      <c r="M335" s="58" t="str">
        <f>IFERROR(VLOOKUP($B335,OverallResults!$B$3:$BB$492,12,FALSE),"")</f>
        <v/>
      </c>
      <c r="N335" s="58" t="str">
        <f>IFERROR(VLOOKUP($B335,OverallResults!$B$3:$BB$492,13,FALSE),"")</f>
        <v/>
      </c>
      <c r="O335" s="58" t="str">
        <f>IFERROR(VLOOKUP($B335,OverallResults!$B$3:$BB$492,14,FALSE),"")</f>
        <v/>
      </c>
      <c r="P335" s="58" t="str">
        <f>IFERROR(VLOOKUP($B335,OverallResults!$B$3:$BB$492,15,FALSE),"")</f>
        <v/>
      </c>
      <c r="Q335" s="58" t="str">
        <f>IFERROR(VLOOKUP($B335,OverallResults!$B$3:$BB$492,16,FALSE),"")</f>
        <v/>
      </c>
      <c r="R335" s="58" t="str">
        <f>IFERROR(VLOOKUP($B335,OverallResults!$B$3:$BB$492,17,FALSE),"")</f>
        <v/>
      </c>
      <c r="S335" s="170" t="e">
        <f t="shared" si="10"/>
        <v>#VALUE!</v>
      </c>
      <c r="T335" s="170" t="e">
        <f t="shared" si="11"/>
        <v>#VALUE!</v>
      </c>
      <c r="U335" s="359" t="str">
        <f>IFERROR(VLOOKUP($D335,EntryList!$B$3:$S$291,18,FALSE),"")</f>
        <v/>
      </c>
      <c r="V335" s="359" t="str">
        <f>IFERROR(VLOOKUP($D335,EntryList!$B$3:$S$291,17,FALSE),"")</f>
        <v/>
      </c>
    </row>
    <row r="336" spans="2:22">
      <c r="B336" s="59">
        <v>331</v>
      </c>
      <c r="C336" s="331" t="str">
        <f>IFERROR(VLOOKUP($B336,OverallResults!$B$3:$Z$508,2,FALSE),"")</f>
        <v>DNF</v>
      </c>
      <c r="D336" s="146" t="str">
        <f>IFERROR(VLOOKUP($B336,OverallResults!$B$3:$Z$508,3,FALSE),"")</f>
        <v/>
      </c>
      <c r="E336" s="146" t="str">
        <f>IFERROR(VLOOKUP(C336,SeriesPoints!$A$2:$B$51,2,FALSE),"")</f>
        <v/>
      </c>
      <c r="F336" s="148" t="str">
        <f>IFERROR(VLOOKUP($D336,EntryList!$B$3:$V$291,21,FALSE),"")</f>
        <v/>
      </c>
      <c r="G336" s="100" t="str">
        <f>IFERROR(VLOOKUP($D336,EntryList!$B$3:$N$596,5,FALSE),"")</f>
        <v/>
      </c>
      <c r="H336" s="145" t="str">
        <f>IFERROR(VLOOKUP($D336,EntryList!$B$3:$N$596,6,FALSE),"")</f>
        <v/>
      </c>
      <c r="I336" s="331" t="str">
        <f>IFERROR(VLOOKUP($B336,OverallResults!$B$3:$Z$492,8,FALSE),"")</f>
        <v/>
      </c>
      <c r="J336" s="58" t="str">
        <f>IFERROR(VLOOKUP($B336,OverallResults!$B$3:$BB$492,9,FALSE),"")</f>
        <v/>
      </c>
      <c r="K336" s="58" t="str">
        <f>IFERROR(VLOOKUP($B336,OverallResults!$B$3:$BB$492,10,FALSE),"")</f>
        <v/>
      </c>
      <c r="L336" s="58" t="str">
        <f>IFERROR(VLOOKUP($B336,OverallResults!$B$3:$BB$492,11,FALSE),"")</f>
        <v/>
      </c>
      <c r="M336" s="58" t="str">
        <f>IFERROR(VLOOKUP($B336,OverallResults!$B$3:$BB$492,12,FALSE),"")</f>
        <v/>
      </c>
      <c r="N336" s="58" t="str">
        <f>IFERROR(VLOOKUP($B336,OverallResults!$B$3:$BB$492,13,FALSE),"")</f>
        <v/>
      </c>
      <c r="O336" s="58" t="str">
        <f>IFERROR(VLOOKUP($B336,OverallResults!$B$3:$BB$492,14,FALSE),"")</f>
        <v/>
      </c>
      <c r="P336" s="58" t="str">
        <f>IFERROR(VLOOKUP($B336,OverallResults!$B$3:$BB$492,15,FALSE),"")</f>
        <v/>
      </c>
      <c r="Q336" s="58" t="str">
        <f>IFERROR(VLOOKUP($B336,OverallResults!$B$3:$BB$492,16,FALSE),"")</f>
        <v/>
      </c>
      <c r="R336" s="58" t="str">
        <f>IFERROR(VLOOKUP($B336,OverallResults!$B$3:$BB$492,17,FALSE),"")</f>
        <v/>
      </c>
      <c r="S336" s="170" t="e">
        <f t="shared" si="10"/>
        <v>#VALUE!</v>
      </c>
      <c r="T336" s="170" t="e">
        <f t="shared" si="11"/>
        <v>#VALUE!</v>
      </c>
      <c r="U336" s="359" t="str">
        <f>IFERROR(VLOOKUP($D336,EntryList!$B$3:$S$291,18,FALSE),"")</f>
        <v/>
      </c>
      <c r="V336" s="359" t="str">
        <f>IFERROR(VLOOKUP($D336,EntryList!$B$3:$S$291,17,FALSE),"")</f>
        <v/>
      </c>
    </row>
    <row r="337" spans="2:22">
      <c r="B337" s="59">
        <v>332</v>
      </c>
      <c r="C337" s="331" t="str">
        <f>IFERROR(VLOOKUP($B337,OverallResults!$B$3:$Z$508,2,FALSE),"")</f>
        <v>DNF</v>
      </c>
      <c r="D337" s="146" t="str">
        <f>IFERROR(VLOOKUP($B337,OverallResults!$B$3:$Z$508,3,FALSE),"")</f>
        <v/>
      </c>
      <c r="E337" s="146" t="str">
        <f>IFERROR(VLOOKUP(C337,SeriesPoints!$A$2:$B$51,2,FALSE),"")</f>
        <v/>
      </c>
      <c r="F337" s="148" t="str">
        <f>IFERROR(VLOOKUP($D337,EntryList!$B$3:$V$291,21,FALSE),"")</f>
        <v/>
      </c>
      <c r="G337" s="100" t="str">
        <f>IFERROR(VLOOKUP($D337,EntryList!$B$3:$N$596,5,FALSE),"")</f>
        <v/>
      </c>
      <c r="H337" s="145" t="str">
        <f>IFERROR(VLOOKUP($D337,EntryList!$B$3:$N$596,6,FALSE),"")</f>
        <v/>
      </c>
      <c r="I337" s="331" t="str">
        <f>IFERROR(VLOOKUP($B337,OverallResults!$B$3:$Z$492,8,FALSE),"")</f>
        <v/>
      </c>
      <c r="J337" s="58" t="str">
        <f>IFERROR(VLOOKUP($B337,OverallResults!$B$3:$BB$492,9,FALSE),"")</f>
        <v/>
      </c>
      <c r="K337" s="58" t="str">
        <f>IFERROR(VLOOKUP($B337,OverallResults!$B$3:$BB$492,10,FALSE),"")</f>
        <v/>
      </c>
      <c r="L337" s="58" t="str">
        <f>IFERROR(VLOOKUP($B337,OverallResults!$B$3:$BB$492,11,FALSE),"")</f>
        <v/>
      </c>
      <c r="M337" s="58" t="str">
        <f>IFERROR(VLOOKUP($B337,OverallResults!$B$3:$BB$492,12,FALSE),"")</f>
        <v/>
      </c>
      <c r="N337" s="58" t="str">
        <f>IFERROR(VLOOKUP($B337,OverallResults!$B$3:$BB$492,13,FALSE),"")</f>
        <v/>
      </c>
      <c r="O337" s="58" t="str">
        <f>IFERROR(VLOOKUP($B337,OverallResults!$B$3:$BB$492,14,FALSE),"")</f>
        <v/>
      </c>
      <c r="P337" s="58" t="str">
        <f>IFERROR(VLOOKUP($B337,OverallResults!$B$3:$BB$492,15,FALSE),"")</f>
        <v/>
      </c>
      <c r="Q337" s="58" t="str">
        <f>IFERROR(VLOOKUP($B337,OverallResults!$B$3:$BB$492,16,FALSE),"")</f>
        <v/>
      </c>
      <c r="R337" s="58" t="str">
        <f>IFERROR(VLOOKUP($B337,OverallResults!$B$3:$BB$492,17,FALSE),"")</f>
        <v/>
      </c>
      <c r="S337" s="170" t="e">
        <f t="shared" si="10"/>
        <v>#VALUE!</v>
      </c>
      <c r="T337" s="170" t="e">
        <f t="shared" si="11"/>
        <v>#VALUE!</v>
      </c>
      <c r="U337" s="359" t="str">
        <f>IFERROR(VLOOKUP($D337,EntryList!$B$3:$S$291,18,FALSE),"")</f>
        <v/>
      </c>
      <c r="V337" s="359" t="str">
        <f>IFERROR(VLOOKUP($D337,EntryList!$B$3:$S$291,17,FALSE),"")</f>
        <v/>
      </c>
    </row>
    <row r="338" spans="2:22">
      <c r="B338" s="59">
        <v>333</v>
      </c>
      <c r="C338" s="331" t="str">
        <f>IFERROR(VLOOKUP($B338,OverallResults!$B$3:$Z$508,2,FALSE),"")</f>
        <v>DNF</v>
      </c>
      <c r="D338" s="146" t="str">
        <f>IFERROR(VLOOKUP($B338,OverallResults!$B$3:$Z$508,3,FALSE),"")</f>
        <v/>
      </c>
      <c r="E338" s="146" t="str">
        <f>IFERROR(VLOOKUP(C338,SeriesPoints!$A$2:$B$51,2,FALSE),"")</f>
        <v/>
      </c>
      <c r="F338" s="148" t="str">
        <f>IFERROR(VLOOKUP($D338,EntryList!$B$3:$V$291,21,FALSE),"")</f>
        <v/>
      </c>
      <c r="G338" s="100" t="str">
        <f>IFERROR(VLOOKUP($D338,EntryList!$B$3:$N$596,5,FALSE),"")</f>
        <v/>
      </c>
      <c r="H338" s="145" t="str">
        <f>IFERROR(VLOOKUP($D338,EntryList!$B$3:$N$596,6,FALSE),"")</f>
        <v/>
      </c>
      <c r="I338" s="331" t="str">
        <f>IFERROR(VLOOKUP($B338,OverallResults!$B$3:$Z$492,8,FALSE),"")</f>
        <v/>
      </c>
      <c r="J338" s="58" t="str">
        <f>IFERROR(VLOOKUP($B338,OverallResults!$B$3:$BB$492,9,FALSE),"")</f>
        <v/>
      </c>
      <c r="K338" s="58" t="str">
        <f>IFERROR(VLOOKUP($B338,OverallResults!$B$3:$BB$492,10,FALSE),"")</f>
        <v/>
      </c>
      <c r="L338" s="58" t="str">
        <f>IFERROR(VLOOKUP($B338,OverallResults!$B$3:$BB$492,11,FALSE),"")</f>
        <v/>
      </c>
      <c r="M338" s="58" t="str">
        <f>IFERROR(VLOOKUP($B338,OverallResults!$B$3:$BB$492,12,FALSE),"")</f>
        <v/>
      </c>
      <c r="N338" s="58" t="str">
        <f>IFERROR(VLOOKUP($B338,OverallResults!$B$3:$BB$492,13,FALSE),"")</f>
        <v/>
      </c>
      <c r="O338" s="58" t="str">
        <f>IFERROR(VLOOKUP($B338,OverallResults!$B$3:$BB$492,14,FALSE),"")</f>
        <v/>
      </c>
      <c r="P338" s="58" t="str">
        <f>IFERROR(VLOOKUP($B338,OverallResults!$B$3:$BB$492,15,FALSE),"")</f>
        <v/>
      </c>
      <c r="Q338" s="58" t="str">
        <f>IFERROR(VLOOKUP($B338,OverallResults!$B$3:$BB$492,16,FALSE),"")</f>
        <v/>
      </c>
      <c r="R338" s="58" t="str">
        <f>IFERROR(VLOOKUP($B338,OverallResults!$B$3:$BB$492,17,FALSE),"")</f>
        <v/>
      </c>
      <c r="S338" s="170" t="e">
        <f t="shared" si="10"/>
        <v>#VALUE!</v>
      </c>
      <c r="T338" s="170" t="e">
        <f t="shared" si="11"/>
        <v>#VALUE!</v>
      </c>
      <c r="U338" s="359" t="str">
        <f>IFERROR(VLOOKUP($D338,EntryList!$B$3:$S$291,18,FALSE),"")</f>
        <v/>
      </c>
      <c r="V338" s="359" t="str">
        <f>IFERROR(VLOOKUP($D338,EntryList!$B$3:$S$291,17,FALSE),"")</f>
        <v/>
      </c>
    </row>
    <row r="339" spans="2:22">
      <c r="B339" s="59">
        <v>334</v>
      </c>
      <c r="C339" s="331" t="str">
        <f>IFERROR(VLOOKUP($B339,OverallResults!$B$3:$Z$508,2,FALSE),"")</f>
        <v>DNF</v>
      </c>
      <c r="D339" s="146" t="str">
        <f>IFERROR(VLOOKUP($B339,OverallResults!$B$3:$Z$508,3,FALSE),"")</f>
        <v/>
      </c>
      <c r="E339" s="146" t="str">
        <f>IFERROR(VLOOKUP(C339,SeriesPoints!$A$2:$B$51,2,FALSE),"")</f>
        <v/>
      </c>
      <c r="F339" s="148" t="str">
        <f>IFERROR(VLOOKUP($D339,EntryList!$B$3:$V$291,21,FALSE),"")</f>
        <v/>
      </c>
      <c r="G339" s="100" t="str">
        <f>IFERROR(VLOOKUP($D339,EntryList!$B$3:$N$596,5,FALSE),"")</f>
        <v/>
      </c>
      <c r="H339" s="145" t="str">
        <f>IFERROR(VLOOKUP($D339,EntryList!$B$3:$N$596,6,FALSE),"")</f>
        <v/>
      </c>
      <c r="I339" s="331" t="str">
        <f>IFERROR(VLOOKUP($B339,OverallResults!$B$3:$Z$492,8,FALSE),"")</f>
        <v/>
      </c>
      <c r="J339" s="58" t="str">
        <f>IFERROR(VLOOKUP($B339,OverallResults!$B$3:$BB$492,9,FALSE),"")</f>
        <v/>
      </c>
      <c r="K339" s="58" t="str">
        <f>IFERROR(VLOOKUP($B339,OverallResults!$B$3:$BB$492,10,FALSE),"")</f>
        <v/>
      </c>
      <c r="L339" s="58" t="str">
        <f>IFERROR(VLOOKUP($B339,OverallResults!$B$3:$BB$492,11,FALSE),"")</f>
        <v/>
      </c>
      <c r="M339" s="58" t="str">
        <f>IFERROR(VLOOKUP($B339,OverallResults!$B$3:$BB$492,12,FALSE),"")</f>
        <v/>
      </c>
      <c r="N339" s="58" t="str">
        <f>IFERROR(VLOOKUP($B339,OverallResults!$B$3:$BB$492,13,FALSE),"")</f>
        <v/>
      </c>
      <c r="O339" s="58" t="str">
        <f>IFERROR(VLOOKUP($B339,OverallResults!$B$3:$BB$492,14,FALSE),"")</f>
        <v/>
      </c>
      <c r="P339" s="58" t="str">
        <f>IFERROR(VLOOKUP($B339,OverallResults!$B$3:$BB$492,15,FALSE),"")</f>
        <v/>
      </c>
      <c r="Q339" s="58" t="str">
        <f>IFERROR(VLOOKUP($B339,OverallResults!$B$3:$BB$492,16,FALSE),"")</f>
        <v/>
      </c>
      <c r="R339" s="58" t="str">
        <f>IFERROR(VLOOKUP($B339,OverallResults!$B$3:$BB$492,17,FALSE),"")</f>
        <v/>
      </c>
      <c r="S339" s="170" t="e">
        <f t="shared" si="10"/>
        <v>#VALUE!</v>
      </c>
      <c r="T339" s="170" t="e">
        <f t="shared" si="11"/>
        <v>#VALUE!</v>
      </c>
      <c r="U339" s="359" t="str">
        <f>IFERROR(VLOOKUP($D339,EntryList!$B$3:$S$291,18,FALSE),"")</f>
        <v/>
      </c>
      <c r="V339" s="359" t="str">
        <f>IFERROR(VLOOKUP($D339,EntryList!$B$3:$S$291,17,FALSE),"")</f>
        <v/>
      </c>
    </row>
    <row r="340" spans="2:22">
      <c r="B340" s="59">
        <v>335</v>
      </c>
      <c r="C340" s="331" t="str">
        <f>IFERROR(VLOOKUP($B340,OverallResults!$B$3:$Z$508,2,FALSE),"")</f>
        <v>DNF</v>
      </c>
      <c r="D340" s="146" t="str">
        <f>IFERROR(VLOOKUP($B340,OverallResults!$B$3:$Z$508,3,FALSE),"")</f>
        <v/>
      </c>
      <c r="E340" s="146" t="str">
        <f>IFERROR(VLOOKUP(C340,SeriesPoints!$A$2:$B$51,2,FALSE),"")</f>
        <v/>
      </c>
      <c r="F340" s="148" t="str">
        <f>IFERROR(VLOOKUP($D340,EntryList!$B$3:$V$291,21,FALSE),"")</f>
        <v/>
      </c>
      <c r="G340" s="100" t="str">
        <f>IFERROR(VLOOKUP($D340,EntryList!$B$3:$N$596,5,FALSE),"")</f>
        <v/>
      </c>
      <c r="H340" s="145" t="str">
        <f>IFERROR(VLOOKUP($D340,EntryList!$B$3:$N$596,6,FALSE),"")</f>
        <v/>
      </c>
      <c r="I340" s="331" t="str">
        <f>IFERROR(VLOOKUP($B340,OverallResults!$B$3:$Z$492,8,FALSE),"")</f>
        <v/>
      </c>
      <c r="J340" s="58" t="str">
        <f>IFERROR(VLOOKUP($B340,OverallResults!$B$3:$BB$492,9,FALSE),"")</f>
        <v/>
      </c>
      <c r="K340" s="58" t="str">
        <f>IFERROR(VLOOKUP($B340,OverallResults!$B$3:$BB$492,10,FALSE),"")</f>
        <v/>
      </c>
      <c r="L340" s="58" t="str">
        <f>IFERROR(VLOOKUP($B340,OverallResults!$B$3:$BB$492,11,FALSE),"")</f>
        <v/>
      </c>
      <c r="M340" s="58" t="str">
        <f>IFERROR(VLOOKUP($B340,OverallResults!$B$3:$BB$492,12,FALSE),"")</f>
        <v/>
      </c>
      <c r="N340" s="58" t="str">
        <f>IFERROR(VLOOKUP($B340,OverallResults!$B$3:$BB$492,13,FALSE),"")</f>
        <v/>
      </c>
      <c r="O340" s="58" t="str">
        <f>IFERROR(VLOOKUP($B340,OverallResults!$B$3:$BB$492,14,FALSE),"")</f>
        <v/>
      </c>
      <c r="P340" s="58" t="str">
        <f>IFERROR(VLOOKUP($B340,OverallResults!$B$3:$BB$492,15,FALSE),"")</f>
        <v/>
      </c>
      <c r="Q340" s="58" t="str">
        <f>IFERROR(VLOOKUP($B340,OverallResults!$B$3:$BB$492,16,FALSE),"")</f>
        <v/>
      </c>
      <c r="R340" s="58" t="str">
        <f>IFERROR(VLOOKUP($B340,OverallResults!$B$3:$BB$492,17,FALSE),"")</f>
        <v/>
      </c>
      <c r="S340" s="170" t="e">
        <f t="shared" si="10"/>
        <v>#VALUE!</v>
      </c>
      <c r="T340" s="170" t="e">
        <f t="shared" si="11"/>
        <v>#VALUE!</v>
      </c>
      <c r="U340" s="359" t="str">
        <f>IFERROR(VLOOKUP($D340,EntryList!$B$3:$S$291,18,FALSE),"")</f>
        <v/>
      </c>
      <c r="V340" s="359" t="str">
        <f>IFERROR(VLOOKUP($D340,EntryList!$B$3:$S$291,17,FALSE),"")</f>
        <v/>
      </c>
    </row>
    <row r="341" spans="2:22">
      <c r="B341" s="59">
        <v>336</v>
      </c>
      <c r="C341" s="331" t="str">
        <f>IFERROR(VLOOKUP($B341,OverallResults!$B$3:$Z$508,2,FALSE),"")</f>
        <v>DNF</v>
      </c>
      <c r="D341" s="146" t="str">
        <f>IFERROR(VLOOKUP($B341,OverallResults!$B$3:$Z$508,3,FALSE),"")</f>
        <v/>
      </c>
      <c r="E341" s="146" t="str">
        <f>IFERROR(VLOOKUP(C341,SeriesPoints!$A$2:$B$51,2,FALSE),"")</f>
        <v/>
      </c>
      <c r="F341" s="148" t="str">
        <f>IFERROR(VLOOKUP($D341,EntryList!$B$3:$V$291,21,FALSE),"")</f>
        <v/>
      </c>
      <c r="G341" s="100" t="str">
        <f>IFERROR(VLOOKUP($D341,EntryList!$B$3:$N$596,5,FALSE),"")</f>
        <v/>
      </c>
      <c r="H341" s="145" t="str">
        <f>IFERROR(VLOOKUP($D341,EntryList!$B$3:$N$596,6,FALSE),"")</f>
        <v/>
      </c>
      <c r="I341" s="331" t="str">
        <f>IFERROR(VLOOKUP($B341,OverallResults!$B$3:$Z$492,8,FALSE),"")</f>
        <v/>
      </c>
      <c r="J341" s="58" t="str">
        <f>IFERROR(VLOOKUP($B341,OverallResults!$B$3:$BB$492,9,FALSE),"")</f>
        <v/>
      </c>
      <c r="K341" s="58" t="str">
        <f>IFERROR(VLOOKUP($B341,OverallResults!$B$3:$BB$492,10,FALSE),"")</f>
        <v/>
      </c>
      <c r="L341" s="58" t="str">
        <f>IFERROR(VLOOKUP($B341,OverallResults!$B$3:$BB$492,11,FALSE),"")</f>
        <v/>
      </c>
      <c r="M341" s="58" t="str">
        <f>IFERROR(VLOOKUP($B341,OverallResults!$B$3:$BB$492,12,FALSE),"")</f>
        <v/>
      </c>
      <c r="N341" s="58" t="str">
        <f>IFERROR(VLOOKUP($B341,OverallResults!$B$3:$BB$492,13,FALSE),"")</f>
        <v/>
      </c>
      <c r="O341" s="58" t="str">
        <f>IFERROR(VLOOKUP($B341,OverallResults!$B$3:$BB$492,14,FALSE),"")</f>
        <v/>
      </c>
      <c r="P341" s="58" t="str">
        <f>IFERROR(VLOOKUP($B341,OverallResults!$B$3:$BB$492,15,FALSE),"")</f>
        <v/>
      </c>
      <c r="Q341" s="58" t="str">
        <f>IFERROR(VLOOKUP($B341,OverallResults!$B$3:$BB$492,16,FALSE),"")</f>
        <v/>
      </c>
      <c r="R341" s="58" t="str">
        <f>IFERROR(VLOOKUP($B341,OverallResults!$B$3:$BB$492,17,FALSE),"")</f>
        <v/>
      </c>
      <c r="S341" s="170" t="e">
        <f t="shared" si="10"/>
        <v>#VALUE!</v>
      </c>
      <c r="T341" s="170" t="e">
        <f t="shared" si="11"/>
        <v>#VALUE!</v>
      </c>
      <c r="U341" s="359" t="str">
        <f>IFERROR(VLOOKUP($D341,EntryList!$B$3:$S$291,18,FALSE),"")</f>
        <v/>
      </c>
      <c r="V341" s="359" t="str">
        <f>IFERROR(VLOOKUP($D341,EntryList!$B$3:$S$291,17,FALSE),"")</f>
        <v/>
      </c>
    </row>
    <row r="342" spans="2:22">
      <c r="B342" s="59">
        <v>337</v>
      </c>
      <c r="C342" s="331" t="str">
        <f>IFERROR(VLOOKUP($B342,OverallResults!$B$3:$Z$508,2,FALSE),"")</f>
        <v>DNF</v>
      </c>
      <c r="D342" s="146" t="str">
        <f>IFERROR(VLOOKUP($B342,OverallResults!$B$3:$Z$508,3,FALSE),"")</f>
        <v/>
      </c>
      <c r="E342" s="146" t="str">
        <f>IFERROR(VLOOKUP(C342,SeriesPoints!$A$2:$B$51,2,FALSE),"")</f>
        <v/>
      </c>
      <c r="F342" s="148" t="str">
        <f>IFERROR(VLOOKUP($D342,EntryList!$B$3:$V$291,21,FALSE),"")</f>
        <v/>
      </c>
      <c r="G342" s="100" t="str">
        <f>IFERROR(VLOOKUP($D342,EntryList!$B$3:$N$596,5,FALSE),"")</f>
        <v/>
      </c>
      <c r="H342" s="145" t="str">
        <f>IFERROR(VLOOKUP($D342,EntryList!$B$3:$N$596,6,FALSE),"")</f>
        <v/>
      </c>
      <c r="I342" s="331" t="str">
        <f>IFERROR(VLOOKUP($B342,OverallResults!$B$3:$Z$492,8,FALSE),"")</f>
        <v/>
      </c>
      <c r="J342" s="58" t="str">
        <f>IFERROR(VLOOKUP($B342,OverallResults!$B$3:$BB$492,9,FALSE),"")</f>
        <v/>
      </c>
      <c r="K342" s="58" t="str">
        <f>IFERROR(VLOOKUP($B342,OverallResults!$B$3:$BB$492,10,FALSE),"")</f>
        <v/>
      </c>
      <c r="L342" s="58" t="str">
        <f>IFERROR(VLOOKUP($B342,OverallResults!$B$3:$BB$492,11,FALSE),"")</f>
        <v/>
      </c>
      <c r="M342" s="58" t="str">
        <f>IFERROR(VLOOKUP($B342,OverallResults!$B$3:$BB$492,12,FALSE),"")</f>
        <v/>
      </c>
      <c r="N342" s="58" t="str">
        <f>IFERROR(VLOOKUP($B342,OverallResults!$B$3:$BB$492,13,FALSE),"")</f>
        <v/>
      </c>
      <c r="O342" s="58" t="str">
        <f>IFERROR(VLOOKUP($B342,OverallResults!$B$3:$BB$492,14,FALSE),"")</f>
        <v/>
      </c>
      <c r="P342" s="58" t="str">
        <f>IFERROR(VLOOKUP($B342,OverallResults!$B$3:$BB$492,15,FALSE),"")</f>
        <v/>
      </c>
      <c r="Q342" s="58" t="str">
        <f>IFERROR(VLOOKUP($B342,OverallResults!$B$3:$BB$492,16,FALSE),"")</f>
        <v/>
      </c>
      <c r="R342" s="58" t="str">
        <f>IFERROR(VLOOKUP($B342,OverallResults!$B$3:$BB$492,17,FALSE),"")</f>
        <v/>
      </c>
      <c r="S342" s="170" t="e">
        <f t="shared" si="10"/>
        <v>#VALUE!</v>
      </c>
      <c r="T342" s="170" t="e">
        <f t="shared" si="11"/>
        <v>#VALUE!</v>
      </c>
      <c r="U342" s="359" t="str">
        <f>IFERROR(VLOOKUP($D342,EntryList!$B$3:$S$291,18,FALSE),"")</f>
        <v/>
      </c>
      <c r="V342" s="359" t="str">
        <f>IFERROR(VLOOKUP($D342,EntryList!$B$3:$S$291,17,FALSE),"")</f>
        <v/>
      </c>
    </row>
    <row r="343" spans="2:22">
      <c r="B343" s="59">
        <v>338</v>
      </c>
      <c r="C343" s="331" t="str">
        <f>IFERROR(VLOOKUP($B343,OverallResults!$B$3:$Z$508,2,FALSE),"")</f>
        <v>DNF</v>
      </c>
      <c r="D343" s="146" t="str">
        <f>IFERROR(VLOOKUP($B343,OverallResults!$B$3:$Z$508,3,FALSE),"")</f>
        <v/>
      </c>
      <c r="E343" s="146" t="str">
        <f>IFERROR(VLOOKUP(C343,SeriesPoints!$A$2:$B$51,2,FALSE),"")</f>
        <v/>
      </c>
      <c r="F343" s="148" t="str">
        <f>IFERROR(VLOOKUP($D343,EntryList!$B$3:$V$291,21,FALSE),"")</f>
        <v/>
      </c>
      <c r="G343" s="100" t="str">
        <f>IFERROR(VLOOKUP($D343,EntryList!$B$3:$N$596,5,FALSE),"")</f>
        <v/>
      </c>
      <c r="H343" s="145" t="str">
        <f>IFERROR(VLOOKUP($D343,EntryList!$B$3:$N$596,6,FALSE),"")</f>
        <v/>
      </c>
      <c r="I343" s="331" t="str">
        <f>IFERROR(VLOOKUP($B343,OverallResults!$B$3:$Z$492,8,FALSE),"")</f>
        <v/>
      </c>
      <c r="J343" s="58" t="str">
        <f>IFERROR(VLOOKUP($B343,OverallResults!$B$3:$BB$492,9,FALSE),"")</f>
        <v/>
      </c>
      <c r="K343" s="58" t="str">
        <f>IFERROR(VLOOKUP($B343,OverallResults!$B$3:$BB$492,10,FALSE),"")</f>
        <v/>
      </c>
      <c r="L343" s="58" t="str">
        <f>IFERROR(VLOOKUP($B343,OverallResults!$B$3:$BB$492,11,FALSE),"")</f>
        <v/>
      </c>
      <c r="M343" s="58" t="str">
        <f>IFERROR(VLOOKUP($B343,OverallResults!$B$3:$BB$492,12,FALSE),"")</f>
        <v/>
      </c>
      <c r="N343" s="58" t="str">
        <f>IFERROR(VLOOKUP($B343,OverallResults!$B$3:$BB$492,13,FALSE),"")</f>
        <v/>
      </c>
      <c r="O343" s="58" t="str">
        <f>IFERROR(VLOOKUP($B343,OverallResults!$B$3:$BB$492,14,FALSE),"")</f>
        <v/>
      </c>
      <c r="P343" s="58" t="str">
        <f>IFERROR(VLOOKUP($B343,OverallResults!$B$3:$BB$492,15,FALSE),"")</f>
        <v/>
      </c>
      <c r="Q343" s="58" t="str">
        <f>IFERROR(VLOOKUP($B343,OverallResults!$B$3:$BB$492,16,FALSE),"")</f>
        <v/>
      </c>
      <c r="R343" s="58" t="str">
        <f>IFERROR(VLOOKUP($B343,OverallResults!$B$3:$BB$492,17,FALSE),"")</f>
        <v/>
      </c>
      <c r="S343" s="170" t="e">
        <f t="shared" si="10"/>
        <v>#VALUE!</v>
      </c>
      <c r="T343" s="170" t="e">
        <f t="shared" si="11"/>
        <v>#VALUE!</v>
      </c>
      <c r="U343" s="359" t="str">
        <f>IFERROR(VLOOKUP($D343,EntryList!$B$3:$S$291,18,FALSE),"")</f>
        <v/>
      </c>
      <c r="V343" s="359" t="str">
        <f>IFERROR(VLOOKUP($D343,EntryList!$B$3:$S$291,17,FALSE),"")</f>
        <v/>
      </c>
    </row>
    <row r="344" spans="2:22">
      <c r="B344" s="59">
        <v>339</v>
      </c>
      <c r="C344" s="331" t="str">
        <f>IFERROR(VLOOKUP($B344,OverallResults!$B$3:$Z$508,2,FALSE),"")</f>
        <v>DNF</v>
      </c>
      <c r="D344" s="146" t="str">
        <f>IFERROR(VLOOKUP($B344,OverallResults!$B$3:$Z$508,3,FALSE),"")</f>
        <v/>
      </c>
      <c r="E344" s="146" t="str">
        <f>IFERROR(VLOOKUP(C344,SeriesPoints!$A$2:$B$51,2,FALSE),"")</f>
        <v/>
      </c>
      <c r="F344" s="148" t="str">
        <f>IFERROR(VLOOKUP($D344,EntryList!$B$3:$V$291,21,FALSE),"")</f>
        <v/>
      </c>
      <c r="G344" s="100" t="str">
        <f>IFERROR(VLOOKUP($D344,EntryList!$B$3:$N$596,5,FALSE),"")</f>
        <v/>
      </c>
      <c r="H344" s="145" t="str">
        <f>IFERROR(VLOOKUP($D344,EntryList!$B$3:$N$596,6,FALSE),"")</f>
        <v/>
      </c>
      <c r="I344" s="331" t="str">
        <f>IFERROR(VLOOKUP($B344,OverallResults!$B$3:$Z$492,8,FALSE),"")</f>
        <v/>
      </c>
      <c r="J344" s="58" t="str">
        <f>IFERROR(VLOOKUP($B344,OverallResults!$B$3:$BB$492,9,FALSE),"")</f>
        <v/>
      </c>
      <c r="K344" s="58" t="str">
        <f>IFERROR(VLOOKUP($B344,OverallResults!$B$3:$BB$492,10,FALSE),"")</f>
        <v/>
      </c>
      <c r="L344" s="58" t="str">
        <f>IFERROR(VLOOKUP($B344,OverallResults!$B$3:$BB$492,11,FALSE),"")</f>
        <v/>
      </c>
      <c r="M344" s="58" t="str">
        <f>IFERROR(VLOOKUP($B344,OverallResults!$B$3:$BB$492,12,FALSE),"")</f>
        <v/>
      </c>
      <c r="N344" s="58" t="str">
        <f>IFERROR(VLOOKUP($B344,OverallResults!$B$3:$BB$492,13,FALSE),"")</f>
        <v/>
      </c>
      <c r="O344" s="58" t="str">
        <f>IFERROR(VLOOKUP($B344,OverallResults!$B$3:$BB$492,14,FALSE),"")</f>
        <v/>
      </c>
      <c r="P344" s="58" t="str">
        <f>IFERROR(VLOOKUP($B344,OverallResults!$B$3:$BB$492,15,FALSE),"")</f>
        <v/>
      </c>
      <c r="Q344" s="58" t="str">
        <f>IFERROR(VLOOKUP($B344,OverallResults!$B$3:$BB$492,16,FALSE),"")</f>
        <v/>
      </c>
      <c r="R344" s="58" t="str">
        <f>IFERROR(VLOOKUP($B344,OverallResults!$B$3:$BB$492,17,FALSE),"")</f>
        <v/>
      </c>
      <c r="S344" s="170" t="e">
        <f t="shared" si="10"/>
        <v>#VALUE!</v>
      </c>
      <c r="T344" s="170" t="e">
        <f t="shared" si="11"/>
        <v>#VALUE!</v>
      </c>
      <c r="U344" s="359" t="str">
        <f>IFERROR(VLOOKUP($D344,EntryList!$B$3:$S$291,18,FALSE),"")</f>
        <v/>
      </c>
      <c r="V344" s="359" t="str">
        <f>IFERROR(VLOOKUP($D344,EntryList!$B$3:$S$291,17,FALSE),"")</f>
        <v/>
      </c>
    </row>
    <row r="345" spans="2:22">
      <c r="B345" s="59">
        <v>340</v>
      </c>
      <c r="C345" s="331" t="str">
        <f>IFERROR(VLOOKUP($B345,OverallResults!$B$3:$Z$508,2,FALSE),"")</f>
        <v>DNF</v>
      </c>
      <c r="D345" s="146" t="str">
        <f>IFERROR(VLOOKUP($B345,OverallResults!$B$3:$Z$508,3,FALSE),"")</f>
        <v/>
      </c>
      <c r="E345" s="146" t="str">
        <f>IFERROR(VLOOKUP(C345,SeriesPoints!$A$2:$B$51,2,FALSE),"")</f>
        <v/>
      </c>
      <c r="F345" s="148" t="str">
        <f>IFERROR(VLOOKUP($D345,EntryList!$B$3:$V$291,21,FALSE),"")</f>
        <v/>
      </c>
      <c r="G345" s="100" t="str">
        <f>IFERROR(VLOOKUP($D345,EntryList!$B$3:$N$596,5,FALSE),"")</f>
        <v/>
      </c>
      <c r="H345" s="145" t="str">
        <f>IFERROR(VLOOKUP($D345,EntryList!$B$3:$N$596,6,FALSE),"")</f>
        <v/>
      </c>
      <c r="I345" s="331" t="str">
        <f>IFERROR(VLOOKUP($B345,OverallResults!$B$3:$Z$492,8,FALSE),"")</f>
        <v/>
      </c>
      <c r="J345" s="58" t="str">
        <f>IFERROR(VLOOKUP($B345,OverallResults!$B$3:$BB$492,9,FALSE),"")</f>
        <v/>
      </c>
      <c r="K345" s="58" t="str">
        <f>IFERROR(VLOOKUP($B345,OverallResults!$B$3:$BB$492,10,FALSE),"")</f>
        <v/>
      </c>
      <c r="L345" s="58" t="str">
        <f>IFERROR(VLOOKUP($B345,OverallResults!$B$3:$BB$492,11,FALSE),"")</f>
        <v/>
      </c>
      <c r="M345" s="58" t="str">
        <f>IFERROR(VLOOKUP($B345,OverallResults!$B$3:$BB$492,12,FALSE),"")</f>
        <v/>
      </c>
      <c r="N345" s="58" t="str">
        <f>IFERROR(VLOOKUP($B345,OverallResults!$B$3:$BB$492,13,FALSE),"")</f>
        <v/>
      </c>
      <c r="O345" s="58" t="str">
        <f>IFERROR(VLOOKUP($B345,OverallResults!$B$3:$BB$492,14,FALSE),"")</f>
        <v/>
      </c>
      <c r="P345" s="58" t="str">
        <f>IFERROR(VLOOKUP($B345,OverallResults!$B$3:$BB$492,15,FALSE),"")</f>
        <v/>
      </c>
      <c r="Q345" s="58" t="str">
        <f>IFERROR(VLOOKUP($B345,OverallResults!$B$3:$BB$492,16,FALSE),"")</f>
        <v/>
      </c>
      <c r="R345" s="58" t="str">
        <f>IFERROR(VLOOKUP($B345,OverallResults!$B$3:$BB$492,17,FALSE),"")</f>
        <v/>
      </c>
      <c r="S345" s="170" t="e">
        <f t="shared" si="10"/>
        <v>#VALUE!</v>
      </c>
      <c r="T345" s="170" t="e">
        <f t="shared" si="11"/>
        <v>#VALUE!</v>
      </c>
      <c r="U345" s="359" t="str">
        <f>IFERROR(VLOOKUP($D345,EntryList!$B$3:$S$291,18,FALSE),"")</f>
        <v/>
      </c>
      <c r="V345" s="359" t="str">
        <f>IFERROR(VLOOKUP($D345,EntryList!$B$3:$S$291,17,FALSE),"")</f>
        <v/>
      </c>
    </row>
    <row r="346" spans="2:22">
      <c r="B346" s="59">
        <v>341</v>
      </c>
      <c r="C346" s="331" t="str">
        <f>IFERROR(VLOOKUP($B346,OverallResults!$B$3:$Z$508,2,FALSE),"")</f>
        <v>DNF</v>
      </c>
      <c r="D346" s="146" t="str">
        <f>IFERROR(VLOOKUP($B346,OverallResults!$B$3:$Z$508,3,FALSE),"")</f>
        <v/>
      </c>
      <c r="E346" s="146" t="str">
        <f>IFERROR(VLOOKUP(C346,SeriesPoints!$A$2:$B$51,2,FALSE),"")</f>
        <v/>
      </c>
      <c r="F346" s="148" t="str">
        <f>IFERROR(VLOOKUP($D346,EntryList!$B$3:$V$291,21,FALSE),"")</f>
        <v/>
      </c>
      <c r="G346" s="100" t="str">
        <f>IFERROR(VLOOKUP($D346,EntryList!$B$3:$N$596,5,FALSE),"")</f>
        <v/>
      </c>
      <c r="H346" s="145" t="str">
        <f>IFERROR(VLOOKUP($D346,EntryList!$B$3:$N$596,6,FALSE),"")</f>
        <v/>
      </c>
      <c r="I346" s="331" t="str">
        <f>IFERROR(VLOOKUP($B346,OverallResults!$B$3:$Z$492,8,FALSE),"")</f>
        <v/>
      </c>
      <c r="J346" s="58" t="str">
        <f>IFERROR(VLOOKUP($B346,OverallResults!$B$3:$BB$492,9,FALSE),"")</f>
        <v/>
      </c>
      <c r="K346" s="58" t="str">
        <f>IFERROR(VLOOKUP($B346,OverallResults!$B$3:$BB$492,10,FALSE),"")</f>
        <v/>
      </c>
      <c r="L346" s="58" t="str">
        <f>IFERROR(VLOOKUP($B346,OverallResults!$B$3:$BB$492,11,FALSE),"")</f>
        <v/>
      </c>
      <c r="M346" s="58" t="str">
        <f>IFERROR(VLOOKUP($B346,OverallResults!$B$3:$BB$492,12,FALSE),"")</f>
        <v/>
      </c>
      <c r="N346" s="58" t="str">
        <f>IFERROR(VLOOKUP($B346,OverallResults!$B$3:$BB$492,13,FALSE),"")</f>
        <v/>
      </c>
      <c r="O346" s="58" t="str">
        <f>IFERROR(VLOOKUP($B346,OverallResults!$B$3:$BB$492,14,FALSE),"")</f>
        <v/>
      </c>
      <c r="P346" s="58" t="str">
        <f>IFERROR(VLOOKUP($B346,OverallResults!$B$3:$BB$492,15,FALSE),"")</f>
        <v/>
      </c>
      <c r="Q346" s="58" t="str">
        <f>IFERROR(VLOOKUP($B346,OverallResults!$B$3:$BB$492,16,FALSE),"")</f>
        <v/>
      </c>
      <c r="R346" s="58" t="str">
        <f>IFERROR(VLOOKUP($B346,OverallResults!$B$3:$BB$492,17,FALSE),"")</f>
        <v/>
      </c>
      <c r="S346" s="170" t="e">
        <f t="shared" si="10"/>
        <v>#VALUE!</v>
      </c>
      <c r="T346" s="170" t="e">
        <f t="shared" si="11"/>
        <v>#VALUE!</v>
      </c>
      <c r="U346" s="359" t="str">
        <f>IFERROR(VLOOKUP($D346,EntryList!$B$3:$S$291,18,FALSE),"")</f>
        <v/>
      </c>
      <c r="V346" s="359" t="str">
        <f>IFERROR(VLOOKUP($D346,EntryList!$B$3:$S$291,17,FALSE),"")</f>
        <v/>
      </c>
    </row>
    <row r="347" spans="2:22">
      <c r="B347" s="59">
        <v>342</v>
      </c>
      <c r="C347" s="331" t="str">
        <f>IFERROR(VLOOKUP($B347,OverallResults!$B$3:$Z$508,2,FALSE),"")</f>
        <v>DNF</v>
      </c>
      <c r="D347" s="146" t="str">
        <f>IFERROR(VLOOKUP($B347,OverallResults!$B$3:$Z$508,3,FALSE),"")</f>
        <v/>
      </c>
      <c r="E347" s="146" t="str">
        <f>IFERROR(VLOOKUP(C347,SeriesPoints!$A$2:$B$51,2,FALSE),"")</f>
        <v/>
      </c>
      <c r="F347" s="148" t="str">
        <f>IFERROR(VLOOKUP($D347,EntryList!$B$3:$V$291,21,FALSE),"")</f>
        <v/>
      </c>
      <c r="G347" s="100" t="str">
        <f>IFERROR(VLOOKUP($D347,EntryList!$B$3:$N$596,5,FALSE),"")</f>
        <v/>
      </c>
      <c r="H347" s="145" t="str">
        <f>IFERROR(VLOOKUP($D347,EntryList!$B$3:$N$596,6,FALSE),"")</f>
        <v/>
      </c>
      <c r="I347" s="331" t="str">
        <f>IFERROR(VLOOKUP($B347,OverallResults!$B$3:$Z$492,8,FALSE),"")</f>
        <v/>
      </c>
      <c r="J347" s="58" t="str">
        <f>IFERROR(VLOOKUP($B347,OverallResults!$B$3:$BB$492,9,FALSE),"")</f>
        <v/>
      </c>
      <c r="K347" s="58" t="str">
        <f>IFERROR(VLOOKUP($B347,OverallResults!$B$3:$BB$492,10,FALSE),"")</f>
        <v/>
      </c>
      <c r="L347" s="58" t="str">
        <f>IFERROR(VLOOKUP($B347,OverallResults!$B$3:$BB$492,11,FALSE),"")</f>
        <v/>
      </c>
      <c r="M347" s="58" t="str">
        <f>IFERROR(VLOOKUP($B347,OverallResults!$B$3:$BB$492,12,FALSE),"")</f>
        <v/>
      </c>
      <c r="N347" s="58" t="str">
        <f>IFERROR(VLOOKUP($B347,OverallResults!$B$3:$BB$492,13,FALSE),"")</f>
        <v/>
      </c>
      <c r="O347" s="58" t="str">
        <f>IFERROR(VLOOKUP($B347,OverallResults!$B$3:$BB$492,14,FALSE),"")</f>
        <v/>
      </c>
      <c r="P347" s="58" t="str">
        <f>IFERROR(VLOOKUP($B347,OverallResults!$B$3:$BB$492,15,FALSE),"")</f>
        <v/>
      </c>
      <c r="Q347" s="58" t="str">
        <f>IFERROR(VLOOKUP($B347,OverallResults!$B$3:$BB$492,16,FALSE),"")</f>
        <v/>
      </c>
      <c r="R347" s="58" t="str">
        <f>IFERROR(VLOOKUP($B347,OverallResults!$B$3:$BB$492,17,FALSE),"")</f>
        <v/>
      </c>
      <c r="S347" s="170" t="e">
        <f t="shared" si="10"/>
        <v>#VALUE!</v>
      </c>
      <c r="T347" s="170" t="e">
        <f t="shared" si="11"/>
        <v>#VALUE!</v>
      </c>
      <c r="U347" s="359" t="str">
        <f>IFERROR(VLOOKUP($D347,EntryList!$B$3:$S$291,18,FALSE),"")</f>
        <v/>
      </c>
      <c r="V347" s="359" t="str">
        <f>IFERROR(VLOOKUP($D347,EntryList!$B$3:$S$291,17,FALSE),"")</f>
        <v/>
      </c>
    </row>
    <row r="348" spans="2:22">
      <c r="B348" s="59">
        <v>343</v>
      </c>
      <c r="C348" s="331" t="str">
        <f>IFERROR(VLOOKUP($B348,OverallResults!$B$3:$Z$508,2,FALSE),"")</f>
        <v>DNF</v>
      </c>
      <c r="D348" s="146" t="str">
        <f>IFERROR(VLOOKUP($B348,OverallResults!$B$3:$Z$508,3,FALSE),"")</f>
        <v/>
      </c>
      <c r="E348" s="146" t="str">
        <f>IFERROR(VLOOKUP(C348,SeriesPoints!$A$2:$B$51,2,FALSE),"")</f>
        <v/>
      </c>
      <c r="F348" s="148" t="str">
        <f>IFERROR(VLOOKUP($D348,EntryList!$B$3:$V$291,21,FALSE),"")</f>
        <v/>
      </c>
      <c r="G348" s="100" t="str">
        <f>IFERROR(VLOOKUP($D348,EntryList!$B$3:$N$596,5,FALSE),"")</f>
        <v/>
      </c>
      <c r="H348" s="145" t="str">
        <f>IFERROR(VLOOKUP($D348,EntryList!$B$3:$N$596,6,FALSE),"")</f>
        <v/>
      </c>
      <c r="I348" s="331" t="str">
        <f>IFERROR(VLOOKUP($B348,OverallResults!$B$3:$Z$492,8,FALSE),"")</f>
        <v/>
      </c>
      <c r="J348" s="58" t="str">
        <f>IFERROR(VLOOKUP($B348,OverallResults!$B$3:$BB$492,9,FALSE),"")</f>
        <v/>
      </c>
      <c r="K348" s="58" t="str">
        <f>IFERROR(VLOOKUP($B348,OverallResults!$B$3:$BB$492,10,FALSE),"")</f>
        <v/>
      </c>
      <c r="L348" s="58" t="str">
        <f>IFERROR(VLOOKUP($B348,OverallResults!$B$3:$BB$492,11,FALSE),"")</f>
        <v/>
      </c>
      <c r="M348" s="58" t="str">
        <f>IFERROR(VLOOKUP($B348,OverallResults!$B$3:$BB$492,12,FALSE),"")</f>
        <v/>
      </c>
      <c r="N348" s="58" t="str">
        <f>IFERROR(VLOOKUP($B348,OverallResults!$B$3:$BB$492,13,FALSE),"")</f>
        <v/>
      </c>
      <c r="O348" s="58" t="str">
        <f>IFERROR(VLOOKUP($B348,OverallResults!$B$3:$BB$492,14,FALSE),"")</f>
        <v/>
      </c>
      <c r="P348" s="58" t="str">
        <f>IFERROR(VLOOKUP($B348,OverallResults!$B$3:$BB$492,15,FALSE),"")</f>
        <v/>
      </c>
      <c r="Q348" s="58" t="str">
        <f>IFERROR(VLOOKUP($B348,OverallResults!$B$3:$BB$492,16,FALSE),"")</f>
        <v/>
      </c>
      <c r="R348" s="58" t="str">
        <f>IFERROR(VLOOKUP($B348,OverallResults!$B$3:$BB$492,17,FALSE),"")</f>
        <v/>
      </c>
      <c r="S348" s="170" t="e">
        <f t="shared" si="10"/>
        <v>#VALUE!</v>
      </c>
      <c r="T348" s="170" t="e">
        <f t="shared" si="11"/>
        <v>#VALUE!</v>
      </c>
      <c r="U348" s="359" t="str">
        <f>IFERROR(VLOOKUP($D348,EntryList!$B$3:$S$291,18,FALSE),"")</f>
        <v/>
      </c>
      <c r="V348" s="359" t="str">
        <f>IFERROR(VLOOKUP($D348,EntryList!$B$3:$S$291,17,FALSE),"")</f>
        <v/>
      </c>
    </row>
    <row r="349" spans="2:22">
      <c r="B349" s="59">
        <v>344</v>
      </c>
      <c r="C349" s="331" t="str">
        <f>IFERROR(VLOOKUP($B349,OverallResults!$B$3:$Z$508,2,FALSE),"")</f>
        <v>DNF</v>
      </c>
      <c r="D349" s="146" t="str">
        <f>IFERROR(VLOOKUP($B349,OverallResults!$B$3:$Z$508,3,FALSE),"")</f>
        <v/>
      </c>
      <c r="E349" s="146" t="str">
        <f>IFERROR(VLOOKUP(C349,SeriesPoints!$A$2:$B$51,2,FALSE),"")</f>
        <v/>
      </c>
      <c r="F349" s="148" t="str">
        <f>IFERROR(VLOOKUP($D349,EntryList!$B$3:$V$291,21,FALSE),"")</f>
        <v/>
      </c>
      <c r="G349" s="100" t="str">
        <f>IFERROR(VLOOKUP($D349,EntryList!$B$3:$N$596,5,FALSE),"")</f>
        <v/>
      </c>
      <c r="H349" s="145" t="str">
        <f>IFERROR(VLOOKUP($D349,EntryList!$B$3:$N$596,6,FALSE),"")</f>
        <v/>
      </c>
      <c r="I349" s="331" t="str">
        <f>IFERROR(VLOOKUP($B349,OverallResults!$B$3:$Z$492,8,FALSE),"")</f>
        <v/>
      </c>
      <c r="J349" s="58" t="str">
        <f>IFERROR(VLOOKUP($B349,OverallResults!$B$3:$BB$492,9,FALSE),"")</f>
        <v/>
      </c>
      <c r="K349" s="58" t="str">
        <f>IFERROR(VLOOKUP($B349,OverallResults!$B$3:$BB$492,10,FALSE),"")</f>
        <v/>
      </c>
      <c r="L349" s="58" t="str">
        <f>IFERROR(VLOOKUP($B349,OverallResults!$B$3:$BB$492,11,FALSE),"")</f>
        <v/>
      </c>
      <c r="M349" s="58" t="str">
        <f>IFERROR(VLOOKUP($B349,OverallResults!$B$3:$BB$492,12,FALSE),"")</f>
        <v/>
      </c>
      <c r="N349" s="58" t="str">
        <f>IFERROR(VLOOKUP($B349,OverallResults!$B$3:$BB$492,13,FALSE),"")</f>
        <v/>
      </c>
      <c r="O349" s="58" t="str">
        <f>IFERROR(VLOOKUP($B349,OverallResults!$B$3:$BB$492,14,FALSE),"")</f>
        <v/>
      </c>
      <c r="P349" s="58" t="str">
        <f>IFERROR(VLOOKUP($B349,OverallResults!$B$3:$BB$492,15,FALSE),"")</f>
        <v/>
      </c>
      <c r="Q349" s="58" t="str">
        <f>IFERROR(VLOOKUP($B349,OverallResults!$B$3:$BB$492,16,FALSE),"")</f>
        <v/>
      </c>
      <c r="R349" s="58" t="str">
        <f>IFERROR(VLOOKUP($B349,OverallResults!$B$3:$BB$492,17,FALSE),"")</f>
        <v/>
      </c>
      <c r="S349" s="170" t="e">
        <f t="shared" si="10"/>
        <v>#VALUE!</v>
      </c>
      <c r="T349" s="170" t="e">
        <f t="shared" si="11"/>
        <v>#VALUE!</v>
      </c>
      <c r="U349" s="359" t="str">
        <f>IFERROR(VLOOKUP($D349,EntryList!$B$3:$S$291,18,FALSE),"")</f>
        <v/>
      </c>
      <c r="V349" s="359" t="str">
        <f>IFERROR(VLOOKUP($D349,EntryList!$B$3:$S$291,17,FALSE),"")</f>
        <v/>
      </c>
    </row>
    <row r="350" spans="2:22">
      <c r="B350" s="59">
        <v>345</v>
      </c>
      <c r="C350" s="331" t="str">
        <f>IFERROR(VLOOKUP($B350,OverallResults!$B$3:$Z$508,2,FALSE),"")</f>
        <v>DNF</v>
      </c>
      <c r="D350" s="146" t="str">
        <f>IFERROR(VLOOKUP($B350,OverallResults!$B$3:$Z$508,3,FALSE),"")</f>
        <v/>
      </c>
      <c r="E350" s="146" t="str">
        <f>IFERROR(VLOOKUP(C350,SeriesPoints!$A$2:$B$51,2,FALSE),"")</f>
        <v/>
      </c>
      <c r="F350" s="148" t="str">
        <f>IFERROR(VLOOKUP($D350,EntryList!$B$3:$V$291,21,FALSE),"")</f>
        <v/>
      </c>
      <c r="G350" s="100" t="str">
        <f>IFERROR(VLOOKUP($D350,EntryList!$B$3:$N$596,5,FALSE),"")</f>
        <v/>
      </c>
      <c r="H350" s="145" t="str">
        <f>IFERROR(VLOOKUP($D350,EntryList!$B$3:$N$596,6,FALSE),"")</f>
        <v/>
      </c>
      <c r="I350" s="331" t="str">
        <f>IFERROR(VLOOKUP($B350,OverallResults!$B$3:$Z$492,8,FALSE),"")</f>
        <v/>
      </c>
      <c r="J350" s="58" t="str">
        <f>IFERROR(VLOOKUP($B350,OverallResults!$B$3:$BB$492,9,FALSE),"")</f>
        <v/>
      </c>
      <c r="K350" s="58" t="str">
        <f>IFERROR(VLOOKUP($B350,OverallResults!$B$3:$BB$492,10,FALSE),"")</f>
        <v/>
      </c>
      <c r="L350" s="58" t="str">
        <f>IFERROR(VLOOKUP($B350,OverallResults!$B$3:$BB$492,11,FALSE),"")</f>
        <v/>
      </c>
      <c r="M350" s="58" t="str">
        <f>IFERROR(VLOOKUP($B350,OverallResults!$B$3:$BB$492,12,FALSE),"")</f>
        <v/>
      </c>
      <c r="N350" s="58" t="str">
        <f>IFERROR(VLOOKUP($B350,OverallResults!$B$3:$BB$492,13,FALSE),"")</f>
        <v/>
      </c>
      <c r="O350" s="58" t="str">
        <f>IFERROR(VLOOKUP($B350,OverallResults!$B$3:$BB$492,14,FALSE),"")</f>
        <v/>
      </c>
      <c r="P350" s="58" t="str">
        <f>IFERROR(VLOOKUP($B350,OverallResults!$B$3:$BB$492,15,FALSE),"")</f>
        <v/>
      </c>
      <c r="Q350" s="58" t="str">
        <f>IFERROR(VLOOKUP($B350,OverallResults!$B$3:$BB$492,16,FALSE),"")</f>
        <v/>
      </c>
      <c r="R350" s="58" t="str">
        <f>IFERROR(VLOOKUP($B350,OverallResults!$B$3:$BB$492,17,FALSE),"")</f>
        <v/>
      </c>
      <c r="S350" s="170" t="e">
        <f t="shared" si="10"/>
        <v>#VALUE!</v>
      </c>
      <c r="T350" s="170" t="e">
        <f t="shared" si="11"/>
        <v>#VALUE!</v>
      </c>
      <c r="U350" s="359" t="str">
        <f>IFERROR(VLOOKUP($D350,EntryList!$B$3:$S$291,18,FALSE),"")</f>
        <v/>
      </c>
      <c r="V350" s="359" t="str">
        <f>IFERROR(VLOOKUP($D350,EntryList!$B$3:$S$291,17,FALSE),"")</f>
        <v/>
      </c>
    </row>
    <row r="351" spans="2:22">
      <c r="B351" s="59">
        <v>346</v>
      </c>
      <c r="C351" s="331" t="str">
        <f>IFERROR(VLOOKUP($B351,OverallResults!$B$3:$Z$508,2,FALSE),"")</f>
        <v>DNF</v>
      </c>
      <c r="D351" s="146" t="str">
        <f>IFERROR(VLOOKUP($B351,OverallResults!$B$3:$Z$508,3,FALSE),"")</f>
        <v/>
      </c>
      <c r="E351" s="146" t="str">
        <f>IFERROR(VLOOKUP(C351,SeriesPoints!$A$2:$B$51,2,FALSE),"")</f>
        <v/>
      </c>
      <c r="F351" s="148" t="str">
        <f>IFERROR(VLOOKUP($D351,EntryList!$B$3:$V$291,21,FALSE),"")</f>
        <v/>
      </c>
      <c r="G351" s="100" t="str">
        <f>IFERROR(VLOOKUP($D351,EntryList!$B$3:$N$596,5,FALSE),"")</f>
        <v/>
      </c>
      <c r="H351" s="145" t="str">
        <f>IFERROR(VLOOKUP($D351,EntryList!$B$3:$N$596,6,FALSE),"")</f>
        <v/>
      </c>
      <c r="I351" s="331" t="str">
        <f>IFERROR(VLOOKUP($B351,OverallResults!$B$3:$Z$492,8,FALSE),"")</f>
        <v/>
      </c>
      <c r="J351" s="58" t="str">
        <f>IFERROR(VLOOKUP($B351,OverallResults!$B$3:$BB$492,9,FALSE),"")</f>
        <v/>
      </c>
      <c r="K351" s="58" t="str">
        <f>IFERROR(VLOOKUP($B351,OverallResults!$B$3:$BB$492,10,FALSE),"")</f>
        <v/>
      </c>
      <c r="L351" s="58" t="str">
        <f>IFERROR(VLOOKUP($B351,OverallResults!$B$3:$BB$492,11,FALSE),"")</f>
        <v/>
      </c>
      <c r="M351" s="58" t="str">
        <f>IFERROR(VLOOKUP($B351,OverallResults!$B$3:$BB$492,12,FALSE),"")</f>
        <v/>
      </c>
      <c r="N351" s="58" t="str">
        <f>IFERROR(VLOOKUP($B351,OverallResults!$B$3:$BB$492,13,FALSE),"")</f>
        <v/>
      </c>
      <c r="O351" s="58" t="str">
        <f>IFERROR(VLOOKUP($B351,OverallResults!$B$3:$BB$492,14,FALSE),"")</f>
        <v/>
      </c>
      <c r="P351" s="58" t="str">
        <f>IFERROR(VLOOKUP($B351,OverallResults!$B$3:$BB$492,15,FALSE),"")</f>
        <v/>
      </c>
      <c r="Q351" s="58" t="str">
        <f>IFERROR(VLOOKUP($B351,OverallResults!$B$3:$BB$492,16,FALSE),"")</f>
        <v/>
      </c>
      <c r="R351" s="58" t="str">
        <f>IFERROR(VLOOKUP($B351,OverallResults!$B$3:$BB$492,17,FALSE),"")</f>
        <v/>
      </c>
      <c r="S351" s="170" t="e">
        <f t="shared" si="10"/>
        <v>#VALUE!</v>
      </c>
      <c r="T351" s="170" t="e">
        <f t="shared" si="11"/>
        <v>#VALUE!</v>
      </c>
      <c r="U351" s="359" t="str">
        <f>IFERROR(VLOOKUP($D351,EntryList!$B$3:$S$291,18,FALSE),"")</f>
        <v/>
      </c>
      <c r="V351" s="359" t="str">
        <f>IFERROR(VLOOKUP($D351,EntryList!$B$3:$S$291,17,FALSE),"")</f>
        <v/>
      </c>
    </row>
    <row r="352" spans="2:22">
      <c r="B352" s="59">
        <v>347</v>
      </c>
      <c r="C352" s="331" t="str">
        <f>IFERROR(VLOOKUP($B352,OverallResults!$B$3:$Z$508,2,FALSE),"")</f>
        <v>DNF</v>
      </c>
      <c r="D352" s="146" t="str">
        <f>IFERROR(VLOOKUP($B352,OverallResults!$B$3:$Z$508,3,FALSE),"")</f>
        <v/>
      </c>
      <c r="E352" s="146" t="str">
        <f>IFERROR(VLOOKUP(C352,SeriesPoints!$A$2:$B$51,2,FALSE),"")</f>
        <v/>
      </c>
      <c r="F352" s="148" t="str">
        <f>IFERROR(VLOOKUP($D352,EntryList!$B$3:$V$291,21,FALSE),"")</f>
        <v/>
      </c>
      <c r="G352" s="100" t="str">
        <f>IFERROR(VLOOKUP($D352,EntryList!$B$3:$N$596,5,FALSE),"")</f>
        <v/>
      </c>
      <c r="H352" s="145" t="str">
        <f>IFERROR(VLOOKUP($D352,EntryList!$B$3:$N$596,6,FALSE),"")</f>
        <v/>
      </c>
      <c r="I352" s="331" t="str">
        <f>IFERROR(VLOOKUP($B352,OverallResults!$B$3:$Z$492,8,FALSE),"")</f>
        <v/>
      </c>
      <c r="J352" s="58" t="str">
        <f>IFERROR(VLOOKUP($B352,OverallResults!$B$3:$BB$492,9,FALSE),"")</f>
        <v/>
      </c>
      <c r="K352" s="58" t="str">
        <f>IFERROR(VLOOKUP($B352,OverallResults!$B$3:$BB$492,10,FALSE),"")</f>
        <v/>
      </c>
      <c r="L352" s="58" t="str">
        <f>IFERROR(VLOOKUP($B352,OverallResults!$B$3:$BB$492,11,FALSE),"")</f>
        <v/>
      </c>
      <c r="M352" s="58" t="str">
        <f>IFERROR(VLOOKUP($B352,OverallResults!$B$3:$BB$492,12,FALSE),"")</f>
        <v/>
      </c>
      <c r="N352" s="58" t="str">
        <f>IFERROR(VLOOKUP($B352,OverallResults!$B$3:$BB$492,13,FALSE),"")</f>
        <v/>
      </c>
      <c r="O352" s="58" t="str">
        <f>IFERROR(VLOOKUP($B352,OverallResults!$B$3:$BB$492,14,FALSE),"")</f>
        <v/>
      </c>
      <c r="P352" s="58" t="str">
        <f>IFERROR(VLOOKUP($B352,OverallResults!$B$3:$BB$492,15,FALSE),"")</f>
        <v/>
      </c>
      <c r="Q352" s="58" t="str">
        <f>IFERROR(VLOOKUP($B352,OverallResults!$B$3:$BB$492,16,FALSE),"")</f>
        <v/>
      </c>
      <c r="R352" s="58" t="str">
        <f>IFERROR(VLOOKUP($B352,OverallResults!$B$3:$BB$492,17,FALSE),"")</f>
        <v/>
      </c>
      <c r="S352" s="170" t="e">
        <f t="shared" si="10"/>
        <v>#VALUE!</v>
      </c>
      <c r="T352" s="170" t="e">
        <f t="shared" si="11"/>
        <v>#VALUE!</v>
      </c>
      <c r="U352" s="359" t="str">
        <f>IFERROR(VLOOKUP($D352,EntryList!$B$3:$S$291,18,FALSE),"")</f>
        <v/>
      </c>
      <c r="V352" s="359" t="str">
        <f>IFERROR(VLOOKUP($D352,EntryList!$B$3:$S$291,17,FALSE),"")</f>
        <v/>
      </c>
    </row>
    <row r="353" spans="2:22">
      <c r="B353" s="59">
        <v>348</v>
      </c>
      <c r="C353" s="331" t="str">
        <f>IFERROR(VLOOKUP($B353,OverallResults!$B$3:$Z$508,2,FALSE),"")</f>
        <v>DNF</v>
      </c>
      <c r="D353" s="146" t="str">
        <f>IFERROR(VLOOKUP($B353,OverallResults!$B$3:$Z$508,3,FALSE),"")</f>
        <v/>
      </c>
      <c r="E353" s="146" t="str">
        <f>IFERROR(VLOOKUP(C353,SeriesPoints!$A$2:$B$51,2,FALSE),"")</f>
        <v/>
      </c>
      <c r="F353" s="148" t="str">
        <f>IFERROR(VLOOKUP($D353,EntryList!$B$3:$V$291,21,FALSE),"")</f>
        <v/>
      </c>
      <c r="G353" s="100" t="str">
        <f>IFERROR(VLOOKUP($D353,EntryList!$B$3:$N$596,5,FALSE),"")</f>
        <v/>
      </c>
      <c r="H353" s="145" t="str">
        <f>IFERROR(VLOOKUP($D353,EntryList!$B$3:$N$596,6,FALSE),"")</f>
        <v/>
      </c>
      <c r="I353" s="331" t="str">
        <f>IFERROR(VLOOKUP($B353,OverallResults!$B$3:$Z$492,8,FALSE),"")</f>
        <v/>
      </c>
      <c r="J353" s="58" t="str">
        <f>IFERROR(VLOOKUP($B353,OverallResults!$B$3:$BB$492,9,FALSE),"")</f>
        <v/>
      </c>
      <c r="K353" s="58" t="str">
        <f>IFERROR(VLOOKUP($B353,OverallResults!$B$3:$BB$492,10,FALSE),"")</f>
        <v/>
      </c>
      <c r="L353" s="58" t="str">
        <f>IFERROR(VLOOKUP($B353,OverallResults!$B$3:$BB$492,11,FALSE),"")</f>
        <v/>
      </c>
      <c r="M353" s="58" t="str">
        <f>IFERROR(VLOOKUP($B353,OverallResults!$B$3:$BB$492,12,FALSE),"")</f>
        <v/>
      </c>
      <c r="N353" s="58" t="str">
        <f>IFERROR(VLOOKUP($B353,OverallResults!$B$3:$BB$492,13,FALSE),"")</f>
        <v/>
      </c>
      <c r="O353" s="58" t="str">
        <f>IFERROR(VLOOKUP($B353,OverallResults!$B$3:$BB$492,14,FALSE),"")</f>
        <v/>
      </c>
      <c r="P353" s="58" t="str">
        <f>IFERROR(VLOOKUP($B353,OverallResults!$B$3:$BB$492,15,FALSE),"")</f>
        <v/>
      </c>
      <c r="Q353" s="58" t="str">
        <f>IFERROR(VLOOKUP($B353,OverallResults!$B$3:$BB$492,16,FALSE),"")</f>
        <v/>
      </c>
      <c r="R353" s="58" t="str">
        <f>IFERROR(VLOOKUP($B353,OverallResults!$B$3:$BB$492,17,FALSE),"")</f>
        <v/>
      </c>
      <c r="S353" s="170" t="e">
        <f t="shared" si="10"/>
        <v>#VALUE!</v>
      </c>
      <c r="T353" s="170" t="e">
        <f t="shared" si="11"/>
        <v>#VALUE!</v>
      </c>
      <c r="U353" s="359" t="str">
        <f>IFERROR(VLOOKUP($D353,EntryList!$B$3:$S$291,18,FALSE),"")</f>
        <v/>
      </c>
      <c r="V353" s="359" t="str">
        <f>IFERROR(VLOOKUP($D353,EntryList!$B$3:$S$291,17,FALSE),"")</f>
        <v/>
      </c>
    </row>
    <row r="354" spans="2:22">
      <c r="B354" s="59">
        <v>349</v>
      </c>
      <c r="C354" s="331" t="str">
        <f>IFERROR(VLOOKUP($B354,OverallResults!$B$3:$Z$508,2,FALSE),"")</f>
        <v>DNF</v>
      </c>
      <c r="D354" s="146" t="str">
        <f>IFERROR(VLOOKUP($B354,OverallResults!$B$3:$Z$508,3,FALSE),"")</f>
        <v/>
      </c>
      <c r="E354" s="146" t="str">
        <f>IFERROR(VLOOKUP(C354,SeriesPoints!$A$2:$B$51,2,FALSE),"")</f>
        <v/>
      </c>
      <c r="F354" s="148" t="str">
        <f>IFERROR(VLOOKUP($D354,EntryList!$B$3:$V$291,21,FALSE),"")</f>
        <v/>
      </c>
      <c r="G354" s="100" t="str">
        <f>IFERROR(VLOOKUP($D354,EntryList!$B$3:$N$596,5,FALSE),"")</f>
        <v/>
      </c>
      <c r="H354" s="145" t="str">
        <f>IFERROR(VLOOKUP($D354,EntryList!$B$3:$N$596,6,FALSE),"")</f>
        <v/>
      </c>
      <c r="I354" s="331" t="str">
        <f>IFERROR(VLOOKUP($B354,OverallResults!$B$3:$Z$492,8,FALSE),"")</f>
        <v/>
      </c>
      <c r="J354" s="58" t="str">
        <f>IFERROR(VLOOKUP($B354,OverallResults!$B$3:$BB$492,9,FALSE),"")</f>
        <v/>
      </c>
      <c r="K354" s="58" t="str">
        <f>IFERROR(VLOOKUP($B354,OverallResults!$B$3:$BB$492,10,FALSE),"")</f>
        <v/>
      </c>
      <c r="L354" s="58" t="str">
        <f>IFERROR(VLOOKUP($B354,OverallResults!$B$3:$BB$492,11,FALSE),"")</f>
        <v/>
      </c>
      <c r="M354" s="58" t="str">
        <f>IFERROR(VLOOKUP($B354,OverallResults!$B$3:$BB$492,12,FALSE),"")</f>
        <v/>
      </c>
      <c r="N354" s="58" t="str">
        <f>IFERROR(VLOOKUP($B354,OverallResults!$B$3:$BB$492,13,FALSE),"")</f>
        <v/>
      </c>
      <c r="O354" s="58" t="str">
        <f>IFERROR(VLOOKUP($B354,OverallResults!$B$3:$BB$492,14,FALSE),"")</f>
        <v/>
      </c>
      <c r="P354" s="58" t="str">
        <f>IFERROR(VLOOKUP($B354,OverallResults!$B$3:$BB$492,15,FALSE),"")</f>
        <v/>
      </c>
      <c r="Q354" s="58" t="str">
        <f>IFERROR(VLOOKUP($B354,OverallResults!$B$3:$BB$492,16,FALSE),"")</f>
        <v/>
      </c>
      <c r="R354" s="58" t="str">
        <f>IFERROR(VLOOKUP($B354,OverallResults!$B$3:$BB$492,17,FALSE),"")</f>
        <v/>
      </c>
      <c r="S354" s="170" t="e">
        <f t="shared" ref="S354:S385" si="12">R354-R353</f>
        <v>#VALUE!</v>
      </c>
      <c r="T354" s="170" t="e">
        <f t="shared" ref="T354:T385" si="13">R354-R$6</f>
        <v>#VALUE!</v>
      </c>
      <c r="U354" s="359" t="str">
        <f>IFERROR(VLOOKUP($D354,EntryList!$B$3:$S$291,18,FALSE),"")</f>
        <v/>
      </c>
      <c r="V354" s="359" t="str">
        <f>IFERROR(VLOOKUP($D354,EntryList!$B$3:$S$291,17,FALSE),"")</f>
        <v/>
      </c>
    </row>
    <row r="355" spans="2:22">
      <c r="B355" s="59">
        <v>350</v>
      </c>
      <c r="C355" s="331" t="str">
        <f>IFERROR(VLOOKUP($B355,OverallResults!$B$3:$Z$508,2,FALSE),"")</f>
        <v>DNF</v>
      </c>
      <c r="D355" s="146" t="str">
        <f>IFERROR(VLOOKUP($B355,OverallResults!$B$3:$Z$508,3,FALSE),"")</f>
        <v/>
      </c>
      <c r="E355" s="146" t="str">
        <f>IFERROR(VLOOKUP(C355,SeriesPoints!$A$2:$B$51,2,FALSE),"")</f>
        <v/>
      </c>
      <c r="F355" s="148" t="str">
        <f>IFERROR(VLOOKUP($D355,EntryList!$B$3:$V$291,21,FALSE),"")</f>
        <v/>
      </c>
      <c r="G355" s="100" t="str">
        <f>IFERROR(VLOOKUP($D355,EntryList!$B$3:$N$596,5,FALSE),"")</f>
        <v/>
      </c>
      <c r="H355" s="145" t="str">
        <f>IFERROR(VLOOKUP($D355,EntryList!$B$3:$N$596,6,FALSE),"")</f>
        <v/>
      </c>
      <c r="I355" s="331" t="str">
        <f>IFERROR(VLOOKUP($B355,OverallResults!$B$3:$Z$492,8,FALSE),"")</f>
        <v/>
      </c>
      <c r="J355" s="58" t="str">
        <f>IFERROR(VLOOKUP($B355,OverallResults!$B$3:$BB$492,9,FALSE),"")</f>
        <v/>
      </c>
      <c r="K355" s="58" t="str">
        <f>IFERROR(VLOOKUP($B355,OverallResults!$B$3:$BB$492,10,FALSE),"")</f>
        <v/>
      </c>
      <c r="L355" s="58" t="str">
        <f>IFERROR(VLOOKUP($B355,OverallResults!$B$3:$BB$492,11,FALSE),"")</f>
        <v/>
      </c>
      <c r="M355" s="58" t="str">
        <f>IFERROR(VLOOKUP($B355,OverallResults!$B$3:$BB$492,12,FALSE),"")</f>
        <v/>
      </c>
      <c r="N355" s="58" t="str">
        <f>IFERROR(VLOOKUP($B355,OverallResults!$B$3:$BB$492,13,FALSE),"")</f>
        <v/>
      </c>
      <c r="O355" s="58" t="str">
        <f>IFERROR(VLOOKUP($B355,OverallResults!$B$3:$BB$492,14,FALSE),"")</f>
        <v/>
      </c>
      <c r="P355" s="58" t="str">
        <f>IFERROR(VLOOKUP($B355,OverallResults!$B$3:$BB$492,15,FALSE),"")</f>
        <v/>
      </c>
      <c r="Q355" s="58" t="str">
        <f>IFERROR(VLOOKUP($B355,OverallResults!$B$3:$BB$492,16,FALSE),"")</f>
        <v/>
      </c>
      <c r="R355" s="58" t="str">
        <f>IFERROR(VLOOKUP($B355,OverallResults!$B$3:$BB$492,17,FALSE),"")</f>
        <v/>
      </c>
      <c r="S355" s="170" t="e">
        <f t="shared" si="12"/>
        <v>#VALUE!</v>
      </c>
      <c r="T355" s="170" t="e">
        <f t="shared" si="13"/>
        <v>#VALUE!</v>
      </c>
      <c r="U355" s="359" t="str">
        <f>IFERROR(VLOOKUP($D355,EntryList!$B$3:$S$291,18,FALSE),"")</f>
        <v/>
      </c>
      <c r="V355" s="359" t="str">
        <f>IFERROR(VLOOKUP($D355,EntryList!$B$3:$S$291,17,FALSE),"")</f>
        <v/>
      </c>
    </row>
    <row r="356" spans="2:22">
      <c r="B356" s="59">
        <v>351</v>
      </c>
      <c r="C356" s="331" t="str">
        <f>IFERROR(VLOOKUP($B356,OverallResults!$B$3:$Z$508,2,FALSE),"")</f>
        <v>DNF</v>
      </c>
      <c r="D356" s="146" t="str">
        <f>IFERROR(VLOOKUP($B356,OverallResults!$B$3:$Z$508,3,FALSE),"")</f>
        <v/>
      </c>
      <c r="E356" s="146" t="str">
        <f>IFERROR(VLOOKUP(C356,SeriesPoints!$A$2:$B$51,2,FALSE),"")</f>
        <v/>
      </c>
      <c r="F356" s="148" t="str">
        <f>IFERROR(VLOOKUP($D356,EntryList!$B$3:$V$291,21,FALSE),"")</f>
        <v/>
      </c>
      <c r="G356" s="100" t="str">
        <f>IFERROR(VLOOKUP($D356,EntryList!$B$3:$N$596,5,FALSE),"")</f>
        <v/>
      </c>
      <c r="H356" s="145" t="str">
        <f>IFERROR(VLOOKUP($D356,EntryList!$B$3:$N$596,6,FALSE),"")</f>
        <v/>
      </c>
      <c r="I356" s="331" t="str">
        <f>IFERROR(VLOOKUP($B356,OverallResults!$B$3:$Z$492,8,FALSE),"")</f>
        <v/>
      </c>
      <c r="J356" s="58" t="str">
        <f>IFERROR(VLOOKUP($B356,OverallResults!$B$3:$BB$492,9,FALSE),"")</f>
        <v/>
      </c>
      <c r="K356" s="58" t="str">
        <f>IFERROR(VLOOKUP($B356,OverallResults!$B$3:$BB$492,10,FALSE),"")</f>
        <v/>
      </c>
      <c r="L356" s="58" t="str">
        <f>IFERROR(VLOOKUP($B356,OverallResults!$B$3:$BB$492,11,FALSE),"")</f>
        <v/>
      </c>
      <c r="M356" s="58" t="str">
        <f>IFERROR(VLOOKUP($B356,OverallResults!$B$3:$BB$492,12,FALSE),"")</f>
        <v/>
      </c>
      <c r="N356" s="58" t="str">
        <f>IFERROR(VLOOKUP($B356,OverallResults!$B$3:$BB$492,13,FALSE),"")</f>
        <v/>
      </c>
      <c r="O356" s="58" t="str">
        <f>IFERROR(VLOOKUP($B356,OverallResults!$B$3:$BB$492,14,FALSE),"")</f>
        <v/>
      </c>
      <c r="P356" s="58" t="str">
        <f>IFERROR(VLOOKUP($B356,OverallResults!$B$3:$BB$492,15,FALSE),"")</f>
        <v/>
      </c>
      <c r="Q356" s="58" t="str">
        <f>IFERROR(VLOOKUP($B356,OverallResults!$B$3:$BB$492,16,FALSE),"")</f>
        <v/>
      </c>
      <c r="R356" s="58" t="str">
        <f>IFERROR(VLOOKUP($B356,OverallResults!$B$3:$BB$492,17,FALSE),"")</f>
        <v/>
      </c>
      <c r="S356" s="170" t="e">
        <f t="shared" si="12"/>
        <v>#VALUE!</v>
      </c>
      <c r="T356" s="170" t="e">
        <f t="shared" si="13"/>
        <v>#VALUE!</v>
      </c>
      <c r="U356" s="359" t="str">
        <f>IFERROR(VLOOKUP($D356,EntryList!$B$3:$S$291,18,FALSE),"")</f>
        <v/>
      </c>
      <c r="V356" s="359" t="str">
        <f>IFERROR(VLOOKUP($D356,EntryList!$B$3:$S$291,17,FALSE),"")</f>
        <v/>
      </c>
    </row>
    <row r="357" spans="2:22">
      <c r="B357" s="59">
        <v>352</v>
      </c>
      <c r="C357" s="331" t="str">
        <f>IFERROR(VLOOKUP($B357,OverallResults!$B$3:$Z$508,2,FALSE),"")</f>
        <v>DNF</v>
      </c>
      <c r="D357" s="146" t="str">
        <f>IFERROR(VLOOKUP($B357,OverallResults!$B$3:$Z$508,3,FALSE),"")</f>
        <v/>
      </c>
      <c r="E357" s="146" t="str">
        <f>IFERROR(VLOOKUP(C357,SeriesPoints!$A$2:$B$51,2,FALSE),"")</f>
        <v/>
      </c>
      <c r="F357" s="148" t="str">
        <f>IFERROR(VLOOKUP($D357,EntryList!$B$3:$V$291,21,FALSE),"")</f>
        <v/>
      </c>
      <c r="G357" s="100" t="str">
        <f>IFERROR(VLOOKUP($D357,EntryList!$B$3:$N$596,5,FALSE),"")</f>
        <v/>
      </c>
      <c r="H357" s="145" t="str">
        <f>IFERROR(VLOOKUP($D357,EntryList!$B$3:$N$596,6,FALSE),"")</f>
        <v/>
      </c>
      <c r="I357" s="331" t="str">
        <f>IFERROR(VLOOKUP($B357,OverallResults!$B$3:$Z$492,8,FALSE),"")</f>
        <v/>
      </c>
      <c r="J357" s="58" t="str">
        <f>IFERROR(VLOOKUP($B357,OverallResults!$B$3:$BB$492,9,FALSE),"")</f>
        <v/>
      </c>
      <c r="K357" s="58" t="str">
        <f>IFERROR(VLOOKUP($B357,OverallResults!$B$3:$BB$492,10,FALSE),"")</f>
        <v/>
      </c>
      <c r="L357" s="58" t="str">
        <f>IFERROR(VLOOKUP($B357,OverallResults!$B$3:$BB$492,11,FALSE),"")</f>
        <v/>
      </c>
      <c r="M357" s="58" t="str">
        <f>IFERROR(VLOOKUP($B357,OverallResults!$B$3:$BB$492,12,FALSE),"")</f>
        <v/>
      </c>
      <c r="N357" s="58" t="str">
        <f>IFERROR(VLOOKUP($B357,OverallResults!$B$3:$BB$492,13,FALSE),"")</f>
        <v/>
      </c>
      <c r="O357" s="58" t="str">
        <f>IFERROR(VLOOKUP($B357,OverallResults!$B$3:$BB$492,14,FALSE),"")</f>
        <v/>
      </c>
      <c r="P357" s="58" t="str">
        <f>IFERROR(VLOOKUP($B357,OverallResults!$B$3:$BB$492,15,FALSE),"")</f>
        <v/>
      </c>
      <c r="Q357" s="58" t="str">
        <f>IFERROR(VLOOKUP($B357,OverallResults!$B$3:$BB$492,16,FALSE),"")</f>
        <v/>
      </c>
      <c r="R357" s="58" t="str">
        <f>IFERROR(VLOOKUP($B357,OverallResults!$B$3:$BB$492,17,FALSE),"")</f>
        <v/>
      </c>
      <c r="S357" s="170" t="e">
        <f t="shared" si="12"/>
        <v>#VALUE!</v>
      </c>
      <c r="T357" s="170" t="e">
        <f t="shared" si="13"/>
        <v>#VALUE!</v>
      </c>
      <c r="U357" s="359" t="str">
        <f>IFERROR(VLOOKUP($D357,EntryList!$B$3:$S$291,18,FALSE),"")</f>
        <v/>
      </c>
      <c r="V357" s="359" t="str">
        <f>IFERROR(VLOOKUP($D357,EntryList!$B$3:$S$291,17,FALSE),"")</f>
        <v/>
      </c>
    </row>
    <row r="358" spans="2:22">
      <c r="B358" s="59">
        <v>353</v>
      </c>
      <c r="C358" s="331" t="str">
        <f>IFERROR(VLOOKUP($B358,OverallResults!$B$3:$Z$508,2,FALSE),"")</f>
        <v>DNF</v>
      </c>
      <c r="D358" s="146" t="str">
        <f>IFERROR(VLOOKUP($B358,OverallResults!$B$3:$Z$508,3,FALSE),"")</f>
        <v/>
      </c>
      <c r="E358" s="146" t="str">
        <f>IFERROR(VLOOKUP(C358,SeriesPoints!$A$2:$B$51,2,FALSE),"")</f>
        <v/>
      </c>
      <c r="F358" s="148" t="str">
        <f>IFERROR(VLOOKUP($D358,EntryList!$B$3:$V$291,21,FALSE),"")</f>
        <v/>
      </c>
      <c r="G358" s="100" t="str">
        <f>IFERROR(VLOOKUP($D358,EntryList!$B$3:$N$596,5,FALSE),"")</f>
        <v/>
      </c>
      <c r="H358" s="145" t="str">
        <f>IFERROR(VLOOKUP($D358,EntryList!$B$3:$N$596,6,FALSE),"")</f>
        <v/>
      </c>
      <c r="I358" s="331" t="str">
        <f>IFERROR(VLOOKUP($B358,OverallResults!$B$3:$Z$492,8,FALSE),"")</f>
        <v/>
      </c>
      <c r="J358" s="58" t="str">
        <f>IFERROR(VLOOKUP($B358,OverallResults!$B$3:$BB$492,9,FALSE),"")</f>
        <v/>
      </c>
      <c r="K358" s="58" t="str">
        <f>IFERROR(VLOOKUP($B358,OverallResults!$B$3:$BB$492,10,FALSE),"")</f>
        <v/>
      </c>
      <c r="L358" s="58" t="str">
        <f>IFERROR(VLOOKUP($B358,OverallResults!$B$3:$BB$492,11,FALSE),"")</f>
        <v/>
      </c>
      <c r="M358" s="58" t="str">
        <f>IFERROR(VLOOKUP($B358,OverallResults!$B$3:$BB$492,12,FALSE),"")</f>
        <v/>
      </c>
      <c r="N358" s="58" t="str">
        <f>IFERROR(VLOOKUP($B358,OverallResults!$B$3:$BB$492,13,FALSE),"")</f>
        <v/>
      </c>
      <c r="O358" s="58" t="str">
        <f>IFERROR(VLOOKUP($B358,OverallResults!$B$3:$BB$492,14,FALSE),"")</f>
        <v/>
      </c>
      <c r="P358" s="58" t="str">
        <f>IFERROR(VLOOKUP($B358,OverallResults!$B$3:$BB$492,15,FALSE),"")</f>
        <v/>
      </c>
      <c r="Q358" s="58" t="str">
        <f>IFERROR(VLOOKUP($B358,OverallResults!$B$3:$BB$492,16,FALSE),"")</f>
        <v/>
      </c>
      <c r="R358" s="58" t="str">
        <f>IFERROR(VLOOKUP($B358,OverallResults!$B$3:$BB$492,17,FALSE),"")</f>
        <v/>
      </c>
      <c r="S358" s="170" t="e">
        <f t="shared" si="12"/>
        <v>#VALUE!</v>
      </c>
      <c r="T358" s="170" t="e">
        <f t="shared" si="13"/>
        <v>#VALUE!</v>
      </c>
      <c r="U358" s="359" t="str">
        <f>IFERROR(VLOOKUP($D358,EntryList!$B$3:$S$291,18,FALSE),"")</f>
        <v/>
      </c>
      <c r="V358" s="359" t="str">
        <f>IFERROR(VLOOKUP($D358,EntryList!$B$3:$S$291,17,FALSE),"")</f>
        <v/>
      </c>
    </row>
    <row r="359" spans="2:22">
      <c r="B359" s="59">
        <v>354</v>
      </c>
      <c r="C359" s="331" t="str">
        <f>IFERROR(VLOOKUP($B359,OverallResults!$B$3:$Z$508,2,FALSE),"")</f>
        <v>DNF</v>
      </c>
      <c r="D359" s="146" t="str">
        <f>IFERROR(VLOOKUP($B359,OverallResults!$B$3:$Z$508,3,FALSE),"")</f>
        <v/>
      </c>
      <c r="E359" s="146" t="str">
        <f>IFERROR(VLOOKUP(C359,SeriesPoints!$A$2:$B$51,2,FALSE),"")</f>
        <v/>
      </c>
      <c r="F359" s="148" t="str">
        <f>IFERROR(VLOOKUP($D359,EntryList!$B$3:$V$291,21,FALSE),"")</f>
        <v/>
      </c>
      <c r="G359" s="100" t="str">
        <f>IFERROR(VLOOKUP($D359,EntryList!$B$3:$N$596,5,FALSE),"")</f>
        <v/>
      </c>
      <c r="H359" s="145" t="str">
        <f>IFERROR(VLOOKUP($D359,EntryList!$B$3:$N$596,6,FALSE),"")</f>
        <v/>
      </c>
      <c r="I359" s="331" t="str">
        <f>IFERROR(VLOOKUP($B359,OverallResults!$B$3:$Z$492,8,FALSE),"")</f>
        <v/>
      </c>
      <c r="J359" s="58" t="str">
        <f>IFERROR(VLOOKUP($B359,OverallResults!$B$3:$BB$492,9,FALSE),"")</f>
        <v/>
      </c>
      <c r="K359" s="58" t="str">
        <f>IFERROR(VLOOKUP($B359,OverallResults!$B$3:$BB$492,10,FALSE),"")</f>
        <v/>
      </c>
      <c r="L359" s="58" t="str">
        <f>IFERROR(VLOOKUP($B359,OverallResults!$B$3:$BB$492,11,FALSE),"")</f>
        <v/>
      </c>
      <c r="M359" s="58" t="str">
        <f>IFERROR(VLOOKUP($B359,OverallResults!$B$3:$BB$492,12,FALSE),"")</f>
        <v/>
      </c>
      <c r="N359" s="58" t="str">
        <f>IFERROR(VLOOKUP($B359,OverallResults!$B$3:$BB$492,13,FALSE),"")</f>
        <v/>
      </c>
      <c r="O359" s="58" t="str">
        <f>IFERROR(VLOOKUP($B359,OverallResults!$B$3:$BB$492,14,FALSE),"")</f>
        <v/>
      </c>
      <c r="P359" s="58" t="str">
        <f>IFERROR(VLOOKUP($B359,OverallResults!$B$3:$BB$492,15,FALSE),"")</f>
        <v/>
      </c>
      <c r="Q359" s="58" t="str">
        <f>IFERROR(VLOOKUP($B359,OverallResults!$B$3:$BB$492,16,FALSE),"")</f>
        <v/>
      </c>
      <c r="R359" s="58" t="str">
        <f>IFERROR(VLOOKUP($B359,OverallResults!$B$3:$BB$492,17,FALSE),"")</f>
        <v/>
      </c>
      <c r="S359" s="170" t="e">
        <f t="shared" si="12"/>
        <v>#VALUE!</v>
      </c>
      <c r="T359" s="170" t="e">
        <f t="shared" si="13"/>
        <v>#VALUE!</v>
      </c>
      <c r="U359" s="359" t="str">
        <f>IFERROR(VLOOKUP($D359,EntryList!$B$3:$S$291,18,FALSE),"")</f>
        <v/>
      </c>
      <c r="V359" s="359" t="str">
        <f>IFERROR(VLOOKUP($D359,EntryList!$B$3:$S$291,17,FALSE),"")</f>
        <v/>
      </c>
    </row>
    <row r="360" spans="2:22">
      <c r="B360" s="59">
        <v>355</v>
      </c>
      <c r="C360" s="331" t="str">
        <f>IFERROR(VLOOKUP($B360,OverallResults!$B$3:$Z$508,2,FALSE),"")</f>
        <v>DNF</v>
      </c>
      <c r="D360" s="146" t="str">
        <f>IFERROR(VLOOKUP($B360,OverallResults!$B$3:$Z$508,3,FALSE),"")</f>
        <v/>
      </c>
      <c r="E360" s="146" t="str">
        <f>IFERROR(VLOOKUP(C360,SeriesPoints!$A$2:$B$51,2,FALSE),"")</f>
        <v/>
      </c>
      <c r="F360" s="148" t="str">
        <f>IFERROR(VLOOKUP($D360,EntryList!$B$3:$V$291,21,FALSE),"")</f>
        <v/>
      </c>
      <c r="G360" s="100" t="str">
        <f>IFERROR(VLOOKUP($D360,EntryList!$B$3:$N$596,5,FALSE),"")</f>
        <v/>
      </c>
      <c r="H360" s="145" t="str">
        <f>IFERROR(VLOOKUP($D360,EntryList!$B$3:$N$596,6,FALSE),"")</f>
        <v/>
      </c>
      <c r="I360" s="331" t="str">
        <f>IFERROR(VLOOKUP($B360,OverallResults!$B$3:$Z$492,8,FALSE),"")</f>
        <v/>
      </c>
      <c r="J360" s="58" t="str">
        <f>IFERROR(VLOOKUP($B360,OverallResults!$B$3:$BB$492,9,FALSE),"")</f>
        <v/>
      </c>
      <c r="K360" s="58" t="str">
        <f>IFERROR(VLOOKUP($B360,OverallResults!$B$3:$BB$492,10,FALSE),"")</f>
        <v/>
      </c>
      <c r="L360" s="58" t="str">
        <f>IFERROR(VLOOKUP($B360,OverallResults!$B$3:$BB$492,11,FALSE),"")</f>
        <v/>
      </c>
      <c r="M360" s="58" t="str">
        <f>IFERROR(VLOOKUP($B360,OverallResults!$B$3:$BB$492,12,FALSE),"")</f>
        <v/>
      </c>
      <c r="N360" s="58" t="str">
        <f>IFERROR(VLOOKUP($B360,OverallResults!$B$3:$BB$492,13,FALSE),"")</f>
        <v/>
      </c>
      <c r="O360" s="58" t="str">
        <f>IFERROR(VLOOKUP($B360,OverallResults!$B$3:$BB$492,14,FALSE),"")</f>
        <v/>
      </c>
      <c r="P360" s="58" t="str">
        <f>IFERROR(VLOOKUP($B360,OverallResults!$B$3:$BB$492,15,FALSE),"")</f>
        <v/>
      </c>
      <c r="Q360" s="58" t="str">
        <f>IFERROR(VLOOKUP($B360,OverallResults!$B$3:$BB$492,16,FALSE),"")</f>
        <v/>
      </c>
      <c r="R360" s="58" t="str">
        <f>IFERROR(VLOOKUP($B360,OverallResults!$B$3:$BB$492,17,FALSE),"")</f>
        <v/>
      </c>
      <c r="S360" s="170" t="e">
        <f t="shared" si="12"/>
        <v>#VALUE!</v>
      </c>
      <c r="T360" s="170" t="e">
        <f t="shared" si="13"/>
        <v>#VALUE!</v>
      </c>
      <c r="U360" s="359" t="str">
        <f>IFERROR(VLOOKUP($D360,EntryList!$B$3:$S$291,18,FALSE),"")</f>
        <v/>
      </c>
      <c r="V360" s="359" t="str">
        <f>IFERROR(VLOOKUP($D360,EntryList!$B$3:$S$291,17,FALSE),"")</f>
        <v/>
      </c>
    </row>
    <row r="361" spans="2:22">
      <c r="B361" s="59">
        <v>356</v>
      </c>
      <c r="C361" s="331" t="str">
        <f>IFERROR(VLOOKUP($B361,OverallResults!$B$3:$Z$508,2,FALSE),"")</f>
        <v>DNF</v>
      </c>
      <c r="D361" s="146" t="str">
        <f>IFERROR(VLOOKUP($B361,OverallResults!$B$3:$Z$508,3,FALSE),"")</f>
        <v/>
      </c>
      <c r="E361" s="146" t="str">
        <f>IFERROR(VLOOKUP(C361,SeriesPoints!$A$2:$B$51,2,FALSE),"")</f>
        <v/>
      </c>
      <c r="F361" s="148" t="str">
        <f>IFERROR(VLOOKUP($D361,EntryList!$B$3:$V$291,21,FALSE),"")</f>
        <v/>
      </c>
      <c r="G361" s="100" t="str">
        <f>IFERROR(VLOOKUP($D361,EntryList!$B$3:$N$596,5,FALSE),"")</f>
        <v/>
      </c>
      <c r="H361" s="145" t="str">
        <f>IFERROR(VLOOKUP($D361,EntryList!$B$3:$N$596,6,FALSE),"")</f>
        <v/>
      </c>
      <c r="I361" s="331" t="str">
        <f>IFERROR(VLOOKUP($B361,OverallResults!$B$3:$Z$492,8,FALSE),"")</f>
        <v/>
      </c>
      <c r="J361" s="58" t="str">
        <f>IFERROR(VLOOKUP($B361,OverallResults!$B$3:$BB$492,9,FALSE),"")</f>
        <v/>
      </c>
      <c r="K361" s="58" t="str">
        <f>IFERROR(VLOOKUP($B361,OverallResults!$B$3:$BB$492,10,FALSE),"")</f>
        <v/>
      </c>
      <c r="L361" s="58" t="str">
        <f>IFERROR(VLOOKUP($B361,OverallResults!$B$3:$BB$492,11,FALSE),"")</f>
        <v/>
      </c>
      <c r="M361" s="58" t="str">
        <f>IFERROR(VLOOKUP($B361,OverallResults!$B$3:$BB$492,12,FALSE),"")</f>
        <v/>
      </c>
      <c r="N361" s="58" t="str">
        <f>IFERROR(VLOOKUP($B361,OverallResults!$B$3:$BB$492,13,FALSE),"")</f>
        <v/>
      </c>
      <c r="O361" s="58" t="str">
        <f>IFERROR(VLOOKUP($B361,OverallResults!$B$3:$BB$492,14,FALSE),"")</f>
        <v/>
      </c>
      <c r="P361" s="58" t="str">
        <f>IFERROR(VLOOKUP($B361,OverallResults!$B$3:$BB$492,15,FALSE),"")</f>
        <v/>
      </c>
      <c r="Q361" s="58" t="str">
        <f>IFERROR(VLOOKUP($B361,OverallResults!$B$3:$BB$492,16,FALSE),"")</f>
        <v/>
      </c>
      <c r="R361" s="58" t="str">
        <f>IFERROR(VLOOKUP($B361,OverallResults!$B$3:$BB$492,17,FALSE),"")</f>
        <v/>
      </c>
      <c r="S361" s="170" t="e">
        <f t="shared" si="12"/>
        <v>#VALUE!</v>
      </c>
      <c r="T361" s="170" t="e">
        <f t="shared" si="13"/>
        <v>#VALUE!</v>
      </c>
      <c r="U361" s="359" t="str">
        <f>IFERROR(VLOOKUP($D361,EntryList!$B$3:$S$291,18,FALSE),"")</f>
        <v/>
      </c>
      <c r="V361" s="359" t="str">
        <f>IFERROR(VLOOKUP($D361,EntryList!$B$3:$S$291,17,FALSE),"")</f>
        <v/>
      </c>
    </row>
    <row r="362" spans="2:22">
      <c r="B362" s="59">
        <v>357</v>
      </c>
      <c r="C362" s="331" t="str">
        <f>IFERROR(VLOOKUP($B362,OverallResults!$B$3:$Z$508,2,FALSE),"")</f>
        <v>DNF</v>
      </c>
      <c r="D362" s="146" t="str">
        <f>IFERROR(VLOOKUP($B362,OverallResults!$B$3:$Z$508,3,FALSE),"")</f>
        <v/>
      </c>
      <c r="E362" s="146" t="str">
        <f>IFERROR(VLOOKUP(C362,SeriesPoints!$A$2:$B$51,2,FALSE),"")</f>
        <v/>
      </c>
      <c r="F362" s="148" t="str">
        <f>IFERROR(VLOOKUP($D362,EntryList!$B$3:$V$291,21,FALSE),"")</f>
        <v/>
      </c>
      <c r="G362" s="100" t="str">
        <f>IFERROR(VLOOKUP($D362,EntryList!$B$3:$N$596,5,FALSE),"")</f>
        <v/>
      </c>
      <c r="H362" s="145" t="str">
        <f>IFERROR(VLOOKUP($D362,EntryList!$B$3:$N$596,6,FALSE),"")</f>
        <v/>
      </c>
      <c r="I362" s="331" t="str">
        <f>IFERROR(VLOOKUP($B362,OverallResults!$B$3:$Z$492,8,FALSE),"")</f>
        <v/>
      </c>
      <c r="J362" s="58" t="str">
        <f>IFERROR(VLOOKUP($B362,OverallResults!$B$3:$BB$492,9,FALSE),"")</f>
        <v/>
      </c>
      <c r="K362" s="58" t="str">
        <f>IFERROR(VLOOKUP($B362,OverallResults!$B$3:$BB$492,10,FALSE),"")</f>
        <v/>
      </c>
      <c r="L362" s="58" t="str">
        <f>IFERROR(VLOOKUP($B362,OverallResults!$B$3:$BB$492,11,FALSE),"")</f>
        <v/>
      </c>
      <c r="M362" s="58" t="str">
        <f>IFERROR(VLOOKUP($B362,OverallResults!$B$3:$BB$492,12,FALSE),"")</f>
        <v/>
      </c>
      <c r="N362" s="58" t="str">
        <f>IFERROR(VLOOKUP($B362,OverallResults!$B$3:$BB$492,13,FALSE),"")</f>
        <v/>
      </c>
      <c r="O362" s="58" t="str">
        <f>IFERROR(VLOOKUP($B362,OverallResults!$B$3:$BB$492,14,FALSE),"")</f>
        <v/>
      </c>
      <c r="P362" s="58" t="str">
        <f>IFERROR(VLOOKUP($B362,OverallResults!$B$3:$BB$492,15,FALSE),"")</f>
        <v/>
      </c>
      <c r="Q362" s="58" t="str">
        <f>IFERROR(VLOOKUP($B362,OverallResults!$B$3:$BB$492,16,FALSE),"")</f>
        <v/>
      </c>
      <c r="R362" s="58" t="str">
        <f>IFERROR(VLOOKUP($B362,OverallResults!$B$3:$BB$492,17,FALSE),"")</f>
        <v/>
      </c>
      <c r="S362" s="170" t="e">
        <f t="shared" si="12"/>
        <v>#VALUE!</v>
      </c>
      <c r="T362" s="170" t="e">
        <f t="shared" si="13"/>
        <v>#VALUE!</v>
      </c>
      <c r="U362" s="359" t="str">
        <f>IFERROR(VLOOKUP($D362,EntryList!$B$3:$S$291,18,FALSE),"")</f>
        <v/>
      </c>
      <c r="V362" s="359" t="str">
        <f>IFERROR(VLOOKUP($D362,EntryList!$B$3:$S$291,17,FALSE),"")</f>
        <v/>
      </c>
    </row>
    <row r="363" spans="2:22">
      <c r="B363" s="59">
        <v>358</v>
      </c>
      <c r="C363" s="331" t="str">
        <f>IFERROR(VLOOKUP($B363,OverallResults!$B$3:$Z$508,2,FALSE),"")</f>
        <v>DNF</v>
      </c>
      <c r="D363" s="146" t="str">
        <f>IFERROR(VLOOKUP($B363,OverallResults!$B$3:$Z$508,3,FALSE),"")</f>
        <v/>
      </c>
      <c r="E363" s="146" t="str">
        <f>IFERROR(VLOOKUP(C363,SeriesPoints!$A$2:$B$51,2,FALSE),"")</f>
        <v/>
      </c>
      <c r="F363" s="148" t="str">
        <f>IFERROR(VLOOKUP($D363,EntryList!$B$3:$V$291,21,FALSE),"")</f>
        <v/>
      </c>
      <c r="G363" s="100" t="str">
        <f>IFERROR(VLOOKUP($D363,EntryList!$B$3:$N$596,5,FALSE),"")</f>
        <v/>
      </c>
      <c r="H363" s="145" t="str">
        <f>IFERROR(VLOOKUP($D363,EntryList!$B$3:$N$596,6,FALSE),"")</f>
        <v/>
      </c>
      <c r="I363" s="331" t="str">
        <f>IFERROR(VLOOKUP($B363,OverallResults!$B$3:$Z$492,8,FALSE),"")</f>
        <v/>
      </c>
      <c r="J363" s="58" t="str">
        <f>IFERROR(VLOOKUP($B363,OverallResults!$B$3:$BB$492,9,FALSE),"")</f>
        <v/>
      </c>
      <c r="K363" s="58" t="str">
        <f>IFERROR(VLOOKUP($B363,OverallResults!$B$3:$BB$492,10,FALSE),"")</f>
        <v/>
      </c>
      <c r="L363" s="58" t="str">
        <f>IFERROR(VLOOKUP($B363,OverallResults!$B$3:$BB$492,11,FALSE),"")</f>
        <v/>
      </c>
      <c r="M363" s="58" t="str">
        <f>IFERROR(VLOOKUP($B363,OverallResults!$B$3:$BB$492,12,FALSE),"")</f>
        <v/>
      </c>
      <c r="N363" s="58" t="str">
        <f>IFERROR(VLOOKUP($B363,OverallResults!$B$3:$BB$492,13,FALSE),"")</f>
        <v/>
      </c>
      <c r="O363" s="58" t="str">
        <f>IFERROR(VLOOKUP($B363,OverallResults!$B$3:$BB$492,14,FALSE),"")</f>
        <v/>
      </c>
      <c r="P363" s="58" t="str">
        <f>IFERROR(VLOOKUP($B363,OverallResults!$B$3:$BB$492,15,FALSE),"")</f>
        <v/>
      </c>
      <c r="Q363" s="58" t="str">
        <f>IFERROR(VLOOKUP($B363,OverallResults!$B$3:$BB$492,16,FALSE),"")</f>
        <v/>
      </c>
      <c r="R363" s="58" t="str">
        <f>IFERROR(VLOOKUP($B363,OverallResults!$B$3:$BB$492,17,FALSE),"")</f>
        <v/>
      </c>
      <c r="S363" s="170" t="e">
        <f t="shared" si="12"/>
        <v>#VALUE!</v>
      </c>
      <c r="T363" s="170" t="e">
        <f t="shared" si="13"/>
        <v>#VALUE!</v>
      </c>
      <c r="U363" s="359" t="str">
        <f>IFERROR(VLOOKUP($D363,EntryList!$B$3:$S$291,18,FALSE),"")</f>
        <v/>
      </c>
      <c r="V363" s="359" t="str">
        <f>IFERROR(VLOOKUP($D363,EntryList!$B$3:$S$291,17,FALSE),"")</f>
        <v/>
      </c>
    </row>
    <row r="364" spans="2:22">
      <c r="B364" s="59">
        <v>359</v>
      </c>
      <c r="C364" s="331" t="str">
        <f>IFERROR(VLOOKUP($B364,OverallResults!$B$3:$Z$508,2,FALSE),"")</f>
        <v>DNF</v>
      </c>
      <c r="D364" s="146" t="str">
        <f>IFERROR(VLOOKUP($B364,OverallResults!$B$3:$Z$508,3,FALSE),"")</f>
        <v/>
      </c>
      <c r="E364" s="146" t="str">
        <f>IFERROR(VLOOKUP(C364,SeriesPoints!$A$2:$B$51,2,FALSE),"")</f>
        <v/>
      </c>
      <c r="F364" s="148" t="str">
        <f>IFERROR(VLOOKUP($D364,EntryList!$B$3:$V$291,21,FALSE),"")</f>
        <v/>
      </c>
      <c r="G364" s="100" t="str">
        <f>IFERROR(VLOOKUP($D364,EntryList!$B$3:$N$596,5,FALSE),"")</f>
        <v/>
      </c>
      <c r="H364" s="145" t="str">
        <f>IFERROR(VLOOKUP($D364,EntryList!$B$3:$N$596,6,FALSE),"")</f>
        <v/>
      </c>
      <c r="I364" s="331" t="str">
        <f>IFERROR(VLOOKUP($B364,OverallResults!$B$3:$Z$492,8,FALSE),"")</f>
        <v/>
      </c>
      <c r="J364" s="58" t="str">
        <f>IFERROR(VLOOKUP($B364,OverallResults!$B$3:$BB$492,9,FALSE),"")</f>
        <v/>
      </c>
      <c r="K364" s="58" t="str">
        <f>IFERROR(VLOOKUP($B364,OverallResults!$B$3:$BB$492,10,FALSE),"")</f>
        <v/>
      </c>
      <c r="L364" s="58" t="str">
        <f>IFERROR(VLOOKUP($B364,OverallResults!$B$3:$BB$492,11,FALSE),"")</f>
        <v/>
      </c>
      <c r="M364" s="58" t="str">
        <f>IFERROR(VLOOKUP($B364,OverallResults!$B$3:$BB$492,12,FALSE),"")</f>
        <v/>
      </c>
      <c r="N364" s="58" t="str">
        <f>IFERROR(VLOOKUP($B364,OverallResults!$B$3:$BB$492,13,FALSE),"")</f>
        <v/>
      </c>
      <c r="O364" s="58" t="str">
        <f>IFERROR(VLOOKUP($B364,OverallResults!$B$3:$BB$492,14,FALSE),"")</f>
        <v/>
      </c>
      <c r="P364" s="58" t="str">
        <f>IFERROR(VLOOKUP($B364,OverallResults!$B$3:$BB$492,15,FALSE),"")</f>
        <v/>
      </c>
      <c r="Q364" s="58" t="str">
        <f>IFERROR(VLOOKUP($B364,OverallResults!$B$3:$BB$492,16,FALSE),"")</f>
        <v/>
      </c>
      <c r="R364" s="58" t="str">
        <f>IFERROR(VLOOKUP($B364,OverallResults!$B$3:$BB$492,17,FALSE),"")</f>
        <v/>
      </c>
      <c r="S364" s="170" t="e">
        <f t="shared" si="12"/>
        <v>#VALUE!</v>
      </c>
      <c r="T364" s="170" t="e">
        <f t="shared" si="13"/>
        <v>#VALUE!</v>
      </c>
      <c r="U364" s="359" t="str">
        <f>IFERROR(VLOOKUP($D364,EntryList!$B$3:$S$291,18,FALSE),"")</f>
        <v/>
      </c>
      <c r="V364" s="359" t="str">
        <f>IFERROR(VLOOKUP($D364,EntryList!$B$3:$S$291,17,FALSE),"")</f>
        <v/>
      </c>
    </row>
    <row r="365" spans="2:22">
      <c r="B365" s="59">
        <v>360</v>
      </c>
      <c r="C365" s="331" t="str">
        <f>IFERROR(VLOOKUP($B365,OverallResults!$B$3:$Z$508,2,FALSE),"")</f>
        <v>DNF</v>
      </c>
      <c r="D365" s="146" t="str">
        <f>IFERROR(VLOOKUP($B365,OverallResults!$B$3:$Z$508,3,FALSE),"")</f>
        <v/>
      </c>
      <c r="E365" s="146" t="str">
        <f>IFERROR(VLOOKUP(C365,SeriesPoints!$A$2:$B$51,2,FALSE),"")</f>
        <v/>
      </c>
      <c r="F365" s="148" t="str">
        <f>IFERROR(VLOOKUP($D365,EntryList!$B$3:$V$291,21,FALSE),"")</f>
        <v/>
      </c>
      <c r="G365" s="100" t="str">
        <f>IFERROR(VLOOKUP($D365,EntryList!$B$3:$N$596,5,FALSE),"")</f>
        <v/>
      </c>
      <c r="H365" s="145" t="str">
        <f>IFERROR(VLOOKUP($D365,EntryList!$B$3:$N$596,6,FALSE),"")</f>
        <v/>
      </c>
      <c r="I365" s="331" t="str">
        <f>IFERROR(VLOOKUP($B365,OverallResults!$B$3:$Z$492,8,FALSE),"")</f>
        <v/>
      </c>
      <c r="J365" s="58" t="str">
        <f>IFERROR(VLOOKUP($B365,OverallResults!$B$3:$BB$492,9,FALSE),"")</f>
        <v/>
      </c>
      <c r="K365" s="58" t="str">
        <f>IFERROR(VLOOKUP($B365,OverallResults!$B$3:$BB$492,10,FALSE),"")</f>
        <v/>
      </c>
      <c r="L365" s="58" t="str">
        <f>IFERROR(VLOOKUP($B365,OverallResults!$B$3:$BB$492,11,FALSE),"")</f>
        <v/>
      </c>
      <c r="M365" s="58" t="str">
        <f>IFERROR(VLOOKUP($B365,OverallResults!$B$3:$BB$492,12,FALSE),"")</f>
        <v/>
      </c>
      <c r="N365" s="58" t="str">
        <f>IFERROR(VLOOKUP($B365,OverallResults!$B$3:$BB$492,13,FALSE),"")</f>
        <v/>
      </c>
      <c r="O365" s="58" t="str">
        <f>IFERROR(VLOOKUP($B365,OverallResults!$B$3:$BB$492,14,FALSE),"")</f>
        <v/>
      </c>
      <c r="P365" s="58" t="str">
        <f>IFERROR(VLOOKUP($B365,OverallResults!$B$3:$BB$492,15,FALSE),"")</f>
        <v/>
      </c>
      <c r="Q365" s="58" t="str">
        <f>IFERROR(VLOOKUP($B365,OverallResults!$B$3:$BB$492,16,FALSE),"")</f>
        <v/>
      </c>
      <c r="R365" s="58" t="str">
        <f>IFERROR(VLOOKUP($B365,OverallResults!$B$3:$BB$492,17,FALSE),"")</f>
        <v/>
      </c>
      <c r="S365" s="170" t="e">
        <f t="shared" si="12"/>
        <v>#VALUE!</v>
      </c>
      <c r="T365" s="170" t="e">
        <f t="shared" si="13"/>
        <v>#VALUE!</v>
      </c>
      <c r="U365" s="359" t="str">
        <f>IFERROR(VLOOKUP($D365,EntryList!$B$3:$S$291,18,FALSE),"")</f>
        <v/>
      </c>
      <c r="V365" s="359" t="str">
        <f>IFERROR(VLOOKUP($D365,EntryList!$B$3:$S$291,17,FALSE),"")</f>
        <v/>
      </c>
    </row>
    <row r="366" spans="2:22">
      <c r="B366" s="59">
        <v>361</v>
      </c>
      <c r="C366" s="331" t="str">
        <f>IFERROR(VLOOKUP($B366,OverallResults!$B$3:$Z$508,2,FALSE),"")</f>
        <v>DNF</v>
      </c>
      <c r="D366" s="146" t="str">
        <f>IFERROR(VLOOKUP($B366,OverallResults!$B$3:$Z$508,3,FALSE),"")</f>
        <v/>
      </c>
      <c r="E366" s="146" t="str">
        <f>IFERROR(VLOOKUP(C366,SeriesPoints!$A$2:$B$51,2,FALSE),"")</f>
        <v/>
      </c>
      <c r="F366" s="148" t="str">
        <f>IFERROR(VLOOKUP($D366,EntryList!$B$3:$V$291,21,FALSE),"")</f>
        <v/>
      </c>
      <c r="G366" s="100" t="str">
        <f>IFERROR(VLOOKUP($D366,EntryList!$B$3:$N$596,5,FALSE),"")</f>
        <v/>
      </c>
      <c r="H366" s="145" t="str">
        <f>IFERROR(VLOOKUP($D366,EntryList!$B$3:$N$596,6,FALSE),"")</f>
        <v/>
      </c>
      <c r="I366" s="331" t="str">
        <f>IFERROR(VLOOKUP($B366,OverallResults!$B$3:$Z$492,8,FALSE),"")</f>
        <v/>
      </c>
      <c r="J366" s="58" t="str">
        <f>IFERROR(VLOOKUP($B366,OverallResults!$B$3:$BB$492,9,FALSE),"")</f>
        <v/>
      </c>
      <c r="K366" s="58" t="str">
        <f>IFERROR(VLOOKUP($B366,OverallResults!$B$3:$BB$492,10,FALSE),"")</f>
        <v/>
      </c>
      <c r="L366" s="58" t="str">
        <f>IFERROR(VLOOKUP($B366,OverallResults!$B$3:$BB$492,11,FALSE),"")</f>
        <v/>
      </c>
      <c r="M366" s="58" t="str">
        <f>IFERROR(VLOOKUP($B366,OverallResults!$B$3:$BB$492,12,FALSE),"")</f>
        <v/>
      </c>
      <c r="N366" s="58" t="str">
        <f>IFERROR(VLOOKUP($B366,OverallResults!$B$3:$BB$492,13,FALSE),"")</f>
        <v/>
      </c>
      <c r="O366" s="58" t="str">
        <f>IFERROR(VLOOKUP($B366,OverallResults!$B$3:$BB$492,14,FALSE),"")</f>
        <v/>
      </c>
      <c r="P366" s="58" t="str">
        <f>IFERROR(VLOOKUP($B366,OverallResults!$B$3:$BB$492,15,FALSE),"")</f>
        <v/>
      </c>
      <c r="Q366" s="58" t="str">
        <f>IFERROR(VLOOKUP($B366,OverallResults!$B$3:$BB$492,16,FALSE),"")</f>
        <v/>
      </c>
      <c r="R366" s="58" t="str">
        <f>IFERROR(VLOOKUP($B366,OverallResults!$B$3:$BB$492,17,FALSE),"")</f>
        <v/>
      </c>
      <c r="S366" s="170" t="e">
        <f t="shared" si="12"/>
        <v>#VALUE!</v>
      </c>
      <c r="T366" s="170" t="e">
        <f t="shared" si="13"/>
        <v>#VALUE!</v>
      </c>
      <c r="U366" s="359" t="str">
        <f>IFERROR(VLOOKUP($D366,EntryList!$B$3:$S$291,18,FALSE),"")</f>
        <v/>
      </c>
      <c r="V366" s="359" t="str">
        <f>IFERROR(VLOOKUP($D366,EntryList!$B$3:$S$291,17,FALSE),"")</f>
        <v/>
      </c>
    </row>
    <row r="367" spans="2:22">
      <c r="B367" s="59">
        <v>362</v>
      </c>
      <c r="C367" s="331" t="str">
        <f>IFERROR(VLOOKUP($B367,OverallResults!$B$3:$Z$508,2,FALSE),"")</f>
        <v>DNF</v>
      </c>
      <c r="D367" s="146" t="str">
        <f>IFERROR(VLOOKUP($B367,OverallResults!$B$3:$Z$508,3,FALSE),"")</f>
        <v/>
      </c>
      <c r="E367" s="146" t="str">
        <f>IFERROR(VLOOKUP(C367,SeriesPoints!$A$2:$B$51,2,FALSE),"")</f>
        <v/>
      </c>
      <c r="F367" s="148" t="str">
        <f>IFERROR(VLOOKUP($D367,EntryList!$B$3:$V$291,21,FALSE),"")</f>
        <v/>
      </c>
      <c r="G367" s="100" t="str">
        <f>IFERROR(VLOOKUP($D367,EntryList!$B$3:$N$596,5,FALSE),"")</f>
        <v/>
      </c>
      <c r="H367" s="145" t="str">
        <f>IFERROR(VLOOKUP($D367,EntryList!$B$3:$N$596,6,FALSE),"")</f>
        <v/>
      </c>
      <c r="I367" s="331" t="str">
        <f>IFERROR(VLOOKUP($B367,OverallResults!$B$3:$Z$492,8,FALSE),"")</f>
        <v/>
      </c>
      <c r="J367" s="58" t="str">
        <f>IFERROR(VLOOKUP($B367,OverallResults!$B$3:$BB$492,9,FALSE),"")</f>
        <v/>
      </c>
      <c r="K367" s="58" t="str">
        <f>IFERROR(VLOOKUP($B367,OverallResults!$B$3:$BB$492,10,FALSE),"")</f>
        <v/>
      </c>
      <c r="L367" s="58" t="str">
        <f>IFERROR(VLOOKUP($B367,OverallResults!$B$3:$BB$492,11,FALSE),"")</f>
        <v/>
      </c>
      <c r="M367" s="58" t="str">
        <f>IFERROR(VLOOKUP($B367,OverallResults!$B$3:$BB$492,12,FALSE),"")</f>
        <v/>
      </c>
      <c r="N367" s="58" t="str">
        <f>IFERROR(VLOOKUP($B367,OverallResults!$B$3:$BB$492,13,FALSE),"")</f>
        <v/>
      </c>
      <c r="O367" s="58" t="str">
        <f>IFERROR(VLOOKUP($B367,OverallResults!$B$3:$BB$492,14,FALSE),"")</f>
        <v/>
      </c>
      <c r="P367" s="58" t="str">
        <f>IFERROR(VLOOKUP($B367,OverallResults!$B$3:$BB$492,15,FALSE),"")</f>
        <v/>
      </c>
      <c r="Q367" s="58" t="str">
        <f>IFERROR(VLOOKUP($B367,OverallResults!$B$3:$BB$492,16,FALSE),"")</f>
        <v/>
      </c>
      <c r="R367" s="58" t="str">
        <f>IFERROR(VLOOKUP($B367,OverallResults!$B$3:$BB$492,17,FALSE),"")</f>
        <v/>
      </c>
      <c r="S367" s="170" t="e">
        <f t="shared" si="12"/>
        <v>#VALUE!</v>
      </c>
      <c r="T367" s="170" t="e">
        <f t="shared" si="13"/>
        <v>#VALUE!</v>
      </c>
      <c r="U367" s="359" t="str">
        <f>IFERROR(VLOOKUP($D367,EntryList!$B$3:$S$291,18,FALSE),"")</f>
        <v/>
      </c>
      <c r="V367" s="359" t="str">
        <f>IFERROR(VLOOKUP($D367,EntryList!$B$3:$S$291,17,FALSE),"")</f>
        <v/>
      </c>
    </row>
    <row r="368" spans="2:22">
      <c r="B368" s="59">
        <v>363</v>
      </c>
      <c r="C368" s="331" t="str">
        <f>IFERROR(VLOOKUP($B368,OverallResults!$B$3:$Z$508,2,FALSE),"")</f>
        <v>DNF</v>
      </c>
      <c r="D368" s="146" t="str">
        <f>IFERROR(VLOOKUP($B368,OverallResults!$B$3:$Z$508,3,FALSE),"")</f>
        <v/>
      </c>
      <c r="E368" s="146" t="str">
        <f>IFERROR(VLOOKUP(C368,SeriesPoints!$A$2:$B$51,2,FALSE),"")</f>
        <v/>
      </c>
      <c r="F368" s="148" t="str">
        <f>IFERROR(VLOOKUP($D368,EntryList!$B$3:$V$291,21,FALSE),"")</f>
        <v/>
      </c>
      <c r="G368" s="100" t="str">
        <f>IFERROR(VLOOKUP($D368,EntryList!$B$3:$N$596,5,FALSE),"")</f>
        <v/>
      </c>
      <c r="H368" s="145" t="str">
        <f>IFERROR(VLOOKUP($D368,EntryList!$B$3:$N$596,6,FALSE),"")</f>
        <v/>
      </c>
      <c r="I368" s="331" t="str">
        <f>IFERROR(VLOOKUP($B368,OverallResults!$B$3:$Z$492,8,FALSE),"")</f>
        <v/>
      </c>
      <c r="J368" s="58" t="str">
        <f>IFERROR(VLOOKUP($B368,OverallResults!$B$3:$BB$492,9,FALSE),"")</f>
        <v/>
      </c>
      <c r="K368" s="58" t="str">
        <f>IFERROR(VLOOKUP($B368,OverallResults!$B$3:$BB$492,10,FALSE),"")</f>
        <v/>
      </c>
      <c r="L368" s="58" t="str">
        <f>IFERROR(VLOOKUP($B368,OverallResults!$B$3:$BB$492,11,FALSE),"")</f>
        <v/>
      </c>
      <c r="M368" s="58" t="str">
        <f>IFERROR(VLOOKUP($B368,OverallResults!$B$3:$BB$492,12,FALSE),"")</f>
        <v/>
      </c>
      <c r="N368" s="58" t="str">
        <f>IFERROR(VLOOKUP($B368,OverallResults!$B$3:$BB$492,13,FALSE),"")</f>
        <v/>
      </c>
      <c r="O368" s="58" t="str">
        <f>IFERROR(VLOOKUP($B368,OverallResults!$B$3:$BB$492,14,FALSE),"")</f>
        <v/>
      </c>
      <c r="P368" s="58" t="str">
        <f>IFERROR(VLOOKUP($B368,OverallResults!$B$3:$BB$492,15,FALSE),"")</f>
        <v/>
      </c>
      <c r="Q368" s="58" t="str">
        <f>IFERROR(VLOOKUP($B368,OverallResults!$B$3:$BB$492,16,FALSE),"")</f>
        <v/>
      </c>
      <c r="R368" s="58" t="str">
        <f>IFERROR(VLOOKUP($B368,OverallResults!$B$3:$BB$492,17,FALSE),"")</f>
        <v/>
      </c>
      <c r="S368" s="170" t="e">
        <f t="shared" si="12"/>
        <v>#VALUE!</v>
      </c>
      <c r="T368" s="170" t="e">
        <f t="shared" si="13"/>
        <v>#VALUE!</v>
      </c>
      <c r="U368" s="359" t="str">
        <f>IFERROR(VLOOKUP($D368,EntryList!$B$3:$S$291,18,FALSE),"")</f>
        <v/>
      </c>
      <c r="V368" s="359" t="str">
        <f>IFERROR(VLOOKUP($D368,EntryList!$B$3:$S$291,17,FALSE),"")</f>
        <v/>
      </c>
    </row>
    <row r="369" spans="2:22">
      <c r="B369" s="59">
        <v>364</v>
      </c>
      <c r="C369" s="331" t="str">
        <f>IFERROR(VLOOKUP($B369,OverallResults!$B$3:$Z$508,2,FALSE),"")</f>
        <v>DNF</v>
      </c>
      <c r="D369" s="146" t="str">
        <f>IFERROR(VLOOKUP($B369,OverallResults!$B$3:$Z$508,3,FALSE),"")</f>
        <v/>
      </c>
      <c r="E369" s="146" t="str">
        <f>IFERROR(VLOOKUP(C369,SeriesPoints!$A$2:$B$51,2,FALSE),"")</f>
        <v/>
      </c>
      <c r="F369" s="148" t="str">
        <f>IFERROR(VLOOKUP($D369,EntryList!$B$3:$V$291,21,FALSE),"")</f>
        <v/>
      </c>
      <c r="G369" s="100" t="str">
        <f>IFERROR(VLOOKUP($D369,EntryList!$B$3:$N$596,5,FALSE),"")</f>
        <v/>
      </c>
      <c r="H369" s="145" t="str">
        <f>IFERROR(VLOOKUP($D369,EntryList!$B$3:$N$596,6,FALSE),"")</f>
        <v/>
      </c>
      <c r="I369" s="331" t="str">
        <f>IFERROR(VLOOKUP($B369,OverallResults!$B$3:$Z$492,8,FALSE),"")</f>
        <v/>
      </c>
      <c r="J369" s="58" t="str">
        <f>IFERROR(VLOOKUP($B369,OverallResults!$B$3:$BB$492,9,FALSE),"")</f>
        <v/>
      </c>
      <c r="K369" s="58" t="str">
        <f>IFERROR(VLOOKUP($B369,OverallResults!$B$3:$BB$492,10,FALSE),"")</f>
        <v/>
      </c>
      <c r="L369" s="58" t="str">
        <f>IFERROR(VLOOKUP($B369,OverallResults!$B$3:$BB$492,11,FALSE),"")</f>
        <v/>
      </c>
      <c r="M369" s="58" t="str">
        <f>IFERROR(VLOOKUP($B369,OverallResults!$B$3:$BB$492,12,FALSE),"")</f>
        <v/>
      </c>
      <c r="N369" s="58" t="str">
        <f>IFERROR(VLOOKUP($B369,OverallResults!$B$3:$BB$492,13,FALSE),"")</f>
        <v/>
      </c>
      <c r="O369" s="58" t="str">
        <f>IFERROR(VLOOKUP($B369,OverallResults!$B$3:$BB$492,14,FALSE),"")</f>
        <v/>
      </c>
      <c r="P369" s="58" t="str">
        <f>IFERROR(VLOOKUP($B369,OverallResults!$B$3:$BB$492,15,FALSE),"")</f>
        <v/>
      </c>
      <c r="Q369" s="58" t="str">
        <f>IFERROR(VLOOKUP($B369,OverallResults!$B$3:$BB$492,16,FALSE),"")</f>
        <v/>
      </c>
      <c r="R369" s="58" t="str">
        <f>IFERROR(VLOOKUP($B369,OverallResults!$B$3:$BB$492,17,FALSE),"")</f>
        <v/>
      </c>
      <c r="S369" s="170" t="e">
        <f t="shared" si="12"/>
        <v>#VALUE!</v>
      </c>
      <c r="T369" s="170" t="e">
        <f t="shared" si="13"/>
        <v>#VALUE!</v>
      </c>
      <c r="U369" s="359" t="str">
        <f>IFERROR(VLOOKUP($D369,EntryList!$B$3:$S$291,18,FALSE),"")</f>
        <v/>
      </c>
      <c r="V369" s="359" t="str">
        <f>IFERROR(VLOOKUP($D369,EntryList!$B$3:$S$291,17,FALSE),"")</f>
        <v/>
      </c>
    </row>
    <row r="370" spans="2:22">
      <c r="B370" s="59">
        <v>365</v>
      </c>
      <c r="C370" s="331" t="str">
        <f>IFERROR(VLOOKUP($B370,OverallResults!$B$3:$Z$508,2,FALSE),"")</f>
        <v>DNF</v>
      </c>
      <c r="D370" s="146" t="str">
        <f>IFERROR(VLOOKUP($B370,OverallResults!$B$3:$Z$508,3,FALSE),"")</f>
        <v/>
      </c>
      <c r="E370" s="146" t="str">
        <f>IFERROR(VLOOKUP(C370,SeriesPoints!$A$2:$B$51,2,FALSE),"")</f>
        <v/>
      </c>
      <c r="F370" s="148" t="str">
        <f>IFERROR(VLOOKUP($D370,EntryList!$B$3:$V$291,21,FALSE),"")</f>
        <v/>
      </c>
      <c r="G370" s="100" t="str">
        <f>IFERROR(VLOOKUP($D370,EntryList!$B$3:$N$596,5,FALSE),"")</f>
        <v/>
      </c>
      <c r="H370" s="145" t="str">
        <f>IFERROR(VLOOKUP($D370,EntryList!$B$3:$N$596,6,FALSE),"")</f>
        <v/>
      </c>
      <c r="I370" s="331" t="str">
        <f>IFERROR(VLOOKUP($B370,OverallResults!$B$3:$Z$492,8,FALSE),"")</f>
        <v/>
      </c>
      <c r="J370" s="58" t="str">
        <f>IFERROR(VLOOKUP($B370,OverallResults!$B$3:$BB$492,9,FALSE),"")</f>
        <v/>
      </c>
      <c r="K370" s="58" t="str">
        <f>IFERROR(VLOOKUP($B370,OverallResults!$B$3:$BB$492,10,FALSE),"")</f>
        <v/>
      </c>
      <c r="L370" s="58" t="str">
        <f>IFERROR(VLOOKUP($B370,OverallResults!$B$3:$BB$492,11,FALSE),"")</f>
        <v/>
      </c>
      <c r="M370" s="58" t="str">
        <f>IFERROR(VLOOKUP($B370,OverallResults!$B$3:$BB$492,12,FALSE),"")</f>
        <v/>
      </c>
      <c r="N370" s="58" t="str">
        <f>IFERROR(VLOOKUP($B370,OverallResults!$B$3:$BB$492,13,FALSE),"")</f>
        <v/>
      </c>
      <c r="O370" s="58" t="str">
        <f>IFERROR(VLOOKUP($B370,OverallResults!$B$3:$BB$492,14,FALSE),"")</f>
        <v/>
      </c>
      <c r="P370" s="58" t="str">
        <f>IFERROR(VLOOKUP($B370,OverallResults!$B$3:$BB$492,15,FALSE),"")</f>
        <v/>
      </c>
      <c r="Q370" s="58" t="str">
        <f>IFERROR(VLOOKUP($B370,OverallResults!$B$3:$BB$492,16,FALSE),"")</f>
        <v/>
      </c>
      <c r="R370" s="58" t="str">
        <f>IFERROR(VLOOKUP($B370,OverallResults!$B$3:$BB$492,17,FALSE),"")</f>
        <v/>
      </c>
      <c r="S370" s="170" t="e">
        <f t="shared" si="12"/>
        <v>#VALUE!</v>
      </c>
      <c r="T370" s="170" t="e">
        <f t="shared" si="13"/>
        <v>#VALUE!</v>
      </c>
      <c r="U370" s="359" t="str">
        <f>IFERROR(VLOOKUP($D370,EntryList!$B$3:$S$291,18,FALSE),"")</f>
        <v/>
      </c>
      <c r="V370" s="359" t="str">
        <f>IFERROR(VLOOKUP($D370,EntryList!$B$3:$S$291,17,FALSE),"")</f>
        <v/>
      </c>
    </row>
    <row r="371" spans="2:22">
      <c r="B371" s="59">
        <v>366</v>
      </c>
      <c r="C371" s="331" t="str">
        <f>IFERROR(VLOOKUP($B371,OverallResults!$B$3:$Z$508,2,FALSE),"")</f>
        <v>DNF</v>
      </c>
      <c r="D371" s="146" t="str">
        <f>IFERROR(VLOOKUP($B371,OverallResults!$B$3:$Z$508,3,FALSE),"")</f>
        <v/>
      </c>
      <c r="E371" s="146" t="str">
        <f>IFERROR(VLOOKUP(C371,SeriesPoints!$A$2:$B$51,2,FALSE),"")</f>
        <v/>
      </c>
      <c r="F371" s="148" t="str">
        <f>IFERROR(VLOOKUP($D371,EntryList!$B$3:$V$291,21,FALSE),"")</f>
        <v/>
      </c>
      <c r="G371" s="100" t="str">
        <f>IFERROR(VLOOKUP($D371,EntryList!$B$3:$N$596,5,FALSE),"")</f>
        <v/>
      </c>
      <c r="H371" s="145" t="str">
        <f>IFERROR(VLOOKUP($D371,EntryList!$B$3:$N$596,6,FALSE),"")</f>
        <v/>
      </c>
      <c r="I371" s="331" t="str">
        <f>IFERROR(VLOOKUP($B371,OverallResults!$B$3:$Z$492,8,FALSE),"")</f>
        <v/>
      </c>
      <c r="J371" s="58" t="str">
        <f>IFERROR(VLOOKUP($B371,OverallResults!$B$3:$BB$492,9,FALSE),"")</f>
        <v/>
      </c>
      <c r="K371" s="58" t="str">
        <f>IFERROR(VLOOKUP($B371,OverallResults!$B$3:$BB$492,10,FALSE),"")</f>
        <v/>
      </c>
      <c r="L371" s="58" t="str">
        <f>IFERROR(VLOOKUP($B371,OverallResults!$B$3:$BB$492,11,FALSE),"")</f>
        <v/>
      </c>
      <c r="M371" s="58" t="str">
        <f>IFERROR(VLOOKUP($B371,OverallResults!$B$3:$BB$492,12,FALSE),"")</f>
        <v/>
      </c>
      <c r="N371" s="58" t="str">
        <f>IFERROR(VLOOKUP($B371,OverallResults!$B$3:$BB$492,13,FALSE),"")</f>
        <v/>
      </c>
      <c r="O371" s="58" t="str">
        <f>IFERROR(VLOOKUP($B371,OverallResults!$B$3:$BB$492,14,FALSE),"")</f>
        <v/>
      </c>
      <c r="P371" s="58" t="str">
        <f>IFERROR(VLOOKUP($B371,OverallResults!$B$3:$BB$492,15,FALSE),"")</f>
        <v/>
      </c>
      <c r="Q371" s="58" t="str">
        <f>IFERROR(VLOOKUP($B371,OverallResults!$B$3:$BB$492,16,FALSE),"")</f>
        <v/>
      </c>
      <c r="R371" s="58" t="str">
        <f>IFERROR(VLOOKUP($B371,OverallResults!$B$3:$BB$492,17,FALSE),"")</f>
        <v/>
      </c>
      <c r="S371" s="170" t="e">
        <f t="shared" si="12"/>
        <v>#VALUE!</v>
      </c>
      <c r="T371" s="170" t="e">
        <f t="shared" si="13"/>
        <v>#VALUE!</v>
      </c>
      <c r="U371" s="359" t="str">
        <f>IFERROR(VLOOKUP($D371,EntryList!$B$3:$S$291,18,FALSE),"")</f>
        <v/>
      </c>
      <c r="V371" s="359" t="str">
        <f>IFERROR(VLOOKUP($D371,EntryList!$B$3:$S$291,17,FALSE),"")</f>
        <v/>
      </c>
    </row>
    <row r="372" spans="2:22">
      <c r="B372" s="59">
        <v>367</v>
      </c>
      <c r="C372" s="331" t="str">
        <f>IFERROR(VLOOKUP($B372,OverallResults!$B$3:$Z$508,2,FALSE),"")</f>
        <v>DNF</v>
      </c>
      <c r="D372" s="146" t="str">
        <f>IFERROR(VLOOKUP($B372,OverallResults!$B$3:$Z$508,3,FALSE),"")</f>
        <v/>
      </c>
      <c r="E372" s="146" t="str">
        <f>IFERROR(VLOOKUP(C372,SeriesPoints!$A$2:$B$51,2,FALSE),"")</f>
        <v/>
      </c>
      <c r="F372" s="148" t="str">
        <f>IFERROR(VLOOKUP($D372,EntryList!$B$3:$V$291,21,FALSE),"")</f>
        <v/>
      </c>
      <c r="G372" s="100" t="str">
        <f>IFERROR(VLOOKUP($D372,EntryList!$B$3:$N$596,5,FALSE),"")</f>
        <v/>
      </c>
      <c r="H372" s="145" t="str">
        <f>IFERROR(VLOOKUP($D372,EntryList!$B$3:$N$596,6,FALSE),"")</f>
        <v/>
      </c>
      <c r="I372" s="331" t="str">
        <f>IFERROR(VLOOKUP($B372,OverallResults!$B$3:$Z$492,8,FALSE),"")</f>
        <v/>
      </c>
      <c r="J372" s="58" t="str">
        <f>IFERROR(VLOOKUP($B372,OverallResults!$B$3:$BB$492,9,FALSE),"")</f>
        <v/>
      </c>
      <c r="K372" s="58" t="str">
        <f>IFERROR(VLOOKUP($B372,OverallResults!$B$3:$BB$492,10,FALSE),"")</f>
        <v/>
      </c>
      <c r="L372" s="58" t="str">
        <f>IFERROR(VLOOKUP($B372,OverallResults!$B$3:$BB$492,11,FALSE),"")</f>
        <v/>
      </c>
      <c r="M372" s="58" t="str">
        <f>IFERROR(VLOOKUP($B372,OverallResults!$B$3:$BB$492,12,FALSE),"")</f>
        <v/>
      </c>
      <c r="N372" s="58" t="str">
        <f>IFERROR(VLOOKUP($B372,OverallResults!$B$3:$BB$492,13,FALSE),"")</f>
        <v/>
      </c>
      <c r="O372" s="58" t="str">
        <f>IFERROR(VLOOKUP($B372,OverallResults!$B$3:$BB$492,14,FALSE),"")</f>
        <v/>
      </c>
      <c r="P372" s="58" t="str">
        <f>IFERROR(VLOOKUP($B372,OverallResults!$B$3:$BB$492,15,FALSE),"")</f>
        <v/>
      </c>
      <c r="Q372" s="58" t="str">
        <f>IFERROR(VLOOKUP($B372,OverallResults!$B$3:$BB$492,16,FALSE),"")</f>
        <v/>
      </c>
      <c r="R372" s="58" t="str">
        <f>IFERROR(VLOOKUP($B372,OverallResults!$B$3:$BB$492,17,FALSE),"")</f>
        <v/>
      </c>
      <c r="S372" s="170" t="e">
        <f t="shared" si="12"/>
        <v>#VALUE!</v>
      </c>
      <c r="T372" s="170" t="e">
        <f t="shared" si="13"/>
        <v>#VALUE!</v>
      </c>
      <c r="U372" s="359" t="str">
        <f>IFERROR(VLOOKUP($D372,EntryList!$B$3:$S$291,18,FALSE),"")</f>
        <v/>
      </c>
      <c r="V372" s="359" t="str">
        <f>IFERROR(VLOOKUP($D372,EntryList!$B$3:$S$291,17,FALSE),"")</f>
        <v/>
      </c>
    </row>
    <row r="373" spans="2:22">
      <c r="B373" s="59">
        <v>368</v>
      </c>
      <c r="C373" s="331" t="str">
        <f>IFERROR(VLOOKUP($B373,OverallResults!$B$3:$Z$508,2,FALSE),"")</f>
        <v>DNF</v>
      </c>
      <c r="D373" s="146" t="str">
        <f>IFERROR(VLOOKUP($B373,OverallResults!$B$3:$Z$508,3,FALSE),"")</f>
        <v/>
      </c>
      <c r="E373" s="146" t="str">
        <f>IFERROR(VLOOKUP(C373,SeriesPoints!$A$2:$B$51,2,FALSE),"")</f>
        <v/>
      </c>
      <c r="F373" s="148" t="str">
        <f>IFERROR(VLOOKUP($D373,EntryList!$B$3:$V$291,21,FALSE),"")</f>
        <v/>
      </c>
      <c r="G373" s="100" t="str">
        <f>IFERROR(VLOOKUP($D373,EntryList!$B$3:$N$596,5,FALSE),"")</f>
        <v/>
      </c>
      <c r="H373" s="145" t="str">
        <f>IFERROR(VLOOKUP($D373,EntryList!$B$3:$N$596,6,FALSE),"")</f>
        <v/>
      </c>
      <c r="I373" s="331" t="str">
        <f>IFERROR(VLOOKUP($B373,OverallResults!$B$3:$Z$492,8,FALSE),"")</f>
        <v/>
      </c>
      <c r="J373" s="58" t="str">
        <f>IFERROR(VLOOKUP($B373,OverallResults!$B$3:$BB$492,9,FALSE),"")</f>
        <v/>
      </c>
      <c r="K373" s="58" t="str">
        <f>IFERROR(VLOOKUP($B373,OverallResults!$B$3:$BB$492,10,FALSE),"")</f>
        <v/>
      </c>
      <c r="L373" s="58" t="str">
        <f>IFERROR(VLOOKUP($B373,OverallResults!$B$3:$BB$492,11,FALSE),"")</f>
        <v/>
      </c>
      <c r="M373" s="58" t="str">
        <f>IFERROR(VLOOKUP($B373,OverallResults!$B$3:$BB$492,12,FALSE),"")</f>
        <v/>
      </c>
      <c r="N373" s="58" t="str">
        <f>IFERROR(VLOOKUP($B373,OverallResults!$B$3:$BB$492,13,FALSE),"")</f>
        <v/>
      </c>
      <c r="O373" s="58" t="str">
        <f>IFERROR(VLOOKUP($B373,OverallResults!$B$3:$BB$492,14,FALSE),"")</f>
        <v/>
      </c>
      <c r="P373" s="58" t="str">
        <f>IFERROR(VLOOKUP($B373,OverallResults!$B$3:$BB$492,15,FALSE),"")</f>
        <v/>
      </c>
      <c r="Q373" s="58" t="str">
        <f>IFERROR(VLOOKUP($B373,OverallResults!$B$3:$BB$492,16,FALSE),"")</f>
        <v/>
      </c>
      <c r="R373" s="58" t="str">
        <f>IFERROR(VLOOKUP($B373,OverallResults!$B$3:$BB$492,17,FALSE),"")</f>
        <v/>
      </c>
      <c r="S373" s="170" t="e">
        <f t="shared" si="12"/>
        <v>#VALUE!</v>
      </c>
      <c r="T373" s="170" t="e">
        <f t="shared" si="13"/>
        <v>#VALUE!</v>
      </c>
      <c r="U373" s="359" t="str">
        <f>IFERROR(VLOOKUP($D373,EntryList!$B$3:$S$291,18,FALSE),"")</f>
        <v/>
      </c>
      <c r="V373" s="359" t="str">
        <f>IFERROR(VLOOKUP($D373,EntryList!$B$3:$S$291,17,FALSE),"")</f>
        <v/>
      </c>
    </row>
    <row r="374" spans="2:22">
      <c r="B374" s="59">
        <v>369</v>
      </c>
      <c r="C374" s="331" t="str">
        <f>IFERROR(VLOOKUP($B374,OverallResults!$B$3:$Z$508,2,FALSE),"")</f>
        <v>DNF</v>
      </c>
      <c r="D374" s="146" t="str">
        <f>IFERROR(VLOOKUP($B374,OverallResults!$B$3:$Z$508,3,FALSE),"")</f>
        <v/>
      </c>
      <c r="E374" s="146" t="str">
        <f>IFERROR(VLOOKUP(C374,SeriesPoints!$A$2:$B$51,2,FALSE),"")</f>
        <v/>
      </c>
      <c r="F374" s="148" t="str">
        <f>IFERROR(VLOOKUP($D374,EntryList!$B$3:$V$291,21,FALSE),"")</f>
        <v/>
      </c>
      <c r="G374" s="100" t="str">
        <f>IFERROR(VLOOKUP($D374,EntryList!$B$3:$N$596,5,FALSE),"")</f>
        <v/>
      </c>
      <c r="H374" s="145" t="str">
        <f>IFERROR(VLOOKUP($D374,EntryList!$B$3:$N$596,6,FALSE),"")</f>
        <v/>
      </c>
      <c r="I374" s="331" t="str">
        <f>IFERROR(VLOOKUP($B374,OverallResults!$B$3:$Z$492,8,FALSE),"")</f>
        <v/>
      </c>
      <c r="J374" s="58" t="str">
        <f>IFERROR(VLOOKUP($B374,OverallResults!$B$3:$BB$492,9,FALSE),"")</f>
        <v/>
      </c>
      <c r="K374" s="58" t="str">
        <f>IFERROR(VLOOKUP($B374,OverallResults!$B$3:$BB$492,10,FALSE),"")</f>
        <v/>
      </c>
      <c r="L374" s="58" t="str">
        <f>IFERROR(VLOOKUP($B374,OverallResults!$B$3:$BB$492,11,FALSE),"")</f>
        <v/>
      </c>
      <c r="M374" s="58" t="str">
        <f>IFERROR(VLOOKUP($B374,OverallResults!$B$3:$BB$492,12,FALSE),"")</f>
        <v/>
      </c>
      <c r="N374" s="58" t="str">
        <f>IFERROR(VLOOKUP($B374,OverallResults!$B$3:$BB$492,13,FALSE),"")</f>
        <v/>
      </c>
      <c r="O374" s="58" t="str">
        <f>IFERROR(VLOOKUP($B374,OverallResults!$B$3:$BB$492,14,FALSE),"")</f>
        <v/>
      </c>
      <c r="P374" s="58" t="str">
        <f>IFERROR(VLOOKUP($B374,OverallResults!$B$3:$BB$492,15,FALSE),"")</f>
        <v/>
      </c>
      <c r="Q374" s="58" t="str">
        <f>IFERROR(VLOOKUP($B374,OverallResults!$B$3:$BB$492,16,FALSE),"")</f>
        <v/>
      </c>
      <c r="R374" s="58" t="str">
        <f>IFERROR(VLOOKUP($B374,OverallResults!$B$3:$BB$492,17,FALSE),"")</f>
        <v/>
      </c>
      <c r="S374" s="170" t="e">
        <f t="shared" si="12"/>
        <v>#VALUE!</v>
      </c>
      <c r="T374" s="170" t="e">
        <f t="shared" si="13"/>
        <v>#VALUE!</v>
      </c>
      <c r="U374" s="359" t="str">
        <f>IFERROR(VLOOKUP($D374,EntryList!$B$3:$S$291,18,FALSE),"")</f>
        <v/>
      </c>
      <c r="V374" s="359" t="str">
        <f>IFERROR(VLOOKUP($D374,EntryList!$B$3:$S$291,17,FALSE),"")</f>
        <v/>
      </c>
    </row>
    <row r="375" spans="2:22">
      <c r="B375" s="59">
        <v>370</v>
      </c>
      <c r="C375" s="331" t="str">
        <f>IFERROR(VLOOKUP($B375,OverallResults!$B$3:$Z$508,2,FALSE),"")</f>
        <v>DNF</v>
      </c>
      <c r="D375" s="146" t="str">
        <f>IFERROR(VLOOKUP($B375,OverallResults!$B$3:$Z$508,3,FALSE),"")</f>
        <v/>
      </c>
      <c r="E375" s="146" t="str">
        <f>IFERROR(VLOOKUP(C375,SeriesPoints!$A$2:$B$51,2,FALSE),"")</f>
        <v/>
      </c>
      <c r="F375" s="148" t="str">
        <f>IFERROR(VLOOKUP($D375,EntryList!$B$3:$V$291,21,FALSE),"")</f>
        <v/>
      </c>
      <c r="G375" s="100" t="str">
        <f>IFERROR(VLOOKUP($D375,EntryList!$B$3:$N$596,5,FALSE),"")</f>
        <v/>
      </c>
      <c r="H375" s="145" t="str">
        <f>IFERROR(VLOOKUP($D375,EntryList!$B$3:$N$596,6,FALSE),"")</f>
        <v/>
      </c>
      <c r="I375" s="331" t="str">
        <f>IFERROR(VLOOKUP($B375,OverallResults!$B$3:$Z$492,8,FALSE),"")</f>
        <v/>
      </c>
      <c r="J375" s="58" t="str">
        <f>IFERROR(VLOOKUP($B375,OverallResults!$B$3:$BB$492,9,FALSE),"")</f>
        <v/>
      </c>
      <c r="K375" s="58" t="str">
        <f>IFERROR(VLOOKUP($B375,OverallResults!$B$3:$BB$492,10,FALSE),"")</f>
        <v/>
      </c>
      <c r="L375" s="58" t="str">
        <f>IFERROR(VLOOKUP($B375,OverallResults!$B$3:$BB$492,11,FALSE),"")</f>
        <v/>
      </c>
      <c r="M375" s="58" t="str">
        <f>IFERROR(VLOOKUP($B375,OverallResults!$B$3:$BB$492,12,FALSE),"")</f>
        <v/>
      </c>
      <c r="N375" s="58" t="str">
        <f>IFERROR(VLOOKUP($B375,OverallResults!$B$3:$BB$492,13,FALSE),"")</f>
        <v/>
      </c>
      <c r="O375" s="58" t="str">
        <f>IFERROR(VLOOKUP($B375,OverallResults!$B$3:$BB$492,14,FALSE),"")</f>
        <v/>
      </c>
      <c r="P375" s="58" t="str">
        <f>IFERROR(VLOOKUP($B375,OverallResults!$B$3:$BB$492,15,FALSE),"")</f>
        <v/>
      </c>
      <c r="Q375" s="58" t="str">
        <f>IFERROR(VLOOKUP($B375,OverallResults!$B$3:$BB$492,16,FALSE),"")</f>
        <v/>
      </c>
      <c r="R375" s="58" t="str">
        <f>IFERROR(VLOOKUP($B375,OverallResults!$B$3:$BB$492,17,FALSE),"")</f>
        <v/>
      </c>
      <c r="S375" s="170" t="e">
        <f t="shared" si="12"/>
        <v>#VALUE!</v>
      </c>
      <c r="T375" s="170" t="e">
        <f t="shared" si="13"/>
        <v>#VALUE!</v>
      </c>
      <c r="U375" s="359" t="str">
        <f>IFERROR(VLOOKUP($D375,EntryList!$B$3:$S$291,18,FALSE),"")</f>
        <v/>
      </c>
      <c r="V375" s="359" t="str">
        <f>IFERROR(VLOOKUP($D375,EntryList!$B$3:$S$291,17,FALSE),"")</f>
        <v/>
      </c>
    </row>
    <row r="376" spans="2:22">
      <c r="B376" s="59">
        <v>371</v>
      </c>
      <c r="C376" s="331" t="str">
        <f>IFERROR(VLOOKUP($B376,OverallResults!$B$3:$Z$508,2,FALSE),"")</f>
        <v>DNF</v>
      </c>
      <c r="D376" s="146" t="str">
        <f>IFERROR(VLOOKUP($B376,OverallResults!$B$3:$Z$508,3,FALSE),"")</f>
        <v/>
      </c>
      <c r="E376" s="146" t="str">
        <f>IFERROR(VLOOKUP(C376,SeriesPoints!$A$2:$B$51,2,FALSE),"")</f>
        <v/>
      </c>
      <c r="F376" s="148" t="str">
        <f>IFERROR(VLOOKUP($D376,EntryList!$B$3:$V$291,21,FALSE),"")</f>
        <v/>
      </c>
      <c r="G376" s="100" t="str">
        <f>IFERROR(VLOOKUP($D376,EntryList!$B$3:$N$596,5,FALSE),"")</f>
        <v/>
      </c>
      <c r="H376" s="145" t="str">
        <f>IFERROR(VLOOKUP($D376,EntryList!$B$3:$N$596,6,FALSE),"")</f>
        <v/>
      </c>
      <c r="I376" s="331" t="str">
        <f>IFERROR(VLOOKUP($B376,OverallResults!$B$3:$Z$492,8,FALSE),"")</f>
        <v/>
      </c>
      <c r="J376" s="58" t="str">
        <f>IFERROR(VLOOKUP($B376,OverallResults!$B$3:$BB$492,9,FALSE),"")</f>
        <v/>
      </c>
      <c r="K376" s="58" t="str">
        <f>IFERROR(VLOOKUP($B376,OverallResults!$B$3:$BB$492,10,FALSE),"")</f>
        <v/>
      </c>
      <c r="L376" s="58" t="str">
        <f>IFERROR(VLOOKUP($B376,OverallResults!$B$3:$BB$492,11,FALSE),"")</f>
        <v/>
      </c>
      <c r="M376" s="58" t="str">
        <f>IFERROR(VLOOKUP($B376,OverallResults!$B$3:$BB$492,12,FALSE),"")</f>
        <v/>
      </c>
      <c r="N376" s="58" t="str">
        <f>IFERROR(VLOOKUP($B376,OverallResults!$B$3:$BB$492,13,FALSE),"")</f>
        <v/>
      </c>
      <c r="O376" s="58" t="str">
        <f>IFERROR(VLOOKUP($B376,OverallResults!$B$3:$BB$492,14,FALSE),"")</f>
        <v/>
      </c>
      <c r="P376" s="58" t="str">
        <f>IFERROR(VLOOKUP($B376,OverallResults!$B$3:$BB$492,15,FALSE),"")</f>
        <v/>
      </c>
      <c r="Q376" s="58" t="str">
        <f>IFERROR(VLOOKUP($B376,OverallResults!$B$3:$BB$492,16,FALSE),"")</f>
        <v/>
      </c>
      <c r="R376" s="58" t="str">
        <f>IFERROR(VLOOKUP($B376,OverallResults!$B$3:$BB$492,17,FALSE),"")</f>
        <v/>
      </c>
      <c r="S376" s="170" t="e">
        <f t="shared" si="12"/>
        <v>#VALUE!</v>
      </c>
      <c r="T376" s="170" t="e">
        <f t="shared" si="13"/>
        <v>#VALUE!</v>
      </c>
      <c r="U376" s="359" t="str">
        <f>IFERROR(VLOOKUP($D376,EntryList!$B$3:$S$291,18,FALSE),"")</f>
        <v/>
      </c>
      <c r="V376" s="359" t="str">
        <f>IFERROR(VLOOKUP($D376,EntryList!$B$3:$S$291,17,FALSE),"")</f>
        <v/>
      </c>
    </row>
    <row r="377" spans="2:22">
      <c r="B377" s="59">
        <v>372</v>
      </c>
      <c r="C377" s="331" t="str">
        <f>IFERROR(VLOOKUP($B377,OverallResults!$B$3:$Z$508,2,FALSE),"")</f>
        <v>DNF</v>
      </c>
      <c r="D377" s="146" t="str">
        <f>IFERROR(VLOOKUP($B377,OverallResults!$B$3:$Z$508,3,FALSE),"")</f>
        <v/>
      </c>
      <c r="E377" s="146" t="str">
        <f>IFERROR(VLOOKUP(C377,SeriesPoints!$A$2:$B$51,2,FALSE),"")</f>
        <v/>
      </c>
      <c r="F377" s="148" t="str">
        <f>IFERROR(VLOOKUP($D377,EntryList!$B$3:$V$291,21,FALSE),"")</f>
        <v/>
      </c>
      <c r="G377" s="100" t="str">
        <f>IFERROR(VLOOKUP($D377,EntryList!$B$3:$N$596,5,FALSE),"")</f>
        <v/>
      </c>
      <c r="H377" s="145" t="str">
        <f>IFERROR(VLOOKUP($D377,EntryList!$B$3:$N$596,6,FALSE),"")</f>
        <v/>
      </c>
      <c r="I377" s="331" t="str">
        <f>IFERROR(VLOOKUP($B377,OverallResults!$B$3:$Z$492,8,FALSE),"")</f>
        <v/>
      </c>
      <c r="J377" s="58" t="str">
        <f>IFERROR(VLOOKUP($B377,OverallResults!$B$3:$BB$492,9,FALSE),"")</f>
        <v/>
      </c>
      <c r="K377" s="58" t="str">
        <f>IFERROR(VLOOKUP($B377,OverallResults!$B$3:$BB$492,10,FALSE),"")</f>
        <v/>
      </c>
      <c r="L377" s="58" t="str">
        <f>IFERROR(VLOOKUP($B377,OverallResults!$B$3:$BB$492,11,FALSE),"")</f>
        <v/>
      </c>
      <c r="M377" s="58" t="str">
        <f>IFERROR(VLOOKUP($B377,OverallResults!$B$3:$BB$492,12,FALSE),"")</f>
        <v/>
      </c>
      <c r="N377" s="58" t="str">
        <f>IFERROR(VLOOKUP($B377,OverallResults!$B$3:$BB$492,13,FALSE),"")</f>
        <v/>
      </c>
      <c r="O377" s="58" t="str">
        <f>IFERROR(VLOOKUP($B377,OverallResults!$B$3:$BB$492,14,FALSE),"")</f>
        <v/>
      </c>
      <c r="P377" s="58" t="str">
        <f>IFERROR(VLOOKUP($B377,OverallResults!$B$3:$BB$492,15,FALSE),"")</f>
        <v/>
      </c>
      <c r="Q377" s="58" t="str">
        <f>IFERROR(VLOOKUP($B377,OverallResults!$B$3:$BB$492,16,FALSE),"")</f>
        <v/>
      </c>
      <c r="R377" s="58" t="str">
        <f>IFERROR(VLOOKUP($B377,OverallResults!$B$3:$BB$492,17,FALSE),"")</f>
        <v/>
      </c>
      <c r="S377" s="170" t="e">
        <f t="shared" si="12"/>
        <v>#VALUE!</v>
      </c>
      <c r="T377" s="170" t="e">
        <f t="shared" si="13"/>
        <v>#VALUE!</v>
      </c>
      <c r="U377" s="359" t="str">
        <f>IFERROR(VLOOKUP($D377,EntryList!$B$3:$S$291,18,FALSE),"")</f>
        <v/>
      </c>
      <c r="V377" s="359" t="str">
        <f>IFERROR(VLOOKUP($D377,EntryList!$B$3:$S$291,17,FALSE),"")</f>
        <v/>
      </c>
    </row>
    <row r="378" spans="2:22">
      <c r="B378" s="59">
        <v>373</v>
      </c>
      <c r="C378" s="331" t="str">
        <f>IFERROR(VLOOKUP($B378,OverallResults!$B$3:$Z$508,2,FALSE),"")</f>
        <v>DNF</v>
      </c>
      <c r="D378" s="146" t="str">
        <f>IFERROR(VLOOKUP($B378,OverallResults!$B$3:$Z$508,3,FALSE),"")</f>
        <v/>
      </c>
      <c r="E378" s="146" t="str">
        <f>IFERROR(VLOOKUP(C378,SeriesPoints!$A$2:$B$51,2,FALSE),"")</f>
        <v/>
      </c>
      <c r="F378" s="148" t="str">
        <f>IFERROR(VLOOKUP($D378,EntryList!$B$3:$V$291,21,FALSE),"")</f>
        <v/>
      </c>
      <c r="G378" s="100" t="str">
        <f>IFERROR(VLOOKUP($D378,EntryList!$B$3:$N$596,5,FALSE),"")</f>
        <v/>
      </c>
      <c r="H378" s="145" t="str">
        <f>IFERROR(VLOOKUP($D378,EntryList!$B$3:$N$596,6,FALSE),"")</f>
        <v/>
      </c>
      <c r="I378" s="331" t="str">
        <f>IFERROR(VLOOKUP($B378,OverallResults!$B$3:$Z$492,8,FALSE),"")</f>
        <v/>
      </c>
      <c r="J378" s="58" t="str">
        <f>IFERROR(VLOOKUP($B378,OverallResults!$B$3:$BB$492,9,FALSE),"")</f>
        <v/>
      </c>
      <c r="K378" s="58" t="str">
        <f>IFERROR(VLOOKUP($B378,OverallResults!$B$3:$BB$492,10,FALSE),"")</f>
        <v/>
      </c>
      <c r="L378" s="58" t="str">
        <f>IFERROR(VLOOKUP($B378,OverallResults!$B$3:$BB$492,11,FALSE),"")</f>
        <v/>
      </c>
      <c r="M378" s="58" t="str">
        <f>IFERROR(VLOOKUP($B378,OverallResults!$B$3:$BB$492,12,FALSE),"")</f>
        <v/>
      </c>
      <c r="N378" s="58" t="str">
        <f>IFERROR(VLOOKUP($B378,OverallResults!$B$3:$BB$492,13,FALSE),"")</f>
        <v/>
      </c>
      <c r="O378" s="58" t="str">
        <f>IFERROR(VLOOKUP($B378,OverallResults!$B$3:$BB$492,14,FALSE),"")</f>
        <v/>
      </c>
      <c r="P378" s="58" t="str">
        <f>IFERROR(VLOOKUP($B378,OverallResults!$B$3:$BB$492,15,FALSE),"")</f>
        <v/>
      </c>
      <c r="Q378" s="58" t="str">
        <f>IFERROR(VLOOKUP($B378,OverallResults!$B$3:$BB$492,16,FALSE),"")</f>
        <v/>
      </c>
      <c r="R378" s="58" t="str">
        <f>IFERROR(VLOOKUP($B378,OverallResults!$B$3:$BB$492,17,FALSE),"")</f>
        <v/>
      </c>
      <c r="S378" s="170" t="e">
        <f t="shared" si="12"/>
        <v>#VALUE!</v>
      </c>
      <c r="T378" s="170" t="e">
        <f t="shared" si="13"/>
        <v>#VALUE!</v>
      </c>
      <c r="U378" s="359" t="str">
        <f>IFERROR(VLOOKUP($D378,EntryList!$B$3:$S$291,18,FALSE),"")</f>
        <v/>
      </c>
      <c r="V378" s="359" t="str">
        <f>IFERROR(VLOOKUP($D378,EntryList!$B$3:$S$291,17,FALSE),"")</f>
        <v/>
      </c>
    </row>
    <row r="379" spans="2:22">
      <c r="B379" s="59">
        <v>374</v>
      </c>
      <c r="C379" s="331" t="str">
        <f>IFERROR(VLOOKUP($B379,OverallResults!$B$3:$Z$508,2,FALSE),"")</f>
        <v>DNF</v>
      </c>
      <c r="D379" s="146" t="str">
        <f>IFERROR(VLOOKUP($B379,OverallResults!$B$3:$Z$508,3,FALSE),"")</f>
        <v/>
      </c>
      <c r="E379" s="146" t="str">
        <f>IFERROR(VLOOKUP(C379,SeriesPoints!$A$2:$B$51,2,FALSE),"")</f>
        <v/>
      </c>
      <c r="F379" s="148" t="str">
        <f>IFERROR(VLOOKUP($D379,EntryList!$B$3:$V$291,21,FALSE),"")</f>
        <v/>
      </c>
      <c r="G379" s="100" t="str">
        <f>IFERROR(VLOOKUP($D379,EntryList!$B$3:$N$596,5,FALSE),"")</f>
        <v/>
      </c>
      <c r="H379" s="145" t="str">
        <f>IFERROR(VLOOKUP($D379,EntryList!$B$3:$N$596,6,FALSE),"")</f>
        <v/>
      </c>
      <c r="I379" s="331" t="str">
        <f>IFERROR(VLOOKUP($B379,OverallResults!$B$3:$Z$492,8,FALSE),"")</f>
        <v/>
      </c>
      <c r="J379" s="58" t="str">
        <f>IFERROR(VLOOKUP($B379,OverallResults!$B$3:$BB$492,9,FALSE),"")</f>
        <v/>
      </c>
      <c r="K379" s="58" t="str">
        <f>IFERROR(VLOOKUP($B379,OverallResults!$B$3:$BB$492,10,FALSE),"")</f>
        <v/>
      </c>
      <c r="L379" s="58" t="str">
        <f>IFERROR(VLOOKUP($B379,OverallResults!$B$3:$BB$492,11,FALSE),"")</f>
        <v/>
      </c>
      <c r="M379" s="58" t="str">
        <f>IFERROR(VLOOKUP($B379,OverallResults!$B$3:$BB$492,12,FALSE),"")</f>
        <v/>
      </c>
      <c r="N379" s="58" t="str">
        <f>IFERROR(VLOOKUP($B379,OverallResults!$B$3:$BB$492,13,FALSE),"")</f>
        <v/>
      </c>
      <c r="O379" s="58" t="str">
        <f>IFERROR(VLOOKUP($B379,OverallResults!$B$3:$BB$492,14,FALSE),"")</f>
        <v/>
      </c>
      <c r="P379" s="58" t="str">
        <f>IFERROR(VLOOKUP($B379,OverallResults!$B$3:$BB$492,15,FALSE),"")</f>
        <v/>
      </c>
      <c r="Q379" s="58" t="str">
        <f>IFERROR(VLOOKUP($B379,OverallResults!$B$3:$BB$492,16,FALSE),"")</f>
        <v/>
      </c>
      <c r="R379" s="58" t="str">
        <f>IFERROR(VLOOKUP($B379,OverallResults!$B$3:$BB$492,17,FALSE),"")</f>
        <v/>
      </c>
      <c r="S379" s="170" t="e">
        <f t="shared" si="12"/>
        <v>#VALUE!</v>
      </c>
      <c r="T379" s="170" t="e">
        <f t="shared" si="13"/>
        <v>#VALUE!</v>
      </c>
      <c r="U379" s="359" t="str">
        <f>IFERROR(VLOOKUP($D379,EntryList!$B$3:$S$291,18,FALSE),"")</f>
        <v/>
      </c>
      <c r="V379" s="359" t="str">
        <f>IFERROR(VLOOKUP($D379,EntryList!$B$3:$S$291,17,FALSE),"")</f>
        <v/>
      </c>
    </row>
    <row r="380" spans="2:22">
      <c r="B380" s="59">
        <v>375</v>
      </c>
      <c r="C380" s="331" t="str">
        <f>IFERROR(VLOOKUP($B380,OverallResults!$B$3:$Z$508,2,FALSE),"")</f>
        <v>DNF</v>
      </c>
      <c r="D380" s="146" t="str">
        <f>IFERROR(VLOOKUP($B380,OverallResults!$B$3:$Z$508,3,FALSE),"")</f>
        <v/>
      </c>
      <c r="E380" s="146" t="str">
        <f>IFERROR(VLOOKUP(C380,SeriesPoints!$A$2:$B$51,2,FALSE),"")</f>
        <v/>
      </c>
      <c r="F380" s="148" t="str">
        <f>IFERROR(VLOOKUP($D380,EntryList!$B$3:$V$291,21,FALSE),"")</f>
        <v/>
      </c>
      <c r="G380" s="100" t="str">
        <f>IFERROR(VLOOKUP($D380,EntryList!$B$3:$N$596,5,FALSE),"")</f>
        <v/>
      </c>
      <c r="H380" s="145" t="str">
        <f>IFERROR(VLOOKUP($D380,EntryList!$B$3:$N$596,6,FALSE),"")</f>
        <v/>
      </c>
      <c r="I380" s="331" t="str">
        <f>IFERROR(VLOOKUP($B380,OverallResults!$B$3:$Z$492,8,FALSE),"")</f>
        <v/>
      </c>
      <c r="J380" s="58" t="str">
        <f>IFERROR(VLOOKUP($B380,OverallResults!$B$3:$BB$492,9,FALSE),"")</f>
        <v/>
      </c>
      <c r="K380" s="58" t="str">
        <f>IFERROR(VLOOKUP($B380,OverallResults!$B$3:$BB$492,10,FALSE),"")</f>
        <v/>
      </c>
      <c r="L380" s="58" t="str">
        <f>IFERROR(VLOOKUP($B380,OverallResults!$B$3:$BB$492,11,FALSE),"")</f>
        <v/>
      </c>
      <c r="M380" s="58" t="str">
        <f>IFERROR(VLOOKUP($B380,OverallResults!$B$3:$BB$492,12,FALSE),"")</f>
        <v/>
      </c>
      <c r="N380" s="58" t="str">
        <f>IFERROR(VLOOKUP($B380,OverallResults!$B$3:$BB$492,13,FALSE),"")</f>
        <v/>
      </c>
      <c r="O380" s="58" t="str">
        <f>IFERROR(VLOOKUP($B380,OverallResults!$B$3:$BB$492,14,FALSE),"")</f>
        <v/>
      </c>
      <c r="P380" s="58" t="str">
        <f>IFERROR(VLOOKUP($B380,OverallResults!$B$3:$BB$492,15,FALSE),"")</f>
        <v/>
      </c>
      <c r="Q380" s="58" t="str">
        <f>IFERROR(VLOOKUP($B380,OverallResults!$B$3:$BB$492,16,FALSE),"")</f>
        <v/>
      </c>
      <c r="R380" s="58" t="str">
        <f>IFERROR(VLOOKUP($B380,OverallResults!$B$3:$BB$492,17,FALSE),"")</f>
        <v/>
      </c>
      <c r="S380" s="170" t="e">
        <f t="shared" si="12"/>
        <v>#VALUE!</v>
      </c>
      <c r="T380" s="170" t="e">
        <f t="shared" si="13"/>
        <v>#VALUE!</v>
      </c>
      <c r="U380" s="359" t="str">
        <f>IFERROR(VLOOKUP($D380,EntryList!$B$3:$S$291,18,FALSE),"")</f>
        <v/>
      </c>
      <c r="V380" s="359" t="str">
        <f>IFERROR(VLOOKUP($D380,EntryList!$B$3:$S$291,17,FALSE),"")</f>
        <v/>
      </c>
    </row>
    <row r="381" spans="2:22">
      <c r="B381" s="59">
        <v>376</v>
      </c>
      <c r="C381" s="331" t="str">
        <f>IFERROR(VLOOKUP($B381,OverallResults!$B$3:$Z$508,2,FALSE),"")</f>
        <v>DNF</v>
      </c>
      <c r="D381" s="146" t="str">
        <f>IFERROR(VLOOKUP($B381,OverallResults!$B$3:$Z$508,3,FALSE),"")</f>
        <v/>
      </c>
      <c r="E381" s="146" t="str">
        <f>IFERROR(VLOOKUP(C381,SeriesPoints!$A$2:$B$51,2,FALSE),"")</f>
        <v/>
      </c>
      <c r="F381" s="148" t="str">
        <f>IFERROR(VLOOKUP($D381,EntryList!$B$3:$V$291,21,FALSE),"")</f>
        <v/>
      </c>
      <c r="G381" s="100" t="str">
        <f>IFERROR(VLOOKUP($D381,EntryList!$B$3:$N$596,5,FALSE),"")</f>
        <v/>
      </c>
      <c r="H381" s="145" t="str">
        <f>IFERROR(VLOOKUP($D381,EntryList!$B$3:$N$596,6,FALSE),"")</f>
        <v/>
      </c>
      <c r="I381" s="331" t="str">
        <f>IFERROR(VLOOKUP($B381,OverallResults!$B$3:$Z$492,8,FALSE),"")</f>
        <v/>
      </c>
      <c r="J381" s="58" t="str">
        <f>IFERROR(VLOOKUP($B381,OverallResults!$B$3:$BB$492,9,FALSE),"")</f>
        <v/>
      </c>
      <c r="K381" s="58" t="str">
        <f>IFERROR(VLOOKUP($B381,OverallResults!$B$3:$BB$492,10,FALSE),"")</f>
        <v/>
      </c>
      <c r="L381" s="58" t="str">
        <f>IFERROR(VLOOKUP($B381,OverallResults!$B$3:$BB$492,11,FALSE),"")</f>
        <v/>
      </c>
      <c r="M381" s="58" t="str">
        <f>IFERROR(VLOOKUP($B381,OverallResults!$B$3:$BB$492,12,FALSE),"")</f>
        <v/>
      </c>
      <c r="N381" s="58" t="str">
        <f>IFERROR(VLOOKUP($B381,OverallResults!$B$3:$BB$492,13,FALSE),"")</f>
        <v/>
      </c>
      <c r="O381" s="58" t="str">
        <f>IFERROR(VLOOKUP($B381,OverallResults!$B$3:$BB$492,14,FALSE),"")</f>
        <v/>
      </c>
      <c r="P381" s="58" t="str">
        <f>IFERROR(VLOOKUP($B381,OverallResults!$B$3:$BB$492,15,FALSE),"")</f>
        <v/>
      </c>
      <c r="Q381" s="58" t="str">
        <f>IFERROR(VLOOKUP($B381,OverallResults!$B$3:$BB$492,16,FALSE),"")</f>
        <v/>
      </c>
      <c r="R381" s="58" t="str">
        <f>IFERROR(VLOOKUP($B381,OverallResults!$B$3:$BB$492,17,FALSE),"")</f>
        <v/>
      </c>
      <c r="S381" s="170" t="e">
        <f t="shared" si="12"/>
        <v>#VALUE!</v>
      </c>
      <c r="T381" s="170" t="e">
        <f t="shared" si="13"/>
        <v>#VALUE!</v>
      </c>
      <c r="U381" s="359" t="str">
        <f>IFERROR(VLOOKUP($D381,EntryList!$B$3:$S$291,18,FALSE),"")</f>
        <v/>
      </c>
      <c r="V381" s="359" t="str">
        <f>IFERROR(VLOOKUP($D381,EntryList!$B$3:$S$291,17,FALSE),"")</f>
        <v/>
      </c>
    </row>
    <row r="382" spans="2:22">
      <c r="B382" s="59">
        <v>377</v>
      </c>
      <c r="C382" s="331" t="str">
        <f>IFERROR(VLOOKUP($B382,OverallResults!$B$3:$Z$508,2,FALSE),"")</f>
        <v>DNF</v>
      </c>
      <c r="D382" s="146" t="str">
        <f>IFERROR(VLOOKUP($B382,OverallResults!$B$3:$Z$508,3,FALSE),"")</f>
        <v/>
      </c>
      <c r="E382" s="146" t="str">
        <f>IFERROR(VLOOKUP(C382,SeriesPoints!$A$2:$B$51,2,FALSE),"")</f>
        <v/>
      </c>
      <c r="F382" s="148" t="str">
        <f>IFERROR(VLOOKUP($D382,EntryList!$B$3:$V$291,21,FALSE),"")</f>
        <v/>
      </c>
      <c r="G382" s="100" t="str">
        <f>IFERROR(VLOOKUP($D382,EntryList!$B$3:$N$596,5,FALSE),"")</f>
        <v/>
      </c>
      <c r="H382" s="145" t="str">
        <f>IFERROR(VLOOKUP($D382,EntryList!$B$3:$N$596,6,FALSE),"")</f>
        <v/>
      </c>
      <c r="I382" s="331" t="str">
        <f>IFERROR(VLOOKUP($B382,OverallResults!$B$3:$Z$492,8,FALSE),"")</f>
        <v/>
      </c>
      <c r="J382" s="58" t="str">
        <f>IFERROR(VLOOKUP($B382,OverallResults!$B$3:$BB$492,9,FALSE),"")</f>
        <v/>
      </c>
      <c r="K382" s="58" t="str">
        <f>IFERROR(VLOOKUP($B382,OverallResults!$B$3:$BB$492,10,FALSE),"")</f>
        <v/>
      </c>
      <c r="L382" s="58" t="str">
        <f>IFERROR(VLOOKUP($B382,OverallResults!$B$3:$BB$492,11,FALSE),"")</f>
        <v/>
      </c>
      <c r="M382" s="58" t="str">
        <f>IFERROR(VLOOKUP($B382,OverallResults!$B$3:$BB$492,12,FALSE),"")</f>
        <v/>
      </c>
      <c r="N382" s="58" t="str">
        <f>IFERROR(VLOOKUP($B382,OverallResults!$B$3:$BB$492,13,FALSE),"")</f>
        <v/>
      </c>
      <c r="O382" s="58" t="str">
        <f>IFERROR(VLOOKUP($B382,OverallResults!$B$3:$BB$492,14,FALSE),"")</f>
        <v/>
      </c>
      <c r="P382" s="58" t="str">
        <f>IFERROR(VLOOKUP($B382,OverallResults!$B$3:$BB$492,15,FALSE),"")</f>
        <v/>
      </c>
      <c r="Q382" s="58" t="str">
        <f>IFERROR(VLOOKUP($B382,OverallResults!$B$3:$BB$492,16,FALSE),"")</f>
        <v/>
      </c>
      <c r="R382" s="58" t="str">
        <f>IFERROR(VLOOKUP($B382,OverallResults!$B$3:$BB$492,17,FALSE),"")</f>
        <v/>
      </c>
      <c r="S382" s="170" t="e">
        <f t="shared" si="12"/>
        <v>#VALUE!</v>
      </c>
      <c r="T382" s="170" t="e">
        <f t="shared" si="13"/>
        <v>#VALUE!</v>
      </c>
      <c r="U382" s="359" t="str">
        <f>IFERROR(VLOOKUP($D382,EntryList!$B$3:$S$291,18,FALSE),"")</f>
        <v/>
      </c>
      <c r="V382" s="359" t="str">
        <f>IFERROR(VLOOKUP($D382,EntryList!$B$3:$S$291,17,FALSE),"")</f>
        <v/>
      </c>
    </row>
    <row r="383" spans="2:22">
      <c r="B383" s="59">
        <v>378</v>
      </c>
      <c r="C383" s="331" t="str">
        <f>IFERROR(VLOOKUP($B383,OverallResults!$B$3:$Z$508,2,FALSE),"")</f>
        <v>DNF</v>
      </c>
      <c r="D383" s="146" t="str">
        <f>IFERROR(VLOOKUP($B383,OverallResults!$B$3:$Z$508,3,FALSE),"")</f>
        <v/>
      </c>
      <c r="E383" s="146" t="str">
        <f>IFERROR(VLOOKUP(C383,SeriesPoints!$A$2:$B$51,2,FALSE),"")</f>
        <v/>
      </c>
      <c r="F383" s="148" t="str">
        <f>IFERROR(VLOOKUP($D383,EntryList!$B$3:$V$291,21,FALSE),"")</f>
        <v/>
      </c>
      <c r="G383" s="100" t="str">
        <f>IFERROR(VLOOKUP($D383,EntryList!$B$3:$N$596,5,FALSE),"")</f>
        <v/>
      </c>
      <c r="H383" s="145" t="str">
        <f>IFERROR(VLOOKUP($D383,EntryList!$B$3:$N$596,6,FALSE),"")</f>
        <v/>
      </c>
      <c r="I383" s="331" t="str">
        <f>IFERROR(VLOOKUP($B383,OverallResults!$B$3:$Z$492,8,FALSE),"")</f>
        <v/>
      </c>
      <c r="J383" s="58" t="str">
        <f>IFERROR(VLOOKUP($B383,OverallResults!$B$3:$BB$492,9,FALSE),"")</f>
        <v/>
      </c>
      <c r="K383" s="58" t="str">
        <f>IFERROR(VLOOKUP($B383,OverallResults!$B$3:$BB$492,10,FALSE),"")</f>
        <v/>
      </c>
      <c r="L383" s="58" t="str">
        <f>IFERROR(VLOOKUP($B383,OverallResults!$B$3:$BB$492,11,FALSE),"")</f>
        <v/>
      </c>
      <c r="M383" s="58" t="str">
        <f>IFERROR(VLOOKUP($B383,OverallResults!$B$3:$BB$492,12,FALSE),"")</f>
        <v/>
      </c>
      <c r="N383" s="58" t="str">
        <f>IFERROR(VLOOKUP($B383,OverallResults!$B$3:$BB$492,13,FALSE),"")</f>
        <v/>
      </c>
      <c r="O383" s="58" t="str">
        <f>IFERROR(VLOOKUP($B383,OverallResults!$B$3:$BB$492,14,FALSE),"")</f>
        <v/>
      </c>
      <c r="P383" s="58" t="str">
        <f>IFERROR(VLOOKUP($B383,OverallResults!$B$3:$BB$492,15,FALSE),"")</f>
        <v/>
      </c>
      <c r="Q383" s="58" t="str">
        <f>IFERROR(VLOOKUP($B383,OverallResults!$B$3:$BB$492,16,FALSE),"")</f>
        <v/>
      </c>
      <c r="R383" s="58" t="str">
        <f>IFERROR(VLOOKUP($B383,OverallResults!$B$3:$BB$492,17,FALSE),"")</f>
        <v/>
      </c>
      <c r="S383" s="170" t="e">
        <f t="shared" si="12"/>
        <v>#VALUE!</v>
      </c>
      <c r="T383" s="170" t="e">
        <f t="shared" si="13"/>
        <v>#VALUE!</v>
      </c>
      <c r="U383" s="359" t="str">
        <f>IFERROR(VLOOKUP($D383,EntryList!$B$3:$S$291,18,FALSE),"")</f>
        <v/>
      </c>
      <c r="V383" s="359" t="str">
        <f>IFERROR(VLOOKUP($D383,EntryList!$B$3:$S$291,17,FALSE),"")</f>
        <v/>
      </c>
    </row>
    <row r="384" spans="2:22">
      <c r="B384" s="59">
        <v>379</v>
      </c>
      <c r="C384" s="331" t="str">
        <f>IFERROR(VLOOKUP($B384,OverallResults!$B$3:$Z$508,2,FALSE),"")</f>
        <v>DNF</v>
      </c>
      <c r="D384" s="146" t="str">
        <f>IFERROR(VLOOKUP($B384,OverallResults!$B$3:$Z$508,3,FALSE),"")</f>
        <v/>
      </c>
      <c r="E384" s="146" t="str">
        <f>IFERROR(VLOOKUP(C384,SeriesPoints!$A$2:$B$51,2,FALSE),"")</f>
        <v/>
      </c>
      <c r="F384" s="148" t="str">
        <f>IFERROR(VLOOKUP($D384,EntryList!$B$3:$V$291,21,FALSE),"")</f>
        <v/>
      </c>
      <c r="G384" s="100" t="str">
        <f>IFERROR(VLOOKUP($D384,EntryList!$B$3:$N$596,5,FALSE),"")</f>
        <v/>
      </c>
      <c r="H384" s="145" t="str">
        <f>IFERROR(VLOOKUP($D384,EntryList!$B$3:$N$596,6,FALSE),"")</f>
        <v/>
      </c>
      <c r="I384" s="331" t="str">
        <f>IFERROR(VLOOKUP($B384,OverallResults!$B$3:$Z$492,8,FALSE),"")</f>
        <v/>
      </c>
      <c r="J384" s="58" t="str">
        <f>IFERROR(VLOOKUP($B384,OverallResults!$B$3:$BB$492,9,FALSE),"")</f>
        <v/>
      </c>
      <c r="K384" s="58" t="str">
        <f>IFERROR(VLOOKUP($B384,OverallResults!$B$3:$BB$492,10,FALSE),"")</f>
        <v/>
      </c>
      <c r="L384" s="58" t="str">
        <f>IFERROR(VLOOKUP($B384,OverallResults!$B$3:$BB$492,11,FALSE),"")</f>
        <v/>
      </c>
      <c r="M384" s="58" t="str">
        <f>IFERROR(VLOOKUP($B384,OverallResults!$B$3:$BB$492,12,FALSE),"")</f>
        <v/>
      </c>
      <c r="N384" s="58" t="str">
        <f>IFERROR(VLOOKUP($B384,OverallResults!$B$3:$BB$492,13,FALSE),"")</f>
        <v/>
      </c>
      <c r="O384" s="58" t="str">
        <f>IFERROR(VLOOKUP($B384,OverallResults!$B$3:$BB$492,14,FALSE),"")</f>
        <v/>
      </c>
      <c r="P384" s="58" t="str">
        <f>IFERROR(VLOOKUP($B384,OverallResults!$B$3:$BB$492,15,FALSE),"")</f>
        <v/>
      </c>
      <c r="Q384" s="58" t="str">
        <f>IFERROR(VLOOKUP($B384,OverallResults!$B$3:$BB$492,16,FALSE),"")</f>
        <v/>
      </c>
      <c r="R384" s="58" t="str">
        <f>IFERROR(VLOOKUP($B384,OverallResults!$B$3:$BB$492,17,FALSE),"")</f>
        <v/>
      </c>
      <c r="S384" s="170" t="e">
        <f t="shared" si="12"/>
        <v>#VALUE!</v>
      </c>
      <c r="T384" s="170" t="e">
        <f t="shared" si="13"/>
        <v>#VALUE!</v>
      </c>
      <c r="U384" s="359" t="str">
        <f>IFERROR(VLOOKUP($D384,EntryList!$B$3:$S$291,18,FALSE),"")</f>
        <v/>
      </c>
      <c r="V384" s="359" t="str">
        <f>IFERROR(VLOOKUP($D384,EntryList!$B$3:$S$291,17,FALSE),"")</f>
        <v/>
      </c>
    </row>
    <row r="385" spans="2:22">
      <c r="B385" s="59">
        <v>380</v>
      </c>
      <c r="C385" s="331" t="str">
        <f>IFERROR(VLOOKUP($B385,OverallResults!$B$3:$Z$508,2,FALSE),"")</f>
        <v>DNF</v>
      </c>
      <c r="D385" s="146" t="str">
        <f>IFERROR(VLOOKUP($B385,OverallResults!$B$3:$Z$508,3,FALSE),"")</f>
        <v/>
      </c>
      <c r="E385" s="146" t="str">
        <f>IFERROR(VLOOKUP(C385,SeriesPoints!$A$2:$B$51,2,FALSE),"")</f>
        <v/>
      </c>
      <c r="F385" s="148" t="str">
        <f>IFERROR(VLOOKUP($D385,EntryList!$B$3:$V$291,21,FALSE),"")</f>
        <v/>
      </c>
      <c r="G385" s="100" t="str">
        <f>IFERROR(VLOOKUP($D385,EntryList!$B$3:$N$596,5,FALSE),"")</f>
        <v/>
      </c>
      <c r="H385" s="145" t="str">
        <f>IFERROR(VLOOKUP($D385,EntryList!$B$3:$N$596,6,FALSE),"")</f>
        <v/>
      </c>
      <c r="I385" s="331" t="str">
        <f>IFERROR(VLOOKUP($B385,OverallResults!$B$3:$Z$492,8,FALSE),"")</f>
        <v/>
      </c>
      <c r="J385" s="58" t="str">
        <f>IFERROR(VLOOKUP($B385,OverallResults!$B$3:$BB$492,9,FALSE),"")</f>
        <v/>
      </c>
      <c r="K385" s="58" t="str">
        <f>IFERROR(VLOOKUP($B385,OverallResults!$B$3:$BB$492,10,FALSE),"")</f>
        <v/>
      </c>
      <c r="L385" s="58" t="str">
        <f>IFERROR(VLOOKUP($B385,OverallResults!$B$3:$BB$492,11,FALSE),"")</f>
        <v/>
      </c>
      <c r="M385" s="58" t="str">
        <f>IFERROR(VLOOKUP($B385,OverallResults!$B$3:$BB$492,12,FALSE),"")</f>
        <v/>
      </c>
      <c r="N385" s="58" t="str">
        <f>IFERROR(VLOOKUP($B385,OverallResults!$B$3:$BB$492,13,FALSE),"")</f>
        <v/>
      </c>
      <c r="O385" s="58" t="str">
        <f>IFERROR(VLOOKUP($B385,OverallResults!$B$3:$BB$492,14,FALSE),"")</f>
        <v/>
      </c>
      <c r="P385" s="58" t="str">
        <f>IFERROR(VLOOKUP($B385,OverallResults!$B$3:$BB$492,15,FALSE),"")</f>
        <v/>
      </c>
      <c r="Q385" s="58" t="str">
        <f>IFERROR(VLOOKUP($B385,OverallResults!$B$3:$BB$492,16,FALSE),"")</f>
        <v/>
      </c>
      <c r="R385" s="58" t="str">
        <f>IFERROR(VLOOKUP($B385,OverallResults!$B$3:$BB$492,17,FALSE),"")</f>
        <v/>
      </c>
      <c r="S385" s="170" t="e">
        <f t="shared" si="12"/>
        <v>#VALUE!</v>
      </c>
      <c r="T385" s="170" t="e">
        <f t="shared" si="13"/>
        <v>#VALUE!</v>
      </c>
      <c r="U385" s="359" t="str">
        <f>IFERROR(VLOOKUP($D385,EntryList!$B$3:$S$291,18,FALSE),"")</f>
        <v/>
      </c>
      <c r="V385" s="359" t="str">
        <f>IFERROR(VLOOKUP($D385,EntryList!$B$3:$S$291,17,FALSE),"")</f>
        <v/>
      </c>
    </row>
    <row r="386" spans="2:22">
      <c r="B386" s="59">
        <v>381</v>
      </c>
      <c r="C386" s="331" t="str">
        <f>IFERROR(VLOOKUP($B386,OverallResults!$B$3:$Z$508,2,FALSE),"")</f>
        <v>DNF</v>
      </c>
      <c r="D386" s="146" t="str">
        <f>IFERROR(VLOOKUP($B386,OverallResults!$B$3:$Z$508,3,FALSE),"")</f>
        <v/>
      </c>
      <c r="E386" s="146" t="str">
        <f>IFERROR(VLOOKUP(C386,SeriesPoints!$A$2:$B$51,2,FALSE),"")</f>
        <v/>
      </c>
      <c r="F386" s="148" t="str">
        <f>IFERROR(VLOOKUP($D386,EntryList!$B$3:$V$291,21,FALSE),"")</f>
        <v/>
      </c>
      <c r="G386" s="100" t="str">
        <f>IFERROR(VLOOKUP($D386,EntryList!$B$3:$N$596,5,FALSE),"")</f>
        <v/>
      </c>
      <c r="H386" s="145" t="str">
        <f>IFERROR(VLOOKUP($D386,EntryList!$B$3:$N$596,6,FALSE),"")</f>
        <v/>
      </c>
      <c r="I386" s="331" t="str">
        <f>IFERROR(VLOOKUP($B386,OverallResults!$B$3:$Z$492,8,FALSE),"")</f>
        <v/>
      </c>
      <c r="J386" s="58" t="str">
        <f>IFERROR(VLOOKUP($B386,OverallResults!$B$3:$BB$492,9,FALSE),"")</f>
        <v/>
      </c>
      <c r="K386" s="58" t="str">
        <f>IFERROR(VLOOKUP($B386,OverallResults!$B$3:$BB$492,10,FALSE),"")</f>
        <v/>
      </c>
      <c r="L386" s="58" t="str">
        <f>IFERROR(VLOOKUP($B386,OverallResults!$B$3:$BB$492,11,FALSE),"")</f>
        <v/>
      </c>
      <c r="M386" s="58" t="str">
        <f>IFERROR(VLOOKUP($B386,OverallResults!$B$3:$BB$492,12,FALSE),"")</f>
        <v/>
      </c>
      <c r="N386" s="58" t="str">
        <f>IFERROR(VLOOKUP($B386,OverallResults!$B$3:$BB$492,13,FALSE),"")</f>
        <v/>
      </c>
      <c r="O386" s="58" t="str">
        <f>IFERROR(VLOOKUP($B386,OverallResults!$B$3:$BB$492,14,FALSE),"")</f>
        <v/>
      </c>
      <c r="P386" s="58" t="str">
        <f>IFERROR(VLOOKUP($B386,OverallResults!$B$3:$BB$492,15,FALSE),"")</f>
        <v/>
      </c>
      <c r="Q386" s="58" t="str">
        <f>IFERROR(VLOOKUP($B386,OverallResults!$B$3:$BB$492,16,FALSE),"")</f>
        <v/>
      </c>
      <c r="R386" s="58" t="str">
        <f>IFERROR(VLOOKUP($B386,OverallResults!$B$3:$BB$492,17,FALSE),"")</f>
        <v/>
      </c>
      <c r="S386" s="170" t="e">
        <f t="shared" ref="S386:S417" si="14">R386-R385</f>
        <v>#VALUE!</v>
      </c>
      <c r="T386" s="170" t="e">
        <f t="shared" ref="T386:T417" si="15">R386-R$6</f>
        <v>#VALUE!</v>
      </c>
      <c r="U386" s="359" t="str">
        <f>IFERROR(VLOOKUP($D386,EntryList!$B$3:$S$291,18,FALSE),"")</f>
        <v/>
      </c>
      <c r="V386" s="359" t="str">
        <f>IFERROR(VLOOKUP($D386,EntryList!$B$3:$S$291,17,FALSE),"")</f>
        <v/>
      </c>
    </row>
    <row r="387" spans="2:22">
      <c r="B387" s="59">
        <v>382</v>
      </c>
      <c r="C387" s="331" t="str">
        <f>IFERROR(VLOOKUP($B387,OverallResults!$B$3:$Z$508,2,FALSE),"")</f>
        <v>DNF</v>
      </c>
      <c r="D387" s="146" t="str">
        <f>IFERROR(VLOOKUP($B387,OverallResults!$B$3:$Z$508,3,FALSE),"")</f>
        <v/>
      </c>
      <c r="E387" s="146" t="str">
        <f>IFERROR(VLOOKUP(C387,SeriesPoints!$A$2:$B$51,2,FALSE),"")</f>
        <v/>
      </c>
      <c r="F387" s="148" t="str">
        <f>IFERROR(VLOOKUP($D387,EntryList!$B$3:$V$291,21,FALSE),"")</f>
        <v/>
      </c>
      <c r="G387" s="100" t="str">
        <f>IFERROR(VLOOKUP($D387,EntryList!$B$3:$N$596,5,FALSE),"")</f>
        <v/>
      </c>
      <c r="H387" s="145" t="str">
        <f>IFERROR(VLOOKUP($D387,EntryList!$B$3:$N$596,6,FALSE),"")</f>
        <v/>
      </c>
      <c r="I387" s="331" t="str">
        <f>IFERROR(VLOOKUP($B387,OverallResults!$B$3:$Z$492,8,FALSE),"")</f>
        <v/>
      </c>
      <c r="J387" s="58" t="str">
        <f>IFERROR(VLOOKUP($B387,OverallResults!$B$3:$BB$492,9,FALSE),"")</f>
        <v/>
      </c>
      <c r="K387" s="58" t="str">
        <f>IFERROR(VLOOKUP($B387,OverallResults!$B$3:$BB$492,10,FALSE),"")</f>
        <v/>
      </c>
      <c r="L387" s="58" t="str">
        <f>IFERROR(VLOOKUP($B387,OverallResults!$B$3:$BB$492,11,FALSE),"")</f>
        <v/>
      </c>
      <c r="M387" s="58" t="str">
        <f>IFERROR(VLOOKUP($B387,OverallResults!$B$3:$BB$492,12,FALSE),"")</f>
        <v/>
      </c>
      <c r="N387" s="58" t="str">
        <f>IFERROR(VLOOKUP($B387,OverallResults!$B$3:$BB$492,13,FALSE),"")</f>
        <v/>
      </c>
      <c r="O387" s="58" t="str">
        <f>IFERROR(VLOOKUP($B387,OverallResults!$B$3:$BB$492,14,FALSE),"")</f>
        <v/>
      </c>
      <c r="P387" s="58" t="str">
        <f>IFERROR(VLOOKUP($B387,OverallResults!$B$3:$BB$492,15,FALSE),"")</f>
        <v/>
      </c>
      <c r="Q387" s="58" t="str">
        <f>IFERROR(VLOOKUP($B387,OverallResults!$B$3:$BB$492,16,FALSE),"")</f>
        <v/>
      </c>
      <c r="R387" s="58" t="str">
        <f>IFERROR(VLOOKUP($B387,OverallResults!$B$3:$BB$492,17,FALSE),"")</f>
        <v/>
      </c>
      <c r="S387" s="170" t="e">
        <f t="shared" si="14"/>
        <v>#VALUE!</v>
      </c>
      <c r="T387" s="170" t="e">
        <f t="shared" si="15"/>
        <v>#VALUE!</v>
      </c>
      <c r="U387" s="359" t="str">
        <f>IFERROR(VLOOKUP($D387,EntryList!$B$3:$S$291,18,FALSE),"")</f>
        <v/>
      </c>
      <c r="V387" s="359" t="str">
        <f>IFERROR(VLOOKUP($D387,EntryList!$B$3:$S$291,17,FALSE),"")</f>
        <v/>
      </c>
    </row>
    <row r="388" spans="2:22">
      <c r="B388" s="59">
        <v>383</v>
      </c>
      <c r="C388" s="331" t="str">
        <f>IFERROR(VLOOKUP($B388,OverallResults!$B$3:$Z$508,2,FALSE),"")</f>
        <v>DNF</v>
      </c>
      <c r="D388" s="146" t="str">
        <f>IFERROR(VLOOKUP($B388,OverallResults!$B$3:$Z$508,3,FALSE),"")</f>
        <v/>
      </c>
      <c r="E388" s="146" t="str">
        <f>IFERROR(VLOOKUP(C388,SeriesPoints!$A$2:$B$51,2,FALSE),"")</f>
        <v/>
      </c>
      <c r="F388" s="148" t="str">
        <f>IFERROR(VLOOKUP($D388,EntryList!$B$3:$V$291,21,FALSE),"")</f>
        <v/>
      </c>
      <c r="G388" s="100" t="str">
        <f>IFERROR(VLOOKUP($D388,EntryList!$B$3:$N$596,5,FALSE),"")</f>
        <v/>
      </c>
      <c r="H388" s="145" t="str">
        <f>IFERROR(VLOOKUP($D388,EntryList!$B$3:$N$596,6,FALSE),"")</f>
        <v/>
      </c>
      <c r="I388" s="331" t="str">
        <f>IFERROR(VLOOKUP($B388,OverallResults!$B$3:$Z$492,8,FALSE),"")</f>
        <v/>
      </c>
      <c r="J388" s="58" t="str">
        <f>IFERROR(VLOOKUP($B388,OverallResults!$B$3:$BB$492,9,FALSE),"")</f>
        <v/>
      </c>
      <c r="K388" s="58" t="str">
        <f>IFERROR(VLOOKUP($B388,OverallResults!$B$3:$BB$492,10,FALSE),"")</f>
        <v/>
      </c>
      <c r="L388" s="58" t="str">
        <f>IFERROR(VLOOKUP($B388,OverallResults!$B$3:$BB$492,11,FALSE),"")</f>
        <v/>
      </c>
      <c r="M388" s="58" t="str">
        <f>IFERROR(VLOOKUP($B388,OverallResults!$B$3:$BB$492,12,FALSE),"")</f>
        <v/>
      </c>
      <c r="N388" s="58" t="str">
        <f>IFERROR(VLOOKUP($B388,OverallResults!$B$3:$BB$492,13,FALSE),"")</f>
        <v/>
      </c>
      <c r="O388" s="58" t="str">
        <f>IFERROR(VLOOKUP($B388,OverallResults!$B$3:$BB$492,14,FALSE),"")</f>
        <v/>
      </c>
      <c r="P388" s="58" t="str">
        <f>IFERROR(VLOOKUP($B388,OverallResults!$B$3:$BB$492,15,FALSE),"")</f>
        <v/>
      </c>
      <c r="Q388" s="58" t="str">
        <f>IFERROR(VLOOKUP($B388,OverallResults!$B$3:$BB$492,16,FALSE),"")</f>
        <v/>
      </c>
      <c r="R388" s="58" t="str">
        <f>IFERROR(VLOOKUP($B388,OverallResults!$B$3:$BB$492,17,FALSE),"")</f>
        <v/>
      </c>
      <c r="S388" s="170" t="e">
        <f t="shared" si="14"/>
        <v>#VALUE!</v>
      </c>
      <c r="T388" s="170" t="e">
        <f t="shared" si="15"/>
        <v>#VALUE!</v>
      </c>
      <c r="U388" s="359" t="str">
        <f>IFERROR(VLOOKUP($D388,EntryList!$B$3:$S$291,18,FALSE),"")</f>
        <v/>
      </c>
      <c r="V388" s="359" t="str">
        <f>IFERROR(VLOOKUP($D388,EntryList!$B$3:$S$291,17,FALSE),"")</f>
        <v/>
      </c>
    </row>
    <row r="389" spans="2:22">
      <c r="B389" s="59">
        <v>384</v>
      </c>
      <c r="C389" s="331" t="str">
        <f>IFERROR(VLOOKUP($B389,OverallResults!$B$3:$Z$508,2,FALSE),"")</f>
        <v>DNF</v>
      </c>
      <c r="D389" s="146" t="str">
        <f>IFERROR(VLOOKUP($B389,OverallResults!$B$3:$Z$508,3,FALSE),"")</f>
        <v/>
      </c>
      <c r="E389" s="146" t="str">
        <f>IFERROR(VLOOKUP(C389,SeriesPoints!$A$2:$B$51,2,FALSE),"")</f>
        <v/>
      </c>
      <c r="F389" s="148" t="str">
        <f>IFERROR(VLOOKUP($D389,EntryList!$B$3:$V$291,21,FALSE),"")</f>
        <v/>
      </c>
      <c r="G389" s="100" t="str">
        <f>IFERROR(VLOOKUP($D389,EntryList!$B$3:$N$596,5,FALSE),"")</f>
        <v/>
      </c>
      <c r="H389" s="145" t="str">
        <f>IFERROR(VLOOKUP($D389,EntryList!$B$3:$N$596,6,FALSE),"")</f>
        <v/>
      </c>
      <c r="I389" s="331" t="str">
        <f>IFERROR(VLOOKUP($B389,OverallResults!$B$3:$Z$492,8,FALSE),"")</f>
        <v/>
      </c>
      <c r="J389" s="58" t="str">
        <f>IFERROR(VLOOKUP($B389,OverallResults!$B$3:$BB$492,9,FALSE),"")</f>
        <v/>
      </c>
      <c r="K389" s="58" t="str">
        <f>IFERROR(VLOOKUP($B389,OverallResults!$B$3:$BB$492,10,FALSE),"")</f>
        <v/>
      </c>
      <c r="L389" s="58" t="str">
        <f>IFERROR(VLOOKUP($B389,OverallResults!$B$3:$BB$492,11,FALSE),"")</f>
        <v/>
      </c>
      <c r="M389" s="58" t="str">
        <f>IFERROR(VLOOKUP($B389,OverallResults!$B$3:$BB$492,12,FALSE),"")</f>
        <v/>
      </c>
      <c r="N389" s="58" t="str">
        <f>IFERROR(VLOOKUP($B389,OverallResults!$B$3:$BB$492,13,FALSE),"")</f>
        <v/>
      </c>
      <c r="O389" s="58" t="str">
        <f>IFERROR(VLOOKUP($B389,OverallResults!$B$3:$BB$492,14,FALSE),"")</f>
        <v/>
      </c>
      <c r="P389" s="58" t="str">
        <f>IFERROR(VLOOKUP($B389,OverallResults!$B$3:$BB$492,15,FALSE),"")</f>
        <v/>
      </c>
      <c r="Q389" s="58" t="str">
        <f>IFERROR(VLOOKUP($B389,OverallResults!$B$3:$BB$492,16,FALSE),"")</f>
        <v/>
      </c>
      <c r="R389" s="58" t="str">
        <f>IFERROR(VLOOKUP($B389,OverallResults!$B$3:$BB$492,17,FALSE),"")</f>
        <v/>
      </c>
      <c r="S389" s="170" t="e">
        <f t="shared" si="14"/>
        <v>#VALUE!</v>
      </c>
      <c r="T389" s="170" t="e">
        <f t="shared" si="15"/>
        <v>#VALUE!</v>
      </c>
      <c r="U389" s="359" t="str">
        <f>IFERROR(VLOOKUP($D389,EntryList!$B$3:$S$291,18,FALSE),"")</f>
        <v/>
      </c>
      <c r="V389" s="359" t="str">
        <f>IFERROR(VLOOKUP($D389,EntryList!$B$3:$S$291,17,FALSE),"")</f>
        <v/>
      </c>
    </row>
    <row r="390" spans="2:22">
      <c r="B390" s="59">
        <v>385</v>
      </c>
      <c r="C390" s="331" t="str">
        <f>IFERROR(VLOOKUP($B390,OverallResults!$B$3:$Z$508,2,FALSE),"")</f>
        <v>DNF</v>
      </c>
      <c r="D390" s="146" t="str">
        <f>IFERROR(VLOOKUP($B390,OverallResults!$B$3:$Z$508,3,FALSE),"")</f>
        <v/>
      </c>
      <c r="E390" s="146" t="str">
        <f>IFERROR(VLOOKUP(C390,SeriesPoints!$A$2:$B$51,2,FALSE),"")</f>
        <v/>
      </c>
      <c r="F390" s="148" t="str">
        <f>IFERROR(VLOOKUP($D390,EntryList!$B$3:$V$291,21,FALSE),"")</f>
        <v/>
      </c>
      <c r="G390" s="100" t="str">
        <f>IFERROR(VLOOKUP($D390,EntryList!$B$3:$N$596,5,FALSE),"")</f>
        <v/>
      </c>
      <c r="H390" s="145" t="str">
        <f>IFERROR(VLOOKUP($D390,EntryList!$B$3:$N$596,6,FALSE),"")</f>
        <v/>
      </c>
      <c r="I390" s="331" t="str">
        <f>IFERROR(VLOOKUP($B390,OverallResults!$B$3:$Z$492,8,FALSE),"")</f>
        <v/>
      </c>
      <c r="J390" s="58" t="str">
        <f>IFERROR(VLOOKUP($B390,OverallResults!$B$3:$BB$492,9,FALSE),"")</f>
        <v/>
      </c>
      <c r="K390" s="58" t="str">
        <f>IFERROR(VLOOKUP($B390,OverallResults!$B$3:$BB$492,10,FALSE),"")</f>
        <v/>
      </c>
      <c r="L390" s="58" t="str">
        <f>IFERROR(VLOOKUP($B390,OverallResults!$B$3:$BB$492,11,FALSE),"")</f>
        <v/>
      </c>
      <c r="M390" s="58" t="str">
        <f>IFERROR(VLOOKUP($B390,OverallResults!$B$3:$BB$492,12,FALSE),"")</f>
        <v/>
      </c>
      <c r="N390" s="58" t="str">
        <f>IFERROR(VLOOKUP($B390,OverallResults!$B$3:$BB$492,13,FALSE),"")</f>
        <v/>
      </c>
      <c r="O390" s="58" t="str">
        <f>IFERROR(VLOOKUP($B390,OverallResults!$B$3:$BB$492,14,FALSE),"")</f>
        <v/>
      </c>
      <c r="P390" s="58" t="str">
        <f>IFERROR(VLOOKUP($B390,OverallResults!$B$3:$BB$492,15,FALSE),"")</f>
        <v/>
      </c>
      <c r="Q390" s="58" t="str">
        <f>IFERROR(VLOOKUP($B390,OverallResults!$B$3:$BB$492,16,FALSE),"")</f>
        <v/>
      </c>
      <c r="R390" s="58" t="str">
        <f>IFERROR(VLOOKUP($B390,OverallResults!$B$3:$BB$492,17,FALSE),"")</f>
        <v/>
      </c>
      <c r="S390" s="170" t="e">
        <f t="shared" si="14"/>
        <v>#VALUE!</v>
      </c>
      <c r="T390" s="170" t="e">
        <f t="shared" si="15"/>
        <v>#VALUE!</v>
      </c>
      <c r="U390" s="359" t="str">
        <f>IFERROR(VLOOKUP($D390,EntryList!$B$3:$S$291,18,FALSE),"")</f>
        <v/>
      </c>
      <c r="V390" s="359" t="str">
        <f>IFERROR(VLOOKUP($D390,EntryList!$B$3:$S$291,17,FALSE),"")</f>
        <v/>
      </c>
    </row>
    <row r="391" spans="2:22">
      <c r="B391" s="59">
        <v>386</v>
      </c>
      <c r="C391" s="331" t="str">
        <f>IFERROR(VLOOKUP($B391,OverallResults!$B$3:$Z$508,2,FALSE),"")</f>
        <v>DNF</v>
      </c>
      <c r="D391" s="146" t="str">
        <f>IFERROR(VLOOKUP($B391,OverallResults!$B$3:$Z$508,3,FALSE),"")</f>
        <v/>
      </c>
      <c r="E391" s="146" t="str">
        <f>IFERROR(VLOOKUP(C391,SeriesPoints!$A$2:$B$51,2,FALSE),"")</f>
        <v/>
      </c>
      <c r="F391" s="148" t="str">
        <f>IFERROR(VLOOKUP($D391,EntryList!$B$3:$V$291,21,FALSE),"")</f>
        <v/>
      </c>
      <c r="G391" s="100" t="str">
        <f>IFERROR(VLOOKUP($D391,EntryList!$B$3:$N$596,5,FALSE),"")</f>
        <v/>
      </c>
      <c r="H391" s="145" t="str">
        <f>IFERROR(VLOOKUP($D391,EntryList!$B$3:$N$596,6,FALSE),"")</f>
        <v/>
      </c>
      <c r="I391" s="331" t="str">
        <f>IFERROR(VLOOKUP($B391,OverallResults!$B$3:$Z$492,8,FALSE),"")</f>
        <v/>
      </c>
      <c r="J391" s="58" t="str">
        <f>IFERROR(VLOOKUP($B391,OverallResults!$B$3:$BB$492,9,FALSE),"")</f>
        <v/>
      </c>
      <c r="K391" s="58" t="str">
        <f>IFERROR(VLOOKUP($B391,OverallResults!$B$3:$BB$492,10,FALSE),"")</f>
        <v/>
      </c>
      <c r="L391" s="58" t="str">
        <f>IFERROR(VLOOKUP($B391,OverallResults!$B$3:$BB$492,11,FALSE),"")</f>
        <v/>
      </c>
      <c r="M391" s="58" t="str">
        <f>IFERROR(VLOOKUP($B391,OverallResults!$B$3:$BB$492,12,FALSE),"")</f>
        <v/>
      </c>
      <c r="N391" s="58" t="str">
        <f>IFERROR(VLOOKUP($B391,OverallResults!$B$3:$BB$492,13,FALSE),"")</f>
        <v/>
      </c>
      <c r="O391" s="58" t="str">
        <f>IFERROR(VLOOKUP($B391,OverallResults!$B$3:$BB$492,14,FALSE),"")</f>
        <v/>
      </c>
      <c r="P391" s="58" t="str">
        <f>IFERROR(VLOOKUP($B391,OverallResults!$B$3:$BB$492,15,FALSE),"")</f>
        <v/>
      </c>
      <c r="Q391" s="58" t="str">
        <f>IFERROR(VLOOKUP($B391,OverallResults!$B$3:$BB$492,16,FALSE),"")</f>
        <v/>
      </c>
      <c r="R391" s="58" t="str">
        <f>IFERROR(VLOOKUP($B391,OverallResults!$B$3:$BB$492,17,FALSE),"")</f>
        <v/>
      </c>
      <c r="S391" s="170" t="e">
        <f t="shared" si="14"/>
        <v>#VALUE!</v>
      </c>
      <c r="T391" s="170" t="e">
        <f t="shared" si="15"/>
        <v>#VALUE!</v>
      </c>
      <c r="U391" s="359" t="str">
        <f>IFERROR(VLOOKUP($D391,EntryList!$B$3:$S$291,18,FALSE),"")</f>
        <v/>
      </c>
      <c r="V391" s="359" t="str">
        <f>IFERROR(VLOOKUP($D391,EntryList!$B$3:$S$291,17,FALSE),"")</f>
        <v/>
      </c>
    </row>
    <row r="392" spans="2:22">
      <c r="B392" s="59">
        <v>387</v>
      </c>
      <c r="C392" s="331" t="str">
        <f>IFERROR(VLOOKUP($B392,OverallResults!$B$3:$Z$508,2,FALSE),"")</f>
        <v>DNF</v>
      </c>
      <c r="D392" s="146" t="str">
        <f>IFERROR(VLOOKUP($B392,OverallResults!$B$3:$Z$508,3,FALSE),"")</f>
        <v/>
      </c>
      <c r="E392" s="146" t="str">
        <f>IFERROR(VLOOKUP(C392,SeriesPoints!$A$2:$B$51,2,FALSE),"")</f>
        <v/>
      </c>
      <c r="F392" s="148" t="str">
        <f>IFERROR(VLOOKUP($D392,EntryList!$B$3:$V$291,21,FALSE),"")</f>
        <v/>
      </c>
      <c r="G392" s="100" t="str">
        <f>IFERROR(VLOOKUP($D392,EntryList!$B$3:$N$596,5,FALSE),"")</f>
        <v/>
      </c>
      <c r="H392" s="145" t="str">
        <f>IFERROR(VLOOKUP($D392,EntryList!$B$3:$N$596,6,FALSE),"")</f>
        <v/>
      </c>
      <c r="I392" s="331" t="str">
        <f>IFERROR(VLOOKUP($B392,OverallResults!$B$3:$Z$492,8,FALSE),"")</f>
        <v/>
      </c>
      <c r="J392" s="58" t="str">
        <f>IFERROR(VLOOKUP($B392,OverallResults!$B$3:$BB$492,9,FALSE),"")</f>
        <v/>
      </c>
      <c r="K392" s="58" t="str">
        <f>IFERROR(VLOOKUP($B392,OverallResults!$B$3:$BB$492,10,FALSE),"")</f>
        <v/>
      </c>
      <c r="L392" s="58" t="str">
        <f>IFERROR(VLOOKUP($B392,OverallResults!$B$3:$BB$492,11,FALSE),"")</f>
        <v/>
      </c>
      <c r="M392" s="58" t="str">
        <f>IFERROR(VLOOKUP($B392,OverallResults!$B$3:$BB$492,12,FALSE),"")</f>
        <v/>
      </c>
      <c r="N392" s="58" t="str">
        <f>IFERROR(VLOOKUP($B392,OverallResults!$B$3:$BB$492,13,FALSE),"")</f>
        <v/>
      </c>
      <c r="O392" s="58" t="str">
        <f>IFERROR(VLOOKUP($B392,OverallResults!$B$3:$BB$492,14,FALSE),"")</f>
        <v/>
      </c>
      <c r="P392" s="58" t="str">
        <f>IFERROR(VLOOKUP($B392,OverallResults!$B$3:$BB$492,15,FALSE),"")</f>
        <v/>
      </c>
      <c r="Q392" s="58" t="str">
        <f>IFERROR(VLOOKUP($B392,OverallResults!$B$3:$BB$492,16,FALSE),"")</f>
        <v/>
      </c>
      <c r="R392" s="58" t="str">
        <f>IFERROR(VLOOKUP($B392,OverallResults!$B$3:$BB$492,17,FALSE),"")</f>
        <v/>
      </c>
      <c r="S392" s="170" t="e">
        <f t="shared" si="14"/>
        <v>#VALUE!</v>
      </c>
      <c r="T392" s="170" t="e">
        <f t="shared" si="15"/>
        <v>#VALUE!</v>
      </c>
      <c r="U392" s="359" t="str">
        <f>IFERROR(VLOOKUP($D392,EntryList!$B$3:$S$291,18,FALSE),"")</f>
        <v/>
      </c>
      <c r="V392" s="359" t="str">
        <f>IFERROR(VLOOKUP($D392,EntryList!$B$3:$S$291,17,FALSE),"")</f>
        <v/>
      </c>
    </row>
    <row r="393" spans="2:22">
      <c r="B393" s="59">
        <v>388</v>
      </c>
      <c r="C393" s="331" t="str">
        <f>IFERROR(VLOOKUP($B393,OverallResults!$B$3:$Z$508,2,FALSE),"")</f>
        <v>DNF</v>
      </c>
      <c r="D393" s="146" t="str">
        <f>IFERROR(VLOOKUP($B393,OverallResults!$B$3:$Z$508,3,FALSE),"")</f>
        <v/>
      </c>
      <c r="E393" s="146" t="str">
        <f>IFERROR(VLOOKUP(C393,SeriesPoints!$A$2:$B$51,2,FALSE),"")</f>
        <v/>
      </c>
      <c r="F393" s="148" t="str">
        <f>IFERROR(VLOOKUP($D393,EntryList!$B$3:$V$291,21,FALSE),"")</f>
        <v/>
      </c>
      <c r="G393" s="100" t="str">
        <f>IFERROR(VLOOKUP($D393,EntryList!$B$3:$N$596,5,FALSE),"")</f>
        <v/>
      </c>
      <c r="H393" s="145" t="str">
        <f>IFERROR(VLOOKUP($D393,EntryList!$B$3:$N$596,6,FALSE),"")</f>
        <v/>
      </c>
      <c r="I393" s="331" t="str">
        <f>IFERROR(VLOOKUP($B393,OverallResults!$B$3:$Z$492,8,FALSE),"")</f>
        <v/>
      </c>
      <c r="J393" s="58" t="str">
        <f>IFERROR(VLOOKUP($B393,OverallResults!$B$3:$BB$492,9,FALSE),"")</f>
        <v/>
      </c>
      <c r="K393" s="58" t="str">
        <f>IFERROR(VLOOKUP($B393,OverallResults!$B$3:$BB$492,10,FALSE),"")</f>
        <v/>
      </c>
      <c r="L393" s="58" t="str">
        <f>IFERROR(VLOOKUP($B393,OverallResults!$B$3:$BB$492,11,FALSE),"")</f>
        <v/>
      </c>
      <c r="M393" s="58" t="str">
        <f>IFERROR(VLOOKUP($B393,OverallResults!$B$3:$BB$492,12,FALSE),"")</f>
        <v/>
      </c>
      <c r="N393" s="58" t="str">
        <f>IFERROR(VLOOKUP($B393,OverallResults!$B$3:$BB$492,13,FALSE),"")</f>
        <v/>
      </c>
      <c r="O393" s="58" t="str">
        <f>IFERROR(VLOOKUP($B393,OverallResults!$B$3:$BB$492,14,FALSE),"")</f>
        <v/>
      </c>
      <c r="P393" s="58" t="str">
        <f>IFERROR(VLOOKUP($B393,OverallResults!$B$3:$BB$492,15,FALSE),"")</f>
        <v/>
      </c>
      <c r="Q393" s="58" t="str">
        <f>IFERROR(VLOOKUP($B393,OverallResults!$B$3:$BB$492,16,FALSE),"")</f>
        <v/>
      </c>
      <c r="R393" s="58" t="str">
        <f>IFERROR(VLOOKUP($B393,OverallResults!$B$3:$BB$492,17,FALSE),"")</f>
        <v/>
      </c>
      <c r="S393" s="170" t="e">
        <f t="shared" si="14"/>
        <v>#VALUE!</v>
      </c>
      <c r="T393" s="170" t="e">
        <f t="shared" si="15"/>
        <v>#VALUE!</v>
      </c>
      <c r="U393" s="359" t="str">
        <f>IFERROR(VLOOKUP($D393,EntryList!$B$3:$S$291,18,FALSE),"")</f>
        <v/>
      </c>
      <c r="V393" s="359" t="str">
        <f>IFERROR(VLOOKUP($D393,EntryList!$B$3:$S$291,17,FALSE),"")</f>
        <v/>
      </c>
    </row>
    <row r="394" spans="2:22">
      <c r="B394" s="59">
        <v>389</v>
      </c>
      <c r="C394" s="331" t="str">
        <f>IFERROR(VLOOKUP($B394,OverallResults!$B$3:$Z$508,2,FALSE),"")</f>
        <v>DNF</v>
      </c>
      <c r="D394" s="146" t="str">
        <f>IFERROR(VLOOKUP($B394,OverallResults!$B$3:$Z$508,3,FALSE),"")</f>
        <v/>
      </c>
      <c r="E394" s="146" t="str">
        <f>IFERROR(VLOOKUP(C394,SeriesPoints!$A$2:$B$51,2,FALSE),"")</f>
        <v/>
      </c>
      <c r="F394" s="148" t="str">
        <f>IFERROR(VLOOKUP($D394,EntryList!$B$3:$V$291,21,FALSE),"")</f>
        <v/>
      </c>
      <c r="G394" s="100" t="str">
        <f>IFERROR(VLOOKUP($D394,EntryList!$B$3:$N$596,5,FALSE),"")</f>
        <v/>
      </c>
      <c r="H394" s="145" t="str">
        <f>IFERROR(VLOOKUP($D394,EntryList!$B$3:$N$596,6,FALSE),"")</f>
        <v/>
      </c>
      <c r="I394" s="331" t="str">
        <f>IFERROR(VLOOKUP($B394,OverallResults!$B$3:$Z$492,8,FALSE),"")</f>
        <v/>
      </c>
      <c r="J394" s="58" t="str">
        <f>IFERROR(VLOOKUP($B394,OverallResults!$B$3:$BB$492,9,FALSE),"")</f>
        <v/>
      </c>
      <c r="K394" s="58" t="str">
        <f>IFERROR(VLOOKUP($B394,OverallResults!$B$3:$BB$492,10,FALSE),"")</f>
        <v/>
      </c>
      <c r="L394" s="58" t="str">
        <f>IFERROR(VLOOKUP($B394,OverallResults!$B$3:$BB$492,11,FALSE),"")</f>
        <v/>
      </c>
      <c r="M394" s="58" t="str">
        <f>IFERROR(VLOOKUP($B394,OverallResults!$B$3:$BB$492,12,FALSE),"")</f>
        <v/>
      </c>
      <c r="N394" s="58" t="str">
        <f>IFERROR(VLOOKUP($B394,OverallResults!$B$3:$BB$492,13,FALSE),"")</f>
        <v/>
      </c>
      <c r="O394" s="58" t="str">
        <f>IFERROR(VLOOKUP($B394,OverallResults!$B$3:$BB$492,14,FALSE),"")</f>
        <v/>
      </c>
      <c r="P394" s="58" t="str">
        <f>IFERROR(VLOOKUP($B394,OverallResults!$B$3:$BB$492,15,FALSE),"")</f>
        <v/>
      </c>
      <c r="Q394" s="58" t="str">
        <f>IFERROR(VLOOKUP($B394,OverallResults!$B$3:$BB$492,16,FALSE),"")</f>
        <v/>
      </c>
      <c r="R394" s="58" t="str">
        <f>IFERROR(VLOOKUP($B394,OverallResults!$B$3:$BB$492,17,FALSE),"")</f>
        <v/>
      </c>
      <c r="S394" s="170" t="e">
        <f t="shared" si="14"/>
        <v>#VALUE!</v>
      </c>
      <c r="T394" s="170" t="e">
        <f t="shared" si="15"/>
        <v>#VALUE!</v>
      </c>
      <c r="U394" s="359" t="str">
        <f>IFERROR(VLOOKUP($D394,EntryList!$B$3:$S$291,18,FALSE),"")</f>
        <v/>
      </c>
      <c r="V394" s="359" t="str">
        <f>IFERROR(VLOOKUP($D394,EntryList!$B$3:$S$291,17,FALSE),"")</f>
        <v/>
      </c>
    </row>
    <row r="395" spans="2:22">
      <c r="B395" s="59">
        <v>390</v>
      </c>
      <c r="C395" s="331" t="str">
        <f>IFERROR(VLOOKUP($B395,OverallResults!$B$3:$Z$508,2,FALSE),"")</f>
        <v>DNF</v>
      </c>
      <c r="D395" s="146" t="str">
        <f>IFERROR(VLOOKUP($B395,OverallResults!$B$3:$Z$508,3,FALSE),"")</f>
        <v/>
      </c>
      <c r="E395" s="146" t="str">
        <f>IFERROR(VLOOKUP(C395,SeriesPoints!$A$2:$B$51,2,FALSE),"")</f>
        <v/>
      </c>
      <c r="F395" s="148" t="str">
        <f>IFERROR(VLOOKUP($D395,EntryList!$B$3:$V$291,21,FALSE),"")</f>
        <v/>
      </c>
      <c r="G395" s="100" t="str">
        <f>IFERROR(VLOOKUP($D395,EntryList!$B$3:$N$596,5,FALSE),"")</f>
        <v/>
      </c>
      <c r="H395" s="145" t="str">
        <f>IFERROR(VLOOKUP($D395,EntryList!$B$3:$N$596,6,FALSE),"")</f>
        <v/>
      </c>
      <c r="I395" s="331" t="str">
        <f>IFERROR(VLOOKUP($B395,OverallResults!$B$3:$Z$492,8,FALSE),"")</f>
        <v/>
      </c>
      <c r="J395" s="58" t="str">
        <f>IFERROR(VLOOKUP($B395,OverallResults!$B$3:$BB$492,9,FALSE),"")</f>
        <v/>
      </c>
      <c r="K395" s="58" t="str">
        <f>IFERROR(VLOOKUP($B395,OverallResults!$B$3:$BB$492,10,FALSE),"")</f>
        <v/>
      </c>
      <c r="L395" s="58" t="str">
        <f>IFERROR(VLOOKUP($B395,OverallResults!$B$3:$BB$492,11,FALSE),"")</f>
        <v/>
      </c>
      <c r="M395" s="58" t="str">
        <f>IFERROR(VLOOKUP($B395,OverallResults!$B$3:$BB$492,12,FALSE),"")</f>
        <v/>
      </c>
      <c r="N395" s="58" t="str">
        <f>IFERROR(VLOOKUP($B395,OverallResults!$B$3:$BB$492,13,FALSE),"")</f>
        <v/>
      </c>
      <c r="O395" s="58" t="str">
        <f>IFERROR(VLOOKUP($B395,OverallResults!$B$3:$BB$492,14,FALSE),"")</f>
        <v/>
      </c>
      <c r="P395" s="58" t="str">
        <f>IFERROR(VLOOKUP($B395,OverallResults!$B$3:$BB$492,15,FALSE),"")</f>
        <v/>
      </c>
      <c r="Q395" s="58" t="str">
        <f>IFERROR(VLOOKUP($B395,OverallResults!$B$3:$BB$492,16,FALSE),"")</f>
        <v/>
      </c>
      <c r="R395" s="58" t="str">
        <f>IFERROR(VLOOKUP($B395,OverallResults!$B$3:$BB$492,17,FALSE),"")</f>
        <v/>
      </c>
      <c r="S395" s="170" t="e">
        <f t="shared" si="14"/>
        <v>#VALUE!</v>
      </c>
      <c r="T395" s="170" t="e">
        <f t="shared" si="15"/>
        <v>#VALUE!</v>
      </c>
      <c r="U395" s="359" t="str">
        <f>IFERROR(VLOOKUP($D395,EntryList!$B$3:$S$291,18,FALSE),"")</f>
        <v/>
      </c>
      <c r="V395" s="359" t="str">
        <f>IFERROR(VLOOKUP($D395,EntryList!$B$3:$S$291,17,FALSE),"")</f>
        <v/>
      </c>
    </row>
    <row r="396" spans="2:22">
      <c r="B396" s="59">
        <v>391</v>
      </c>
      <c r="C396" s="331" t="str">
        <f>IFERROR(VLOOKUP($B396,OverallResults!$B$3:$Z$508,2,FALSE),"")</f>
        <v>DNF</v>
      </c>
      <c r="D396" s="146" t="str">
        <f>IFERROR(VLOOKUP($B396,OverallResults!$B$3:$Z$508,3,FALSE),"")</f>
        <v/>
      </c>
      <c r="E396" s="146" t="str">
        <f>IFERROR(VLOOKUP(C396,SeriesPoints!$A$2:$B$51,2,FALSE),"")</f>
        <v/>
      </c>
      <c r="F396" s="148" t="str">
        <f>IFERROR(VLOOKUP($D396,EntryList!$B$3:$V$291,21,FALSE),"")</f>
        <v/>
      </c>
      <c r="G396" s="100" t="str">
        <f>IFERROR(VLOOKUP($D396,EntryList!$B$3:$N$596,5,FALSE),"")</f>
        <v/>
      </c>
      <c r="H396" s="145" t="str">
        <f>IFERROR(VLOOKUP($D396,EntryList!$B$3:$N$596,6,FALSE),"")</f>
        <v/>
      </c>
      <c r="I396" s="331" t="str">
        <f>IFERROR(VLOOKUP($B396,OverallResults!$B$3:$Z$492,8,FALSE),"")</f>
        <v/>
      </c>
      <c r="J396" s="58" t="str">
        <f>IFERROR(VLOOKUP($B396,OverallResults!$B$3:$BB$492,9,FALSE),"")</f>
        <v/>
      </c>
      <c r="K396" s="58" t="str">
        <f>IFERROR(VLOOKUP($B396,OverallResults!$B$3:$BB$492,10,FALSE),"")</f>
        <v/>
      </c>
      <c r="L396" s="58" t="str">
        <f>IFERROR(VLOOKUP($B396,OverallResults!$B$3:$BB$492,11,FALSE),"")</f>
        <v/>
      </c>
      <c r="M396" s="58" t="str">
        <f>IFERROR(VLOOKUP($B396,OverallResults!$B$3:$BB$492,12,FALSE),"")</f>
        <v/>
      </c>
      <c r="N396" s="58" t="str">
        <f>IFERROR(VLOOKUP($B396,OverallResults!$B$3:$BB$492,13,FALSE),"")</f>
        <v/>
      </c>
      <c r="O396" s="58" t="str">
        <f>IFERROR(VLOOKUP($B396,OverallResults!$B$3:$BB$492,14,FALSE),"")</f>
        <v/>
      </c>
      <c r="P396" s="58" t="str">
        <f>IFERROR(VLOOKUP($B396,OverallResults!$B$3:$BB$492,15,FALSE),"")</f>
        <v/>
      </c>
      <c r="Q396" s="58" t="str">
        <f>IFERROR(VLOOKUP($B396,OverallResults!$B$3:$BB$492,16,FALSE),"")</f>
        <v/>
      </c>
      <c r="R396" s="58" t="str">
        <f>IFERROR(VLOOKUP($B396,OverallResults!$B$3:$BB$492,17,FALSE),"")</f>
        <v/>
      </c>
      <c r="S396" s="170" t="e">
        <f t="shared" si="14"/>
        <v>#VALUE!</v>
      </c>
      <c r="T396" s="170" t="e">
        <f t="shared" si="15"/>
        <v>#VALUE!</v>
      </c>
      <c r="U396" s="359" t="str">
        <f>IFERROR(VLOOKUP($D396,EntryList!$B$3:$S$291,18,FALSE),"")</f>
        <v/>
      </c>
      <c r="V396" s="359" t="str">
        <f>IFERROR(VLOOKUP($D396,EntryList!$B$3:$S$291,17,FALSE),"")</f>
        <v/>
      </c>
    </row>
    <row r="397" spans="2:22">
      <c r="B397" s="59">
        <v>392</v>
      </c>
      <c r="C397" s="331" t="str">
        <f>IFERROR(VLOOKUP($B397,OverallResults!$B$3:$Z$508,2,FALSE),"")</f>
        <v>DNF</v>
      </c>
      <c r="D397" s="146" t="str">
        <f>IFERROR(VLOOKUP($B397,OverallResults!$B$3:$Z$508,3,FALSE),"")</f>
        <v/>
      </c>
      <c r="E397" s="146" t="str">
        <f>IFERROR(VLOOKUP(C397,SeriesPoints!$A$2:$B$51,2,FALSE),"")</f>
        <v/>
      </c>
      <c r="F397" s="148" t="str">
        <f>IFERROR(VLOOKUP($D397,EntryList!$B$3:$V$291,21,FALSE),"")</f>
        <v/>
      </c>
      <c r="G397" s="100" t="str">
        <f>IFERROR(VLOOKUP($D397,EntryList!$B$3:$N$596,5,FALSE),"")</f>
        <v/>
      </c>
      <c r="H397" s="145" t="str">
        <f>IFERROR(VLOOKUP($D397,EntryList!$B$3:$N$596,6,FALSE),"")</f>
        <v/>
      </c>
      <c r="I397" s="331" t="str">
        <f>IFERROR(VLOOKUP($B397,OverallResults!$B$3:$Z$492,8,FALSE),"")</f>
        <v/>
      </c>
      <c r="J397" s="58" t="str">
        <f>IFERROR(VLOOKUP($B397,OverallResults!$B$3:$BB$492,9,FALSE),"")</f>
        <v/>
      </c>
      <c r="K397" s="58" t="str">
        <f>IFERROR(VLOOKUP($B397,OverallResults!$B$3:$BB$492,10,FALSE),"")</f>
        <v/>
      </c>
      <c r="L397" s="58" t="str">
        <f>IFERROR(VLOOKUP($B397,OverallResults!$B$3:$BB$492,11,FALSE),"")</f>
        <v/>
      </c>
      <c r="M397" s="58" t="str">
        <f>IFERROR(VLOOKUP($B397,OverallResults!$B$3:$BB$492,12,FALSE),"")</f>
        <v/>
      </c>
      <c r="N397" s="58" t="str">
        <f>IFERROR(VLOOKUP($B397,OverallResults!$B$3:$BB$492,13,FALSE),"")</f>
        <v/>
      </c>
      <c r="O397" s="58" t="str">
        <f>IFERROR(VLOOKUP($B397,OverallResults!$B$3:$BB$492,14,FALSE),"")</f>
        <v/>
      </c>
      <c r="P397" s="58" t="str">
        <f>IFERROR(VLOOKUP($B397,OverallResults!$B$3:$BB$492,15,FALSE),"")</f>
        <v/>
      </c>
      <c r="Q397" s="58" t="str">
        <f>IFERROR(VLOOKUP($B397,OverallResults!$B$3:$BB$492,16,FALSE),"")</f>
        <v/>
      </c>
      <c r="R397" s="58" t="str">
        <f>IFERROR(VLOOKUP($B397,OverallResults!$B$3:$BB$492,17,FALSE),"")</f>
        <v/>
      </c>
      <c r="S397" s="170" t="e">
        <f t="shared" si="14"/>
        <v>#VALUE!</v>
      </c>
      <c r="T397" s="170" t="e">
        <f t="shared" si="15"/>
        <v>#VALUE!</v>
      </c>
      <c r="U397" s="359" t="str">
        <f>IFERROR(VLOOKUP($D397,EntryList!$B$3:$S$291,18,FALSE),"")</f>
        <v/>
      </c>
      <c r="V397" s="359" t="str">
        <f>IFERROR(VLOOKUP($D397,EntryList!$B$3:$S$291,17,FALSE),"")</f>
        <v/>
      </c>
    </row>
    <row r="398" spans="2:22">
      <c r="B398" s="59">
        <v>393</v>
      </c>
      <c r="C398" s="331" t="str">
        <f>IFERROR(VLOOKUP($B398,OverallResults!$B$3:$Z$508,2,FALSE),"")</f>
        <v>DNF</v>
      </c>
      <c r="D398" s="146" t="str">
        <f>IFERROR(VLOOKUP($B398,OverallResults!$B$3:$Z$508,3,FALSE),"")</f>
        <v/>
      </c>
      <c r="E398" s="146" t="str">
        <f>IFERROR(VLOOKUP(C398,SeriesPoints!$A$2:$B$51,2,FALSE),"")</f>
        <v/>
      </c>
      <c r="F398" s="148" t="str">
        <f>IFERROR(VLOOKUP($D398,EntryList!$B$3:$V$291,21,FALSE),"")</f>
        <v/>
      </c>
      <c r="G398" s="100" t="str">
        <f>IFERROR(VLOOKUP($D398,EntryList!$B$3:$N$596,5,FALSE),"")</f>
        <v/>
      </c>
      <c r="H398" s="145" t="str">
        <f>IFERROR(VLOOKUP($D398,EntryList!$B$3:$N$596,6,FALSE),"")</f>
        <v/>
      </c>
      <c r="I398" s="331" t="str">
        <f>IFERROR(VLOOKUP($B398,OverallResults!$B$3:$Z$492,8,FALSE),"")</f>
        <v/>
      </c>
      <c r="J398" s="58" t="str">
        <f>IFERROR(VLOOKUP($B398,OverallResults!$B$3:$BB$492,9,FALSE),"")</f>
        <v/>
      </c>
      <c r="K398" s="58" t="str">
        <f>IFERROR(VLOOKUP($B398,OverallResults!$B$3:$BB$492,10,FALSE),"")</f>
        <v/>
      </c>
      <c r="L398" s="58" t="str">
        <f>IFERROR(VLOOKUP($B398,OverallResults!$B$3:$BB$492,11,FALSE),"")</f>
        <v/>
      </c>
      <c r="M398" s="58" t="str">
        <f>IFERROR(VLOOKUP($B398,OverallResults!$B$3:$BB$492,12,FALSE),"")</f>
        <v/>
      </c>
      <c r="N398" s="58" t="str">
        <f>IFERROR(VLOOKUP($B398,OverallResults!$B$3:$BB$492,13,FALSE),"")</f>
        <v/>
      </c>
      <c r="O398" s="58" t="str">
        <f>IFERROR(VLOOKUP($B398,OverallResults!$B$3:$BB$492,14,FALSE),"")</f>
        <v/>
      </c>
      <c r="P398" s="58" t="str">
        <f>IFERROR(VLOOKUP($B398,OverallResults!$B$3:$BB$492,15,FALSE),"")</f>
        <v/>
      </c>
      <c r="Q398" s="58" t="str">
        <f>IFERROR(VLOOKUP($B398,OverallResults!$B$3:$BB$492,16,FALSE),"")</f>
        <v/>
      </c>
      <c r="R398" s="58" t="str">
        <f>IFERROR(VLOOKUP($B398,OverallResults!$B$3:$BB$492,17,FALSE),"")</f>
        <v/>
      </c>
      <c r="S398" s="170" t="e">
        <f t="shared" si="14"/>
        <v>#VALUE!</v>
      </c>
      <c r="T398" s="170" t="e">
        <f t="shared" si="15"/>
        <v>#VALUE!</v>
      </c>
      <c r="U398" s="359" t="str">
        <f>IFERROR(VLOOKUP($D398,EntryList!$B$3:$S$291,18,FALSE),"")</f>
        <v/>
      </c>
      <c r="V398" s="359" t="str">
        <f>IFERROR(VLOOKUP($D398,EntryList!$B$3:$S$291,17,FALSE),"")</f>
        <v/>
      </c>
    </row>
    <row r="399" spans="2:22">
      <c r="B399" s="59">
        <v>394</v>
      </c>
      <c r="C399" s="331" t="str">
        <f>IFERROR(VLOOKUP($B399,OverallResults!$B$3:$Z$508,2,FALSE),"")</f>
        <v>DNF</v>
      </c>
      <c r="D399" s="146" t="str">
        <f>IFERROR(VLOOKUP($B399,OverallResults!$B$3:$Z$508,3,FALSE),"")</f>
        <v/>
      </c>
      <c r="E399" s="146" t="str">
        <f>IFERROR(VLOOKUP(C399,SeriesPoints!$A$2:$B$51,2,FALSE),"")</f>
        <v/>
      </c>
      <c r="F399" s="148" t="str">
        <f>IFERROR(VLOOKUP($D399,EntryList!$B$3:$V$291,21,FALSE),"")</f>
        <v/>
      </c>
      <c r="G399" s="100" t="str">
        <f>IFERROR(VLOOKUP($D399,EntryList!$B$3:$N$596,5,FALSE),"")</f>
        <v/>
      </c>
      <c r="H399" s="145" t="str">
        <f>IFERROR(VLOOKUP($D399,EntryList!$B$3:$N$596,6,FALSE),"")</f>
        <v/>
      </c>
      <c r="I399" s="331" t="str">
        <f>IFERROR(VLOOKUP($B399,OverallResults!$B$3:$Z$492,8,FALSE),"")</f>
        <v/>
      </c>
      <c r="J399" s="58" t="str">
        <f>IFERROR(VLOOKUP($B399,OverallResults!$B$3:$BB$492,9,FALSE),"")</f>
        <v/>
      </c>
      <c r="K399" s="58" t="str">
        <f>IFERROR(VLOOKUP($B399,OverallResults!$B$3:$BB$492,10,FALSE),"")</f>
        <v/>
      </c>
      <c r="L399" s="58" t="str">
        <f>IFERROR(VLOOKUP($B399,OverallResults!$B$3:$BB$492,11,FALSE),"")</f>
        <v/>
      </c>
      <c r="M399" s="58" t="str">
        <f>IFERROR(VLOOKUP($B399,OverallResults!$B$3:$BB$492,12,FALSE),"")</f>
        <v/>
      </c>
      <c r="N399" s="58" t="str">
        <f>IFERROR(VLOOKUP($B399,OverallResults!$B$3:$BB$492,13,FALSE),"")</f>
        <v/>
      </c>
      <c r="O399" s="58" t="str">
        <f>IFERROR(VLOOKUP($B399,OverallResults!$B$3:$BB$492,14,FALSE),"")</f>
        <v/>
      </c>
      <c r="P399" s="58" t="str">
        <f>IFERROR(VLOOKUP($B399,OverallResults!$B$3:$BB$492,15,FALSE),"")</f>
        <v/>
      </c>
      <c r="Q399" s="58" t="str">
        <f>IFERROR(VLOOKUP($B399,OverallResults!$B$3:$BB$492,16,FALSE),"")</f>
        <v/>
      </c>
      <c r="R399" s="58" t="str">
        <f>IFERROR(VLOOKUP($B399,OverallResults!$B$3:$BB$492,17,FALSE),"")</f>
        <v/>
      </c>
      <c r="S399" s="170" t="e">
        <f t="shared" si="14"/>
        <v>#VALUE!</v>
      </c>
      <c r="T399" s="170" t="e">
        <f t="shared" si="15"/>
        <v>#VALUE!</v>
      </c>
      <c r="U399" s="359" t="str">
        <f>IFERROR(VLOOKUP($D399,EntryList!$B$3:$S$291,18,FALSE),"")</f>
        <v/>
      </c>
      <c r="V399" s="359" t="str">
        <f>IFERROR(VLOOKUP($D399,EntryList!$B$3:$S$291,17,FALSE),"")</f>
        <v/>
      </c>
    </row>
    <row r="400" spans="2:22">
      <c r="B400" s="59">
        <v>395</v>
      </c>
      <c r="C400" s="331" t="str">
        <f>IFERROR(VLOOKUP($B400,OverallResults!$B$3:$Z$508,2,FALSE),"")</f>
        <v>DNF</v>
      </c>
      <c r="D400" s="146" t="str">
        <f>IFERROR(VLOOKUP($B400,OverallResults!$B$3:$Z$508,3,FALSE),"")</f>
        <v/>
      </c>
      <c r="E400" s="146" t="str">
        <f>IFERROR(VLOOKUP(C400,SeriesPoints!$A$2:$B$51,2,FALSE),"")</f>
        <v/>
      </c>
      <c r="F400" s="148" t="str">
        <f>IFERROR(VLOOKUP($D400,EntryList!$B$3:$V$291,21,FALSE),"")</f>
        <v/>
      </c>
      <c r="G400" s="100" t="str">
        <f>IFERROR(VLOOKUP($D400,EntryList!$B$3:$N$596,5,FALSE),"")</f>
        <v/>
      </c>
      <c r="H400" s="145" t="str">
        <f>IFERROR(VLOOKUP($D400,EntryList!$B$3:$N$596,6,FALSE),"")</f>
        <v/>
      </c>
      <c r="I400" s="331" t="str">
        <f>IFERROR(VLOOKUP($B400,OverallResults!$B$3:$Z$492,8,FALSE),"")</f>
        <v/>
      </c>
      <c r="J400" s="58" t="str">
        <f>IFERROR(VLOOKUP($B400,OverallResults!$B$3:$BB$492,9,FALSE),"")</f>
        <v/>
      </c>
      <c r="K400" s="58" t="str">
        <f>IFERROR(VLOOKUP($B400,OverallResults!$B$3:$BB$492,10,FALSE),"")</f>
        <v/>
      </c>
      <c r="L400" s="58" t="str">
        <f>IFERROR(VLOOKUP($B400,OverallResults!$B$3:$BB$492,11,FALSE),"")</f>
        <v/>
      </c>
      <c r="M400" s="58" t="str">
        <f>IFERROR(VLOOKUP($B400,OverallResults!$B$3:$BB$492,12,FALSE),"")</f>
        <v/>
      </c>
      <c r="N400" s="58" t="str">
        <f>IFERROR(VLOOKUP($B400,OverallResults!$B$3:$BB$492,13,FALSE),"")</f>
        <v/>
      </c>
      <c r="O400" s="58" t="str">
        <f>IFERROR(VLOOKUP($B400,OverallResults!$B$3:$BB$492,14,FALSE),"")</f>
        <v/>
      </c>
      <c r="P400" s="58" t="str">
        <f>IFERROR(VLOOKUP($B400,OverallResults!$B$3:$BB$492,15,FALSE),"")</f>
        <v/>
      </c>
      <c r="Q400" s="58" t="str">
        <f>IFERROR(VLOOKUP($B400,OverallResults!$B$3:$BB$492,16,FALSE),"")</f>
        <v/>
      </c>
      <c r="R400" s="58" t="str">
        <f>IFERROR(VLOOKUP($B400,OverallResults!$B$3:$BB$492,17,FALSE),"")</f>
        <v/>
      </c>
      <c r="S400" s="170" t="e">
        <f t="shared" si="14"/>
        <v>#VALUE!</v>
      </c>
      <c r="T400" s="170" t="e">
        <f t="shared" si="15"/>
        <v>#VALUE!</v>
      </c>
      <c r="U400" s="359" t="str">
        <f>IFERROR(VLOOKUP($D400,EntryList!$B$3:$S$291,18,FALSE),"")</f>
        <v/>
      </c>
      <c r="V400" s="359" t="str">
        <f>IFERROR(VLOOKUP($D400,EntryList!$B$3:$S$291,17,FALSE),"")</f>
        <v/>
      </c>
    </row>
    <row r="401" spans="2:22">
      <c r="B401" s="59">
        <v>396</v>
      </c>
      <c r="C401" s="331" t="str">
        <f>IFERROR(VLOOKUP($B401,OverallResults!$B$3:$Z$508,2,FALSE),"")</f>
        <v>DNF</v>
      </c>
      <c r="D401" s="146" t="str">
        <f>IFERROR(VLOOKUP($B401,OverallResults!$B$3:$Z$508,3,FALSE),"")</f>
        <v/>
      </c>
      <c r="E401" s="146" t="str">
        <f>IFERROR(VLOOKUP(C401,SeriesPoints!$A$2:$B$51,2,FALSE),"")</f>
        <v/>
      </c>
      <c r="F401" s="148" t="str">
        <f>IFERROR(VLOOKUP($D401,EntryList!$B$3:$V$291,21,FALSE),"")</f>
        <v/>
      </c>
      <c r="G401" s="100" t="str">
        <f>IFERROR(VLOOKUP($D401,EntryList!$B$3:$N$596,5,FALSE),"")</f>
        <v/>
      </c>
      <c r="H401" s="145" t="str">
        <f>IFERROR(VLOOKUP($D401,EntryList!$B$3:$N$596,6,FALSE),"")</f>
        <v/>
      </c>
      <c r="I401" s="331" t="str">
        <f>IFERROR(VLOOKUP($B401,OverallResults!$B$3:$Z$492,8,FALSE),"")</f>
        <v/>
      </c>
      <c r="J401" s="58" t="str">
        <f>IFERROR(VLOOKUP($B401,OverallResults!$B$3:$BB$492,9,FALSE),"")</f>
        <v/>
      </c>
      <c r="K401" s="58" t="str">
        <f>IFERROR(VLOOKUP($B401,OverallResults!$B$3:$BB$492,10,FALSE),"")</f>
        <v/>
      </c>
      <c r="L401" s="58" t="str">
        <f>IFERROR(VLOOKUP($B401,OverallResults!$B$3:$BB$492,11,FALSE),"")</f>
        <v/>
      </c>
      <c r="M401" s="58" t="str">
        <f>IFERROR(VLOOKUP($B401,OverallResults!$B$3:$BB$492,12,FALSE),"")</f>
        <v/>
      </c>
      <c r="N401" s="58" t="str">
        <f>IFERROR(VLOOKUP($B401,OverallResults!$B$3:$BB$492,13,FALSE),"")</f>
        <v/>
      </c>
      <c r="O401" s="58" t="str">
        <f>IFERROR(VLOOKUP($B401,OverallResults!$B$3:$BB$492,14,FALSE),"")</f>
        <v/>
      </c>
      <c r="P401" s="58" t="str">
        <f>IFERROR(VLOOKUP($B401,OverallResults!$B$3:$BB$492,15,FALSE),"")</f>
        <v/>
      </c>
      <c r="Q401" s="58" t="str">
        <f>IFERROR(VLOOKUP($B401,OverallResults!$B$3:$BB$492,16,FALSE),"")</f>
        <v/>
      </c>
      <c r="R401" s="58" t="str">
        <f>IFERROR(VLOOKUP($B401,OverallResults!$B$3:$BB$492,17,FALSE),"")</f>
        <v/>
      </c>
      <c r="S401" s="170" t="e">
        <f t="shared" si="14"/>
        <v>#VALUE!</v>
      </c>
      <c r="T401" s="170" t="e">
        <f t="shared" si="15"/>
        <v>#VALUE!</v>
      </c>
      <c r="U401" s="359" t="str">
        <f>IFERROR(VLOOKUP($D401,EntryList!$B$3:$S$291,18,FALSE),"")</f>
        <v/>
      </c>
      <c r="V401" s="359" t="str">
        <f>IFERROR(VLOOKUP($D401,EntryList!$B$3:$S$291,17,FALSE),"")</f>
        <v/>
      </c>
    </row>
    <row r="402" spans="2:22">
      <c r="B402" s="59">
        <v>397</v>
      </c>
      <c r="C402" s="331" t="str">
        <f>IFERROR(VLOOKUP($B402,OverallResults!$B$3:$Z$508,2,FALSE),"")</f>
        <v>DNF</v>
      </c>
      <c r="D402" s="146" t="str">
        <f>IFERROR(VLOOKUP($B402,OverallResults!$B$3:$Z$508,3,FALSE),"")</f>
        <v/>
      </c>
      <c r="E402" s="146" t="str">
        <f>IFERROR(VLOOKUP(C402,SeriesPoints!$A$2:$B$51,2,FALSE),"")</f>
        <v/>
      </c>
      <c r="F402" s="148" t="str">
        <f>IFERROR(VLOOKUP($D402,EntryList!$B$3:$V$291,21,FALSE),"")</f>
        <v/>
      </c>
      <c r="G402" s="100" t="str">
        <f>IFERROR(VLOOKUP($D402,EntryList!$B$3:$N$596,5,FALSE),"")</f>
        <v/>
      </c>
      <c r="H402" s="145" t="str">
        <f>IFERROR(VLOOKUP($D402,EntryList!$B$3:$N$596,6,FALSE),"")</f>
        <v/>
      </c>
      <c r="I402" s="331" t="str">
        <f>IFERROR(VLOOKUP($B402,OverallResults!$B$3:$Z$492,8,FALSE),"")</f>
        <v/>
      </c>
      <c r="J402" s="58" t="str">
        <f>IFERROR(VLOOKUP($B402,OverallResults!$B$3:$BB$492,9,FALSE),"")</f>
        <v/>
      </c>
      <c r="K402" s="58" t="str">
        <f>IFERROR(VLOOKUP($B402,OverallResults!$B$3:$BB$492,10,FALSE),"")</f>
        <v/>
      </c>
      <c r="L402" s="58" t="str">
        <f>IFERROR(VLOOKUP($B402,OverallResults!$B$3:$BB$492,11,FALSE),"")</f>
        <v/>
      </c>
      <c r="M402" s="58" t="str">
        <f>IFERROR(VLOOKUP($B402,OverallResults!$B$3:$BB$492,12,FALSE),"")</f>
        <v/>
      </c>
      <c r="N402" s="58" t="str">
        <f>IFERROR(VLOOKUP($B402,OverallResults!$B$3:$BB$492,13,FALSE),"")</f>
        <v/>
      </c>
      <c r="O402" s="58" t="str">
        <f>IFERROR(VLOOKUP($B402,OverallResults!$B$3:$BB$492,14,FALSE),"")</f>
        <v/>
      </c>
      <c r="P402" s="58" t="str">
        <f>IFERROR(VLOOKUP($B402,OverallResults!$B$3:$BB$492,15,FALSE),"")</f>
        <v/>
      </c>
      <c r="Q402" s="58" t="str">
        <f>IFERROR(VLOOKUP($B402,OverallResults!$B$3:$BB$492,16,FALSE),"")</f>
        <v/>
      </c>
      <c r="R402" s="58" t="str">
        <f>IFERROR(VLOOKUP($B402,OverallResults!$B$3:$BB$492,17,FALSE),"")</f>
        <v/>
      </c>
      <c r="S402" s="170" t="e">
        <f t="shared" si="14"/>
        <v>#VALUE!</v>
      </c>
      <c r="T402" s="170" t="e">
        <f t="shared" si="15"/>
        <v>#VALUE!</v>
      </c>
      <c r="U402" s="359" t="str">
        <f>IFERROR(VLOOKUP($D402,EntryList!$B$3:$S$291,18,FALSE),"")</f>
        <v/>
      </c>
      <c r="V402" s="359" t="str">
        <f>IFERROR(VLOOKUP($D402,EntryList!$B$3:$S$291,17,FALSE),"")</f>
        <v/>
      </c>
    </row>
    <row r="403" spans="2:22">
      <c r="B403" s="59">
        <v>398</v>
      </c>
      <c r="C403" s="331" t="str">
        <f>IFERROR(VLOOKUP($B403,OverallResults!$B$3:$Z$508,2,FALSE),"")</f>
        <v>DNF</v>
      </c>
      <c r="D403" s="146" t="str">
        <f>IFERROR(VLOOKUP($B403,OverallResults!$B$3:$Z$508,3,FALSE),"")</f>
        <v/>
      </c>
      <c r="E403" s="146" t="str">
        <f>IFERROR(VLOOKUP(C403,SeriesPoints!$A$2:$B$51,2,FALSE),"")</f>
        <v/>
      </c>
      <c r="F403" s="148" t="str">
        <f>IFERROR(VLOOKUP($D403,EntryList!$B$3:$V$291,21,FALSE),"")</f>
        <v/>
      </c>
      <c r="G403" s="100" t="str">
        <f>IFERROR(VLOOKUP($D403,EntryList!$B$3:$N$596,5,FALSE),"")</f>
        <v/>
      </c>
      <c r="H403" s="145" t="str">
        <f>IFERROR(VLOOKUP($D403,EntryList!$B$3:$N$596,6,FALSE),"")</f>
        <v/>
      </c>
      <c r="I403" s="331" t="str">
        <f>IFERROR(VLOOKUP($B403,OverallResults!$B$3:$Z$492,8,FALSE),"")</f>
        <v/>
      </c>
      <c r="J403" s="58" t="str">
        <f>IFERROR(VLOOKUP($B403,OverallResults!$B$3:$BB$492,9,FALSE),"")</f>
        <v/>
      </c>
      <c r="K403" s="58" t="str">
        <f>IFERROR(VLOOKUP($B403,OverallResults!$B$3:$BB$492,10,FALSE),"")</f>
        <v/>
      </c>
      <c r="L403" s="58" t="str">
        <f>IFERROR(VLOOKUP($B403,OverallResults!$B$3:$BB$492,11,FALSE),"")</f>
        <v/>
      </c>
      <c r="M403" s="58" t="str">
        <f>IFERROR(VLOOKUP($B403,OverallResults!$B$3:$BB$492,12,FALSE),"")</f>
        <v/>
      </c>
      <c r="N403" s="58" t="str">
        <f>IFERROR(VLOOKUP($B403,OverallResults!$B$3:$BB$492,13,FALSE),"")</f>
        <v/>
      </c>
      <c r="O403" s="58" t="str">
        <f>IFERROR(VLOOKUP($B403,OverallResults!$B$3:$BB$492,14,FALSE),"")</f>
        <v/>
      </c>
      <c r="P403" s="58" t="str">
        <f>IFERROR(VLOOKUP($B403,OverallResults!$B$3:$BB$492,15,FALSE),"")</f>
        <v/>
      </c>
      <c r="Q403" s="58" t="str">
        <f>IFERROR(VLOOKUP($B403,OverallResults!$B$3:$BB$492,16,FALSE),"")</f>
        <v/>
      </c>
      <c r="R403" s="58" t="str">
        <f>IFERROR(VLOOKUP($B403,OverallResults!$B$3:$BB$492,17,FALSE),"")</f>
        <v/>
      </c>
      <c r="S403" s="170" t="e">
        <f t="shared" si="14"/>
        <v>#VALUE!</v>
      </c>
      <c r="T403" s="170" t="e">
        <f t="shared" si="15"/>
        <v>#VALUE!</v>
      </c>
      <c r="U403" s="359" t="str">
        <f>IFERROR(VLOOKUP($D403,EntryList!$B$3:$S$291,18,FALSE),"")</f>
        <v/>
      </c>
      <c r="V403" s="359" t="str">
        <f>IFERROR(VLOOKUP($D403,EntryList!$B$3:$S$291,17,FALSE),"")</f>
        <v/>
      </c>
    </row>
    <row r="404" spans="2:22">
      <c r="B404" s="59">
        <v>399</v>
      </c>
      <c r="C404" s="331" t="str">
        <f>IFERROR(VLOOKUP($B404,OverallResults!$B$3:$Z$508,2,FALSE),"")</f>
        <v>DNF</v>
      </c>
      <c r="D404" s="146" t="str">
        <f>IFERROR(VLOOKUP($B404,OverallResults!$B$3:$Z$508,3,FALSE),"")</f>
        <v/>
      </c>
      <c r="E404" s="146" t="str">
        <f>IFERROR(VLOOKUP(C404,SeriesPoints!$A$2:$B$51,2,FALSE),"")</f>
        <v/>
      </c>
      <c r="F404" s="148" t="str">
        <f>IFERROR(VLOOKUP($D404,EntryList!$B$3:$V$291,21,FALSE),"")</f>
        <v/>
      </c>
      <c r="G404" s="100" t="str">
        <f>IFERROR(VLOOKUP($D404,EntryList!$B$3:$N$596,5,FALSE),"")</f>
        <v/>
      </c>
      <c r="H404" s="145" t="str">
        <f>IFERROR(VLOOKUP($D404,EntryList!$B$3:$N$596,6,FALSE),"")</f>
        <v/>
      </c>
      <c r="I404" s="331" t="str">
        <f>IFERROR(VLOOKUP($B404,OverallResults!$B$3:$Z$492,8,FALSE),"")</f>
        <v/>
      </c>
      <c r="J404" s="58" t="str">
        <f>IFERROR(VLOOKUP($B404,OverallResults!$B$3:$BB$492,9,FALSE),"")</f>
        <v/>
      </c>
      <c r="K404" s="58" t="str">
        <f>IFERROR(VLOOKUP($B404,OverallResults!$B$3:$BB$492,10,FALSE),"")</f>
        <v/>
      </c>
      <c r="L404" s="58" t="str">
        <f>IFERROR(VLOOKUP($B404,OverallResults!$B$3:$BB$492,11,FALSE),"")</f>
        <v/>
      </c>
      <c r="M404" s="58" t="str">
        <f>IFERROR(VLOOKUP($B404,OverallResults!$B$3:$BB$492,12,FALSE),"")</f>
        <v/>
      </c>
      <c r="N404" s="58" t="str">
        <f>IFERROR(VLOOKUP($B404,OverallResults!$B$3:$BB$492,13,FALSE),"")</f>
        <v/>
      </c>
      <c r="O404" s="58" t="str">
        <f>IFERROR(VLOOKUP($B404,OverallResults!$B$3:$BB$492,14,FALSE),"")</f>
        <v/>
      </c>
      <c r="P404" s="58" t="str">
        <f>IFERROR(VLOOKUP($B404,OverallResults!$B$3:$BB$492,15,FALSE),"")</f>
        <v/>
      </c>
      <c r="Q404" s="58" t="str">
        <f>IFERROR(VLOOKUP($B404,OverallResults!$B$3:$BB$492,16,FALSE),"")</f>
        <v/>
      </c>
      <c r="R404" s="58" t="str">
        <f>IFERROR(VLOOKUP($B404,OverallResults!$B$3:$BB$492,17,FALSE),"")</f>
        <v/>
      </c>
      <c r="S404" s="170" t="e">
        <f t="shared" si="14"/>
        <v>#VALUE!</v>
      </c>
      <c r="T404" s="170" t="e">
        <f t="shared" si="15"/>
        <v>#VALUE!</v>
      </c>
      <c r="U404" s="359" t="str">
        <f>IFERROR(VLOOKUP($D404,EntryList!$B$3:$S$291,18,FALSE),"")</f>
        <v/>
      </c>
      <c r="V404" s="359" t="str">
        <f>IFERROR(VLOOKUP($D404,EntryList!$B$3:$S$291,17,FALSE),"")</f>
        <v/>
      </c>
    </row>
    <row r="405" spans="2:22">
      <c r="B405" s="59">
        <v>400</v>
      </c>
      <c r="C405" s="331" t="str">
        <f>IFERROR(VLOOKUP($B405,OverallResults!$B$3:$Z$508,2,FALSE),"")</f>
        <v>DNF</v>
      </c>
      <c r="D405" s="146" t="str">
        <f>IFERROR(VLOOKUP($B405,OverallResults!$B$3:$Z$508,3,FALSE),"")</f>
        <v/>
      </c>
      <c r="E405" s="146" t="str">
        <f>IFERROR(VLOOKUP(C405,SeriesPoints!$A$2:$B$51,2,FALSE),"")</f>
        <v/>
      </c>
      <c r="F405" s="148" t="str">
        <f>IFERROR(VLOOKUP($D405,EntryList!$B$3:$V$291,21,FALSE),"")</f>
        <v/>
      </c>
      <c r="G405" s="100" t="str">
        <f>IFERROR(VLOOKUP($D405,EntryList!$B$3:$N$596,5,FALSE),"")</f>
        <v/>
      </c>
      <c r="H405" s="145" t="str">
        <f>IFERROR(VLOOKUP($D405,EntryList!$B$3:$N$596,6,FALSE),"")</f>
        <v/>
      </c>
      <c r="I405" s="331" t="str">
        <f>IFERROR(VLOOKUP($B405,OverallResults!$B$3:$Z$492,8,FALSE),"")</f>
        <v/>
      </c>
      <c r="J405" s="58" t="str">
        <f>IFERROR(VLOOKUP($B405,OverallResults!$B$3:$BB$492,9,FALSE),"")</f>
        <v/>
      </c>
      <c r="K405" s="58" t="str">
        <f>IFERROR(VLOOKUP($B405,OverallResults!$B$3:$BB$492,10,FALSE),"")</f>
        <v/>
      </c>
      <c r="L405" s="58" t="str">
        <f>IFERROR(VLOOKUP($B405,OverallResults!$B$3:$BB$492,11,FALSE),"")</f>
        <v/>
      </c>
      <c r="M405" s="58" t="str">
        <f>IFERROR(VLOOKUP($B405,OverallResults!$B$3:$BB$492,12,FALSE),"")</f>
        <v/>
      </c>
      <c r="N405" s="58" t="str">
        <f>IFERROR(VLOOKUP($B405,OverallResults!$B$3:$BB$492,13,FALSE),"")</f>
        <v/>
      </c>
      <c r="O405" s="58" t="str">
        <f>IFERROR(VLOOKUP($B405,OverallResults!$B$3:$BB$492,14,FALSE),"")</f>
        <v/>
      </c>
      <c r="P405" s="58" t="str">
        <f>IFERROR(VLOOKUP($B405,OverallResults!$B$3:$BB$492,15,FALSE),"")</f>
        <v/>
      </c>
      <c r="Q405" s="58" t="str">
        <f>IFERROR(VLOOKUP($B405,OverallResults!$B$3:$BB$492,16,FALSE),"")</f>
        <v/>
      </c>
      <c r="R405" s="58" t="str">
        <f>IFERROR(VLOOKUP($B405,OverallResults!$B$3:$BB$492,17,FALSE),"")</f>
        <v/>
      </c>
      <c r="S405" s="170" t="e">
        <f t="shared" si="14"/>
        <v>#VALUE!</v>
      </c>
      <c r="T405" s="170" t="e">
        <f t="shared" si="15"/>
        <v>#VALUE!</v>
      </c>
      <c r="U405" s="359" t="str">
        <f>IFERROR(VLOOKUP($D405,EntryList!$B$3:$S$291,18,FALSE),"")</f>
        <v/>
      </c>
      <c r="V405" s="359" t="str">
        <f>IFERROR(VLOOKUP($D405,EntryList!$B$3:$S$291,17,FALSE),"")</f>
        <v/>
      </c>
    </row>
    <row r="406" spans="2:22">
      <c r="B406" s="59">
        <v>401</v>
      </c>
      <c r="C406" s="331" t="str">
        <f>IFERROR(VLOOKUP($B406,OverallResults!$B$3:$Z$508,2,FALSE),"")</f>
        <v>DNF</v>
      </c>
      <c r="D406" s="146" t="str">
        <f>IFERROR(VLOOKUP($B406,OverallResults!$B$3:$Z$508,3,FALSE),"")</f>
        <v/>
      </c>
      <c r="E406" s="146" t="str">
        <f>IFERROR(VLOOKUP(C406,SeriesPoints!$A$2:$B$51,2,FALSE),"")</f>
        <v/>
      </c>
      <c r="F406" s="148" t="str">
        <f>IFERROR(VLOOKUP($D406,EntryList!$B$3:$V$291,21,FALSE),"")</f>
        <v/>
      </c>
      <c r="G406" s="100" t="str">
        <f>IFERROR(VLOOKUP($D406,EntryList!$B$3:$N$596,5,FALSE),"")</f>
        <v/>
      </c>
      <c r="H406" s="145" t="str">
        <f>IFERROR(VLOOKUP($D406,EntryList!$B$3:$N$596,6,FALSE),"")</f>
        <v/>
      </c>
      <c r="I406" s="331" t="str">
        <f>IFERROR(VLOOKUP($B406,OverallResults!$B$3:$Z$492,8,FALSE),"")</f>
        <v/>
      </c>
      <c r="J406" s="58" t="str">
        <f>IFERROR(VLOOKUP($B406,OverallResults!$B$3:$BB$492,9,FALSE),"")</f>
        <v/>
      </c>
      <c r="K406" s="58" t="str">
        <f>IFERROR(VLOOKUP($B406,OverallResults!$B$3:$BB$492,10,FALSE),"")</f>
        <v/>
      </c>
      <c r="L406" s="58" t="str">
        <f>IFERROR(VLOOKUP($B406,OverallResults!$B$3:$BB$492,11,FALSE),"")</f>
        <v/>
      </c>
      <c r="M406" s="58" t="str">
        <f>IFERROR(VLOOKUP($B406,OverallResults!$B$3:$BB$492,12,FALSE),"")</f>
        <v/>
      </c>
      <c r="N406" s="58" t="str">
        <f>IFERROR(VLOOKUP($B406,OverallResults!$B$3:$BB$492,13,FALSE),"")</f>
        <v/>
      </c>
      <c r="O406" s="58" t="str">
        <f>IFERROR(VLOOKUP($B406,OverallResults!$B$3:$BB$492,14,FALSE),"")</f>
        <v/>
      </c>
      <c r="P406" s="58" t="str">
        <f>IFERROR(VLOOKUP($B406,OverallResults!$B$3:$BB$492,15,FALSE),"")</f>
        <v/>
      </c>
      <c r="Q406" s="58" t="str">
        <f>IFERROR(VLOOKUP($B406,OverallResults!$B$3:$BB$492,16,FALSE),"")</f>
        <v/>
      </c>
      <c r="R406" s="58" t="str">
        <f>IFERROR(VLOOKUP($B406,OverallResults!$B$3:$BB$492,17,FALSE),"")</f>
        <v/>
      </c>
      <c r="S406" s="170" t="e">
        <f t="shared" si="14"/>
        <v>#VALUE!</v>
      </c>
      <c r="T406" s="170" t="e">
        <f t="shared" si="15"/>
        <v>#VALUE!</v>
      </c>
      <c r="U406" s="359" t="str">
        <f>IFERROR(VLOOKUP($D406,EntryList!$B$3:$S$291,18,FALSE),"")</f>
        <v/>
      </c>
      <c r="V406" s="359" t="str">
        <f>IFERROR(VLOOKUP($D406,EntryList!$B$3:$S$291,17,FALSE),"")</f>
        <v/>
      </c>
    </row>
    <row r="407" spans="2:22">
      <c r="B407" s="59">
        <v>402</v>
      </c>
      <c r="C407" s="331" t="str">
        <f>IFERROR(VLOOKUP($B407,OverallResults!$B$3:$Z$508,2,FALSE),"")</f>
        <v>DNF</v>
      </c>
      <c r="D407" s="146" t="str">
        <f>IFERROR(VLOOKUP($B407,OverallResults!$B$3:$Z$508,3,FALSE),"")</f>
        <v/>
      </c>
      <c r="E407" s="146" t="str">
        <f>IFERROR(VLOOKUP(C407,SeriesPoints!$A$2:$B$51,2,FALSE),"")</f>
        <v/>
      </c>
      <c r="F407" s="148" t="str">
        <f>IFERROR(VLOOKUP($D407,EntryList!$B$3:$V$291,21,FALSE),"")</f>
        <v/>
      </c>
      <c r="G407" s="100" t="str">
        <f>IFERROR(VLOOKUP($D407,EntryList!$B$3:$N$596,5,FALSE),"")</f>
        <v/>
      </c>
      <c r="H407" s="145" t="str">
        <f>IFERROR(VLOOKUP($D407,EntryList!$B$3:$N$596,6,FALSE),"")</f>
        <v/>
      </c>
      <c r="I407" s="331" t="str">
        <f>IFERROR(VLOOKUP($B407,OverallResults!$B$3:$Z$492,8,FALSE),"")</f>
        <v/>
      </c>
      <c r="J407" s="58" t="str">
        <f>IFERROR(VLOOKUP($B407,OverallResults!$B$3:$BB$492,9,FALSE),"")</f>
        <v/>
      </c>
      <c r="K407" s="58" t="str">
        <f>IFERROR(VLOOKUP($B407,OverallResults!$B$3:$BB$492,10,FALSE),"")</f>
        <v/>
      </c>
      <c r="L407" s="58" t="str">
        <f>IFERROR(VLOOKUP($B407,OverallResults!$B$3:$BB$492,11,FALSE),"")</f>
        <v/>
      </c>
      <c r="M407" s="58" t="str">
        <f>IFERROR(VLOOKUP($B407,OverallResults!$B$3:$BB$492,12,FALSE),"")</f>
        <v/>
      </c>
      <c r="N407" s="58" t="str">
        <f>IFERROR(VLOOKUP($B407,OverallResults!$B$3:$BB$492,13,FALSE),"")</f>
        <v/>
      </c>
      <c r="O407" s="58" t="str">
        <f>IFERROR(VLOOKUP($B407,OverallResults!$B$3:$BB$492,14,FALSE),"")</f>
        <v/>
      </c>
      <c r="P407" s="58" t="str">
        <f>IFERROR(VLOOKUP($B407,OverallResults!$B$3:$BB$492,15,FALSE),"")</f>
        <v/>
      </c>
      <c r="Q407" s="58" t="str">
        <f>IFERROR(VLOOKUP($B407,OverallResults!$B$3:$BB$492,16,FALSE),"")</f>
        <v/>
      </c>
      <c r="R407" s="58" t="str">
        <f>IFERROR(VLOOKUP($B407,OverallResults!$B$3:$BB$492,17,FALSE),"")</f>
        <v/>
      </c>
      <c r="S407" s="170" t="e">
        <f t="shared" si="14"/>
        <v>#VALUE!</v>
      </c>
      <c r="T407" s="170" t="e">
        <f t="shared" si="15"/>
        <v>#VALUE!</v>
      </c>
      <c r="U407" s="359" t="str">
        <f>IFERROR(VLOOKUP($D407,EntryList!$B$3:$S$291,18,FALSE),"")</f>
        <v/>
      </c>
      <c r="V407" s="359" t="str">
        <f>IFERROR(VLOOKUP($D407,EntryList!$B$3:$S$291,17,FALSE),"")</f>
        <v/>
      </c>
    </row>
    <row r="408" spans="2:22">
      <c r="B408" s="59">
        <v>403</v>
      </c>
      <c r="C408" s="331" t="str">
        <f>IFERROR(VLOOKUP($B408,OverallResults!$B$3:$Z$508,2,FALSE),"")</f>
        <v>DNF</v>
      </c>
      <c r="D408" s="146" t="str">
        <f>IFERROR(VLOOKUP($B408,OverallResults!$B$3:$Z$508,3,FALSE),"")</f>
        <v/>
      </c>
      <c r="E408" s="146" t="str">
        <f>IFERROR(VLOOKUP(C408,SeriesPoints!$A$2:$B$51,2,FALSE),"")</f>
        <v/>
      </c>
      <c r="F408" s="148" t="str">
        <f>IFERROR(VLOOKUP($D408,EntryList!$B$3:$V$291,21,FALSE),"")</f>
        <v/>
      </c>
      <c r="G408" s="100" t="str">
        <f>IFERROR(VLOOKUP($D408,EntryList!$B$3:$N$596,5,FALSE),"")</f>
        <v/>
      </c>
      <c r="H408" s="145" t="str">
        <f>IFERROR(VLOOKUP($D408,EntryList!$B$3:$N$596,6,FALSE),"")</f>
        <v/>
      </c>
      <c r="I408" s="331" t="str">
        <f>IFERROR(VLOOKUP($B408,OverallResults!$B$3:$Z$492,8,FALSE),"")</f>
        <v/>
      </c>
      <c r="J408" s="58" t="str">
        <f>IFERROR(VLOOKUP($B408,OverallResults!$B$3:$BB$492,9,FALSE),"")</f>
        <v/>
      </c>
      <c r="K408" s="58" t="str">
        <f>IFERROR(VLOOKUP($B408,OverallResults!$B$3:$BB$492,10,FALSE),"")</f>
        <v/>
      </c>
      <c r="L408" s="58" t="str">
        <f>IFERROR(VLOOKUP($B408,OverallResults!$B$3:$BB$492,11,FALSE),"")</f>
        <v/>
      </c>
      <c r="M408" s="58" t="str">
        <f>IFERROR(VLOOKUP($B408,OverallResults!$B$3:$BB$492,12,FALSE),"")</f>
        <v/>
      </c>
      <c r="N408" s="58" t="str">
        <f>IFERROR(VLOOKUP($B408,OverallResults!$B$3:$BB$492,13,FALSE),"")</f>
        <v/>
      </c>
      <c r="O408" s="58" t="str">
        <f>IFERROR(VLOOKUP($B408,OverallResults!$B$3:$BB$492,14,FALSE),"")</f>
        <v/>
      </c>
      <c r="P408" s="58" t="str">
        <f>IFERROR(VLOOKUP($B408,OverallResults!$B$3:$BB$492,15,FALSE),"")</f>
        <v/>
      </c>
      <c r="Q408" s="58" t="str">
        <f>IFERROR(VLOOKUP($B408,OverallResults!$B$3:$BB$492,16,FALSE),"")</f>
        <v/>
      </c>
      <c r="R408" s="58" t="str">
        <f>IFERROR(VLOOKUP($B408,OverallResults!$B$3:$BB$492,17,FALSE),"")</f>
        <v/>
      </c>
      <c r="S408" s="170" t="e">
        <f t="shared" si="14"/>
        <v>#VALUE!</v>
      </c>
      <c r="T408" s="170" t="e">
        <f t="shared" si="15"/>
        <v>#VALUE!</v>
      </c>
      <c r="U408" s="359" t="str">
        <f>IFERROR(VLOOKUP($D408,EntryList!$B$3:$S$291,18,FALSE),"")</f>
        <v/>
      </c>
      <c r="V408" s="359" t="str">
        <f>IFERROR(VLOOKUP($D408,EntryList!$B$3:$S$291,17,FALSE),"")</f>
        <v/>
      </c>
    </row>
    <row r="409" spans="2:22">
      <c r="B409" s="59">
        <v>404</v>
      </c>
      <c r="C409" s="331" t="str">
        <f>IFERROR(VLOOKUP($B409,OverallResults!$B$3:$Z$508,2,FALSE),"")</f>
        <v>DNF</v>
      </c>
      <c r="D409" s="146" t="str">
        <f>IFERROR(VLOOKUP($B409,OverallResults!$B$3:$Z$508,3,FALSE),"")</f>
        <v/>
      </c>
      <c r="E409" s="146" t="str">
        <f>IFERROR(VLOOKUP(C409,SeriesPoints!$A$2:$B$51,2,FALSE),"")</f>
        <v/>
      </c>
      <c r="F409" s="148" t="str">
        <f>IFERROR(VLOOKUP($D409,EntryList!$B$3:$V$291,21,FALSE),"")</f>
        <v/>
      </c>
      <c r="G409" s="100" t="str">
        <f>IFERROR(VLOOKUP($D409,EntryList!$B$3:$N$596,5,FALSE),"")</f>
        <v/>
      </c>
      <c r="H409" s="145" t="str">
        <f>IFERROR(VLOOKUP($D409,EntryList!$B$3:$N$596,6,FALSE),"")</f>
        <v/>
      </c>
      <c r="I409" s="331" t="str">
        <f>IFERROR(VLOOKUP($B409,OverallResults!$B$3:$Z$492,8,FALSE),"")</f>
        <v/>
      </c>
      <c r="J409" s="58" t="str">
        <f>IFERROR(VLOOKUP($B409,OverallResults!$B$3:$BB$492,9,FALSE),"")</f>
        <v/>
      </c>
      <c r="K409" s="58" t="str">
        <f>IFERROR(VLOOKUP($B409,OverallResults!$B$3:$BB$492,10,FALSE),"")</f>
        <v/>
      </c>
      <c r="L409" s="58" t="str">
        <f>IFERROR(VLOOKUP($B409,OverallResults!$B$3:$BB$492,11,FALSE),"")</f>
        <v/>
      </c>
      <c r="M409" s="58" t="str">
        <f>IFERROR(VLOOKUP($B409,OverallResults!$B$3:$BB$492,12,FALSE),"")</f>
        <v/>
      </c>
      <c r="N409" s="58" t="str">
        <f>IFERROR(VLOOKUP($B409,OverallResults!$B$3:$BB$492,13,FALSE),"")</f>
        <v/>
      </c>
      <c r="O409" s="58" t="str">
        <f>IFERROR(VLOOKUP($B409,OverallResults!$B$3:$BB$492,14,FALSE),"")</f>
        <v/>
      </c>
      <c r="P409" s="58" t="str">
        <f>IFERROR(VLOOKUP($B409,OverallResults!$B$3:$BB$492,15,FALSE),"")</f>
        <v/>
      </c>
      <c r="Q409" s="58" t="str">
        <f>IFERROR(VLOOKUP($B409,OverallResults!$B$3:$BB$492,16,FALSE),"")</f>
        <v/>
      </c>
      <c r="R409" s="58" t="str">
        <f>IFERROR(VLOOKUP($B409,OverallResults!$B$3:$BB$492,17,FALSE),"")</f>
        <v/>
      </c>
      <c r="S409" s="170" t="e">
        <f t="shared" si="14"/>
        <v>#VALUE!</v>
      </c>
      <c r="T409" s="170" t="e">
        <f t="shared" si="15"/>
        <v>#VALUE!</v>
      </c>
      <c r="U409" s="359" t="str">
        <f>IFERROR(VLOOKUP($D409,EntryList!$B$3:$S$291,18,FALSE),"")</f>
        <v/>
      </c>
      <c r="V409" s="359" t="str">
        <f>IFERROR(VLOOKUP($D409,EntryList!$B$3:$S$291,17,FALSE),"")</f>
        <v/>
      </c>
    </row>
    <row r="410" spans="2:22">
      <c r="B410" s="59">
        <v>405</v>
      </c>
      <c r="C410" s="331" t="str">
        <f>IFERROR(VLOOKUP($B410,OverallResults!$B$3:$Z$508,2,FALSE),"")</f>
        <v>DNF</v>
      </c>
      <c r="D410" s="146" t="str">
        <f>IFERROR(VLOOKUP($B410,OverallResults!$B$3:$Z$508,3,FALSE),"")</f>
        <v/>
      </c>
      <c r="E410" s="146" t="str">
        <f>IFERROR(VLOOKUP(C410,SeriesPoints!$A$2:$B$51,2,FALSE),"")</f>
        <v/>
      </c>
      <c r="F410" s="148" t="str">
        <f>IFERROR(VLOOKUP($D410,EntryList!$B$3:$V$291,21,FALSE),"")</f>
        <v/>
      </c>
      <c r="G410" s="100" t="str">
        <f>IFERROR(VLOOKUP($D410,EntryList!$B$3:$N$596,5,FALSE),"")</f>
        <v/>
      </c>
      <c r="H410" s="145" t="str">
        <f>IFERROR(VLOOKUP($D410,EntryList!$B$3:$N$596,6,FALSE),"")</f>
        <v/>
      </c>
      <c r="I410" s="331" t="str">
        <f>IFERROR(VLOOKUP($B410,OverallResults!$B$3:$Z$492,8,FALSE),"")</f>
        <v/>
      </c>
      <c r="J410" s="58" t="str">
        <f>IFERROR(VLOOKUP($B410,OverallResults!$B$3:$BB$492,9,FALSE),"")</f>
        <v/>
      </c>
      <c r="K410" s="58" t="str">
        <f>IFERROR(VLOOKUP($B410,OverallResults!$B$3:$BB$492,10,FALSE),"")</f>
        <v/>
      </c>
      <c r="L410" s="58" t="str">
        <f>IFERROR(VLOOKUP($B410,OverallResults!$B$3:$BB$492,11,FALSE),"")</f>
        <v/>
      </c>
      <c r="M410" s="58" t="str">
        <f>IFERROR(VLOOKUP($B410,OverallResults!$B$3:$BB$492,12,FALSE),"")</f>
        <v/>
      </c>
      <c r="N410" s="58" t="str">
        <f>IFERROR(VLOOKUP($B410,OverallResults!$B$3:$BB$492,13,FALSE),"")</f>
        <v/>
      </c>
      <c r="O410" s="58" t="str">
        <f>IFERROR(VLOOKUP($B410,OverallResults!$B$3:$BB$492,14,FALSE),"")</f>
        <v/>
      </c>
      <c r="P410" s="58" t="str">
        <f>IFERROR(VLOOKUP($B410,OverallResults!$B$3:$BB$492,15,FALSE),"")</f>
        <v/>
      </c>
      <c r="Q410" s="58" t="str">
        <f>IFERROR(VLOOKUP($B410,OverallResults!$B$3:$BB$492,16,FALSE),"")</f>
        <v/>
      </c>
      <c r="R410" s="58" t="str">
        <f>IFERROR(VLOOKUP($B410,OverallResults!$B$3:$BB$492,17,FALSE),"")</f>
        <v/>
      </c>
      <c r="S410" s="170" t="e">
        <f t="shared" si="14"/>
        <v>#VALUE!</v>
      </c>
      <c r="T410" s="170" t="e">
        <f t="shared" si="15"/>
        <v>#VALUE!</v>
      </c>
      <c r="U410" s="359" t="str">
        <f>IFERROR(VLOOKUP($D410,EntryList!$B$3:$S$291,18,FALSE),"")</f>
        <v/>
      </c>
      <c r="V410" s="359" t="str">
        <f>IFERROR(VLOOKUP($D410,EntryList!$B$3:$S$291,17,FALSE),"")</f>
        <v/>
      </c>
    </row>
    <row r="411" spans="2:22">
      <c r="B411" s="59">
        <v>406</v>
      </c>
      <c r="C411" s="331" t="str">
        <f>IFERROR(VLOOKUP($B411,OverallResults!$B$3:$Z$508,2,FALSE),"")</f>
        <v>DNF</v>
      </c>
      <c r="D411" s="146" t="str">
        <f>IFERROR(VLOOKUP($B411,OverallResults!$B$3:$Z$508,3,FALSE),"")</f>
        <v/>
      </c>
      <c r="E411" s="146" t="str">
        <f>IFERROR(VLOOKUP(C411,SeriesPoints!$A$2:$B$51,2,FALSE),"")</f>
        <v/>
      </c>
      <c r="F411" s="148" t="str">
        <f>IFERROR(VLOOKUP($D411,EntryList!$B$3:$V$291,21,FALSE),"")</f>
        <v/>
      </c>
      <c r="G411" s="100" t="str">
        <f>IFERROR(VLOOKUP($D411,EntryList!$B$3:$N$596,5,FALSE),"")</f>
        <v/>
      </c>
      <c r="H411" s="145" t="str">
        <f>IFERROR(VLOOKUP($D411,EntryList!$B$3:$N$596,6,FALSE),"")</f>
        <v/>
      </c>
      <c r="I411" s="331" t="str">
        <f>IFERROR(VLOOKUP($B411,OverallResults!$B$3:$Z$492,8,FALSE),"")</f>
        <v/>
      </c>
      <c r="J411" s="58" t="str">
        <f>IFERROR(VLOOKUP($B411,OverallResults!$B$3:$BB$492,9,FALSE),"")</f>
        <v/>
      </c>
      <c r="K411" s="58" t="str">
        <f>IFERROR(VLOOKUP($B411,OverallResults!$B$3:$BB$492,10,FALSE),"")</f>
        <v/>
      </c>
      <c r="L411" s="58" t="str">
        <f>IFERROR(VLOOKUP($B411,OverallResults!$B$3:$BB$492,11,FALSE),"")</f>
        <v/>
      </c>
      <c r="M411" s="58" t="str">
        <f>IFERROR(VLOOKUP($B411,OverallResults!$B$3:$BB$492,12,FALSE),"")</f>
        <v/>
      </c>
      <c r="N411" s="58" t="str">
        <f>IFERROR(VLOOKUP($B411,OverallResults!$B$3:$BB$492,13,FALSE),"")</f>
        <v/>
      </c>
      <c r="O411" s="58" t="str">
        <f>IFERROR(VLOOKUP($B411,OverallResults!$B$3:$BB$492,14,FALSE),"")</f>
        <v/>
      </c>
      <c r="P411" s="58" t="str">
        <f>IFERROR(VLOOKUP($B411,OverallResults!$B$3:$BB$492,15,FALSE),"")</f>
        <v/>
      </c>
      <c r="Q411" s="58" t="str">
        <f>IFERROR(VLOOKUP($B411,OverallResults!$B$3:$BB$492,16,FALSE),"")</f>
        <v/>
      </c>
      <c r="R411" s="58" t="str">
        <f>IFERROR(VLOOKUP($B411,OverallResults!$B$3:$BB$492,17,FALSE),"")</f>
        <v/>
      </c>
      <c r="S411" s="170" t="e">
        <f t="shared" si="14"/>
        <v>#VALUE!</v>
      </c>
      <c r="T411" s="170" t="e">
        <f t="shared" si="15"/>
        <v>#VALUE!</v>
      </c>
      <c r="U411" s="359" t="str">
        <f>IFERROR(VLOOKUP($D411,EntryList!$B$3:$S$291,18,FALSE),"")</f>
        <v/>
      </c>
      <c r="V411" s="359" t="str">
        <f>IFERROR(VLOOKUP($D411,EntryList!$B$3:$S$291,17,FALSE),"")</f>
        <v/>
      </c>
    </row>
    <row r="412" spans="2:22">
      <c r="B412" s="59">
        <v>407</v>
      </c>
      <c r="C412" s="331" t="str">
        <f>IFERROR(VLOOKUP($B412,OverallResults!$B$3:$Z$508,2,FALSE),"")</f>
        <v>DNF</v>
      </c>
      <c r="D412" s="146" t="str">
        <f>IFERROR(VLOOKUP($B412,OverallResults!$B$3:$Z$508,3,FALSE),"")</f>
        <v/>
      </c>
      <c r="E412" s="146" t="str">
        <f>IFERROR(VLOOKUP(C412,SeriesPoints!$A$2:$B$51,2,FALSE),"")</f>
        <v/>
      </c>
      <c r="F412" s="148" t="str">
        <f>IFERROR(VLOOKUP($D412,EntryList!$B$3:$V$291,21,FALSE),"")</f>
        <v/>
      </c>
      <c r="G412" s="100" t="str">
        <f>IFERROR(VLOOKUP($D412,EntryList!$B$3:$N$596,5,FALSE),"")</f>
        <v/>
      </c>
      <c r="H412" s="145" t="str">
        <f>IFERROR(VLOOKUP($D412,EntryList!$B$3:$N$596,6,FALSE),"")</f>
        <v/>
      </c>
      <c r="I412" s="331" t="str">
        <f>IFERROR(VLOOKUP($B412,OverallResults!$B$3:$Z$492,8,FALSE),"")</f>
        <v/>
      </c>
      <c r="J412" s="58" t="str">
        <f>IFERROR(VLOOKUP($B412,OverallResults!$B$3:$BB$492,9,FALSE),"")</f>
        <v/>
      </c>
      <c r="K412" s="58" t="str">
        <f>IFERROR(VLOOKUP($B412,OverallResults!$B$3:$BB$492,10,FALSE),"")</f>
        <v/>
      </c>
      <c r="L412" s="58" t="str">
        <f>IFERROR(VLOOKUP($B412,OverallResults!$B$3:$BB$492,11,FALSE),"")</f>
        <v/>
      </c>
      <c r="M412" s="58" t="str">
        <f>IFERROR(VLOOKUP($B412,OverallResults!$B$3:$BB$492,12,FALSE),"")</f>
        <v/>
      </c>
      <c r="N412" s="58" t="str">
        <f>IFERROR(VLOOKUP($B412,OverallResults!$B$3:$BB$492,13,FALSE),"")</f>
        <v/>
      </c>
      <c r="O412" s="58" t="str">
        <f>IFERROR(VLOOKUP($B412,OverallResults!$B$3:$BB$492,14,FALSE),"")</f>
        <v/>
      </c>
      <c r="P412" s="58" t="str">
        <f>IFERROR(VLOOKUP($B412,OverallResults!$B$3:$BB$492,15,FALSE),"")</f>
        <v/>
      </c>
      <c r="Q412" s="58" t="str">
        <f>IFERROR(VLOOKUP($B412,OverallResults!$B$3:$BB$492,16,FALSE),"")</f>
        <v/>
      </c>
      <c r="R412" s="58" t="str">
        <f>IFERROR(VLOOKUP($B412,OverallResults!$B$3:$BB$492,17,FALSE),"")</f>
        <v/>
      </c>
      <c r="S412" s="170" t="e">
        <f t="shared" si="14"/>
        <v>#VALUE!</v>
      </c>
      <c r="T412" s="170" t="e">
        <f t="shared" si="15"/>
        <v>#VALUE!</v>
      </c>
      <c r="U412" s="359" t="str">
        <f>IFERROR(VLOOKUP($D412,EntryList!$B$3:$S$291,18,FALSE),"")</f>
        <v/>
      </c>
      <c r="V412" s="359" t="str">
        <f>IFERROR(VLOOKUP($D412,EntryList!$B$3:$S$291,17,FALSE),"")</f>
        <v/>
      </c>
    </row>
    <row r="413" spans="2:22">
      <c r="B413" s="59">
        <v>408</v>
      </c>
      <c r="C413" s="331" t="str">
        <f>IFERROR(VLOOKUP($B413,OverallResults!$B$3:$Z$508,2,FALSE),"")</f>
        <v>DNF</v>
      </c>
      <c r="D413" s="146" t="str">
        <f>IFERROR(VLOOKUP($B413,OverallResults!$B$3:$Z$508,3,FALSE),"")</f>
        <v/>
      </c>
      <c r="E413" s="146" t="str">
        <f>IFERROR(VLOOKUP(C413,SeriesPoints!$A$2:$B$51,2,FALSE),"")</f>
        <v/>
      </c>
      <c r="F413" s="148" t="str">
        <f>IFERROR(VLOOKUP($D413,EntryList!$B$3:$V$291,21,FALSE),"")</f>
        <v/>
      </c>
      <c r="G413" s="100" t="str">
        <f>IFERROR(VLOOKUP($D413,EntryList!$B$3:$N$596,5,FALSE),"")</f>
        <v/>
      </c>
      <c r="H413" s="145" t="str">
        <f>IFERROR(VLOOKUP($D413,EntryList!$B$3:$N$596,6,FALSE),"")</f>
        <v/>
      </c>
      <c r="I413" s="331" t="str">
        <f>IFERROR(VLOOKUP($B413,OverallResults!$B$3:$Z$492,8,FALSE),"")</f>
        <v/>
      </c>
      <c r="J413" s="58" t="str">
        <f>IFERROR(VLOOKUP($B413,OverallResults!$B$3:$BB$492,9,FALSE),"")</f>
        <v/>
      </c>
      <c r="K413" s="58" t="str">
        <f>IFERROR(VLOOKUP($B413,OverallResults!$B$3:$BB$492,10,FALSE),"")</f>
        <v/>
      </c>
      <c r="L413" s="58" t="str">
        <f>IFERROR(VLOOKUP($B413,OverallResults!$B$3:$BB$492,11,FALSE),"")</f>
        <v/>
      </c>
      <c r="M413" s="58" t="str">
        <f>IFERROR(VLOOKUP($B413,OverallResults!$B$3:$BB$492,12,FALSE),"")</f>
        <v/>
      </c>
      <c r="N413" s="58" t="str">
        <f>IFERROR(VLOOKUP($B413,OverallResults!$B$3:$BB$492,13,FALSE),"")</f>
        <v/>
      </c>
      <c r="O413" s="58" t="str">
        <f>IFERROR(VLOOKUP($B413,OverallResults!$B$3:$BB$492,14,FALSE),"")</f>
        <v/>
      </c>
      <c r="P413" s="58" t="str">
        <f>IFERROR(VLOOKUP($B413,OverallResults!$B$3:$BB$492,15,FALSE),"")</f>
        <v/>
      </c>
      <c r="Q413" s="58" t="str">
        <f>IFERROR(VLOOKUP($B413,OverallResults!$B$3:$BB$492,16,FALSE),"")</f>
        <v/>
      </c>
      <c r="R413" s="58" t="str">
        <f>IFERROR(VLOOKUP($B413,OverallResults!$B$3:$BB$492,17,FALSE),"")</f>
        <v/>
      </c>
      <c r="S413" s="170" t="e">
        <f t="shared" si="14"/>
        <v>#VALUE!</v>
      </c>
      <c r="T413" s="170" t="e">
        <f t="shared" si="15"/>
        <v>#VALUE!</v>
      </c>
      <c r="U413" s="359" t="str">
        <f>IFERROR(VLOOKUP($D413,EntryList!$B$3:$S$291,18,FALSE),"")</f>
        <v/>
      </c>
      <c r="V413" s="359" t="str">
        <f>IFERROR(VLOOKUP($D413,EntryList!$B$3:$S$291,17,FALSE),"")</f>
        <v/>
      </c>
    </row>
    <row r="414" spans="2:22">
      <c r="B414" s="59">
        <v>409</v>
      </c>
      <c r="C414" s="331" t="str">
        <f>IFERROR(VLOOKUP($B414,OverallResults!$B$3:$Z$508,2,FALSE),"")</f>
        <v>DNF</v>
      </c>
      <c r="D414" s="146" t="str">
        <f>IFERROR(VLOOKUP($B414,OverallResults!$B$3:$Z$508,3,FALSE),"")</f>
        <v/>
      </c>
      <c r="E414" s="146" t="str">
        <f>IFERROR(VLOOKUP(C414,SeriesPoints!$A$2:$B$51,2,FALSE),"")</f>
        <v/>
      </c>
      <c r="F414" s="148" t="str">
        <f>IFERROR(VLOOKUP($D414,EntryList!$B$3:$V$291,21,FALSE),"")</f>
        <v/>
      </c>
      <c r="G414" s="100" t="str">
        <f>IFERROR(VLOOKUP($D414,EntryList!$B$3:$N$596,5,FALSE),"")</f>
        <v/>
      </c>
      <c r="H414" s="145" t="str">
        <f>IFERROR(VLOOKUP($D414,EntryList!$B$3:$N$596,6,FALSE),"")</f>
        <v/>
      </c>
      <c r="I414" s="331" t="str">
        <f>IFERROR(VLOOKUP($B414,OverallResults!$B$3:$Z$492,8,FALSE),"")</f>
        <v/>
      </c>
      <c r="J414" s="58" t="str">
        <f>IFERROR(VLOOKUP($B414,OverallResults!$B$3:$BB$492,9,FALSE),"")</f>
        <v/>
      </c>
      <c r="K414" s="58" t="str">
        <f>IFERROR(VLOOKUP($B414,OverallResults!$B$3:$BB$492,10,FALSE),"")</f>
        <v/>
      </c>
      <c r="L414" s="58" t="str">
        <f>IFERROR(VLOOKUP($B414,OverallResults!$B$3:$BB$492,11,FALSE),"")</f>
        <v/>
      </c>
      <c r="M414" s="58" t="str">
        <f>IFERROR(VLOOKUP($B414,OverallResults!$B$3:$BB$492,12,FALSE),"")</f>
        <v/>
      </c>
      <c r="N414" s="58" t="str">
        <f>IFERROR(VLOOKUP($B414,OverallResults!$B$3:$BB$492,13,FALSE),"")</f>
        <v/>
      </c>
      <c r="O414" s="58" t="str">
        <f>IFERROR(VLOOKUP($B414,OverallResults!$B$3:$BB$492,14,FALSE),"")</f>
        <v/>
      </c>
      <c r="P414" s="58" t="str">
        <f>IFERROR(VLOOKUP($B414,OverallResults!$B$3:$BB$492,15,FALSE),"")</f>
        <v/>
      </c>
      <c r="Q414" s="58" t="str">
        <f>IFERROR(VLOOKUP($B414,OverallResults!$B$3:$BB$492,16,FALSE),"")</f>
        <v/>
      </c>
      <c r="R414" s="58" t="str">
        <f>IFERROR(VLOOKUP($B414,OverallResults!$B$3:$BB$492,17,FALSE),"")</f>
        <v/>
      </c>
      <c r="S414" s="170" t="e">
        <f t="shared" si="14"/>
        <v>#VALUE!</v>
      </c>
      <c r="T414" s="170" t="e">
        <f t="shared" si="15"/>
        <v>#VALUE!</v>
      </c>
      <c r="U414" s="359" t="str">
        <f>IFERROR(VLOOKUP($D414,EntryList!$B$3:$S$291,18,FALSE),"")</f>
        <v/>
      </c>
      <c r="V414" s="359" t="str">
        <f>IFERROR(VLOOKUP($D414,EntryList!$B$3:$S$291,17,FALSE),"")</f>
        <v/>
      </c>
    </row>
    <row r="415" spans="2:22">
      <c r="B415" s="59">
        <v>410</v>
      </c>
      <c r="C415" s="331" t="str">
        <f>IFERROR(VLOOKUP($B415,OverallResults!$B$3:$Z$508,2,FALSE),"")</f>
        <v>DNF</v>
      </c>
      <c r="D415" s="146" t="str">
        <f>IFERROR(VLOOKUP($B415,OverallResults!$B$3:$Z$508,3,FALSE),"")</f>
        <v/>
      </c>
      <c r="E415" s="146" t="str">
        <f>IFERROR(VLOOKUP(C415,SeriesPoints!$A$2:$B$51,2,FALSE),"")</f>
        <v/>
      </c>
      <c r="F415" s="148" t="str">
        <f>IFERROR(VLOOKUP($D415,EntryList!$B$3:$V$291,21,FALSE),"")</f>
        <v/>
      </c>
      <c r="G415" s="100" t="str">
        <f>IFERROR(VLOOKUP($D415,EntryList!$B$3:$N$596,5,FALSE),"")</f>
        <v/>
      </c>
      <c r="H415" s="145" t="str">
        <f>IFERROR(VLOOKUP($D415,EntryList!$B$3:$N$596,6,FALSE),"")</f>
        <v/>
      </c>
      <c r="I415" s="331" t="str">
        <f>IFERROR(VLOOKUP($B415,OverallResults!$B$3:$Z$492,8,FALSE),"")</f>
        <v/>
      </c>
      <c r="J415" s="58" t="str">
        <f>IFERROR(VLOOKUP($B415,OverallResults!$B$3:$BB$492,9,FALSE),"")</f>
        <v/>
      </c>
      <c r="K415" s="58" t="str">
        <f>IFERROR(VLOOKUP($B415,OverallResults!$B$3:$BB$492,10,FALSE),"")</f>
        <v/>
      </c>
      <c r="L415" s="58" t="str">
        <f>IFERROR(VLOOKUP($B415,OverallResults!$B$3:$BB$492,11,FALSE),"")</f>
        <v/>
      </c>
      <c r="M415" s="58" t="str">
        <f>IFERROR(VLOOKUP($B415,OverallResults!$B$3:$BB$492,12,FALSE),"")</f>
        <v/>
      </c>
      <c r="N415" s="58" t="str">
        <f>IFERROR(VLOOKUP($B415,OverallResults!$B$3:$BB$492,13,FALSE),"")</f>
        <v/>
      </c>
      <c r="O415" s="58" t="str">
        <f>IFERROR(VLOOKUP($B415,OverallResults!$B$3:$BB$492,14,FALSE),"")</f>
        <v/>
      </c>
      <c r="P415" s="58" t="str">
        <f>IFERROR(VLOOKUP($B415,OverallResults!$B$3:$BB$492,15,FALSE),"")</f>
        <v/>
      </c>
      <c r="Q415" s="58" t="str">
        <f>IFERROR(VLOOKUP($B415,OverallResults!$B$3:$BB$492,16,FALSE),"")</f>
        <v/>
      </c>
      <c r="R415" s="58" t="str">
        <f>IFERROR(VLOOKUP($B415,OverallResults!$B$3:$BB$492,17,FALSE),"")</f>
        <v/>
      </c>
      <c r="S415" s="170" t="e">
        <f t="shared" si="14"/>
        <v>#VALUE!</v>
      </c>
      <c r="T415" s="170" t="e">
        <f t="shared" si="15"/>
        <v>#VALUE!</v>
      </c>
      <c r="U415" s="359" t="str">
        <f>IFERROR(VLOOKUP($D415,EntryList!$B$3:$S$291,18,FALSE),"")</f>
        <v/>
      </c>
      <c r="V415" s="359" t="str">
        <f>IFERROR(VLOOKUP($D415,EntryList!$B$3:$S$291,17,FALSE),"")</f>
        <v/>
      </c>
    </row>
    <row r="416" spans="2:22">
      <c r="B416" s="59">
        <v>411</v>
      </c>
      <c r="C416" s="331" t="str">
        <f>IFERROR(VLOOKUP($B416,OverallResults!$B$3:$Z$508,2,FALSE),"")</f>
        <v>DNF</v>
      </c>
      <c r="D416" s="146" t="str">
        <f>IFERROR(VLOOKUP($B416,OverallResults!$B$3:$Z$508,3,FALSE),"")</f>
        <v/>
      </c>
      <c r="E416" s="146" t="str">
        <f>IFERROR(VLOOKUP(C416,SeriesPoints!$A$2:$B$51,2,FALSE),"")</f>
        <v/>
      </c>
      <c r="F416" s="148" t="str">
        <f>IFERROR(VLOOKUP($D416,EntryList!$B$3:$V$291,21,FALSE),"")</f>
        <v/>
      </c>
      <c r="G416" s="100" t="str">
        <f>IFERROR(VLOOKUP($D416,EntryList!$B$3:$N$596,5,FALSE),"")</f>
        <v/>
      </c>
      <c r="H416" s="145" t="str">
        <f>IFERROR(VLOOKUP($D416,EntryList!$B$3:$N$596,6,FALSE),"")</f>
        <v/>
      </c>
      <c r="I416" s="331" t="str">
        <f>IFERROR(VLOOKUP($B416,OverallResults!$B$3:$Z$492,8,FALSE),"")</f>
        <v/>
      </c>
      <c r="J416" s="58" t="str">
        <f>IFERROR(VLOOKUP($B416,OverallResults!$B$3:$BB$492,9,FALSE),"")</f>
        <v/>
      </c>
      <c r="K416" s="58" t="str">
        <f>IFERROR(VLOOKUP($B416,OverallResults!$B$3:$BB$492,10,FALSE),"")</f>
        <v/>
      </c>
      <c r="L416" s="58" t="str">
        <f>IFERROR(VLOOKUP($B416,OverallResults!$B$3:$BB$492,11,FALSE),"")</f>
        <v/>
      </c>
      <c r="M416" s="58" t="str">
        <f>IFERROR(VLOOKUP($B416,OverallResults!$B$3:$BB$492,12,FALSE),"")</f>
        <v/>
      </c>
      <c r="N416" s="58" t="str">
        <f>IFERROR(VLOOKUP($B416,OverallResults!$B$3:$BB$492,13,FALSE),"")</f>
        <v/>
      </c>
      <c r="O416" s="58" t="str">
        <f>IFERROR(VLOOKUP($B416,OverallResults!$B$3:$BB$492,14,FALSE),"")</f>
        <v/>
      </c>
      <c r="P416" s="58" t="str">
        <f>IFERROR(VLOOKUP($B416,OverallResults!$B$3:$BB$492,15,FALSE),"")</f>
        <v/>
      </c>
      <c r="Q416" s="58" t="str">
        <f>IFERROR(VLOOKUP($B416,OverallResults!$B$3:$BB$492,16,FALSE),"")</f>
        <v/>
      </c>
      <c r="R416" s="58" t="str">
        <f>IFERROR(VLOOKUP($B416,OverallResults!$B$3:$BB$492,17,FALSE),"")</f>
        <v/>
      </c>
      <c r="S416" s="170" t="e">
        <f t="shared" si="14"/>
        <v>#VALUE!</v>
      </c>
      <c r="T416" s="170" t="e">
        <f t="shared" si="15"/>
        <v>#VALUE!</v>
      </c>
      <c r="U416" s="359" t="str">
        <f>IFERROR(VLOOKUP($D416,EntryList!$B$3:$S$291,18,FALSE),"")</f>
        <v/>
      </c>
      <c r="V416" s="359" t="str">
        <f>IFERROR(VLOOKUP($D416,EntryList!$B$3:$S$291,17,FALSE),"")</f>
        <v/>
      </c>
    </row>
    <row r="417" spans="2:22">
      <c r="B417" s="59">
        <v>412</v>
      </c>
      <c r="C417" s="331" t="str">
        <f>IFERROR(VLOOKUP($B417,OverallResults!$B$3:$Z$508,2,FALSE),"")</f>
        <v>DNF</v>
      </c>
      <c r="D417" s="146" t="str">
        <f>IFERROR(VLOOKUP($B417,OverallResults!$B$3:$Z$508,3,FALSE),"")</f>
        <v/>
      </c>
      <c r="E417" s="146" t="str">
        <f>IFERROR(VLOOKUP(C417,SeriesPoints!$A$2:$B$51,2,FALSE),"")</f>
        <v/>
      </c>
      <c r="F417" s="148" t="str">
        <f>IFERROR(VLOOKUP($D417,EntryList!$B$3:$V$291,21,FALSE),"")</f>
        <v/>
      </c>
      <c r="G417" s="100" t="str">
        <f>IFERROR(VLOOKUP($D417,EntryList!$B$3:$N$596,5,FALSE),"")</f>
        <v/>
      </c>
      <c r="H417" s="145" t="str">
        <f>IFERROR(VLOOKUP($D417,EntryList!$B$3:$N$596,6,FALSE),"")</f>
        <v/>
      </c>
      <c r="I417" s="331" t="str">
        <f>IFERROR(VLOOKUP($B417,OverallResults!$B$3:$Z$492,8,FALSE),"")</f>
        <v/>
      </c>
      <c r="J417" s="58" t="str">
        <f>IFERROR(VLOOKUP($B417,OverallResults!$B$3:$BB$492,9,FALSE),"")</f>
        <v/>
      </c>
      <c r="K417" s="58" t="str">
        <f>IFERROR(VLOOKUP($B417,OverallResults!$B$3:$BB$492,10,FALSE),"")</f>
        <v/>
      </c>
      <c r="L417" s="58" t="str">
        <f>IFERROR(VLOOKUP($B417,OverallResults!$B$3:$BB$492,11,FALSE),"")</f>
        <v/>
      </c>
      <c r="M417" s="58" t="str">
        <f>IFERROR(VLOOKUP($B417,OverallResults!$B$3:$BB$492,12,FALSE),"")</f>
        <v/>
      </c>
      <c r="N417" s="58" t="str">
        <f>IFERROR(VLOOKUP($B417,OverallResults!$B$3:$BB$492,13,FALSE),"")</f>
        <v/>
      </c>
      <c r="O417" s="58" t="str">
        <f>IFERROR(VLOOKUP($B417,OverallResults!$B$3:$BB$492,14,FALSE),"")</f>
        <v/>
      </c>
      <c r="P417" s="58" t="str">
        <f>IFERROR(VLOOKUP($B417,OverallResults!$B$3:$BB$492,15,FALSE),"")</f>
        <v/>
      </c>
      <c r="Q417" s="58" t="str">
        <f>IFERROR(VLOOKUP($B417,OverallResults!$B$3:$BB$492,16,FALSE),"")</f>
        <v/>
      </c>
      <c r="R417" s="58" t="str">
        <f>IFERROR(VLOOKUP($B417,OverallResults!$B$3:$BB$492,17,FALSE),"")</f>
        <v/>
      </c>
      <c r="S417" s="170" t="e">
        <f t="shared" si="14"/>
        <v>#VALUE!</v>
      </c>
      <c r="T417" s="170" t="e">
        <f t="shared" si="15"/>
        <v>#VALUE!</v>
      </c>
      <c r="U417" s="359" t="str">
        <f>IFERROR(VLOOKUP($D417,EntryList!$B$3:$S$291,18,FALSE),"")</f>
        <v/>
      </c>
      <c r="V417" s="359" t="str">
        <f>IFERROR(VLOOKUP($D417,EntryList!$B$3:$S$291,17,FALSE),"")</f>
        <v/>
      </c>
    </row>
    <row r="418" spans="2:22">
      <c r="B418" s="59">
        <v>413</v>
      </c>
      <c r="C418" s="331" t="str">
        <f>IFERROR(VLOOKUP($B418,OverallResults!$B$3:$Z$508,2,FALSE),"")</f>
        <v>DNF</v>
      </c>
      <c r="D418" s="146" t="str">
        <f>IFERROR(VLOOKUP($B418,OverallResults!$B$3:$Z$508,3,FALSE),"")</f>
        <v/>
      </c>
      <c r="E418" s="146" t="str">
        <f>IFERROR(VLOOKUP(C418,SeriesPoints!$A$2:$B$51,2,FALSE),"")</f>
        <v/>
      </c>
      <c r="F418" s="148" t="str">
        <f>IFERROR(VLOOKUP($D418,EntryList!$B$3:$V$291,21,FALSE),"")</f>
        <v/>
      </c>
      <c r="G418" s="100" t="str">
        <f>IFERROR(VLOOKUP($D418,EntryList!$B$3:$N$596,5,FALSE),"")</f>
        <v/>
      </c>
      <c r="H418" s="145" t="str">
        <f>IFERROR(VLOOKUP($D418,EntryList!$B$3:$N$596,6,FALSE),"")</f>
        <v/>
      </c>
      <c r="I418" s="331" t="str">
        <f>IFERROR(VLOOKUP($B418,OverallResults!$B$3:$Z$492,8,FALSE),"")</f>
        <v/>
      </c>
      <c r="J418" s="58" t="str">
        <f>IFERROR(VLOOKUP($B418,OverallResults!$B$3:$BB$492,9,FALSE),"")</f>
        <v/>
      </c>
      <c r="K418" s="58" t="str">
        <f>IFERROR(VLOOKUP($B418,OverallResults!$B$3:$BB$492,10,FALSE),"")</f>
        <v/>
      </c>
      <c r="L418" s="58" t="str">
        <f>IFERROR(VLOOKUP($B418,OverallResults!$B$3:$BB$492,11,FALSE),"")</f>
        <v/>
      </c>
      <c r="M418" s="58" t="str">
        <f>IFERROR(VLOOKUP($B418,OverallResults!$B$3:$BB$492,12,FALSE),"")</f>
        <v/>
      </c>
      <c r="N418" s="58" t="str">
        <f>IFERROR(VLOOKUP($B418,OverallResults!$B$3:$BB$492,13,FALSE),"")</f>
        <v/>
      </c>
      <c r="O418" s="58" t="str">
        <f>IFERROR(VLOOKUP($B418,OverallResults!$B$3:$BB$492,14,FALSE),"")</f>
        <v/>
      </c>
      <c r="P418" s="58" t="str">
        <f>IFERROR(VLOOKUP($B418,OverallResults!$B$3:$BB$492,15,FALSE),"")</f>
        <v/>
      </c>
      <c r="Q418" s="58" t="str">
        <f>IFERROR(VLOOKUP($B418,OverallResults!$B$3:$BB$492,16,FALSE),"")</f>
        <v/>
      </c>
      <c r="R418" s="58" t="str">
        <f>IFERROR(VLOOKUP($B418,OverallResults!$B$3:$BB$492,17,FALSE),"")</f>
        <v/>
      </c>
      <c r="S418" s="170" t="e">
        <f t="shared" ref="S418:S449" si="16">R418-R417</f>
        <v>#VALUE!</v>
      </c>
      <c r="T418" s="170" t="e">
        <f t="shared" ref="T418:T449" si="17">R418-R$6</f>
        <v>#VALUE!</v>
      </c>
      <c r="U418" s="359" t="str">
        <f>IFERROR(VLOOKUP($D418,EntryList!$B$3:$S$291,18,FALSE),"")</f>
        <v/>
      </c>
      <c r="V418" s="359" t="str">
        <f>IFERROR(VLOOKUP($D418,EntryList!$B$3:$S$291,17,FALSE),"")</f>
        <v/>
      </c>
    </row>
    <row r="419" spans="2:22">
      <c r="B419" s="59">
        <v>414</v>
      </c>
      <c r="C419" s="331" t="str">
        <f>IFERROR(VLOOKUP($B419,OverallResults!$B$3:$Z$508,2,FALSE),"")</f>
        <v>DNF</v>
      </c>
      <c r="D419" s="146" t="str">
        <f>IFERROR(VLOOKUP($B419,OverallResults!$B$3:$Z$508,3,FALSE),"")</f>
        <v/>
      </c>
      <c r="E419" s="146" t="str">
        <f>IFERROR(VLOOKUP(C419,SeriesPoints!$A$2:$B$51,2,FALSE),"")</f>
        <v/>
      </c>
      <c r="F419" s="148" t="str">
        <f>IFERROR(VLOOKUP($D419,EntryList!$B$3:$V$291,21,FALSE),"")</f>
        <v/>
      </c>
      <c r="G419" s="100" t="str">
        <f>IFERROR(VLOOKUP($D419,EntryList!$B$3:$N$596,5,FALSE),"")</f>
        <v/>
      </c>
      <c r="H419" s="145" t="str">
        <f>IFERROR(VLOOKUP($D419,EntryList!$B$3:$N$596,6,FALSE),"")</f>
        <v/>
      </c>
      <c r="I419" s="331" t="str">
        <f>IFERROR(VLOOKUP($B419,OverallResults!$B$3:$Z$492,8,FALSE),"")</f>
        <v/>
      </c>
      <c r="J419" s="58" t="str">
        <f>IFERROR(VLOOKUP($B419,OverallResults!$B$3:$BB$492,9,FALSE),"")</f>
        <v/>
      </c>
      <c r="K419" s="58" t="str">
        <f>IFERROR(VLOOKUP($B419,OverallResults!$B$3:$BB$492,10,FALSE),"")</f>
        <v/>
      </c>
      <c r="L419" s="58" t="str">
        <f>IFERROR(VLOOKUP($B419,OverallResults!$B$3:$BB$492,11,FALSE),"")</f>
        <v/>
      </c>
      <c r="M419" s="58" t="str">
        <f>IFERROR(VLOOKUP($B419,OverallResults!$B$3:$BB$492,12,FALSE),"")</f>
        <v/>
      </c>
      <c r="N419" s="58" t="str">
        <f>IFERROR(VLOOKUP($B419,OverallResults!$B$3:$BB$492,13,FALSE),"")</f>
        <v/>
      </c>
      <c r="O419" s="58" t="str">
        <f>IFERROR(VLOOKUP($B419,OverallResults!$B$3:$BB$492,14,FALSE),"")</f>
        <v/>
      </c>
      <c r="P419" s="58" t="str">
        <f>IFERROR(VLOOKUP($B419,OverallResults!$B$3:$BB$492,15,FALSE),"")</f>
        <v/>
      </c>
      <c r="Q419" s="58" t="str">
        <f>IFERROR(VLOOKUP($B419,OverallResults!$B$3:$BB$492,16,FALSE),"")</f>
        <v/>
      </c>
      <c r="R419" s="58" t="str">
        <f>IFERROR(VLOOKUP($B419,OverallResults!$B$3:$BB$492,17,FALSE),"")</f>
        <v/>
      </c>
      <c r="S419" s="170" t="e">
        <f t="shared" si="16"/>
        <v>#VALUE!</v>
      </c>
      <c r="T419" s="170" t="e">
        <f t="shared" si="17"/>
        <v>#VALUE!</v>
      </c>
      <c r="U419" s="359" t="str">
        <f>IFERROR(VLOOKUP($D419,EntryList!$B$3:$S$291,18,FALSE),"")</f>
        <v/>
      </c>
      <c r="V419" s="359" t="str">
        <f>IFERROR(VLOOKUP($D419,EntryList!$B$3:$S$291,17,FALSE),"")</f>
        <v/>
      </c>
    </row>
    <row r="420" spans="2:22">
      <c r="B420" s="59">
        <v>415</v>
      </c>
      <c r="C420" s="331" t="str">
        <f>IFERROR(VLOOKUP($B420,OverallResults!$B$3:$Z$508,2,FALSE),"")</f>
        <v>DNF</v>
      </c>
      <c r="D420" s="146" t="str">
        <f>IFERROR(VLOOKUP($B420,OverallResults!$B$3:$Z$508,3,FALSE),"")</f>
        <v/>
      </c>
      <c r="E420" s="146" t="str">
        <f>IFERROR(VLOOKUP(C420,SeriesPoints!$A$2:$B$51,2,FALSE),"")</f>
        <v/>
      </c>
      <c r="F420" s="148" t="str">
        <f>IFERROR(VLOOKUP($D420,EntryList!$B$3:$V$291,21,FALSE),"")</f>
        <v/>
      </c>
      <c r="G420" s="100" t="str">
        <f>IFERROR(VLOOKUP($D420,EntryList!$B$3:$N$596,5,FALSE),"")</f>
        <v/>
      </c>
      <c r="H420" s="145" t="str">
        <f>IFERROR(VLOOKUP($D420,EntryList!$B$3:$N$596,6,FALSE),"")</f>
        <v/>
      </c>
      <c r="I420" s="331" t="str">
        <f>IFERROR(VLOOKUP($B420,OverallResults!$B$3:$Z$492,8,FALSE),"")</f>
        <v/>
      </c>
      <c r="J420" s="58" t="str">
        <f>IFERROR(VLOOKUP($B420,OverallResults!$B$3:$BB$492,9,FALSE),"")</f>
        <v/>
      </c>
      <c r="K420" s="58" t="str">
        <f>IFERROR(VLOOKUP($B420,OverallResults!$B$3:$BB$492,10,FALSE),"")</f>
        <v/>
      </c>
      <c r="L420" s="58" t="str">
        <f>IFERROR(VLOOKUP($B420,OverallResults!$B$3:$BB$492,11,FALSE),"")</f>
        <v/>
      </c>
      <c r="M420" s="58" t="str">
        <f>IFERROR(VLOOKUP($B420,OverallResults!$B$3:$BB$492,12,FALSE),"")</f>
        <v/>
      </c>
      <c r="N420" s="58" t="str">
        <f>IFERROR(VLOOKUP($B420,OverallResults!$B$3:$BB$492,13,FALSE),"")</f>
        <v/>
      </c>
      <c r="O420" s="58" t="str">
        <f>IFERROR(VLOOKUP($B420,OverallResults!$B$3:$BB$492,14,FALSE),"")</f>
        <v/>
      </c>
      <c r="P420" s="58" t="str">
        <f>IFERROR(VLOOKUP($B420,OverallResults!$B$3:$BB$492,15,FALSE),"")</f>
        <v/>
      </c>
      <c r="Q420" s="58" t="str">
        <f>IFERROR(VLOOKUP($B420,OverallResults!$B$3:$BB$492,16,FALSE),"")</f>
        <v/>
      </c>
      <c r="R420" s="58" t="str">
        <f>IFERROR(VLOOKUP($B420,OverallResults!$B$3:$BB$492,17,FALSE),"")</f>
        <v/>
      </c>
      <c r="S420" s="170" t="e">
        <f t="shared" si="16"/>
        <v>#VALUE!</v>
      </c>
      <c r="T420" s="170" t="e">
        <f t="shared" si="17"/>
        <v>#VALUE!</v>
      </c>
      <c r="U420" s="359" t="str">
        <f>IFERROR(VLOOKUP($D420,EntryList!$B$3:$S$291,18,FALSE),"")</f>
        <v/>
      </c>
      <c r="V420" s="359" t="str">
        <f>IFERROR(VLOOKUP($D420,EntryList!$B$3:$S$291,17,FALSE),"")</f>
        <v/>
      </c>
    </row>
    <row r="421" spans="2:22">
      <c r="B421" s="59">
        <v>416</v>
      </c>
      <c r="C421" s="331" t="str">
        <f>IFERROR(VLOOKUP($B421,OverallResults!$B$3:$Z$508,2,FALSE),"")</f>
        <v>DNF</v>
      </c>
      <c r="D421" s="146" t="str">
        <f>IFERROR(VLOOKUP($B421,OverallResults!$B$3:$Z$508,3,FALSE),"")</f>
        <v/>
      </c>
      <c r="E421" s="146" t="str">
        <f>IFERROR(VLOOKUP(C421,SeriesPoints!$A$2:$B$51,2,FALSE),"")</f>
        <v/>
      </c>
      <c r="F421" s="148" t="str">
        <f>IFERROR(VLOOKUP($D421,EntryList!$B$3:$V$291,21,FALSE),"")</f>
        <v/>
      </c>
      <c r="G421" s="100" t="str">
        <f>IFERROR(VLOOKUP($D421,EntryList!$B$3:$N$596,5,FALSE),"")</f>
        <v/>
      </c>
      <c r="H421" s="145" t="str">
        <f>IFERROR(VLOOKUP($D421,EntryList!$B$3:$N$596,6,FALSE),"")</f>
        <v/>
      </c>
      <c r="I421" s="331" t="str">
        <f>IFERROR(VLOOKUP($B421,OverallResults!$B$3:$Z$492,8,FALSE),"")</f>
        <v/>
      </c>
      <c r="J421" s="58" t="str">
        <f>IFERROR(VLOOKUP($B421,OverallResults!$B$3:$BB$492,9,FALSE),"")</f>
        <v/>
      </c>
      <c r="K421" s="58" t="str">
        <f>IFERROR(VLOOKUP($B421,OverallResults!$B$3:$BB$492,10,FALSE),"")</f>
        <v/>
      </c>
      <c r="L421" s="58" t="str">
        <f>IFERROR(VLOOKUP($B421,OverallResults!$B$3:$BB$492,11,FALSE),"")</f>
        <v/>
      </c>
      <c r="M421" s="58" t="str">
        <f>IFERROR(VLOOKUP($B421,OverallResults!$B$3:$BB$492,12,FALSE),"")</f>
        <v/>
      </c>
      <c r="N421" s="58" t="str">
        <f>IFERROR(VLOOKUP($B421,OverallResults!$B$3:$BB$492,13,FALSE),"")</f>
        <v/>
      </c>
      <c r="O421" s="58" t="str">
        <f>IFERROR(VLOOKUP($B421,OverallResults!$B$3:$BB$492,14,FALSE),"")</f>
        <v/>
      </c>
      <c r="P421" s="58" t="str">
        <f>IFERROR(VLOOKUP($B421,OverallResults!$B$3:$BB$492,15,FALSE),"")</f>
        <v/>
      </c>
      <c r="Q421" s="58" t="str">
        <f>IFERROR(VLOOKUP($B421,OverallResults!$B$3:$BB$492,16,FALSE),"")</f>
        <v/>
      </c>
      <c r="R421" s="58" t="str">
        <f>IFERROR(VLOOKUP($B421,OverallResults!$B$3:$BB$492,17,FALSE),"")</f>
        <v/>
      </c>
      <c r="S421" s="170" t="e">
        <f t="shared" si="16"/>
        <v>#VALUE!</v>
      </c>
      <c r="T421" s="170" t="e">
        <f t="shared" si="17"/>
        <v>#VALUE!</v>
      </c>
      <c r="U421" s="359" t="str">
        <f>IFERROR(VLOOKUP($D421,EntryList!$B$3:$S$291,18,FALSE),"")</f>
        <v/>
      </c>
      <c r="V421" s="359" t="str">
        <f>IFERROR(VLOOKUP($D421,EntryList!$B$3:$S$291,17,FALSE),"")</f>
        <v/>
      </c>
    </row>
    <row r="422" spans="2:22">
      <c r="B422" s="59">
        <v>417</v>
      </c>
      <c r="C422" s="331" t="str">
        <f>IFERROR(VLOOKUP($B422,OverallResults!$B$3:$Z$508,2,FALSE),"")</f>
        <v>DNF</v>
      </c>
      <c r="D422" s="146" t="str">
        <f>IFERROR(VLOOKUP($B422,OverallResults!$B$3:$Z$508,3,FALSE),"")</f>
        <v/>
      </c>
      <c r="E422" s="146" t="str">
        <f>IFERROR(VLOOKUP(C422,SeriesPoints!$A$2:$B$51,2,FALSE),"")</f>
        <v/>
      </c>
      <c r="F422" s="148" t="str">
        <f>IFERROR(VLOOKUP($D422,EntryList!$B$3:$V$291,21,FALSE),"")</f>
        <v/>
      </c>
      <c r="G422" s="100" t="str">
        <f>IFERROR(VLOOKUP($D422,EntryList!$B$3:$N$596,5,FALSE),"")</f>
        <v/>
      </c>
      <c r="H422" s="145" t="str">
        <f>IFERROR(VLOOKUP($D422,EntryList!$B$3:$N$596,6,FALSE),"")</f>
        <v/>
      </c>
      <c r="I422" s="331" t="str">
        <f>IFERROR(VLOOKUP($B422,OverallResults!$B$3:$Z$492,8,FALSE),"")</f>
        <v/>
      </c>
      <c r="J422" s="58" t="str">
        <f>IFERROR(VLOOKUP($B422,OverallResults!$B$3:$BB$492,9,FALSE),"")</f>
        <v/>
      </c>
      <c r="K422" s="58" t="str">
        <f>IFERROR(VLOOKUP($B422,OverallResults!$B$3:$BB$492,10,FALSE),"")</f>
        <v/>
      </c>
      <c r="L422" s="58" t="str">
        <f>IFERROR(VLOOKUP($B422,OverallResults!$B$3:$BB$492,11,FALSE),"")</f>
        <v/>
      </c>
      <c r="M422" s="58" t="str">
        <f>IFERROR(VLOOKUP($B422,OverallResults!$B$3:$BB$492,12,FALSE),"")</f>
        <v/>
      </c>
      <c r="N422" s="58" t="str">
        <f>IFERROR(VLOOKUP($B422,OverallResults!$B$3:$BB$492,13,FALSE),"")</f>
        <v/>
      </c>
      <c r="O422" s="58" t="str">
        <f>IFERROR(VLOOKUP($B422,OverallResults!$B$3:$BB$492,14,FALSE),"")</f>
        <v/>
      </c>
      <c r="P422" s="58" t="str">
        <f>IFERROR(VLOOKUP($B422,OverallResults!$B$3:$BB$492,15,FALSE),"")</f>
        <v/>
      </c>
      <c r="Q422" s="58" t="str">
        <f>IFERROR(VLOOKUP($B422,OverallResults!$B$3:$BB$492,16,FALSE),"")</f>
        <v/>
      </c>
      <c r="R422" s="58" t="str">
        <f>IFERROR(VLOOKUP($B422,OverallResults!$B$3:$BB$492,17,FALSE),"")</f>
        <v/>
      </c>
      <c r="S422" s="170" t="e">
        <f t="shared" si="16"/>
        <v>#VALUE!</v>
      </c>
      <c r="T422" s="170" t="e">
        <f t="shared" si="17"/>
        <v>#VALUE!</v>
      </c>
      <c r="U422" s="359" t="str">
        <f>IFERROR(VLOOKUP($D422,EntryList!$B$3:$S$291,18,FALSE),"")</f>
        <v/>
      </c>
      <c r="V422" s="359" t="str">
        <f>IFERROR(VLOOKUP($D422,EntryList!$B$3:$S$291,17,FALSE),"")</f>
        <v/>
      </c>
    </row>
    <row r="423" spans="2:22">
      <c r="B423" s="59">
        <v>418</v>
      </c>
      <c r="C423" s="331" t="str">
        <f>IFERROR(VLOOKUP($B423,OverallResults!$B$3:$Z$508,2,FALSE),"")</f>
        <v>DNF</v>
      </c>
      <c r="D423" s="146" t="str">
        <f>IFERROR(VLOOKUP($B423,OverallResults!$B$3:$Z$508,3,FALSE),"")</f>
        <v/>
      </c>
      <c r="E423" s="146" t="str">
        <f>IFERROR(VLOOKUP(C423,SeriesPoints!$A$2:$B$51,2,FALSE),"")</f>
        <v/>
      </c>
      <c r="F423" s="148" t="str">
        <f>IFERROR(VLOOKUP($D423,EntryList!$B$3:$V$291,21,FALSE),"")</f>
        <v/>
      </c>
      <c r="G423" s="100" t="str">
        <f>IFERROR(VLOOKUP($D423,EntryList!$B$3:$N$596,5,FALSE),"")</f>
        <v/>
      </c>
      <c r="H423" s="145" t="str">
        <f>IFERROR(VLOOKUP($D423,EntryList!$B$3:$N$596,6,FALSE),"")</f>
        <v/>
      </c>
      <c r="I423" s="331" t="str">
        <f>IFERROR(VLOOKUP($B423,OverallResults!$B$3:$Z$492,8,FALSE),"")</f>
        <v/>
      </c>
      <c r="J423" s="58" t="str">
        <f>IFERROR(VLOOKUP($B423,OverallResults!$B$3:$BB$492,9,FALSE),"")</f>
        <v/>
      </c>
      <c r="K423" s="58" t="str">
        <f>IFERROR(VLOOKUP($B423,OverallResults!$B$3:$BB$492,10,FALSE),"")</f>
        <v/>
      </c>
      <c r="L423" s="58" t="str">
        <f>IFERROR(VLOOKUP($B423,OverallResults!$B$3:$BB$492,11,FALSE),"")</f>
        <v/>
      </c>
      <c r="M423" s="58" t="str">
        <f>IFERROR(VLOOKUP($B423,OverallResults!$B$3:$BB$492,12,FALSE),"")</f>
        <v/>
      </c>
      <c r="N423" s="58" t="str">
        <f>IFERROR(VLOOKUP($B423,OverallResults!$B$3:$BB$492,13,FALSE),"")</f>
        <v/>
      </c>
      <c r="O423" s="58" t="str">
        <f>IFERROR(VLOOKUP($B423,OverallResults!$B$3:$BB$492,14,FALSE),"")</f>
        <v/>
      </c>
      <c r="P423" s="58" t="str">
        <f>IFERROR(VLOOKUP($B423,OverallResults!$B$3:$BB$492,15,FALSE),"")</f>
        <v/>
      </c>
      <c r="Q423" s="58" t="str">
        <f>IFERROR(VLOOKUP($B423,OverallResults!$B$3:$BB$492,16,FALSE),"")</f>
        <v/>
      </c>
      <c r="R423" s="58" t="str">
        <f>IFERROR(VLOOKUP($B423,OverallResults!$B$3:$BB$492,17,FALSE),"")</f>
        <v/>
      </c>
      <c r="S423" s="170" t="e">
        <f t="shared" si="16"/>
        <v>#VALUE!</v>
      </c>
      <c r="T423" s="170" t="e">
        <f t="shared" si="17"/>
        <v>#VALUE!</v>
      </c>
      <c r="U423" s="359" t="str">
        <f>IFERROR(VLOOKUP($D423,EntryList!$B$3:$S$291,18,FALSE),"")</f>
        <v/>
      </c>
      <c r="V423" s="359" t="str">
        <f>IFERROR(VLOOKUP($D423,EntryList!$B$3:$S$291,17,FALSE),"")</f>
        <v/>
      </c>
    </row>
    <row r="424" spans="2:22">
      <c r="B424" s="59">
        <v>419</v>
      </c>
      <c r="C424" s="331" t="str">
        <f>IFERROR(VLOOKUP($B424,OverallResults!$B$3:$Z$508,2,FALSE),"")</f>
        <v>DNF</v>
      </c>
      <c r="D424" s="146" t="str">
        <f>IFERROR(VLOOKUP($B424,OverallResults!$B$3:$Z$508,3,FALSE),"")</f>
        <v/>
      </c>
      <c r="E424" s="146" t="str">
        <f>IFERROR(VLOOKUP(C424,SeriesPoints!$A$2:$B$51,2,FALSE),"")</f>
        <v/>
      </c>
      <c r="F424" s="148" t="str">
        <f>IFERROR(VLOOKUP($D424,EntryList!$B$3:$V$291,21,FALSE),"")</f>
        <v/>
      </c>
      <c r="G424" s="100" t="str">
        <f>IFERROR(VLOOKUP($D424,EntryList!$B$3:$N$596,5,FALSE),"")</f>
        <v/>
      </c>
      <c r="H424" s="145" t="str">
        <f>IFERROR(VLOOKUP($D424,EntryList!$B$3:$N$596,6,FALSE),"")</f>
        <v/>
      </c>
      <c r="I424" s="331" t="str">
        <f>IFERROR(VLOOKUP($B424,OverallResults!$B$3:$Z$492,8,FALSE),"")</f>
        <v/>
      </c>
      <c r="J424" s="58" t="str">
        <f>IFERROR(VLOOKUP($B424,OverallResults!$B$3:$BB$492,9,FALSE),"")</f>
        <v/>
      </c>
      <c r="K424" s="58" t="str">
        <f>IFERROR(VLOOKUP($B424,OverallResults!$B$3:$BB$492,10,FALSE),"")</f>
        <v/>
      </c>
      <c r="L424" s="58" t="str">
        <f>IFERROR(VLOOKUP($B424,OverallResults!$B$3:$BB$492,11,FALSE),"")</f>
        <v/>
      </c>
      <c r="M424" s="58" t="str">
        <f>IFERROR(VLOOKUP($B424,OverallResults!$B$3:$BB$492,12,FALSE),"")</f>
        <v/>
      </c>
      <c r="N424" s="58" t="str">
        <f>IFERROR(VLOOKUP($B424,OverallResults!$B$3:$BB$492,13,FALSE),"")</f>
        <v/>
      </c>
      <c r="O424" s="58" t="str">
        <f>IFERROR(VLOOKUP($B424,OverallResults!$B$3:$BB$492,14,FALSE),"")</f>
        <v/>
      </c>
      <c r="P424" s="58" t="str">
        <f>IFERROR(VLOOKUP($B424,OverallResults!$B$3:$BB$492,15,FALSE),"")</f>
        <v/>
      </c>
      <c r="Q424" s="58" t="str">
        <f>IFERROR(VLOOKUP($B424,OverallResults!$B$3:$BB$492,16,FALSE),"")</f>
        <v/>
      </c>
      <c r="R424" s="58" t="str">
        <f>IFERROR(VLOOKUP($B424,OverallResults!$B$3:$BB$492,17,FALSE),"")</f>
        <v/>
      </c>
      <c r="S424" s="170" t="e">
        <f t="shared" si="16"/>
        <v>#VALUE!</v>
      </c>
      <c r="T424" s="170" t="e">
        <f t="shared" si="17"/>
        <v>#VALUE!</v>
      </c>
      <c r="U424" s="359" t="str">
        <f>IFERROR(VLOOKUP($D424,EntryList!$B$3:$S$291,18,FALSE),"")</f>
        <v/>
      </c>
      <c r="V424" s="359" t="str">
        <f>IFERROR(VLOOKUP($D424,EntryList!$B$3:$S$291,17,FALSE),"")</f>
        <v/>
      </c>
    </row>
    <row r="425" spans="2:22">
      <c r="B425" s="59">
        <v>420</v>
      </c>
      <c r="C425" s="331" t="str">
        <f>IFERROR(VLOOKUP($B425,OverallResults!$B$3:$Z$508,2,FALSE),"")</f>
        <v>DNF</v>
      </c>
      <c r="D425" s="146" t="str">
        <f>IFERROR(VLOOKUP($B425,OverallResults!$B$3:$Z$508,3,FALSE),"")</f>
        <v/>
      </c>
      <c r="E425" s="146" t="str">
        <f>IFERROR(VLOOKUP(C425,SeriesPoints!$A$2:$B$51,2,FALSE),"")</f>
        <v/>
      </c>
      <c r="F425" s="148" t="str">
        <f>IFERROR(VLOOKUP($D425,EntryList!$B$3:$V$291,21,FALSE),"")</f>
        <v/>
      </c>
      <c r="G425" s="100" t="str">
        <f>IFERROR(VLOOKUP($D425,EntryList!$B$3:$N$596,5,FALSE),"")</f>
        <v/>
      </c>
      <c r="H425" s="145" t="str">
        <f>IFERROR(VLOOKUP($D425,EntryList!$B$3:$N$596,6,FALSE),"")</f>
        <v/>
      </c>
      <c r="I425" s="331" t="str">
        <f>IFERROR(VLOOKUP($B425,OverallResults!$B$3:$Z$492,8,FALSE),"")</f>
        <v/>
      </c>
      <c r="J425" s="58" t="str">
        <f>IFERROR(VLOOKUP($B425,OverallResults!$B$3:$BB$492,9,FALSE),"")</f>
        <v/>
      </c>
      <c r="K425" s="58" t="str">
        <f>IFERROR(VLOOKUP($B425,OverallResults!$B$3:$BB$492,10,FALSE),"")</f>
        <v/>
      </c>
      <c r="L425" s="58" t="str">
        <f>IFERROR(VLOOKUP($B425,OverallResults!$B$3:$BB$492,11,FALSE),"")</f>
        <v/>
      </c>
      <c r="M425" s="58" t="str">
        <f>IFERROR(VLOOKUP($B425,OverallResults!$B$3:$BB$492,12,FALSE),"")</f>
        <v/>
      </c>
      <c r="N425" s="58" t="str">
        <f>IFERROR(VLOOKUP($B425,OverallResults!$B$3:$BB$492,13,FALSE),"")</f>
        <v/>
      </c>
      <c r="O425" s="58" t="str">
        <f>IFERROR(VLOOKUP($B425,OverallResults!$B$3:$BB$492,14,FALSE),"")</f>
        <v/>
      </c>
      <c r="P425" s="58" t="str">
        <f>IFERROR(VLOOKUP($B425,OverallResults!$B$3:$BB$492,15,FALSE),"")</f>
        <v/>
      </c>
      <c r="Q425" s="58" t="str">
        <f>IFERROR(VLOOKUP($B425,OverallResults!$B$3:$BB$492,16,FALSE),"")</f>
        <v/>
      </c>
      <c r="R425" s="58" t="str">
        <f>IFERROR(VLOOKUP($B425,OverallResults!$B$3:$BB$492,17,FALSE),"")</f>
        <v/>
      </c>
      <c r="S425" s="170" t="e">
        <f t="shared" si="16"/>
        <v>#VALUE!</v>
      </c>
      <c r="T425" s="170" t="e">
        <f t="shared" si="17"/>
        <v>#VALUE!</v>
      </c>
      <c r="U425" s="359" t="str">
        <f>IFERROR(VLOOKUP($D425,EntryList!$B$3:$S$291,18,FALSE),"")</f>
        <v/>
      </c>
      <c r="V425" s="359" t="str">
        <f>IFERROR(VLOOKUP($D425,EntryList!$B$3:$S$291,17,FALSE),"")</f>
        <v/>
      </c>
    </row>
    <row r="426" spans="2:22">
      <c r="B426" s="59">
        <v>421</v>
      </c>
      <c r="C426" s="331" t="str">
        <f>IFERROR(VLOOKUP($B426,OverallResults!$B$3:$Z$508,2,FALSE),"")</f>
        <v>DNF</v>
      </c>
      <c r="D426" s="146" t="str">
        <f>IFERROR(VLOOKUP($B426,OverallResults!$B$3:$Z$508,3,FALSE),"")</f>
        <v/>
      </c>
      <c r="E426" s="146" t="str">
        <f>IFERROR(VLOOKUP(C426,SeriesPoints!$A$2:$B$51,2,FALSE),"")</f>
        <v/>
      </c>
      <c r="F426" s="148" t="str">
        <f>IFERROR(VLOOKUP($D426,EntryList!$B$3:$V$291,21,FALSE),"")</f>
        <v/>
      </c>
      <c r="G426" s="100" t="str">
        <f>IFERROR(VLOOKUP($D426,EntryList!$B$3:$N$596,5,FALSE),"")</f>
        <v/>
      </c>
      <c r="H426" s="145" t="str">
        <f>IFERROR(VLOOKUP($D426,EntryList!$B$3:$N$596,6,FALSE),"")</f>
        <v/>
      </c>
      <c r="I426" s="331" t="str">
        <f>IFERROR(VLOOKUP($B426,OverallResults!$B$3:$Z$492,8,FALSE),"")</f>
        <v/>
      </c>
      <c r="J426" s="58" t="str">
        <f>IFERROR(VLOOKUP($B426,OverallResults!$B$3:$BB$492,9,FALSE),"")</f>
        <v/>
      </c>
      <c r="K426" s="58" t="str">
        <f>IFERROR(VLOOKUP($B426,OverallResults!$B$3:$BB$492,10,FALSE),"")</f>
        <v/>
      </c>
      <c r="L426" s="58" t="str">
        <f>IFERROR(VLOOKUP($B426,OverallResults!$B$3:$BB$492,11,FALSE),"")</f>
        <v/>
      </c>
      <c r="M426" s="58" t="str">
        <f>IFERROR(VLOOKUP($B426,OverallResults!$B$3:$BB$492,12,FALSE),"")</f>
        <v/>
      </c>
      <c r="N426" s="58" t="str">
        <f>IFERROR(VLOOKUP($B426,OverallResults!$B$3:$BB$492,13,FALSE),"")</f>
        <v/>
      </c>
      <c r="O426" s="58" t="str">
        <f>IFERROR(VLOOKUP($B426,OverallResults!$B$3:$BB$492,14,FALSE),"")</f>
        <v/>
      </c>
      <c r="P426" s="58" t="str">
        <f>IFERROR(VLOOKUP($B426,OverallResults!$B$3:$BB$492,15,FALSE),"")</f>
        <v/>
      </c>
      <c r="Q426" s="58" t="str">
        <f>IFERROR(VLOOKUP($B426,OverallResults!$B$3:$BB$492,16,FALSE),"")</f>
        <v/>
      </c>
      <c r="R426" s="58" t="str">
        <f>IFERROR(VLOOKUP($B426,OverallResults!$B$3:$BB$492,17,FALSE),"")</f>
        <v/>
      </c>
      <c r="S426" s="170" t="e">
        <f t="shared" si="16"/>
        <v>#VALUE!</v>
      </c>
      <c r="T426" s="170" t="e">
        <f t="shared" si="17"/>
        <v>#VALUE!</v>
      </c>
      <c r="U426" s="359" t="str">
        <f>IFERROR(VLOOKUP($D426,EntryList!$B$3:$S$291,18,FALSE),"")</f>
        <v/>
      </c>
      <c r="V426" s="359" t="str">
        <f>IFERROR(VLOOKUP($D426,EntryList!$B$3:$S$291,17,FALSE),"")</f>
        <v/>
      </c>
    </row>
    <row r="427" spans="2:22">
      <c r="B427" s="59">
        <v>422</v>
      </c>
      <c r="C427" s="331" t="str">
        <f>IFERROR(VLOOKUP($B427,OverallResults!$B$3:$Z$508,2,FALSE),"")</f>
        <v>DNF</v>
      </c>
      <c r="D427" s="146" t="str">
        <f>IFERROR(VLOOKUP($B427,OverallResults!$B$3:$Z$508,3,FALSE),"")</f>
        <v/>
      </c>
      <c r="E427" s="146" t="str">
        <f>IFERROR(VLOOKUP(C427,SeriesPoints!$A$2:$B$51,2,FALSE),"")</f>
        <v/>
      </c>
      <c r="F427" s="148" t="str">
        <f>IFERROR(VLOOKUP($D427,EntryList!$B$3:$V$291,21,FALSE),"")</f>
        <v/>
      </c>
      <c r="G427" s="100" t="str">
        <f>IFERROR(VLOOKUP($D427,EntryList!$B$3:$N$596,5,FALSE),"")</f>
        <v/>
      </c>
      <c r="H427" s="145" t="str">
        <f>IFERROR(VLOOKUP($D427,EntryList!$B$3:$N$596,6,FALSE),"")</f>
        <v/>
      </c>
      <c r="I427" s="331" t="str">
        <f>IFERROR(VLOOKUP($B427,OverallResults!$B$3:$Z$492,8,FALSE),"")</f>
        <v/>
      </c>
      <c r="J427" s="58" t="str">
        <f>IFERROR(VLOOKUP($B427,OverallResults!$B$3:$BB$492,9,FALSE),"")</f>
        <v/>
      </c>
      <c r="K427" s="58" t="str">
        <f>IFERROR(VLOOKUP($B427,OverallResults!$B$3:$BB$492,10,FALSE),"")</f>
        <v/>
      </c>
      <c r="L427" s="58" t="str">
        <f>IFERROR(VLOOKUP($B427,OverallResults!$B$3:$BB$492,11,FALSE),"")</f>
        <v/>
      </c>
      <c r="M427" s="58" t="str">
        <f>IFERROR(VLOOKUP($B427,OverallResults!$B$3:$BB$492,12,FALSE),"")</f>
        <v/>
      </c>
      <c r="N427" s="58" t="str">
        <f>IFERROR(VLOOKUP($B427,OverallResults!$B$3:$BB$492,13,FALSE),"")</f>
        <v/>
      </c>
      <c r="O427" s="58" t="str">
        <f>IFERROR(VLOOKUP($B427,OverallResults!$B$3:$BB$492,14,FALSE),"")</f>
        <v/>
      </c>
      <c r="P427" s="58" t="str">
        <f>IFERROR(VLOOKUP($B427,OverallResults!$B$3:$BB$492,15,FALSE),"")</f>
        <v/>
      </c>
      <c r="Q427" s="58" t="str">
        <f>IFERROR(VLOOKUP($B427,OverallResults!$B$3:$BB$492,16,FALSE),"")</f>
        <v/>
      </c>
      <c r="R427" s="58" t="str">
        <f>IFERROR(VLOOKUP($B427,OverallResults!$B$3:$BB$492,17,FALSE),"")</f>
        <v/>
      </c>
      <c r="S427" s="170" t="e">
        <f t="shared" si="16"/>
        <v>#VALUE!</v>
      </c>
      <c r="T427" s="170" t="e">
        <f t="shared" si="17"/>
        <v>#VALUE!</v>
      </c>
      <c r="U427" s="359" t="str">
        <f>IFERROR(VLOOKUP($D427,EntryList!$B$3:$S$291,18,FALSE),"")</f>
        <v/>
      </c>
      <c r="V427" s="359" t="str">
        <f>IFERROR(VLOOKUP($D427,EntryList!$B$3:$S$291,17,FALSE),"")</f>
        <v/>
      </c>
    </row>
    <row r="428" spans="2:22">
      <c r="B428" s="59">
        <v>423</v>
      </c>
      <c r="C428" s="331" t="str">
        <f>IFERROR(VLOOKUP($B428,OverallResults!$B$3:$Z$508,2,FALSE),"")</f>
        <v>DNF</v>
      </c>
      <c r="D428" s="146" t="str">
        <f>IFERROR(VLOOKUP($B428,OverallResults!$B$3:$Z$508,3,FALSE),"")</f>
        <v/>
      </c>
      <c r="E428" s="146" t="str">
        <f>IFERROR(VLOOKUP(C428,SeriesPoints!$A$2:$B$51,2,FALSE),"")</f>
        <v/>
      </c>
      <c r="F428" s="148" t="str">
        <f>IFERROR(VLOOKUP($D428,EntryList!$B$3:$V$291,21,FALSE),"")</f>
        <v/>
      </c>
      <c r="G428" s="100" t="str">
        <f>IFERROR(VLOOKUP($D428,EntryList!$B$3:$N$596,5,FALSE),"")</f>
        <v/>
      </c>
      <c r="H428" s="145" t="str">
        <f>IFERROR(VLOOKUP($D428,EntryList!$B$3:$N$596,6,FALSE),"")</f>
        <v/>
      </c>
      <c r="I428" s="331" t="str">
        <f>IFERROR(VLOOKUP($B428,OverallResults!$B$3:$Z$492,8,FALSE),"")</f>
        <v/>
      </c>
      <c r="J428" s="58" t="str">
        <f>IFERROR(VLOOKUP($B428,OverallResults!$B$3:$BB$492,9,FALSE),"")</f>
        <v/>
      </c>
      <c r="K428" s="58" t="str">
        <f>IFERROR(VLOOKUP($B428,OverallResults!$B$3:$BB$492,10,FALSE),"")</f>
        <v/>
      </c>
      <c r="L428" s="58" t="str">
        <f>IFERROR(VLOOKUP($B428,OverallResults!$B$3:$BB$492,11,FALSE),"")</f>
        <v/>
      </c>
      <c r="M428" s="58" t="str">
        <f>IFERROR(VLOOKUP($B428,OverallResults!$B$3:$BB$492,12,FALSE),"")</f>
        <v/>
      </c>
      <c r="N428" s="58" t="str">
        <f>IFERROR(VLOOKUP($B428,OverallResults!$B$3:$BB$492,13,FALSE),"")</f>
        <v/>
      </c>
      <c r="O428" s="58" t="str">
        <f>IFERROR(VLOOKUP($B428,OverallResults!$B$3:$BB$492,14,FALSE),"")</f>
        <v/>
      </c>
      <c r="P428" s="58" t="str">
        <f>IFERROR(VLOOKUP($B428,OverallResults!$B$3:$BB$492,15,FALSE),"")</f>
        <v/>
      </c>
      <c r="Q428" s="58" t="str">
        <f>IFERROR(VLOOKUP($B428,OverallResults!$B$3:$BB$492,16,FALSE),"")</f>
        <v/>
      </c>
      <c r="R428" s="58" t="str">
        <f>IFERROR(VLOOKUP($B428,OverallResults!$B$3:$BB$492,17,FALSE),"")</f>
        <v/>
      </c>
      <c r="S428" s="170" t="e">
        <f t="shared" si="16"/>
        <v>#VALUE!</v>
      </c>
      <c r="T428" s="170" t="e">
        <f t="shared" si="17"/>
        <v>#VALUE!</v>
      </c>
      <c r="U428" s="359" t="str">
        <f>IFERROR(VLOOKUP($D428,EntryList!$B$3:$S$291,18,FALSE),"")</f>
        <v/>
      </c>
      <c r="V428" s="359" t="str">
        <f>IFERROR(VLOOKUP($D428,EntryList!$B$3:$S$291,17,FALSE),"")</f>
        <v/>
      </c>
    </row>
    <row r="429" spans="2:22">
      <c r="B429" s="59">
        <v>424</v>
      </c>
      <c r="C429" s="331" t="str">
        <f>IFERROR(VLOOKUP($B429,OverallResults!$B$3:$Z$508,2,FALSE),"")</f>
        <v>DNF</v>
      </c>
      <c r="D429" s="146" t="str">
        <f>IFERROR(VLOOKUP($B429,OverallResults!$B$3:$Z$508,3,FALSE),"")</f>
        <v/>
      </c>
      <c r="E429" s="146" t="str">
        <f>IFERROR(VLOOKUP(C429,SeriesPoints!$A$2:$B$51,2,FALSE),"")</f>
        <v/>
      </c>
      <c r="F429" s="148" t="str">
        <f>IFERROR(VLOOKUP($D429,EntryList!$B$3:$V$291,21,FALSE),"")</f>
        <v/>
      </c>
      <c r="G429" s="100" t="str">
        <f>IFERROR(VLOOKUP($D429,EntryList!$B$3:$N$596,5,FALSE),"")</f>
        <v/>
      </c>
      <c r="H429" s="145" t="str">
        <f>IFERROR(VLOOKUP($D429,EntryList!$B$3:$N$596,6,FALSE),"")</f>
        <v/>
      </c>
      <c r="I429" s="331" t="str">
        <f>IFERROR(VLOOKUP($B429,OverallResults!$B$3:$Z$492,8,FALSE),"")</f>
        <v/>
      </c>
      <c r="J429" s="58" t="str">
        <f>IFERROR(VLOOKUP($B429,OverallResults!$B$3:$BB$492,9,FALSE),"")</f>
        <v/>
      </c>
      <c r="K429" s="58" t="str">
        <f>IFERROR(VLOOKUP($B429,OverallResults!$B$3:$BB$492,10,FALSE),"")</f>
        <v/>
      </c>
      <c r="L429" s="58" t="str">
        <f>IFERROR(VLOOKUP($B429,OverallResults!$B$3:$BB$492,11,FALSE),"")</f>
        <v/>
      </c>
      <c r="M429" s="58" t="str">
        <f>IFERROR(VLOOKUP($B429,OverallResults!$B$3:$BB$492,12,FALSE),"")</f>
        <v/>
      </c>
      <c r="N429" s="58" t="str">
        <f>IFERROR(VLOOKUP($B429,OverallResults!$B$3:$BB$492,13,FALSE),"")</f>
        <v/>
      </c>
      <c r="O429" s="58" t="str">
        <f>IFERROR(VLOOKUP($B429,OverallResults!$B$3:$BB$492,14,FALSE),"")</f>
        <v/>
      </c>
      <c r="P429" s="58" t="str">
        <f>IFERROR(VLOOKUP($B429,OverallResults!$B$3:$BB$492,15,FALSE),"")</f>
        <v/>
      </c>
      <c r="Q429" s="58" t="str">
        <f>IFERROR(VLOOKUP($B429,OverallResults!$B$3:$BB$492,16,FALSE),"")</f>
        <v/>
      </c>
      <c r="R429" s="58" t="str">
        <f>IFERROR(VLOOKUP($B429,OverallResults!$B$3:$BB$492,17,FALSE),"")</f>
        <v/>
      </c>
      <c r="S429" s="170" t="e">
        <f t="shared" si="16"/>
        <v>#VALUE!</v>
      </c>
      <c r="T429" s="170" t="e">
        <f t="shared" si="17"/>
        <v>#VALUE!</v>
      </c>
      <c r="U429" s="359" t="str">
        <f>IFERROR(VLOOKUP($D429,EntryList!$B$3:$S$291,18,FALSE),"")</f>
        <v/>
      </c>
      <c r="V429" s="359" t="str">
        <f>IFERROR(VLOOKUP($D429,EntryList!$B$3:$S$291,17,FALSE),"")</f>
        <v/>
      </c>
    </row>
    <row r="430" spans="2:22">
      <c r="B430" s="59">
        <v>425</v>
      </c>
      <c r="C430" s="331" t="str">
        <f>IFERROR(VLOOKUP($B430,OverallResults!$B$3:$Z$508,2,FALSE),"")</f>
        <v>DNF</v>
      </c>
      <c r="D430" s="146" t="str">
        <f>IFERROR(VLOOKUP($B430,OverallResults!$B$3:$Z$508,3,FALSE),"")</f>
        <v/>
      </c>
      <c r="E430" s="146" t="str">
        <f>IFERROR(VLOOKUP(C430,SeriesPoints!$A$2:$B$51,2,FALSE),"")</f>
        <v/>
      </c>
      <c r="F430" s="148" t="str">
        <f>IFERROR(VLOOKUP($D430,EntryList!$B$3:$V$291,21,FALSE),"")</f>
        <v/>
      </c>
      <c r="G430" s="100" t="str">
        <f>IFERROR(VLOOKUP($D430,EntryList!$B$3:$N$596,5,FALSE),"")</f>
        <v/>
      </c>
      <c r="H430" s="145" t="str">
        <f>IFERROR(VLOOKUP($D430,EntryList!$B$3:$N$596,6,FALSE),"")</f>
        <v/>
      </c>
      <c r="I430" s="331" t="str">
        <f>IFERROR(VLOOKUP($B430,OverallResults!$B$3:$Z$492,8,FALSE),"")</f>
        <v/>
      </c>
      <c r="J430" s="58" t="str">
        <f>IFERROR(VLOOKUP($B430,OverallResults!$B$3:$BB$492,9,FALSE),"")</f>
        <v/>
      </c>
      <c r="K430" s="58" t="str">
        <f>IFERROR(VLOOKUP($B430,OverallResults!$B$3:$BB$492,10,FALSE),"")</f>
        <v/>
      </c>
      <c r="L430" s="58" t="str">
        <f>IFERROR(VLOOKUP($B430,OverallResults!$B$3:$BB$492,11,FALSE),"")</f>
        <v/>
      </c>
      <c r="M430" s="58" t="str">
        <f>IFERROR(VLOOKUP($B430,OverallResults!$B$3:$BB$492,12,FALSE),"")</f>
        <v/>
      </c>
      <c r="N430" s="58" t="str">
        <f>IFERROR(VLOOKUP($B430,OverallResults!$B$3:$BB$492,13,FALSE),"")</f>
        <v/>
      </c>
      <c r="O430" s="58" t="str">
        <f>IFERROR(VLOOKUP($B430,OverallResults!$B$3:$BB$492,14,FALSE),"")</f>
        <v/>
      </c>
      <c r="P430" s="58" t="str">
        <f>IFERROR(VLOOKUP($B430,OverallResults!$B$3:$BB$492,15,FALSE),"")</f>
        <v/>
      </c>
      <c r="Q430" s="58" t="str">
        <f>IFERROR(VLOOKUP($B430,OverallResults!$B$3:$BB$492,16,FALSE),"")</f>
        <v/>
      </c>
      <c r="R430" s="58" t="str">
        <f>IFERROR(VLOOKUP($B430,OverallResults!$B$3:$BB$492,17,FALSE),"")</f>
        <v/>
      </c>
      <c r="S430" s="170" t="e">
        <f t="shared" si="16"/>
        <v>#VALUE!</v>
      </c>
      <c r="T430" s="170" t="e">
        <f t="shared" si="17"/>
        <v>#VALUE!</v>
      </c>
      <c r="U430" s="359" t="str">
        <f>IFERROR(VLOOKUP($D430,EntryList!$B$3:$S$291,18,FALSE),"")</f>
        <v/>
      </c>
      <c r="V430" s="359" t="str">
        <f>IFERROR(VLOOKUP($D430,EntryList!$B$3:$S$291,17,FALSE),"")</f>
        <v/>
      </c>
    </row>
    <row r="431" spans="2:22">
      <c r="B431" s="59">
        <v>426</v>
      </c>
      <c r="C431" s="331" t="str">
        <f>IFERROR(VLOOKUP($B431,OverallResults!$B$3:$Z$508,2,FALSE),"")</f>
        <v>DNF</v>
      </c>
      <c r="D431" s="146" t="str">
        <f>IFERROR(VLOOKUP($B431,OverallResults!$B$3:$Z$508,3,FALSE),"")</f>
        <v/>
      </c>
      <c r="E431" s="146" t="str">
        <f>IFERROR(VLOOKUP(C431,SeriesPoints!$A$2:$B$51,2,FALSE),"")</f>
        <v/>
      </c>
      <c r="F431" s="148" t="str">
        <f>IFERROR(VLOOKUP($D431,EntryList!$B$3:$V$291,21,FALSE),"")</f>
        <v/>
      </c>
      <c r="G431" s="100" t="str">
        <f>IFERROR(VLOOKUP($D431,EntryList!$B$3:$N$596,5,FALSE),"")</f>
        <v/>
      </c>
      <c r="H431" s="145" t="str">
        <f>IFERROR(VLOOKUP($D431,EntryList!$B$3:$N$596,6,FALSE),"")</f>
        <v/>
      </c>
      <c r="I431" s="331" t="str">
        <f>IFERROR(VLOOKUP($B431,OverallResults!$B$3:$Z$492,8,FALSE),"")</f>
        <v/>
      </c>
      <c r="J431" s="58" t="str">
        <f>IFERROR(VLOOKUP($B431,OverallResults!$B$3:$BB$492,9,FALSE),"")</f>
        <v/>
      </c>
      <c r="K431" s="58" t="str">
        <f>IFERROR(VLOOKUP($B431,OverallResults!$B$3:$BB$492,10,FALSE),"")</f>
        <v/>
      </c>
      <c r="L431" s="58" t="str">
        <f>IFERROR(VLOOKUP($B431,OverallResults!$B$3:$BB$492,11,FALSE),"")</f>
        <v/>
      </c>
      <c r="M431" s="58" t="str">
        <f>IFERROR(VLOOKUP($B431,OverallResults!$B$3:$BB$492,12,FALSE),"")</f>
        <v/>
      </c>
      <c r="N431" s="58" t="str">
        <f>IFERROR(VLOOKUP($B431,OverallResults!$B$3:$BB$492,13,FALSE),"")</f>
        <v/>
      </c>
      <c r="O431" s="58" t="str">
        <f>IFERROR(VLOOKUP($B431,OverallResults!$B$3:$BB$492,14,FALSE),"")</f>
        <v/>
      </c>
      <c r="P431" s="58" t="str">
        <f>IFERROR(VLOOKUP($B431,OverallResults!$B$3:$BB$492,15,FALSE),"")</f>
        <v/>
      </c>
      <c r="Q431" s="58" t="str">
        <f>IFERROR(VLOOKUP($B431,OverallResults!$B$3:$BB$492,16,FALSE),"")</f>
        <v/>
      </c>
      <c r="R431" s="58" t="str">
        <f>IFERROR(VLOOKUP($B431,OverallResults!$B$3:$BB$492,17,FALSE),"")</f>
        <v/>
      </c>
      <c r="S431" s="170" t="e">
        <f t="shared" si="16"/>
        <v>#VALUE!</v>
      </c>
      <c r="T431" s="170" t="e">
        <f t="shared" si="17"/>
        <v>#VALUE!</v>
      </c>
      <c r="U431" s="359" t="str">
        <f>IFERROR(VLOOKUP($D431,EntryList!$B$3:$S$291,18,FALSE),"")</f>
        <v/>
      </c>
      <c r="V431" s="359" t="str">
        <f>IFERROR(VLOOKUP($D431,EntryList!$B$3:$S$291,17,FALSE),"")</f>
        <v/>
      </c>
    </row>
    <row r="432" spans="2:22">
      <c r="B432" s="59">
        <v>427</v>
      </c>
      <c r="C432" s="331" t="str">
        <f>IFERROR(VLOOKUP($B432,OverallResults!$B$3:$Z$508,2,FALSE),"")</f>
        <v>DNF</v>
      </c>
      <c r="D432" s="146" t="str">
        <f>IFERROR(VLOOKUP($B432,OverallResults!$B$3:$Z$508,3,FALSE),"")</f>
        <v/>
      </c>
      <c r="E432" s="146" t="str">
        <f>IFERROR(VLOOKUP(C432,SeriesPoints!$A$2:$B$51,2,FALSE),"")</f>
        <v/>
      </c>
      <c r="F432" s="148" t="str">
        <f>IFERROR(VLOOKUP($D432,EntryList!$B$3:$V$291,21,FALSE),"")</f>
        <v/>
      </c>
      <c r="G432" s="100" t="str">
        <f>IFERROR(VLOOKUP($D432,EntryList!$B$3:$N$596,5,FALSE),"")</f>
        <v/>
      </c>
      <c r="H432" s="145" t="str">
        <f>IFERROR(VLOOKUP($D432,EntryList!$B$3:$N$596,6,FALSE),"")</f>
        <v/>
      </c>
      <c r="I432" s="331" t="str">
        <f>IFERROR(VLOOKUP($B432,OverallResults!$B$3:$Z$492,8,FALSE),"")</f>
        <v/>
      </c>
      <c r="J432" s="58" t="str">
        <f>IFERROR(VLOOKUP($B432,OverallResults!$B$3:$BB$492,9,FALSE),"")</f>
        <v/>
      </c>
      <c r="K432" s="58" t="str">
        <f>IFERROR(VLOOKUP($B432,OverallResults!$B$3:$BB$492,10,FALSE),"")</f>
        <v/>
      </c>
      <c r="L432" s="58" t="str">
        <f>IFERROR(VLOOKUP($B432,OverallResults!$B$3:$BB$492,11,FALSE),"")</f>
        <v/>
      </c>
      <c r="M432" s="58" t="str">
        <f>IFERROR(VLOOKUP($B432,OverallResults!$B$3:$BB$492,12,FALSE),"")</f>
        <v/>
      </c>
      <c r="N432" s="58" t="str">
        <f>IFERROR(VLOOKUP($B432,OverallResults!$B$3:$BB$492,13,FALSE),"")</f>
        <v/>
      </c>
      <c r="O432" s="58" t="str">
        <f>IFERROR(VLOOKUP($B432,OverallResults!$B$3:$BB$492,14,FALSE),"")</f>
        <v/>
      </c>
      <c r="P432" s="58" t="str">
        <f>IFERROR(VLOOKUP($B432,OverallResults!$B$3:$BB$492,15,FALSE),"")</f>
        <v/>
      </c>
      <c r="Q432" s="58" t="str">
        <f>IFERROR(VLOOKUP($B432,OverallResults!$B$3:$BB$492,16,FALSE),"")</f>
        <v/>
      </c>
      <c r="R432" s="58" t="str">
        <f>IFERROR(VLOOKUP($B432,OverallResults!$B$3:$BB$492,17,FALSE),"")</f>
        <v/>
      </c>
      <c r="S432" s="170" t="e">
        <f t="shared" si="16"/>
        <v>#VALUE!</v>
      </c>
      <c r="T432" s="170" t="e">
        <f t="shared" si="17"/>
        <v>#VALUE!</v>
      </c>
      <c r="U432" s="359" t="str">
        <f>IFERROR(VLOOKUP($D432,EntryList!$B$3:$S$291,18,FALSE),"")</f>
        <v/>
      </c>
      <c r="V432" s="359" t="str">
        <f>IFERROR(VLOOKUP($D432,EntryList!$B$3:$S$291,17,FALSE),"")</f>
        <v/>
      </c>
    </row>
    <row r="433" spans="2:22">
      <c r="B433" s="59">
        <v>428</v>
      </c>
      <c r="C433" s="331" t="str">
        <f>IFERROR(VLOOKUP($B433,OverallResults!$B$3:$Z$508,2,FALSE),"")</f>
        <v>DNF</v>
      </c>
      <c r="D433" s="146" t="str">
        <f>IFERROR(VLOOKUP($B433,OverallResults!$B$3:$Z$508,3,FALSE),"")</f>
        <v/>
      </c>
      <c r="E433" s="146" t="str">
        <f>IFERROR(VLOOKUP(C433,SeriesPoints!$A$2:$B$51,2,FALSE),"")</f>
        <v/>
      </c>
      <c r="F433" s="148" t="str">
        <f>IFERROR(VLOOKUP($D433,EntryList!$B$3:$V$291,21,FALSE),"")</f>
        <v/>
      </c>
      <c r="G433" s="100" t="str">
        <f>IFERROR(VLOOKUP($D433,EntryList!$B$3:$N$596,5,FALSE),"")</f>
        <v/>
      </c>
      <c r="H433" s="145" t="str">
        <f>IFERROR(VLOOKUP($D433,EntryList!$B$3:$N$596,6,FALSE),"")</f>
        <v/>
      </c>
      <c r="I433" s="331" t="str">
        <f>IFERROR(VLOOKUP($B433,OverallResults!$B$3:$Z$492,8,FALSE),"")</f>
        <v/>
      </c>
      <c r="J433" s="58" t="str">
        <f>IFERROR(VLOOKUP($B433,OverallResults!$B$3:$BB$492,9,FALSE),"")</f>
        <v/>
      </c>
      <c r="K433" s="58" t="str">
        <f>IFERROR(VLOOKUP($B433,OverallResults!$B$3:$BB$492,10,FALSE),"")</f>
        <v/>
      </c>
      <c r="L433" s="58" t="str">
        <f>IFERROR(VLOOKUP($B433,OverallResults!$B$3:$BB$492,11,FALSE),"")</f>
        <v/>
      </c>
      <c r="M433" s="58" t="str">
        <f>IFERROR(VLOOKUP($B433,OverallResults!$B$3:$BB$492,12,FALSE),"")</f>
        <v/>
      </c>
      <c r="N433" s="58" t="str">
        <f>IFERROR(VLOOKUP($B433,OverallResults!$B$3:$BB$492,13,FALSE),"")</f>
        <v/>
      </c>
      <c r="O433" s="58" t="str">
        <f>IFERROR(VLOOKUP($B433,OverallResults!$B$3:$BB$492,14,FALSE),"")</f>
        <v/>
      </c>
      <c r="P433" s="58" t="str">
        <f>IFERROR(VLOOKUP($B433,OverallResults!$B$3:$BB$492,15,FALSE),"")</f>
        <v/>
      </c>
      <c r="Q433" s="58" t="str">
        <f>IFERROR(VLOOKUP($B433,OverallResults!$B$3:$BB$492,16,FALSE),"")</f>
        <v/>
      </c>
      <c r="R433" s="58" t="str">
        <f>IFERROR(VLOOKUP($B433,OverallResults!$B$3:$BB$492,17,FALSE),"")</f>
        <v/>
      </c>
      <c r="S433" s="170" t="e">
        <f t="shared" si="16"/>
        <v>#VALUE!</v>
      </c>
      <c r="T433" s="170" t="e">
        <f t="shared" si="17"/>
        <v>#VALUE!</v>
      </c>
      <c r="U433" s="359" t="str">
        <f>IFERROR(VLOOKUP($D433,EntryList!$B$3:$S$291,18,FALSE),"")</f>
        <v/>
      </c>
      <c r="V433" s="359" t="str">
        <f>IFERROR(VLOOKUP($D433,EntryList!$B$3:$S$291,17,FALSE),"")</f>
        <v/>
      </c>
    </row>
    <row r="434" spans="2:22">
      <c r="B434" s="59">
        <v>429</v>
      </c>
      <c r="C434" s="331" t="str">
        <f>IFERROR(VLOOKUP($B434,OverallResults!$B$3:$Z$508,2,FALSE),"")</f>
        <v>DNF</v>
      </c>
      <c r="D434" s="146" t="str">
        <f>IFERROR(VLOOKUP($B434,OverallResults!$B$3:$Z$508,3,FALSE),"")</f>
        <v/>
      </c>
      <c r="E434" s="146" t="str">
        <f>IFERROR(VLOOKUP(C434,SeriesPoints!$A$2:$B$51,2,FALSE),"")</f>
        <v/>
      </c>
      <c r="F434" s="148" t="str">
        <f>IFERROR(VLOOKUP($D434,EntryList!$B$3:$V$291,21,FALSE),"")</f>
        <v/>
      </c>
      <c r="G434" s="100" t="str">
        <f>IFERROR(VLOOKUP($D434,EntryList!$B$3:$N$596,5,FALSE),"")</f>
        <v/>
      </c>
      <c r="H434" s="145" t="str">
        <f>IFERROR(VLOOKUP($D434,EntryList!$B$3:$N$596,6,FALSE),"")</f>
        <v/>
      </c>
      <c r="I434" s="331" t="str">
        <f>IFERROR(VLOOKUP($B434,OverallResults!$B$3:$Z$492,8,FALSE),"")</f>
        <v/>
      </c>
      <c r="J434" s="58" t="str">
        <f>IFERROR(VLOOKUP($B434,OverallResults!$B$3:$BB$492,9,FALSE),"")</f>
        <v/>
      </c>
      <c r="K434" s="58" t="str">
        <f>IFERROR(VLOOKUP($B434,OverallResults!$B$3:$BB$492,10,FALSE),"")</f>
        <v/>
      </c>
      <c r="L434" s="58" t="str">
        <f>IFERROR(VLOOKUP($B434,OverallResults!$B$3:$BB$492,11,FALSE),"")</f>
        <v/>
      </c>
      <c r="M434" s="58" t="str">
        <f>IFERROR(VLOOKUP($B434,OverallResults!$B$3:$BB$492,12,FALSE),"")</f>
        <v/>
      </c>
      <c r="N434" s="58" t="str">
        <f>IFERROR(VLOOKUP($B434,OverallResults!$B$3:$BB$492,13,FALSE),"")</f>
        <v/>
      </c>
      <c r="O434" s="58" t="str">
        <f>IFERROR(VLOOKUP($B434,OverallResults!$B$3:$BB$492,14,FALSE),"")</f>
        <v/>
      </c>
      <c r="P434" s="58" t="str">
        <f>IFERROR(VLOOKUP($B434,OverallResults!$B$3:$BB$492,15,FALSE),"")</f>
        <v/>
      </c>
      <c r="Q434" s="58" t="str">
        <f>IFERROR(VLOOKUP($B434,OverallResults!$B$3:$BB$492,16,FALSE),"")</f>
        <v/>
      </c>
      <c r="R434" s="58" t="str">
        <f>IFERROR(VLOOKUP($B434,OverallResults!$B$3:$BB$492,17,FALSE),"")</f>
        <v/>
      </c>
      <c r="S434" s="170" t="e">
        <f t="shared" si="16"/>
        <v>#VALUE!</v>
      </c>
      <c r="T434" s="170" t="e">
        <f t="shared" si="17"/>
        <v>#VALUE!</v>
      </c>
      <c r="U434" s="359" t="str">
        <f>IFERROR(VLOOKUP($D434,EntryList!$B$3:$S$291,18,FALSE),"")</f>
        <v/>
      </c>
      <c r="V434" s="359" t="str">
        <f>IFERROR(VLOOKUP($D434,EntryList!$B$3:$S$291,17,FALSE),"")</f>
        <v/>
      </c>
    </row>
    <row r="435" spans="2:22">
      <c r="B435" s="59">
        <v>430</v>
      </c>
      <c r="C435" s="331" t="str">
        <f>IFERROR(VLOOKUP($B435,OverallResults!$B$3:$Z$508,2,FALSE),"")</f>
        <v>DNF</v>
      </c>
      <c r="D435" s="146" t="str">
        <f>IFERROR(VLOOKUP($B435,OverallResults!$B$3:$Z$508,3,FALSE),"")</f>
        <v/>
      </c>
      <c r="E435" s="146" t="str">
        <f>IFERROR(VLOOKUP(C435,SeriesPoints!$A$2:$B$51,2,FALSE),"")</f>
        <v/>
      </c>
      <c r="F435" s="148" t="str">
        <f>IFERROR(VLOOKUP($D435,EntryList!$B$3:$V$291,21,FALSE),"")</f>
        <v/>
      </c>
      <c r="G435" s="100" t="str">
        <f>IFERROR(VLOOKUP($D435,EntryList!$B$3:$N$596,5,FALSE),"")</f>
        <v/>
      </c>
      <c r="H435" s="145" t="str">
        <f>IFERROR(VLOOKUP($D435,EntryList!$B$3:$N$596,6,FALSE),"")</f>
        <v/>
      </c>
      <c r="I435" s="331" t="str">
        <f>IFERROR(VLOOKUP($B435,OverallResults!$B$3:$Z$492,8,FALSE),"")</f>
        <v/>
      </c>
      <c r="J435" s="58" t="str">
        <f>IFERROR(VLOOKUP($B435,OverallResults!$B$3:$BB$492,9,FALSE),"")</f>
        <v/>
      </c>
      <c r="K435" s="58" t="str">
        <f>IFERROR(VLOOKUP($B435,OverallResults!$B$3:$BB$492,10,FALSE),"")</f>
        <v/>
      </c>
      <c r="L435" s="58" t="str">
        <f>IFERROR(VLOOKUP($B435,OverallResults!$B$3:$BB$492,11,FALSE),"")</f>
        <v/>
      </c>
      <c r="M435" s="58" t="str">
        <f>IFERROR(VLOOKUP($B435,OverallResults!$B$3:$BB$492,12,FALSE),"")</f>
        <v/>
      </c>
      <c r="N435" s="58" t="str">
        <f>IFERROR(VLOOKUP($B435,OverallResults!$B$3:$BB$492,13,FALSE),"")</f>
        <v/>
      </c>
      <c r="O435" s="58" t="str">
        <f>IFERROR(VLOOKUP($B435,OverallResults!$B$3:$BB$492,14,FALSE),"")</f>
        <v/>
      </c>
      <c r="P435" s="58" t="str">
        <f>IFERROR(VLOOKUP($B435,OverallResults!$B$3:$BB$492,15,FALSE),"")</f>
        <v/>
      </c>
      <c r="Q435" s="58" t="str">
        <f>IFERROR(VLOOKUP($B435,OverallResults!$B$3:$BB$492,16,FALSE),"")</f>
        <v/>
      </c>
      <c r="R435" s="58" t="str">
        <f>IFERROR(VLOOKUP($B435,OverallResults!$B$3:$BB$492,17,FALSE),"")</f>
        <v/>
      </c>
      <c r="S435" s="170" t="e">
        <f t="shared" si="16"/>
        <v>#VALUE!</v>
      </c>
      <c r="T435" s="170" t="e">
        <f t="shared" si="17"/>
        <v>#VALUE!</v>
      </c>
      <c r="U435" s="359" t="str">
        <f>IFERROR(VLOOKUP($D435,EntryList!$B$3:$S$291,18,FALSE),"")</f>
        <v/>
      </c>
      <c r="V435" s="359" t="str">
        <f>IFERROR(VLOOKUP($D435,EntryList!$B$3:$S$291,17,FALSE),"")</f>
        <v/>
      </c>
    </row>
    <row r="436" spans="2:22">
      <c r="B436" s="59">
        <v>431</v>
      </c>
      <c r="C436" s="331" t="str">
        <f>IFERROR(VLOOKUP($B436,OverallResults!$B$3:$Z$508,2,FALSE),"")</f>
        <v>DNF</v>
      </c>
      <c r="D436" s="146" t="str">
        <f>IFERROR(VLOOKUP($B436,OverallResults!$B$3:$Z$508,3,FALSE),"")</f>
        <v/>
      </c>
      <c r="E436" s="146" t="str">
        <f>IFERROR(VLOOKUP(C436,SeriesPoints!$A$2:$B$51,2,FALSE),"")</f>
        <v/>
      </c>
      <c r="F436" s="148" t="str">
        <f>IFERROR(VLOOKUP($D436,EntryList!$B$3:$V$291,21,FALSE),"")</f>
        <v/>
      </c>
      <c r="G436" s="100" t="str">
        <f>IFERROR(VLOOKUP($D436,EntryList!$B$3:$N$596,5,FALSE),"")</f>
        <v/>
      </c>
      <c r="H436" s="145" t="str">
        <f>IFERROR(VLOOKUP($D436,EntryList!$B$3:$N$596,6,FALSE),"")</f>
        <v/>
      </c>
      <c r="I436" s="331" t="str">
        <f>IFERROR(VLOOKUP($B436,OverallResults!$B$3:$Z$492,8,FALSE),"")</f>
        <v/>
      </c>
      <c r="J436" s="58" t="str">
        <f>IFERROR(VLOOKUP($B436,OverallResults!$B$3:$BB$492,9,FALSE),"")</f>
        <v/>
      </c>
      <c r="K436" s="58" t="str">
        <f>IFERROR(VLOOKUP($B436,OverallResults!$B$3:$BB$492,10,FALSE),"")</f>
        <v/>
      </c>
      <c r="L436" s="58" t="str">
        <f>IFERROR(VLOOKUP($B436,OverallResults!$B$3:$BB$492,11,FALSE),"")</f>
        <v/>
      </c>
      <c r="M436" s="58" t="str">
        <f>IFERROR(VLOOKUP($B436,OverallResults!$B$3:$BB$492,12,FALSE),"")</f>
        <v/>
      </c>
      <c r="N436" s="58" t="str">
        <f>IFERROR(VLOOKUP($B436,OverallResults!$B$3:$BB$492,13,FALSE),"")</f>
        <v/>
      </c>
      <c r="O436" s="58" t="str">
        <f>IFERROR(VLOOKUP($B436,OverallResults!$B$3:$BB$492,14,FALSE),"")</f>
        <v/>
      </c>
      <c r="P436" s="58" t="str">
        <f>IFERROR(VLOOKUP($B436,OverallResults!$B$3:$BB$492,15,FALSE),"")</f>
        <v/>
      </c>
      <c r="Q436" s="58" t="str">
        <f>IFERROR(VLOOKUP($B436,OverallResults!$B$3:$BB$492,16,FALSE),"")</f>
        <v/>
      </c>
      <c r="R436" s="58" t="str">
        <f>IFERROR(VLOOKUP($B436,OverallResults!$B$3:$BB$492,17,FALSE),"")</f>
        <v/>
      </c>
      <c r="S436" s="170" t="e">
        <f t="shared" si="16"/>
        <v>#VALUE!</v>
      </c>
      <c r="T436" s="170" t="e">
        <f t="shared" si="17"/>
        <v>#VALUE!</v>
      </c>
      <c r="U436" s="359" t="str">
        <f>IFERROR(VLOOKUP($D436,EntryList!$B$3:$S$291,18,FALSE),"")</f>
        <v/>
      </c>
      <c r="V436" s="359" t="str">
        <f>IFERROR(VLOOKUP($D436,EntryList!$B$3:$S$291,17,FALSE),"")</f>
        <v/>
      </c>
    </row>
    <row r="437" spans="2:22">
      <c r="B437" s="59">
        <v>432</v>
      </c>
      <c r="C437" s="331" t="str">
        <f>IFERROR(VLOOKUP($B437,OverallResults!$B$3:$Z$508,2,FALSE),"")</f>
        <v>DNF</v>
      </c>
      <c r="D437" s="146" t="str">
        <f>IFERROR(VLOOKUP($B437,OverallResults!$B$3:$Z$508,3,FALSE),"")</f>
        <v/>
      </c>
      <c r="E437" s="146" t="str">
        <f>IFERROR(VLOOKUP(C437,SeriesPoints!$A$2:$B$51,2,FALSE),"")</f>
        <v/>
      </c>
      <c r="F437" s="148" t="str">
        <f>IFERROR(VLOOKUP($D437,EntryList!$B$3:$V$291,21,FALSE),"")</f>
        <v/>
      </c>
      <c r="G437" s="100" t="str">
        <f>IFERROR(VLOOKUP($D437,EntryList!$B$3:$N$596,5,FALSE),"")</f>
        <v/>
      </c>
      <c r="H437" s="145" t="str">
        <f>IFERROR(VLOOKUP($D437,EntryList!$B$3:$N$596,6,FALSE),"")</f>
        <v/>
      </c>
      <c r="I437" s="331" t="str">
        <f>IFERROR(VLOOKUP($B437,OverallResults!$B$3:$Z$492,8,FALSE),"")</f>
        <v/>
      </c>
      <c r="J437" s="58" t="str">
        <f>IFERROR(VLOOKUP($B437,OverallResults!$B$3:$BB$492,9,FALSE),"")</f>
        <v/>
      </c>
      <c r="K437" s="58" t="str">
        <f>IFERROR(VLOOKUP($B437,OverallResults!$B$3:$BB$492,10,FALSE),"")</f>
        <v/>
      </c>
      <c r="L437" s="58" t="str">
        <f>IFERROR(VLOOKUP($B437,OverallResults!$B$3:$BB$492,11,FALSE),"")</f>
        <v/>
      </c>
      <c r="M437" s="58" t="str">
        <f>IFERROR(VLOOKUP($B437,OverallResults!$B$3:$BB$492,12,FALSE),"")</f>
        <v/>
      </c>
      <c r="N437" s="58" t="str">
        <f>IFERROR(VLOOKUP($B437,OverallResults!$B$3:$BB$492,13,FALSE),"")</f>
        <v/>
      </c>
      <c r="O437" s="58" t="str">
        <f>IFERROR(VLOOKUP($B437,OverallResults!$B$3:$BB$492,14,FALSE),"")</f>
        <v/>
      </c>
      <c r="P437" s="58" t="str">
        <f>IFERROR(VLOOKUP($B437,OverallResults!$B$3:$BB$492,15,FALSE),"")</f>
        <v/>
      </c>
      <c r="Q437" s="58" t="str">
        <f>IFERROR(VLOOKUP($B437,OverallResults!$B$3:$BB$492,16,FALSE),"")</f>
        <v/>
      </c>
      <c r="R437" s="58" t="str">
        <f>IFERROR(VLOOKUP($B437,OverallResults!$B$3:$BB$492,17,FALSE),"")</f>
        <v/>
      </c>
      <c r="S437" s="170" t="e">
        <f t="shared" si="16"/>
        <v>#VALUE!</v>
      </c>
      <c r="T437" s="170" t="e">
        <f t="shared" si="17"/>
        <v>#VALUE!</v>
      </c>
      <c r="U437" s="359" t="str">
        <f>IFERROR(VLOOKUP($D437,EntryList!$B$3:$S$291,18,FALSE),"")</f>
        <v/>
      </c>
      <c r="V437" s="359" t="str">
        <f>IFERROR(VLOOKUP($D437,EntryList!$B$3:$S$291,17,FALSE),"")</f>
        <v/>
      </c>
    </row>
    <row r="438" spans="2:22">
      <c r="B438" s="59">
        <v>433</v>
      </c>
      <c r="C438" s="331" t="str">
        <f>IFERROR(VLOOKUP($B438,OverallResults!$B$3:$Z$508,2,FALSE),"")</f>
        <v>DNF</v>
      </c>
      <c r="D438" s="146" t="str">
        <f>IFERROR(VLOOKUP($B438,OverallResults!$B$3:$Z$508,3,FALSE),"")</f>
        <v/>
      </c>
      <c r="E438" s="146" t="str">
        <f>IFERROR(VLOOKUP(C438,SeriesPoints!$A$2:$B$51,2,FALSE),"")</f>
        <v/>
      </c>
      <c r="F438" s="148" t="str">
        <f>IFERROR(VLOOKUP($D438,EntryList!$B$3:$V$291,21,FALSE),"")</f>
        <v/>
      </c>
      <c r="G438" s="100" t="str">
        <f>IFERROR(VLOOKUP($D438,EntryList!$B$3:$N$596,5,FALSE),"")</f>
        <v/>
      </c>
      <c r="H438" s="145" t="str">
        <f>IFERROR(VLOOKUP($D438,EntryList!$B$3:$N$596,6,FALSE),"")</f>
        <v/>
      </c>
      <c r="I438" s="331" t="str">
        <f>IFERROR(VLOOKUP($B438,OverallResults!$B$3:$Z$492,8,FALSE),"")</f>
        <v/>
      </c>
      <c r="J438" s="58" t="str">
        <f>IFERROR(VLOOKUP($B438,OverallResults!$B$3:$BB$492,9,FALSE),"")</f>
        <v/>
      </c>
      <c r="K438" s="58" t="str">
        <f>IFERROR(VLOOKUP($B438,OverallResults!$B$3:$BB$492,10,FALSE),"")</f>
        <v/>
      </c>
      <c r="L438" s="58" t="str">
        <f>IFERROR(VLOOKUP($B438,OverallResults!$B$3:$BB$492,11,FALSE),"")</f>
        <v/>
      </c>
      <c r="M438" s="58" t="str">
        <f>IFERROR(VLOOKUP($B438,OverallResults!$B$3:$BB$492,12,FALSE),"")</f>
        <v/>
      </c>
      <c r="N438" s="58" t="str">
        <f>IFERROR(VLOOKUP($B438,OverallResults!$B$3:$BB$492,13,FALSE),"")</f>
        <v/>
      </c>
      <c r="O438" s="58" t="str">
        <f>IFERROR(VLOOKUP($B438,OverallResults!$B$3:$BB$492,14,FALSE),"")</f>
        <v/>
      </c>
      <c r="P438" s="58" t="str">
        <f>IFERROR(VLOOKUP($B438,OverallResults!$B$3:$BB$492,15,FALSE),"")</f>
        <v/>
      </c>
      <c r="Q438" s="58" t="str">
        <f>IFERROR(VLOOKUP($B438,OverallResults!$B$3:$BB$492,16,FALSE),"")</f>
        <v/>
      </c>
      <c r="R438" s="58" t="str">
        <f>IFERROR(VLOOKUP($B438,OverallResults!$B$3:$BB$492,17,FALSE),"")</f>
        <v/>
      </c>
      <c r="S438" s="170" t="e">
        <f t="shared" si="16"/>
        <v>#VALUE!</v>
      </c>
      <c r="T438" s="170" t="e">
        <f t="shared" si="17"/>
        <v>#VALUE!</v>
      </c>
      <c r="U438" s="359" t="str">
        <f>IFERROR(VLOOKUP($D438,EntryList!$B$3:$S$291,18,FALSE),"")</f>
        <v/>
      </c>
      <c r="V438" s="359" t="str">
        <f>IFERROR(VLOOKUP($D438,EntryList!$B$3:$S$291,17,FALSE),"")</f>
        <v/>
      </c>
    </row>
    <row r="439" spans="2:22">
      <c r="B439" s="59">
        <v>434</v>
      </c>
      <c r="C439" s="331" t="str">
        <f>IFERROR(VLOOKUP($B439,OverallResults!$B$3:$Z$508,2,FALSE),"")</f>
        <v>DNF</v>
      </c>
      <c r="D439" s="146" t="str">
        <f>IFERROR(VLOOKUP($B439,OverallResults!$B$3:$Z$508,3,FALSE),"")</f>
        <v/>
      </c>
      <c r="E439" s="146" t="str">
        <f>IFERROR(VLOOKUP(C439,SeriesPoints!$A$2:$B$51,2,FALSE),"")</f>
        <v/>
      </c>
      <c r="F439" s="148" t="str">
        <f>IFERROR(VLOOKUP($D439,EntryList!$B$3:$V$291,21,FALSE),"")</f>
        <v/>
      </c>
      <c r="G439" s="100" t="str">
        <f>IFERROR(VLOOKUP($D439,EntryList!$B$3:$N$596,5,FALSE),"")</f>
        <v/>
      </c>
      <c r="H439" s="145" t="str">
        <f>IFERROR(VLOOKUP($D439,EntryList!$B$3:$N$596,6,FALSE),"")</f>
        <v/>
      </c>
      <c r="I439" s="331" t="str">
        <f>IFERROR(VLOOKUP($B439,OverallResults!$B$3:$Z$492,8,FALSE),"")</f>
        <v/>
      </c>
      <c r="J439" s="58" t="str">
        <f>IFERROR(VLOOKUP($B439,OverallResults!$B$3:$BB$492,9,FALSE),"")</f>
        <v/>
      </c>
      <c r="K439" s="58" t="str">
        <f>IFERROR(VLOOKUP($B439,OverallResults!$B$3:$BB$492,10,FALSE),"")</f>
        <v/>
      </c>
      <c r="L439" s="58" t="str">
        <f>IFERROR(VLOOKUP($B439,OverallResults!$B$3:$BB$492,11,FALSE),"")</f>
        <v/>
      </c>
      <c r="M439" s="58" t="str">
        <f>IFERROR(VLOOKUP($B439,OverallResults!$B$3:$BB$492,12,FALSE),"")</f>
        <v/>
      </c>
      <c r="N439" s="58" t="str">
        <f>IFERROR(VLOOKUP($B439,OverallResults!$B$3:$BB$492,13,FALSE),"")</f>
        <v/>
      </c>
      <c r="O439" s="58" t="str">
        <f>IFERROR(VLOOKUP($B439,OverallResults!$B$3:$BB$492,14,FALSE),"")</f>
        <v/>
      </c>
      <c r="P439" s="58" t="str">
        <f>IFERROR(VLOOKUP($B439,OverallResults!$B$3:$BB$492,15,FALSE),"")</f>
        <v/>
      </c>
      <c r="Q439" s="58" t="str">
        <f>IFERROR(VLOOKUP($B439,OverallResults!$B$3:$BB$492,16,FALSE),"")</f>
        <v/>
      </c>
      <c r="R439" s="58" t="str">
        <f>IFERROR(VLOOKUP($B439,OverallResults!$B$3:$BB$492,17,FALSE),"")</f>
        <v/>
      </c>
      <c r="S439" s="170" t="e">
        <f t="shared" si="16"/>
        <v>#VALUE!</v>
      </c>
      <c r="T439" s="170" t="e">
        <f t="shared" si="17"/>
        <v>#VALUE!</v>
      </c>
      <c r="U439" s="359" t="str">
        <f>IFERROR(VLOOKUP($D439,EntryList!$B$3:$S$291,18,FALSE),"")</f>
        <v/>
      </c>
      <c r="V439" s="359" t="str">
        <f>IFERROR(VLOOKUP($D439,EntryList!$B$3:$S$291,17,FALSE),"")</f>
        <v/>
      </c>
    </row>
    <row r="440" spans="2:22">
      <c r="B440" s="59">
        <v>435</v>
      </c>
      <c r="C440" s="331" t="str">
        <f>IFERROR(VLOOKUP($B440,OverallResults!$B$3:$Z$508,2,FALSE),"")</f>
        <v>DNF</v>
      </c>
      <c r="D440" s="146" t="str">
        <f>IFERROR(VLOOKUP($B440,OverallResults!$B$3:$Z$508,3,FALSE),"")</f>
        <v/>
      </c>
      <c r="E440" s="146" t="str">
        <f>IFERROR(VLOOKUP(C440,SeriesPoints!$A$2:$B$51,2,FALSE),"")</f>
        <v/>
      </c>
      <c r="F440" s="148" t="str">
        <f>IFERROR(VLOOKUP($D440,EntryList!$B$3:$V$291,21,FALSE),"")</f>
        <v/>
      </c>
      <c r="G440" s="100" t="str">
        <f>IFERROR(VLOOKUP($D440,EntryList!$B$3:$N$596,5,FALSE),"")</f>
        <v/>
      </c>
      <c r="H440" s="145" t="str">
        <f>IFERROR(VLOOKUP($D440,EntryList!$B$3:$N$596,6,FALSE),"")</f>
        <v/>
      </c>
      <c r="I440" s="331" t="str">
        <f>IFERROR(VLOOKUP($B440,OverallResults!$B$3:$Z$492,8,FALSE),"")</f>
        <v/>
      </c>
      <c r="J440" s="58" t="str">
        <f>IFERROR(VLOOKUP($B440,OverallResults!$B$3:$BB$492,9,FALSE),"")</f>
        <v/>
      </c>
      <c r="K440" s="58" t="str">
        <f>IFERROR(VLOOKUP($B440,OverallResults!$B$3:$BB$492,10,FALSE),"")</f>
        <v/>
      </c>
      <c r="L440" s="58" t="str">
        <f>IFERROR(VLOOKUP($B440,OverallResults!$B$3:$BB$492,11,FALSE),"")</f>
        <v/>
      </c>
      <c r="M440" s="58" t="str">
        <f>IFERROR(VLOOKUP($B440,OverallResults!$B$3:$BB$492,12,FALSE),"")</f>
        <v/>
      </c>
      <c r="N440" s="58" t="str">
        <f>IFERROR(VLOOKUP($B440,OverallResults!$B$3:$BB$492,13,FALSE),"")</f>
        <v/>
      </c>
      <c r="O440" s="58" t="str">
        <f>IFERROR(VLOOKUP($B440,OverallResults!$B$3:$BB$492,14,FALSE),"")</f>
        <v/>
      </c>
      <c r="P440" s="58" t="str">
        <f>IFERROR(VLOOKUP($B440,OverallResults!$B$3:$BB$492,15,FALSE),"")</f>
        <v/>
      </c>
      <c r="Q440" s="58" t="str">
        <f>IFERROR(VLOOKUP($B440,OverallResults!$B$3:$BB$492,16,FALSE),"")</f>
        <v/>
      </c>
      <c r="R440" s="58" t="str">
        <f>IFERROR(VLOOKUP($B440,OverallResults!$B$3:$BB$492,17,FALSE),"")</f>
        <v/>
      </c>
      <c r="S440" s="170" t="e">
        <f t="shared" si="16"/>
        <v>#VALUE!</v>
      </c>
      <c r="T440" s="170" t="e">
        <f t="shared" si="17"/>
        <v>#VALUE!</v>
      </c>
      <c r="U440" s="359" t="str">
        <f>IFERROR(VLOOKUP($D440,EntryList!$B$3:$S$291,18,FALSE),"")</f>
        <v/>
      </c>
      <c r="V440" s="359" t="str">
        <f>IFERROR(VLOOKUP($D440,EntryList!$B$3:$S$291,17,FALSE),"")</f>
        <v/>
      </c>
    </row>
    <row r="441" spans="2:22">
      <c r="B441" s="59">
        <v>436</v>
      </c>
      <c r="C441" s="331" t="str">
        <f>IFERROR(VLOOKUP($B441,OverallResults!$B$3:$Z$508,2,FALSE),"")</f>
        <v>DNF</v>
      </c>
      <c r="D441" s="146" t="str">
        <f>IFERROR(VLOOKUP($B441,OverallResults!$B$3:$Z$508,3,FALSE),"")</f>
        <v/>
      </c>
      <c r="E441" s="146" t="str">
        <f>IFERROR(VLOOKUP(C441,SeriesPoints!$A$2:$B$51,2,FALSE),"")</f>
        <v/>
      </c>
      <c r="F441" s="148" t="str">
        <f>IFERROR(VLOOKUP($D441,EntryList!$B$3:$V$291,21,FALSE),"")</f>
        <v/>
      </c>
      <c r="G441" s="100" t="str">
        <f>IFERROR(VLOOKUP($D441,EntryList!$B$3:$N$596,5,FALSE),"")</f>
        <v/>
      </c>
      <c r="H441" s="145" t="str">
        <f>IFERROR(VLOOKUP($D441,EntryList!$B$3:$N$596,6,FALSE),"")</f>
        <v/>
      </c>
      <c r="I441" s="331" t="str">
        <f>IFERROR(VLOOKUP($B441,OverallResults!$B$3:$Z$492,8,FALSE),"")</f>
        <v/>
      </c>
      <c r="J441" s="58" t="str">
        <f>IFERROR(VLOOKUP($B441,OverallResults!$B$3:$BB$492,9,FALSE),"")</f>
        <v/>
      </c>
      <c r="K441" s="58" t="str">
        <f>IFERROR(VLOOKUP($B441,OverallResults!$B$3:$BB$492,10,FALSE),"")</f>
        <v/>
      </c>
      <c r="L441" s="58" t="str">
        <f>IFERROR(VLOOKUP($B441,OverallResults!$B$3:$BB$492,11,FALSE),"")</f>
        <v/>
      </c>
      <c r="M441" s="58" t="str">
        <f>IFERROR(VLOOKUP($B441,OverallResults!$B$3:$BB$492,12,FALSE),"")</f>
        <v/>
      </c>
      <c r="N441" s="58" t="str">
        <f>IFERROR(VLOOKUP($B441,OverallResults!$B$3:$BB$492,13,FALSE),"")</f>
        <v/>
      </c>
      <c r="O441" s="58" t="str">
        <f>IFERROR(VLOOKUP($B441,OverallResults!$B$3:$BB$492,14,FALSE),"")</f>
        <v/>
      </c>
      <c r="P441" s="58" t="str">
        <f>IFERROR(VLOOKUP($B441,OverallResults!$B$3:$BB$492,15,FALSE),"")</f>
        <v/>
      </c>
      <c r="Q441" s="58" t="str">
        <f>IFERROR(VLOOKUP($B441,OverallResults!$B$3:$BB$492,16,FALSE),"")</f>
        <v/>
      </c>
      <c r="R441" s="58" t="str">
        <f>IFERROR(VLOOKUP($B441,OverallResults!$B$3:$BB$492,17,FALSE),"")</f>
        <v/>
      </c>
      <c r="S441" s="170" t="e">
        <f t="shared" si="16"/>
        <v>#VALUE!</v>
      </c>
      <c r="T441" s="170" t="e">
        <f t="shared" si="17"/>
        <v>#VALUE!</v>
      </c>
      <c r="U441" s="359" t="str">
        <f>IFERROR(VLOOKUP($D441,EntryList!$B$3:$S$291,18,FALSE),"")</f>
        <v/>
      </c>
      <c r="V441" s="359" t="str">
        <f>IFERROR(VLOOKUP($D441,EntryList!$B$3:$S$291,17,FALSE),"")</f>
        <v/>
      </c>
    </row>
    <row r="442" spans="2:22">
      <c r="B442" s="59">
        <v>437</v>
      </c>
      <c r="C442" s="331" t="str">
        <f>IFERROR(VLOOKUP($B442,OverallResults!$B$3:$Z$508,2,FALSE),"")</f>
        <v>DNF</v>
      </c>
      <c r="D442" s="146" t="str">
        <f>IFERROR(VLOOKUP($B442,OverallResults!$B$3:$Z$508,3,FALSE),"")</f>
        <v/>
      </c>
      <c r="E442" s="146" t="str">
        <f>IFERROR(VLOOKUP(C442,SeriesPoints!$A$2:$B$51,2,FALSE),"")</f>
        <v/>
      </c>
      <c r="F442" s="148" t="str">
        <f>IFERROR(VLOOKUP($D442,EntryList!$B$3:$V$291,21,FALSE),"")</f>
        <v/>
      </c>
      <c r="G442" s="100" t="str">
        <f>IFERROR(VLOOKUP($D442,EntryList!$B$3:$N$596,5,FALSE),"")</f>
        <v/>
      </c>
      <c r="H442" s="145" t="str">
        <f>IFERROR(VLOOKUP($D442,EntryList!$B$3:$N$596,6,FALSE),"")</f>
        <v/>
      </c>
      <c r="I442" s="331" t="str">
        <f>IFERROR(VLOOKUP($B442,OverallResults!$B$3:$Z$492,8,FALSE),"")</f>
        <v/>
      </c>
      <c r="J442" s="58" t="str">
        <f>IFERROR(VLOOKUP($B442,OverallResults!$B$3:$BB$492,9,FALSE),"")</f>
        <v/>
      </c>
      <c r="K442" s="58" t="str">
        <f>IFERROR(VLOOKUP($B442,OverallResults!$B$3:$BB$492,10,FALSE),"")</f>
        <v/>
      </c>
      <c r="L442" s="58" t="str">
        <f>IFERROR(VLOOKUP($B442,OverallResults!$B$3:$BB$492,11,FALSE),"")</f>
        <v/>
      </c>
      <c r="M442" s="58" t="str">
        <f>IFERROR(VLOOKUP($B442,OverallResults!$B$3:$BB$492,12,FALSE),"")</f>
        <v/>
      </c>
      <c r="N442" s="58" t="str">
        <f>IFERROR(VLOOKUP($B442,OverallResults!$B$3:$BB$492,13,FALSE),"")</f>
        <v/>
      </c>
      <c r="O442" s="58" t="str">
        <f>IFERROR(VLOOKUP($B442,OverallResults!$B$3:$BB$492,14,FALSE),"")</f>
        <v/>
      </c>
      <c r="P442" s="58" t="str">
        <f>IFERROR(VLOOKUP($B442,OverallResults!$B$3:$BB$492,15,FALSE),"")</f>
        <v/>
      </c>
      <c r="Q442" s="58" t="str">
        <f>IFERROR(VLOOKUP($B442,OverallResults!$B$3:$BB$492,16,FALSE),"")</f>
        <v/>
      </c>
      <c r="R442" s="58" t="str">
        <f>IFERROR(VLOOKUP($B442,OverallResults!$B$3:$BB$492,17,FALSE),"")</f>
        <v/>
      </c>
      <c r="S442" s="170" t="e">
        <f t="shared" si="16"/>
        <v>#VALUE!</v>
      </c>
      <c r="T442" s="170" t="e">
        <f t="shared" si="17"/>
        <v>#VALUE!</v>
      </c>
      <c r="U442" s="359" t="str">
        <f>IFERROR(VLOOKUP($D442,EntryList!$B$3:$S$291,18,FALSE),"")</f>
        <v/>
      </c>
      <c r="V442" s="359" t="str">
        <f>IFERROR(VLOOKUP($D442,EntryList!$B$3:$S$291,17,FALSE),"")</f>
        <v/>
      </c>
    </row>
    <row r="443" spans="2:22">
      <c r="B443" s="59">
        <v>438</v>
      </c>
      <c r="C443" s="331" t="str">
        <f>IFERROR(VLOOKUP($B443,OverallResults!$B$3:$Z$508,2,FALSE),"")</f>
        <v>DNF</v>
      </c>
      <c r="D443" s="146" t="str">
        <f>IFERROR(VLOOKUP($B443,OverallResults!$B$3:$Z$508,3,FALSE),"")</f>
        <v/>
      </c>
      <c r="E443" s="146" t="str">
        <f>IFERROR(VLOOKUP(C443,SeriesPoints!$A$2:$B$51,2,FALSE),"")</f>
        <v/>
      </c>
      <c r="F443" s="148" t="str">
        <f>IFERROR(VLOOKUP($D443,EntryList!$B$3:$V$291,21,FALSE),"")</f>
        <v/>
      </c>
      <c r="G443" s="100" t="str">
        <f>IFERROR(VLOOKUP($D443,EntryList!$B$3:$N$596,5,FALSE),"")</f>
        <v/>
      </c>
      <c r="H443" s="145" t="str">
        <f>IFERROR(VLOOKUP($D443,EntryList!$B$3:$N$596,6,FALSE),"")</f>
        <v/>
      </c>
      <c r="I443" s="331" t="str">
        <f>IFERROR(VLOOKUP($B443,OverallResults!$B$3:$Z$492,8,FALSE),"")</f>
        <v/>
      </c>
      <c r="J443" s="58" t="str">
        <f>IFERROR(VLOOKUP($B443,OverallResults!$B$3:$BB$492,9,FALSE),"")</f>
        <v/>
      </c>
      <c r="K443" s="58" t="str">
        <f>IFERROR(VLOOKUP($B443,OverallResults!$B$3:$BB$492,10,FALSE),"")</f>
        <v/>
      </c>
      <c r="L443" s="58" t="str">
        <f>IFERROR(VLOOKUP($B443,OverallResults!$B$3:$BB$492,11,FALSE),"")</f>
        <v/>
      </c>
      <c r="M443" s="58" t="str">
        <f>IFERROR(VLOOKUP($B443,OverallResults!$B$3:$BB$492,12,FALSE),"")</f>
        <v/>
      </c>
      <c r="N443" s="58" t="str">
        <f>IFERROR(VLOOKUP($B443,OverallResults!$B$3:$BB$492,13,FALSE),"")</f>
        <v/>
      </c>
      <c r="O443" s="58" t="str">
        <f>IFERROR(VLOOKUP($B443,OverallResults!$B$3:$BB$492,14,FALSE),"")</f>
        <v/>
      </c>
      <c r="P443" s="58" t="str">
        <f>IFERROR(VLOOKUP($B443,OverallResults!$B$3:$BB$492,15,FALSE),"")</f>
        <v/>
      </c>
      <c r="Q443" s="58" t="str">
        <f>IFERROR(VLOOKUP($B443,OverallResults!$B$3:$BB$492,16,FALSE),"")</f>
        <v/>
      </c>
      <c r="R443" s="58" t="str">
        <f>IFERROR(VLOOKUP($B443,OverallResults!$B$3:$BB$492,17,FALSE),"")</f>
        <v/>
      </c>
      <c r="S443" s="170" t="e">
        <f t="shared" si="16"/>
        <v>#VALUE!</v>
      </c>
      <c r="T443" s="170" t="e">
        <f t="shared" si="17"/>
        <v>#VALUE!</v>
      </c>
      <c r="U443" s="359" t="str">
        <f>IFERROR(VLOOKUP($D443,EntryList!$B$3:$S$291,18,FALSE),"")</f>
        <v/>
      </c>
      <c r="V443" s="359" t="str">
        <f>IFERROR(VLOOKUP($D443,EntryList!$B$3:$S$291,17,FALSE),"")</f>
        <v/>
      </c>
    </row>
    <row r="444" spans="2:22">
      <c r="B444" s="59">
        <v>439</v>
      </c>
      <c r="C444" s="331" t="str">
        <f>IFERROR(VLOOKUP($B444,OverallResults!$B$3:$Z$508,2,FALSE),"")</f>
        <v>DNF</v>
      </c>
      <c r="D444" s="146" t="str">
        <f>IFERROR(VLOOKUP($B444,OverallResults!$B$3:$Z$508,3,FALSE),"")</f>
        <v/>
      </c>
      <c r="E444" s="146" t="str">
        <f>IFERROR(VLOOKUP(C444,SeriesPoints!$A$2:$B$51,2,FALSE),"")</f>
        <v/>
      </c>
      <c r="F444" s="148" t="str">
        <f>IFERROR(VLOOKUP($D444,EntryList!$B$3:$V$291,21,FALSE),"")</f>
        <v/>
      </c>
      <c r="G444" s="100" t="str">
        <f>IFERROR(VLOOKUP($D444,EntryList!$B$3:$N$596,5,FALSE),"")</f>
        <v/>
      </c>
      <c r="H444" s="145" t="str">
        <f>IFERROR(VLOOKUP($D444,EntryList!$B$3:$N$596,6,FALSE),"")</f>
        <v/>
      </c>
      <c r="I444" s="331" t="str">
        <f>IFERROR(VLOOKUP($B444,OverallResults!$B$3:$Z$492,8,FALSE),"")</f>
        <v/>
      </c>
      <c r="J444" s="58" t="str">
        <f>IFERROR(VLOOKUP($B444,OverallResults!$B$3:$BB$492,9,FALSE),"")</f>
        <v/>
      </c>
      <c r="K444" s="58" t="str">
        <f>IFERROR(VLOOKUP($B444,OverallResults!$B$3:$BB$492,10,FALSE),"")</f>
        <v/>
      </c>
      <c r="L444" s="58" t="str">
        <f>IFERROR(VLOOKUP($B444,OverallResults!$B$3:$BB$492,11,FALSE),"")</f>
        <v/>
      </c>
      <c r="M444" s="58" t="str">
        <f>IFERROR(VLOOKUP($B444,OverallResults!$B$3:$BB$492,12,FALSE),"")</f>
        <v/>
      </c>
      <c r="N444" s="58" t="str">
        <f>IFERROR(VLOOKUP($B444,OverallResults!$B$3:$BB$492,13,FALSE),"")</f>
        <v/>
      </c>
      <c r="O444" s="58" t="str">
        <f>IFERROR(VLOOKUP($B444,OverallResults!$B$3:$BB$492,14,FALSE),"")</f>
        <v/>
      </c>
      <c r="P444" s="58" t="str">
        <f>IFERROR(VLOOKUP($B444,OverallResults!$B$3:$BB$492,15,FALSE),"")</f>
        <v/>
      </c>
      <c r="Q444" s="58" t="str">
        <f>IFERROR(VLOOKUP($B444,OverallResults!$B$3:$BB$492,16,FALSE),"")</f>
        <v/>
      </c>
      <c r="R444" s="58" t="str">
        <f>IFERROR(VLOOKUP($B444,OverallResults!$B$3:$BB$492,17,FALSE),"")</f>
        <v/>
      </c>
      <c r="S444" s="170" t="e">
        <f t="shared" si="16"/>
        <v>#VALUE!</v>
      </c>
      <c r="T444" s="170" t="e">
        <f t="shared" si="17"/>
        <v>#VALUE!</v>
      </c>
      <c r="U444" s="359" t="str">
        <f>IFERROR(VLOOKUP($D444,EntryList!$B$3:$S$291,18,FALSE),"")</f>
        <v/>
      </c>
      <c r="V444" s="359" t="str">
        <f>IFERROR(VLOOKUP($D444,EntryList!$B$3:$S$291,17,FALSE),"")</f>
        <v/>
      </c>
    </row>
    <row r="445" spans="2:22">
      <c r="B445" s="59">
        <v>440</v>
      </c>
      <c r="C445" s="331" t="str">
        <f>IFERROR(VLOOKUP($B445,OverallResults!$B$3:$Z$508,2,FALSE),"")</f>
        <v>DNF</v>
      </c>
      <c r="D445" s="146" t="str">
        <f>IFERROR(VLOOKUP($B445,OverallResults!$B$3:$Z$508,3,FALSE),"")</f>
        <v/>
      </c>
      <c r="E445" s="146" t="str">
        <f>IFERROR(VLOOKUP(C445,SeriesPoints!$A$2:$B$51,2,FALSE),"")</f>
        <v/>
      </c>
      <c r="F445" s="148" t="str">
        <f>IFERROR(VLOOKUP($D445,EntryList!$B$3:$V$291,21,FALSE),"")</f>
        <v/>
      </c>
      <c r="G445" s="100" t="str">
        <f>IFERROR(VLOOKUP($D445,EntryList!$B$3:$N$596,5,FALSE),"")</f>
        <v/>
      </c>
      <c r="H445" s="145" t="str">
        <f>IFERROR(VLOOKUP($D445,EntryList!$B$3:$N$596,6,FALSE),"")</f>
        <v/>
      </c>
      <c r="I445" s="331" t="str">
        <f>IFERROR(VLOOKUP($B445,OverallResults!$B$3:$Z$492,8,FALSE),"")</f>
        <v/>
      </c>
      <c r="J445" s="58" t="str">
        <f>IFERROR(VLOOKUP($B445,OverallResults!$B$3:$BB$492,9,FALSE),"")</f>
        <v/>
      </c>
      <c r="K445" s="58" t="str">
        <f>IFERROR(VLOOKUP($B445,OverallResults!$B$3:$BB$492,10,FALSE),"")</f>
        <v/>
      </c>
      <c r="L445" s="58" t="str">
        <f>IFERROR(VLOOKUP($B445,OverallResults!$B$3:$BB$492,11,FALSE),"")</f>
        <v/>
      </c>
      <c r="M445" s="58" t="str">
        <f>IFERROR(VLOOKUP($B445,OverallResults!$B$3:$BB$492,12,FALSE),"")</f>
        <v/>
      </c>
      <c r="N445" s="58" t="str">
        <f>IFERROR(VLOOKUP($B445,OverallResults!$B$3:$BB$492,13,FALSE),"")</f>
        <v/>
      </c>
      <c r="O445" s="58" t="str">
        <f>IFERROR(VLOOKUP($B445,OverallResults!$B$3:$BB$492,14,FALSE),"")</f>
        <v/>
      </c>
      <c r="P445" s="58" t="str">
        <f>IFERROR(VLOOKUP($B445,OverallResults!$B$3:$BB$492,15,FALSE),"")</f>
        <v/>
      </c>
      <c r="Q445" s="58" t="str">
        <f>IFERROR(VLOOKUP($B445,OverallResults!$B$3:$BB$492,16,FALSE),"")</f>
        <v/>
      </c>
      <c r="R445" s="58" t="str">
        <f>IFERROR(VLOOKUP($B445,OverallResults!$B$3:$BB$492,17,FALSE),"")</f>
        <v/>
      </c>
      <c r="S445" s="170" t="e">
        <f t="shared" si="16"/>
        <v>#VALUE!</v>
      </c>
      <c r="T445" s="170" t="e">
        <f t="shared" si="17"/>
        <v>#VALUE!</v>
      </c>
      <c r="U445" s="359" t="str">
        <f>IFERROR(VLOOKUP($D445,EntryList!$B$3:$S$291,18,FALSE),"")</f>
        <v/>
      </c>
      <c r="V445" s="359" t="str">
        <f>IFERROR(VLOOKUP($D445,EntryList!$B$3:$S$291,17,FALSE),"")</f>
        <v/>
      </c>
    </row>
    <row r="446" spans="2:22">
      <c r="B446" s="59">
        <v>441</v>
      </c>
      <c r="C446" s="331" t="str">
        <f>IFERROR(VLOOKUP($B446,OverallResults!$B$3:$Z$508,2,FALSE),"")</f>
        <v>DNF</v>
      </c>
      <c r="D446" s="146" t="str">
        <f>IFERROR(VLOOKUP($B446,OverallResults!$B$3:$Z$508,3,FALSE),"")</f>
        <v/>
      </c>
      <c r="E446" s="146" t="str">
        <f>IFERROR(VLOOKUP(C446,SeriesPoints!$A$2:$B$51,2,FALSE),"")</f>
        <v/>
      </c>
      <c r="F446" s="148" t="str">
        <f>IFERROR(VLOOKUP($D446,EntryList!$B$3:$V$291,21,FALSE),"")</f>
        <v/>
      </c>
      <c r="G446" s="100" t="str">
        <f>IFERROR(VLOOKUP($D446,EntryList!$B$3:$N$596,5,FALSE),"")</f>
        <v/>
      </c>
      <c r="H446" s="145" t="str">
        <f>IFERROR(VLOOKUP($D446,EntryList!$B$3:$N$596,6,FALSE),"")</f>
        <v/>
      </c>
      <c r="I446" s="331" t="str">
        <f>IFERROR(VLOOKUP($B446,OverallResults!$B$3:$Z$492,8,FALSE),"")</f>
        <v/>
      </c>
      <c r="J446" s="58" t="str">
        <f>IFERROR(VLOOKUP($B446,OverallResults!$B$3:$BB$492,9,FALSE),"")</f>
        <v/>
      </c>
      <c r="K446" s="58" t="str">
        <f>IFERROR(VLOOKUP($B446,OverallResults!$B$3:$BB$492,10,FALSE),"")</f>
        <v/>
      </c>
      <c r="L446" s="58" t="str">
        <f>IFERROR(VLOOKUP($B446,OverallResults!$B$3:$BB$492,11,FALSE),"")</f>
        <v/>
      </c>
      <c r="M446" s="58" t="str">
        <f>IFERROR(VLOOKUP($B446,OverallResults!$B$3:$BB$492,12,FALSE),"")</f>
        <v/>
      </c>
      <c r="N446" s="58" t="str">
        <f>IFERROR(VLOOKUP($B446,OverallResults!$B$3:$BB$492,13,FALSE),"")</f>
        <v/>
      </c>
      <c r="O446" s="58" t="str">
        <f>IFERROR(VLOOKUP($B446,OverallResults!$B$3:$BB$492,14,FALSE),"")</f>
        <v/>
      </c>
      <c r="P446" s="58" t="str">
        <f>IFERROR(VLOOKUP($B446,OverallResults!$B$3:$BB$492,15,FALSE),"")</f>
        <v/>
      </c>
      <c r="Q446" s="58" t="str">
        <f>IFERROR(VLOOKUP($B446,OverallResults!$B$3:$BB$492,16,FALSE),"")</f>
        <v/>
      </c>
      <c r="R446" s="58" t="str">
        <f>IFERROR(VLOOKUP($B446,OverallResults!$B$3:$BB$492,17,FALSE),"")</f>
        <v/>
      </c>
      <c r="S446" s="170" t="e">
        <f t="shared" si="16"/>
        <v>#VALUE!</v>
      </c>
      <c r="T446" s="170" t="e">
        <f t="shared" si="17"/>
        <v>#VALUE!</v>
      </c>
      <c r="U446" s="359" t="str">
        <f>IFERROR(VLOOKUP($D446,EntryList!$B$3:$S$291,18,FALSE),"")</f>
        <v/>
      </c>
      <c r="V446" s="359" t="str">
        <f>IFERROR(VLOOKUP($D446,EntryList!$B$3:$S$291,17,FALSE),"")</f>
        <v/>
      </c>
    </row>
    <row r="447" spans="2:22">
      <c r="B447" s="59">
        <v>442</v>
      </c>
      <c r="C447" s="331" t="str">
        <f>IFERROR(VLOOKUP($B447,OverallResults!$B$3:$Z$508,2,FALSE),"")</f>
        <v>DNF</v>
      </c>
      <c r="D447" s="146" t="str">
        <f>IFERROR(VLOOKUP($B447,OverallResults!$B$3:$Z$508,3,FALSE),"")</f>
        <v/>
      </c>
      <c r="E447" s="146" t="str">
        <f>IFERROR(VLOOKUP(C447,SeriesPoints!$A$2:$B$51,2,FALSE),"")</f>
        <v/>
      </c>
      <c r="F447" s="148" t="str">
        <f>IFERROR(VLOOKUP($D447,EntryList!$B$3:$V$291,21,FALSE),"")</f>
        <v/>
      </c>
      <c r="G447" s="100" t="str">
        <f>IFERROR(VLOOKUP($D447,EntryList!$B$3:$N$596,5,FALSE),"")</f>
        <v/>
      </c>
      <c r="H447" s="145" t="str">
        <f>IFERROR(VLOOKUP($D447,EntryList!$B$3:$N$596,6,FALSE),"")</f>
        <v/>
      </c>
      <c r="I447" s="331" t="str">
        <f>IFERROR(VLOOKUP($B447,OverallResults!$B$3:$Z$492,8,FALSE),"")</f>
        <v/>
      </c>
      <c r="J447" s="58" t="str">
        <f>IFERROR(VLOOKUP($B447,OverallResults!$B$3:$BB$492,9,FALSE),"")</f>
        <v/>
      </c>
      <c r="K447" s="58" t="str">
        <f>IFERROR(VLOOKUP($B447,OverallResults!$B$3:$BB$492,10,FALSE),"")</f>
        <v/>
      </c>
      <c r="L447" s="58" t="str">
        <f>IFERROR(VLOOKUP($B447,OverallResults!$B$3:$BB$492,11,FALSE),"")</f>
        <v/>
      </c>
      <c r="M447" s="58" t="str">
        <f>IFERROR(VLOOKUP($B447,OverallResults!$B$3:$BB$492,12,FALSE),"")</f>
        <v/>
      </c>
      <c r="N447" s="58" t="str">
        <f>IFERROR(VLOOKUP($B447,OverallResults!$B$3:$BB$492,13,FALSE),"")</f>
        <v/>
      </c>
      <c r="O447" s="58" t="str">
        <f>IFERROR(VLOOKUP($B447,OverallResults!$B$3:$BB$492,14,FALSE),"")</f>
        <v/>
      </c>
      <c r="P447" s="58" t="str">
        <f>IFERROR(VLOOKUP($B447,OverallResults!$B$3:$BB$492,15,FALSE),"")</f>
        <v/>
      </c>
      <c r="Q447" s="58" t="str">
        <f>IFERROR(VLOOKUP($B447,OverallResults!$B$3:$BB$492,16,FALSE),"")</f>
        <v/>
      </c>
      <c r="R447" s="58" t="str">
        <f>IFERROR(VLOOKUP($B447,OverallResults!$B$3:$BB$492,17,FALSE),"")</f>
        <v/>
      </c>
      <c r="S447" s="170" t="e">
        <f t="shared" si="16"/>
        <v>#VALUE!</v>
      </c>
      <c r="T447" s="170" t="e">
        <f t="shared" si="17"/>
        <v>#VALUE!</v>
      </c>
      <c r="U447" s="359" t="str">
        <f>IFERROR(VLOOKUP($D447,EntryList!$B$3:$S$291,18,FALSE),"")</f>
        <v/>
      </c>
      <c r="V447" s="359" t="str">
        <f>IFERROR(VLOOKUP($D447,EntryList!$B$3:$S$291,17,FALSE),"")</f>
        <v/>
      </c>
    </row>
    <row r="448" spans="2:22">
      <c r="B448" s="59">
        <v>443</v>
      </c>
      <c r="C448" s="331" t="str">
        <f>IFERROR(VLOOKUP($B448,OverallResults!$B$3:$Z$508,2,FALSE),"")</f>
        <v>DNF</v>
      </c>
      <c r="D448" s="146" t="str">
        <f>IFERROR(VLOOKUP($B448,OverallResults!$B$3:$Z$508,3,FALSE),"")</f>
        <v/>
      </c>
      <c r="E448" s="146" t="str">
        <f>IFERROR(VLOOKUP(C448,SeriesPoints!$A$2:$B$51,2,FALSE),"")</f>
        <v/>
      </c>
      <c r="F448" s="148" t="str">
        <f>IFERROR(VLOOKUP($D448,EntryList!$B$3:$V$291,21,FALSE),"")</f>
        <v/>
      </c>
      <c r="G448" s="100" t="str">
        <f>IFERROR(VLOOKUP($D448,EntryList!$B$3:$N$596,5,FALSE),"")</f>
        <v/>
      </c>
      <c r="H448" s="145" t="str">
        <f>IFERROR(VLOOKUP($D448,EntryList!$B$3:$N$596,6,FALSE),"")</f>
        <v/>
      </c>
      <c r="I448" s="331" t="str">
        <f>IFERROR(VLOOKUP($B448,OverallResults!$B$3:$Z$492,8,FALSE),"")</f>
        <v/>
      </c>
      <c r="J448" s="58" t="str">
        <f>IFERROR(VLOOKUP($B448,OverallResults!$B$3:$BB$492,9,FALSE),"")</f>
        <v/>
      </c>
      <c r="K448" s="58" t="str">
        <f>IFERROR(VLOOKUP($B448,OverallResults!$B$3:$BB$492,10,FALSE),"")</f>
        <v/>
      </c>
      <c r="L448" s="58" t="str">
        <f>IFERROR(VLOOKUP($B448,OverallResults!$B$3:$BB$492,11,FALSE),"")</f>
        <v/>
      </c>
      <c r="M448" s="58" t="str">
        <f>IFERROR(VLOOKUP($B448,OverallResults!$B$3:$BB$492,12,FALSE),"")</f>
        <v/>
      </c>
      <c r="N448" s="58" t="str">
        <f>IFERROR(VLOOKUP($B448,OverallResults!$B$3:$BB$492,13,FALSE),"")</f>
        <v/>
      </c>
      <c r="O448" s="58" t="str">
        <f>IFERROR(VLOOKUP($B448,OverallResults!$B$3:$BB$492,14,FALSE),"")</f>
        <v/>
      </c>
      <c r="P448" s="58" t="str">
        <f>IFERROR(VLOOKUP($B448,OverallResults!$B$3:$BB$492,15,FALSE),"")</f>
        <v/>
      </c>
      <c r="Q448" s="58" t="str">
        <f>IFERROR(VLOOKUP($B448,OverallResults!$B$3:$BB$492,16,FALSE),"")</f>
        <v/>
      </c>
      <c r="R448" s="58" t="str">
        <f>IFERROR(VLOOKUP($B448,OverallResults!$B$3:$BB$492,17,FALSE),"")</f>
        <v/>
      </c>
      <c r="S448" s="170" t="e">
        <f t="shared" si="16"/>
        <v>#VALUE!</v>
      </c>
      <c r="T448" s="170" t="e">
        <f t="shared" si="17"/>
        <v>#VALUE!</v>
      </c>
      <c r="U448" s="359" t="str">
        <f>IFERROR(VLOOKUP($D448,EntryList!$B$3:$S$291,18,FALSE),"")</f>
        <v/>
      </c>
      <c r="V448" s="359" t="str">
        <f>IFERROR(VLOOKUP($D448,EntryList!$B$3:$S$291,17,FALSE),"")</f>
        <v/>
      </c>
    </row>
    <row r="449" spans="2:22">
      <c r="B449" s="59">
        <v>444</v>
      </c>
      <c r="C449" s="331" t="str">
        <f>IFERROR(VLOOKUP($B449,OverallResults!$B$3:$Z$508,2,FALSE),"")</f>
        <v>DNF</v>
      </c>
      <c r="D449" s="146" t="str">
        <f>IFERROR(VLOOKUP($B449,OverallResults!$B$3:$Z$508,3,FALSE),"")</f>
        <v/>
      </c>
      <c r="E449" s="146" t="str">
        <f>IFERROR(VLOOKUP(C449,SeriesPoints!$A$2:$B$51,2,FALSE),"")</f>
        <v/>
      </c>
      <c r="F449" s="148" t="str">
        <f>IFERROR(VLOOKUP($D449,EntryList!$B$3:$V$291,21,FALSE),"")</f>
        <v/>
      </c>
      <c r="G449" s="100" t="str">
        <f>IFERROR(VLOOKUP($D449,EntryList!$B$3:$N$596,5,FALSE),"")</f>
        <v/>
      </c>
      <c r="H449" s="145" t="str">
        <f>IFERROR(VLOOKUP($D449,EntryList!$B$3:$N$596,6,FALSE),"")</f>
        <v/>
      </c>
      <c r="I449" s="331" t="str">
        <f>IFERROR(VLOOKUP($B449,OverallResults!$B$3:$Z$492,8,FALSE),"")</f>
        <v/>
      </c>
      <c r="J449" s="58" t="str">
        <f>IFERROR(VLOOKUP($B449,OverallResults!$B$3:$BB$492,9,FALSE),"")</f>
        <v/>
      </c>
      <c r="K449" s="58" t="str">
        <f>IFERROR(VLOOKUP($B449,OverallResults!$B$3:$BB$492,10,FALSE),"")</f>
        <v/>
      </c>
      <c r="L449" s="58" t="str">
        <f>IFERROR(VLOOKUP($B449,OverallResults!$B$3:$BB$492,11,FALSE),"")</f>
        <v/>
      </c>
      <c r="M449" s="58" t="str">
        <f>IFERROR(VLOOKUP($B449,OverallResults!$B$3:$BB$492,12,FALSE),"")</f>
        <v/>
      </c>
      <c r="N449" s="58" t="str">
        <f>IFERROR(VLOOKUP($B449,OverallResults!$B$3:$BB$492,13,FALSE),"")</f>
        <v/>
      </c>
      <c r="O449" s="58" t="str">
        <f>IFERROR(VLOOKUP($B449,OverallResults!$B$3:$BB$492,14,FALSE),"")</f>
        <v/>
      </c>
      <c r="P449" s="58" t="str">
        <f>IFERROR(VLOOKUP($B449,OverallResults!$B$3:$BB$492,15,FALSE),"")</f>
        <v/>
      </c>
      <c r="Q449" s="58" t="str">
        <f>IFERROR(VLOOKUP($B449,OverallResults!$B$3:$BB$492,16,FALSE),"")</f>
        <v/>
      </c>
      <c r="R449" s="58" t="str">
        <f>IFERROR(VLOOKUP($B449,OverallResults!$B$3:$BB$492,17,FALSE),"")</f>
        <v/>
      </c>
      <c r="S449" s="170" t="e">
        <f t="shared" si="16"/>
        <v>#VALUE!</v>
      </c>
      <c r="T449" s="170" t="e">
        <f t="shared" si="17"/>
        <v>#VALUE!</v>
      </c>
      <c r="U449" s="359" t="str">
        <f>IFERROR(VLOOKUP($D449,EntryList!$B$3:$S$291,18,FALSE),"")</f>
        <v/>
      </c>
      <c r="V449" s="359" t="str">
        <f>IFERROR(VLOOKUP($D449,EntryList!$B$3:$S$291,17,FALSE),"")</f>
        <v/>
      </c>
    </row>
    <row r="450" spans="2:22">
      <c r="B450" s="59">
        <v>445</v>
      </c>
      <c r="C450" s="331" t="str">
        <f>IFERROR(VLOOKUP($B450,OverallResults!$B$3:$Z$508,2,FALSE),"")</f>
        <v>DNF</v>
      </c>
      <c r="D450" s="146" t="str">
        <f>IFERROR(VLOOKUP($B450,OverallResults!$B$3:$Z$508,3,FALSE),"")</f>
        <v/>
      </c>
      <c r="E450" s="146" t="str">
        <f>IFERROR(VLOOKUP(C450,SeriesPoints!$A$2:$B$51,2,FALSE),"")</f>
        <v/>
      </c>
      <c r="F450" s="148" t="str">
        <f>IFERROR(VLOOKUP($D450,EntryList!$B$3:$V$291,21,FALSE),"")</f>
        <v/>
      </c>
      <c r="G450" s="100" t="str">
        <f>IFERROR(VLOOKUP($D450,EntryList!$B$3:$N$596,5,FALSE),"")</f>
        <v/>
      </c>
      <c r="H450" s="145" t="str">
        <f>IFERROR(VLOOKUP($D450,EntryList!$B$3:$N$596,6,FALSE),"")</f>
        <v/>
      </c>
      <c r="I450" s="331" t="str">
        <f>IFERROR(VLOOKUP($B450,OverallResults!$B$3:$Z$492,8,FALSE),"")</f>
        <v/>
      </c>
      <c r="J450" s="58" t="str">
        <f>IFERROR(VLOOKUP($B450,OverallResults!$B$3:$BB$492,9,FALSE),"")</f>
        <v/>
      </c>
      <c r="K450" s="58" t="str">
        <f>IFERROR(VLOOKUP($B450,OverallResults!$B$3:$BB$492,10,FALSE),"")</f>
        <v/>
      </c>
      <c r="L450" s="58" t="str">
        <f>IFERROR(VLOOKUP($B450,OverallResults!$B$3:$BB$492,11,FALSE),"")</f>
        <v/>
      </c>
      <c r="M450" s="58" t="str">
        <f>IFERROR(VLOOKUP($B450,OverallResults!$B$3:$BB$492,12,FALSE),"")</f>
        <v/>
      </c>
      <c r="N450" s="58" t="str">
        <f>IFERROR(VLOOKUP($B450,OverallResults!$B$3:$BB$492,13,FALSE),"")</f>
        <v/>
      </c>
      <c r="O450" s="58" t="str">
        <f>IFERROR(VLOOKUP($B450,OverallResults!$B$3:$BB$492,14,FALSE),"")</f>
        <v/>
      </c>
      <c r="P450" s="58" t="str">
        <f>IFERROR(VLOOKUP($B450,OverallResults!$B$3:$BB$492,15,FALSE),"")</f>
        <v/>
      </c>
      <c r="Q450" s="58" t="str">
        <f>IFERROR(VLOOKUP($B450,OverallResults!$B$3:$BB$492,16,FALSE),"")</f>
        <v/>
      </c>
      <c r="R450" s="58" t="str">
        <f>IFERROR(VLOOKUP($B450,OverallResults!$B$3:$BB$492,17,FALSE),"")</f>
        <v/>
      </c>
      <c r="S450" s="170" t="e">
        <f t="shared" ref="S450:S481" si="18">R450-R449</f>
        <v>#VALUE!</v>
      </c>
      <c r="T450" s="170" t="e">
        <f t="shared" ref="T450:T481" si="19">R450-R$6</f>
        <v>#VALUE!</v>
      </c>
      <c r="U450" s="359" t="str">
        <f>IFERROR(VLOOKUP($D450,EntryList!$B$3:$S$291,18,FALSE),"")</f>
        <v/>
      </c>
      <c r="V450" s="359" t="str">
        <f>IFERROR(VLOOKUP($D450,EntryList!$B$3:$S$291,17,FALSE),"")</f>
        <v/>
      </c>
    </row>
    <row r="451" spans="2:22">
      <c r="B451" s="59">
        <v>446</v>
      </c>
      <c r="C451" s="331" t="str">
        <f>IFERROR(VLOOKUP($B451,OverallResults!$B$3:$Z$508,2,FALSE),"")</f>
        <v>DNF</v>
      </c>
      <c r="D451" s="146" t="str">
        <f>IFERROR(VLOOKUP($B451,OverallResults!$B$3:$Z$508,3,FALSE),"")</f>
        <v/>
      </c>
      <c r="E451" s="146" t="str">
        <f>IFERROR(VLOOKUP(C451,SeriesPoints!$A$2:$B$51,2,FALSE),"")</f>
        <v/>
      </c>
      <c r="F451" s="148" t="str">
        <f>IFERROR(VLOOKUP($D451,EntryList!$B$3:$V$291,21,FALSE),"")</f>
        <v/>
      </c>
      <c r="G451" s="100" t="str">
        <f>IFERROR(VLOOKUP($D451,EntryList!$B$3:$N$596,5,FALSE),"")</f>
        <v/>
      </c>
      <c r="H451" s="145" t="str">
        <f>IFERROR(VLOOKUP($D451,EntryList!$B$3:$N$596,6,FALSE),"")</f>
        <v/>
      </c>
      <c r="I451" s="331" t="str">
        <f>IFERROR(VLOOKUP($B451,OverallResults!$B$3:$Z$492,8,FALSE),"")</f>
        <v/>
      </c>
      <c r="J451" s="58" t="str">
        <f>IFERROR(VLOOKUP($B451,OverallResults!$B$3:$BB$492,9,FALSE),"")</f>
        <v/>
      </c>
      <c r="K451" s="58" t="str">
        <f>IFERROR(VLOOKUP($B451,OverallResults!$B$3:$BB$492,10,FALSE),"")</f>
        <v/>
      </c>
      <c r="L451" s="58" t="str">
        <f>IFERROR(VLOOKUP($B451,OverallResults!$B$3:$BB$492,11,FALSE),"")</f>
        <v/>
      </c>
      <c r="M451" s="58" t="str">
        <f>IFERROR(VLOOKUP($B451,OverallResults!$B$3:$BB$492,12,FALSE),"")</f>
        <v/>
      </c>
      <c r="N451" s="58" t="str">
        <f>IFERROR(VLOOKUP($B451,OverallResults!$B$3:$BB$492,13,FALSE),"")</f>
        <v/>
      </c>
      <c r="O451" s="58" t="str">
        <f>IFERROR(VLOOKUP($B451,OverallResults!$B$3:$BB$492,14,FALSE),"")</f>
        <v/>
      </c>
      <c r="P451" s="58" t="str">
        <f>IFERROR(VLOOKUP($B451,OverallResults!$B$3:$BB$492,15,FALSE),"")</f>
        <v/>
      </c>
      <c r="Q451" s="58" t="str">
        <f>IFERROR(VLOOKUP($B451,OverallResults!$B$3:$BB$492,16,FALSE),"")</f>
        <v/>
      </c>
      <c r="R451" s="58" t="str">
        <f>IFERROR(VLOOKUP($B451,OverallResults!$B$3:$BB$492,17,FALSE),"")</f>
        <v/>
      </c>
      <c r="S451" s="170" t="e">
        <f t="shared" si="18"/>
        <v>#VALUE!</v>
      </c>
      <c r="T451" s="170" t="e">
        <f t="shared" si="19"/>
        <v>#VALUE!</v>
      </c>
      <c r="U451" s="359" t="str">
        <f>IFERROR(VLOOKUP($D451,EntryList!$B$3:$S$291,18,FALSE),"")</f>
        <v/>
      </c>
      <c r="V451" s="359" t="str">
        <f>IFERROR(VLOOKUP($D451,EntryList!$B$3:$S$291,17,FALSE),"")</f>
        <v/>
      </c>
    </row>
    <row r="452" spans="2:22">
      <c r="B452" s="59">
        <v>447</v>
      </c>
      <c r="C452" s="331" t="str">
        <f>IFERROR(VLOOKUP($B452,OverallResults!$B$3:$Z$508,2,FALSE),"")</f>
        <v>DNF</v>
      </c>
      <c r="D452" s="146" t="str">
        <f>IFERROR(VLOOKUP($B452,OverallResults!$B$3:$Z$508,3,FALSE),"")</f>
        <v/>
      </c>
      <c r="E452" s="146" t="str">
        <f>IFERROR(VLOOKUP(C452,SeriesPoints!$A$2:$B$51,2,FALSE),"")</f>
        <v/>
      </c>
      <c r="F452" s="148" t="str">
        <f>IFERROR(VLOOKUP($D452,EntryList!$B$3:$V$291,21,FALSE),"")</f>
        <v/>
      </c>
      <c r="G452" s="100" t="str">
        <f>IFERROR(VLOOKUP($D452,EntryList!$B$3:$N$596,5,FALSE),"")</f>
        <v/>
      </c>
      <c r="H452" s="145" t="str">
        <f>IFERROR(VLOOKUP($D452,EntryList!$B$3:$N$596,6,FALSE),"")</f>
        <v/>
      </c>
      <c r="I452" s="331" t="str">
        <f>IFERROR(VLOOKUP($B452,OverallResults!$B$3:$Z$492,8,FALSE),"")</f>
        <v/>
      </c>
      <c r="J452" s="58" t="str">
        <f>IFERROR(VLOOKUP($B452,OverallResults!$B$3:$BB$492,9,FALSE),"")</f>
        <v/>
      </c>
      <c r="K452" s="58" t="str">
        <f>IFERROR(VLOOKUP($B452,OverallResults!$B$3:$BB$492,10,FALSE),"")</f>
        <v/>
      </c>
      <c r="L452" s="58" t="str">
        <f>IFERROR(VLOOKUP($B452,OverallResults!$B$3:$BB$492,11,FALSE),"")</f>
        <v/>
      </c>
      <c r="M452" s="58" t="str">
        <f>IFERROR(VLOOKUP($B452,OverallResults!$B$3:$BB$492,12,FALSE),"")</f>
        <v/>
      </c>
      <c r="N452" s="58" t="str">
        <f>IFERROR(VLOOKUP($B452,OverallResults!$B$3:$BB$492,13,FALSE),"")</f>
        <v/>
      </c>
      <c r="O452" s="58" t="str">
        <f>IFERROR(VLOOKUP($B452,OverallResults!$B$3:$BB$492,14,FALSE),"")</f>
        <v/>
      </c>
      <c r="P452" s="58" t="str">
        <f>IFERROR(VLOOKUP($B452,OverallResults!$B$3:$BB$492,15,FALSE),"")</f>
        <v/>
      </c>
      <c r="Q452" s="58" t="str">
        <f>IFERROR(VLOOKUP($B452,OverallResults!$B$3:$BB$492,16,FALSE),"")</f>
        <v/>
      </c>
      <c r="R452" s="58" t="str">
        <f>IFERROR(VLOOKUP($B452,OverallResults!$B$3:$BB$492,17,FALSE),"")</f>
        <v/>
      </c>
      <c r="S452" s="170" t="e">
        <f t="shared" si="18"/>
        <v>#VALUE!</v>
      </c>
      <c r="T452" s="170" t="e">
        <f t="shared" si="19"/>
        <v>#VALUE!</v>
      </c>
      <c r="U452" s="359" t="str">
        <f>IFERROR(VLOOKUP($D452,EntryList!$B$3:$S$291,18,FALSE),"")</f>
        <v/>
      </c>
      <c r="V452" s="359" t="str">
        <f>IFERROR(VLOOKUP($D452,EntryList!$B$3:$S$291,17,FALSE),"")</f>
        <v/>
      </c>
    </row>
    <row r="453" spans="2:22">
      <c r="B453" s="59">
        <v>448</v>
      </c>
      <c r="C453" s="331" t="str">
        <f>IFERROR(VLOOKUP($B453,OverallResults!$B$3:$Z$508,2,FALSE),"")</f>
        <v>DNF</v>
      </c>
      <c r="D453" s="146" t="str">
        <f>IFERROR(VLOOKUP($B453,OverallResults!$B$3:$Z$508,3,FALSE),"")</f>
        <v/>
      </c>
      <c r="E453" s="146" t="str">
        <f>IFERROR(VLOOKUP(C453,SeriesPoints!$A$2:$B$51,2,FALSE),"")</f>
        <v/>
      </c>
      <c r="F453" s="148" t="str">
        <f>IFERROR(VLOOKUP($D453,EntryList!$B$3:$V$291,21,FALSE),"")</f>
        <v/>
      </c>
      <c r="G453" s="100" t="str">
        <f>IFERROR(VLOOKUP($D453,EntryList!$B$3:$N$596,5,FALSE),"")</f>
        <v/>
      </c>
      <c r="H453" s="145" t="str">
        <f>IFERROR(VLOOKUP($D453,EntryList!$B$3:$N$596,6,FALSE),"")</f>
        <v/>
      </c>
      <c r="I453" s="331" t="str">
        <f>IFERROR(VLOOKUP($B453,OverallResults!$B$3:$Z$492,8,FALSE),"")</f>
        <v/>
      </c>
      <c r="J453" s="58" t="str">
        <f>IFERROR(VLOOKUP($B453,OverallResults!$B$3:$BB$492,9,FALSE),"")</f>
        <v/>
      </c>
      <c r="K453" s="58" t="str">
        <f>IFERROR(VLOOKUP($B453,OverallResults!$B$3:$BB$492,10,FALSE),"")</f>
        <v/>
      </c>
      <c r="L453" s="58" t="str">
        <f>IFERROR(VLOOKUP($B453,OverallResults!$B$3:$BB$492,11,FALSE),"")</f>
        <v/>
      </c>
      <c r="M453" s="58" t="str">
        <f>IFERROR(VLOOKUP($B453,OverallResults!$B$3:$BB$492,12,FALSE),"")</f>
        <v/>
      </c>
      <c r="N453" s="58" t="str">
        <f>IFERROR(VLOOKUP($B453,OverallResults!$B$3:$BB$492,13,FALSE),"")</f>
        <v/>
      </c>
      <c r="O453" s="58" t="str">
        <f>IFERROR(VLOOKUP($B453,OverallResults!$B$3:$BB$492,14,FALSE),"")</f>
        <v/>
      </c>
      <c r="P453" s="58" t="str">
        <f>IFERROR(VLOOKUP($B453,OverallResults!$B$3:$BB$492,15,FALSE),"")</f>
        <v/>
      </c>
      <c r="Q453" s="58" t="str">
        <f>IFERROR(VLOOKUP($B453,OverallResults!$B$3:$BB$492,16,FALSE),"")</f>
        <v/>
      </c>
      <c r="R453" s="58" t="str">
        <f>IFERROR(VLOOKUP($B453,OverallResults!$B$3:$BB$492,17,FALSE),"")</f>
        <v/>
      </c>
      <c r="S453" s="170" t="e">
        <f t="shared" si="18"/>
        <v>#VALUE!</v>
      </c>
      <c r="T453" s="170" t="e">
        <f t="shared" si="19"/>
        <v>#VALUE!</v>
      </c>
      <c r="U453" s="359" t="str">
        <f>IFERROR(VLOOKUP($D453,EntryList!$B$3:$S$291,18,FALSE),"")</f>
        <v/>
      </c>
      <c r="V453" s="359" t="str">
        <f>IFERROR(VLOOKUP($D453,EntryList!$B$3:$S$291,17,FALSE),"")</f>
        <v/>
      </c>
    </row>
    <row r="454" spans="2:22">
      <c r="B454" s="59">
        <v>449</v>
      </c>
      <c r="C454" s="331" t="str">
        <f>IFERROR(VLOOKUP($B454,OverallResults!$B$3:$Z$508,2,FALSE),"")</f>
        <v>DNF</v>
      </c>
      <c r="D454" s="146" t="str">
        <f>IFERROR(VLOOKUP($B454,OverallResults!$B$3:$Z$508,3,FALSE),"")</f>
        <v/>
      </c>
      <c r="E454" s="146" t="str">
        <f>IFERROR(VLOOKUP(C454,SeriesPoints!$A$2:$B$51,2,FALSE),"")</f>
        <v/>
      </c>
      <c r="F454" s="148" t="str">
        <f>IFERROR(VLOOKUP($D454,EntryList!$B$3:$V$291,21,FALSE),"")</f>
        <v/>
      </c>
      <c r="G454" s="100" t="str">
        <f>IFERROR(VLOOKUP($D454,EntryList!$B$3:$N$596,5,FALSE),"")</f>
        <v/>
      </c>
      <c r="H454" s="145" t="str">
        <f>IFERROR(VLOOKUP($D454,EntryList!$B$3:$N$596,6,FALSE),"")</f>
        <v/>
      </c>
      <c r="I454" s="331" t="str">
        <f>IFERROR(VLOOKUP($B454,OverallResults!$B$3:$Z$492,8,FALSE),"")</f>
        <v/>
      </c>
      <c r="J454" s="58" t="str">
        <f>IFERROR(VLOOKUP($B454,OverallResults!$B$3:$BB$492,9,FALSE),"")</f>
        <v/>
      </c>
      <c r="K454" s="58" t="str">
        <f>IFERROR(VLOOKUP($B454,OverallResults!$B$3:$BB$492,10,FALSE),"")</f>
        <v/>
      </c>
      <c r="L454" s="58" t="str">
        <f>IFERROR(VLOOKUP($B454,OverallResults!$B$3:$BB$492,11,FALSE),"")</f>
        <v/>
      </c>
      <c r="M454" s="58" t="str">
        <f>IFERROR(VLOOKUP($B454,OverallResults!$B$3:$BB$492,12,FALSE),"")</f>
        <v/>
      </c>
      <c r="N454" s="58" t="str">
        <f>IFERROR(VLOOKUP($B454,OverallResults!$B$3:$BB$492,13,FALSE),"")</f>
        <v/>
      </c>
      <c r="O454" s="58" t="str">
        <f>IFERROR(VLOOKUP($B454,OverallResults!$B$3:$BB$492,14,FALSE),"")</f>
        <v/>
      </c>
      <c r="P454" s="58" t="str">
        <f>IFERROR(VLOOKUP($B454,OverallResults!$B$3:$BB$492,15,FALSE),"")</f>
        <v/>
      </c>
      <c r="Q454" s="58" t="str">
        <f>IFERROR(VLOOKUP($B454,OverallResults!$B$3:$BB$492,16,FALSE),"")</f>
        <v/>
      </c>
      <c r="R454" s="58" t="str">
        <f>IFERROR(VLOOKUP($B454,OverallResults!$B$3:$BB$492,17,FALSE),"")</f>
        <v/>
      </c>
      <c r="S454" s="170" t="e">
        <f t="shared" si="18"/>
        <v>#VALUE!</v>
      </c>
      <c r="T454" s="170" t="e">
        <f t="shared" si="19"/>
        <v>#VALUE!</v>
      </c>
      <c r="U454" s="359" t="str">
        <f>IFERROR(VLOOKUP($D454,EntryList!$B$3:$S$291,18,FALSE),"")</f>
        <v/>
      </c>
      <c r="V454" s="359" t="str">
        <f>IFERROR(VLOOKUP($D454,EntryList!$B$3:$S$291,17,FALSE),"")</f>
        <v/>
      </c>
    </row>
    <row r="455" spans="2:22">
      <c r="B455" s="59">
        <v>450</v>
      </c>
      <c r="C455" s="331" t="str">
        <f>IFERROR(VLOOKUP($B455,OverallResults!$B$3:$Z$508,2,FALSE),"")</f>
        <v>DNF</v>
      </c>
      <c r="D455" s="146" t="str">
        <f>IFERROR(VLOOKUP($B455,OverallResults!$B$3:$Z$508,3,FALSE),"")</f>
        <v/>
      </c>
      <c r="E455" s="146" t="str">
        <f>IFERROR(VLOOKUP(C455,SeriesPoints!$A$2:$B$51,2,FALSE),"")</f>
        <v/>
      </c>
      <c r="F455" s="148" t="str">
        <f>IFERROR(VLOOKUP($D455,EntryList!$B$3:$V$291,21,FALSE),"")</f>
        <v/>
      </c>
      <c r="G455" s="100" t="str">
        <f>IFERROR(VLOOKUP($D455,EntryList!$B$3:$N$596,5,FALSE),"")</f>
        <v/>
      </c>
      <c r="H455" s="145" t="str">
        <f>IFERROR(VLOOKUP($D455,EntryList!$B$3:$N$596,6,FALSE),"")</f>
        <v/>
      </c>
      <c r="I455" s="331" t="str">
        <f>IFERROR(VLOOKUP($B455,OverallResults!$B$3:$Z$492,8,FALSE),"")</f>
        <v/>
      </c>
      <c r="J455" s="58" t="str">
        <f>IFERROR(VLOOKUP($B455,OverallResults!$B$3:$BB$492,9,FALSE),"")</f>
        <v/>
      </c>
      <c r="K455" s="58" t="str">
        <f>IFERROR(VLOOKUP($B455,OverallResults!$B$3:$BB$492,10,FALSE),"")</f>
        <v/>
      </c>
      <c r="L455" s="58" t="str">
        <f>IFERROR(VLOOKUP($B455,OverallResults!$B$3:$BB$492,11,FALSE),"")</f>
        <v/>
      </c>
      <c r="M455" s="58" t="str">
        <f>IFERROR(VLOOKUP($B455,OverallResults!$B$3:$BB$492,12,FALSE),"")</f>
        <v/>
      </c>
      <c r="N455" s="58" t="str">
        <f>IFERROR(VLOOKUP($B455,OverallResults!$B$3:$BB$492,13,FALSE),"")</f>
        <v/>
      </c>
      <c r="O455" s="58" t="str">
        <f>IFERROR(VLOOKUP($B455,OverallResults!$B$3:$BB$492,14,FALSE),"")</f>
        <v/>
      </c>
      <c r="P455" s="58" t="str">
        <f>IFERROR(VLOOKUP($B455,OverallResults!$B$3:$BB$492,15,FALSE),"")</f>
        <v/>
      </c>
      <c r="Q455" s="58" t="str">
        <f>IFERROR(VLOOKUP($B455,OverallResults!$B$3:$BB$492,16,FALSE),"")</f>
        <v/>
      </c>
      <c r="R455" s="58" t="str">
        <f>IFERROR(VLOOKUP($B455,OverallResults!$B$3:$BB$492,17,FALSE),"")</f>
        <v/>
      </c>
      <c r="S455" s="170" t="e">
        <f t="shared" si="18"/>
        <v>#VALUE!</v>
      </c>
      <c r="T455" s="170" t="e">
        <f t="shared" si="19"/>
        <v>#VALUE!</v>
      </c>
      <c r="U455" s="359" t="str">
        <f>IFERROR(VLOOKUP($D455,EntryList!$B$3:$S$291,18,FALSE),"")</f>
        <v/>
      </c>
      <c r="V455" s="359" t="str">
        <f>IFERROR(VLOOKUP($D455,EntryList!$B$3:$S$291,17,FALSE),"")</f>
        <v/>
      </c>
    </row>
    <row r="456" spans="2:22">
      <c r="B456" s="59">
        <v>451</v>
      </c>
      <c r="C456" s="331" t="str">
        <f>IFERROR(VLOOKUP($B456,OverallResults!$B$3:$Z$508,2,FALSE),"")</f>
        <v>DNF</v>
      </c>
      <c r="D456" s="146" t="str">
        <f>IFERROR(VLOOKUP($B456,OverallResults!$B$3:$Z$508,3,FALSE),"")</f>
        <v/>
      </c>
      <c r="E456" s="146" t="str">
        <f>IFERROR(VLOOKUP(C456,SeriesPoints!$A$2:$B$51,2,FALSE),"")</f>
        <v/>
      </c>
      <c r="F456" s="148" t="str">
        <f>IFERROR(VLOOKUP($D456,EntryList!$B$3:$V$291,21,FALSE),"")</f>
        <v/>
      </c>
      <c r="G456" s="100" t="str">
        <f>IFERROR(VLOOKUP($D456,EntryList!$B$3:$N$596,5,FALSE),"")</f>
        <v/>
      </c>
      <c r="H456" s="145" t="str">
        <f>IFERROR(VLOOKUP($D456,EntryList!$B$3:$N$596,6,FALSE),"")</f>
        <v/>
      </c>
      <c r="I456" s="331" t="str">
        <f>IFERROR(VLOOKUP($B456,OverallResults!$B$3:$Z$492,8,FALSE),"")</f>
        <v/>
      </c>
      <c r="J456" s="58" t="str">
        <f>IFERROR(VLOOKUP($B456,OverallResults!$B$3:$BB$492,9,FALSE),"")</f>
        <v/>
      </c>
      <c r="K456" s="58" t="str">
        <f>IFERROR(VLOOKUP($B456,OverallResults!$B$3:$BB$492,10,FALSE),"")</f>
        <v/>
      </c>
      <c r="L456" s="58" t="str">
        <f>IFERROR(VLOOKUP($B456,OverallResults!$B$3:$BB$492,11,FALSE),"")</f>
        <v/>
      </c>
      <c r="M456" s="58" t="str">
        <f>IFERROR(VLOOKUP($B456,OverallResults!$B$3:$BB$492,12,FALSE),"")</f>
        <v/>
      </c>
      <c r="N456" s="58" t="str">
        <f>IFERROR(VLOOKUP($B456,OverallResults!$B$3:$BB$492,13,FALSE),"")</f>
        <v/>
      </c>
      <c r="O456" s="58" t="str">
        <f>IFERROR(VLOOKUP($B456,OverallResults!$B$3:$BB$492,14,FALSE),"")</f>
        <v/>
      </c>
      <c r="P456" s="58" t="str">
        <f>IFERROR(VLOOKUP($B456,OverallResults!$B$3:$BB$492,15,FALSE),"")</f>
        <v/>
      </c>
      <c r="Q456" s="58" t="str">
        <f>IFERROR(VLOOKUP($B456,OverallResults!$B$3:$BB$492,16,FALSE),"")</f>
        <v/>
      </c>
      <c r="R456" s="58" t="str">
        <f>IFERROR(VLOOKUP($B456,OverallResults!$B$3:$BB$492,17,FALSE),"")</f>
        <v/>
      </c>
      <c r="S456" s="170" t="e">
        <f t="shared" si="18"/>
        <v>#VALUE!</v>
      </c>
      <c r="T456" s="170" t="e">
        <f t="shared" si="19"/>
        <v>#VALUE!</v>
      </c>
      <c r="U456" s="359" t="str">
        <f>IFERROR(VLOOKUP($D456,EntryList!$B$3:$S$291,18,FALSE),"")</f>
        <v/>
      </c>
      <c r="V456" s="359" t="str">
        <f>IFERROR(VLOOKUP($D456,EntryList!$B$3:$S$291,17,FALSE),"")</f>
        <v/>
      </c>
    </row>
    <row r="457" spans="2:22">
      <c r="B457" s="59">
        <v>452</v>
      </c>
      <c r="C457" s="331" t="str">
        <f>IFERROR(VLOOKUP($B457,OverallResults!$B$3:$Z$508,2,FALSE),"")</f>
        <v>DNF</v>
      </c>
      <c r="D457" s="146" t="str">
        <f>IFERROR(VLOOKUP($B457,OverallResults!$B$3:$Z$508,3,FALSE),"")</f>
        <v/>
      </c>
      <c r="E457" s="146" t="str">
        <f>IFERROR(VLOOKUP(C457,SeriesPoints!$A$2:$B$51,2,FALSE),"")</f>
        <v/>
      </c>
      <c r="F457" s="148" t="str">
        <f>IFERROR(VLOOKUP($D457,EntryList!$B$3:$V$291,21,FALSE),"")</f>
        <v/>
      </c>
      <c r="G457" s="100" t="str">
        <f>IFERROR(VLOOKUP($D457,EntryList!$B$3:$N$596,5,FALSE),"")</f>
        <v/>
      </c>
      <c r="H457" s="145" t="str">
        <f>IFERROR(VLOOKUP($D457,EntryList!$B$3:$N$596,6,FALSE),"")</f>
        <v/>
      </c>
      <c r="I457" s="331" t="str">
        <f>IFERROR(VLOOKUP($B457,OverallResults!$B$3:$Z$492,8,FALSE),"")</f>
        <v/>
      </c>
      <c r="J457" s="58" t="str">
        <f>IFERROR(VLOOKUP($B457,OverallResults!$B$3:$BB$492,9,FALSE),"")</f>
        <v/>
      </c>
      <c r="K457" s="58" t="str">
        <f>IFERROR(VLOOKUP($B457,OverallResults!$B$3:$BB$492,10,FALSE),"")</f>
        <v/>
      </c>
      <c r="L457" s="58" t="str">
        <f>IFERROR(VLOOKUP($B457,OverallResults!$B$3:$BB$492,11,FALSE),"")</f>
        <v/>
      </c>
      <c r="M457" s="58" t="str">
        <f>IFERROR(VLOOKUP($B457,OverallResults!$B$3:$BB$492,12,FALSE),"")</f>
        <v/>
      </c>
      <c r="N457" s="58" t="str">
        <f>IFERROR(VLOOKUP($B457,OverallResults!$B$3:$BB$492,13,FALSE),"")</f>
        <v/>
      </c>
      <c r="O457" s="58" t="str">
        <f>IFERROR(VLOOKUP($B457,OverallResults!$B$3:$BB$492,14,FALSE),"")</f>
        <v/>
      </c>
      <c r="P457" s="58" t="str">
        <f>IFERROR(VLOOKUP($B457,OverallResults!$B$3:$BB$492,15,FALSE),"")</f>
        <v/>
      </c>
      <c r="Q457" s="58" t="str">
        <f>IFERROR(VLOOKUP($B457,OverallResults!$B$3:$BB$492,16,FALSE),"")</f>
        <v/>
      </c>
      <c r="R457" s="58" t="str">
        <f>IFERROR(VLOOKUP($B457,OverallResults!$B$3:$BB$492,17,FALSE),"")</f>
        <v/>
      </c>
      <c r="S457" s="170" t="e">
        <f t="shared" si="18"/>
        <v>#VALUE!</v>
      </c>
      <c r="T457" s="170" t="e">
        <f t="shared" si="19"/>
        <v>#VALUE!</v>
      </c>
      <c r="U457" s="359" t="str">
        <f>IFERROR(VLOOKUP($D457,EntryList!$B$3:$S$291,18,FALSE),"")</f>
        <v/>
      </c>
      <c r="V457" s="359" t="str">
        <f>IFERROR(VLOOKUP($D457,EntryList!$B$3:$S$291,17,FALSE),"")</f>
        <v/>
      </c>
    </row>
    <row r="458" spans="2:22">
      <c r="B458" s="59">
        <v>453</v>
      </c>
      <c r="C458" s="331" t="str">
        <f>IFERROR(VLOOKUP($B458,OverallResults!$B$3:$Z$508,2,FALSE),"")</f>
        <v>DNF</v>
      </c>
      <c r="D458" s="146" t="str">
        <f>IFERROR(VLOOKUP($B458,OverallResults!$B$3:$Z$508,3,FALSE),"")</f>
        <v/>
      </c>
      <c r="E458" s="146" t="str">
        <f>IFERROR(VLOOKUP(C458,SeriesPoints!$A$2:$B$51,2,FALSE),"")</f>
        <v/>
      </c>
      <c r="F458" s="148" t="str">
        <f>IFERROR(VLOOKUP($D458,EntryList!$B$3:$V$291,21,FALSE),"")</f>
        <v/>
      </c>
      <c r="G458" s="100" t="str">
        <f>IFERROR(VLOOKUP($D458,EntryList!$B$3:$N$596,5,FALSE),"")</f>
        <v/>
      </c>
      <c r="H458" s="145" t="str">
        <f>IFERROR(VLOOKUP($D458,EntryList!$B$3:$N$596,6,FALSE),"")</f>
        <v/>
      </c>
      <c r="I458" s="331" t="str">
        <f>IFERROR(VLOOKUP($B458,OverallResults!$B$3:$Z$492,8,FALSE),"")</f>
        <v/>
      </c>
      <c r="J458" s="58" t="str">
        <f>IFERROR(VLOOKUP($B458,OverallResults!$B$3:$BB$492,9,FALSE),"")</f>
        <v/>
      </c>
      <c r="K458" s="58" t="str">
        <f>IFERROR(VLOOKUP($B458,OverallResults!$B$3:$BB$492,10,FALSE),"")</f>
        <v/>
      </c>
      <c r="L458" s="58" t="str">
        <f>IFERROR(VLOOKUP($B458,OverallResults!$B$3:$BB$492,11,FALSE),"")</f>
        <v/>
      </c>
      <c r="M458" s="58" t="str">
        <f>IFERROR(VLOOKUP($B458,OverallResults!$B$3:$BB$492,12,FALSE),"")</f>
        <v/>
      </c>
      <c r="N458" s="58" t="str">
        <f>IFERROR(VLOOKUP($B458,OverallResults!$B$3:$BB$492,13,FALSE),"")</f>
        <v/>
      </c>
      <c r="O458" s="58" t="str">
        <f>IFERROR(VLOOKUP($B458,OverallResults!$B$3:$BB$492,14,FALSE),"")</f>
        <v/>
      </c>
      <c r="P458" s="58" t="str">
        <f>IFERROR(VLOOKUP($B458,OverallResults!$B$3:$BB$492,15,FALSE),"")</f>
        <v/>
      </c>
      <c r="Q458" s="58" t="str">
        <f>IFERROR(VLOOKUP($B458,OverallResults!$B$3:$BB$492,16,FALSE),"")</f>
        <v/>
      </c>
      <c r="R458" s="58" t="str">
        <f>IFERROR(VLOOKUP($B458,OverallResults!$B$3:$BB$492,17,FALSE),"")</f>
        <v/>
      </c>
      <c r="S458" s="170" t="e">
        <f t="shared" si="18"/>
        <v>#VALUE!</v>
      </c>
      <c r="T458" s="170" t="e">
        <f t="shared" si="19"/>
        <v>#VALUE!</v>
      </c>
      <c r="U458" s="359" t="str">
        <f>IFERROR(VLOOKUP($D458,EntryList!$B$3:$S$291,18,FALSE),"")</f>
        <v/>
      </c>
      <c r="V458" s="359" t="str">
        <f>IFERROR(VLOOKUP($D458,EntryList!$B$3:$S$291,17,FALSE),"")</f>
        <v/>
      </c>
    </row>
    <row r="459" spans="2:22">
      <c r="B459" s="59">
        <v>454</v>
      </c>
      <c r="C459" s="331" t="str">
        <f>IFERROR(VLOOKUP($B459,OverallResults!$B$3:$Z$508,2,FALSE),"")</f>
        <v>DNF</v>
      </c>
      <c r="D459" s="146" t="str">
        <f>IFERROR(VLOOKUP($B459,OverallResults!$B$3:$Z$508,3,FALSE),"")</f>
        <v/>
      </c>
      <c r="E459" s="146" t="str">
        <f>IFERROR(VLOOKUP(C459,SeriesPoints!$A$2:$B$51,2,FALSE),"")</f>
        <v/>
      </c>
      <c r="F459" s="148" t="str">
        <f>IFERROR(VLOOKUP($D459,EntryList!$B$3:$V$291,21,FALSE),"")</f>
        <v/>
      </c>
      <c r="G459" s="100" t="str">
        <f>IFERROR(VLOOKUP($D459,EntryList!$B$3:$N$596,5,FALSE),"")</f>
        <v/>
      </c>
      <c r="H459" s="145" t="str">
        <f>IFERROR(VLOOKUP($D459,EntryList!$B$3:$N$596,6,FALSE),"")</f>
        <v/>
      </c>
      <c r="I459" s="331" t="str">
        <f>IFERROR(VLOOKUP($B459,OverallResults!$B$3:$Z$492,8,FALSE),"")</f>
        <v/>
      </c>
      <c r="J459" s="58" t="str">
        <f>IFERROR(VLOOKUP($B459,OverallResults!$B$3:$BB$492,9,FALSE),"")</f>
        <v/>
      </c>
      <c r="K459" s="58" t="str">
        <f>IFERROR(VLOOKUP($B459,OverallResults!$B$3:$BB$492,10,FALSE),"")</f>
        <v/>
      </c>
      <c r="L459" s="58" t="str">
        <f>IFERROR(VLOOKUP($B459,OverallResults!$B$3:$BB$492,11,FALSE),"")</f>
        <v/>
      </c>
      <c r="M459" s="58" t="str">
        <f>IFERROR(VLOOKUP($B459,OverallResults!$B$3:$BB$492,12,FALSE),"")</f>
        <v/>
      </c>
      <c r="N459" s="58" t="str">
        <f>IFERROR(VLOOKUP($B459,OverallResults!$B$3:$BB$492,13,FALSE),"")</f>
        <v/>
      </c>
      <c r="O459" s="58" t="str">
        <f>IFERROR(VLOOKUP($B459,OverallResults!$B$3:$BB$492,14,FALSE),"")</f>
        <v/>
      </c>
      <c r="P459" s="58" t="str">
        <f>IFERROR(VLOOKUP($B459,OverallResults!$B$3:$BB$492,15,FALSE),"")</f>
        <v/>
      </c>
      <c r="Q459" s="58" t="str">
        <f>IFERROR(VLOOKUP($B459,OverallResults!$B$3:$BB$492,16,FALSE),"")</f>
        <v/>
      </c>
      <c r="R459" s="58" t="str">
        <f>IFERROR(VLOOKUP($B459,OverallResults!$B$3:$BB$492,17,FALSE),"")</f>
        <v/>
      </c>
      <c r="S459" s="170" t="e">
        <f t="shared" si="18"/>
        <v>#VALUE!</v>
      </c>
      <c r="T459" s="170" t="e">
        <f t="shared" si="19"/>
        <v>#VALUE!</v>
      </c>
      <c r="U459" s="359" t="str">
        <f>IFERROR(VLOOKUP($D459,EntryList!$B$3:$S$291,18,FALSE),"")</f>
        <v/>
      </c>
      <c r="V459" s="359" t="str">
        <f>IFERROR(VLOOKUP($D459,EntryList!$B$3:$S$291,17,FALSE),"")</f>
        <v/>
      </c>
    </row>
    <row r="460" spans="2:22">
      <c r="B460" s="59">
        <v>455</v>
      </c>
      <c r="C460" s="331" t="str">
        <f>IFERROR(VLOOKUP($B460,OverallResults!$B$3:$Z$508,2,FALSE),"")</f>
        <v>DNF</v>
      </c>
      <c r="D460" s="146" t="str">
        <f>IFERROR(VLOOKUP($B460,OverallResults!$B$3:$Z$508,3,FALSE),"")</f>
        <v/>
      </c>
      <c r="E460" s="146" t="str">
        <f>IFERROR(VLOOKUP(C460,SeriesPoints!$A$2:$B$51,2,FALSE),"")</f>
        <v/>
      </c>
      <c r="F460" s="148" t="str">
        <f>IFERROR(VLOOKUP($D460,EntryList!$B$3:$V$291,21,FALSE),"")</f>
        <v/>
      </c>
      <c r="G460" s="100" t="str">
        <f>IFERROR(VLOOKUP($D460,EntryList!$B$3:$N$596,5,FALSE),"")</f>
        <v/>
      </c>
      <c r="H460" s="145" t="str">
        <f>IFERROR(VLOOKUP($D460,EntryList!$B$3:$N$596,6,FALSE),"")</f>
        <v/>
      </c>
      <c r="I460" s="331" t="str">
        <f>IFERROR(VLOOKUP($B460,OverallResults!$B$3:$Z$492,8,FALSE),"")</f>
        <v/>
      </c>
      <c r="J460" s="58" t="str">
        <f>IFERROR(VLOOKUP($B460,OverallResults!$B$3:$BB$492,9,FALSE),"")</f>
        <v/>
      </c>
      <c r="K460" s="58" t="str">
        <f>IFERROR(VLOOKUP($B460,OverallResults!$B$3:$BB$492,10,FALSE),"")</f>
        <v/>
      </c>
      <c r="L460" s="58" t="str">
        <f>IFERROR(VLOOKUP($B460,OverallResults!$B$3:$BB$492,11,FALSE),"")</f>
        <v/>
      </c>
      <c r="M460" s="58" t="str">
        <f>IFERROR(VLOOKUP($B460,OverallResults!$B$3:$BB$492,12,FALSE),"")</f>
        <v/>
      </c>
      <c r="N460" s="58" t="str">
        <f>IFERROR(VLOOKUP($B460,OverallResults!$B$3:$BB$492,13,FALSE),"")</f>
        <v/>
      </c>
      <c r="O460" s="58" t="str">
        <f>IFERROR(VLOOKUP($B460,OverallResults!$B$3:$BB$492,14,FALSE),"")</f>
        <v/>
      </c>
      <c r="P460" s="58" t="str">
        <f>IFERROR(VLOOKUP($B460,OverallResults!$B$3:$BB$492,15,FALSE),"")</f>
        <v/>
      </c>
      <c r="Q460" s="58" t="str">
        <f>IFERROR(VLOOKUP($B460,OverallResults!$B$3:$BB$492,16,FALSE),"")</f>
        <v/>
      </c>
      <c r="R460" s="58" t="str">
        <f>IFERROR(VLOOKUP($B460,OverallResults!$B$3:$BB$492,17,FALSE),"")</f>
        <v/>
      </c>
      <c r="S460" s="170" t="e">
        <f t="shared" si="18"/>
        <v>#VALUE!</v>
      </c>
      <c r="T460" s="170" t="e">
        <f t="shared" si="19"/>
        <v>#VALUE!</v>
      </c>
      <c r="U460" s="359" t="str">
        <f>IFERROR(VLOOKUP($D460,EntryList!$B$3:$S$291,18,FALSE),"")</f>
        <v/>
      </c>
      <c r="V460" s="359" t="str">
        <f>IFERROR(VLOOKUP($D460,EntryList!$B$3:$S$291,17,FALSE),"")</f>
        <v/>
      </c>
    </row>
    <row r="461" spans="2:22">
      <c r="B461" s="59">
        <v>456</v>
      </c>
      <c r="C461" s="331" t="str">
        <f>IFERROR(VLOOKUP($B461,OverallResults!$B$3:$Z$508,2,FALSE),"")</f>
        <v>DNF</v>
      </c>
      <c r="D461" s="146" t="str">
        <f>IFERROR(VLOOKUP($B461,OverallResults!$B$3:$Z$508,3,FALSE),"")</f>
        <v/>
      </c>
      <c r="E461" s="146" t="str">
        <f>IFERROR(VLOOKUP(C461,SeriesPoints!$A$2:$B$51,2,FALSE),"")</f>
        <v/>
      </c>
      <c r="F461" s="148" t="str">
        <f>IFERROR(VLOOKUP($D461,EntryList!$B$3:$V$291,21,FALSE),"")</f>
        <v/>
      </c>
      <c r="G461" s="100" t="str">
        <f>IFERROR(VLOOKUP($D461,EntryList!$B$3:$N$596,5,FALSE),"")</f>
        <v/>
      </c>
      <c r="H461" s="145" t="str">
        <f>IFERROR(VLOOKUP($D461,EntryList!$B$3:$N$596,6,FALSE),"")</f>
        <v/>
      </c>
      <c r="I461" s="331" t="str">
        <f>IFERROR(VLOOKUP($B461,OverallResults!$B$3:$Z$492,8,FALSE),"")</f>
        <v/>
      </c>
      <c r="J461" s="58" t="str">
        <f>IFERROR(VLOOKUP($B461,OverallResults!$B$3:$BB$492,9,FALSE),"")</f>
        <v/>
      </c>
      <c r="K461" s="58" t="str">
        <f>IFERROR(VLOOKUP($B461,OverallResults!$B$3:$BB$492,10,FALSE),"")</f>
        <v/>
      </c>
      <c r="L461" s="58" t="str">
        <f>IFERROR(VLOOKUP($B461,OverallResults!$B$3:$BB$492,11,FALSE),"")</f>
        <v/>
      </c>
      <c r="M461" s="58" t="str">
        <f>IFERROR(VLOOKUP($B461,OverallResults!$B$3:$BB$492,12,FALSE),"")</f>
        <v/>
      </c>
      <c r="N461" s="58" t="str">
        <f>IFERROR(VLOOKUP($B461,OverallResults!$B$3:$BB$492,13,FALSE),"")</f>
        <v/>
      </c>
      <c r="O461" s="58" t="str">
        <f>IFERROR(VLOOKUP($B461,OverallResults!$B$3:$BB$492,14,FALSE),"")</f>
        <v/>
      </c>
      <c r="P461" s="58" t="str">
        <f>IFERROR(VLOOKUP($B461,OverallResults!$B$3:$BB$492,15,FALSE),"")</f>
        <v/>
      </c>
      <c r="Q461" s="58" t="str">
        <f>IFERROR(VLOOKUP($B461,OverallResults!$B$3:$BB$492,16,FALSE),"")</f>
        <v/>
      </c>
      <c r="R461" s="58" t="str">
        <f>IFERROR(VLOOKUP($B461,OverallResults!$B$3:$BB$492,17,FALSE),"")</f>
        <v/>
      </c>
      <c r="S461" s="170" t="e">
        <f t="shared" si="18"/>
        <v>#VALUE!</v>
      </c>
      <c r="T461" s="170" t="e">
        <f t="shared" si="19"/>
        <v>#VALUE!</v>
      </c>
      <c r="U461" s="359" t="str">
        <f>IFERROR(VLOOKUP($D461,EntryList!$B$3:$S$291,18,FALSE),"")</f>
        <v/>
      </c>
      <c r="V461" s="359" t="str">
        <f>IFERROR(VLOOKUP($D461,EntryList!$B$3:$S$291,17,FALSE),"")</f>
        <v/>
      </c>
    </row>
    <row r="462" spans="2:22">
      <c r="B462" s="59">
        <v>457</v>
      </c>
      <c r="C462" s="331" t="str">
        <f>IFERROR(VLOOKUP($B462,OverallResults!$B$3:$Z$508,2,FALSE),"")</f>
        <v>DNF</v>
      </c>
      <c r="D462" s="146" t="str">
        <f>IFERROR(VLOOKUP($B462,OverallResults!$B$3:$Z$508,3,FALSE),"")</f>
        <v/>
      </c>
      <c r="E462" s="146" t="str">
        <f>IFERROR(VLOOKUP(C462,SeriesPoints!$A$2:$B$51,2,FALSE),"")</f>
        <v/>
      </c>
      <c r="F462" s="148" t="str">
        <f>IFERROR(VLOOKUP($D462,EntryList!$B$3:$V$291,21,FALSE),"")</f>
        <v/>
      </c>
      <c r="G462" s="100" t="str">
        <f>IFERROR(VLOOKUP($D462,EntryList!$B$3:$N$596,5,FALSE),"")</f>
        <v/>
      </c>
      <c r="H462" s="145" t="str">
        <f>IFERROR(VLOOKUP($D462,EntryList!$B$3:$N$596,6,FALSE),"")</f>
        <v/>
      </c>
      <c r="I462" s="331" t="str">
        <f>IFERROR(VLOOKUP($B462,OverallResults!$B$3:$Z$492,8,FALSE),"")</f>
        <v/>
      </c>
      <c r="J462" s="58" t="str">
        <f>IFERROR(VLOOKUP($B462,OverallResults!$B$3:$BB$492,9,FALSE),"")</f>
        <v/>
      </c>
      <c r="K462" s="58" t="str">
        <f>IFERROR(VLOOKUP($B462,OverallResults!$B$3:$BB$492,10,FALSE),"")</f>
        <v/>
      </c>
      <c r="L462" s="58" t="str">
        <f>IFERROR(VLOOKUP($B462,OverallResults!$B$3:$BB$492,11,FALSE),"")</f>
        <v/>
      </c>
      <c r="M462" s="58" t="str">
        <f>IFERROR(VLOOKUP($B462,OverallResults!$B$3:$BB$492,12,FALSE),"")</f>
        <v/>
      </c>
      <c r="N462" s="58" t="str">
        <f>IFERROR(VLOOKUP($B462,OverallResults!$B$3:$BB$492,13,FALSE),"")</f>
        <v/>
      </c>
      <c r="O462" s="58" t="str">
        <f>IFERROR(VLOOKUP($B462,OverallResults!$B$3:$BB$492,14,FALSE),"")</f>
        <v/>
      </c>
      <c r="P462" s="58" t="str">
        <f>IFERROR(VLOOKUP($B462,OverallResults!$B$3:$BB$492,15,FALSE),"")</f>
        <v/>
      </c>
      <c r="Q462" s="58" t="str">
        <f>IFERROR(VLOOKUP($B462,OverallResults!$B$3:$BB$492,16,FALSE),"")</f>
        <v/>
      </c>
      <c r="R462" s="58" t="str">
        <f>IFERROR(VLOOKUP($B462,OverallResults!$B$3:$BB$492,17,FALSE),"")</f>
        <v/>
      </c>
      <c r="S462" s="170" t="e">
        <f t="shared" si="18"/>
        <v>#VALUE!</v>
      </c>
      <c r="T462" s="170" t="e">
        <f t="shared" si="19"/>
        <v>#VALUE!</v>
      </c>
      <c r="U462" s="359" t="str">
        <f>IFERROR(VLOOKUP($D462,EntryList!$B$3:$S$291,18,FALSE),"")</f>
        <v/>
      </c>
      <c r="V462" s="359" t="str">
        <f>IFERROR(VLOOKUP($D462,EntryList!$B$3:$S$291,17,FALSE),"")</f>
        <v/>
      </c>
    </row>
    <row r="463" spans="2:22">
      <c r="B463" s="59">
        <v>458</v>
      </c>
      <c r="C463" s="331" t="str">
        <f>IFERROR(VLOOKUP($B463,OverallResults!$B$3:$Z$508,2,FALSE),"")</f>
        <v>DNF</v>
      </c>
      <c r="D463" s="146" t="str">
        <f>IFERROR(VLOOKUP($B463,OverallResults!$B$3:$Z$508,3,FALSE),"")</f>
        <v/>
      </c>
      <c r="E463" s="146" t="str">
        <f>IFERROR(VLOOKUP(C463,SeriesPoints!$A$2:$B$51,2,FALSE),"")</f>
        <v/>
      </c>
      <c r="F463" s="148" t="str">
        <f>IFERROR(VLOOKUP($D463,EntryList!$B$3:$V$291,21,FALSE),"")</f>
        <v/>
      </c>
      <c r="G463" s="100" t="str">
        <f>IFERROR(VLOOKUP($D463,EntryList!$B$3:$N$596,5,FALSE),"")</f>
        <v/>
      </c>
      <c r="H463" s="145" t="str">
        <f>IFERROR(VLOOKUP($D463,EntryList!$B$3:$N$596,6,FALSE),"")</f>
        <v/>
      </c>
      <c r="I463" s="331" t="str">
        <f>IFERROR(VLOOKUP($B463,OverallResults!$B$3:$Z$492,8,FALSE),"")</f>
        <v/>
      </c>
      <c r="J463" s="58" t="str">
        <f>IFERROR(VLOOKUP($B463,OverallResults!$B$3:$BB$492,9,FALSE),"")</f>
        <v/>
      </c>
      <c r="K463" s="58" t="str">
        <f>IFERROR(VLOOKUP($B463,OverallResults!$B$3:$BB$492,10,FALSE),"")</f>
        <v/>
      </c>
      <c r="L463" s="58" t="str">
        <f>IFERROR(VLOOKUP($B463,OverallResults!$B$3:$BB$492,11,FALSE),"")</f>
        <v/>
      </c>
      <c r="M463" s="58" t="str">
        <f>IFERROR(VLOOKUP($B463,OverallResults!$B$3:$BB$492,12,FALSE),"")</f>
        <v/>
      </c>
      <c r="N463" s="58" t="str">
        <f>IFERROR(VLOOKUP($B463,OverallResults!$B$3:$BB$492,13,FALSE),"")</f>
        <v/>
      </c>
      <c r="O463" s="58" t="str">
        <f>IFERROR(VLOOKUP($B463,OverallResults!$B$3:$BB$492,14,FALSE),"")</f>
        <v/>
      </c>
      <c r="P463" s="58" t="str">
        <f>IFERROR(VLOOKUP($B463,OverallResults!$B$3:$BB$492,15,FALSE),"")</f>
        <v/>
      </c>
      <c r="Q463" s="58" t="str">
        <f>IFERROR(VLOOKUP($B463,OverallResults!$B$3:$BB$492,16,FALSE),"")</f>
        <v/>
      </c>
      <c r="R463" s="58" t="str">
        <f>IFERROR(VLOOKUP($B463,OverallResults!$B$3:$BB$492,17,FALSE),"")</f>
        <v/>
      </c>
      <c r="S463" s="170" t="e">
        <f t="shared" si="18"/>
        <v>#VALUE!</v>
      </c>
      <c r="T463" s="170" t="e">
        <f t="shared" si="19"/>
        <v>#VALUE!</v>
      </c>
      <c r="U463" s="359" t="str">
        <f>IFERROR(VLOOKUP($D463,EntryList!$B$3:$S$291,18,FALSE),"")</f>
        <v/>
      </c>
      <c r="V463" s="359" t="str">
        <f>IFERROR(VLOOKUP($D463,EntryList!$B$3:$S$291,17,FALSE),"")</f>
        <v/>
      </c>
    </row>
    <row r="464" spans="2:22">
      <c r="B464" s="59">
        <v>459</v>
      </c>
      <c r="C464" s="331" t="str">
        <f>IFERROR(VLOOKUP($B464,OverallResults!$B$3:$Z$508,2,FALSE),"")</f>
        <v>DNF</v>
      </c>
      <c r="D464" s="146" t="str">
        <f>IFERROR(VLOOKUP($B464,OverallResults!$B$3:$Z$508,3,FALSE),"")</f>
        <v/>
      </c>
      <c r="E464" s="146" t="str">
        <f>IFERROR(VLOOKUP(C464,SeriesPoints!$A$2:$B$51,2,FALSE),"")</f>
        <v/>
      </c>
      <c r="F464" s="148" t="str">
        <f>IFERROR(VLOOKUP($D464,EntryList!$B$3:$V$291,21,FALSE),"")</f>
        <v/>
      </c>
      <c r="G464" s="100" t="str">
        <f>IFERROR(VLOOKUP($D464,EntryList!$B$3:$N$596,5,FALSE),"")</f>
        <v/>
      </c>
      <c r="H464" s="145" t="str">
        <f>IFERROR(VLOOKUP($D464,EntryList!$B$3:$N$596,6,FALSE),"")</f>
        <v/>
      </c>
      <c r="I464" s="331" t="str">
        <f>IFERROR(VLOOKUP($B464,OverallResults!$B$3:$Z$492,8,FALSE),"")</f>
        <v/>
      </c>
      <c r="J464" s="58" t="str">
        <f>IFERROR(VLOOKUP($B464,OverallResults!$B$3:$BB$492,9,FALSE),"")</f>
        <v/>
      </c>
      <c r="K464" s="58" t="str">
        <f>IFERROR(VLOOKUP($B464,OverallResults!$B$3:$BB$492,10,FALSE),"")</f>
        <v/>
      </c>
      <c r="L464" s="58" t="str">
        <f>IFERROR(VLOOKUP($B464,OverallResults!$B$3:$BB$492,11,FALSE),"")</f>
        <v/>
      </c>
      <c r="M464" s="58" t="str">
        <f>IFERROR(VLOOKUP($B464,OverallResults!$B$3:$BB$492,12,FALSE),"")</f>
        <v/>
      </c>
      <c r="N464" s="58" t="str">
        <f>IFERROR(VLOOKUP($B464,OverallResults!$B$3:$BB$492,13,FALSE),"")</f>
        <v/>
      </c>
      <c r="O464" s="58" t="str">
        <f>IFERROR(VLOOKUP($B464,OverallResults!$B$3:$BB$492,14,FALSE),"")</f>
        <v/>
      </c>
      <c r="P464" s="58" t="str">
        <f>IFERROR(VLOOKUP($B464,OverallResults!$B$3:$BB$492,15,FALSE),"")</f>
        <v/>
      </c>
      <c r="Q464" s="58" t="str">
        <f>IFERROR(VLOOKUP($B464,OverallResults!$B$3:$BB$492,16,FALSE),"")</f>
        <v/>
      </c>
      <c r="R464" s="58" t="str">
        <f>IFERROR(VLOOKUP($B464,OverallResults!$B$3:$BB$492,17,FALSE),"")</f>
        <v/>
      </c>
      <c r="S464" s="170" t="e">
        <f t="shared" si="18"/>
        <v>#VALUE!</v>
      </c>
      <c r="T464" s="170" t="e">
        <f t="shared" si="19"/>
        <v>#VALUE!</v>
      </c>
      <c r="U464" s="359" t="str">
        <f>IFERROR(VLOOKUP($D464,EntryList!$B$3:$S$291,18,FALSE),"")</f>
        <v/>
      </c>
      <c r="V464" s="359" t="str">
        <f>IFERROR(VLOOKUP($D464,EntryList!$B$3:$S$291,17,FALSE),"")</f>
        <v/>
      </c>
    </row>
    <row r="465" spans="2:22">
      <c r="B465" s="59">
        <v>460</v>
      </c>
      <c r="C465" s="331" t="str">
        <f>IFERROR(VLOOKUP($B465,OverallResults!$B$3:$Z$508,2,FALSE),"")</f>
        <v>DNF</v>
      </c>
      <c r="D465" s="146" t="str">
        <f>IFERROR(VLOOKUP($B465,OverallResults!$B$3:$Z$508,3,FALSE),"")</f>
        <v/>
      </c>
      <c r="E465" s="146" t="str">
        <f>IFERROR(VLOOKUP(C465,SeriesPoints!$A$2:$B$51,2,FALSE),"")</f>
        <v/>
      </c>
      <c r="F465" s="148" t="str">
        <f>IFERROR(VLOOKUP($D465,EntryList!$B$3:$V$291,21,FALSE),"")</f>
        <v/>
      </c>
      <c r="G465" s="100" t="str">
        <f>IFERROR(VLOOKUP($D465,EntryList!$B$3:$N$596,5,FALSE),"")</f>
        <v/>
      </c>
      <c r="H465" s="145" t="str">
        <f>IFERROR(VLOOKUP($D465,EntryList!$B$3:$N$596,6,FALSE),"")</f>
        <v/>
      </c>
      <c r="I465" s="331" t="str">
        <f>IFERROR(VLOOKUP($B465,OverallResults!$B$3:$Z$492,8,FALSE),"")</f>
        <v/>
      </c>
      <c r="J465" s="58" t="str">
        <f>IFERROR(VLOOKUP($B465,OverallResults!$B$3:$BB$492,9,FALSE),"")</f>
        <v/>
      </c>
      <c r="K465" s="58" t="str">
        <f>IFERROR(VLOOKUP($B465,OverallResults!$B$3:$BB$492,10,FALSE),"")</f>
        <v/>
      </c>
      <c r="L465" s="58" t="str">
        <f>IFERROR(VLOOKUP($B465,OverallResults!$B$3:$BB$492,11,FALSE),"")</f>
        <v/>
      </c>
      <c r="M465" s="58" t="str">
        <f>IFERROR(VLOOKUP($B465,OverallResults!$B$3:$BB$492,12,FALSE),"")</f>
        <v/>
      </c>
      <c r="N465" s="58" t="str">
        <f>IFERROR(VLOOKUP($B465,OverallResults!$B$3:$BB$492,13,FALSE),"")</f>
        <v/>
      </c>
      <c r="O465" s="58" t="str">
        <f>IFERROR(VLOOKUP($B465,OverallResults!$B$3:$BB$492,14,FALSE),"")</f>
        <v/>
      </c>
      <c r="P465" s="58" t="str">
        <f>IFERROR(VLOOKUP($B465,OverallResults!$B$3:$BB$492,15,FALSE),"")</f>
        <v/>
      </c>
      <c r="Q465" s="58" t="str">
        <f>IFERROR(VLOOKUP($B465,OverallResults!$B$3:$BB$492,16,FALSE),"")</f>
        <v/>
      </c>
      <c r="R465" s="58" t="str">
        <f>IFERROR(VLOOKUP($B465,OverallResults!$B$3:$BB$492,17,FALSE),"")</f>
        <v/>
      </c>
      <c r="S465" s="170" t="e">
        <f t="shared" si="18"/>
        <v>#VALUE!</v>
      </c>
      <c r="T465" s="170" t="e">
        <f t="shared" si="19"/>
        <v>#VALUE!</v>
      </c>
      <c r="U465" s="359" t="str">
        <f>IFERROR(VLOOKUP($D465,EntryList!$B$3:$S$291,18,FALSE),"")</f>
        <v/>
      </c>
      <c r="V465" s="359" t="str">
        <f>IFERROR(VLOOKUP($D465,EntryList!$B$3:$S$291,17,FALSE),"")</f>
        <v/>
      </c>
    </row>
    <row r="466" spans="2:22">
      <c r="B466" s="59">
        <v>461</v>
      </c>
      <c r="C466" s="331" t="str">
        <f>IFERROR(VLOOKUP($B466,OverallResults!$B$3:$Z$508,2,FALSE),"")</f>
        <v>DNF</v>
      </c>
      <c r="D466" s="146" t="str">
        <f>IFERROR(VLOOKUP($B466,OverallResults!$B$3:$Z$508,3,FALSE),"")</f>
        <v/>
      </c>
      <c r="E466" s="146" t="str">
        <f>IFERROR(VLOOKUP(C466,SeriesPoints!$A$2:$B$51,2,FALSE),"")</f>
        <v/>
      </c>
      <c r="F466" s="148" t="str">
        <f>IFERROR(VLOOKUP($D466,EntryList!$B$3:$V$291,21,FALSE),"")</f>
        <v/>
      </c>
      <c r="G466" s="100" t="str">
        <f>IFERROR(VLOOKUP($D466,EntryList!$B$3:$N$596,5,FALSE),"")</f>
        <v/>
      </c>
      <c r="H466" s="145" t="str">
        <f>IFERROR(VLOOKUP($D466,EntryList!$B$3:$N$596,6,FALSE),"")</f>
        <v/>
      </c>
      <c r="I466" s="331" t="str">
        <f>IFERROR(VLOOKUP($B466,OverallResults!$B$3:$Z$492,8,FALSE),"")</f>
        <v/>
      </c>
      <c r="J466" s="58" t="str">
        <f>IFERROR(VLOOKUP($B466,OverallResults!$B$3:$BB$492,9,FALSE),"")</f>
        <v/>
      </c>
      <c r="K466" s="58" t="str">
        <f>IFERROR(VLOOKUP($B466,OverallResults!$B$3:$BB$492,10,FALSE),"")</f>
        <v/>
      </c>
      <c r="L466" s="58" t="str">
        <f>IFERROR(VLOOKUP($B466,OverallResults!$B$3:$BB$492,11,FALSE),"")</f>
        <v/>
      </c>
      <c r="M466" s="58" t="str">
        <f>IFERROR(VLOOKUP($B466,OverallResults!$B$3:$BB$492,12,FALSE),"")</f>
        <v/>
      </c>
      <c r="N466" s="58" t="str">
        <f>IFERROR(VLOOKUP($B466,OverallResults!$B$3:$BB$492,13,FALSE),"")</f>
        <v/>
      </c>
      <c r="O466" s="58" t="str">
        <f>IFERROR(VLOOKUP($B466,OverallResults!$B$3:$BB$492,14,FALSE),"")</f>
        <v/>
      </c>
      <c r="P466" s="58" t="str">
        <f>IFERROR(VLOOKUP($B466,OverallResults!$B$3:$BB$492,15,FALSE),"")</f>
        <v/>
      </c>
      <c r="Q466" s="58" t="str">
        <f>IFERROR(VLOOKUP($B466,OverallResults!$B$3:$BB$492,16,FALSE),"")</f>
        <v/>
      </c>
      <c r="R466" s="58" t="str">
        <f>IFERROR(VLOOKUP($B466,OverallResults!$B$3:$BB$492,17,FALSE),"")</f>
        <v/>
      </c>
      <c r="S466" s="170" t="e">
        <f t="shared" si="18"/>
        <v>#VALUE!</v>
      </c>
      <c r="T466" s="170" t="e">
        <f t="shared" si="19"/>
        <v>#VALUE!</v>
      </c>
      <c r="U466" s="359" t="str">
        <f>IFERROR(VLOOKUP($D466,EntryList!$B$3:$S$291,18,FALSE),"")</f>
        <v/>
      </c>
      <c r="V466" s="359" t="str">
        <f>IFERROR(VLOOKUP($D466,EntryList!$B$3:$S$291,17,FALSE),"")</f>
        <v/>
      </c>
    </row>
    <row r="467" spans="2:22">
      <c r="B467" s="59">
        <v>462</v>
      </c>
      <c r="C467" s="331" t="str">
        <f>IFERROR(VLOOKUP($B467,OverallResults!$B$3:$Z$508,2,FALSE),"")</f>
        <v>DNF</v>
      </c>
      <c r="D467" s="146" t="str">
        <f>IFERROR(VLOOKUP($B467,OverallResults!$B$3:$Z$508,3,FALSE),"")</f>
        <v/>
      </c>
      <c r="E467" s="146" t="str">
        <f>IFERROR(VLOOKUP(C467,SeriesPoints!$A$2:$B$51,2,FALSE),"")</f>
        <v/>
      </c>
      <c r="F467" s="148" t="str">
        <f>IFERROR(VLOOKUP($D467,EntryList!$B$3:$V$291,21,FALSE),"")</f>
        <v/>
      </c>
      <c r="G467" s="100" t="str">
        <f>IFERROR(VLOOKUP($D467,EntryList!$B$3:$N$596,5,FALSE),"")</f>
        <v/>
      </c>
      <c r="H467" s="145" t="str">
        <f>IFERROR(VLOOKUP($D467,EntryList!$B$3:$N$596,6,FALSE),"")</f>
        <v/>
      </c>
      <c r="I467" s="331" t="str">
        <f>IFERROR(VLOOKUP($B467,OverallResults!$B$3:$Z$492,8,FALSE),"")</f>
        <v/>
      </c>
      <c r="J467" s="58" t="str">
        <f>IFERROR(VLOOKUP($B467,OverallResults!$B$3:$BB$492,9,FALSE),"")</f>
        <v/>
      </c>
      <c r="K467" s="58" t="str">
        <f>IFERROR(VLOOKUP($B467,OverallResults!$B$3:$BB$492,10,FALSE),"")</f>
        <v/>
      </c>
      <c r="L467" s="58" t="str">
        <f>IFERROR(VLOOKUP($B467,OverallResults!$B$3:$BB$492,11,FALSE),"")</f>
        <v/>
      </c>
      <c r="M467" s="58" t="str">
        <f>IFERROR(VLOOKUP($B467,OverallResults!$B$3:$BB$492,12,FALSE),"")</f>
        <v/>
      </c>
      <c r="N467" s="58" t="str">
        <f>IFERROR(VLOOKUP($B467,OverallResults!$B$3:$BB$492,13,FALSE),"")</f>
        <v/>
      </c>
      <c r="O467" s="58" t="str">
        <f>IFERROR(VLOOKUP($B467,OverallResults!$B$3:$BB$492,14,FALSE),"")</f>
        <v/>
      </c>
      <c r="P467" s="58" t="str">
        <f>IFERROR(VLOOKUP($B467,OverallResults!$B$3:$BB$492,15,FALSE),"")</f>
        <v/>
      </c>
      <c r="Q467" s="58" t="str">
        <f>IFERROR(VLOOKUP($B467,OverallResults!$B$3:$BB$492,16,FALSE),"")</f>
        <v/>
      </c>
      <c r="R467" s="58" t="str">
        <f>IFERROR(VLOOKUP($B467,OverallResults!$B$3:$BB$492,17,FALSE),"")</f>
        <v/>
      </c>
      <c r="S467" s="170" t="e">
        <f t="shared" si="18"/>
        <v>#VALUE!</v>
      </c>
      <c r="T467" s="170" t="e">
        <f t="shared" si="19"/>
        <v>#VALUE!</v>
      </c>
      <c r="U467" s="359" t="str">
        <f>IFERROR(VLOOKUP($D467,EntryList!$B$3:$S$291,18,FALSE),"")</f>
        <v/>
      </c>
      <c r="V467" s="359" t="str">
        <f>IFERROR(VLOOKUP($D467,EntryList!$B$3:$S$291,17,FALSE),"")</f>
        <v/>
      </c>
    </row>
    <row r="468" spans="2:22">
      <c r="B468" s="59">
        <v>463</v>
      </c>
      <c r="C468" s="331" t="str">
        <f>IFERROR(VLOOKUP($B468,OverallResults!$B$3:$Z$508,2,FALSE),"")</f>
        <v>DNF</v>
      </c>
      <c r="D468" s="146" t="str">
        <f>IFERROR(VLOOKUP($B468,OverallResults!$B$3:$Z$508,3,FALSE),"")</f>
        <v/>
      </c>
      <c r="E468" s="146" t="str">
        <f>IFERROR(VLOOKUP(C468,SeriesPoints!$A$2:$B$51,2,FALSE),"")</f>
        <v/>
      </c>
      <c r="F468" s="148" t="str">
        <f>IFERROR(VLOOKUP($D468,EntryList!$B$3:$V$291,21,FALSE),"")</f>
        <v/>
      </c>
      <c r="G468" s="100" t="str">
        <f>IFERROR(VLOOKUP($D468,EntryList!$B$3:$N$596,5,FALSE),"")</f>
        <v/>
      </c>
      <c r="H468" s="145" t="str">
        <f>IFERROR(VLOOKUP($D468,EntryList!$B$3:$N$596,6,FALSE),"")</f>
        <v/>
      </c>
      <c r="I468" s="331" t="str">
        <f>IFERROR(VLOOKUP($B468,OverallResults!$B$3:$Z$492,8,FALSE),"")</f>
        <v/>
      </c>
      <c r="J468" s="58" t="str">
        <f>IFERROR(VLOOKUP($B468,OverallResults!$B$3:$BB$492,9,FALSE),"")</f>
        <v/>
      </c>
      <c r="K468" s="58" t="str">
        <f>IFERROR(VLOOKUP($B468,OverallResults!$B$3:$BB$492,10,FALSE),"")</f>
        <v/>
      </c>
      <c r="L468" s="58" t="str">
        <f>IFERROR(VLOOKUP($B468,OverallResults!$B$3:$BB$492,11,FALSE),"")</f>
        <v/>
      </c>
      <c r="M468" s="58" t="str">
        <f>IFERROR(VLOOKUP($B468,OverallResults!$B$3:$BB$492,12,FALSE),"")</f>
        <v/>
      </c>
      <c r="N468" s="58" t="str">
        <f>IFERROR(VLOOKUP($B468,OverallResults!$B$3:$BB$492,13,FALSE),"")</f>
        <v/>
      </c>
      <c r="O468" s="58" t="str">
        <f>IFERROR(VLOOKUP($B468,OverallResults!$B$3:$BB$492,14,FALSE),"")</f>
        <v/>
      </c>
      <c r="P468" s="58" t="str">
        <f>IFERROR(VLOOKUP($B468,OverallResults!$B$3:$BB$492,15,FALSE),"")</f>
        <v/>
      </c>
      <c r="Q468" s="58" t="str">
        <f>IFERROR(VLOOKUP($B468,OverallResults!$B$3:$BB$492,16,FALSE),"")</f>
        <v/>
      </c>
      <c r="R468" s="58" t="str">
        <f>IFERROR(VLOOKUP($B468,OverallResults!$B$3:$BB$492,17,FALSE),"")</f>
        <v/>
      </c>
      <c r="S468" s="170" t="e">
        <f t="shared" si="18"/>
        <v>#VALUE!</v>
      </c>
      <c r="T468" s="170" t="e">
        <f t="shared" si="19"/>
        <v>#VALUE!</v>
      </c>
      <c r="U468" s="359" t="str">
        <f>IFERROR(VLOOKUP($D468,EntryList!$B$3:$S$291,18,FALSE),"")</f>
        <v/>
      </c>
      <c r="V468" s="359" t="str">
        <f>IFERROR(VLOOKUP($D468,EntryList!$B$3:$S$291,17,FALSE),"")</f>
        <v/>
      </c>
    </row>
    <row r="469" spans="2:22">
      <c r="B469" s="59">
        <v>464</v>
      </c>
      <c r="C469" s="331" t="str">
        <f>IFERROR(VLOOKUP($B469,OverallResults!$B$3:$Z$508,2,FALSE),"")</f>
        <v>DNF</v>
      </c>
      <c r="D469" s="146" t="str">
        <f>IFERROR(VLOOKUP($B469,OverallResults!$B$3:$Z$508,3,FALSE),"")</f>
        <v/>
      </c>
      <c r="E469" s="146" t="str">
        <f>IFERROR(VLOOKUP(C469,SeriesPoints!$A$2:$B$51,2,FALSE),"")</f>
        <v/>
      </c>
      <c r="F469" s="148" t="str">
        <f>IFERROR(VLOOKUP($D469,EntryList!$B$3:$V$291,21,FALSE),"")</f>
        <v/>
      </c>
      <c r="G469" s="100" t="str">
        <f>IFERROR(VLOOKUP($D469,EntryList!$B$3:$N$596,5,FALSE),"")</f>
        <v/>
      </c>
      <c r="H469" s="145" t="str">
        <f>IFERROR(VLOOKUP($D469,EntryList!$B$3:$N$596,6,FALSE),"")</f>
        <v/>
      </c>
      <c r="I469" s="331" t="str">
        <f>IFERROR(VLOOKUP($B469,OverallResults!$B$3:$Z$492,8,FALSE),"")</f>
        <v/>
      </c>
      <c r="J469" s="58" t="str">
        <f>IFERROR(VLOOKUP($B469,OverallResults!$B$3:$BB$492,9,FALSE),"")</f>
        <v/>
      </c>
      <c r="K469" s="58" t="str">
        <f>IFERROR(VLOOKUP($B469,OverallResults!$B$3:$BB$492,10,FALSE),"")</f>
        <v/>
      </c>
      <c r="L469" s="58" t="str">
        <f>IFERROR(VLOOKUP($B469,OverallResults!$B$3:$BB$492,11,FALSE),"")</f>
        <v/>
      </c>
      <c r="M469" s="58" t="str">
        <f>IFERROR(VLOOKUP($B469,OverallResults!$B$3:$BB$492,12,FALSE),"")</f>
        <v/>
      </c>
      <c r="N469" s="58" t="str">
        <f>IFERROR(VLOOKUP($B469,OverallResults!$B$3:$BB$492,13,FALSE),"")</f>
        <v/>
      </c>
      <c r="O469" s="58" t="str">
        <f>IFERROR(VLOOKUP($B469,OverallResults!$B$3:$BB$492,14,FALSE),"")</f>
        <v/>
      </c>
      <c r="P469" s="58" t="str">
        <f>IFERROR(VLOOKUP($B469,OverallResults!$B$3:$BB$492,15,FALSE),"")</f>
        <v/>
      </c>
      <c r="Q469" s="58" t="str">
        <f>IFERROR(VLOOKUP($B469,OverallResults!$B$3:$BB$492,16,FALSE),"")</f>
        <v/>
      </c>
      <c r="R469" s="58" t="str">
        <f>IFERROR(VLOOKUP($B469,OverallResults!$B$3:$BB$492,17,FALSE),"")</f>
        <v/>
      </c>
      <c r="S469" s="170" t="e">
        <f t="shared" si="18"/>
        <v>#VALUE!</v>
      </c>
      <c r="T469" s="170" t="e">
        <f t="shared" si="19"/>
        <v>#VALUE!</v>
      </c>
      <c r="U469" s="359" t="str">
        <f>IFERROR(VLOOKUP($D469,EntryList!$B$3:$S$291,18,FALSE),"")</f>
        <v/>
      </c>
      <c r="V469" s="359" t="str">
        <f>IFERROR(VLOOKUP($D469,EntryList!$B$3:$S$291,17,FALSE),"")</f>
        <v/>
      </c>
    </row>
    <row r="470" spans="2:22">
      <c r="B470" s="59">
        <v>465</v>
      </c>
      <c r="C470" s="331" t="str">
        <f>IFERROR(VLOOKUP($B470,OverallResults!$B$3:$Z$508,2,FALSE),"")</f>
        <v>DNF</v>
      </c>
      <c r="D470" s="146" t="str">
        <f>IFERROR(VLOOKUP($B470,OverallResults!$B$3:$Z$508,3,FALSE),"")</f>
        <v/>
      </c>
      <c r="E470" s="146" t="str">
        <f>IFERROR(VLOOKUP(C470,SeriesPoints!$A$2:$B$51,2,FALSE),"")</f>
        <v/>
      </c>
      <c r="F470" s="148" t="str">
        <f>IFERROR(VLOOKUP($D470,EntryList!$B$3:$V$291,21,FALSE),"")</f>
        <v/>
      </c>
      <c r="G470" s="100" t="str">
        <f>IFERROR(VLOOKUP($D470,EntryList!$B$3:$N$596,5,FALSE),"")</f>
        <v/>
      </c>
      <c r="H470" s="145" t="str">
        <f>IFERROR(VLOOKUP($D470,EntryList!$B$3:$N$596,6,FALSE),"")</f>
        <v/>
      </c>
      <c r="I470" s="331" t="str">
        <f>IFERROR(VLOOKUP($B470,OverallResults!$B$3:$Z$492,8,FALSE),"")</f>
        <v/>
      </c>
      <c r="J470" s="58" t="str">
        <f>IFERROR(VLOOKUP($B470,OverallResults!$B$3:$BB$492,9,FALSE),"")</f>
        <v/>
      </c>
      <c r="K470" s="58" t="str">
        <f>IFERROR(VLOOKUP($B470,OverallResults!$B$3:$BB$492,10,FALSE),"")</f>
        <v/>
      </c>
      <c r="L470" s="58" t="str">
        <f>IFERROR(VLOOKUP($B470,OverallResults!$B$3:$BB$492,11,FALSE),"")</f>
        <v/>
      </c>
      <c r="M470" s="58" t="str">
        <f>IFERROR(VLOOKUP($B470,OverallResults!$B$3:$BB$492,12,FALSE),"")</f>
        <v/>
      </c>
      <c r="N470" s="58" t="str">
        <f>IFERROR(VLOOKUP($B470,OverallResults!$B$3:$BB$492,13,FALSE),"")</f>
        <v/>
      </c>
      <c r="O470" s="58" t="str">
        <f>IFERROR(VLOOKUP($B470,OverallResults!$B$3:$BB$492,14,FALSE),"")</f>
        <v/>
      </c>
      <c r="P470" s="58" t="str">
        <f>IFERROR(VLOOKUP($B470,OverallResults!$B$3:$BB$492,15,FALSE),"")</f>
        <v/>
      </c>
      <c r="Q470" s="58" t="str">
        <f>IFERROR(VLOOKUP($B470,OverallResults!$B$3:$BB$492,16,FALSE),"")</f>
        <v/>
      </c>
      <c r="R470" s="58" t="str">
        <f>IFERROR(VLOOKUP($B470,OverallResults!$B$3:$BB$492,17,FALSE),"")</f>
        <v/>
      </c>
      <c r="S470" s="170" t="e">
        <f t="shared" si="18"/>
        <v>#VALUE!</v>
      </c>
      <c r="T470" s="170" t="e">
        <f t="shared" si="19"/>
        <v>#VALUE!</v>
      </c>
      <c r="U470" s="359" t="str">
        <f>IFERROR(VLOOKUP($D470,EntryList!$B$3:$S$291,18,FALSE),"")</f>
        <v/>
      </c>
      <c r="V470" s="359" t="str">
        <f>IFERROR(VLOOKUP($D470,EntryList!$B$3:$S$291,17,FALSE),"")</f>
        <v/>
      </c>
    </row>
    <row r="471" spans="2:22">
      <c r="B471" s="59">
        <v>466</v>
      </c>
      <c r="C471" s="331" t="str">
        <f>IFERROR(VLOOKUP($B471,OverallResults!$B$3:$Z$508,2,FALSE),"")</f>
        <v>DNF</v>
      </c>
      <c r="D471" s="146" t="str">
        <f>IFERROR(VLOOKUP($B471,OverallResults!$B$3:$Z$508,3,FALSE),"")</f>
        <v/>
      </c>
      <c r="E471" s="146" t="str">
        <f>IFERROR(VLOOKUP(C471,SeriesPoints!$A$2:$B$51,2,FALSE),"")</f>
        <v/>
      </c>
      <c r="F471" s="148" t="str">
        <f>IFERROR(VLOOKUP($D471,EntryList!$B$3:$V$291,21,FALSE),"")</f>
        <v/>
      </c>
      <c r="G471" s="100" t="str">
        <f>IFERROR(VLOOKUP($D471,EntryList!$B$3:$N$596,5,FALSE),"")</f>
        <v/>
      </c>
      <c r="H471" s="145" t="str">
        <f>IFERROR(VLOOKUP($D471,EntryList!$B$3:$N$596,6,FALSE),"")</f>
        <v/>
      </c>
      <c r="I471" s="331" t="str">
        <f>IFERROR(VLOOKUP($B471,OverallResults!$B$3:$Z$492,8,FALSE),"")</f>
        <v/>
      </c>
      <c r="J471" s="58" t="str">
        <f>IFERROR(VLOOKUP($B471,OverallResults!$B$3:$BB$492,9,FALSE),"")</f>
        <v/>
      </c>
      <c r="K471" s="58" t="str">
        <f>IFERROR(VLOOKUP($B471,OverallResults!$B$3:$BB$492,10,FALSE),"")</f>
        <v/>
      </c>
      <c r="L471" s="58" t="str">
        <f>IFERROR(VLOOKUP($B471,OverallResults!$B$3:$BB$492,11,FALSE),"")</f>
        <v/>
      </c>
      <c r="M471" s="58" t="str">
        <f>IFERROR(VLOOKUP($B471,OverallResults!$B$3:$BB$492,12,FALSE),"")</f>
        <v/>
      </c>
      <c r="N471" s="58" t="str">
        <f>IFERROR(VLOOKUP($B471,OverallResults!$B$3:$BB$492,13,FALSE),"")</f>
        <v/>
      </c>
      <c r="O471" s="58" t="str">
        <f>IFERROR(VLOOKUP($B471,OverallResults!$B$3:$BB$492,14,FALSE),"")</f>
        <v/>
      </c>
      <c r="P471" s="58" t="str">
        <f>IFERROR(VLOOKUP($B471,OverallResults!$B$3:$BB$492,15,FALSE),"")</f>
        <v/>
      </c>
      <c r="Q471" s="58" t="str">
        <f>IFERROR(VLOOKUP($B471,OverallResults!$B$3:$BB$492,16,FALSE),"")</f>
        <v/>
      </c>
      <c r="R471" s="58" t="str">
        <f>IFERROR(VLOOKUP($B471,OverallResults!$B$3:$BB$492,17,FALSE),"")</f>
        <v/>
      </c>
      <c r="S471" s="170" t="e">
        <f t="shared" si="18"/>
        <v>#VALUE!</v>
      </c>
      <c r="T471" s="170" t="e">
        <f t="shared" si="19"/>
        <v>#VALUE!</v>
      </c>
      <c r="U471" s="359" t="str">
        <f>IFERROR(VLOOKUP($D471,EntryList!$B$3:$S$291,18,FALSE),"")</f>
        <v/>
      </c>
      <c r="V471" s="359" t="str">
        <f>IFERROR(VLOOKUP($D471,EntryList!$B$3:$S$291,17,FALSE),"")</f>
        <v/>
      </c>
    </row>
    <row r="472" spans="2:22">
      <c r="B472" s="59">
        <v>467</v>
      </c>
      <c r="C472" s="331" t="str">
        <f>IFERROR(VLOOKUP($B472,OverallResults!$B$3:$Z$508,2,FALSE),"")</f>
        <v>DNF</v>
      </c>
      <c r="D472" s="146" t="str">
        <f>IFERROR(VLOOKUP($B472,OverallResults!$B$3:$Z$508,3,FALSE),"")</f>
        <v/>
      </c>
      <c r="E472" s="146" t="str">
        <f>IFERROR(VLOOKUP(C472,SeriesPoints!$A$2:$B$51,2,FALSE),"")</f>
        <v/>
      </c>
      <c r="F472" s="148" t="str">
        <f>IFERROR(VLOOKUP($D472,EntryList!$B$3:$V$291,21,FALSE),"")</f>
        <v/>
      </c>
      <c r="G472" s="100" t="str">
        <f>IFERROR(VLOOKUP($D472,EntryList!$B$3:$N$596,5,FALSE),"")</f>
        <v/>
      </c>
      <c r="H472" s="145" t="str">
        <f>IFERROR(VLOOKUP($D472,EntryList!$B$3:$N$596,6,FALSE),"")</f>
        <v/>
      </c>
      <c r="I472" s="331" t="str">
        <f>IFERROR(VLOOKUP($B472,OverallResults!$B$3:$Z$492,8,FALSE),"")</f>
        <v/>
      </c>
      <c r="J472" s="58" t="str">
        <f>IFERROR(VLOOKUP($B472,OverallResults!$B$3:$BB$492,9,FALSE),"")</f>
        <v/>
      </c>
      <c r="K472" s="58" t="str">
        <f>IFERROR(VLOOKUP($B472,OverallResults!$B$3:$BB$492,10,FALSE),"")</f>
        <v/>
      </c>
      <c r="L472" s="58" t="str">
        <f>IFERROR(VLOOKUP($B472,OverallResults!$B$3:$BB$492,11,FALSE),"")</f>
        <v/>
      </c>
      <c r="M472" s="58" t="str">
        <f>IFERROR(VLOOKUP($B472,OverallResults!$B$3:$BB$492,12,FALSE),"")</f>
        <v/>
      </c>
      <c r="N472" s="58" t="str">
        <f>IFERROR(VLOOKUP($B472,OverallResults!$B$3:$BB$492,13,FALSE),"")</f>
        <v/>
      </c>
      <c r="O472" s="58" t="str">
        <f>IFERROR(VLOOKUP($B472,OverallResults!$B$3:$BB$492,14,FALSE),"")</f>
        <v/>
      </c>
      <c r="P472" s="58" t="str">
        <f>IFERROR(VLOOKUP($B472,OverallResults!$B$3:$BB$492,15,FALSE),"")</f>
        <v/>
      </c>
      <c r="Q472" s="58" t="str">
        <f>IFERROR(VLOOKUP($B472,OverallResults!$B$3:$BB$492,16,FALSE),"")</f>
        <v/>
      </c>
      <c r="R472" s="58" t="str">
        <f>IFERROR(VLOOKUP($B472,OverallResults!$B$3:$BB$492,17,FALSE),"")</f>
        <v/>
      </c>
      <c r="S472" s="170" t="e">
        <f t="shared" si="18"/>
        <v>#VALUE!</v>
      </c>
      <c r="T472" s="170" t="e">
        <f t="shared" si="19"/>
        <v>#VALUE!</v>
      </c>
      <c r="U472" s="359" t="str">
        <f>IFERROR(VLOOKUP($D472,EntryList!$B$3:$S$291,18,FALSE),"")</f>
        <v/>
      </c>
      <c r="V472" s="359" t="str">
        <f>IFERROR(VLOOKUP($D472,EntryList!$B$3:$S$291,17,FALSE),"")</f>
        <v/>
      </c>
    </row>
    <row r="473" spans="2:22">
      <c r="B473" s="59">
        <v>468</v>
      </c>
      <c r="C473" s="331" t="str">
        <f>IFERROR(VLOOKUP($B473,OverallResults!$B$3:$Z$508,2,FALSE),"")</f>
        <v>DNF</v>
      </c>
      <c r="D473" s="146" t="str">
        <f>IFERROR(VLOOKUP($B473,OverallResults!$B$3:$Z$508,3,FALSE),"")</f>
        <v/>
      </c>
      <c r="E473" s="146" t="str">
        <f>IFERROR(VLOOKUP(C473,SeriesPoints!$A$2:$B$51,2,FALSE),"")</f>
        <v/>
      </c>
      <c r="F473" s="148" t="str">
        <f>IFERROR(VLOOKUP($D473,EntryList!$B$3:$V$291,21,FALSE),"")</f>
        <v/>
      </c>
      <c r="G473" s="100" t="str">
        <f>IFERROR(VLOOKUP($D473,EntryList!$B$3:$N$596,5,FALSE),"")</f>
        <v/>
      </c>
      <c r="H473" s="145" t="str">
        <f>IFERROR(VLOOKUP($D473,EntryList!$B$3:$N$596,6,FALSE),"")</f>
        <v/>
      </c>
      <c r="I473" s="331" t="str">
        <f>IFERROR(VLOOKUP($B473,OverallResults!$B$3:$Z$492,8,FALSE),"")</f>
        <v/>
      </c>
      <c r="J473" s="58" t="str">
        <f>IFERROR(VLOOKUP($B473,OverallResults!$B$3:$BB$492,9,FALSE),"")</f>
        <v/>
      </c>
      <c r="K473" s="58" t="str">
        <f>IFERROR(VLOOKUP($B473,OverallResults!$B$3:$BB$492,10,FALSE),"")</f>
        <v/>
      </c>
      <c r="L473" s="58" t="str">
        <f>IFERROR(VLOOKUP($B473,OverallResults!$B$3:$BB$492,11,FALSE),"")</f>
        <v/>
      </c>
      <c r="M473" s="58" t="str">
        <f>IFERROR(VLOOKUP($B473,OverallResults!$B$3:$BB$492,12,FALSE),"")</f>
        <v/>
      </c>
      <c r="N473" s="58" t="str">
        <f>IFERROR(VLOOKUP($B473,OverallResults!$B$3:$BB$492,13,FALSE),"")</f>
        <v/>
      </c>
      <c r="O473" s="58" t="str">
        <f>IFERROR(VLOOKUP($B473,OverallResults!$B$3:$BB$492,14,FALSE),"")</f>
        <v/>
      </c>
      <c r="P473" s="58" t="str">
        <f>IFERROR(VLOOKUP($B473,OverallResults!$B$3:$BB$492,15,FALSE),"")</f>
        <v/>
      </c>
      <c r="Q473" s="58" t="str">
        <f>IFERROR(VLOOKUP($B473,OverallResults!$B$3:$BB$492,16,FALSE),"")</f>
        <v/>
      </c>
      <c r="R473" s="58" t="str">
        <f>IFERROR(VLOOKUP($B473,OverallResults!$B$3:$BB$492,17,FALSE),"")</f>
        <v/>
      </c>
      <c r="S473" s="170" t="e">
        <f t="shared" si="18"/>
        <v>#VALUE!</v>
      </c>
      <c r="T473" s="170" t="e">
        <f t="shared" si="19"/>
        <v>#VALUE!</v>
      </c>
      <c r="U473" s="359" t="str">
        <f>IFERROR(VLOOKUP($D473,EntryList!$B$3:$S$291,18,FALSE),"")</f>
        <v/>
      </c>
      <c r="V473" s="359" t="str">
        <f>IFERROR(VLOOKUP($D473,EntryList!$B$3:$S$291,17,FALSE),"")</f>
        <v/>
      </c>
    </row>
    <row r="474" spans="2:22">
      <c r="B474" s="59">
        <v>469</v>
      </c>
      <c r="C474" s="331" t="str">
        <f>IFERROR(VLOOKUP($B474,OverallResults!$B$3:$Z$508,2,FALSE),"")</f>
        <v>DNF</v>
      </c>
      <c r="D474" s="146" t="str">
        <f>IFERROR(VLOOKUP($B474,OverallResults!$B$3:$Z$508,3,FALSE),"")</f>
        <v/>
      </c>
      <c r="E474" s="146" t="str">
        <f>IFERROR(VLOOKUP(C474,SeriesPoints!$A$2:$B$51,2,FALSE),"")</f>
        <v/>
      </c>
      <c r="F474" s="148" t="str">
        <f>IFERROR(VLOOKUP($D474,EntryList!$B$3:$V$291,21,FALSE),"")</f>
        <v/>
      </c>
      <c r="G474" s="100" t="str">
        <f>IFERROR(VLOOKUP($D474,EntryList!$B$3:$N$596,5,FALSE),"")</f>
        <v/>
      </c>
      <c r="H474" s="145" t="str">
        <f>IFERROR(VLOOKUP($D474,EntryList!$B$3:$N$596,6,FALSE),"")</f>
        <v/>
      </c>
      <c r="I474" s="331" t="str">
        <f>IFERROR(VLOOKUP($B474,OverallResults!$B$3:$Z$492,8,FALSE),"")</f>
        <v/>
      </c>
      <c r="J474" s="58" t="str">
        <f>IFERROR(VLOOKUP($B474,OverallResults!$B$3:$BB$492,9,FALSE),"")</f>
        <v/>
      </c>
      <c r="K474" s="58" t="str">
        <f>IFERROR(VLOOKUP($B474,OverallResults!$B$3:$BB$492,10,FALSE),"")</f>
        <v/>
      </c>
      <c r="L474" s="58" t="str">
        <f>IFERROR(VLOOKUP($B474,OverallResults!$B$3:$BB$492,11,FALSE),"")</f>
        <v/>
      </c>
      <c r="M474" s="58" t="str">
        <f>IFERROR(VLOOKUP($B474,OverallResults!$B$3:$BB$492,12,FALSE),"")</f>
        <v/>
      </c>
      <c r="N474" s="58" t="str">
        <f>IFERROR(VLOOKUP($B474,OverallResults!$B$3:$BB$492,13,FALSE),"")</f>
        <v/>
      </c>
      <c r="O474" s="58" t="str">
        <f>IFERROR(VLOOKUP($B474,OverallResults!$B$3:$BB$492,14,FALSE),"")</f>
        <v/>
      </c>
      <c r="P474" s="58" t="str">
        <f>IFERROR(VLOOKUP($B474,OverallResults!$B$3:$BB$492,15,FALSE),"")</f>
        <v/>
      </c>
      <c r="Q474" s="58" t="str">
        <f>IFERROR(VLOOKUP($B474,OverallResults!$B$3:$BB$492,16,FALSE),"")</f>
        <v/>
      </c>
      <c r="R474" s="58" t="str">
        <f>IFERROR(VLOOKUP($B474,OverallResults!$B$3:$BB$492,17,FALSE),"")</f>
        <v/>
      </c>
      <c r="S474" s="170" t="e">
        <f t="shared" si="18"/>
        <v>#VALUE!</v>
      </c>
      <c r="T474" s="170" t="e">
        <f t="shared" si="19"/>
        <v>#VALUE!</v>
      </c>
      <c r="U474" s="359" t="str">
        <f>IFERROR(VLOOKUP($D474,EntryList!$B$3:$S$291,18,FALSE),"")</f>
        <v/>
      </c>
      <c r="V474" s="359" t="str">
        <f>IFERROR(VLOOKUP($D474,EntryList!$B$3:$S$291,17,FALSE),"")</f>
        <v/>
      </c>
    </row>
    <row r="475" spans="2:22">
      <c r="B475" s="59">
        <v>470</v>
      </c>
      <c r="C475" s="331" t="str">
        <f>IFERROR(VLOOKUP($B475,OverallResults!$B$3:$Z$508,2,FALSE),"")</f>
        <v>DNF</v>
      </c>
      <c r="D475" s="146" t="str">
        <f>IFERROR(VLOOKUP($B475,OverallResults!$B$3:$Z$508,3,FALSE),"")</f>
        <v/>
      </c>
      <c r="E475" s="146" t="str">
        <f>IFERROR(VLOOKUP(C475,SeriesPoints!$A$2:$B$51,2,FALSE),"")</f>
        <v/>
      </c>
      <c r="F475" s="148" t="str">
        <f>IFERROR(VLOOKUP($D475,EntryList!$B$3:$V$291,21,FALSE),"")</f>
        <v/>
      </c>
      <c r="G475" s="100" t="str">
        <f>IFERROR(VLOOKUP($D475,EntryList!$B$3:$N$596,5,FALSE),"")</f>
        <v/>
      </c>
      <c r="H475" s="145" t="str">
        <f>IFERROR(VLOOKUP($D475,EntryList!$B$3:$N$596,6,FALSE),"")</f>
        <v/>
      </c>
      <c r="I475" s="331" t="str">
        <f>IFERROR(VLOOKUP($B475,OverallResults!$B$3:$Z$492,8,FALSE),"")</f>
        <v/>
      </c>
      <c r="J475" s="58" t="str">
        <f>IFERROR(VLOOKUP($B475,OverallResults!$B$3:$BB$492,9,FALSE),"")</f>
        <v/>
      </c>
      <c r="K475" s="58" t="str">
        <f>IFERROR(VLOOKUP($B475,OverallResults!$B$3:$BB$492,10,FALSE),"")</f>
        <v/>
      </c>
      <c r="L475" s="58" t="str">
        <f>IFERROR(VLOOKUP($B475,OverallResults!$B$3:$BB$492,11,FALSE),"")</f>
        <v/>
      </c>
      <c r="M475" s="58" t="str">
        <f>IFERROR(VLOOKUP($B475,OverallResults!$B$3:$BB$492,12,FALSE),"")</f>
        <v/>
      </c>
      <c r="N475" s="58" t="str">
        <f>IFERROR(VLOOKUP($B475,OverallResults!$B$3:$BB$492,13,FALSE),"")</f>
        <v/>
      </c>
      <c r="O475" s="58" t="str">
        <f>IFERROR(VLOOKUP($B475,OverallResults!$B$3:$BB$492,14,FALSE),"")</f>
        <v/>
      </c>
      <c r="P475" s="58" t="str">
        <f>IFERROR(VLOOKUP($B475,OverallResults!$B$3:$BB$492,15,FALSE),"")</f>
        <v/>
      </c>
      <c r="Q475" s="58" t="str">
        <f>IFERROR(VLOOKUP($B475,OverallResults!$B$3:$BB$492,16,FALSE),"")</f>
        <v/>
      </c>
      <c r="R475" s="58" t="str">
        <f>IFERROR(VLOOKUP($B475,OverallResults!$B$3:$BB$492,17,FALSE),"")</f>
        <v/>
      </c>
      <c r="S475" s="170" t="e">
        <f t="shared" si="18"/>
        <v>#VALUE!</v>
      </c>
      <c r="T475" s="170" t="e">
        <f t="shared" si="19"/>
        <v>#VALUE!</v>
      </c>
      <c r="U475" s="359" t="str">
        <f>IFERROR(VLOOKUP($D475,EntryList!$B$3:$S$291,18,FALSE),"")</f>
        <v/>
      </c>
      <c r="V475" s="359" t="str">
        <f>IFERROR(VLOOKUP($D475,EntryList!$B$3:$S$291,17,FALSE),"")</f>
        <v/>
      </c>
    </row>
    <row r="476" spans="2:22">
      <c r="B476" s="59">
        <v>471</v>
      </c>
      <c r="C476" s="331" t="str">
        <f>IFERROR(VLOOKUP($B476,OverallResults!$B$3:$Z$508,2,FALSE),"")</f>
        <v/>
      </c>
      <c r="D476" s="146" t="str">
        <f>IFERROR(VLOOKUP($B476,OverallResults!$B$3:$Z$508,3,FALSE),"")</f>
        <v/>
      </c>
      <c r="E476" s="146" t="str">
        <f>IFERROR(VLOOKUP(C476,SeriesPoints!$A$2:$B$51,2,FALSE),"")</f>
        <v/>
      </c>
      <c r="F476" s="148" t="str">
        <f>IFERROR(VLOOKUP($D476,EntryList!$B$3:$V$291,21,FALSE),"")</f>
        <v/>
      </c>
      <c r="G476" s="100" t="str">
        <f>IFERROR(VLOOKUP($D476,EntryList!$B$3:$N$596,5,FALSE),"")</f>
        <v/>
      </c>
      <c r="H476" s="145" t="str">
        <f>IFERROR(VLOOKUP($D476,EntryList!$B$3:$N$596,6,FALSE),"")</f>
        <v/>
      </c>
      <c r="I476" s="331" t="str">
        <f>IFERROR(VLOOKUP($B476,OverallResults!$B$3:$Z$492,8,FALSE),"")</f>
        <v/>
      </c>
      <c r="J476" s="58" t="str">
        <f>IFERROR(VLOOKUP($B476,OverallResults!$B$3:$BB$492,9,FALSE),"")</f>
        <v/>
      </c>
      <c r="K476" s="58" t="str">
        <f>IFERROR(VLOOKUP($B476,OverallResults!$B$3:$BB$492,10,FALSE),"")</f>
        <v/>
      </c>
      <c r="L476" s="58" t="str">
        <f>IFERROR(VLOOKUP($B476,OverallResults!$B$3:$BB$492,11,FALSE),"")</f>
        <v/>
      </c>
      <c r="M476" s="58" t="str">
        <f>IFERROR(VLOOKUP($B476,OverallResults!$B$3:$BB$492,12,FALSE),"")</f>
        <v/>
      </c>
      <c r="N476" s="58" t="str">
        <f>IFERROR(VLOOKUP($B476,OverallResults!$B$3:$BB$492,13,FALSE),"")</f>
        <v/>
      </c>
      <c r="O476" s="58" t="str">
        <f>IFERROR(VLOOKUP($B476,OverallResults!$B$3:$BB$492,14,FALSE),"")</f>
        <v/>
      </c>
      <c r="P476" s="58" t="str">
        <f>IFERROR(VLOOKUP($B476,OverallResults!$B$3:$BB$492,15,FALSE),"")</f>
        <v/>
      </c>
      <c r="Q476" s="58" t="str">
        <f>IFERROR(VLOOKUP($B476,OverallResults!$B$3:$BB$492,16,FALSE),"")</f>
        <v/>
      </c>
      <c r="R476" s="58" t="str">
        <f>IFERROR(VLOOKUP($B476,OverallResults!$B$3:$BB$492,17,FALSE),"")</f>
        <v/>
      </c>
      <c r="S476" s="170" t="e">
        <f t="shared" si="18"/>
        <v>#VALUE!</v>
      </c>
      <c r="T476" s="170" t="e">
        <f t="shared" si="19"/>
        <v>#VALUE!</v>
      </c>
      <c r="U476" s="359" t="str">
        <f>IFERROR(VLOOKUP($D476,EntryList!$B$3:$S$291,18,FALSE),"")</f>
        <v/>
      </c>
      <c r="V476" s="359" t="str">
        <f>IFERROR(VLOOKUP($D476,EntryList!$B$3:$S$291,17,FALSE),"")</f>
        <v/>
      </c>
    </row>
    <row r="477" spans="2:22">
      <c r="B477" s="59">
        <v>472</v>
      </c>
      <c r="C477" s="331" t="str">
        <f>IFERROR(VLOOKUP($B477,OverallResults!$B$3:$Z$508,2,FALSE),"")</f>
        <v/>
      </c>
      <c r="D477" s="146" t="str">
        <f>IFERROR(VLOOKUP($B477,OverallResults!$B$3:$Z$508,3,FALSE),"")</f>
        <v/>
      </c>
      <c r="E477" s="146" t="str">
        <f>IFERROR(VLOOKUP(C477,SeriesPoints!$A$2:$B$51,2,FALSE),"")</f>
        <v/>
      </c>
      <c r="F477" s="148" t="str">
        <f>IFERROR(VLOOKUP($D477,EntryList!$B$3:$V$291,21,FALSE),"")</f>
        <v/>
      </c>
      <c r="G477" s="100" t="str">
        <f>IFERROR(VLOOKUP($D477,EntryList!$B$3:$N$596,5,FALSE),"")</f>
        <v/>
      </c>
      <c r="H477" s="145" t="str">
        <f>IFERROR(VLOOKUP($D477,EntryList!$B$3:$N$596,6,FALSE),"")</f>
        <v/>
      </c>
      <c r="I477" s="331" t="str">
        <f>IFERROR(VLOOKUP($B477,OverallResults!$B$3:$Z$492,8,FALSE),"")</f>
        <v/>
      </c>
      <c r="J477" s="58" t="str">
        <f>IFERROR(VLOOKUP($B477,OverallResults!$B$3:$BB$492,9,FALSE),"")</f>
        <v/>
      </c>
      <c r="K477" s="58" t="str">
        <f>IFERROR(VLOOKUP($B477,OverallResults!$B$3:$BB$492,10,FALSE),"")</f>
        <v/>
      </c>
      <c r="L477" s="58" t="str">
        <f>IFERROR(VLOOKUP($B477,OverallResults!$B$3:$BB$492,11,FALSE),"")</f>
        <v/>
      </c>
      <c r="M477" s="58" t="str">
        <f>IFERROR(VLOOKUP($B477,OverallResults!$B$3:$BB$492,12,FALSE),"")</f>
        <v/>
      </c>
      <c r="N477" s="58" t="str">
        <f>IFERROR(VLOOKUP($B477,OverallResults!$B$3:$BB$492,13,FALSE),"")</f>
        <v/>
      </c>
      <c r="O477" s="58" t="str">
        <f>IFERROR(VLOOKUP($B477,OverallResults!$B$3:$BB$492,14,FALSE),"")</f>
        <v/>
      </c>
      <c r="P477" s="58" t="str">
        <f>IFERROR(VLOOKUP($B477,OverallResults!$B$3:$BB$492,15,FALSE),"")</f>
        <v/>
      </c>
      <c r="Q477" s="58" t="str">
        <f>IFERROR(VLOOKUP($B477,OverallResults!$B$3:$BB$492,16,FALSE),"")</f>
        <v/>
      </c>
      <c r="R477" s="58" t="str">
        <f>IFERROR(VLOOKUP($B477,OverallResults!$B$3:$BB$492,17,FALSE),"")</f>
        <v/>
      </c>
      <c r="S477" s="170" t="e">
        <f t="shared" si="18"/>
        <v>#VALUE!</v>
      </c>
      <c r="T477" s="170" t="e">
        <f t="shared" si="19"/>
        <v>#VALUE!</v>
      </c>
      <c r="U477" s="359" t="str">
        <f>IFERROR(VLOOKUP($D477,EntryList!$B$3:$S$291,18,FALSE),"")</f>
        <v/>
      </c>
      <c r="V477" s="359" t="str">
        <f>IFERROR(VLOOKUP($D477,EntryList!$B$3:$S$291,17,FALSE),"")</f>
        <v/>
      </c>
    </row>
    <row r="478" spans="2:22">
      <c r="B478" s="59">
        <v>473</v>
      </c>
      <c r="C478" s="331" t="str">
        <f>IFERROR(VLOOKUP($B478,OverallResults!$B$3:$Z$508,2,FALSE),"")</f>
        <v/>
      </c>
      <c r="D478" s="146" t="str">
        <f>IFERROR(VLOOKUP($B478,OverallResults!$B$3:$Z$508,3,FALSE),"")</f>
        <v/>
      </c>
      <c r="E478" s="146" t="str">
        <f>IFERROR(VLOOKUP(C478,SeriesPoints!$A$2:$B$51,2,FALSE),"")</f>
        <v/>
      </c>
      <c r="F478" s="148" t="str">
        <f>IFERROR(VLOOKUP($D478,EntryList!$B$3:$V$291,21,FALSE),"")</f>
        <v/>
      </c>
      <c r="G478" s="100" t="str">
        <f>IFERROR(VLOOKUP($D478,EntryList!$B$3:$N$596,5,FALSE),"")</f>
        <v/>
      </c>
      <c r="H478" s="145" t="str">
        <f>IFERROR(VLOOKUP($D478,EntryList!$B$3:$N$596,6,FALSE),"")</f>
        <v/>
      </c>
      <c r="I478" s="331" t="str">
        <f>IFERROR(VLOOKUP($B478,OverallResults!$B$3:$Z$492,8,FALSE),"")</f>
        <v/>
      </c>
      <c r="J478" s="58" t="str">
        <f>IFERROR(VLOOKUP($B478,OverallResults!$B$3:$BB$492,9,FALSE),"")</f>
        <v/>
      </c>
      <c r="K478" s="58" t="str">
        <f>IFERROR(VLOOKUP($B478,OverallResults!$B$3:$BB$492,10,FALSE),"")</f>
        <v/>
      </c>
      <c r="L478" s="58" t="str">
        <f>IFERROR(VLOOKUP($B478,OverallResults!$B$3:$BB$492,11,FALSE),"")</f>
        <v/>
      </c>
      <c r="M478" s="58" t="str">
        <f>IFERROR(VLOOKUP($B478,OverallResults!$B$3:$BB$492,12,FALSE),"")</f>
        <v/>
      </c>
      <c r="N478" s="58" t="str">
        <f>IFERROR(VLOOKUP($B478,OverallResults!$B$3:$BB$492,13,FALSE),"")</f>
        <v/>
      </c>
      <c r="O478" s="58" t="str">
        <f>IFERROR(VLOOKUP($B478,OverallResults!$B$3:$BB$492,14,FALSE),"")</f>
        <v/>
      </c>
      <c r="P478" s="58" t="str">
        <f>IFERROR(VLOOKUP($B478,OverallResults!$B$3:$BB$492,15,FALSE),"")</f>
        <v/>
      </c>
      <c r="Q478" s="58" t="str">
        <f>IFERROR(VLOOKUP($B478,OverallResults!$B$3:$BB$492,16,FALSE),"")</f>
        <v/>
      </c>
      <c r="R478" s="58" t="str">
        <f>IFERROR(VLOOKUP($B478,OverallResults!$B$3:$BB$492,17,FALSE),"")</f>
        <v/>
      </c>
      <c r="S478" s="170" t="e">
        <f t="shared" si="18"/>
        <v>#VALUE!</v>
      </c>
      <c r="T478" s="170" t="e">
        <f t="shared" si="19"/>
        <v>#VALUE!</v>
      </c>
      <c r="U478" s="359" t="str">
        <f>IFERROR(VLOOKUP($D478,EntryList!$B$3:$S$291,18,FALSE),"")</f>
        <v/>
      </c>
      <c r="V478" s="359" t="str">
        <f>IFERROR(VLOOKUP($D478,EntryList!$B$3:$S$291,17,FALSE),"")</f>
        <v/>
      </c>
    </row>
    <row r="479" spans="2:22">
      <c r="B479" s="59">
        <v>474</v>
      </c>
      <c r="C479" s="331" t="str">
        <f>IFERROR(VLOOKUP($B479,OverallResults!$B$3:$Z$508,2,FALSE),"")</f>
        <v/>
      </c>
      <c r="D479" s="146" t="str">
        <f>IFERROR(VLOOKUP($B479,OverallResults!$B$3:$Z$508,3,FALSE),"")</f>
        <v/>
      </c>
      <c r="E479" s="146" t="str">
        <f>IFERROR(VLOOKUP(C479,SeriesPoints!$A$2:$B$51,2,FALSE),"")</f>
        <v/>
      </c>
      <c r="F479" s="148" t="str">
        <f>IFERROR(VLOOKUP($D479,EntryList!$B$3:$V$291,21,FALSE),"")</f>
        <v/>
      </c>
      <c r="G479" s="100" t="str">
        <f>IFERROR(VLOOKUP($D479,EntryList!$B$3:$N$596,5,FALSE),"")</f>
        <v/>
      </c>
      <c r="H479" s="145" t="str">
        <f>IFERROR(VLOOKUP($D479,EntryList!$B$3:$N$596,6,FALSE),"")</f>
        <v/>
      </c>
      <c r="I479" s="331" t="str">
        <f>IFERROR(VLOOKUP($B479,OverallResults!$B$3:$Z$492,8,FALSE),"")</f>
        <v/>
      </c>
      <c r="J479" s="58" t="str">
        <f>IFERROR(VLOOKUP($B479,OverallResults!$B$3:$BB$492,9,FALSE),"")</f>
        <v/>
      </c>
      <c r="K479" s="58" t="str">
        <f>IFERROR(VLOOKUP($B479,OverallResults!$B$3:$BB$492,10,FALSE),"")</f>
        <v/>
      </c>
      <c r="L479" s="58" t="str">
        <f>IFERROR(VLOOKUP($B479,OverallResults!$B$3:$BB$492,11,FALSE),"")</f>
        <v/>
      </c>
      <c r="M479" s="58" t="str">
        <f>IFERROR(VLOOKUP($B479,OverallResults!$B$3:$BB$492,12,FALSE),"")</f>
        <v/>
      </c>
      <c r="N479" s="58" t="str">
        <f>IFERROR(VLOOKUP($B479,OverallResults!$B$3:$BB$492,13,FALSE),"")</f>
        <v/>
      </c>
      <c r="O479" s="58" t="str">
        <f>IFERROR(VLOOKUP($B479,OverallResults!$B$3:$BB$492,14,FALSE),"")</f>
        <v/>
      </c>
      <c r="P479" s="58" t="str">
        <f>IFERROR(VLOOKUP($B479,OverallResults!$B$3:$BB$492,15,FALSE),"")</f>
        <v/>
      </c>
      <c r="Q479" s="58" t="str">
        <f>IFERROR(VLOOKUP($B479,OverallResults!$B$3:$BB$492,16,FALSE),"")</f>
        <v/>
      </c>
      <c r="R479" s="58" t="str">
        <f>IFERROR(VLOOKUP($B479,OverallResults!$B$3:$BB$492,17,FALSE),"")</f>
        <v/>
      </c>
      <c r="S479" s="170" t="e">
        <f t="shared" si="18"/>
        <v>#VALUE!</v>
      </c>
      <c r="T479" s="170" t="e">
        <f t="shared" si="19"/>
        <v>#VALUE!</v>
      </c>
      <c r="U479" s="359" t="str">
        <f>IFERROR(VLOOKUP($D479,EntryList!$B$3:$S$291,18,FALSE),"")</f>
        <v/>
      </c>
      <c r="V479" s="359" t="str">
        <f>IFERROR(VLOOKUP($D479,EntryList!$B$3:$S$291,17,FALSE),"")</f>
        <v/>
      </c>
    </row>
    <row r="480" spans="2:22">
      <c r="B480" s="59">
        <v>475</v>
      </c>
      <c r="C480" s="331" t="str">
        <f>IFERROR(VLOOKUP($B480,OverallResults!$B$3:$Z$508,2,FALSE),"")</f>
        <v/>
      </c>
      <c r="D480" s="146" t="str">
        <f>IFERROR(VLOOKUP($B480,OverallResults!$B$3:$Z$508,3,FALSE),"")</f>
        <v/>
      </c>
      <c r="E480" s="146" t="str">
        <f>IFERROR(VLOOKUP(C480,SeriesPoints!$A$2:$B$51,2,FALSE),"")</f>
        <v/>
      </c>
      <c r="F480" s="148" t="str">
        <f>IFERROR(VLOOKUP($D480,EntryList!$B$3:$V$291,21,FALSE),"")</f>
        <v/>
      </c>
      <c r="G480" s="100" t="str">
        <f>IFERROR(VLOOKUP($D480,EntryList!$B$3:$N$596,5,FALSE),"")</f>
        <v/>
      </c>
      <c r="H480" s="145" t="str">
        <f>IFERROR(VLOOKUP($D480,EntryList!$B$3:$N$596,6,FALSE),"")</f>
        <v/>
      </c>
      <c r="I480" s="331" t="str">
        <f>IFERROR(VLOOKUP($B480,OverallResults!$B$3:$Z$492,8,FALSE),"")</f>
        <v/>
      </c>
      <c r="J480" s="58" t="str">
        <f>IFERROR(VLOOKUP($B480,OverallResults!$B$3:$BB$492,9,FALSE),"")</f>
        <v/>
      </c>
      <c r="K480" s="58" t="str">
        <f>IFERROR(VLOOKUP($B480,OverallResults!$B$3:$BB$492,10,FALSE),"")</f>
        <v/>
      </c>
      <c r="L480" s="58" t="str">
        <f>IFERROR(VLOOKUP($B480,OverallResults!$B$3:$BB$492,11,FALSE),"")</f>
        <v/>
      </c>
      <c r="M480" s="58" t="str">
        <f>IFERROR(VLOOKUP($B480,OverallResults!$B$3:$BB$492,12,FALSE),"")</f>
        <v/>
      </c>
      <c r="N480" s="58" t="str">
        <f>IFERROR(VLOOKUP($B480,OverallResults!$B$3:$BB$492,13,FALSE),"")</f>
        <v/>
      </c>
      <c r="O480" s="58" t="str">
        <f>IFERROR(VLOOKUP($B480,OverallResults!$B$3:$BB$492,14,FALSE),"")</f>
        <v/>
      </c>
      <c r="P480" s="58" t="str">
        <f>IFERROR(VLOOKUP($B480,OverallResults!$B$3:$BB$492,15,FALSE),"")</f>
        <v/>
      </c>
      <c r="Q480" s="58" t="str">
        <f>IFERROR(VLOOKUP($B480,OverallResults!$B$3:$BB$492,16,FALSE),"")</f>
        <v/>
      </c>
      <c r="R480" s="58" t="str">
        <f>IFERROR(VLOOKUP($B480,OverallResults!$B$3:$BB$492,17,FALSE),"")</f>
        <v/>
      </c>
      <c r="S480" s="170" t="e">
        <f t="shared" si="18"/>
        <v>#VALUE!</v>
      </c>
      <c r="T480" s="170" t="e">
        <f t="shared" si="19"/>
        <v>#VALUE!</v>
      </c>
      <c r="U480" s="359" t="str">
        <f>IFERROR(VLOOKUP($D480,EntryList!$B$3:$S$291,18,FALSE),"")</f>
        <v/>
      </c>
      <c r="V480" s="359" t="str">
        <f>IFERROR(VLOOKUP($D480,EntryList!$B$3:$S$291,17,FALSE),"")</f>
        <v/>
      </c>
    </row>
    <row r="481" spans="2:22">
      <c r="B481" s="59">
        <v>476</v>
      </c>
      <c r="C481" s="331" t="str">
        <f>IFERROR(VLOOKUP($B481,OverallResults!$B$3:$Z$508,2,FALSE),"")</f>
        <v/>
      </c>
      <c r="D481" s="146" t="str">
        <f>IFERROR(VLOOKUP($B481,OverallResults!$B$3:$Z$508,3,FALSE),"")</f>
        <v/>
      </c>
      <c r="E481" s="146" t="str">
        <f>IFERROR(VLOOKUP(C481,SeriesPoints!$A$2:$B$51,2,FALSE),"")</f>
        <v/>
      </c>
      <c r="F481" s="148" t="str">
        <f>IFERROR(VLOOKUP($D481,EntryList!$B$3:$V$291,21,FALSE),"")</f>
        <v/>
      </c>
      <c r="G481" s="100" t="str">
        <f>IFERROR(VLOOKUP($D481,EntryList!$B$3:$N$596,5,FALSE),"")</f>
        <v/>
      </c>
      <c r="H481" s="145" t="str">
        <f>IFERROR(VLOOKUP($D481,EntryList!$B$3:$N$596,6,FALSE),"")</f>
        <v/>
      </c>
      <c r="I481" s="331" t="str">
        <f>IFERROR(VLOOKUP($B481,OverallResults!$B$3:$Z$492,8,FALSE),"")</f>
        <v/>
      </c>
      <c r="J481" s="58" t="str">
        <f>IFERROR(VLOOKUP($B481,OverallResults!$B$3:$BB$492,9,FALSE),"")</f>
        <v/>
      </c>
      <c r="K481" s="58" t="str">
        <f>IFERROR(VLOOKUP($B481,OverallResults!$B$3:$BB$492,10,FALSE),"")</f>
        <v/>
      </c>
      <c r="L481" s="58" t="str">
        <f>IFERROR(VLOOKUP($B481,OverallResults!$B$3:$BB$492,11,FALSE),"")</f>
        <v/>
      </c>
      <c r="M481" s="58" t="str">
        <f>IFERROR(VLOOKUP($B481,OverallResults!$B$3:$BB$492,12,FALSE),"")</f>
        <v/>
      </c>
      <c r="N481" s="58" t="str">
        <f>IFERROR(VLOOKUP($B481,OverallResults!$B$3:$BB$492,13,FALSE),"")</f>
        <v/>
      </c>
      <c r="O481" s="58" t="str">
        <f>IFERROR(VLOOKUP($B481,OverallResults!$B$3:$BB$492,14,FALSE),"")</f>
        <v/>
      </c>
      <c r="P481" s="58" t="str">
        <f>IFERROR(VLOOKUP($B481,OverallResults!$B$3:$BB$492,15,FALSE),"")</f>
        <v/>
      </c>
      <c r="Q481" s="58" t="str">
        <f>IFERROR(VLOOKUP($B481,OverallResults!$B$3:$BB$492,16,FALSE),"")</f>
        <v/>
      </c>
      <c r="R481" s="58" t="str">
        <f>IFERROR(VLOOKUP($B481,OverallResults!$B$3:$BB$492,17,FALSE),"")</f>
        <v/>
      </c>
      <c r="S481" s="170" t="e">
        <f t="shared" si="18"/>
        <v>#VALUE!</v>
      </c>
      <c r="T481" s="170" t="e">
        <f t="shared" si="19"/>
        <v>#VALUE!</v>
      </c>
      <c r="U481" s="359" t="str">
        <f>IFERROR(VLOOKUP($D481,EntryList!$B$3:$S$291,18,FALSE),"")</f>
        <v/>
      </c>
      <c r="V481" s="359" t="str">
        <f>IFERROR(VLOOKUP($D481,EntryList!$B$3:$S$291,17,FALSE),"")</f>
        <v/>
      </c>
    </row>
    <row r="482" spans="2:22">
      <c r="B482" s="59">
        <v>477</v>
      </c>
      <c r="C482" s="331" t="str">
        <f>IFERROR(VLOOKUP($B482,OverallResults!$B$3:$Z$508,2,FALSE),"")</f>
        <v/>
      </c>
      <c r="D482" s="146" t="str">
        <f>IFERROR(VLOOKUP($B482,OverallResults!$B$3:$Z$508,3,FALSE),"")</f>
        <v/>
      </c>
      <c r="E482" s="146" t="str">
        <f>IFERROR(VLOOKUP(C482,SeriesPoints!$A$2:$B$51,2,FALSE),"")</f>
        <v/>
      </c>
      <c r="F482" s="148" t="str">
        <f>IFERROR(VLOOKUP($D482,EntryList!$B$3:$V$291,21,FALSE),"")</f>
        <v/>
      </c>
      <c r="G482" s="100" t="str">
        <f>IFERROR(VLOOKUP($D482,EntryList!$B$3:$N$596,5,FALSE),"")</f>
        <v/>
      </c>
      <c r="H482" s="145" t="str">
        <f>IFERROR(VLOOKUP($D482,EntryList!$B$3:$N$596,6,FALSE),"")</f>
        <v/>
      </c>
      <c r="I482" s="331" t="str">
        <f>IFERROR(VLOOKUP($B482,OverallResults!$B$3:$Z$492,8,FALSE),"")</f>
        <v/>
      </c>
      <c r="J482" s="58" t="str">
        <f>IFERROR(VLOOKUP($B482,OverallResults!$B$3:$BB$492,9,FALSE),"")</f>
        <v/>
      </c>
      <c r="K482" s="58" t="str">
        <f>IFERROR(VLOOKUP($B482,OverallResults!$B$3:$BB$492,10,FALSE),"")</f>
        <v/>
      </c>
      <c r="L482" s="58" t="str">
        <f>IFERROR(VLOOKUP($B482,OverallResults!$B$3:$BB$492,11,FALSE),"")</f>
        <v/>
      </c>
      <c r="M482" s="58" t="str">
        <f>IFERROR(VLOOKUP($B482,OverallResults!$B$3:$BB$492,12,FALSE),"")</f>
        <v/>
      </c>
      <c r="N482" s="58" t="str">
        <f>IFERROR(VLOOKUP($B482,OverallResults!$B$3:$BB$492,13,FALSE),"")</f>
        <v/>
      </c>
      <c r="O482" s="58" t="str">
        <f>IFERROR(VLOOKUP($B482,OverallResults!$B$3:$BB$492,14,FALSE),"")</f>
        <v/>
      </c>
      <c r="P482" s="58" t="str">
        <f>IFERROR(VLOOKUP($B482,OverallResults!$B$3:$BB$492,15,FALSE),"")</f>
        <v/>
      </c>
      <c r="Q482" s="58" t="str">
        <f>IFERROR(VLOOKUP($B482,OverallResults!$B$3:$BB$492,16,FALSE),"")</f>
        <v/>
      </c>
      <c r="R482" s="58" t="str">
        <f>IFERROR(VLOOKUP($B482,OverallResults!$B$3:$BB$492,17,FALSE),"")</f>
        <v/>
      </c>
      <c r="S482" s="170" t="e">
        <f t="shared" ref="S482:S498" si="20">R482-R481</f>
        <v>#VALUE!</v>
      </c>
      <c r="T482" s="170" t="e">
        <f t="shared" ref="T482:T498" si="21">R482-R$6</f>
        <v>#VALUE!</v>
      </c>
      <c r="U482" s="359" t="str">
        <f>IFERROR(VLOOKUP($D482,EntryList!$B$3:$S$291,18,FALSE),"")</f>
        <v/>
      </c>
      <c r="V482" s="359" t="str">
        <f>IFERROR(VLOOKUP($D482,EntryList!$B$3:$S$291,17,FALSE),"")</f>
        <v/>
      </c>
    </row>
    <row r="483" spans="2:22">
      <c r="B483" s="59">
        <v>478</v>
      </c>
      <c r="C483" s="331" t="str">
        <f>IFERROR(VLOOKUP($B483,OverallResults!$B$3:$Z$508,2,FALSE),"")</f>
        <v/>
      </c>
      <c r="D483" s="146" t="str">
        <f>IFERROR(VLOOKUP($B483,OverallResults!$B$3:$Z$508,3,FALSE),"")</f>
        <v/>
      </c>
      <c r="E483" s="146" t="str">
        <f>IFERROR(VLOOKUP(C483,SeriesPoints!$A$2:$B$51,2,FALSE),"")</f>
        <v/>
      </c>
      <c r="F483" s="148" t="str">
        <f>IFERROR(VLOOKUP($D483,EntryList!$B$3:$V$291,21,FALSE),"")</f>
        <v/>
      </c>
      <c r="G483" s="100" t="str">
        <f>IFERROR(VLOOKUP($D483,EntryList!$B$3:$N$596,5,FALSE),"")</f>
        <v/>
      </c>
      <c r="H483" s="145" t="str">
        <f>IFERROR(VLOOKUP($D483,EntryList!$B$3:$N$596,6,FALSE),"")</f>
        <v/>
      </c>
      <c r="I483" s="331" t="str">
        <f>IFERROR(VLOOKUP($B483,OverallResults!$B$3:$Z$492,8,FALSE),"")</f>
        <v/>
      </c>
      <c r="J483" s="58" t="str">
        <f>IFERROR(VLOOKUP($B483,OverallResults!$B$3:$BB$492,9,FALSE),"")</f>
        <v/>
      </c>
      <c r="K483" s="58" t="str">
        <f>IFERROR(VLOOKUP($B483,OverallResults!$B$3:$BB$492,10,FALSE),"")</f>
        <v/>
      </c>
      <c r="L483" s="58" t="str">
        <f>IFERROR(VLOOKUP($B483,OverallResults!$B$3:$BB$492,11,FALSE),"")</f>
        <v/>
      </c>
      <c r="M483" s="58" t="str">
        <f>IFERROR(VLOOKUP($B483,OverallResults!$B$3:$BB$492,12,FALSE),"")</f>
        <v/>
      </c>
      <c r="N483" s="58" t="str">
        <f>IFERROR(VLOOKUP($B483,OverallResults!$B$3:$BB$492,13,FALSE),"")</f>
        <v/>
      </c>
      <c r="O483" s="58" t="str">
        <f>IFERROR(VLOOKUP($B483,OverallResults!$B$3:$BB$492,14,FALSE),"")</f>
        <v/>
      </c>
      <c r="P483" s="58" t="str">
        <f>IFERROR(VLOOKUP($B483,OverallResults!$B$3:$BB$492,15,FALSE),"")</f>
        <v/>
      </c>
      <c r="Q483" s="58" t="str">
        <f>IFERROR(VLOOKUP($B483,OverallResults!$B$3:$BB$492,16,FALSE),"")</f>
        <v/>
      </c>
      <c r="R483" s="58" t="str">
        <f>IFERROR(VLOOKUP($B483,OverallResults!$B$3:$BB$492,17,FALSE),"")</f>
        <v/>
      </c>
      <c r="S483" s="170" t="e">
        <f t="shared" si="20"/>
        <v>#VALUE!</v>
      </c>
      <c r="T483" s="170" t="e">
        <f t="shared" si="21"/>
        <v>#VALUE!</v>
      </c>
      <c r="U483" s="359" t="str">
        <f>IFERROR(VLOOKUP($D483,EntryList!$B$3:$S$291,18,FALSE),"")</f>
        <v/>
      </c>
      <c r="V483" s="359" t="str">
        <f>IFERROR(VLOOKUP($D483,EntryList!$B$3:$S$291,17,FALSE),"")</f>
        <v/>
      </c>
    </row>
    <row r="484" spans="2:22">
      <c r="B484" s="59">
        <v>479</v>
      </c>
      <c r="C484" s="331" t="str">
        <f>IFERROR(VLOOKUP($B484,OverallResults!$B$3:$Z$508,2,FALSE),"")</f>
        <v/>
      </c>
      <c r="D484" s="146" t="str">
        <f>IFERROR(VLOOKUP($B484,OverallResults!$B$3:$Z$508,3,FALSE),"")</f>
        <v/>
      </c>
      <c r="E484" s="146" t="str">
        <f>IFERROR(VLOOKUP(C484,SeriesPoints!$A$2:$B$51,2,FALSE),"")</f>
        <v/>
      </c>
      <c r="F484" s="148" t="str">
        <f>IFERROR(VLOOKUP($D484,EntryList!$B$3:$V$291,21,FALSE),"")</f>
        <v/>
      </c>
      <c r="G484" s="100" t="str">
        <f>IFERROR(VLOOKUP($D484,EntryList!$B$3:$N$596,5,FALSE),"")</f>
        <v/>
      </c>
      <c r="H484" s="145" t="str">
        <f>IFERROR(VLOOKUP($D484,EntryList!$B$3:$N$596,6,FALSE),"")</f>
        <v/>
      </c>
      <c r="I484" s="331" t="str">
        <f>IFERROR(VLOOKUP($B484,OverallResults!$B$3:$Z$492,8,FALSE),"")</f>
        <v/>
      </c>
      <c r="J484" s="58" t="str">
        <f>IFERROR(VLOOKUP($B484,OverallResults!$B$3:$BB$492,9,FALSE),"")</f>
        <v/>
      </c>
      <c r="K484" s="58" t="str">
        <f>IFERROR(VLOOKUP($B484,OverallResults!$B$3:$BB$492,10,FALSE),"")</f>
        <v/>
      </c>
      <c r="L484" s="58" t="str">
        <f>IFERROR(VLOOKUP($B484,OverallResults!$B$3:$BB$492,11,FALSE),"")</f>
        <v/>
      </c>
      <c r="M484" s="58" t="str">
        <f>IFERROR(VLOOKUP($B484,OverallResults!$B$3:$BB$492,12,FALSE),"")</f>
        <v/>
      </c>
      <c r="N484" s="58" t="str">
        <f>IFERROR(VLOOKUP($B484,OverallResults!$B$3:$BB$492,13,FALSE),"")</f>
        <v/>
      </c>
      <c r="O484" s="58" t="str">
        <f>IFERROR(VLOOKUP($B484,OverallResults!$B$3:$BB$492,14,FALSE),"")</f>
        <v/>
      </c>
      <c r="P484" s="58" t="str">
        <f>IFERROR(VLOOKUP($B484,OverallResults!$B$3:$BB$492,15,FALSE),"")</f>
        <v/>
      </c>
      <c r="Q484" s="58" t="str">
        <f>IFERROR(VLOOKUP($B484,OverallResults!$B$3:$BB$492,16,FALSE),"")</f>
        <v/>
      </c>
      <c r="R484" s="58" t="str">
        <f>IFERROR(VLOOKUP($B484,OverallResults!$B$3:$BB$492,17,FALSE),"")</f>
        <v/>
      </c>
      <c r="S484" s="170" t="e">
        <f t="shared" si="20"/>
        <v>#VALUE!</v>
      </c>
      <c r="T484" s="170" t="e">
        <f t="shared" si="21"/>
        <v>#VALUE!</v>
      </c>
      <c r="U484" s="359" t="str">
        <f>IFERROR(VLOOKUP($D484,EntryList!$B$3:$S$291,18,FALSE),"")</f>
        <v/>
      </c>
      <c r="V484" s="359" t="str">
        <f>IFERROR(VLOOKUP($D484,EntryList!$B$3:$S$291,17,FALSE),"")</f>
        <v/>
      </c>
    </row>
    <row r="485" spans="2:22">
      <c r="B485" s="59">
        <v>480</v>
      </c>
      <c r="C485" s="331" t="str">
        <f>IFERROR(VLOOKUP($B485,OverallResults!$B$3:$Z$508,2,FALSE),"")</f>
        <v/>
      </c>
      <c r="D485" s="146" t="str">
        <f>IFERROR(VLOOKUP($B485,OverallResults!$B$3:$Z$508,3,FALSE),"")</f>
        <v/>
      </c>
      <c r="E485" s="146" t="str">
        <f>IFERROR(VLOOKUP(C485,SeriesPoints!$A$2:$B$51,2,FALSE),"")</f>
        <v/>
      </c>
      <c r="F485" s="148" t="str">
        <f>IFERROR(VLOOKUP($D485,EntryList!$B$3:$V$291,21,FALSE),"")</f>
        <v/>
      </c>
      <c r="G485" s="100" t="str">
        <f>IFERROR(VLOOKUP($D485,EntryList!$B$3:$N$596,5,FALSE),"")</f>
        <v/>
      </c>
      <c r="H485" s="145" t="str">
        <f>IFERROR(VLOOKUP($D485,EntryList!$B$3:$N$596,6,FALSE),"")</f>
        <v/>
      </c>
      <c r="I485" s="331" t="str">
        <f>IFERROR(VLOOKUP($B485,OverallResults!$B$3:$Z$492,8,FALSE),"")</f>
        <v/>
      </c>
      <c r="J485" s="58" t="str">
        <f>IFERROR(VLOOKUP($B485,OverallResults!$B$3:$BB$492,9,FALSE),"")</f>
        <v/>
      </c>
      <c r="K485" s="58" t="str">
        <f>IFERROR(VLOOKUP($B485,OverallResults!$B$3:$BB$492,10,FALSE),"")</f>
        <v/>
      </c>
      <c r="L485" s="58" t="str">
        <f>IFERROR(VLOOKUP($B485,OverallResults!$B$3:$BB$492,11,FALSE),"")</f>
        <v/>
      </c>
      <c r="M485" s="58" t="str">
        <f>IFERROR(VLOOKUP($B485,OverallResults!$B$3:$BB$492,12,FALSE),"")</f>
        <v/>
      </c>
      <c r="N485" s="58" t="str">
        <f>IFERROR(VLOOKUP($B485,OverallResults!$B$3:$BB$492,13,FALSE),"")</f>
        <v/>
      </c>
      <c r="O485" s="58" t="str">
        <f>IFERROR(VLOOKUP($B485,OverallResults!$B$3:$BB$492,14,FALSE),"")</f>
        <v/>
      </c>
      <c r="P485" s="58" t="str">
        <f>IFERROR(VLOOKUP($B485,OverallResults!$B$3:$BB$492,15,FALSE),"")</f>
        <v/>
      </c>
      <c r="Q485" s="58" t="str">
        <f>IFERROR(VLOOKUP($B485,OverallResults!$B$3:$BB$492,16,FALSE),"")</f>
        <v/>
      </c>
      <c r="R485" s="58" t="str">
        <f>IFERROR(VLOOKUP($B485,OverallResults!$B$3:$BB$492,17,FALSE),"")</f>
        <v/>
      </c>
      <c r="S485" s="170" t="e">
        <f t="shared" si="20"/>
        <v>#VALUE!</v>
      </c>
      <c r="T485" s="170" t="e">
        <f t="shared" si="21"/>
        <v>#VALUE!</v>
      </c>
      <c r="U485" s="359" t="str">
        <f>IFERROR(VLOOKUP($D485,EntryList!$B$3:$S$291,18,FALSE),"")</f>
        <v/>
      </c>
      <c r="V485" s="359" t="str">
        <f>IFERROR(VLOOKUP($D485,EntryList!$B$3:$S$291,17,FALSE),"")</f>
        <v/>
      </c>
    </row>
    <row r="486" spans="2:22">
      <c r="B486" s="59">
        <v>481</v>
      </c>
      <c r="C486" s="331" t="str">
        <f>IFERROR(VLOOKUP($B486,OverallResults!$B$3:$Z$508,2,FALSE),"")</f>
        <v/>
      </c>
      <c r="D486" s="146" t="str">
        <f>IFERROR(VLOOKUP($B486,OverallResults!$B$3:$Z$508,3,FALSE),"")</f>
        <v/>
      </c>
      <c r="E486" s="146" t="str">
        <f>IFERROR(VLOOKUP(C486,SeriesPoints!$A$2:$B$51,2,FALSE),"")</f>
        <v/>
      </c>
      <c r="F486" s="148" t="str">
        <f>IFERROR(VLOOKUP($D486,EntryList!$B$3:$V$291,21,FALSE),"")</f>
        <v/>
      </c>
      <c r="G486" s="100" t="str">
        <f>IFERROR(VLOOKUP($D486,EntryList!$B$3:$N$596,5,FALSE),"")</f>
        <v/>
      </c>
      <c r="H486" s="145" t="str">
        <f>IFERROR(VLOOKUP($D486,EntryList!$B$3:$N$596,6,FALSE),"")</f>
        <v/>
      </c>
      <c r="I486" s="331" t="str">
        <f>IFERROR(VLOOKUP($B486,OverallResults!$B$3:$Z$492,8,FALSE),"")</f>
        <v/>
      </c>
      <c r="J486" s="58" t="str">
        <f>IFERROR(VLOOKUP($B486,OverallResults!$B$3:$BB$492,9,FALSE),"")</f>
        <v/>
      </c>
      <c r="K486" s="58" t="str">
        <f>IFERROR(VLOOKUP($B486,OverallResults!$B$3:$BB$492,10,FALSE),"")</f>
        <v/>
      </c>
      <c r="L486" s="58" t="str">
        <f>IFERROR(VLOOKUP($B486,OverallResults!$B$3:$BB$492,11,FALSE),"")</f>
        <v/>
      </c>
      <c r="M486" s="58" t="str">
        <f>IFERROR(VLOOKUP($B486,OverallResults!$B$3:$BB$492,12,FALSE),"")</f>
        <v/>
      </c>
      <c r="N486" s="58" t="str">
        <f>IFERROR(VLOOKUP($B486,OverallResults!$B$3:$BB$492,13,FALSE),"")</f>
        <v/>
      </c>
      <c r="O486" s="58" t="str">
        <f>IFERROR(VLOOKUP($B486,OverallResults!$B$3:$BB$492,14,FALSE),"")</f>
        <v/>
      </c>
      <c r="P486" s="58" t="str">
        <f>IFERROR(VLOOKUP($B486,OverallResults!$B$3:$BB$492,15,FALSE),"")</f>
        <v/>
      </c>
      <c r="Q486" s="58" t="str">
        <f>IFERROR(VLOOKUP($B486,OverallResults!$B$3:$BB$492,16,FALSE),"")</f>
        <v/>
      </c>
      <c r="R486" s="58" t="str">
        <f>IFERROR(VLOOKUP($B486,OverallResults!$B$3:$BB$492,17,FALSE),"")</f>
        <v/>
      </c>
      <c r="S486" s="170" t="e">
        <f t="shared" si="20"/>
        <v>#VALUE!</v>
      </c>
      <c r="T486" s="170" t="e">
        <f t="shared" si="21"/>
        <v>#VALUE!</v>
      </c>
      <c r="U486" s="359" t="str">
        <f>IFERROR(VLOOKUP($D486,EntryList!$B$3:$S$291,18,FALSE),"")</f>
        <v/>
      </c>
      <c r="V486" s="359" t="str">
        <f>IFERROR(VLOOKUP($D486,EntryList!$B$3:$S$291,17,FALSE),"")</f>
        <v/>
      </c>
    </row>
    <row r="487" spans="2:22">
      <c r="B487" s="59">
        <v>482</v>
      </c>
      <c r="C487" s="331" t="str">
        <f>IFERROR(VLOOKUP($B487,OverallResults!$B$3:$Z$508,2,FALSE),"")</f>
        <v/>
      </c>
      <c r="D487" s="146" t="str">
        <f>IFERROR(VLOOKUP($B487,OverallResults!$B$3:$Z$508,3,FALSE),"")</f>
        <v/>
      </c>
      <c r="E487" s="146" t="str">
        <f>IFERROR(VLOOKUP(C487,SeriesPoints!$A$2:$B$51,2,FALSE),"")</f>
        <v/>
      </c>
      <c r="F487" s="148" t="str">
        <f>IFERROR(VLOOKUP($D487,EntryList!$B$3:$V$291,21,FALSE),"")</f>
        <v/>
      </c>
      <c r="G487" s="100" t="str">
        <f>IFERROR(VLOOKUP($D487,EntryList!$B$3:$N$596,5,FALSE),"")</f>
        <v/>
      </c>
      <c r="H487" s="145" t="str">
        <f>IFERROR(VLOOKUP($D487,EntryList!$B$3:$N$596,6,FALSE),"")</f>
        <v/>
      </c>
      <c r="I487" s="331" t="str">
        <f>IFERROR(VLOOKUP($B487,OverallResults!$B$3:$Z$492,8,FALSE),"")</f>
        <v/>
      </c>
      <c r="J487" s="58" t="str">
        <f>IFERROR(VLOOKUP($B487,OverallResults!$B$3:$BB$492,9,FALSE),"")</f>
        <v/>
      </c>
      <c r="K487" s="58" t="str">
        <f>IFERROR(VLOOKUP($B487,OverallResults!$B$3:$BB$492,10,FALSE),"")</f>
        <v/>
      </c>
      <c r="L487" s="58" t="str">
        <f>IFERROR(VLOOKUP($B487,OverallResults!$B$3:$BB$492,11,FALSE),"")</f>
        <v/>
      </c>
      <c r="M487" s="58" t="str">
        <f>IFERROR(VLOOKUP($B487,OverallResults!$B$3:$BB$492,12,FALSE),"")</f>
        <v/>
      </c>
      <c r="N487" s="58" t="str">
        <f>IFERROR(VLOOKUP($B487,OverallResults!$B$3:$BB$492,13,FALSE),"")</f>
        <v/>
      </c>
      <c r="O487" s="58" t="str">
        <f>IFERROR(VLOOKUP($B487,OverallResults!$B$3:$BB$492,14,FALSE),"")</f>
        <v/>
      </c>
      <c r="P487" s="58" t="str">
        <f>IFERROR(VLOOKUP($B487,OverallResults!$B$3:$BB$492,15,FALSE),"")</f>
        <v/>
      </c>
      <c r="Q487" s="58" t="str">
        <f>IFERROR(VLOOKUP($B487,OverallResults!$B$3:$BB$492,16,FALSE),"")</f>
        <v/>
      </c>
      <c r="R487" s="58" t="str">
        <f>IFERROR(VLOOKUP($B487,OverallResults!$B$3:$BB$492,17,FALSE),"")</f>
        <v/>
      </c>
      <c r="S487" s="170" t="e">
        <f t="shared" si="20"/>
        <v>#VALUE!</v>
      </c>
      <c r="T487" s="170" t="e">
        <f t="shared" si="21"/>
        <v>#VALUE!</v>
      </c>
      <c r="U487" s="359" t="str">
        <f>IFERROR(VLOOKUP($D487,EntryList!$B$3:$S$291,18,FALSE),"")</f>
        <v/>
      </c>
      <c r="V487" s="359" t="str">
        <f>IFERROR(VLOOKUP($D487,EntryList!$B$3:$S$291,17,FALSE),"")</f>
        <v/>
      </c>
    </row>
    <row r="488" spans="2:22">
      <c r="B488" s="59">
        <v>483</v>
      </c>
      <c r="C488" s="331" t="str">
        <f>IFERROR(VLOOKUP($B488,OverallResults!$B$3:$Z$508,2,FALSE),"")</f>
        <v/>
      </c>
      <c r="D488" s="146" t="str">
        <f>IFERROR(VLOOKUP($B488,OverallResults!$B$3:$Z$508,3,FALSE),"")</f>
        <v/>
      </c>
      <c r="E488" s="146" t="str">
        <f>IFERROR(VLOOKUP(C488,SeriesPoints!$A$2:$B$51,2,FALSE),"")</f>
        <v/>
      </c>
      <c r="F488" s="148" t="str">
        <f>IFERROR(VLOOKUP($D488,EntryList!$B$3:$V$291,21,FALSE),"")</f>
        <v/>
      </c>
      <c r="G488" s="100" t="str">
        <f>IFERROR(VLOOKUP($D488,EntryList!$B$3:$N$596,5,FALSE),"")</f>
        <v/>
      </c>
      <c r="H488" s="145" t="str">
        <f>IFERROR(VLOOKUP($D488,EntryList!$B$3:$N$596,6,FALSE),"")</f>
        <v/>
      </c>
      <c r="I488" s="331" t="str">
        <f>IFERROR(VLOOKUP($B488,OverallResults!$B$3:$Z$492,8,FALSE),"")</f>
        <v/>
      </c>
      <c r="J488" s="58" t="str">
        <f>IFERROR(VLOOKUP($B488,OverallResults!$B$3:$BB$492,9,FALSE),"")</f>
        <v/>
      </c>
      <c r="K488" s="58" t="str">
        <f>IFERROR(VLOOKUP($B488,OverallResults!$B$3:$BB$492,10,FALSE),"")</f>
        <v/>
      </c>
      <c r="L488" s="58" t="str">
        <f>IFERROR(VLOOKUP($B488,OverallResults!$B$3:$BB$492,11,FALSE),"")</f>
        <v/>
      </c>
      <c r="M488" s="58" t="str">
        <f>IFERROR(VLOOKUP($B488,OverallResults!$B$3:$BB$492,12,FALSE),"")</f>
        <v/>
      </c>
      <c r="N488" s="58" t="str">
        <f>IFERROR(VLOOKUP($B488,OverallResults!$B$3:$BB$492,13,FALSE),"")</f>
        <v/>
      </c>
      <c r="O488" s="58" t="str">
        <f>IFERROR(VLOOKUP($B488,OverallResults!$B$3:$BB$492,14,FALSE),"")</f>
        <v/>
      </c>
      <c r="P488" s="58" t="str">
        <f>IFERROR(VLOOKUP($B488,OverallResults!$B$3:$BB$492,15,FALSE),"")</f>
        <v/>
      </c>
      <c r="Q488" s="58" t="str">
        <f>IFERROR(VLOOKUP($B488,OverallResults!$B$3:$BB$492,16,FALSE),"")</f>
        <v/>
      </c>
      <c r="R488" s="58" t="str">
        <f>IFERROR(VLOOKUP($B488,OverallResults!$B$3:$BB$492,17,FALSE),"")</f>
        <v/>
      </c>
      <c r="S488" s="170" t="e">
        <f t="shared" si="20"/>
        <v>#VALUE!</v>
      </c>
      <c r="T488" s="170" t="e">
        <f t="shared" si="21"/>
        <v>#VALUE!</v>
      </c>
      <c r="U488" s="359" t="str">
        <f>IFERROR(VLOOKUP($D488,EntryList!$B$3:$S$291,18,FALSE),"")</f>
        <v/>
      </c>
      <c r="V488" s="359" t="str">
        <f>IFERROR(VLOOKUP($D488,EntryList!$B$3:$S$291,17,FALSE),"")</f>
        <v/>
      </c>
    </row>
    <row r="489" spans="2:22">
      <c r="B489" s="59">
        <v>484</v>
      </c>
      <c r="C489" s="331" t="str">
        <f>IFERROR(VLOOKUP($B489,OverallResults!$B$3:$Z$508,2,FALSE),"")</f>
        <v/>
      </c>
      <c r="D489" s="146" t="str">
        <f>IFERROR(VLOOKUP($B489,OverallResults!$B$3:$Z$508,3,FALSE),"")</f>
        <v/>
      </c>
      <c r="E489" s="146" t="str">
        <f>IFERROR(VLOOKUP(C489,SeriesPoints!$A$2:$B$51,2,FALSE),"")</f>
        <v/>
      </c>
      <c r="F489" s="148" t="str">
        <f>IFERROR(VLOOKUP($D489,EntryList!$B$3:$V$291,21,FALSE),"")</f>
        <v/>
      </c>
      <c r="G489" s="100" t="str">
        <f>IFERROR(VLOOKUP($D489,EntryList!$B$3:$N$596,5,FALSE),"")</f>
        <v/>
      </c>
      <c r="H489" s="145" t="str">
        <f>IFERROR(VLOOKUP($D489,EntryList!$B$3:$N$596,6,FALSE),"")</f>
        <v/>
      </c>
      <c r="I489" s="331" t="str">
        <f>IFERROR(VLOOKUP($B489,OverallResults!$B$3:$Z$492,8,FALSE),"")</f>
        <v/>
      </c>
      <c r="J489" s="58" t="str">
        <f>IFERROR(VLOOKUP($B489,OverallResults!$B$3:$BB$492,9,FALSE),"")</f>
        <v/>
      </c>
      <c r="K489" s="58" t="str">
        <f>IFERROR(VLOOKUP($B489,OverallResults!$B$3:$BB$492,10,FALSE),"")</f>
        <v/>
      </c>
      <c r="L489" s="58" t="str">
        <f>IFERROR(VLOOKUP($B489,OverallResults!$B$3:$BB$492,11,FALSE),"")</f>
        <v/>
      </c>
      <c r="M489" s="58" t="str">
        <f>IFERROR(VLOOKUP($B489,OverallResults!$B$3:$BB$492,12,FALSE),"")</f>
        <v/>
      </c>
      <c r="N489" s="58" t="str">
        <f>IFERROR(VLOOKUP($B489,OverallResults!$B$3:$BB$492,13,FALSE),"")</f>
        <v/>
      </c>
      <c r="O489" s="58" t="str">
        <f>IFERROR(VLOOKUP($B489,OverallResults!$B$3:$BB$492,14,FALSE),"")</f>
        <v/>
      </c>
      <c r="P489" s="58" t="str">
        <f>IFERROR(VLOOKUP($B489,OverallResults!$B$3:$BB$492,15,FALSE),"")</f>
        <v/>
      </c>
      <c r="Q489" s="58" t="str">
        <f>IFERROR(VLOOKUP($B489,OverallResults!$B$3:$BB$492,16,FALSE),"")</f>
        <v/>
      </c>
      <c r="R489" s="58" t="str">
        <f>IFERROR(VLOOKUP($B489,OverallResults!$B$3:$BB$492,17,FALSE),"")</f>
        <v/>
      </c>
      <c r="S489" s="170" t="e">
        <f t="shared" si="20"/>
        <v>#VALUE!</v>
      </c>
      <c r="T489" s="170" t="e">
        <f t="shared" si="21"/>
        <v>#VALUE!</v>
      </c>
      <c r="U489" s="359" t="str">
        <f>IFERROR(VLOOKUP($D489,EntryList!$B$3:$S$291,18,FALSE),"")</f>
        <v/>
      </c>
      <c r="V489" s="359" t="str">
        <f>IFERROR(VLOOKUP($D489,EntryList!$B$3:$S$291,17,FALSE),"")</f>
        <v/>
      </c>
    </row>
    <row r="490" spans="2:22">
      <c r="B490" s="59">
        <v>485</v>
      </c>
      <c r="C490" s="331" t="str">
        <f>IFERROR(VLOOKUP($B490,OverallResults!$B$3:$Z$508,2,FALSE),"")</f>
        <v/>
      </c>
      <c r="D490" s="146" t="str">
        <f>IFERROR(VLOOKUP($B490,OverallResults!$B$3:$Z$508,3,FALSE),"")</f>
        <v/>
      </c>
      <c r="E490" s="146" t="str">
        <f>IFERROR(VLOOKUP(C490,SeriesPoints!$A$2:$B$51,2,FALSE),"")</f>
        <v/>
      </c>
      <c r="F490" s="148" t="str">
        <f>IFERROR(VLOOKUP($D490,EntryList!$B$3:$V$291,21,FALSE),"")</f>
        <v/>
      </c>
      <c r="G490" s="100" t="str">
        <f>IFERROR(VLOOKUP($D490,EntryList!$B$3:$N$596,5,FALSE),"")</f>
        <v/>
      </c>
      <c r="H490" s="145" t="str">
        <f>IFERROR(VLOOKUP($D490,EntryList!$B$3:$N$596,6,FALSE),"")</f>
        <v/>
      </c>
      <c r="I490" s="331" t="str">
        <f>IFERROR(VLOOKUP($B490,OverallResults!$B$3:$Z$492,8,FALSE),"")</f>
        <v/>
      </c>
      <c r="J490" s="58" t="str">
        <f>IFERROR(VLOOKUP($B490,OverallResults!$B$3:$BB$492,9,FALSE),"")</f>
        <v/>
      </c>
      <c r="K490" s="58" t="str">
        <f>IFERROR(VLOOKUP($B490,OverallResults!$B$3:$BB$492,10,FALSE),"")</f>
        <v/>
      </c>
      <c r="L490" s="58" t="str">
        <f>IFERROR(VLOOKUP($B490,OverallResults!$B$3:$BB$492,11,FALSE),"")</f>
        <v/>
      </c>
      <c r="M490" s="58" t="str">
        <f>IFERROR(VLOOKUP($B490,OverallResults!$B$3:$BB$492,12,FALSE),"")</f>
        <v/>
      </c>
      <c r="N490" s="58" t="str">
        <f>IFERROR(VLOOKUP($B490,OverallResults!$B$3:$BB$492,13,FALSE),"")</f>
        <v/>
      </c>
      <c r="O490" s="58" t="str">
        <f>IFERROR(VLOOKUP($B490,OverallResults!$B$3:$BB$492,14,FALSE),"")</f>
        <v/>
      </c>
      <c r="P490" s="58" t="str">
        <f>IFERROR(VLOOKUP($B490,OverallResults!$B$3:$BB$492,15,FALSE),"")</f>
        <v/>
      </c>
      <c r="Q490" s="58" t="str">
        <f>IFERROR(VLOOKUP($B490,OverallResults!$B$3:$BB$492,16,FALSE),"")</f>
        <v/>
      </c>
      <c r="R490" s="58" t="str">
        <f>IFERROR(VLOOKUP($B490,OverallResults!$B$3:$BB$492,17,FALSE),"")</f>
        <v/>
      </c>
      <c r="S490" s="170" t="e">
        <f t="shared" si="20"/>
        <v>#VALUE!</v>
      </c>
      <c r="T490" s="170" t="e">
        <f t="shared" si="21"/>
        <v>#VALUE!</v>
      </c>
      <c r="U490" s="359" t="str">
        <f>IFERROR(VLOOKUP($D490,EntryList!$B$3:$S$291,18,FALSE),"")</f>
        <v/>
      </c>
      <c r="V490" s="359" t="str">
        <f>IFERROR(VLOOKUP($D490,EntryList!$B$3:$S$291,17,FALSE),"")</f>
        <v/>
      </c>
    </row>
    <row r="491" spans="2:22">
      <c r="B491" s="59">
        <v>486</v>
      </c>
      <c r="C491" s="331" t="str">
        <f>IFERROR(VLOOKUP($B491,OverallResults!$B$3:$Z$508,2,FALSE),"")</f>
        <v/>
      </c>
      <c r="D491" s="146" t="str">
        <f>IFERROR(VLOOKUP($B491,OverallResults!$B$3:$Z$508,3,FALSE),"")</f>
        <v/>
      </c>
      <c r="E491" s="146" t="str">
        <f>IFERROR(VLOOKUP(C491,SeriesPoints!$A$2:$B$51,2,FALSE),"")</f>
        <v/>
      </c>
      <c r="F491" s="148" t="str">
        <f>IFERROR(VLOOKUP($D491,EntryList!$B$3:$V$291,21,FALSE),"")</f>
        <v/>
      </c>
      <c r="G491" s="100" t="str">
        <f>IFERROR(VLOOKUP($D491,EntryList!$B$3:$N$596,5,FALSE),"")</f>
        <v/>
      </c>
      <c r="H491" s="145" t="str">
        <f>IFERROR(VLOOKUP($D491,EntryList!$B$3:$N$596,6,FALSE),"")</f>
        <v/>
      </c>
      <c r="I491" s="331" t="str">
        <f>IFERROR(VLOOKUP($B491,OverallResults!$B$3:$Z$492,8,FALSE),"")</f>
        <v/>
      </c>
      <c r="J491" s="58" t="str">
        <f>IFERROR(VLOOKUP($B491,OverallResults!$B$3:$BB$492,9,FALSE),"")</f>
        <v/>
      </c>
      <c r="K491" s="58" t="str">
        <f>IFERROR(VLOOKUP($B491,OverallResults!$B$3:$BB$492,10,FALSE),"")</f>
        <v/>
      </c>
      <c r="L491" s="58" t="str">
        <f>IFERROR(VLOOKUP($B491,OverallResults!$B$3:$BB$492,11,FALSE),"")</f>
        <v/>
      </c>
      <c r="M491" s="58" t="str">
        <f>IFERROR(VLOOKUP($B491,OverallResults!$B$3:$BB$492,12,FALSE),"")</f>
        <v/>
      </c>
      <c r="N491" s="58" t="str">
        <f>IFERROR(VLOOKUP($B491,OverallResults!$B$3:$BB$492,13,FALSE),"")</f>
        <v/>
      </c>
      <c r="O491" s="58" t="str">
        <f>IFERROR(VLOOKUP($B491,OverallResults!$B$3:$BB$492,14,FALSE),"")</f>
        <v/>
      </c>
      <c r="P491" s="58" t="str">
        <f>IFERROR(VLOOKUP($B491,OverallResults!$B$3:$BB$492,15,FALSE),"")</f>
        <v/>
      </c>
      <c r="Q491" s="58" t="str">
        <f>IFERROR(VLOOKUP($B491,OverallResults!$B$3:$BB$492,16,FALSE),"")</f>
        <v/>
      </c>
      <c r="R491" s="58" t="str">
        <f>IFERROR(VLOOKUP($B491,OverallResults!$B$3:$BB$492,17,FALSE),"")</f>
        <v/>
      </c>
      <c r="S491" s="170" t="e">
        <f t="shared" si="20"/>
        <v>#VALUE!</v>
      </c>
      <c r="T491" s="170" t="e">
        <f t="shared" si="21"/>
        <v>#VALUE!</v>
      </c>
      <c r="U491" s="359" t="str">
        <f>IFERROR(VLOOKUP($D491,EntryList!$B$3:$S$291,18,FALSE),"")</f>
        <v/>
      </c>
      <c r="V491" s="359" t="str">
        <f>IFERROR(VLOOKUP($D491,EntryList!$B$3:$S$291,17,FALSE),"")</f>
        <v/>
      </c>
    </row>
    <row r="492" spans="2:22">
      <c r="B492" s="59">
        <v>487</v>
      </c>
      <c r="C492" s="331" t="str">
        <f>IFERROR(VLOOKUP($B492,OverallResults!$B$3:$Z$508,2,FALSE),"")</f>
        <v/>
      </c>
      <c r="D492" s="146" t="str">
        <f>IFERROR(VLOOKUP($B492,OverallResults!$B$3:$Z$508,3,FALSE),"")</f>
        <v/>
      </c>
      <c r="E492" s="146" t="str">
        <f>IFERROR(VLOOKUP(C492,SeriesPoints!$A$2:$B$51,2,FALSE),"")</f>
        <v/>
      </c>
      <c r="F492" s="148" t="str">
        <f>IFERROR(VLOOKUP($D492,EntryList!$B$3:$V$291,21,FALSE),"")</f>
        <v/>
      </c>
      <c r="G492" s="100" t="str">
        <f>IFERROR(VLOOKUP($D492,EntryList!$B$3:$N$596,5,FALSE),"")</f>
        <v/>
      </c>
      <c r="H492" s="145" t="str">
        <f>IFERROR(VLOOKUP($D492,EntryList!$B$3:$N$596,6,FALSE),"")</f>
        <v/>
      </c>
      <c r="I492" s="331" t="str">
        <f>IFERROR(VLOOKUP($B492,OverallResults!$B$3:$Z$492,8,FALSE),"")</f>
        <v/>
      </c>
      <c r="J492" s="58" t="str">
        <f>IFERROR(VLOOKUP($B492,OverallResults!$B$3:$BB$492,9,FALSE),"")</f>
        <v/>
      </c>
      <c r="K492" s="58" t="str">
        <f>IFERROR(VLOOKUP($B492,OverallResults!$B$3:$BB$492,10,FALSE),"")</f>
        <v/>
      </c>
      <c r="L492" s="58" t="str">
        <f>IFERROR(VLOOKUP($B492,OverallResults!$B$3:$BB$492,11,FALSE),"")</f>
        <v/>
      </c>
      <c r="M492" s="58" t="str">
        <f>IFERROR(VLOOKUP($B492,OverallResults!$B$3:$BB$492,12,FALSE),"")</f>
        <v/>
      </c>
      <c r="N492" s="58" t="str">
        <f>IFERROR(VLOOKUP($B492,OverallResults!$B$3:$BB$492,13,FALSE),"")</f>
        <v/>
      </c>
      <c r="O492" s="58" t="str">
        <f>IFERROR(VLOOKUP($B492,OverallResults!$B$3:$BB$492,14,FALSE),"")</f>
        <v/>
      </c>
      <c r="P492" s="58" t="str">
        <f>IFERROR(VLOOKUP($B492,OverallResults!$B$3:$BB$492,15,FALSE),"")</f>
        <v/>
      </c>
      <c r="Q492" s="58" t="str">
        <f>IFERROR(VLOOKUP($B492,OverallResults!$B$3:$BB$492,16,FALSE),"")</f>
        <v/>
      </c>
      <c r="R492" s="58" t="str">
        <f>IFERROR(VLOOKUP($B492,OverallResults!$B$3:$BB$492,17,FALSE),"")</f>
        <v/>
      </c>
      <c r="S492" s="170" t="e">
        <f t="shared" si="20"/>
        <v>#VALUE!</v>
      </c>
      <c r="T492" s="170" t="e">
        <f t="shared" si="21"/>
        <v>#VALUE!</v>
      </c>
      <c r="U492" s="359" t="str">
        <f>IFERROR(VLOOKUP($D492,EntryList!$B$3:$S$291,18,FALSE),"")</f>
        <v/>
      </c>
      <c r="V492" s="359" t="str">
        <f>IFERROR(VLOOKUP($D492,EntryList!$B$3:$S$291,17,FALSE),"")</f>
        <v/>
      </c>
    </row>
    <row r="493" spans="2:22">
      <c r="B493" s="59">
        <v>488</v>
      </c>
      <c r="C493" s="331" t="str">
        <f>IFERROR(VLOOKUP($B493,OverallResults!$B$3:$Z$508,2,FALSE),"")</f>
        <v/>
      </c>
      <c r="D493" s="146" t="str">
        <f>IFERROR(VLOOKUP($B493,OverallResults!$B$3:$Z$508,3,FALSE),"")</f>
        <v/>
      </c>
      <c r="E493" s="146" t="str">
        <f>IFERROR(VLOOKUP(C493,SeriesPoints!$A$2:$B$51,2,FALSE),"")</f>
        <v/>
      </c>
      <c r="F493" s="148" t="str">
        <f>IFERROR(VLOOKUP($D493,EntryList!$B$3:$V$291,21,FALSE),"")</f>
        <v/>
      </c>
      <c r="G493" s="100" t="str">
        <f>IFERROR(VLOOKUP($D493,EntryList!$B$3:$N$596,5,FALSE),"")</f>
        <v/>
      </c>
      <c r="H493" s="145" t="str">
        <f>IFERROR(VLOOKUP($D493,EntryList!$B$3:$N$596,6,FALSE),"")</f>
        <v/>
      </c>
      <c r="I493" s="331" t="str">
        <f>IFERROR(VLOOKUP($B493,OverallResults!$B$3:$Z$492,8,FALSE),"")</f>
        <v/>
      </c>
      <c r="J493" s="58" t="str">
        <f>IFERROR(VLOOKUP($B493,OverallResults!$B$3:$BB$492,9,FALSE),"")</f>
        <v/>
      </c>
      <c r="K493" s="58" t="str">
        <f>IFERROR(VLOOKUP($B493,OverallResults!$B$3:$BB$492,10,FALSE),"")</f>
        <v/>
      </c>
      <c r="L493" s="58" t="str">
        <f>IFERROR(VLOOKUP($B493,OverallResults!$B$3:$BB$492,11,FALSE),"")</f>
        <v/>
      </c>
      <c r="M493" s="58" t="str">
        <f>IFERROR(VLOOKUP($B493,OverallResults!$B$3:$BB$492,12,FALSE),"")</f>
        <v/>
      </c>
      <c r="N493" s="58" t="str">
        <f>IFERROR(VLOOKUP($B493,OverallResults!$B$3:$BB$492,13,FALSE),"")</f>
        <v/>
      </c>
      <c r="O493" s="58" t="str">
        <f>IFERROR(VLOOKUP($B493,OverallResults!$B$3:$BB$492,14,FALSE),"")</f>
        <v/>
      </c>
      <c r="P493" s="58" t="str">
        <f>IFERROR(VLOOKUP($B493,OverallResults!$B$3:$BB$492,15,FALSE),"")</f>
        <v/>
      </c>
      <c r="Q493" s="58" t="str">
        <f>IFERROR(VLOOKUP($B493,OverallResults!$B$3:$BB$492,16,FALSE),"")</f>
        <v/>
      </c>
      <c r="R493" s="58" t="str">
        <f>IFERROR(VLOOKUP($B493,OverallResults!$B$3:$BB$492,17,FALSE),"")</f>
        <v/>
      </c>
      <c r="S493" s="170" t="e">
        <f t="shared" si="20"/>
        <v>#VALUE!</v>
      </c>
      <c r="T493" s="170" t="e">
        <f t="shared" si="21"/>
        <v>#VALUE!</v>
      </c>
      <c r="U493" s="359" t="str">
        <f>IFERROR(VLOOKUP($D493,EntryList!$B$3:$S$291,18,FALSE),"")</f>
        <v/>
      </c>
      <c r="V493" s="359" t="str">
        <f>IFERROR(VLOOKUP($D493,EntryList!$B$3:$S$291,17,FALSE),"")</f>
        <v/>
      </c>
    </row>
    <row r="494" spans="2:22">
      <c r="B494" s="59">
        <v>489</v>
      </c>
      <c r="C494" s="331" t="str">
        <f>IFERROR(VLOOKUP($B494,OverallResults!$B$3:$Z$508,2,FALSE),"")</f>
        <v/>
      </c>
      <c r="D494" s="146" t="str">
        <f>IFERROR(VLOOKUP($B494,OverallResults!$B$3:$Z$508,3,FALSE),"")</f>
        <v/>
      </c>
      <c r="E494" s="146" t="str">
        <f>IFERROR(VLOOKUP(C494,SeriesPoints!$A$2:$B$51,2,FALSE),"")</f>
        <v/>
      </c>
      <c r="F494" s="148" t="str">
        <f>IFERROR(VLOOKUP($D494,EntryList!$B$3:$V$291,21,FALSE),"")</f>
        <v/>
      </c>
      <c r="G494" s="100" t="str">
        <f>IFERROR(VLOOKUP($D494,EntryList!$B$3:$N$596,5,FALSE),"")</f>
        <v/>
      </c>
      <c r="H494" s="145" t="str">
        <f>IFERROR(VLOOKUP($D494,EntryList!$B$3:$N$596,6,FALSE),"")</f>
        <v/>
      </c>
      <c r="I494" s="331" t="str">
        <f>IFERROR(VLOOKUP($B494,OverallResults!$B$3:$Z$492,8,FALSE),"")</f>
        <v/>
      </c>
      <c r="J494" s="58" t="str">
        <f>IFERROR(VLOOKUP($B494,OverallResults!$B$3:$BB$492,9,FALSE),"")</f>
        <v/>
      </c>
      <c r="K494" s="58" t="str">
        <f>IFERROR(VLOOKUP($B494,OverallResults!$B$3:$BB$492,10,FALSE),"")</f>
        <v/>
      </c>
      <c r="L494" s="58" t="str">
        <f>IFERROR(VLOOKUP($B494,OverallResults!$B$3:$BB$492,11,FALSE),"")</f>
        <v/>
      </c>
      <c r="M494" s="58" t="str">
        <f>IFERROR(VLOOKUP($B494,OverallResults!$B$3:$BB$492,12,FALSE),"")</f>
        <v/>
      </c>
      <c r="N494" s="58" t="str">
        <f>IFERROR(VLOOKUP($B494,OverallResults!$B$3:$BB$492,13,FALSE),"")</f>
        <v/>
      </c>
      <c r="O494" s="58" t="str">
        <f>IFERROR(VLOOKUP($B494,OverallResults!$B$3:$BB$492,14,FALSE),"")</f>
        <v/>
      </c>
      <c r="P494" s="58" t="str">
        <f>IFERROR(VLOOKUP($B494,OverallResults!$B$3:$BB$492,15,FALSE),"")</f>
        <v/>
      </c>
      <c r="Q494" s="58" t="str">
        <f>IFERROR(VLOOKUP($B494,OverallResults!$B$3:$BB$492,16,FALSE),"")</f>
        <v/>
      </c>
      <c r="R494" s="58" t="str">
        <f>IFERROR(VLOOKUP($B494,OverallResults!$B$3:$BB$492,17,FALSE),"")</f>
        <v/>
      </c>
      <c r="S494" s="170" t="e">
        <f t="shared" si="20"/>
        <v>#VALUE!</v>
      </c>
      <c r="T494" s="170" t="e">
        <f t="shared" si="21"/>
        <v>#VALUE!</v>
      </c>
      <c r="U494" s="359" t="str">
        <f>IFERROR(VLOOKUP($D494,EntryList!$B$3:$S$291,18,FALSE),"")</f>
        <v/>
      </c>
      <c r="V494" s="359" t="str">
        <f>IFERROR(VLOOKUP($D494,EntryList!$B$3:$S$291,17,FALSE),"")</f>
        <v/>
      </c>
    </row>
    <row r="495" spans="2:22">
      <c r="B495" s="59">
        <v>490</v>
      </c>
      <c r="C495" s="331" t="str">
        <f>IFERROR(VLOOKUP($B495,OverallResults!$B$3:$Z$508,2,FALSE),"")</f>
        <v/>
      </c>
      <c r="D495" s="146" t="str">
        <f>IFERROR(VLOOKUP($B495,OverallResults!$B$3:$Z$508,3,FALSE),"")</f>
        <v/>
      </c>
      <c r="E495" s="146" t="str">
        <f>IFERROR(VLOOKUP(C495,SeriesPoints!$A$2:$B$51,2,FALSE),"")</f>
        <v/>
      </c>
      <c r="F495" s="148" t="str">
        <f>IFERROR(VLOOKUP($D495,EntryList!$B$3:$V$291,21,FALSE),"")</f>
        <v/>
      </c>
      <c r="G495" s="100" t="str">
        <f>IFERROR(VLOOKUP($D495,EntryList!$B$3:$N$596,5,FALSE),"")</f>
        <v/>
      </c>
      <c r="H495" s="145" t="str">
        <f>IFERROR(VLOOKUP($D495,EntryList!$B$3:$N$596,6,FALSE),"")</f>
        <v/>
      </c>
      <c r="I495" s="331" t="str">
        <f>IFERROR(VLOOKUP($B495,OverallResults!$B$3:$Z$492,8,FALSE),"")</f>
        <v/>
      </c>
      <c r="J495" s="58" t="str">
        <f>IFERROR(VLOOKUP($B495,OverallResults!$B$3:$BB$492,9,FALSE),"")</f>
        <v/>
      </c>
      <c r="K495" s="58" t="str">
        <f>IFERROR(VLOOKUP($B495,OverallResults!$B$3:$BB$492,10,FALSE),"")</f>
        <v/>
      </c>
      <c r="L495" s="58" t="str">
        <f>IFERROR(VLOOKUP($B495,OverallResults!$B$3:$BB$492,11,FALSE),"")</f>
        <v/>
      </c>
      <c r="M495" s="58" t="str">
        <f>IFERROR(VLOOKUP($B495,OverallResults!$B$3:$BB$492,12,FALSE),"")</f>
        <v/>
      </c>
      <c r="N495" s="58" t="str">
        <f>IFERROR(VLOOKUP($B495,OverallResults!$B$3:$BB$492,13,FALSE),"")</f>
        <v/>
      </c>
      <c r="O495" s="58" t="str">
        <f>IFERROR(VLOOKUP($B495,OverallResults!$B$3:$BB$492,14,FALSE),"")</f>
        <v/>
      </c>
      <c r="P495" s="58" t="str">
        <f>IFERROR(VLOOKUP($B495,OverallResults!$B$3:$BB$492,15,FALSE),"")</f>
        <v/>
      </c>
      <c r="Q495" s="58" t="str">
        <f>IFERROR(VLOOKUP($B495,OverallResults!$B$3:$BB$492,16,FALSE),"")</f>
        <v/>
      </c>
      <c r="R495" s="58" t="str">
        <f>IFERROR(VLOOKUP($B495,OverallResults!$B$3:$BB$492,17,FALSE),"")</f>
        <v/>
      </c>
      <c r="S495" s="170" t="e">
        <f t="shared" si="20"/>
        <v>#VALUE!</v>
      </c>
      <c r="T495" s="170" t="e">
        <f t="shared" si="21"/>
        <v>#VALUE!</v>
      </c>
      <c r="U495" s="359" t="str">
        <f>IFERROR(VLOOKUP($D495,EntryList!$B$3:$S$291,18,FALSE),"")</f>
        <v/>
      </c>
      <c r="V495" s="359" t="str">
        <f>IFERROR(VLOOKUP($D495,EntryList!$B$3:$S$291,17,FALSE),"")</f>
        <v/>
      </c>
    </row>
    <row r="496" spans="2:22">
      <c r="B496" s="59">
        <v>491</v>
      </c>
      <c r="C496" s="331" t="str">
        <f>IFERROR(VLOOKUP($B496,OverallResults!$B$3:$Z$508,2,FALSE),"")</f>
        <v/>
      </c>
      <c r="D496" s="146" t="str">
        <f>IFERROR(VLOOKUP($B496,OverallResults!$B$3:$Z$508,3,FALSE),"")</f>
        <v/>
      </c>
      <c r="E496" s="146" t="str">
        <f>IFERROR(VLOOKUP(C496,SeriesPoints!$A$2:$B$51,2,FALSE),"")</f>
        <v/>
      </c>
      <c r="F496" s="148" t="str">
        <f>IFERROR(VLOOKUP($D496,EntryList!$B$3:$V$291,21,FALSE),"")</f>
        <v/>
      </c>
      <c r="G496" s="100" t="str">
        <f>IFERROR(VLOOKUP($D496,EntryList!$B$3:$N$596,5,FALSE),"")</f>
        <v/>
      </c>
      <c r="H496" s="145" t="str">
        <f>IFERROR(VLOOKUP($D496,EntryList!$B$3:$N$596,6,FALSE),"")</f>
        <v/>
      </c>
      <c r="I496" s="331" t="str">
        <f>IFERROR(VLOOKUP($B496,OverallResults!$B$3:$Z$492,8,FALSE),"")</f>
        <v/>
      </c>
      <c r="J496" s="58" t="str">
        <f>IFERROR(VLOOKUP($B496,OverallResults!$B$3:$BB$492,9,FALSE),"")</f>
        <v/>
      </c>
      <c r="K496" s="58" t="str">
        <f>IFERROR(VLOOKUP($B496,OverallResults!$B$3:$BB$492,10,FALSE),"")</f>
        <v/>
      </c>
      <c r="L496" s="58" t="str">
        <f>IFERROR(VLOOKUP($B496,OverallResults!$B$3:$BB$492,11,FALSE),"")</f>
        <v/>
      </c>
      <c r="M496" s="58" t="str">
        <f>IFERROR(VLOOKUP($B496,OverallResults!$B$3:$BB$492,12,FALSE),"")</f>
        <v/>
      </c>
      <c r="N496" s="58" t="str">
        <f>IFERROR(VLOOKUP($B496,OverallResults!$B$3:$BB$492,13,FALSE),"")</f>
        <v/>
      </c>
      <c r="O496" s="58" t="str">
        <f>IFERROR(VLOOKUP($B496,OverallResults!$B$3:$BB$492,14,FALSE),"")</f>
        <v/>
      </c>
      <c r="P496" s="58" t="str">
        <f>IFERROR(VLOOKUP($B496,OverallResults!$B$3:$BB$492,15,FALSE),"")</f>
        <v/>
      </c>
      <c r="Q496" s="58" t="str">
        <f>IFERROR(VLOOKUP($B496,OverallResults!$B$3:$BB$492,16,FALSE),"")</f>
        <v/>
      </c>
      <c r="R496" s="58" t="str">
        <f>IFERROR(VLOOKUP($B496,OverallResults!$B$3:$BB$492,17,FALSE),"")</f>
        <v/>
      </c>
      <c r="S496" s="170" t="e">
        <f t="shared" si="20"/>
        <v>#VALUE!</v>
      </c>
      <c r="T496" s="170" t="e">
        <f t="shared" si="21"/>
        <v>#VALUE!</v>
      </c>
      <c r="U496" s="359" t="str">
        <f>IFERROR(VLOOKUP($D496,EntryList!$B$3:$S$291,18,FALSE),"")</f>
        <v/>
      </c>
      <c r="V496" s="359" t="str">
        <f>IFERROR(VLOOKUP($D496,EntryList!$B$3:$S$291,17,FALSE),"")</f>
        <v/>
      </c>
    </row>
    <row r="497" spans="2:22">
      <c r="B497" s="59">
        <v>492</v>
      </c>
      <c r="C497" s="331" t="str">
        <f>IFERROR(VLOOKUP($B497,OverallResults!$B$3:$Z$508,2,FALSE),"")</f>
        <v/>
      </c>
      <c r="D497" s="146" t="str">
        <f>IFERROR(VLOOKUP($B497,OverallResults!$B$3:$Z$508,3,FALSE),"")</f>
        <v/>
      </c>
      <c r="E497" s="146" t="str">
        <f>IFERROR(VLOOKUP(C497,SeriesPoints!$A$2:$B$51,2,FALSE),"")</f>
        <v/>
      </c>
      <c r="F497" s="148" t="str">
        <f>IFERROR(VLOOKUP($D497,EntryList!$B$3:$V$291,21,FALSE),"")</f>
        <v/>
      </c>
      <c r="G497" s="100" t="str">
        <f>IFERROR(VLOOKUP($D497,EntryList!$B$3:$N$596,5,FALSE),"")</f>
        <v/>
      </c>
      <c r="H497" s="145" t="str">
        <f>IFERROR(VLOOKUP($D497,EntryList!$B$3:$N$596,6,FALSE),"")</f>
        <v/>
      </c>
      <c r="I497" s="331" t="str">
        <f>IFERROR(VLOOKUP($B497,OverallResults!$B$3:$Z$492,8,FALSE),"")</f>
        <v/>
      </c>
      <c r="J497" s="58" t="str">
        <f>IFERROR(VLOOKUP($B497,OverallResults!$B$3:$BB$492,9,FALSE),"")</f>
        <v/>
      </c>
      <c r="K497" s="58" t="str">
        <f>IFERROR(VLOOKUP($B497,OverallResults!$B$3:$BB$492,10,FALSE),"")</f>
        <v/>
      </c>
      <c r="L497" s="58" t="str">
        <f>IFERROR(VLOOKUP($B497,OverallResults!$B$3:$BB$492,11,FALSE),"")</f>
        <v/>
      </c>
      <c r="M497" s="58" t="str">
        <f>IFERROR(VLOOKUP($B497,OverallResults!$B$3:$BB$492,12,FALSE),"")</f>
        <v/>
      </c>
      <c r="N497" s="58" t="str">
        <f>IFERROR(VLOOKUP($B497,OverallResults!$B$3:$BB$492,13,FALSE),"")</f>
        <v/>
      </c>
      <c r="O497" s="58" t="str">
        <f>IFERROR(VLOOKUP($B497,OverallResults!$B$3:$BB$492,14,FALSE),"")</f>
        <v/>
      </c>
      <c r="P497" s="58" t="str">
        <f>IFERROR(VLOOKUP($B497,OverallResults!$B$3:$BB$492,15,FALSE),"")</f>
        <v/>
      </c>
      <c r="Q497" s="58" t="str">
        <f>IFERROR(VLOOKUP($B497,OverallResults!$B$3:$BB$492,16,FALSE),"")</f>
        <v/>
      </c>
      <c r="R497" s="58" t="str">
        <f>IFERROR(VLOOKUP($B497,OverallResults!$B$3:$BB$492,17,FALSE),"")</f>
        <v/>
      </c>
      <c r="S497" s="170" t="e">
        <f t="shared" si="20"/>
        <v>#VALUE!</v>
      </c>
      <c r="T497" s="170" t="e">
        <f t="shared" si="21"/>
        <v>#VALUE!</v>
      </c>
      <c r="U497" s="359" t="str">
        <f>IFERROR(VLOOKUP($D497,EntryList!$B$3:$S$291,18,FALSE),"")</f>
        <v/>
      </c>
      <c r="V497" s="359" t="str">
        <f>IFERROR(VLOOKUP($D497,EntryList!$B$3:$S$291,17,FALSE),"")</f>
        <v/>
      </c>
    </row>
    <row r="498" spans="2:22">
      <c r="B498" s="59">
        <v>493</v>
      </c>
      <c r="C498" s="331" t="str">
        <f>IFERROR(VLOOKUP($B498,OverallResults!$B$3:$Z$508,2,FALSE),"")</f>
        <v/>
      </c>
      <c r="D498" s="146" t="str">
        <f>IFERROR(VLOOKUP($B498,OverallResults!$B$3:$Z$508,3,FALSE),"")</f>
        <v/>
      </c>
      <c r="E498" s="146" t="str">
        <f>IFERROR(VLOOKUP(C498,SeriesPoints!$A$2:$B$51,2,FALSE),"")</f>
        <v/>
      </c>
      <c r="F498" s="148" t="str">
        <f>IFERROR(VLOOKUP($D498,EntryList!$B$3:$V$291,21,FALSE),"")</f>
        <v/>
      </c>
      <c r="G498" s="100" t="str">
        <f>IFERROR(VLOOKUP($D498,EntryList!$B$3:$N$596,5,FALSE),"")</f>
        <v/>
      </c>
      <c r="H498" s="145" t="str">
        <f>IFERROR(VLOOKUP($D498,EntryList!$B$3:$N$596,6,FALSE),"")</f>
        <v/>
      </c>
      <c r="I498" s="331" t="str">
        <f>IFERROR(VLOOKUP($B498,OverallResults!$B$3:$Z$492,8,FALSE),"")</f>
        <v/>
      </c>
      <c r="J498" s="58" t="str">
        <f>IFERROR(VLOOKUP($B498,OverallResults!$B$3:$BB$492,9,FALSE),"")</f>
        <v/>
      </c>
      <c r="K498" s="58" t="str">
        <f>IFERROR(VLOOKUP($B498,OverallResults!$B$3:$BB$492,10,FALSE),"")</f>
        <v/>
      </c>
      <c r="L498" s="58" t="str">
        <f>IFERROR(VLOOKUP($B498,OverallResults!$B$3:$BB$492,11,FALSE),"")</f>
        <v/>
      </c>
      <c r="M498" s="58" t="str">
        <f>IFERROR(VLOOKUP($B498,OverallResults!$B$3:$BB$492,12,FALSE),"")</f>
        <v/>
      </c>
      <c r="N498" s="58" t="str">
        <f>IFERROR(VLOOKUP($B498,OverallResults!$B$3:$BB$492,13,FALSE),"")</f>
        <v/>
      </c>
      <c r="O498" s="58" t="str">
        <f>IFERROR(VLOOKUP($B498,OverallResults!$B$3:$BB$492,14,FALSE),"")</f>
        <v/>
      </c>
      <c r="P498" s="58" t="str">
        <f>IFERROR(VLOOKUP($B498,OverallResults!$B$3:$BB$492,15,FALSE),"")</f>
        <v/>
      </c>
      <c r="Q498" s="58" t="str">
        <f>IFERROR(VLOOKUP($B498,OverallResults!$B$3:$BB$492,16,FALSE),"")</f>
        <v/>
      </c>
      <c r="R498" s="58" t="str">
        <f>IFERROR(VLOOKUP($B498,OverallResults!$B$3:$BB$492,17,FALSE),"")</f>
        <v/>
      </c>
      <c r="S498" s="170" t="e">
        <f t="shared" si="20"/>
        <v>#VALUE!</v>
      </c>
      <c r="T498" s="170" t="e">
        <f t="shared" si="21"/>
        <v>#VALUE!</v>
      </c>
      <c r="U498" s="359" t="str">
        <f>IFERROR(VLOOKUP($D498,EntryList!$B$3:$S$291,18,FALSE),"")</f>
        <v/>
      </c>
      <c r="V498" s="359" t="str">
        <f>IFERROR(VLOOKUP($D498,EntryList!$B$3:$S$291,17,FALSE),"")</f>
        <v/>
      </c>
    </row>
    <row r="499" spans="2:22">
      <c r="B499" s="59">
        <v>494</v>
      </c>
      <c r="C499" s="331" t="str">
        <f>IFERROR(VLOOKUP($B499,OverallResults!$B$3:$Z$508,2,FALSE),"")</f>
        <v/>
      </c>
      <c r="D499" s="146" t="str">
        <f>IFERROR(VLOOKUP($B499,OverallResults!$B$3:$Z$508,3,FALSE),"")</f>
        <v/>
      </c>
      <c r="E499" s="146" t="str">
        <f>IFERROR(VLOOKUP(C499,SeriesPoints!$A$2:$B$51,2,FALSE),"")</f>
        <v/>
      </c>
      <c r="F499" s="148" t="str">
        <f>IFERROR(VLOOKUP($D499,EntryList!$B$3:$V$291,21,FALSE),"")</f>
        <v/>
      </c>
      <c r="G499" s="333" t="str">
        <f>IFERROR(VLOOKUP($D499,EntryList!$B$3:$N$596,5,FALSE),"")</f>
        <v/>
      </c>
      <c r="H499" s="220" t="str">
        <f>IFERROR(VLOOKUP($D499,EntryList!$B$3:$N$596,6,FALSE),"")</f>
        <v/>
      </c>
      <c r="I499" s="331" t="str">
        <f>IFERROR(VLOOKUP($B499,OverallResults!$B$3:$Z$492,8,FALSE),"")</f>
        <v/>
      </c>
      <c r="J499" s="58" t="str">
        <f>IFERROR(VLOOKUP($B499,OverallResults!$B$3:$BB$492,9,FALSE),"")</f>
        <v/>
      </c>
      <c r="K499" s="58" t="str">
        <f>IFERROR(VLOOKUP($B499,OverallResults!$B$3:$BB$492,10,FALSE),"")</f>
        <v/>
      </c>
      <c r="L499" s="58" t="str">
        <f>IFERROR(VLOOKUP($B499,OverallResults!$B$3:$BB$492,11,FALSE),"")</f>
        <v/>
      </c>
      <c r="M499" s="58" t="str">
        <f>IFERROR(VLOOKUP($B499,OverallResults!$B$3:$BB$492,12,FALSE),"")</f>
        <v/>
      </c>
      <c r="N499" s="58" t="str">
        <f>IFERROR(VLOOKUP($B499,OverallResults!$B$3:$BB$492,13,FALSE),"")</f>
        <v/>
      </c>
      <c r="O499" s="58" t="str">
        <f>IFERROR(VLOOKUP($B499,OverallResults!$B$3:$BB$492,14,FALSE),"")</f>
        <v/>
      </c>
      <c r="P499" s="58" t="str">
        <f>IFERROR(VLOOKUP($B499,OverallResults!$B$3:$BB$492,15,FALSE),"")</f>
        <v/>
      </c>
      <c r="Q499" s="58" t="str">
        <f>IFERROR(VLOOKUP($B499,OverallResults!$B$3:$BB$492,16,FALSE),"")</f>
        <v/>
      </c>
      <c r="R499" s="58" t="str">
        <f>IFERROR(VLOOKUP($B499,OverallResults!$B$3:$BB$492,17,FALSE),"")</f>
        <v/>
      </c>
      <c r="S499" s="170" t="e">
        <f>R499-R498</f>
        <v>#VALUE!</v>
      </c>
      <c r="T499" s="170" t="e">
        <f>R499-R$6</f>
        <v>#VALUE!</v>
      </c>
      <c r="U499" s="359" t="str">
        <f>IFERROR(VLOOKUP($D499,EntryList!$B$3:$S$291,18,FALSE),"")</f>
        <v/>
      </c>
      <c r="V499" s="359" t="str">
        <f>IFERROR(VLOOKUP($D499,EntryList!$B$3:$S$291,17,FALSE),"")</f>
        <v/>
      </c>
    </row>
    <row r="500" spans="2:22">
      <c r="B500" s="59">
        <v>495</v>
      </c>
      <c r="C500" s="331" t="str">
        <f>IFERROR(VLOOKUP($B500,OverallResults!$B$3:$Z$508,2,FALSE),"")</f>
        <v/>
      </c>
      <c r="D500" s="146" t="str">
        <f>IFERROR(VLOOKUP($B500,OverallResults!$B$3:$Z$508,3,FALSE),"")</f>
        <v/>
      </c>
      <c r="E500" s="146" t="str">
        <f>IFERROR(VLOOKUP(C500,SeriesPoints!$A$2:$B$51,2,FALSE),"")</f>
        <v/>
      </c>
      <c r="F500" s="148" t="str">
        <f>IFERROR(VLOOKUP($D500,EntryList!$B$3:$V$291,21,FALSE),"")</f>
        <v/>
      </c>
      <c r="G500" s="333" t="str">
        <f>IFERROR(VLOOKUP($D500,EntryList!$B$3:$N$596,5,FALSE),"")</f>
        <v/>
      </c>
      <c r="H500" s="220" t="str">
        <f>IFERROR(VLOOKUP($D500,EntryList!$B$3:$N$596,6,FALSE),"")</f>
        <v/>
      </c>
      <c r="I500" s="331" t="str">
        <f>IFERROR(VLOOKUP($B500,OverallResults!$B$3:$Z$492,8,FALSE),"")</f>
        <v/>
      </c>
      <c r="J500" s="58" t="str">
        <f>IFERROR(VLOOKUP($B500,OverallResults!$B$3:$BB$492,9,FALSE),"")</f>
        <v/>
      </c>
      <c r="K500" s="58" t="str">
        <f>IFERROR(VLOOKUP($B500,OverallResults!$B$3:$BB$492,10,FALSE),"")</f>
        <v/>
      </c>
      <c r="L500" s="58" t="str">
        <f>IFERROR(VLOOKUP($B500,OverallResults!$B$3:$BB$492,11,FALSE),"")</f>
        <v/>
      </c>
      <c r="M500" s="58" t="str">
        <f>IFERROR(VLOOKUP($B500,OverallResults!$B$3:$BB$492,12,FALSE),"")</f>
        <v/>
      </c>
      <c r="N500" s="58" t="str">
        <f>IFERROR(VLOOKUP($B500,OverallResults!$B$3:$BB$492,13,FALSE),"")</f>
        <v/>
      </c>
      <c r="O500" s="58" t="str">
        <f>IFERROR(VLOOKUP($B500,OverallResults!$B$3:$BB$492,14,FALSE),"")</f>
        <v/>
      </c>
      <c r="P500" s="58" t="str">
        <f>IFERROR(VLOOKUP($B500,OverallResults!$B$3:$BB$492,15,FALSE),"")</f>
        <v/>
      </c>
      <c r="Q500" s="58" t="str">
        <f>IFERROR(VLOOKUP($B500,OverallResults!$B$3:$BB$492,16,FALSE),"")</f>
        <v/>
      </c>
      <c r="R500" s="58" t="str">
        <f>IFERROR(VLOOKUP($B500,OverallResults!$B$3:$BB$492,17,FALSE),"")</f>
        <v/>
      </c>
      <c r="S500" s="170" t="e">
        <f t="shared" ref="S500:S505" si="22">R500-R499</f>
        <v>#VALUE!</v>
      </c>
      <c r="T500" s="170" t="e">
        <f t="shared" ref="T500:T503" si="23">R500-R$6</f>
        <v>#VALUE!</v>
      </c>
      <c r="U500" s="359" t="str">
        <f>IFERROR(VLOOKUP($D500,EntryList!$B$3:$S$291,18,FALSE),"")</f>
        <v/>
      </c>
      <c r="V500" s="359" t="str">
        <f>IFERROR(VLOOKUP($D500,EntryList!$B$3:$S$291,17,FALSE),"")</f>
        <v/>
      </c>
    </row>
    <row r="501" spans="2:22">
      <c r="B501" s="59">
        <v>496</v>
      </c>
      <c r="C501" s="331" t="str">
        <f>IFERROR(VLOOKUP($B501,OverallResults!$B$3:$Z$508,2,FALSE),"")</f>
        <v/>
      </c>
      <c r="D501" s="146" t="str">
        <f>IFERROR(VLOOKUP($B501,OverallResults!$B$3:$Z$508,3,FALSE),"")</f>
        <v/>
      </c>
      <c r="E501" s="146" t="str">
        <f>IFERROR(VLOOKUP(C501,SeriesPoints!$A$2:$B$51,2,FALSE),"")</f>
        <v/>
      </c>
      <c r="F501" s="148" t="str">
        <f>IFERROR(VLOOKUP($D501,EntryList!$B$3:$V$291,21,FALSE),"")</f>
        <v/>
      </c>
      <c r="G501" s="333" t="str">
        <f>IFERROR(VLOOKUP($D501,EntryList!$B$3:$N$596,5,FALSE),"")</f>
        <v/>
      </c>
      <c r="H501" s="220" t="str">
        <f>IFERROR(VLOOKUP($D501,EntryList!$B$3:$N$596,6,FALSE),"")</f>
        <v/>
      </c>
      <c r="I501" s="331" t="str">
        <f>IFERROR(VLOOKUP($B501,OverallResults!$B$3:$Z$492,8,FALSE),"")</f>
        <v/>
      </c>
      <c r="J501" s="58" t="str">
        <f>IFERROR(VLOOKUP($B501,OverallResults!$B$3:$BB$492,9,FALSE),"")</f>
        <v/>
      </c>
      <c r="K501" s="58" t="str">
        <f>IFERROR(VLOOKUP($B501,OverallResults!$B$3:$BB$492,10,FALSE),"")</f>
        <v/>
      </c>
      <c r="L501" s="58" t="str">
        <f>IFERROR(VLOOKUP($B501,OverallResults!$B$3:$BB$492,11,FALSE),"")</f>
        <v/>
      </c>
      <c r="M501" s="58" t="str">
        <f>IFERROR(VLOOKUP($B501,OverallResults!$B$3:$BB$492,12,FALSE),"")</f>
        <v/>
      </c>
      <c r="N501" s="58" t="str">
        <f>IFERROR(VLOOKUP($B501,OverallResults!$B$3:$BB$492,13,FALSE),"")</f>
        <v/>
      </c>
      <c r="O501" s="58" t="str">
        <f>IFERROR(VLOOKUP($B501,OverallResults!$B$3:$BB$492,14,FALSE),"")</f>
        <v/>
      </c>
      <c r="P501" s="58" t="str">
        <f>IFERROR(VLOOKUP($B501,OverallResults!$B$3:$BB$492,15,FALSE),"")</f>
        <v/>
      </c>
      <c r="Q501" s="58" t="str">
        <f>IFERROR(VLOOKUP($B501,OverallResults!$B$3:$BB$492,16,FALSE),"")</f>
        <v/>
      </c>
      <c r="R501" s="58" t="str">
        <f>IFERROR(VLOOKUP($B501,OverallResults!$B$3:$BB$492,17,FALSE),"")</f>
        <v/>
      </c>
      <c r="S501" s="170" t="e">
        <f t="shared" si="22"/>
        <v>#VALUE!</v>
      </c>
      <c r="T501" s="170" t="e">
        <f t="shared" si="23"/>
        <v>#VALUE!</v>
      </c>
      <c r="U501" s="359" t="str">
        <f>IFERROR(VLOOKUP($D501,EntryList!$B$3:$S$291,18,FALSE),"")</f>
        <v/>
      </c>
      <c r="V501" s="359" t="str">
        <f>IFERROR(VLOOKUP($D501,EntryList!$B$3:$S$291,17,FALSE),"")</f>
        <v/>
      </c>
    </row>
    <row r="502" spans="2:22">
      <c r="B502" s="59">
        <v>497</v>
      </c>
      <c r="C502" s="331" t="str">
        <f>IFERROR(VLOOKUP($B502,OverallResults!$B$3:$Z$508,2,FALSE),"")</f>
        <v/>
      </c>
      <c r="D502" s="146" t="str">
        <f>IFERROR(VLOOKUP($B502,OverallResults!$B$3:$Z$508,3,FALSE),"")</f>
        <v/>
      </c>
      <c r="E502" s="146" t="str">
        <f>IFERROR(VLOOKUP(C502,SeriesPoints!$A$2:$B$51,2,FALSE),"")</f>
        <v/>
      </c>
      <c r="F502" s="148" t="str">
        <f>IFERROR(VLOOKUP($D502,EntryList!$B$3:$V$291,21,FALSE),"")</f>
        <v/>
      </c>
      <c r="G502" s="333" t="str">
        <f>IFERROR(VLOOKUP($D502,EntryList!$B$3:$N$596,5,FALSE),"")</f>
        <v/>
      </c>
      <c r="H502" s="220" t="str">
        <f>IFERROR(VLOOKUP($D502,EntryList!$B$3:$N$596,6,FALSE),"")</f>
        <v/>
      </c>
      <c r="I502" s="331" t="str">
        <f>IFERROR(VLOOKUP($B502,OverallResults!$B$3:$Z$492,8,FALSE),"")</f>
        <v/>
      </c>
      <c r="J502" s="58" t="str">
        <f>IFERROR(VLOOKUP($B502,OverallResults!$B$3:$BB$492,9,FALSE),"")</f>
        <v/>
      </c>
      <c r="K502" s="58" t="str">
        <f>IFERROR(VLOOKUP($B502,OverallResults!$B$3:$BB$492,10,FALSE),"")</f>
        <v/>
      </c>
      <c r="L502" s="58" t="str">
        <f>IFERROR(VLOOKUP($B502,OverallResults!$B$3:$BB$492,11,FALSE),"")</f>
        <v/>
      </c>
      <c r="M502" s="58" t="str">
        <f>IFERROR(VLOOKUP($B502,OverallResults!$B$3:$BB$492,12,FALSE),"")</f>
        <v/>
      </c>
      <c r="N502" s="58" t="str">
        <f>IFERROR(VLOOKUP($B502,OverallResults!$B$3:$BB$492,13,FALSE),"")</f>
        <v/>
      </c>
      <c r="O502" s="58" t="str">
        <f>IFERROR(VLOOKUP($B502,OverallResults!$B$3:$BB$492,14,FALSE),"")</f>
        <v/>
      </c>
      <c r="P502" s="58" t="str">
        <f>IFERROR(VLOOKUP($B502,OverallResults!$B$3:$BB$492,15,FALSE),"")</f>
        <v/>
      </c>
      <c r="Q502" s="58" t="str">
        <f>IFERROR(VLOOKUP($B502,OverallResults!$B$3:$BB$492,16,FALSE),"")</f>
        <v/>
      </c>
      <c r="R502" s="58" t="str">
        <f>IFERROR(VLOOKUP($B502,OverallResults!$B$3:$BB$492,17,FALSE),"")</f>
        <v/>
      </c>
      <c r="S502" s="170" t="e">
        <f t="shared" si="22"/>
        <v>#VALUE!</v>
      </c>
      <c r="T502" s="170" t="e">
        <f t="shared" si="23"/>
        <v>#VALUE!</v>
      </c>
      <c r="U502" s="359" t="str">
        <f>IFERROR(VLOOKUP($D502,EntryList!$B$3:$S$291,18,FALSE),"")</f>
        <v/>
      </c>
      <c r="V502" s="359" t="str">
        <f>IFERROR(VLOOKUP($D502,EntryList!$B$3:$S$291,17,FALSE),"")</f>
        <v/>
      </c>
    </row>
    <row r="503" spans="2:22">
      <c r="B503" s="59">
        <v>498</v>
      </c>
      <c r="C503" s="331" t="str">
        <f>IFERROR(VLOOKUP($B503,OverallResults!$B$3:$Z$508,2,FALSE),"")</f>
        <v/>
      </c>
      <c r="D503" s="146" t="str">
        <f>IFERROR(VLOOKUP($B503,OverallResults!$B$3:$Z$508,3,FALSE),"")</f>
        <v/>
      </c>
      <c r="E503" s="146" t="str">
        <f>IFERROR(VLOOKUP(C503,SeriesPoints!$A$2:$B$51,2,FALSE),"")</f>
        <v/>
      </c>
      <c r="F503" s="148" t="str">
        <f>IFERROR(VLOOKUP($D503,EntryList!$B$3:$V$291,21,FALSE),"")</f>
        <v/>
      </c>
      <c r="G503" s="333" t="str">
        <f>IFERROR(VLOOKUP($D503,EntryList!$B$3:$N$596,5,FALSE),"")</f>
        <v/>
      </c>
      <c r="H503" s="220" t="str">
        <f>IFERROR(VLOOKUP($D503,EntryList!$B$3:$N$596,6,FALSE),"")</f>
        <v/>
      </c>
      <c r="I503" s="331" t="str">
        <f>IFERROR(VLOOKUP($B503,OverallResults!$B$3:$Z$492,8,FALSE),"")</f>
        <v/>
      </c>
      <c r="J503" s="58" t="str">
        <f>IFERROR(VLOOKUP($B503,OverallResults!$B$3:$BB$492,9,FALSE),"")</f>
        <v/>
      </c>
      <c r="K503" s="58" t="str">
        <f>IFERROR(VLOOKUP($B503,OverallResults!$B$3:$BB$492,10,FALSE),"")</f>
        <v/>
      </c>
      <c r="L503" s="58" t="str">
        <f>IFERROR(VLOOKUP($B503,OverallResults!$B$3:$BB$492,11,FALSE),"")</f>
        <v/>
      </c>
      <c r="M503" s="58" t="str">
        <f>IFERROR(VLOOKUP($B503,OverallResults!$B$3:$BB$492,12,FALSE),"")</f>
        <v/>
      </c>
      <c r="N503" s="58" t="str">
        <f>IFERROR(VLOOKUP($B503,OverallResults!$B$3:$BB$492,13,FALSE),"")</f>
        <v/>
      </c>
      <c r="O503" s="58" t="str">
        <f>IFERROR(VLOOKUP($B503,OverallResults!$B$3:$BB$492,14,FALSE),"")</f>
        <v/>
      </c>
      <c r="P503" s="58" t="str">
        <f>IFERROR(VLOOKUP($B503,OverallResults!$B$3:$BB$492,15,FALSE),"")</f>
        <v/>
      </c>
      <c r="Q503" s="58" t="str">
        <f>IFERROR(VLOOKUP($B503,OverallResults!$B$3:$BB$492,16,FALSE),"")</f>
        <v/>
      </c>
      <c r="R503" s="58" t="str">
        <f>IFERROR(VLOOKUP($B503,OverallResults!$B$3:$BB$492,17,FALSE),"")</f>
        <v/>
      </c>
      <c r="S503" s="170" t="e">
        <f t="shared" si="22"/>
        <v>#VALUE!</v>
      </c>
      <c r="T503" s="170" t="e">
        <f t="shared" si="23"/>
        <v>#VALUE!</v>
      </c>
      <c r="U503" s="359" t="str">
        <f>IFERROR(VLOOKUP($D503,EntryList!$B$3:$S$291,18,FALSE),"")</f>
        <v/>
      </c>
      <c r="V503" s="359" t="str">
        <f>IFERROR(VLOOKUP($D503,EntryList!$B$3:$S$291,17,FALSE),"")</f>
        <v/>
      </c>
    </row>
    <row r="504" spans="2:22">
      <c r="B504" s="59">
        <v>499</v>
      </c>
      <c r="C504" s="331" t="str">
        <f>IFERROR(VLOOKUP($B504,OverallResults!$B$3:$Z$508,2,FALSE),"")</f>
        <v/>
      </c>
      <c r="D504" s="146" t="str">
        <f>IFERROR(VLOOKUP($B504,OverallResults!$B$3:$Z$508,3,FALSE),"")</f>
        <v/>
      </c>
      <c r="E504" s="146" t="str">
        <f>IFERROR(VLOOKUP(C504,SeriesPoints!$A$2:$B$51,2,FALSE),"")</f>
        <v/>
      </c>
      <c r="F504" s="148" t="str">
        <f>IFERROR(VLOOKUP($D504,EntryList!$B$3:$V$291,21,FALSE),"")</f>
        <v/>
      </c>
      <c r="G504" s="333" t="str">
        <f>IFERROR(VLOOKUP($D504,EntryList!$B$3:$N$596,5,FALSE),"")</f>
        <v/>
      </c>
      <c r="H504" s="220" t="str">
        <f>IFERROR(VLOOKUP($D504,EntryList!$B$3:$N$596,6,FALSE),"")</f>
        <v/>
      </c>
      <c r="I504" s="331" t="str">
        <f>IFERROR(VLOOKUP($B504,OverallResults!$B$3:$Z$492,8,FALSE),"")</f>
        <v/>
      </c>
      <c r="J504" s="58" t="str">
        <f>IFERROR(VLOOKUP($B504,OverallResults!$B$3:$BB$492,9,FALSE),"")</f>
        <v/>
      </c>
      <c r="K504" s="58" t="str">
        <f>IFERROR(VLOOKUP($B504,OverallResults!$B$3:$BB$492,10,FALSE),"")</f>
        <v/>
      </c>
      <c r="L504" s="58" t="str">
        <f>IFERROR(VLOOKUP($B504,OverallResults!$B$3:$BB$492,11,FALSE),"")</f>
        <v/>
      </c>
      <c r="M504" s="58" t="str">
        <f>IFERROR(VLOOKUP($B504,OverallResults!$B$3:$BB$492,12,FALSE),"")</f>
        <v/>
      </c>
      <c r="N504" s="58" t="str">
        <f>IFERROR(VLOOKUP($B504,OverallResults!$B$3:$BB$492,13,FALSE),"")</f>
        <v/>
      </c>
      <c r="O504" s="58" t="str">
        <f>IFERROR(VLOOKUP($B504,OverallResults!$B$3:$BB$492,14,FALSE),"")</f>
        <v/>
      </c>
      <c r="P504" s="58" t="str">
        <f>IFERROR(VLOOKUP($B504,OverallResults!$B$3:$BB$492,15,FALSE),"")</f>
        <v/>
      </c>
      <c r="Q504" s="58" t="str">
        <f>IFERROR(VLOOKUP($B504,OverallResults!$B$3:$BB$492,16,FALSE),"")</f>
        <v/>
      </c>
      <c r="R504" s="58" t="str">
        <f>IFERROR(VLOOKUP($B504,OverallResults!$B$3:$BB$492,17,FALSE),"")</f>
        <v/>
      </c>
      <c r="S504" s="170" t="e">
        <f>R504-R503</f>
        <v>#VALUE!</v>
      </c>
      <c r="T504" s="170" t="e">
        <f>R504-R$6</f>
        <v>#VALUE!</v>
      </c>
      <c r="U504" s="359" t="str">
        <f>IFERROR(VLOOKUP($D504,EntryList!$B$3:$S$291,18,FALSE),"")</f>
        <v/>
      </c>
      <c r="V504" s="359" t="str">
        <f>IFERROR(VLOOKUP($D504,EntryList!$B$3:$S$291,17,FALSE),"")</f>
        <v/>
      </c>
    </row>
    <row r="505" spans="2:22">
      <c r="B505" s="59">
        <v>500</v>
      </c>
      <c r="C505" s="331" t="str">
        <f>IFERROR(VLOOKUP($B505,OverallResults!$B$3:$Z$508,2,FALSE),"")</f>
        <v/>
      </c>
      <c r="D505" s="146" t="str">
        <f>IFERROR(VLOOKUP($B505,OverallResults!$B$3:$Z$508,3,FALSE),"")</f>
        <v/>
      </c>
      <c r="E505" s="146" t="str">
        <f>IFERROR(VLOOKUP(C505,SeriesPoints!$A$2:$B$51,2,FALSE),"")</f>
        <v/>
      </c>
      <c r="F505" s="148" t="str">
        <f>IFERROR(VLOOKUP($D505,EntryList!$B$3:$V$291,21,FALSE),"")</f>
        <v/>
      </c>
      <c r="G505" s="333" t="str">
        <f>IFERROR(VLOOKUP($D505,EntryList!$B$3:$N$596,5,FALSE),"")</f>
        <v/>
      </c>
      <c r="H505" s="220" t="str">
        <f>IFERROR(VLOOKUP($D505,EntryList!$B$3:$N$596,6,FALSE),"")</f>
        <v/>
      </c>
      <c r="I505" s="331" t="str">
        <f>IFERROR(VLOOKUP($B505,OverallResults!$B$3:$Z$492,8,FALSE),"")</f>
        <v/>
      </c>
      <c r="J505" s="58" t="str">
        <f>IFERROR(VLOOKUP($B505,OverallResults!$B$3:$BB$492,9,FALSE),"")</f>
        <v/>
      </c>
      <c r="K505" s="58" t="str">
        <f>IFERROR(VLOOKUP($B505,OverallResults!$B$3:$BB$492,10,FALSE),"")</f>
        <v/>
      </c>
      <c r="L505" s="58" t="str">
        <f>IFERROR(VLOOKUP($B505,OverallResults!$B$3:$BB$492,11,FALSE),"")</f>
        <v/>
      </c>
      <c r="M505" s="58" t="str">
        <f>IFERROR(VLOOKUP($B505,OverallResults!$B$3:$BB$492,12,FALSE),"")</f>
        <v/>
      </c>
      <c r="N505" s="58" t="str">
        <f>IFERROR(VLOOKUP($B505,OverallResults!$B$3:$BB$492,13,FALSE),"")</f>
        <v/>
      </c>
      <c r="O505" s="58" t="str">
        <f>IFERROR(VLOOKUP($B505,OverallResults!$B$3:$BB$492,14,FALSE),"")</f>
        <v/>
      </c>
      <c r="P505" s="58" t="str">
        <f>IFERROR(VLOOKUP($B505,OverallResults!$B$3:$BB$492,15,FALSE),"")</f>
        <v/>
      </c>
      <c r="Q505" s="58" t="str">
        <f>IFERROR(VLOOKUP($B505,OverallResults!$B$3:$BB$492,16,FALSE),"")</f>
        <v/>
      </c>
      <c r="R505" s="58" t="str">
        <f>IFERROR(VLOOKUP($B505,OverallResults!$B$3:$BB$492,17,FALSE),"")</f>
        <v/>
      </c>
      <c r="S505" s="170" t="e">
        <f t="shared" si="22"/>
        <v>#VALUE!</v>
      </c>
      <c r="T505" s="170" t="e">
        <f t="shared" ref="T505" si="24">R505-R$6</f>
        <v>#VALUE!</v>
      </c>
      <c r="U505" s="359" t="str">
        <f>IFERROR(VLOOKUP($D505,EntryList!$B$3:$S$291,18,FALSE),"")</f>
        <v/>
      </c>
      <c r="V505" s="359" t="str">
        <f>IFERROR(VLOOKUP($D505,EntryList!$B$3:$S$291,17,FALSE),"")</f>
        <v/>
      </c>
    </row>
  </sheetData>
  <mergeCells count="3">
    <mergeCell ref="B1:AD1"/>
    <mergeCell ref="B3:AD3"/>
    <mergeCell ref="B4:AD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57" fitToHeight="0" orientation="landscape" r:id="rId1"/>
  <rowBreaks count="1" manualBreakCount="1">
    <brk id="72" min="1" max="19" man="1"/>
  </rowBreaks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autoPageBreaks="0"/>
  </sheetPr>
  <dimension ref="A1:AC321"/>
  <sheetViews>
    <sheetView workbookViewId="0">
      <selection activeCell="A5" sqref="A5"/>
    </sheetView>
  </sheetViews>
  <sheetFormatPr defaultRowHeight="12.75"/>
  <cols>
    <col min="1" max="1" width="5.85546875" bestFit="1" customWidth="1"/>
    <col min="2" max="2" width="14.85546875" bestFit="1" customWidth="1"/>
    <col min="3" max="3" width="13.28515625" bestFit="1" customWidth="1"/>
    <col min="4" max="4" width="26.140625" bestFit="1" customWidth="1"/>
    <col min="5" max="5" width="9.85546875" bestFit="1" customWidth="1"/>
    <col min="6" max="6" width="8.5703125" bestFit="1" customWidth="1"/>
    <col min="7" max="7" width="11.85546875" bestFit="1" customWidth="1"/>
    <col min="8" max="8" width="11.5703125" bestFit="1" customWidth="1"/>
    <col min="9" max="9" width="7.85546875" bestFit="1" customWidth="1"/>
    <col min="10" max="10" width="15.42578125" style="6" bestFit="1" customWidth="1"/>
    <col min="11" max="11" width="14.5703125" bestFit="1" customWidth="1"/>
    <col min="12" max="15" width="11.7109375" bestFit="1" customWidth="1"/>
    <col min="16" max="20" width="11.7109375" customWidth="1"/>
    <col min="21" max="23" width="10.85546875" customWidth="1"/>
    <col min="24" max="24" width="10.85546875" hidden="1" customWidth="1"/>
    <col min="25" max="25" width="11.7109375" bestFit="1" customWidth="1"/>
    <col min="26" max="27" width="12.5703125" bestFit="1" customWidth="1"/>
    <col min="28" max="28" width="13.42578125" bestFit="1" customWidth="1"/>
    <col min="29" max="29" width="14.42578125" bestFit="1" customWidth="1"/>
    <col min="30" max="30" width="14.5703125" bestFit="1" customWidth="1"/>
  </cols>
  <sheetData>
    <row r="1" spans="1:29" ht="15.75">
      <c r="A1" s="388" t="str">
        <f>Helpers!A2</f>
        <v>Jonkershoek Enduro</v>
      </c>
      <c r="B1" s="388"/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U1" s="388"/>
      <c r="V1" s="388"/>
      <c r="W1" s="388"/>
      <c r="X1" s="388"/>
      <c r="Y1" s="388"/>
      <c r="Z1" s="388"/>
      <c r="AA1" s="388"/>
      <c r="AB1" s="388"/>
      <c r="AC1" s="388"/>
    </row>
    <row r="2" spans="1:29">
      <c r="A2" s="103" t="s">
        <v>133</v>
      </c>
      <c r="B2" s="103" t="s">
        <v>136</v>
      </c>
      <c r="C2" s="103" t="s">
        <v>134</v>
      </c>
      <c r="D2" s="103" t="s">
        <v>135</v>
      </c>
      <c r="E2" s="103" t="s">
        <v>119</v>
      </c>
      <c r="F2" s="103" t="s">
        <v>30</v>
      </c>
      <c r="G2" s="103" t="s">
        <v>23</v>
      </c>
      <c r="H2" s="103" t="s">
        <v>109</v>
      </c>
      <c r="I2" s="180" t="s">
        <v>31</v>
      </c>
      <c r="J2" s="178" t="s">
        <v>24</v>
      </c>
      <c r="K2" s="178" t="s">
        <v>25</v>
      </c>
      <c r="L2" s="178" t="s">
        <v>26</v>
      </c>
      <c r="M2" s="178" t="s">
        <v>27</v>
      </c>
      <c r="N2" s="178" t="s">
        <v>28</v>
      </c>
      <c r="O2" s="178" t="s">
        <v>29</v>
      </c>
      <c r="P2" s="178" t="s">
        <v>127</v>
      </c>
      <c r="Q2" s="178"/>
      <c r="R2" s="178"/>
      <c r="S2" s="178"/>
      <c r="T2" s="178"/>
      <c r="U2" s="178"/>
      <c r="V2" s="178"/>
      <c r="W2" s="178"/>
      <c r="X2" s="178"/>
      <c r="Y2" s="178" t="s">
        <v>250</v>
      </c>
      <c r="Z2" s="103" t="s">
        <v>251</v>
      </c>
      <c r="AA2" s="103"/>
      <c r="AB2" s="169" t="s">
        <v>252</v>
      </c>
      <c r="AC2" s="169" t="s">
        <v>111</v>
      </c>
    </row>
    <row r="3" spans="1:29">
      <c r="A3" s="389" t="str">
        <f>Helpers!B2</f>
        <v>25-09-22</v>
      </c>
      <c r="B3" s="389"/>
      <c r="C3" s="389"/>
      <c r="D3" s="389"/>
      <c r="E3" s="389"/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</row>
    <row r="4" spans="1:29" ht="15.75">
      <c r="A4" s="390" t="s">
        <v>499</v>
      </c>
      <c r="B4" s="390"/>
      <c r="C4" s="390"/>
      <c r="D4" s="390"/>
      <c r="E4" s="390"/>
      <c r="F4" s="390"/>
      <c r="G4" s="390"/>
      <c r="H4" s="390"/>
      <c r="I4" s="390"/>
      <c r="J4" s="390"/>
      <c r="K4" s="390"/>
      <c r="L4" s="390"/>
      <c r="M4" s="390"/>
      <c r="N4" s="390"/>
      <c r="O4" s="390"/>
      <c r="P4" s="390"/>
      <c r="Q4" s="390"/>
      <c r="R4" s="390"/>
      <c r="S4" s="390"/>
      <c r="T4" s="390"/>
      <c r="U4" s="390"/>
      <c r="V4" s="390"/>
      <c r="W4" s="390"/>
      <c r="X4" s="390"/>
      <c r="Y4" s="390"/>
      <c r="Z4" s="390"/>
      <c r="AA4" s="390"/>
      <c r="AB4" s="390"/>
      <c r="AC4" s="390"/>
    </row>
    <row r="5" spans="1:29" ht="15.75">
      <c r="A5" s="37" t="s">
        <v>133</v>
      </c>
      <c r="B5" s="38" t="s">
        <v>136</v>
      </c>
      <c r="C5" s="37" t="s">
        <v>134</v>
      </c>
      <c r="D5" s="37" t="s">
        <v>135</v>
      </c>
      <c r="E5" s="37" t="s">
        <v>119</v>
      </c>
      <c r="F5" s="38" t="s">
        <v>211</v>
      </c>
      <c r="G5" s="37" t="s">
        <v>23</v>
      </c>
      <c r="H5" s="37" t="s">
        <v>109</v>
      </c>
      <c r="I5" s="37" t="s">
        <v>300</v>
      </c>
      <c r="J5" s="179" t="s">
        <v>284</v>
      </c>
      <c r="K5" s="179" t="s">
        <v>286</v>
      </c>
      <c r="L5" s="179" t="s">
        <v>287</v>
      </c>
      <c r="M5" s="179" t="s">
        <v>288</v>
      </c>
      <c r="N5" s="179" t="s">
        <v>289</v>
      </c>
      <c r="O5" s="179" t="s">
        <v>290</v>
      </c>
      <c r="P5" s="179" t="s">
        <v>291</v>
      </c>
      <c r="Q5" s="179" t="s">
        <v>292</v>
      </c>
      <c r="R5" s="179" t="s">
        <v>293</v>
      </c>
      <c r="S5" s="179" t="s">
        <v>294</v>
      </c>
      <c r="T5" s="179" t="s">
        <v>295</v>
      </c>
      <c r="U5" s="179" t="s">
        <v>296</v>
      </c>
      <c r="V5" s="179" t="s">
        <v>297</v>
      </c>
      <c r="W5" s="179" t="s">
        <v>298</v>
      </c>
      <c r="X5" s="179" t="s">
        <v>299</v>
      </c>
      <c r="Y5" s="179" t="s">
        <v>285</v>
      </c>
      <c r="Z5" s="102" t="s">
        <v>32</v>
      </c>
      <c r="AA5" s="102" t="s">
        <v>270</v>
      </c>
      <c r="AB5" s="172" t="s">
        <v>165</v>
      </c>
      <c r="AC5" s="172" t="s">
        <v>117</v>
      </c>
    </row>
    <row r="6" spans="1:29">
      <c r="A6" s="53">
        <f>IF(SortedDownload!A17 &lt; 1,"",SortedDownload!A17)</f>
        <v>249</v>
      </c>
      <c r="B6" s="54">
        <f t="shared" ref="B6:B69" si="0">IF(A6="","",ROW()-5)</f>
        <v>1</v>
      </c>
      <c r="C6" s="54" t="str">
        <f>IFERROR(VLOOKUP($A6,CategoryResults!$A$3:$X$252,3,FALSE),"")</f>
        <v/>
      </c>
      <c r="D6" s="90" t="str">
        <f>IFERROR(VLOOKUP($A6,EntryList!$A$3:$N$291,2,FALSE),"")</f>
        <v>Henning Venter</v>
      </c>
      <c r="E6" s="54" t="str">
        <f>IFERROR(VLOOKUP(C6,SeriesPoints!$A$2:$B$51,2,FALSE),"")</f>
        <v/>
      </c>
      <c r="F6" s="144" t="str">
        <f>IFERROR(VLOOKUP($A6,EntryList!$A$3:$V$291,22,FALSE),"")</f>
        <v>-</v>
      </c>
      <c r="G6" s="100" t="str">
        <f>IFERROR(VLOOKUP($A6,EntryList!$A$3:$N$291,6,FALSE),"")</f>
        <v>M</v>
      </c>
      <c r="H6" s="145" t="str">
        <f>IFERROR(VLOOKUP($A6,EntryList!$A$3:$N$291,7,FALSE),"")</f>
        <v>Junior Men</v>
      </c>
      <c r="I6" s="56">
        <f t="shared" ref="I6:I69" si="1">COUNTIF(K6:X6,"&lt;&gt;"&amp;"-")</f>
        <v>9</v>
      </c>
      <c r="J6" s="57">
        <f>IFERROR(VLOOKUP($A6,SortedDownload!$A$3:$BB$219,31,FALSE)/86400000,"")</f>
        <v>0.40741215277777776</v>
      </c>
      <c r="K6" s="57">
        <f>IFERROR(IF(VLOOKUP($A6,SortedDownload!$A$3:$BB$219,32,FALSE)=0,"-",VLOOKUP($A6,SortedDownload!$A$3:$BB$219,32,FALSE)/86400000),"-")</f>
        <v>0.40985908564814816</v>
      </c>
      <c r="L6" s="57">
        <f>IFERROR(IF(VLOOKUP($A6,SortedDownload!$A$3:$BB$219,33,FALSE)=0,"-",VLOOKUP($A6,SortedDownload!$A$3:$BB$219,33,FALSE)/86400000),"-")</f>
        <v>0.36432634259259261</v>
      </c>
      <c r="M6" s="57">
        <f>IFERROR(IF(VLOOKUP($A6,SortedDownload!$A$3:$BB$219,34,FALSE)=0,"-",VLOOKUP($A6,SortedDownload!$A$3:$BB$219,34,FALSE)/86400000),"-")</f>
        <v>0.36685659722222225</v>
      </c>
      <c r="N6" s="57">
        <f>IFERROR(IF(VLOOKUP($A6,SortedDownload!$A$3:$BB$219,35,FALSE)=0,"-",VLOOKUP($A6,SortedDownload!$A$3:$BB$219,35,FALSE)/86400000),"-")</f>
        <v>0.4456744675925926</v>
      </c>
      <c r="O6" s="57">
        <f>IFERROR(IF(VLOOKUP($A6,SortedDownload!$A$3:$BB$219,36,FALSE)=0,"-",VLOOKUP($A6,SortedDownload!$A$3:$BB$219,36,FALSE)/86400000),"-")</f>
        <v>0.44709853009259259</v>
      </c>
      <c r="P6" s="57">
        <f>IFERROR(IF(VLOOKUP($A6,SortedDownload!$A$3:$BB$219,37,FALSE)=0,"-",VLOOKUP($A6,SortedDownload!$A$3:$BB$219,37,FALSE)/86400000),"-")</f>
        <v>0.50327530092592587</v>
      </c>
      <c r="Q6" s="57">
        <f>IFERROR(IF(VLOOKUP($A6,SortedDownload!$A$3:$BB$219,38,FALSE)=0,"-",VLOOKUP($A6,SortedDownload!$A$3:$BB$219,38,FALSE)/86400000),"-")</f>
        <v>0.506056412037037</v>
      </c>
      <c r="R6" s="57">
        <f>IFERROR(IF(VLOOKUP($A6,SortedDownload!$A$3:$BB$219,39,FALSE)=0,"-",VLOOKUP($A6,SortedDownload!$A$3:$BB$219,39,FALSE)/86400000),"-")</f>
        <v>0.5390129398148148</v>
      </c>
      <c r="S6" s="57">
        <f>IFERROR(IF(VLOOKUP($A6,SortedDownload!$A$3:$BB$219,40,FALSE)=0,"-",VLOOKUP($A6,SortedDownload!$A$3:$BB$219,40,FALSE)/86400000),"-")</f>
        <v>0.54248820601851855</v>
      </c>
      <c r="T6" s="57" t="str">
        <f>IFERROR(IF(VLOOKUP($A6,SortedDownload!$A$3:$BB$219,41,FALSE)=0,"-",VLOOKUP($A6,SortedDownload!$A$3:$BB$219,41,FALSE)/86400000),"-")</f>
        <v>-</v>
      </c>
      <c r="U6" s="57" t="str">
        <f>IFERROR(IF(VLOOKUP($A6,SortedDownload!$A$3:$BB$219,42,FALSE)=0,"-",VLOOKUP($A6,SortedDownload!$A$3:$BB$219,42,FALSE)/86400000),"-")</f>
        <v>-</v>
      </c>
      <c r="V6" s="57" t="str">
        <f>IFERROR(IF(VLOOKUP($A6,SortedDownload!$A$3:$BB$219,43,FALSE)=0,"-",VLOOKUP($A6,SortedDownload!$A$3:$BB$219,43,FALSE)/86400000),"-")</f>
        <v>-</v>
      </c>
      <c r="W6" s="57" t="str">
        <f>IFERROR(IF(VLOOKUP($A6,SortedDownload!$A$3:$BB$219,44,FALSE)=0,"-",VLOOKUP($A6,SortedDownload!$A$3:$BB$219,44,FALSE)/86400000),"-")</f>
        <v>-</v>
      </c>
      <c r="X6" s="57" t="str">
        <f>IFERROR(IF(VLOOKUP($A6,SortedDownload!$A$3:$BB$219,45,FALSE)=0,"-",VLOOKUP($A6,SortedDownload!$A$3:$BB$219,45,FALSE)/86400000),"-")</f>
        <v>-</v>
      </c>
      <c r="Y6" s="58">
        <f>IFERROR(VLOOKUP($A6,SortedDownload!$A$3:$BB$219,46,FALSE)/86400000,"")</f>
        <v>0</v>
      </c>
      <c r="Z6" s="58">
        <f>IFERROR(Table932[[#This Row],[End Time]]-Table932[[#This Row],[Start Time]],"")</f>
        <v>-0.40741215277777776</v>
      </c>
      <c r="AA6" s="58"/>
      <c r="AB6" s="170" t="str">
        <f>IFERROR(TEXT(($Z6-$Z5),"mm:ss"),"N/A")</f>
        <v>N/A</v>
      </c>
      <c r="AC6" s="170" t="str">
        <f t="shared" ref="AC6:AC37" si="2">IF($I6-$I$6&lt;0,"N/A",IFERROR(TEXT(($Z6-$Z$6),"mm:ss"),"N/A"))</f>
        <v>00:00</v>
      </c>
    </row>
    <row r="7" spans="1:29">
      <c r="A7" s="53">
        <f>IF(SortedDownload!A8 &lt; 1,"",SortedDownload!A8)</f>
        <v>200</v>
      </c>
      <c r="B7" s="54">
        <f t="shared" si="0"/>
        <v>2</v>
      </c>
      <c r="C7" s="54" t="str">
        <f>IFERROR(VLOOKUP($A7,CategoryResults!$A$3:$X$252,3,FALSE),"")</f>
        <v/>
      </c>
      <c r="D7" s="90" t="str">
        <f>IFERROR(VLOOKUP($A7,EntryList!$A$3:$N$291,2,FALSE),"")</f>
        <v>Matt Lombardi</v>
      </c>
      <c r="E7" s="54" t="str">
        <f>IFERROR(VLOOKUP(C7,SeriesPoints!$A$2:$B$51,2,FALSE),"")</f>
        <v/>
      </c>
      <c r="F7" s="144" t="str">
        <f>IFERROR(VLOOKUP($A7,EntryList!$A$3:$V$291,22,FALSE),"")</f>
        <v>-</v>
      </c>
      <c r="G7" s="100" t="str">
        <f>IFERROR(VLOOKUP($A7,EntryList!$A$3:$N$291,6,FALSE),"")</f>
        <v>M</v>
      </c>
      <c r="H7" s="145" t="str">
        <f>IFERROR(VLOOKUP($A7,EntryList!$A$3:$N$291,7,FALSE),"")</f>
        <v>Elite Men</v>
      </c>
      <c r="I7" s="56">
        <f t="shared" si="1"/>
        <v>9</v>
      </c>
      <c r="J7" s="57">
        <f>IFERROR(VLOOKUP($A7,SortedDownload!$A$3:$BB$219,31,FALSE)/86400000,"")</f>
        <v>0.38907446759259257</v>
      </c>
      <c r="K7" s="57">
        <f>IFERROR(IF(VLOOKUP($A7,SortedDownload!$A$3:$BB$219,32,FALSE)=0,"-",VLOOKUP($A7,SortedDownload!$A$3:$BB$219,32,FALSE)/86400000),"-")</f>
        <v>0.39117042824074072</v>
      </c>
      <c r="L7" s="57">
        <f>IFERROR(IF(VLOOKUP($A7,SortedDownload!$A$3:$BB$219,33,FALSE)=0,"-",VLOOKUP($A7,SortedDownload!$A$3:$BB$219,33,FALSE)/86400000),"-")</f>
        <v>0.35894870370370369</v>
      </c>
      <c r="M7" s="57">
        <f>IFERROR(IF(VLOOKUP($A7,SortedDownload!$A$3:$BB$219,34,FALSE)=0,"-",VLOOKUP($A7,SortedDownload!$A$3:$BB$219,34,FALSE)/86400000),"-")</f>
        <v>0.36134405092592592</v>
      </c>
      <c r="N7" s="57">
        <f>IFERROR(IF(VLOOKUP($A7,SortedDownload!$A$3:$BB$219,35,FALSE)=0,"-",VLOOKUP($A7,SortedDownload!$A$3:$BB$219,35,FALSE)/86400000),"-")</f>
        <v>0.41488983796296297</v>
      </c>
      <c r="O7" s="57">
        <f>IFERROR(IF(VLOOKUP($A7,SortedDownload!$A$3:$BB$219,36,FALSE)=0,"-",VLOOKUP($A7,SortedDownload!$A$3:$BB$219,36,FALSE)/86400000),"-")</f>
        <v>0.4161888773148148</v>
      </c>
      <c r="P7" s="57">
        <f>IFERROR(IF(VLOOKUP($A7,SortedDownload!$A$3:$BB$219,37,FALSE)=0,"-",VLOOKUP($A7,SortedDownload!$A$3:$BB$219,37,FALSE)/86400000),"-")</f>
        <v>0.46002620370370373</v>
      </c>
      <c r="Q7" s="57">
        <f>IFERROR(IF(VLOOKUP($A7,SortedDownload!$A$3:$BB$219,38,FALSE)=0,"-",VLOOKUP($A7,SortedDownload!$A$3:$BB$219,38,FALSE)/86400000),"-")</f>
        <v>0.46256841435185186</v>
      </c>
      <c r="R7" s="57">
        <f>IFERROR(IF(VLOOKUP($A7,SortedDownload!$A$3:$BB$219,39,FALSE)=0,"-",VLOOKUP($A7,SortedDownload!$A$3:$BB$219,39,FALSE)/86400000),"-")</f>
        <v>0.48471502314814813</v>
      </c>
      <c r="S7" s="57">
        <f>IFERROR(IF(VLOOKUP($A7,SortedDownload!$A$3:$BB$219,40,FALSE)=0,"-",VLOOKUP($A7,SortedDownload!$A$3:$BB$219,40,FALSE)/86400000),"-")</f>
        <v>0.48849640046296294</v>
      </c>
      <c r="T7" s="57" t="str">
        <f>IFERROR(IF(VLOOKUP($A7,SortedDownload!$A$3:$BB$219,41,FALSE)=0,"-",VLOOKUP($A7,SortedDownload!$A$3:$BB$219,41,FALSE)/86400000),"-")</f>
        <v>-</v>
      </c>
      <c r="U7" s="57" t="str">
        <f>IFERROR(IF(VLOOKUP($A7,SortedDownload!$A$3:$BB$219,42,FALSE)=0,"-",VLOOKUP($A7,SortedDownload!$A$3:$BB$219,42,FALSE)/86400000),"-")</f>
        <v>-</v>
      </c>
      <c r="V7" s="57" t="str">
        <f>IFERROR(IF(VLOOKUP($A7,SortedDownload!$A$3:$BB$219,43,FALSE)=0,"-",VLOOKUP($A7,SortedDownload!$A$3:$BB$219,43,FALSE)/86400000),"-")</f>
        <v>-</v>
      </c>
      <c r="W7" s="57" t="str">
        <f>IFERROR(IF(VLOOKUP($A7,SortedDownload!$A$3:$BB$219,44,FALSE)=0,"-",VLOOKUP($A7,SortedDownload!$A$3:$BB$219,44,FALSE)/86400000),"-")</f>
        <v>-</v>
      </c>
      <c r="X7" s="57" t="str">
        <f>IFERROR(IF(VLOOKUP($A7,SortedDownload!$A$3:$BB$219,45,FALSE)=0,"-",VLOOKUP($A7,SortedDownload!$A$3:$BB$219,45,FALSE)/86400000),"-")</f>
        <v>-</v>
      </c>
      <c r="Y7" s="58">
        <f>IFERROR(VLOOKUP($A7,SortedDownload!$A$3:$BB$219,46,FALSE)/86400000,"")</f>
        <v>0</v>
      </c>
      <c r="Z7" s="58">
        <f>IFERROR(Table932[[#This Row],[End Time]]-Table932[[#This Row],[Start Time]],"")</f>
        <v>-0.38907446759259257</v>
      </c>
      <c r="AA7" s="58"/>
      <c r="AB7" s="170" t="str">
        <f>IFERROR(TEXT(($Z7-$Z6),"mm:ss"),"N/A")</f>
        <v>26:24</v>
      </c>
      <c r="AC7" s="170" t="str">
        <f t="shared" si="2"/>
        <v>26:24</v>
      </c>
    </row>
    <row r="8" spans="1:29">
      <c r="A8" s="53">
        <f>IF(SortedDownload!A18 &lt; 1,"",SortedDownload!A18)</f>
        <v>135</v>
      </c>
      <c r="B8" s="54">
        <f t="shared" si="0"/>
        <v>3</v>
      </c>
      <c r="C8" s="54" t="str">
        <f>IFERROR(VLOOKUP($A8,CategoryResults!$A$3:$X$252,3,FALSE),"")</f>
        <v/>
      </c>
      <c r="D8" s="90" t="str">
        <f>IFERROR(VLOOKUP($A8,EntryList!$A$3:$N$291,2,FALSE),"")</f>
        <v>Fourie Van Wyk</v>
      </c>
      <c r="E8" s="54" t="str">
        <f>IFERROR(VLOOKUP(C8,SeriesPoints!$A$2:$B$51,2,FALSE),"")</f>
        <v/>
      </c>
      <c r="F8" s="144" t="str">
        <f>IFERROR(VLOOKUP($A8,EntryList!$A$3:$V$291,22,FALSE),"")</f>
        <v>-</v>
      </c>
      <c r="G8" s="100" t="str">
        <f>IFERROR(VLOOKUP($A8,EntryList!$A$3:$N$291,6,FALSE),"")</f>
        <v>M</v>
      </c>
      <c r="H8" s="145" t="str">
        <f>IFERROR(VLOOKUP($A8,EntryList!$A$3:$N$291,7,FALSE),"")</f>
        <v>Youth Men</v>
      </c>
      <c r="I8" s="56">
        <f t="shared" si="1"/>
        <v>9</v>
      </c>
      <c r="J8" s="57">
        <f>IFERROR(VLOOKUP($A8,SortedDownload!$A$3:$BB$219,31,FALSE)/86400000,"")</f>
        <v>0.40542552083333333</v>
      </c>
      <c r="K8" s="57">
        <f>IFERROR(IF(VLOOKUP($A8,SortedDownload!$A$3:$BB$219,32,FALSE)=0,"-",VLOOKUP($A8,SortedDownload!$A$3:$BB$219,32,FALSE)/86400000),"-")</f>
        <v>0.40772133101851854</v>
      </c>
      <c r="L8" s="57">
        <f>IFERROR(IF(VLOOKUP($A8,SortedDownload!$A$3:$BB$219,33,FALSE)=0,"-",VLOOKUP($A8,SortedDownload!$A$3:$BB$219,33,FALSE)/86400000),"-")</f>
        <v>0.36383008101851849</v>
      </c>
      <c r="M8" s="57">
        <f>IFERROR(IF(VLOOKUP($A8,SortedDownload!$A$3:$BB$219,34,FALSE)=0,"-",VLOOKUP($A8,SortedDownload!$A$3:$BB$219,34,FALSE)/86400000),"-")</f>
        <v>0.36648923611111112</v>
      </c>
      <c r="N8" s="57">
        <f>IFERROR(IF(VLOOKUP($A8,SortedDownload!$A$3:$BB$219,35,FALSE)=0,"-",VLOOKUP($A8,SortedDownload!$A$3:$BB$219,35,FALSE)/86400000),"-")</f>
        <v>0.44634960648148148</v>
      </c>
      <c r="O8" s="57">
        <f>IFERROR(IF(VLOOKUP($A8,SortedDownload!$A$3:$BB$219,36,FALSE)=0,"-",VLOOKUP($A8,SortedDownload!$A$3:$BB$219,36,FALSE)/86400000),"-")</f>
        <v>0.44774582175925925</v>
      </c>
      <c r="P8" s="57">
        <f>IFERROR(IF(VLOOKUP($A8,SortedDownload!$A$3:$BB$219,37,FALSE)=0,"-",VLOOKUP($A8,SortedDownload!$A$3:$BB$219,37,FALSE)/86400000),"-")</f>
        <v>0.50496076388888889</v>
      </c>
      <c r="Q8" s="57">
        <f>IFERROR(IF(VLOOKUP($A8,SortedDownload!$A$3:$BB$219,38,FALSE)=0,"-",VLOOKUP($A8,SortedDownload!$A$3:$BB$219,38,FALSE)/86400000),"-")</f>
        <v>0.50779497685185182</v>
      </c>
      <c r="R8" s="57">
        <f>IFERROR(IF(VLOOKUP($A8,SortedDownload!$A$3:$BB$219,39,FALSE)=0,"-",VLOOKUP($A8,SortedDownload!$A$3:$BB$219,39,FALSE)/86400000),"-")</f>
        <v>0.53818650462962958</v>
      </c>
      <c r="S8" s="57">
        <f>IFERROR(IF(VLOOKUP($A8,SortedDownload!$A$3:$BB$219,40,FALSE)=0,"-",VLOOKUP($A8,SortedDownload!$A$3:$BB$219,40,FALSE)/86400000),"-")</f>
        <v>0.54174346064814816</v>
      </c>
      <c r="T8" s="57" t="str">
        <f>IFERROR(IF(VLOOKUP($A8,SortedDownload!$A$3:$BB$219,41,FALSE)=0,"-",VLOOKUP($A8,SortedDownload!$A$3:$BB$219,41,FALSE)/86400000),"-")</f>
        <v>-</v>
      </c>
      <c r="U8" s="57" t="str">
        <f>IFERROR(IF(VLOOKUP($A8,SortedDownload!$A$3:$BB$219,42,FALSE)=0,"-",VLOOKUP($A8,SortedDownload!$A$3:$BB$219,42,FALSE)/86400000),"-")</f>
        <v>-</v>
      </c>
      <c r="V8" s="57" t="str">
        <f>IFERROR(IF(VLOOKUP($A8,SortedDownload!$A$3:$BB$219,43,FALSE)=0,"-",VLOOKUP($A8,SortedDownload!$A$3:$BB$219,43,FALSE)/86400000),"-")</f>
        <v>-</v>
      </c>
      <c r="W8" s="57" t="str">
        <f>IFERROR(IF(VLOOKUP($A8,SortedDownload!$A$3:$BB$219,44,FALSE)=0,"-",VLOOKUP($A8,SortedDownload!$A$3:$BB$219,44,FALSE)/86400000),"-")</f>
        <v>-</v>
      </c>
      <c r="X8" s="57" t="str">
        <f>IFERROR(IF(VLOOKUP($A8,SortedDownload!$A$3:$BB$219,45,FALSE)=0,"-",VLOOKUP($A8,SortedDownload!$A$3:$BB$219,45,FALSE)/86400000),"-")</f>
        <v>-</v>
      </c>
      <c r="Y8" s="58">
        <f>IFERROR(VLOOKUP($A8,SortedDownload!$A$3:$BB$219,46,FALSE)/86400000,"")</f>
        <v>0</v>
      </c>
      <c r="Z8" s="58">
        <f>IFERROR(Table932[[#This Row],[End Time]]-Table932[[#This Row],[Start Time]],"")</f>
        <v>-0.40542552083333333</v>
      </c>
      <c r="AA8" s="58"/>
      <c r="AB8" s="170" t="str">
        <f>IFERROR(TEXT(($Z8-$Z7),"mm:ss"),"N/A")</f>
        <v>N/A</v>
      </c>
      <c r="AC8" s="170" t="str">
        <f t="shared" si="2"/>
        <v>02:52</v>
      </c>
    </row>
    <row r="9" spans="1:29">
      <c r="A9" s="53">
        <f>IF(SortedDownload!A14 &lt; 1,"",SortedDownload!A14)</f>
        <v>248</v>
      </c>
      <c r="B9" s="54">
        <f t="shared" si="0"/>
        <v>4</v>
      </c>
      <c r="C9" s="54" t="str">
        <f>IFERROR(VLOOKUP($A9,CategoryResults!$A$3:$X$252,3,FALSE),"")</f>
        <v/>
      </c>
      <c r="D9" s="90" t="str">
        <f>IFERROR(VLOOKUP($A9,EntryList!$A$3:$N$291,2,FALSE),"")</f>
        <v>Pieter Venter</v>
      </c>
      <c r="E9" s="54" t="str">
        <f>IFERROR(VLOOKUP(C9,SeriesPoints!$A$2:$B$51,2,FALSE),"")</f>
        <v/>
      </c>
      <c r="F9" s="144" t="str">
        <f>IFERROR(VLOOKUP($A9,EntryList!$A$3:$V$291,22,FALSE),"")</f>
        <v>-</v>
      </c>
      <c r="G9" s="100" t="str">
        <f>IFERROR(VLOOKUP($A9,EntryList!$A$3:$N$291,6,FALSE),"")</f>
        <v>M</v>
      </c>
      <c r="H9" s="145" t="str">
        <f>IFERROR(VLOOKUP($A9,EntryList!$A$3:$N$291,7,FALSE),"")</f>
        <v>Youth Men</v>
      </c>
      <c r="I9" s="56">
        <f t="shared" si="1"/>
        <v>9</v>
      </c>
      <c r="J9" s="57">
        <f>IFERROR(VLOOKUP($A9,SortedDownload!$A$3:$BB$219,31,FALSE)/86400000,"")</f>
        <v>0.40659240740740743</v>
      </c>
      <c r="K9" s="57">
        <f>IFERROR(IF(VLOOKUP($A9,SortedDownload!$A$3:$BB$219,32,FALSE)=0,"-",VLOOKUP($A9,SortedDownload!$A$3:$BB$219,32,FALSE)/86400000),"-")</f>
        <v>0.40885743055555557</v>
      </c>
      <c r="L9" s="57">
        <f>IFERROR(IF(VLOOKUP($A9,SortedDownload!$A$3:$BB$219,33,FALSE)=0,"-",VLOOKUP($A9,SortedDownload!$A$3:$BB$219,33,FALSE)/86400000),"-")</f>
        <v>0.36412013888888889</v>
      </c>
      <c r="M9" s="57">
        <f>IFERROR(IF(VLOOKUP($A9,SortedDownload!$A$3:$BB$219,34,FALSE)=0,"-",VLOOKUP($A9,SortedDownload!$A$3:$BB$219,34,FALSE)/86400000),"-")</f>
        <v>0.36669875000000002</v>
      </c>
      <c r="N9" s="57">
        <f>IFERROR(IF(VLOOKUP($A9,SortedDownload!$A$3:$BB$219,35,FALSE)=0,"-",VLOOKUP($A9,SortedDownload!$A$3:$BB$219,35,FALSE)/86400000),"-")</f>
        <v>0.4460632175925926</v>
      </c>
      <c r="O9" s="57">
        <f>IFERROR(IF(VLOOKUP($A9,SortedDownload!$A$3:$BB$219,36,FALSE)=0,"-",VLOOKUP($A9,SortedDownload!$A$3:$BB$219,36,FALSE)/86400000),"-")</f>
        <v>0.44743515046296295</v>
      </c>
      <c r="P9" s="57">
        <f>IFERROR(IF(VLOOKUP($A9,SortedDownload!$A$3:$BB$219,37,FALSE)=0,"-",VLOOKUP($A9,SortedDownload!$A$3:$BB$219,37,FALSE)/86400000),"-")</f>
        <v>0.50450207175925921</v>
      </c>
      <c r="Q9" s="57">
        <f>IFERROR(IF(VLOOKUP($A9,SortedDownload!$A$3:$BB$219,38,FALSE)=0,"-",VLOOKUP($A9,SortedDownload!$A$3:$BB$219,38,FALSE)/86400000),"-")</f>
        <v>0.5072357291666667</v>
      </c>
      <c r="R9" s="57">
        <f>IFERROR(IF(VLOOKUP($A9,SortedDownload!$A$3:$BB$219,39,FALSE)=0,"-",VLOOKUP($A9,SortedDownload!$A$3:$BB$219,39,FALSE)/86400000),"-")</f>
        <v>0.54086111111111113</v>
      </c>
      <c r="S9" s="57">
        <f>IFERROR(IF(VLOOKUP($A9,SortedDownload!$A$3:$BB$219,40,FALSE)=0,"-",VLOOKUP($A9,SortedDownload!$A$3:$BB$219,40,FALSE)/86400000),"-")</f>
        <v>0.54428256944444442</v>
      </c>
      <c r="T9" s="57" t="str">
        <f>IFERROR(IF(VLOOKUP($A9,SortedDownload!$A$3:$BB$219,41,FALSE)=0,"-",VLOOKUP($A9,SortedDownload!$A$3:$BB$219,41,FALSE)/86400000),"-")</f>
        <v>-</v>
      </c>
      <c r="U9" s="57" t="str">
        <f>IFERROR(IF(VLOOKUP($A9,SortedDownload!$A$3:$BB$219,42,FALSE)=0,"-",VLOOKUP($A9,SortedDownload!$A$3:$BB$219,42,FALSE)/86400000),"-")</f>
        <v>-</v>
      </c>
      <c r="V9" s="57" t="str">
        <f>IFERROR(IF(VLOOKUP($A9,SortedDownload!$A$3:$BB$219,43,FALSE)=0,"-",VLOOKUP($A9,SortedDownload!$A$3:$BB$219,43,FALSE)/86400000),"-")</f>
        <v>-</v>
      </c>
      <c r="W9" s="57" t="str">
        <f>IFERROR(IF(VLOOKUP($A9,SortedDownload!$A$3:$BB$219,44,FALSE)=0,"-",VLOOKUP($A9,SortedDownload!$A$3:$BB$219,44,FALSE)/86400000),"-")</f>
        <v>-</v>
      </c>
      <c r="X9" s="57" t="str">
        <f>IFERROR(IF(VLOOKUP($A9,SortedDownload!$A$3:$BB$219,45,FALSE)=0,"-",VLOOKUP($A9,SortedDownload!$A$3:$BB$219,45,FALSE)/86400000),"-")</f>
        <v>-</v>
      </c>
      <c r="Y9" s="58">
        <f>IFERROR(VLOOKUP($A9,SortedDownload!$A$3:$BB$219,46,FALSE)/86400000,"")</f>
        <v>0</v>
      </c>
      <c r="Z9" s="58">
        <f>IFERROR(Table932[[#This Row],[End Time]]-Table932[[#This Row],[Start Time]],"")</f>
        <v>-0.40659240740740743</v>
      </c>
      <c r="AA9" s="58"/>
      <c r="AB9" s="170" t="str">
        <f>IFERROR(TEXT(($Z9-$Z8),"mm:ss"),"N/A")</f>
        <v>N/A</v>
      </c>
      <c r="AC9" s="170" t="str">
        <f t="shared" si="2"/>
        <v>01:11</v>
      </c>
    </row>
    <row r="10" spans="1:29">
      <c r="A10" s="53">
        <f>IF(SortedDownload!A3 &lt; 1,"",SortedDownload!A3)</f>
        <v>250</v>
      </c>
      <c r="B10" s="54">
        <f t="shared" si="0"/>
        <v>5</v>
      </c>
      <c r="C10" s="54" t="str">
        <f>IFERROR(VLOOKUP($A10,CategoryResults!$A$3:$X$252,3,FALSE),"")</f>
        <v/>
      </c>
      <c r="D10" s="90" t="str">
        <f>IFERROR(VLOOKUP($A10,EntryList!$A$3:$N$291,2,FALSE),"")</f>
        <v>Johann Potgieter</v>
      </c>
      <c r="E10" s="54" t="str">
        <f>IFERROR(VLOOKUP(C10,SeriesPoints!$A$2:$B$51,2,FALSE),"")</f>
        <v/>
      </c>
      <c r="F10" s="144" t="str">
        <f>IFERROR(VLOOKUP($A10,EntryList!$A$3:$V$291,22,FALSE),"")</f>
        <v>-</v>
      </c>
      <c r="G10" s="100" t="str">
        <f>IFERROR(VLOOKUP($A10,EntryList!$A$3:$N$291,6,FALSE),"")</f>
        <v>M</v>
      </c>
      <c r="H10" s="145" t="str">
        <f>IFERROR(VLOOKUP($A10,EntryList!$A$3:$N$291,7,FALSE),"")</f>
        <v>Master Men</v>
      </c>
      <c r="I10" s="56">
        <f t="shared" si="1"/>
        <v>9</v>
      </c>
      <c r="J10" s="57">
        <f>IFERROR(VLOOKUP($A10,SortedDownload!$A$3:$BB$219,31,FALSE)/86400000,"")</f>
        <v>0.4172857060185185</v>
      </c>
      <c r="K10" s="57">
        <f>IFERROR(IF(VLOOKUP($A10,SortedDownload!$A$3:$BB$219,32,FALSE)=0,"-",VLOOKUP($A10,SortedDownload!$A$3:$BB$219,32,FALSE)/86400000),"-")</f>
        <v>0.41936524305555556</v>
      </c>
      <c r="L10" s="57">
        <f>IFERROR(IF(VLOOKUP($A10,SortedDownload!$A$3:$BB$219,33,FALSE)=0,"-",VLOOKUP($A10,SortedDownload!$A$3:$BB$219,33,FALSE)/86400000),"-")</f>
        <v>0.37217351851851854</v>
      </c>
      <c r="M10" s="57">
        <f>IFERROR(IF(VLOOKUP($A10,SortedDownload!$A$3:$BB$219,34,FALSE)=0,"-",VLOOKUP($A10,SortedDownload!$A$3:$BB$219,34,FALSE)/86400000),"-")</f>
        <v>0.37460605324074076</v>
      </c>
      <c r="N10" s="57">
        <f>IFERROR(IF(VLOOKUP($A10,SortedDownload!$A$3:$BB$219,35,FALSE)=0,"-",VLOOKUP($A10,SortedDownload!$A$3:$BB$219,35,FALSE)/86400000),"-")</f>
        <v>0.45709427083333332</v>
      </c>
      <c r="O10" s="57">
        <f>IFERROR(IF(VLOOKUP($A10,SortedDownload!$A$3:$BB$219,36,FALSE)=0,"-",VLOOKUP($A10,SortedDownload!$A$3:$BB$219,36,FALSE)/86400000),"-")</f>
        <v>0.45845307870370372</v>
      </c>
      <c r="P10" s="57">
        <f>IFERROR(IF(VLOOKUP($A10,SortedDownload!$A$3:$BB$219,37,FALSE)=0,"-",VLOOKUP($A10,SortedDownload!$A$3:$BB$219,37,FALSE)/86400000),"-")</f>
        <v>0.50653543981481486</v>
      </c>
      <c r="Q10" s="57">
        <f>IFERROR(IF(VLOOKUP($A10,SortedDownload!$A$3:$BB$219,38,FALSE)=0,"-",VLOOKUP($A10,SortedDownload!$A$3:$BB$219,38,FALSE)/86400000),"-")</f>
        <v>0.50911371527777782</v>
      </c>
      <c r="R10" s="57">
        <f>IFERROR(IF(VLOOKUP($A10,SortedDownload!$A$3:$BB$219,39,FALSE)=0,"-",VLOOKUP($A10,SortedDownload!$A$3:$BB$219,39,FALSE)/86400000),"-")</f>
        <v>0.53766483796296294</v>
      </c>
      <c r="S10" s="57">
        <f>IFERROR(IF(VLOOKUP($A10,SortedDownload!$A$3:$BB$219,40,FALSE)=0,"-",VLOOKUP($A10,SortedDownload!$A$3:$BB$219,40,FALSE)/86400000),"-")</f>
        <v>0.54090574074074071</v>
      </c>
      <c r="T10" s="57" t="str">
        <f>IFERROR(IF(VLOOKUP($A10,SortedDownload!$A$3:$BB$219,41,FALSE)=0,"-",VLOOKUP($A10,SortedDownload!$A$3:$BB$219,41,FALSE)/86400000),"-")</f>
        <v>-</v>
      </c>
      <c r="U10" s="57" t="str">
        <f>IFERROR(IF(VLOOKUP($A10,SortedDownload!$A$3:$BB$219,42,FALSE)=0,"-",VLOOKUP($A10,SortedDownload!$A$3:$BB$219,42,FALSE)/86400000),"-")</f>
        <v>-</v>
      </c>
      <c r="V10" s="57" t="str">
        <f>IFERROR(IF(VLOOKUP($A10,SortedDownload!$A$3:$BB$219,43,FALSE)=0,"-",VLOOKUP($A10,SortedDownload!$A$3:$BB$219,43,FALSE)/86400000),"-")</f>
        <v>-</v>
      </c>
      <c r="W10" s="57" t="str">
        <f>IFERROR(IF(VLOOKUP($A10,SortedDownload!$A$3:$BB$219,44,FALSE)=0,"-",VLOOKUP($A10,SortedDownload!$A$3:$BB$219,44,FALSE)/86400000),"-")</f>
        <v>-</v>
      </c>
      <c r="X10" s="57" t="str">
        <f>IFERROR(IF(VLOOKUP($A10,SortedDownload!$A$3:$BB$219,45,FALSE)=0,"-",VLOOKUP($A10,SortedDownload!$A$3:$BB$219,45,FALSE)/86400000),"-")</f>
        <v>-</v>
      </c>
      <c r="Y10" s="58">
        <f>IFERROR(VLOOKUP($A10,SortedDownload!$A$3:$BB$219,46,FALSE)/86400000,"")</f>
        <v>0</v>
      </c>
      <c r="Z10" s="58">
        <f>IFERROR(Table932[[#This Row],[End Time]]-Table932[[#This Row],[Start Time]],"")</f>
        <v>-0.4172857060185185</v>
      </c>
      <c r="AA10" s="58"/>
      <c r="AB10" s="170" t="str">
        <f>IFERROR(TEXT(($Z10-$Z9),"mm:ss"),"N/A")</f>
        <v>N/A</v>
      </c>
      <c r="AC10" s="170" t="str">
        <f t="shared" si="2"/>
        <v>N/A</v>
      </c>
    </row>
    <row r="11" spans="1:29">
      <c r="A11" s="53">
        <f>IF(SortedDownload!A4 &lt; 1,"",SortedDownload!A4)</f>
        <v>192</v>
      </c>
      <c r="B11" s="54">
        <f t="shared" si="0"/>
        <v>6</v>
      </c>
      <c r="C11" s="54" t="str">
        <f>IFERROR(VLOOKUP($A11,CategoryResults!$A$3:$X$252,3,FALSE),"")</f>
        <v/>
      </c>
      <c r="D11" s="90" t="str">
        <f>IFERROR(VLOOKUP($A11,EntryList!$A$3:$N$291,2,FALSE),"")</f>
        <v>Duran Van Eeden</v>
      </c>
      <c r="E11" s="54" t="str">
        <f>IFERROR(VLOOKUP(C11,SeriesPoints!$A$2:$B$51,2,FALSE),"")</f>
        <v/>
      </c>
      <c r="F11" s="144" t="str">
        <f>IFERROR(VLOOKUP($A11,EntryList!$A$3:$V$291,22,FALSE),"")</f>
        <v>-</v>
      </c>
      <c r="G11" s="100" t="str">
        <f>IFERROR(VLOOKUP($A11,EntryList!$A$3:$N$291,6,FALSE),"")</f>
        <v>M</v>
      </c>
      <c r="H11" s="145" t="str">
        <f>IFERROR(VLOOKUP($A11,EntryList!$A$3:$N$291,7,FALSE),"")</f>
        <v>E-Bike M</v>
      </c>
      <c r="I11" s="56">
        <f t="shared" si="1"/>
        <v>9</v>
      </c>
      <c r="J11" s="57">
        <f>IFERROR(VLOOKUP($A11,SortedDownload!$A$3:$BB$219,31,FALSE)/86400000,"")</f>
        <v>0.3747449537037037</v>
      </c>
      <c r="K11" s="57">
        <f>IFERROR(IF(VLOOKUP($A11,SortedDownload!$A$3:$BB$219,32,FALSE)=0,"-",VLOOKUP($A11,SortedDownload!$A$3:$BB$219,32,FALSE)/86400000),"-")</f>
        <v>0.37687135416666667</v>
      </c>
      <c r="L11" s="57">
        <f>IFERROR(IF(VLOOKUP($A11,SortedDownload!$A$3:$BB$219,33,FALSE)=0,"-",VLOOKUP($A11,SortedDownload!$A$3:$BB$219,33,FALSE)/86400000),"-")</f>
        <v>0.35395512731481482</v>
      </c>
      <c r="M11" s="57">
        <f>IFERROR(IF(VLOOKUP($A11,SortedDownload!$A$3:$BB$219,34,FALSE)=0,"-",VLOOKUP($A11,SortedDownload!$A$3:$BB$219,34,FALSE)/86400000),"-")</f>
        <v>0.35635998842592592</v>
      </c>
      <c r="N11" s="57">
        <f>IFERROR(IF(VLOOKUP($A11,SortedDownload!$A$3:$BB$219,35,FALSE)=0,"-",VLOOKUP($A11,SortedDownload!$A$3:$BB$219,35,FALSE)/86400000),"-")</f>
        <v>0.43511518518518516</v>
      </c>
      <c r="O11" s="57">
        <f>IFERROR(IF(VLOOKUP($A11,SortedDownload!$A$3:$BB$219,36,FALSE)=0,"-",VLOOKUP($A11,SortedDownload!$A$3:$BB$219,36,FALSE)/86400000),"-")</f>
        <v>0.43640679398148147</v>
      </c>
      <c r="P11" s="57">
        <f>IFERROR(IF(VLOOKUP($A11,SortedDownload!$A$3:$BB$219,37,FALSE)=0,"-",VLOOKUP($A11,SortedDownload!$A$3:$BB$219,37,FALSE)/86400000),"-")</f>
        <v>0.48292017361111111</v>
      </c>
      <c r="Q11" s="57">
        <f>IFERROR(IF(VLOOKUP($A11,SortedDownload!$A$3:$BB$219,38,FALSE)=0,"-",VLOOKUP($A11,SortedDownload!$A$3:$BB$219,38,FALSE)/86400000),"-")</f>
        <v>0.48558390046296296</v>
      </c>
      <c r="R11" s="57">
        <f>IFERROR(IF(VLOOKUP($A11,SortedDownload!$A$3:$BB$219,39,FALSE)=0,"-",VLOOKUP($A11,SortedDownload!$A$3:$BB$219,39,FALSE)/86400000),"-")</f>
        <v>0.50912944444444441</v>
      </c>
      <c r="S11" s="57">
        <f>IFERROR(IF(VLOOKUP($A11,SortedDownload!$A$3:$BB$219,40,FALSE)=0,"-",VLOOKUP($A11,SortedDownload!$A$3:$BB$219,40,FALSE)/86400000),"-")</f>
        <v>0.51243003472222226</v>
      </c>
      <c r="T11" s="57" t="str">
        <f>IFERROR(IF(VLOOKUP($A11,SortedDownload!$A$3:$BB$219,41,FALSE)=0,"-",VLOOKUP($A11,SortedDownload!$A$3:$BB$219,41,FALSE)/86400000),"-")</f>
        <v>-</v>
      </c>
      <c r="U11" s="57" t="str">
        <f>IFERROR(IF(VLOOKUP($A11,SortedDownload!$A$3:$BB$219,42,FALSE)=0,"-",VLOOKUP($A11,SortedDownload!$A$3:$BB$219,42,FALSE)/86400000),"-")</f>
        <v>-</v>
      </c>
      <c r="V11" s="57" t="str">
        <f>IFERROR(IF(VLOOKUP($A11,SortedDownload!$A$3:$BB$219,43,FALSE)=0,"-",VLOOKUP($A11,SortedDownload!$A$3:$BB$219,43,FALSE)/86400000),"-")</f>
        <v>-</v>
      </c>
      <c r="W11" s="57" t="str">
        <f>IFERROR(IF(VLOOKUP($A11,SortedDownload!$A$3:$BB$219,44,FALSE)=0,"-",VLOOKUP($A11,SortedDownload!$A$3:$BB$219,44,FALSE)/86400000),"-")</f>
        <v>-</v>
      </c>
      <c r="X11" s="57" t="str">
        <f>IFERROR(IF(VLOOKUP($A11,SortedDownload!$A$3:$BB$219,45,FALSE)=0,"-",VLOOKUP($A11,SortedDownload!$A$3:$BB$219,45,FALSE)/86400000),"-")</f>
        <v>-</v>
      </c>
      <c r="Y11" s="58">
        <f>IFERROR(VLOOKUP($A11,SortedDownload!$A$3:$BB$219,46,FALSE)/86400000,"")</f>
        <v>0</v>
      </c>
      <c r="Z11" s="58">
        <f>IFERROR(Table932[[#This Row],[End Time]]-Table932[[#This Row],[Start Time]],"")</f>
        <v>-0.3747449537037037</v>
      </c>
      <c r="AA11" s="58"/>
      <c r="AB11" s="170" t="str">
        <f>IFERROR(TEXT(($Z11-#REF!),"mm:ss"),"N/A")</f>
        <v>N/A</v>
      </c>
      <c r="AC11" s="170" t="str">
        <f t="shared" si="2"/>
        <v>47:02</v>
      </c>
    </row>
    <row r="12" spans="1:29">
      <c r="A12" s="53">
        <f>IF(SortedDownload!A12 &lt; 1,"",SortedDownload!A12)</f>
        <v>8</v>
      </c>
      <c r="B12" s="54">
        <f t="shared" si="0"/>
        <v>7</v>
      </c>
      <c r="C12" s="54" t="str">
        <f>IFERROR(VLOOKUP($A12,CategoryResults!$A$3:$X$252,3,FALSE),"")</f>
        <v/>
      </c>
      <c r="D12" s="90" t="str">
        <f>IFERROR(VLOOKUP($A12,EntryList!$A$3:$N$291,2,FALSE),"")</f>
        <v>Myles Kelsey</v>
      </c>
      <c r="E12" s="54" t="str">
        <f>IFERROR(VLOOKUP(C12,SeriesPoints!$A$2:$B$51,2,FALSE),"")</f>
        <v/>
      </c>
      <c r="F12" s="144" t="str">
        <f>IFERROR(VLOOKUP($A12,EntryList!$A$3:$V$291,22,FALSE),"")</f>
        <v>-</v>
      </c>
      <c r="G12" s="100" t="str">
        <f>IFERROR(VLOOKUP($A12,EntryList!$A$3:$N$291,6,FALSE),"")</f>
        <v>M</v>
      </c>
      <c r="H12" s="145" t="str">
        <f>IFERROR(VLOOKUP($A12,EntryList!$A$3:$N$291,7,FALSE),"")</f>
        <v>E-Bike M</v>
      </c>
      <c r="I12" s="56">
        <f t="shared" si="1"/>
        <v>9</v>
      </c>
      <c r="J12" s="57">
        <f>IFERROR(VLOOKUP($A12,SortedDownload!$A$3:$BB$219,31,FALSE)/86400000,"")</f>
        <v>0.37581861111111109</v>
      </c>
      <c r="K12" s="57">
        <f>IFERROR(IF(VLOOKUP($A12,SortedDownload!$A$3:$BB$219,32,FALSE)=0,"-",VLOOKUP($A12,SortedDownload!$A$3:$BB$219,32,FALSE)/86400000),"-")</f>
        <v>0.37810454861111109</v>
      </c>
      <c r="L12" s="57">
        <f>IFERROR(IF(VLOOKUP($A12,SortedDownload!$A$3:$BB$219,33,FALSE)=0,"-",VLOOKUP($A12,SortedDownload!$A$3:$BB$219,33,FALSE)/86400000),"-")</f>
        <v>0.35242113425925925</v>
      </c>
      <c r="M12" s="57">
        <f>IFERROR(IF(VLOOKUP($A12,SortedDownload!$A$3:$BB$219,34,FALSE)=0,"-",VLOOKUP($A12,SortedDownload!$A$3:$BB$219,34,FALSE)/86400000),"-")</f>
        <v>0.35488818287037038</v>
      </c>
      <c r="N12" s="57">
        <f>IFERROR(IF(VLOOKUP($A12,SortedDownload!$A$3:$BB$219,35,FALSE)=0,"-",VLOOKUP($A12,SortedDownload!$A$3:$BB$219,35,FALSE)/86400000),"-")</f>
        <v>0.4047644675925926</v>
      </c>
      <c r="O12" s="57">
        <f>IFERROR(IF(VLOOKUP($A12,SortedDownload!$A$3:$BB$219,36,FALSE)=0,"-",VLOOKUP($A12,SortedDownload!$A$3:$BB$219,36,FALSE)/86400000),"-")</f>
        <v>0.40614060185185186</v>
      </c>
      <c r="P12" s="57">
        <f>IFERROR(IF(VLOOKUP($A12,SortedDownload!$A$3:$BB$219,37,FALSE)=0,"-",VLOOKUP($A12,SortedDownload!$A$3:$BB$219,37,FALSE)/86400000),"-")</f>
        <v>0.43941074074074077</v>
      </c>
      <c r="Q12" s="57">
        <f>IFERROR(IF(VLOOKUP($A12,SortedDownload!$A$3:$BB$219,38,FALSE)=0,"-",VLOOKUP($A12,SortedDownload!$A$3:$BB$219,38,FALSE)/86400000),"-")</f>
        <v>0.44216695601851852</v>
      </c>
      <c r="R12" s="57">
        <f>IFERROR(IF(VLOOKUP($A12,SortedDownload!$A$3:$BB$219,39,FALSE)=0,"-",VLOOKUP($A12,SortedDownload!$A$3:$BB$219,39,FALSE)/86400000),"-")</f>
        <v>0.45540866898148147</v>
      </c>
      <c r="S12" s="57">
        <f>IFERROR(IF(VLOOKUP($A12,SortedDownload!$A$3:$BB$219,40,FALSE)=0,"-",VLOOKUP($A12,SortedDownload!$A$3:$BB$219,40,FALSE)/86400000),"-")</f>
        <v>0.45878435185185185</v>
      </c>
      <c r="T12" s="57" t="str">
        <f>IFERROR(IF(VLOOKUP($A12,SortedDownload!$A$3:$BB$219,41,FALSE)=0,"-",VLOOKUP($A12,SortedDownload!$A$3:$BB$219,41,FALSE)/86400000),"-")</f>
        <v>-</v>
      </c>
      <c r="U12" s="57" t="str">
        <f>IFERROR(IF(VLOOKUP($A12,SortedDownload!$A$3:$BB$219,42,FALSE)=0,"-",VLOOKUP($A12,SortedDownload!$A$3:$BB$219,42,FALSE)/86400000),"-")</f>
        <v>-</v>
      </c>
      <c r="V12" s="57" t="str">
        <f>IFERROR(IF(VLOOKUP($A12,SortedDownload!$A$3:$BB$219,43,FALSE)=0,"-",VLOOKUP($A12,SortedDownload!$A$3:$BB$219,43,FALSE)/86400000),"-")</f>
        <v>-</v>
      </c>
      <c r="W12" s="57" t="str">
        <f>IFERROR(IF(VLOOKUP($A12,SortedDownload!$A$3:$BB$219,44,FALSE)=0,"-",VLOOKUP($A12,SortedDownload!$A$3:$BB$219,44,FALSE)/86400000),"-")</f>
        <v>-</v>
      </c>
      <c r="X12" s="57" t="str">
        <f>IFERROR(IF(VLOOKUP($A12,SortedDownload!$A$3:$BB$219,45,FALSE)=0,"-",VLOOKUP($A12,SortedDownload!$A$3:$BB$219,45,FALSE)/86400000),"-")</f>
        <v>-</v>
      </c>
      <c r="Y12" s="58">
        <f>IFERROR(VLOOKUP($A12,SortedDownload!$A$3:$BB$219,46,FALSE)/86400000,"")</f>
        <v>0</v>
      </c>
      <c r="Z12" s="58">
        <f>IFERROR(Table932[[#This Row],[End Time]]-Table932[[#This Row],[Start Time]],"")</f>
        <v>-0.37581861111111109</v>
      </c>
      <c r="AA12" s="58"/>
      <c r="AB12" s="170" t="str">
        <f t="shared" ref="AB12:AB43" si="3">IFERROR(TEXT(($Z12-$Z11),"mm:ss"),"N/A")</f>
        <v>N/A</v>
      </c>
      <c r="AC12" s="170" t="str">
        <f t="shared" si="2"/>
        <v>45:30</v>
      </c>
    </row>
    <row r="13" spans="1:29">
      <c r="A13" s="53">
        <f>IF(SortedDownload!A19 &lt; 1,"",SortedDownload!A19)</f>
        <v>101</v>
      </c>
      <c r="B13" s="54">
        <f t="shared" si="0"/>
        <v>8</v>
      </c>
      <c r="C13" s="54" t="str">
        <f>IFERROR(VLOOKUP($A13,CategoryResults!$A$3:$X$252,3,FALSE),"")</f>
        <v/>
      </c>
      <c r="D13" s="90" t="str">
        <f>IFERROR(VLOOKUP($A13,EntryList!$A$3:$N$291,2,FALSE),"")</f>
        <v>Samuel Courts</v>
      </c>
      <c r="E13" s="54" t="str">
        <f>IFERROR(VLOOKUP(C13,SeriesPoints!$A$2:$B$51,2,FALSE),"")</f>
        <v/>
      </c>
      <c r="F13" s="144" t="str">
        <f>IFERROR(VLOOKUP($A13,EntryList!$A$3:$V$291,22,FALSE),"")</f>
        <v>-</v>
      </c>
      <c r="G13" s="100" t="str">
        <f>IFERROR(VLOOKUP($A13,EntryList!$A$3:$N$291,6,FALSE),"")</f>
        <v>M</v>
      </c>
      <c r="H13" s="145" t="str">
        <f>IFERROR(VLOOKUP($A13,EntryList!$A$3:$N$291,7,FALSE),"")</f>
        <v>Elite Men</v>
      </c>
      <c r="I13" s="56">
        <f t="shared" si="1"/>
        <v>9</v>
      </c>
      <c r="J13" s="57">
        <f>IFERROR(VLOOKUP($A13,SortedDownload!$A$3:$BB$219,31,FALSE)/86400000,"")</f>
        <v>0.38407369212962961</v>
      </c>
      <c r="K13" s="57">
        <f>IFERROR(IF(VLOOKUP($A13,SortedDownload!$A$3:$BB$219,32,FALSE)=0,"-",VLOOKUP($A13,SortedDownload!$A$3:$BB$219,32,FALSE)/86400000),"-")</f>
        <v>0.38654657407407406</v>
      </c>
      <c r="L13" s="57">
        <f>IFERROR(IF(VLOOKUP($A13,SortedDownload!$A$3:$BB$219,33,FALSE)=0,"-",VLOOKUP($A13,SortedDownload!$A$3:$BB$219,33,FALSE)/86400000),"-")</f>
        <v>0.45704928240740739</v>
      </c>
      <c r="M13" s="57">
        <f>IFERROR(IF(VLOOKUP($A13,SortedDownload!$A$3:$BB$219,34,FALSE)=0,"-",VLOOKUP($A13,SortedDownload!$A$3:$BB$219,34,FALSE)/86400000),"-")</f>
        <v>0.45955878472222222</v>
      </c>
      <c r="N13" s="57">
        <f>IFERROR(IF(VLOOKUP($A13,SortedDownload!$A$3:$BB$219,35,FALSE)=0,"-",VLOOKUP($A13,SortedDownload!$A$3:$BB$219,35,FALSE)/86400000),"-")</f>
        <v>0.42148081018518518</v>
      </c>
      <c r="O13" s="57">
        <f>IFERROR(IF(VLOOKUP($A13,SortedDownload!$A$3:$BB$219,36,FALSE)=0,"-",VLOOKUP($A13,SortedDownload!$A$3:$BB$219,36,FALSE)/86400000),"-")</f>
        <v>0.42290553240740741</v>
      </c>
      <c r="P13" s="57">
        <f>IFERROR(IF(VLOOKUP($A13,SortedDownload!$A$3:$BB$219,37,FALSE)=0,"-",VLOOKUP($A13,SortedDownload!$A$3:$BB$219,37,FALSE)/86400000),"-")</f>
        <v>0.50989927083333331</v>
      </c>
      <c r="Q13" s="57">
        <f>IFERROR(IF(VLOOKUP($A13,SortedDownload!$A$3:$BB$219,38,FALSE)=0,"-",VLOOKUP($A13,SortedDownload!$A$3:$BB$219,38,FALSE)/86400000),"-")</f>
        <v>0.51275776620370372</v>
      </c>
      <c r="R13" s="57">
        <f>IFERROR(IF(VLOOKUP($A13,SortedDownload!$A$3:$BB$219,39,FALSE)=0,"-",VLOOKUP($A13,SortedDownload!$A$3:$BB$219,39,FALSE)/86400000),"-")</f>
        <v>0.54407731481481481</v>
      </c>
      <c r="S13" s="57">
        <f>IFERROR(IF(VLOOKUP($A13,SortedDownload!$A$3:$BB$219,40,FALSE)=0,"-",VLOOKUP($A13,SortedDownload!$A$3:$BB$219,40,FALSE)/86400000),"-")</f>
        <v>0.54757400462962968</v>
      </c>
      <c r="T13" s="57" t="str">
        <f>IFERROR(IF(VLOOKUP($A13,SortedDownload!$A$3:$BB$219,41,FALSE)=0,"-",VLOOKUP($A13,SortedDownload!$A$3:$BB$219,41,FALSE)/86400000),"-")</f>
        <v>-</v>
      </c>
      <c r="U13" s="57" t="str">
        <f>IFERROR(IF(VLOOKUP($A13,SortedDownload!$A$3:$BB$219,42,FALSE)=0,"-",VLOOKUP($A13,SortedDownload!$A$3:$BB$219,42,FALSE)/86400000),"-")</f>
        <v>-</v>
      </c>
      <c r="V13" s="57" t="str">
        <f>IFERROR(IF(VLOOKUP($A13,SortedDownload!$A$3:$BB$219,43,FALSE)=0,"-",VLOOKUP($A13,SortedDownload!$A$3:$BB$219,43,FALSE)/86400000),"-")</f>
        <v>-</v>
      </c>
      <c r="W13" s="57" t="str">
        <f>IFERROR(IF(VLOOKUP($A13,SortedDownload!$A$3:$BB$219,44,FALSE)=0,"-",VLOOKUP($A13,SortedDownload!$A$3:$BB$219,44,FALSE)/86400000),"-")</f>
        <v>-</v>
      </c>
      <c r="X13" s="57" t="str">
        <f>IFERROR(IF(VLOOKUP($A13,SortedDownload!$A$3:$BB$219,45,FALSE)=0,"-",VLOOKUP($A13,SortedDownload!$A$3:$BB$219,45,FALSE)/86400000),"-")</f>
        <v>-</v>
      </c>
      <c r="Y13" s="58">
        <f>IFERROR(VLOOKUP($A13,SortedDownload!$A$3:$BB$219,46,FALSE)/86400000,"")</f>
        <v>0</v>
      </c>
      <c r="Z13" s="58">
        <f>IFERROR(Table932[[#This Row],[End Time]]-Table932[[#This Row],[Start Time]],"")</f>
        <v>-0.38407369212962961</v>
      </c>
      <c r="AA13" s="58"/>
      <c r="AB13" s="170" t="str">
        <f t="shared" si="3"/>
        <v>N/A</v>
      </c>
      <c r="AC13" s="170" t="str">
        <f t="shared" si="2"/>
        <v>33:36</v>
      </c>
    </row>
    <row r="14" spans="1:29">
      <c r="A14" s="53">
        <f>IF(SortedDownload!A9 &lt; 1,"",SortedDownload!A9)</f>
        <v>168</v>
      </c>
      <c r="B14" s="54">
        <f t="shared" si="0"/>
        <v>9</v>
      </c>
      <c r="C14" s="54" t="str">
        <f>IFERROR(VLOOKUP($A14,CategoryResults!$A$3:$X$252,3,FALSE),"")</f>
        <v/>
      </c>
      <c r="D14" s="90" t="str">
        <f>IFERROR(VLOOKUP($A14,EntryList!$A$3:$N$291,2,FALSE),"")</f>
        <v>Gary Barnard</v>
      </c>
      <c r="E14" s="54" t="str">
        <f>IFERROR(VLOOKUP(C14,SeriesPoints!$A$2:$B$51,2,FALSE),"")</f>
        <v/>
      </c>
      <c r="F14" s="144" t="str">
        <f>IFERROR(VLOOKUP($A14,EntryList!$A$3:$V$291,22,FALSE),"")</f>
        <v>-</v>
      </c>
      <c r="G14" s="100" t="str">
        <f>IFERROR(VLOOKUP($A14,EntryList!$A$3:$N$291,6,FALSE),"")</f>
        <v>M</v>
      </c>
      <c r="H14" s="145" t="str">
        <f>IFERROR(VLOOKUP($A14,EntryList!$A$3:$N$291,7,FALSE),"")</f>
        <v>E-Bike M</v>
      </c>
      <c r="I14" s="56">
        <f t="shared" si="1"/>
        <v>9</v>
      </c>
      <c r="J14" s="57">
        <f>IFERROR(VLOOKUP($A14,SortedDownload!$A$3:$BB$219,31,FALSE)/86400000,"")</f>
        <v>0.37525207175925929</v>
      </c>
      <c r="K14" s="57">
        <f>IFERROR(IF(VLOOKUP($A14,SortedDownload!$A$3:$BB$219,32,FALSE)=0,"-",VLOOKUP($A14,SortedDownload!$A$3:$BB$219,32,FALSE)/86400000),"-")</f>
        <v>0.37746787037037038</v>
      </c>
      <c r="L14" s="57">
        <f>IFERROR(IF(VLOOKUP($A14,SortedDownload!$A$3:$BB$219,33,FALSE)=0,"-",VLOOKUP($A14,SortedDownload!$A$3:$BB$219,33,FALSE)/86400000),"-")</f>
        <v>0.35309336805555558</v>
      </c>
      <c r="M14" s="57">
        <f>IFERROR(IF(VLOOKUP($A14,SortedDownload!$A$3:$BB$219,34,FALSE)=0,"-",VLOOKUP($A14,SortedDownload!$A$3:$BB$219,34,FALSE)/86400000),"-")</f>
        <v>0.35552629629629628</v>
      </c>
      <c r="N14" s="57">
        <f>IFERROR(IF(VLOOKUP($A14,SortedDownload!$A$3:$BB$219,35,FALSE)=0,"-",VLOOKUP($A14,SortedDownload!$A$3:$BB$219,35,FALSE)/86400000),"-")</f>
        <v>0.40523922453703703</v>
      </c>
      <c r="O14" s="57">
        <f>IFERROR(IF(VLOOKUP($A14,SortedDownload!$A$3:$BB$219,36,FALSE)=0,"-",VLOOKUP($A14,SortedDownload!$A$3:$BB$219,36,FALSE)/86400000),"-")</f>
        <v>0.4066692476851852</v>
      </c>
      <c r="P14" s="57">
        <f>IFERROR(IF(VLOOKUP($A14,SortedDownload!$A$3:$BB$219,37,FALSE)=0,"-",VLOOKUP($A14,SortedDownload!$A$3:$BB$219,37,FALSE)/86400000),"-")</f>
        <v>0.43887618055555555</v>
      </c>
      <c r="Q14" s="57">
        <f>IFERROR(IF(VLOOKUP($A14,SortedDownload!$A$3:$BB$219,38,FALSE)=0,"-",VLOOKUP($A14,SortedDownload!$A$3:$BB$219,38,FALSE)/86400000),"-")</f>
        <v>0.44154673611111112</v>
      </c>
      <c r="R14" s="57">
        <f>IFERROR(IF(VLOOKUP($A14,SortedDownload!$A$3:$BB$219,39,FALSE)=0,"-",VLOOKUP($A14,SortedDownload!$A$3:$BB$219,39,FALSE)/86400000),"-")</f>
        <v>0.45447959490740741</v>
      </c>
      <c r="S14" s="57">
        <f>IFERROR(IF(VLOOKUP($A14,SortedDownload!$A$3:$BB$219,40,FALSE)=0,"-",VLOOKUP($A14,SortedDownload!$A$3:$BB$219,40,FALSE)/86400000),"-")</f>
        <v>0.4578669212962963</v>
      </c>
      <c r="T14" s="57" t="str">
        <f>IFERROR(IF(VLOOKUP($A14,SortedDownload!$A$3:$BB$219,41,FALSE)=0,"-",VLOOKUP($A14,SortedDownload!$A$3:$BB$219,41,FALSE)/86400000),"-")</f>
        <v>-</v>
      </c>
      <c r="U14" s="57" t="str">
        <f>IFERROR(IF(VLOOKUP($A14,SortedDownload!$A$3:$BB$219,42,FALSE)=0,"-",VLOOKUP($A14,SortedDownload!$A$3:$BB$219,42,FALSE)/86400000),"-")</f>
        <v>-</v>
      </c>
      <c r="V14" s="57" t="str">
        <f>IFERROR(IF(VLOOKUP($A14,SortedDownload!$A$3:$BB$219,43,FALSE)=0,"-",VLOOKUP($A14,SortedDownload!$A$3:$BB$219,43,FALSE)/86400000),"-")</f>
        <v>-</v>
      </c>
      <c r="W14" s="57" t="str">
        <f>IFERROR(IF(VLOOKUP($A14,SortedDownload!$A$3:$BB$219,44,FALSE)=0,"-",VLOOKUP($A14,SortedDownload!$A$3:$BB$219,44,FALSE)/86400000),"-")</f>
        <v>-</v>
      </c>
      <c r="X14" s="57" t="str">
        <f>IFERROR(IF(VLOOKUP($A14,SortedDownload!$A$3:$BB$219,45,FALSE)=0,"-",VLOOKUP($A14,SortedDownload!$A$3:$BB$219,45,FALSE)/86400000),"-")</f>
        <v>-</v>
      </c>
      <c r="Y14" s="58">
        <f>IFERROR(VLOOKUP($A14,SortedDownload!$A$3:$BB$219,46,FALSE)/86400000,"")</f>
        <v>0</v>
      </c>
      <c r="Z14" s="58">
        <f>IFERROR(Table932[[#This Row],[End Time]]-Table932[[#This Row],[Start Time]],"")</f>
        <v>-0.37525207175925929</v>
      </c>
      <c r="AA14" s="58"/>
      <c r="AB14" s="170" t="str">
        <f t="shared" si="3"/>
        <v>12:42</v>
      </c>
      <c r="AC14" s="170" t="str">
        <f t="shared" si="2"/>
        <v>46:19</v>
      </c>
    </row>
    <row r="15" spans="1:29">
      <c r="A15" s="53">
        <f>IF(SortedDownload!A15 &lt; 1,"",SortedDownload!A15)</f>
        <v>131</v>
      </c>
      <c r="B15" s="54">
        <f t="shared" si="0"/>
        <v>10</v>
      </c>
      <c r="C15" s="54" t="str">
        <f>IFERROR(VLOOKUP($A15,CategoryResults!$A$3:$X$252,3,FALSE),"")</f>
        <v/>
      </c>
      <c r="D15" s="90" t="str">
        <f>IFERROR(VLOOKUP($A15,EntryList!$A$3:$N$291,2,FALSE),"")</f>
        <v>Dane Olsen</v>
      </c>
      <c r="E15" s="54" t="str">
        <f>IFERROR(VLOOKUP(C15,SeriesPoints!$A$2:$B$51,2,FALSE),"")</f>
        <v/>
      </c>
      <c r="F15" s="144" t="str">
        <f>IFERROR(VLOOKUP($A15,EntryList!$A$3:$V$291,22,FALSE),"")</f>
        <v>-</v>
      </c>
      <c r="G15" s="100" t="str">
        <f>IFERROR(VLOOKUP($A15,EntryList!$A$3:$N$291,6,FALSE),"")</f>
        <v>M</v>
      </c>
      <c r="H15" s="145" t="str">
        <f>IFERROR(VLOOKUP($A15,EntryList!$A$3:$N$291,7,FALSE),"")</f>
        <v>Master Men</v>
      </c>
      <c r="I15" s="56">
        <f t="shared" si="1"/>
        <v>9</v>
      </c>
      <c r="J15" s="57">
        <f>IFERROR(VLOOKUP($A15,SortedDownload!$A$3:$BB$219,31,FALSE)/86400000,"")</f>
        <v>0.39674777777777775</v>
      </c>
      <c r="K15" s="57">
        <f>IFERROR(IF(VLOOKUP($A15,SortedDownload!$A$3:$BB$219,32,FALSE)=0,"-",VLOOKUP($A15,SortedDownload!$A$3:$BB$219,32,FALSE)/86400000),"-")</f>
        <v>0.39916093749999998</v>
      </c>
      <c r="L15" s="57">
        <f>IFERROR(IF(VLOOKUP($A15,SortedDownload!$A$3:$BB$219,33,FALSE)=0,"-",VLOOKUP($A15,SortedDownload!$A$3:$BB$219,33,FALSE)/86400000),"-")</f>
        <v>0.36295094907407405</v>
      </c>
      <c r="M15" s="57">
        <f>IFERROR(IF(VLOOKUP($A15,SortedDownload!$A$3:$BB$219,34,FALSE)=0,"-",VLOOKUP($A15,SortedDownload!$A$3:$BB$219,34,FALSE)/86400000),"-")</f>
        <v>0.36544731481481479</v>
      </c>
      <c r="N15" s="57">
        <f>IFERROR(IF(VLOOKUP($A15,SortedDownload!$A$3:$BB$219,35,FALSE)=0,"-",VLOOKUP($A15,SortedDownload!$A$3:$BB$219,35,FALSE)/86400000),"-")</f>
        <v>0.42807496527777777</v>
      </c>
      <c r="O15" s="57">
        <f>IFERROR(IF(VLOOKUP($A15,SortedDownload!$A$3:$BB$219,36,FALSE)=0,"-",VLOOKUP($A15,SortedDownload!$A$3:$BB$219,36,FALSE)/86400000),"-")</f>
        <v>0.42947429398148146</v>
      </c>
      <c r="P15" s="57">
        <f>IFERROR(IF(VLOOKUP($A15,SortedDownload!$A$3:$BB$219,37,FALSE)=0,"-",VLOOKUP($A15,SortedDownload!$A$3:$BB$219,37,FALSE)/86400000),"-")</f>
        <v>0.47672079861111111</v>
      </c>
      <c r="Q15" s="57">
        <f>IFERROR(IF(VLOOKUP($A15,SortedDownload!$A$3:$BB$219,38,FALSE)=0,"-",VLOOKUP($A15,SortedDownload!$A$3:$BB$219,38,FALSE)/86400000),"-")</f>
        <v>0.47944552083333336</v>
      </c>
      <c r="R15" s="57">
        <f>IFERROR(IF(VLOOKUP($A15,SortedDownload!$A$3:$BB$219,39,FALSE)=0,"-",VLOOKUP($A15,SortedDownload!$A$3:$BB$219,39,FALSE)/86400000),"-")</f>
        <v>0.51303590277777777</v>
      </c>
      <c r="S15" s="57">
        <f>IFERROR(IF(VLOOKUP($A15,SortedDownload!$A$3:$BB$219,40,FALSE)=0,"-",VLOOKUP($A15,SortedDownload!$A$3:$BB$219,40,FALSE)/86400000),"-")</f>
        <v>0.5165390856481481</v>
      </c>
      <c r="T15" s="57" t="str">
        <f>IFERROR(IF(VLOOKUP($A15,SortedDownload!$A$3:$BB$219,41,FALSE)=0,"-",VLOOKUP($A15,SortedDownload!$A$3:$BB$219,41,FALSE)/86400000),"-")</f>
        <v>-</v>
      </c>
      <c r="U15" s="57" t="str">
        <f>IFERROR(IF(VLOOKUP($A15,SortedDownload!$A$3:$BB$219,42,FALSE)=0,"-",VLOOKUP($A15,SortedDownload!$A$3:$BB$219,42,FALSE)/86400000),"-")</f>
        <v>-</v>
      </c>
      <c r="V15" s="57" t="str">
        <f>IFERROR(IF(VLOOKUP($A15,SortedDownload!$A$3:$BB$219,43,FALSE)=0,"-",VLOOKUP($A15,SortedDownload!$A$3:$BB$219,43,FALSE)/86400000),"-")</f>
        <v>-</v>
      </c>
      <c r="W15" s="57" t="str">
        <f>IFERROR(IF(VLOOKUP($A15,SortedDownload!$A$3:$BB$219,44,FALSE)=0,"-",VLOOKUP($A15,SortedDownload!$A$3:$BB$219,44,FALSE)/86400000),"-")</f>
        <v>-</v>
      </c>
      <c r="X15" s="57" t="str">
        <f>IFERROR(IF(VLOOKUP($A15,SortedDownload!$A$3:$BB$219,45,FALSE)=0,"-",VLOOKUP($A15,SortedDownload!$A$3:$BB$219,45,FALSE)/86400000),"-")</f>
        <v>-</v>
      </c>
      <c r="Y15" s="58">
        <f>IFERROR(VLOOKUP($A15,SortedDownload!$A$3:$BB$219,46,FALSE)/86400000,"")</f>
        <v>0</v>
      </c>
      <c r="Z15" s="58">
        <f>IFERROR(Table932[[#This Row],[End Time]]-Table932[[#This Row],[Start Time]],"")</f>
        <v>-0.39674777777777775</v>
      </c>
      <c r="AA15" s="58"/>
      <c r="AB15" s="170" t="str">
        <f t="shared" si="3"/>
        <v>N/A</v>
      </c>
      <c r="AC15" s="170" t="str">
        <f t="shared" si="2"/>
        <v>15:21</v>
      </c>
    </row>
    <row r="16" spans="1:29">
      <c r="A16" s="53">
        <f>IF(SortedDownload!A10 &lt; 1,"",SortedDownload!A10)</f>
        <v>246</v>
      </c>
      <c r="B16" s="54">
        <f t="shared" si="0"/>
        <v>11</v>
      </c>
      <c r="C16" s="54" t="str">
        <f>IFERROR(VLOOKUP($A16,CategoryResults!$A$3:$X$252,3,FALSE),"")</f>
        <v/>
      </c>
      <c r="D16" s="90" t="str">
        <f>IFERROR(VLOOKUP($A16,EntryList!$A$3:$N$291,2,FALSE),"")</f>
        <v>Michard Meets</v>
      </c>
      <c r="E16" s="54" t="str">
        <f>IFERROR(VLOOKUP(C16,SeriesPoints!$A$2:$B$51,2,FALSE),"")</f>
        <v/>
      </c>
      <c r="F16" s="144" t="str">
        <f>IFERROR(VLOOKUP($A16,EntryList!$A$3:$V$291,22,FALSE),"")</f>
        <v>-</v>
      </c>
      <c r="G16" s="100" t="str">
        <f>IFERROR(VLOOKUP($A16,EntryList!$A$3:$N$291,6,FALSE),"")</f>
        <v>M</v>
      </c>
      <c r="H16" s="145" t="str">
        <f>IFERROR(VLOOKUP($A16,EntryList!$A$3:$N$291,7,FALSE),"")</f>
        <v>Elite Men</v>
      </c>
      <c r="I16" s="56">
        <f t="shared" si="1"/>
        <v>9</v>
      </c>
      <c r="J16" s="57">
        <f>IFERROR(VLOOKUP($A16,SortedDownload!$A$3:$BB$219,31,FALSE)/86400000,"")</f>
        <v>0.43457377314814816</v>
      </c>
      <c r="K16" s="57">
        <f>IFERROR(IF(VLOOKUP($A16,SortedDownload!$A$3:$BB$219,32,FALSE)=0,"-",VLOOKUP($A16,SortedDownload!$A$3:$BB$219,32,FALSE)/86400000),"-")</f>
        <v>0.43682708333333331</v>
      </c>
      <c r="L16" s="57">
        <f>IFERROR(IF(VLOOKUP($A16,SortedDownload!$A$3:$BB$219,33,FALSE)=0,"-",VLOOKUP($A16,SortedDownload!$A$3:$BB$219,33,FALSE)/86400000),"-")</f>
        <v>0.39267680555555556</v>
      </c>
      <c r="M16" s="57">
        <f>IFERROR(IF(VLOOKUP($A16,SortedDownload!$A$3:$BB$219,34,FALSE)=0,"-",VLOOKUP($A16,SortedDownload!$A$3:$BB$219,34,FALSE)/86400000),"-")</f>
        <v>0.39519462962962965</v>
      </c>
      <c r="N16" s="57">
        <f>IFERROR(IF(VLOOKUP($A16,SortedDownload!$A$3:$BB$219,35,FALSE)=0,"-",VLOOKUP($A16,SortedDownload!$A$3:$BB$219,35,FALSE)/86400000),"-")</f>
        <v>0.35950304398148147</v>
      </c>
      <c r="O16" s="57">
        <f>IFERROR(IF(VLOOKUP($A16,SortedDownload!$A$3:$BB$219,36,FALSE)=0,"-",VLOOKUP($A16,SortedDownload!$A$3:$BB$219,36,FALSE)/86400000),"-")</f>
        <v>0.36088018518518516</v>
      </c>
      <c r="P16" s="57">
        <f>IFERROR(IF(VLOOKUP($A16,SortedDownload!$A$3:$BB$219,37,FALSE)=0,"-",VLOOKUP($A16,SortedDownload!$A$3:$BB$219,37,FALSE)/86400000),"-")</f>
        <v>0.47268018518518518</v>
      </c>
      <c r="Q16" s="57">
        <f>IFERROR(IF(VLOOKUP($A16,SortedDownload!$A$3:$BB$219,38,FALSE)=0,"-",VLOOKUP($A16,SortedDownload!$A$3:$BB$219,38,FALSE)/86400000),"-")</f>
        <v>0.47535858796296299</v>
      </c>
      <c r="R16" s="57">
        <f>IFERROR(IF(VLOOKUP($A16,SortedDownload!$A$3:$BB$219,39,FALSE)=0,"-",VLOOKUP($A16,SortedDownload!$A$3:$BB$219,39,FALSE)/86400000),"-")</f>
        <v>0.52106627314814813</v>
      </c>
      <c r="S16" s="57">
        <f>IFERROR(IF(VLOOKUP($A16,SortedDownload!$A$3:$BB$219,40,FALSE)=0,"-",VLOOKUP($A16,SortedDownload!$A$3:$BB$219,40,FALSE)/86400000),"-")</f>
        <v>0.52440454861111108</v>
      </c>
      <c r="T16" s="57" t="str">
        <f>IFERROR(IF(VLOOKUP($A16,SortedDownload!$A$3:$BB$219,41,FALSE)=0,"-",VLOOKUP($A16,SortedDownload!$A$3:$BB$219,41,FALSE)/86400000),"-")</f>
        <v>-</v>
      </c>
      <c r="U16" s="57" t="str">
        <f>IFERROR(IF(VLOOKUP($A16,SortedDownload!$A$3:$BB$219,42,FALSE)=0,"-",VLOOKUP($A16,SortedDownload!$A$3:$BB$219,42,FALSE)/86400000),"-")</f>
        <v>-</v>
      </c>
      <c r="V16" s="57" t="str">
        <f>IFERROR(IF(VLOOKUP($A16,SortedDownload!$A$3:$BB$219,43,FALSE)=0,"-",VLOOKUP($A16,SortedDownload!$A$3:$BB$219,43,FALSE)/86400000),"-")</f>
        <v>-</v>
      </c>
      <c r="W16" s="57" t="str">
        <f>IFERROR(IF(VLOOKUP($A16,SortedDownload!$A$3:$BB$219,44,FALSE)=0,"-",VLOOKUP($A16,SortedDownload!$A$3:$BB$219,44,FALSE)/86400000),"-")</f>
        <v>-</v>
      </c>
      <c r="X16" s="57" t="str">
        <f>IFERROR(IF(VLOOKUP($A16,SortedDownload!$A$3:$BB$219,45,FALSE)=0,"-",VLOOKUP($A16,SortedDownload!$A$3:$BB$219,45,FALSE)/86400000),"-")</f>
        <v>-</v>
      </c>
      <c r="Y16" s="58">
        <f>IFERROR(VLOOKUP($A16,SortedDownload!$A$3:$BB$219,46,FALSE)/86400000,"")</f>
        <v>0</v>
      </c>
      <c r="Z16" s="58">
        <f>IFERROR(Table932[[#This Row],[End Time]]-Table932[[#This Row],[Start Time]],"")</f>
        <v>-0.43457377314814816</v>
      </c>
      <c r="AA16" s="58"/>
      <c r="AB16" s="170" t="str">
        <f t="shared" si="3"/>
        <v>N/A</v>
      </c>
      <c r="AC16" s="170" t="str">
        <f t="shared" si="2"/>
        <v>N/A</v>
      </c>
    </row>
    <row r="17" spans="1:29">
      <c r="A17" s="53">
        <f>IF(SortedDownload!A11 &lt; 1,"",SortedDownload!A11)</f>
        <v>193</v>
      </c>
      <c r="B17" s="54">
        <f t="shared" si="0"/>
        <v>12</v>
      </c>
      <c r="C17" s="54" t="str">
        <f>IFERROR(VLOOKUP($A17,CategoryResults!$A$3:$X$252,3,FALSE),"")</f>
        <v/>
      </c>
      <c r="D17" s="90" t="str">
        <f>IFERROR(VLOOKUP($A17,EntryList!$A$3:$N$291,2,FALSE),"")</f>
        <v>Justin Novella</v>
      </c>
      <c r="E17" s="54" t="str">
        <f>IFERROR(VLOOKUP(C17,SeriesPoints!$A$2:$B$51,2,FALSE),"")</f>
        <v/>
      </c>
      <c r="F17" s="144" t="str">
        <f>IFERROR(VLOOKUP($A17,EntryList!$A$3:$V$291,22,FALSE),"")</f>
        <v>-</v>
      </c>
      <c r="G17" s="100" t="str">
        <f>IFERROR(VLOOKUP($A17,EntryList!$A$3:$N$291,6,FALSE),"")</f>
        <v>M</v>
      </c>
      <c r="H17" s="145" t="str">
        <f>IFERROR(VLOOKUP($A17,EntryList!$A$3:$N$291,7,FALSE),"")</f>
        <v>E-Bike M</v>
      </c>
      <c r="I17" s="56">
        <f t="shared" si="1"/>
        <v>9</v>
      </c>
      <c r="J17" s="57">
        <f>IFERROR(VLOOKUP($A17,SortedDownload!$A$3:$BB$219,31,FALSE)/86400000,"")</f>
        <v>0.3595569560185185</v>
      </c>
      <c r="K17" s="57">
        <f>IFERROR(IF(VLOOKUP($A17,SortedDownload!$A$3:$BB$219,32,FALSE)=0,"-",VLOOKUP($A17,SortedDownload!$A$3:$BB$219,32,FALSE)/86400000),"-")</f>
        <v>0.36187229166666668</v>
      </c>
      <c r="L17" s="57">
        <f>IFERROR(IF(VLOOKUP($A17,SortedDownload!$A$3:$BB$219,33,FALSE)=0,"-",VLOOKUP($A17,SortedDownload!$A$3:$BB$219,33,FALSE)/86400000),"-")</f>
        <v>0.40573719907407407</v>
      </c>
      <c r="M17" s="57">
        <f>IFERROR(IF(VLOOKUP($A17,SortedDownload!$A$3:$BB$219,34,FALSE)=0,"-",VLOOKUP($A17,SortedDownload!$A$3:$BB$219,34,FALSE)/86400000),"-")</f>
        <v>0.40823410879629629</v>
      </c>
      <c r="N17" s="57">
        <f>IFERROR(IF(VLOOKUP($A17,SortedDownload!$A$3:$BB$219,35,FALSE)=0,"-",VLOOKUP($A17,SortedDownload!$A$3:$BB$219,35,FALSE)/86400000),"-")</f>
        <v>0.43526844907407408</v>
      </c>
      <c r="O17" s="57">
        <f>IFERROR(IF(VLOOKUP($A17,SortedDownload!$A$3:$BB$219,36,FALSE)=0,"-",VLOOKUP($A17,SortedDownload!$A$3:$BB$219,36,FALSE)/86400000),"-")</f>
        <v>0.43660770833333334</v>
      </c>
      <c r="P17" s="57">
        <f>IFERROR(IF(VLOOKUP($A17,SortedDownload!$A$3:$BB$219,37,FALSE)=0,"-",VLOOKUP($A17,SortedDownload!$A$3:$BB$219,37,FALSE)/86400000),"-")</f>
        <v>0.48368136574074072</v>
      </c>
      <c r="Q17" s="57">
        <f>IFERROR(IF(VLOOKUP($A17,SortedDownload!$A$3:$BB$219,38,FALSE)=0,"-",VLOOKUP($A17,SortedDownload!$A$3:$BB$219,38,FALSE)/86400000),"-")</f>
        <v>0.48636555555555555</v>
      </c>
      <c r="R17" s="57">
        <f>IFERROR(IF(VLOOKUP($A17,SortedDownload!$A$3:$BB$219,39,FALSE)=0,"-",VLOOKUP($A17,SortedDownload!$A$3:$BB$219,39,FALSE)/86400000),"-")</f>
        <v>0.50922743055555553</v>
      </c>
      <c r="S17" s="57">
        <f>IFERROR(IF(VLOOKUP($A17,SortedDownload!$A$3:$BB$219,40,FALSE)=0,"-",VLOOKUP($A17,SortedDownload!$A$3:$BB$219,40,FALSE)/86400000),"-")</f>
        <v>0.5125752199074074</v>
      </c>
      <c r="T17" s="57" t="str">
        <f>IFERROR(IF(VLOOKUP($A17,SortedDownload!$A$3:$BB$219,41,FALSE)=0,"-",VLOOKUP($A17,SortedDownload!$A$3:$BB$219,41,FALSE)/86400000),"-")</f>
        <v>-</v>
      </c>
      <c r="U17" s="57" t="str">
        <f>IFERROR(IF(VLOOKUP($A17,SortedDownload!$A$3:$BB$219,42,FALSE)=0,"-",VLOOKUP($A17,SortedDownload!$A$3:$BB$219,42,FALSE)/86400000),"-")</f>
        <v>-</v>
      </c>
      <c r="V17" s="57" t="str">
        <f>IFERROR(IF(VLOOKUP($A17,SortedDownload!$A$3:$BB$219,43,FALSE)=0,"-",VLOOKUP($A17,SortedDownload!$A$3:$BB$219,43,FALSE)/86400000),"-")</f>
        <v>-</v>
      </c>
      <c r="W17" s="57" t="str">
        <f>IFERROR(IF(VLOOKUP($A17,SortedDownload!$A$3:$BB$219,44,FALSE)=0,"-",VLOOKUP($A17,SortedDownload!$A$3:$BB$219,44,FALSE)/86400000),"-")</f>
        <v>-</v>
      </c>
      <c r="X17" s="57" t="str">
        <f>IFERROR(IF(VLOOKUP($A17,SortedDownload!$A$3:$BB$219,45,FALSE)=0,"-",VLOOKUP($A17,SortedDownload!$A$3:$BB$219,45,FALSE)/86400000),"-")</f>
        <v>-</v>
      </c>
      <c r="Y17" s="58">
        <f>IFERROR(VLOOKUP($A17,SortedDownload!$A$3:$BB$219,46,FALSE)/86400000,"")</f>
        <v>0</v>
      </c>
      <c r="Z17" s="58">
        <f>IFERROR(Table932[[#This Row],[End Time]]-Table932[[#This Row],[Start Time]],"")</f>
        <v>-0.3595569560185185</v>
      </c>
      <c r="AA17" s="58"/>
      <c r="AB17" s="170" t="str">
        <f t="shared" si="3"/>
        <v>48:01</v>
      </c>
      <c r="AC17" s="170" t="str">
        <f t="shared" si="2"/>
        <v>08:55</v>
      </c>
    </row>
    <row r="18" spans="1:29">
      <c r="A18" s="53">
        <f>IF(SortedDownload!A16 &lt; 1,"",SortedDownload!A16)</f>
        <v>216</v>
      </c>
      <c r="B18" s="54">
        <f t="shared" si="0"/>
        <v>13</v>
      </c>
      <c r="C18" s="54" t="str">
        <f>IFERROR(VLOOKUP($A18,CategoryResults!$A$3:$X$252,3,FALSE),"")</f>
        <v/>
      </c>
      <c r="D18" s="90" t="str">
        <f>IFERROR(VLOOKUP($A18,EntryList!$A$3:$N$291,2,FALSE),"")</f>
        <v>Johan Van Zyl</v>
      </c>
      <c r="E18" s="54" t="str">
        <f>IFERROR(VLOOKUP(C18,SeriesPoints!$A$2:$B$51,2,FALSE),"")</f>
        <v/>
      </c>
      <c r="F18" s="144" t="str">
        <f>IFERROR(VLOOKUP($A18,EntryList!$A$3:$V$291,22,FALSE),"")</f>
        <v>-</v>
      </c>
      <c r="G18" s="100" t="str">
        <f>IFERROR(VLOOKUP($A18,EntryList!$A$3:$N$291,6,FALSE),"")</f>
        <v>M</v>
      </c>
      <c r="H18" s="145" t="str">
        <f>IFERROR(VLOOKUP($A18,EntryList!$A$3:$N$291,7,FALSE),"")</f>
        <v>Elite Men</v>
      </c>
      <c r="I18" s="56">
        <f t="shared" si="1"/>
        <v>9</v>
      </c>
      <c r="J18" s="57">
        <f>IFERROR(VLOOKUP($A18,SortedDownload!$A$3:$BB$219,31,FALSE)/86400000,"")</f>
        <v>0.35728437499999999</v>
      </c>
      <c r="K18" s="57">
        <f>IFERROR(IF(VLOOKUP($A18,SortedDownload!$A$3:$BB$219,32,FALSE)=0,"-",VLOOKUP($A18,SortedDownload!$A$3:$BB$219,32,FALSE)/86400000),"-")</f>
        <v>0.35964450231481482</v>
      </c>
      <c r="L18" s="57">
        <f>IFERROR(IF(VLOOKUP($A18,SortedDownload!$A$3:$BB$219,33,FALSE)=0,"-",VLOOKUP($A18,SortedDownload!$A$3:$BB$219,33,FALSE)/86400000),"-")</f>
        <v>0.44573077546296297</v>
      </c>
      <c r="M18" s="57">
        <f>IFERROR(IF(VLOOKUP($A18,SortedDownload!$A$3:$BB$219,34,FALSE)=0,"-",VLOOKUP($A18,SortedDownload!$A$3:$BB$219,34,FALSE)/86400000),"-")</f>
        <v>0.4482583449074074</v>
      </c>
      <c r="N18" s="57">
        <f>IFERROR(IF(VLOOKUP($A18,SortedDownload!$A$3:$BB$219,35,FALSE)=0,"-",VLOOKUP($A18,SortedDownload!$A$3:$BB$219,35,FALSE)/86400000),"-")</f>
        <v>0.38400276620370372</v>
      </c>
      <c r="O18" s="57">
        <f>IFERROR(IF(VLOOKUP($A18,SortedDownload!$A$3:$BB$219,36,FALSE)=0,"-",VLOOKUP($A18,SortedDownload!$A$3:$BB$219,36,FALSE)/86400000),"-")</f>
        <v>0.38546884259259262</v>
      </c>
      <c r="P18" s="57">
        <f>IFERROR(IF(VLOOKUP($A18,SortedDownload!$A$3:$BB$219,37,FALSE)=0,"-",VLOOKUP($A18,SortedDownload!$A$3:$BB$219,37,FALSE)/86400000),"-")</f>
        <v>0.50742092592592591</v>
      </c>
      <c r="Q18" s="57">
        <f>IFERROR(IF(VLOOKUP($A18,SortedDownload!$A$3:$BB$219,38,FALSE)=0,"-",VLOOKUP($A18,SortedDownload!$A$3:$BB$219,38,FALSE)/86400000),"-")</f>
        <v>0.51020311342592595</v>
      </c>
      <c r="R18" s="57">
        <f>IFERROR(IF(VLOOKUP($A18,SortedDownload!$A$3:$BB$219,39,FALSE)=0,"-",VLOOKUP($A18,SortedDownload!$A$3:$BB$219,39,FALSE)/86400000),"-")</f>
        <v>0.54177289351851854</v>
      </c>
      <c r="S18" s="57">
        <f>IFERROR(IF(VLOOKUP($A18,SortedDownload!$A$3:$BB$219,40,FALSE)=0,"-",VLOOKUP($A18,SortedDownload!$A$3:$BB$219,40,FALSE)/86400000),"-")</f>
        <v>0.54518613425925921</v>
      </c>
      <c r="T18" s="57" t="str">
        <f>IFERROR(IF(VLOOKUP($A18,SortedDownload!$A$3:$BB$219,41,FALSE)=0,"-",VLOOKUP($A18,SortedDownload!$A$3:$BB$219,41,FALSE)/86400000),"-")</f>
        <v>-</v>
      </c>
      <c r="U18" s="57" t="str">
        <f>IFERROR(IF(VLOOKUP($A18,SortedDownload!$A$3:$BB$219,42,FALSE)=0,"-",VLOOKUP($A18,SortedDownload!$A$3:$BB$219,42,FALSE)/86400000),"-")</f>
        <v>-</v>
      </c>
      <c r="V18" s="57" t="str">
        <f>IFERROR(IF(VLOOKUP($A18,SortedDownload!$A$3:$BB$219,43,FALSE)=0,"-",VLOOKUP($A18,SortedDownload!$A$3:$BB$219,43,FALSE)/86400000),"-")</f>
        <v>-</v>
      </c>
      <c r="W18" s="57" t="str">
        <f>IFERROR(IF(VLOOKUP($A18,SortedDownload!$A$3:$BB$219,44,FALSE)=0,"-",VLOOKUP($A18,SortedDownload!$A$3:$BB$219,44,FALSE)/86400000),"-")</f>
        <v>-</v>
      </c>
      <c r="X18" s="57" t="str">
        <f>IFERROR(IF(VLOOKUP($A18,SortedDownload!$A$3:$BB$219,45,FALSE)=0,"-",VLOOKUP($A18,SortedDownload!$A$3:$BB$219,45,FALSE)/86400000),"-")</f>
        <v>-</v>
      </c>
      <c r="Y18" s="58">
        <f>IFERROR(VLOOKUP($A18,SortedDownload!$A$3:$BB$219,46,FALSE)/86400000,"")</f>
        <v>0</v>
      </c>
      <c r="Z18" s="58">
        <f>IFERROR(Table932[[#This Row],[End Time]]-Table932[[#This Row],[Start Time]],"")</f>
        <v>-0.35728437499999999</v>
      </c>
      <c r="AA18" s="58"/>
      <c r="AB18" s="170" t="str">
        <f t="shared" si="3"/>
        <v>03:16</v>
      </c>
      <c r="AC18" s="170" t="str">
        <f t="shared" si="2"/>
        <v>12:11</v>
      </c>
    </row>
    <row r="19" spans="1:29">
      <c r="A19" s="53">
        <f>IF(SortedDownload!A5 &lt; 1,"",SortedDownload!A5)</f>
        <v>36</v>
      </c>
      <c r="B19" s="54">
        <f t="shared" si="0"/>
        <v>14</v>
      </c>
      <c r="C19" s="54" t="str">
        <f>IFERROR(VLOOKUP($A19,CategoryResults!$A$3:$X$252,3,FALSE),"")</f>
        <v/>
      </c>
      <c r="D19" s="90" t="str">
        <f>IFERROR(VLOOKUP($A19,EntryList!$A$3:$N$291,2,FALSE),"")</f>
        <v>Philip Van Schalkwyk</v>
      </c>
      <c r="E19" s="54" t="str">
        <f>IFERROR(VLOOKUP(C19,SeriesPoints!$A$2:$B$51,2,FALSE),"")</f>
        <v/>
      </c>
      <c r="F19" s="144" t="str">
        <f>IFERROR(VLOOKUP($A19,EntryList!$A$3:$V$291,22,FALSE),"")</f>
        <v>-</v>
      </c>
      <c r="G19" s="100" t="str">
        <f>IFERROR(VLOOKUP($A19,EntryList!$A$3:$N$291,6,FALSE),"")</f>
        <v>M</v>
      </c>
      <c r="H19" s="145" t="str">
        <f>IFERROR(VLOOKUP($A19,EntryList!$A$3:$N$291,7,FALSE),"")</f>
        <v>Junior Men</v>
      </c>
      <c r="I19" s="56">
        <f t="shared" si="1"/>
        <v>9</v>
      </c>
      <c r="J19" s="57">
        <f>IFERROR(VLOOKUP($A19,SortedDownload!$A$3:$BB$219,31,FALSE)/86400000,"")</f>
        <v>0.4049784490740741</v>
      </c>
      <c r="K19" s="57">
        <f>IFERROR(IF(VLOOKUP($A19,SortedDownload!$A$3:$BB$219,32,FALSE)=0,"-",VLOOKUP($A19,SortedDownload!$A$3:$BB$219,32,FALSE)/86400000),"-")</f>
        <v>0.40720984953703704</v>
      </c>
      <c r="L19" s="57">
        <f>IFERROR(IF(VLOOKUP($A19,SortedDownload!$A$3:$BB$219,33,FALSE)=0,"-",VLOOKUP($A19,SortedDownload!$A$3:$BB$219,33,FALSE)/86400000),"-")</f>
        <v>0.36358732638888891</v>
      </c>
      <c r="M19" s="57">
        <f>IFERROR(IF(VLOOKUP($A19,SortedDownload!$A$3:$BB$219,34,FALSE)=0,"-",VLOOKUP($A19,SortedDownload!$A$3:$BB$219,34,FALSE)/86400000),"-")</f>
        <v>0.36601712962962962</v>
      </c>
      <c r="N19" s="57">
        <f>IFERROR(IF(VLOOKUP($A19,SortedDownload!$A$3:$BB$219,35,FALSE)=0,"-",VLOOKUP($A19,SortedDownload!$A$3:$BB$219,35,FALSE)/86400000),"-")</f>
        <v>0.44564760416666666</v>
      </c>
      <c r="O19" s="57">
        <f>IFERROR(IF(VLOOKUP($A19,SortedDownload!$A$3:$BB$219,36,FALSE)=0,"-",VLOOKUP($A19,SortedDownload!$A$3:$BB$219,36,FALSE)/86400000),"-")</f>
        <v>0.44692481481481483</v>
      </c>
      <c r="P19" s="57">
        <f>IFERROR(IF(VLOOKUP($A19,SortedDownload!$A$3:$BB$219,37,FALSE)=0,"-",VLOOKUP($A19,SortedDownload!$A$3:$BB$219,37,FALSE)/86400000),"-")</f>
        <v>0.50322877314814818</v>
      </c>
      <c r="Q19" s="57">
        <f>IFERROR(IF(VLOOKUP($A19,SortedDownload!$A$3:$BB$219,38,FALSE)=0,"-",VLOOKUP($A19,SortedDownload!$A$3:$BB$219,38,FALSE)/86400000),"-")</f>
        <v>0.50588167824074071</v>
      </c>
      <c r="R19" s="57">
        <f>IFERROR(IF(VLOOKUP($A19,SortedDownload!$A$3:$BB$219,39,FALSE)=0,"-",VLOOKUP($A19,SortedDownload!$A$3:$BB$219,39,FALSE)/86400000),"-")</f>
        <v>0.53677581018518516</v>
      </c>
      <c r="S19" s="57">
        <f>IFERROR(IF(VLOOKUP($A19,SortedDownload!$A$3:$BB$219,40,FALSE)=0,"-",VLOOKUP($A19,SortedDownload!$A$3:$BB$219,40,FALSE)/86400000),"-")</f>
        <v>0.54012577546296292</v>
      </c>
      <c r="T19" s="57" t="str">
        <f>IFERROR(IF(VLOOKUP($A19,SortedDownload!$A$3:$BB$219,41,FALSE)=0,"-",VLOOKUP($A19,SortedDownload!$A$3:$BB$219,41,FALSE)/86400000),"-")</f>
        <v>-</v>
      </c>
      <c r="U19" s="57" t="str">
        <f>IFERROR(IF(VLOOKUP($A19,SortedDownload!$A$3:$BB$219,42,FALSE)=0,"-",VLOOKUP($A19,SortedDownload!$A$3:$BB$219,42,FALSE)/86400000),"-")</f>
        <v>-</v>
      </c>
      <c r="V19" s="57" t="str">
        <f>IFERROR(IF(VLOOKUP($A19,SortedDownload!$A$3:$BB$219,43,FALSE)=0,"-",VLOOKUP($A19,SortedDownload!$A$3:$BB$219,43,FALSE)/86400000),"-")</f>
        <v>-</v>
      </c>
      <c r="W19" s="57" t="str">
        <f>IFERROR(IF(VLOOKUP($A19,SortedDownload!$A$3:$BB$219,44,FALSE)=0,"-",VLOOKUP($A19,SortedDownload!$A$3:$BB$219,44,FALSE)/86400000),"-")</f>
        <v>-</v>
      </c>
      <c r="X19" s="57" t="str">
        <f>IFERROR(IF(VLOOKUP($A19,SortedDownload!$A$3:$BB$219,45,FALSE)=0,"-",VLOOKUP($A19,SortedDownload!$A$3:$BB$219,45,FALSE)/86400000),"-")</f>
        <v>-</v>
      </c>
      <c r="Y19" s="58">
        <f>IFERROR(VLOOKUP($A19,SortedDownload!$A$3:$BB$219,46,FALSE)/86400000,"")</f>
        <v>0</v>
      </c>
      <c r="Z19" s="58">
        <f>IFERROR(Table932[[#This Row],[End Time]]-Table932[[#This Row],[Start Time]],"")</f>
        <v>-0.4049784490740741</v>
      </c>
      <c r="AA19" s="58"/>
      <c r="AB19" s="170" t="str">
        <f t="shared" si="3"/>
        <v>N/A</v>
      </c>
      <c r="AC19" s="170" t="str">
        <f t="shared" si="2"/>
        <v>03:30</v>
      </c>
    </row>
    <row r="20" spans="1:29">
      <c r="A20" s="53">
        <f>IF(SortedDownload!A6 &lt; 1,"",SortedDownload!A6)</f>
        <v>294</v>
      </c>
      <c r="B20" s="54">
        <f t="shared" si="0"/>
        <v>15</v>
      </c>
      <c r="C20" s="54" t="str">
        <f>IFERROR(VLOOKUP($A20,CategoryResults!$A$3:$X$252,3,FALSE),"")</f>
        <v/>
      </c>
      <c r="D20" s="90" t="str">
        <f>IFERROR(VLOOKUP($A20,EntryList!$A$3:$N$291,2,FALSE),"")</f>
        <v>Gert Heyns</v>
      </c>
      <c r="E20" s="54" t="str">
        <f>IFERROR(VLOOKUP(C20,SeriesPoints!$A$2:$B$51,2,FALSE),"")</f>
        <v/>
      </c>
      <c r="F20" s="144" t="str">
        <f>IFERROR(VLOOKUP($A20,EntryList!$A$3:$V$291,22,FALSE),"")</f>
        <v>-</v>
      </c>
      <c r="G20" s="100" t="str">
        <f>IFERROR(VLOOKUP($A20,EntryList!$A$3:$N$291,6,FALSE),"")</f>
        <v>M</v>
      </c>
      <c r="H20" s="145" t="str">
        <f>IFERROR(VLOOKUP($A20,EntryList!$A$3:$N$291,7,FALSE),"")</f>
        <v>Elite Men</v>
      </c>
      <c r="I20" s="56">
        <f t="shared" si="1"/>
        <v>9</v>
      </c>
      <c r="J20" s="57">
        <f>IFERROR(VLOOKUP($A20,SortedDownload!$A$3:$BB$219,31,FALSE)/86400000,"")</f>
        <v>0.36483231481481482</v>
      </c>
      <c r="K20" s="57">
        <f>IFERROR(IF(VLOOKUP($A20,SortedDownload!$A$3:$BB$219,32,FALSE)=0,"-",VLOOKUP($A20,SortedDownload!$A$3:$BB$219,32,FALSE)/86400000),"-")</f>
        <v>0.36711754629629628</v>
      </c>
      <c r="L20" s="57">
        <f>IFERROR(IF(VLOOKUP($A20,SortedDownload!$A$3:$BB$219,33,FALSE)=0,"-",VLOOKUP($A20,SortedDownload!$A$3:$BB$219,33,FALSE)/86400000),"-")</f>
        <v>0.43477148148148148</v>
      </c>
      <c r="M20" s="57">
        <f>IFERROR(IF(VLOOKUP($A20,SortedDownload!$A$3:$BB$219,34,FALSE)=0,"-",VLOOKUP($A20,SortedDownload!$A$3:$BB$219,34,FALSE)/86400000),"-")</f>
        <v>0.43721325231481484</v>
      </c>
      <c r="N20" s="57">
        <f>IFERROR(IF(VLOOKUP($A20,SortedDownload!$A$3:$BB$219,35,FALSE)=0,"-",VLOOKUP($A20,SortedDownload!$A$3:$BB$219,35,FALSE)/86400000),"-")</f>
        <v>0.38764547453703702</v>
      </c>
      <c r="O20" s="57">
        <f>IFERROR(IF(VLOOKUP($A20,SortedDownload!$A$3:$BB$219,36,FALSE)=0,"-",VLOOKUP($A20,SortedDownload!$A$3:$BB$219,36,FALSE)/86400000),"-")</f>
        <v>0.38903072916666664</v>
      </c>
      <c r="P20" s="57">
        <f>IFERROR(IF(VLOOKUP($A20,SortedDownload!$A$3:$BB$219,37,FALSE)=0,"-",VLOOKUP($A20,SortedDownload!$A$3:$BB$219,37,FALSE)/86400000),"-")</f>
        <v>0.47852738425925928</v>
      </c>
      <c r="Q20" s="57">
        <f>IFERROR(IF(VLOOKUP($A20,SortedDownload!$A$3:$BB$219,38,FALSE)=0,"-",VLOOKUP($A20,SortedDownload!$A$3:$BB$219,38,FALSE)/86400000),"-")</f>
        <v>0.48117923611111113</v>
      </c>
      <c r="R20" s="57">
        <f>IFERROR(IF(VLOOKUP($A20,SortedDownload!$A$3:$BB$219,39,FALSE)=0,"-",VLOOKUP($A20,SortedDownload!$A$3:$BB$219,39,FALSE)/86400000),"-")</f>
        <v>0.50377421296296299</v>
      </c>
      <c r="S20" s="57">
        <f>IFERROR(IF(VLOOKUP($A20,SortedDownload!$A$3:$BB$219,40,FALSE)=0,"-",VLOOKUP($A20,SortedDownload!$A$3:$BB$219,40,FALSE)/86400000),"-")</f>
        <v>0.50701752314814819</v>
      </c>
      <c r="T20" s="57" t="str">
        <f>IFERROR(IF(VLOOKUP($A20,SortedDownload!$A$3:$BB$219,41,FALSE)=0,"-",VLOOKUP($A20,SortedDownload!$A$3:$BB$219,41,FALSE)/86400000),"-")</f>
        <v>-</v>
      </c>
      <c r="U20" s="57" t="str">
        <f>IFERROR(IF(VLOOKUP($A20,SortedDownload!$A$3:$BB$219,42,FALSE)=0,"-",VLOOKUP($A20,SortedDownload!$A$3:$BB$219,42,FALSE)/86400000),"-")</f>
        <v>-</v>
      </c>
      <c r="V20" s="57" t="str">
        <f>IFERROR(IF(VLOOKUP($A20,SortedDownload!$A$3:$BB$219,43,FALSE)=0,"-",VLOOKUP($A20,SortedDownload!$A$3:$BB$219,43,FALSE)/86400000),"-")</f>
        <v>-</v>
      </c>
      <c r="W20" s="57" t="str">
        <f>IFERROR(IF(VLOOKUP($A20,SortedDownload!$A$3:$BB$219,44,FALSE)=0,"-",VLOOKUP($A20,SortedDownload!$A$3:$BB$219,44,FALSE)/86400000),"-")</f>
        <v>-</v>
      </c>
      <c r="X20" s="57" t="str">
        <f>IFERROR(IF(VLOOKUP($A20,SortedDownload!$A$3:$BB$219,45,FALSE)=0,"-",VLOOKUP($A20,SortedDownload!$A$3:$BB$219,45,FALSE)/86400000),"-")</f>
        <v>-</v>
      </c>
      <c r="Y20" s="58">
        <f>IFERROR(VLOOKUP($A20,SortedDownload!$A$3:$BB$219,46,FALSE)/86400000,"")</f>
        <v>0</v>
      </c>
      <c r="Z20" s="58">
        <f>IFERROR(Table932[[#This Row],[End Time]]-Table932[[#This Row],[Start Time]],"")</f>
        <v>-0.36483231481481482</v>
      </c>
      <c r="AA20" s="58"/>
      <c r="AB20" s="170" t="str">
        <f t="shared" si="3"/>
        <v>57:49</v>
      </c>
      <c r="AC20" s="170" t="str">
        <f t="shared" si="2"/>
        <v>01:19</v>
      </c>
    </row>
    <row r="21" spans="1:29">
      <c r="A21" s="53">
        <f>IF(SortedDownload!A13 &lt; 1,"",SortedDownload!A13)</f>
        <v>35</v>
      </c>
      <c r="B21" s="54">
        <f t="shared" si="0"/>
        <v>16</v>
      </c>
      <c r="C21" s="54" t="str">
        <f>IFERROR(VLOOKUP($A21,CategoryResults!$A$3:$X$252,3,FALSE),"")</f>
        <v/>
      </c>
      <c r="D21" s="90" t="str">
        <f>IFERROR(VLOOKUP($A21,EntryList!$A$3:$N$291,2,FALSE),"")</f>
        <v>Corbin Mann</v>
      </c>
      <c r="E21" s="54" t="str">
        <f>IFERROR(VLOOKUP(C21,SeriesPoints!$A$2:$B$51,2,FALSE),"")</f>
        <v/>
      </c>
      <c r="F21" s="144" t="str">
        <f>IFERROR(VLOOKUP($A21,EntryList!$A$3:$V$291,22,FALSE),"")</f>
        <v>-</v>
      </c>
      <c r="G21" s="100" t="str">
        <f>IFERROR(VLOOKUP($A21,EntryList!$A$3:$N$291,6,FALSE),"")</f>
        <v>M</v>
      </c>
      <c r="H21" s="145" t="str">
        <f>IFERROR(VLOOKUP($A21,EntryList!$A$3:$N$291,7,FALSE),"")</f>
        <v>Elite Men</v>
      </c>
      <c r="I21" s="56">
        <f t="shared" si="1"/>
        <v>9</v>
      </c>
      <c r="J21" s="57">
        <f>IFERROR(VLOOKUP($A21,SortedDownload!$A$3:$BB$219,31,FALSE)/86400000,"")</f>
        <v>0.41623328703703705</v>
      </c>
      <c r="K21" s="57">
        <f>IFERROR(IF(VLOOKUP($A21,SortedDownload!$A$3:$BB$219,32,FALSE)=0,"-",VLOOKUP($A21,SortedDownload!$A$3:$BB$219,32,FALSE)/86400000),"-")</f>
        <v>0.41852184027777778</v>
      </c>
      <c r="L21" s="57">
        <f>IFERROR(IF(VLOOKUP($A21,SortedDownload!$A$3:$BB$219,33,FALSE)=0,"-",VLOOKUP($A21,SortedDownload!$A$3:$BB$219,33,FALSE)/86400000),"-")</f>
        <v>0.3701067013888889</v>
      </c>
      <c r="M21" s="57">
        <f>IFERROR(IF(VLOOKUP($A21,SortedDownload!$A$3:$BB$219,34,FALSE)=0,"-",VLOOKUP($A21,SortedDownload!$A$3:$BB$219,34,FALSE)/86400000),"-")</f>
        <v>0.37260690972222221</v>
      </c>
      <c r="N21" s="57">
        <f>IFERROR(IF(VLOOKUP($A21,SortedDownload!$A$3:$BB$219,35,FALSE)=0,"-",VLOOKUP($A21,SortedDownload!$A$3:$BB$219,35,FALSE)/86400000),"-")</f>
        <v>0.45916935185185187</v>
      </c>
      <c r="O21" s="57">
        <f>IFERROR(IF(VLOOKUP($A21,SortedDownload!$A$3:$BB$219,36,FALSE)=0,"-",VLOOKUP($A21,SortedDownload!$A$3:$BB$219,36,FALSE)/86400000),"-")</f>
        <v>0.4605474537037037</v>
      </c>
      <c r="P21" s="57">
        <f>IFERROR(IF(VLOOKUP($A21,SortedDownload!$A$3:$BB$219,37,FALSE)=0,"-",VLOOKUP($A21,SortedDownload!$A$3:$BB$219,37,FALSE)/86400000),"-")</f>
        <v>0.51700745370370371</v>
      </c>
      <c r="Q21" s="57">
        <f>IFERROR(IF(VLOOKUP($A21,SortedDownload!$A$3:$BB$219,38,FALSE)=0,"-",VLOOKUP($A21,SortedDownload!$A$3:$BB$219,38,FALSE)/86400000),"-")</f>
        <v>0.51973920138888885</v>
      </c>
      <c r="R21" s="57">
        <f>IFERROR(IF(VLOOKUP($A21,SortedDownload!$A$3:$BB$219,39,FALSE)=0,"-",VLOOKUP($A21,SortedDownload!$A$3:$BB$219,39,FALSE)/86400000),"-")</f>
        <v>0.54945527777777781</v>
      </c>
      <c r="S21" s="57">
        <f>IFERROR(IF(VLOOKUP($A21,SortedDownload!$A$3:$BB$219,40,FALSE)=0,"-",VLOOKUP($A21,SortedDownload!$A$3:$BB$219,40,FALSE)/86400000),"-")</f>
        <v>0.55286920138888884</v>
      </c>
      <c r="T21" s="57" t="str">
        <f>IFERROR(IF(VLOOKUP($A21,SortedDownload!$A$3:$BB$219,41,FALSE)=0,"-",VLOOKUP($A21,SortedDownload!$A$3:$BB$219,41,FALSE)/86400000),"-")</f>
        <v>-</v>
      </c>
      <c r="U21" s="57" t="str">
        <f>IFERROR(IF(VLOOKUP($A21,SortedDownload!$A$3:$BB$219,42,FALSE)=0,"-",VLOOKUP($A21,SortedDownload!$A$3:$BB$219,42,FALSE)/86400000),"-")</f>
        <v>-</v>
      </c>
      <c r="V21" s="57" t="str">
        <f>IFERROR(IF(VLOOKUP($A21,SortedDownload!$A$3:$BB$219,43,FALSE)=0,"-",VLOOKUP($A21,SortedDownload!$A$3:$BB$219,43,FALSE)/86400000),"-")</f>
        <v>-</v>
      </c>
      <c r="W21" s="57" t="str">
        <f>IFERROR(IF(VLOOKUP($A21,SortedDownload!$A$3:$BB$219,44,FALSE)=0,"-",VLOOKUP($A21,SortedDownload!$A$3:$BB$219,44,FALSE)/86400000),"-")</f>
        <v>-</v>
      </c>
      <c r="X21" s="57" t="str">
        <f>IFERROR(IF(VLOOKUP($A21,SortedDownload!$A$3:$BB$219,45,FALSE)=0,"-",VLOOKUP($A21,SortedDownload!$A$3:$BB$219,45,FALSE)/86400000),"-")</f>
        <v>-</v>
      </c>
      <c r="Y21" s="58">
        <f>IFERROR(VLOOKUP($A21,SortedDownload!$A$3:$BB$219,46,FALSE)/86400000,"")</f>
        <v>0</v>
      </c>
      <c r="Z21" s="58">
        <f>IFERROR(Table932[[#This Row],[End Time]]-Table932[[#This Row],[Start Time]],"")</f>
        <v>-0.41623328703703705</v>
      </c>
      <c r="AA21" s="58"/>
      <c r="AB21" s="170" t="str">
        <f t="shared" si="3"/>
        <v>N/A</v>
      </c>
      <c r="AC21" s="170" t="str">
        <f t="shared" si="2"/>
        <v>N/A</v>
      </c>
    </row>
    <row r="22" spans="1:29">
      <c r="A22" s="53">
        <f>IF(SortedDownload!A20 &lt; 1,"",SortedDownload!A20)</f>
        <v>170</v>
      </c>
      <c r="B22" s="54">
        <f t="shared" si="0"/>
        <v>17</v>
      </c>
      <c r="C22" s="54" t="str">
        <f>IFERROR(VLOOKUP($A22,CategoryResults!$A$3:$X$252,3,FALSE),"")</f>
        <v/>
      </c>
      <c r="D22" s="90" t="str">
        <f>IFERROR(VLOOKUP($A22,EntryList!$A$3:$N$291,2,FALSE),"")</f>
        <v>Samuel Cleary</v>
      </c>
      <c r="E22" s="54" t="str">
        <f>IFERROR(VLOOKUP(C22,SeriesPoints!$A$2:$B$51,2,FALSE),"")</f>
        <v/>
      </c>
      <c r="F22" s="144" t="str">
        <f>IFERROR(VLOOKUP($A22,EntryList!$A$3:$V$291,22,FALSE),"")</f>
        <v>-</v>
      </c>
      <c r="G22" s="100" t="str">
        <f>IFERROR(VLOOKUP($A22,EntryList!$A$3:$N$291,6,FALSE),"")</f>
        <v>M</v>
      </c>
      <c r="H22" s="145" t="str">
        <f>IFERROR(VLOOKUP($A22,EntryList!$A$3:$N$291,7,FALSE),"")</f>
        <v>Youth Men</v>
      </c>
      <c r="I22" s="56">
        <f t="shared" si="1"/>
        <v>9</v>
      </c>
      <c r="J22" s="57">
        <f>IFERROR(VLOOKUP($A22,SortedDownload!$A$3:$BB$219,31,FALSE)/86400000,"")</f>
        <v>0.39305355324074076</v>
      </c>
      <c r="K22" s="57">
        <f>IFERROR(IF(VLOOKUP($A22,SortedDownload!$A$3:$BB$219,32,FALSE)=0,"-",VLOOKUP($A22,SortedDownload!$A$3:$BB$219,32,FALSE)/86400000),"-")</f>
        <v>0.39557967592592591</v>
      </c>
      <c r="L22" s="57">
        <f>IFERROR(IF(VLOOKUP($A22,SortedDownload!$A$3:$BB$219,33,FALSE)=0,"-",VLOOKUP($A22,SortedDownload!$A$3:$BB$219,33,FALSE)/86400000),"-")</f>
        <v>0.35761555555555558</v>
      </c>
      <c r="M22" s="57">
        <f>IFERROR(IF(VLOOKUP($A22,SortedDownload!$A$3:$BB$219,34,FALSE)=0,"-",VLOOKUP($A22,SortedDownload!$A$3:$BB$219,34,FALSE)/86400000),"-")</f>
        <v>0.36017885416666667</v>
      </c>
      <c r="N22" s="57">
        <f>IFERROR(IF(VLOOKUP($A22,SortedDownload!$A$3:$BB$219,35,FALSE)=0,"-",VLOOKUP($A22,SortedDownload!$A$3:$BB$219,35,FALSE)/86400000),"-")</f>
        <v>0.42528776620370368</v>
      </c>
      <c r="O22" s="57">
        <f>IFERROR(IF(VLOOKUP($A22,SortedDownload!$A$3:$BB$219,36,FALSE)=0,"-",VLOOKUP($A22,SortedDownload!$A$3:$BB$219,36,FALSE)/86400000),"-")</f>
        <v>0.42673552083333333</v>
      </c>
      <c r="P22" s="57">
        <f>IFERROR(IF(VLOOKUP($A22,SortedDownload!$A$3:$BB$219,37,FALSE)=0,"-",VLOOKUP($A22,SortedDownload!$A$3:$BB$219,37,FALSE)/86400000),"-")</f>
        <v>0.46891581018518519</v>
      </c>
      <c r="Q22" s="57">
        <f>IFERROR(IF(VLOOKUP($A22,SortedDownload!$A$3:$BB$219,38,FALSE)=0,"-",VLOOKUP($A22,SortedDownload!$A$3:$BB$219,38,FALSE)/86400000),"-")</f>
        <v>0.47169557870370371</v>
      </c>
      <c r="R22" s="57">
        <f>IFERROR(IF(VLOOKUP($A22,SortedDownload!$A$3:$BB$219,39,FALSE)=0,"-",VLOOKUP($A22,SortedDownload!$A$3:$BB$219,39,FALSE)/86400000),"-")</f>
        <v>0.49863817129629628</v>
      </c>
      <c r="S22" s="57">
        <f>IFERROR(IF(VLOOKUP($A22,SortedDownload!$A$3:$BB$219,40,FALSE)=0,"-",VLOOKUP($A22,SortedDownload!$A$3:$BB$219,40,FALSE)/86400000),"-")</f>
        <v>0.50211756944444441</v>
      </c>
      <c r="T22" s="57" t="str">
        <f>IFERROR(IF(VLOOKUP($A22,SortedDownload!$A$3:$BB$219,41,FALSE)=0,"-",VLOOKUP($A22,SortedDownload!$A$3:$BB$219,41,FALSE)/86400000),"-")</f>
        <v>-</v>
      </c>
      <c r="U22" s="57" t="str">
        <f>IFERROR(IF(VLOOKUP($A22,SortedDownload!$A$3:$BB$219,42,FALSE)=0,"-",VLOOKUP($A22,SortedDownload!$A$3:$BB$219,42,FALSE)/86400000),"-")</f>
        <v>-</v>
      </c>
      <c r="V22" s="57" t="str">
        <f>IFERROR(IF(VLOOKUP($A22,SortedDownload!$A$3:$BB$219,43,FALSE)=0,"-",VLOOKUP($A22,SortedDownload!$A$3:$BB$219,43,FALSE)/86400000),"-")</f>
        <v>-</v>
      </c>
      <c r="W22" s="57" t="str">
        <f>IFERROR(IF(VLOOKUP($A22,SortedDownload!$A$3:$BB$219,44,FALSE)=0,"-",VLOOKUP($A22,SortedDownload!$A$3:$BB$219,44,FALSE)/86400000),"-")</f>
        <v>-</v>
      </c>
      <c r="X22" s="57" t="str">
        <f>IFERROR(IF(VLOOKUP($A22,SortedDownload!$A$3:$BB$219,45,FALSE)=0,"-",VLOOKUP($A22,SortedDownload!$A$3:$BB$219,45,FALSE)/86400000),"-")</f>
        <v>-</v>
      </c>
      <c r="Y22" s="58">
        <f>IFERROR(VLOOKUP($A22,SortedDownload!$A$3:$BB$219,46,FALSE)/86400000,"")</f>
        <v>0</v>
      </c>
      <c r="Z22" s="58">
        <f>IFERROR(Table932[[#This Row],[End Time]]-Table932[[#This Row],[Start Time]],"")</f>
        <v>-0.39305355324074076</v>
      </c>
      <c r="AA22" s="58"/>
      <c r="AB22" s="170" t="str">
        <f t="shared" si="3"/>
        <v>33:23</v>
      </c>
      <c r="AC22" s="170" t="str">
        <f t="shared" si="2"/>
        <v>20:41</v>
      </c>
    </row>
    <row r="23" spans="1:29">
      <c r="A23" s="53">
        <f>IF(SortedDownload!A21 &lt; 1,"",SortedDownload!A21)</f>
        <v>253</v>
      </c>
      <c r="B23" s="54">
        <f t="shared" si="0"/>
        <v>18</v>
      </c>
      <c r="C23" s="54" t="str">
        <f>IFERROR(VLOOKUP($A23,CategoryResults!$A$3:$X$252,3,FALSE),"")</f>
        <v/>
      </c>
      <c r="D23" s="90" t="str">
        <f>IFERROR(VLOOKUP($A23,EntryList!$A$3:$N$291,2,FALSE),"")</f>
        <v>Ethan Hunter</v>
      </c>
      <c r="E23" s="54" t="str">
        <f>IFERROR(VLOOKUP(C23,SeriesPoints!$A$2:$B$51,2,FALSE),"")</f>
        <v/>
      </c>
      <c r="F23" s="144" t="str">
        <f>IFERROR(VLOOKUP($A23,EntryList!$A$3:$V$291,22,FALSE),"")</f>
        <v>-</v>
      </c>
      <c r="G23" s="100" t="str">
        <f>IFERROR(VLOOKUP($A23,EntryList!$A$3:$N$291,6,FALSE),"")</f>
        <v>M</v>
      </c>
      <c r="H23" s="145" t="str">
        <f>IFERROR(VLOOKUP($A23,EntryList!$A$3:$N$291,7,FALSE),"")</f>
        <v>Youth Men</v>
      </c>
      <c r="I23" s="56">
        <f t="shared" si="1"/>
        <v>9</v>
      </c>
      <c r="J23" s="57">
        <f>IFERROR(VLOOKUP($A23,SortedDownload!$A$3:$BB$219,31,FALSE)/86400000,"")</f>
        <v>0.36837590277777776</v>
      </c>
      <c r="K23" s="57">
        <f>IFERROR(IF(VLOOKUP($A23,SortedDownload!$A$3:$BB$219,32,FALSE)=0,"-",VLOOKUP($A23,SortedDownload!$A$3:$BB$219,32,FALSE)/86400000),"-")</f>
        <v>0.37090576388888891</v>
      </c>
      <c r="L23" s="57">
        <f>IFERROR(IF(VLOOKUP($A23,SortedDownload!$A$3:$BB$219,33,FALSE)=0,"-",VLOOKUP($A23,SortedDownload!$A$3:$BB$219,33,FALSE)/86400000),"-")</f>
        <v>0.4111857523148148</v>
      </c>
      <c r="M23" s="57">
        <f>IFERROR(IF(VLOOKUP($A23,SortedDownload!$A$3:$BB$219,34,FALSE)=0,"-",VLOOKUP($A23,SortedDownload!$A$3:$BB$219,34,FALSE)/86400000),"-")</f>
        <v>0.41375150462962962</v>
      </c>
      <c r="N23" s="57">
        <f>IFERROR(IF(VLOOKUP($A23,SortedDownload!$A$3:$BB$219,35,FALSE)=0,"-",VLOOKUP($A23,SortedDownload!$A$3:$BB$219,35,FALSE)/86400000),"-")</f>
        <v>0.4450372222222222</v>
      </c>
      <c r="O23" s="57">
        <f>IFERROR(IF(VLOOKUP($A23,SortedDownload!$A$3:$BB$219,36,FALSE)=0,"-",VLOOKUP($A23,SortedDownload!$A$3:$BB$219,36,FALSE)/86400000),"-")</f>
        <v>0.44644496527777777</v>
      </c>
      <c r="P23" s="57">
        <f>IFERROR(IF(VLOOKUP($A23,SortedDownload!$A$3:$BB$219,37,FALSE)=0,"-",VLOOKUP($A23,SortedDownload!$A$3:$BB$219,37,FALSE)/86400000),"-")</f>
        <v>0.48899611111111113</v>
      </c>
      <c r="Q23" s="57">
        <f>IFERROR(IF(VLOOKUP($A23,SortedDownload!$A$3:$BB$219,38,FALSE)=0,"-",VLOOKUP($A23,SortedDownload!$A$3:$BB$219,38,FALSE)/86400000),"-")</f>
        <v>0.4918560763888889</v>
      </c>
      <c r="R23" s="57">
        <f>IFERROR(IF(VLOOKUP($A23,SortedDownload!$A$3:$BB$219,39,FALSE)=0,"-",VLOOKUP($A23,SortedDownload!$A$3:$BB$219,39,FALSE)/86400000),"-")</f>
        <v>0.51620560185185183</v>
      </c>
      <c r="S23" s="57">
        <f>IFERROR(IF(VLOOKUP($A23,SortedDownload!$A$3:$BB$219,40,FALSE)=0,"-",VLOOKUP($A23,SortedDownload!$A$3:$BB$219,40,FALSE)/86400000),"-")</f>
        <v>0.51975394675925923</v>
      </c>
      <c r="T23" s="57" t="str">
        <f>IFERROR(IF(VLOOKUP($A23,SortedDownload!$A$3:$BB$219,41,FALSE)=0,"-",VLOOKUP($A23,SortedDownload!$A$3:$BB$219,41,FALSE)/86400000),"-")</f>
        <v>-</v>
      </c>
      <c r="U23" s="57" t="str">
        <f>IFERROR(IF(VLOOKUP($A23,SortedDownload!$A$3:$BB$219,42,FALSE)=0,"-",VLOOKUP($A23,SortedDownload!$A$3:$BB$219,42,FALSE)/86400000),"-")</f>
        <v>-</v>
      </c>
      <c r="V23" s="57" t="str">
        <f>IFERROR(IF(VLOOKUP($A23,SortedDownload!$A$3:$BB$219,43,FALSE)=0,"-",VLOOKUP($A23,SortedDownload!$A$3:$BB$219,43,FALSE)/86400000),"-")</f>
        <v>-</v>
      </c>
      <c r="W23" s="57" t="str">
        <f>IFERROR(IF(VLOOKUP($A23,SortedDownload!$A$3:$BB$219,44,FALSE)=0,"-",VLOOKUP($A23,SortedDownload!$A$3:$BB$219,44,FALSE)/86400000),"-")</f>
        <v>-</v>
      </c>
      <c r="X23" s="57" t="str">
        <f>IFERROR(IF(VLOOKUP($A23,SortedDownload!$A$3:$BB$219,45,FALSE)=0,"-",VLOOKUP($A23,SortedDownload!$A$3:$BB$219,45,FALSE)/86400000),"-")</f>
        <v>-</v>
      </c>
      <c r="Y23" s="58">
        <f>IFERROR(VLOOKUP($A23,SortedDownload!$A$3:$BB$219,46,FALSE)/86400000,"")</f>
        <v>0</v>
      </c>
      <c r="Z23" s="58">
        <f>IFERROR(Table932[[#This Row],[End Time]]-Table932[[#This Row],[Start Time]],"")</f>
        <v>-0.36837590277777776</v>
      </c>
      <c r="AA23" s="58"/>
      <c r="AB23" s="170" t="str">
        <f t="shared" si="3"/>
        <v>35:32</v>
      </c>
      <c r="AC23" s="170" t="str">
        <f t="shared" si="2"/>
        <v>56:13</v>
      </c>
    </row>
    <row r="24" spans="1:29">
      <c r="A24" s="53">
        <f>IF(SortedDownload!A22 &lt; 1,"",SortedDownload!A22)</f>
        <v>122</v>
      </c>
      <c r="B24" s="54">
        <f t="shared" si="0"/>
        <v>19</v>
      </c>
      <c r="C24" s="54" t="str">
        <f>IFERROR(VLOOKUP($A24,CategoryResults!$A$3:$X$252,3,FALSE),"")</f>
        <v/>
      </c>
      <c r="D24" s="90" t="str">
        <f>IFERROR(VLOOKUP($A24,EntryList!$A$3:$N$291,2,FALSE),"")</f>
        <v>Juri De Bruyn</v>
      </c>
      <c r="E24" s="54" t="str">
        <f>IFERROR(VLOOKUP(C24,SeriesPoints!$A$2:$B$51,2,FALSE),"")</f>
        <v/>
      </c>
      <c r="F24" s="144" t="str">
        <f>IFERROR(VLOOKUP($A24,EntryList!$A$3:$V$291,22,FALSE),"")</f>
        <v>-</v>
      </c>
      <c r="G24" s="100" t="str">
        <f>IFERROR(VLOOKUP($A24,EntryList!$A$3:$N$291,6,FALSE),"")</f>
        <v>M</v>
      </c>
      <c r="H24" s="145" t="str">
        <f>IFERROR(VLOOKUP($A24,EntryList!$A$3:$N$291,7,FALSE),"")</f>
        <v>Elite Men</v>
      </c>
      <c r="I24" s="56">
        <f t="shared" si="1"/>
        <v>9</v>
      </c>
      <c r="J24" s="57">
        <f>IFERROR(VLOOKUP($A24,SortedDownload!$A$3:$BB$219,31,FALSE)/86400000,"")</f>
        <v>0.42431878472222223</v>
      </c>
      <c r="K24" s="57">
        <f>IFERROR(IF(VLOOKUP($A24,SortedDownload!$A$3:$BB$219,32,FALSE)=0,"-",VLOOKUP($A24,SortedDownload!$A$3:$BB$219,32,FALSE)/86400000),"-")</f>
        <v>0.42680314814814813</v>
      </c>
      <c r="L24" s="57">
        <f>IFERROR(IF(VLOOKUP($A24,SortedDownload!$A$3:$BB$219,33,FALSE)=0,"-",VLOOKUP($A24,SortedDownload!$A$3:$BB$219,33,FALSE)/86400000),"-")</f>
        <v>0.46362023148148146</v>
      </c>
      <c r="M24" s="57">
        <f>IFERROR(IF(VLOOKUP($A24,SortedDownload!$A$3:$BB$219,34,FALSE)=0,"-",VLOOKUP($A24,SortedDownload!$A$3:$BB$219,34,FALSE)/86400000),"-")</f>
        <v>0.46619989583333332</v>
      </c>
      <c r="N24" s="57">
        <f>IFERROR(IF(VLOOKUP($A24,SortedDownload!$A$3:$BB$219,35,FALSE)=0,"-",VLOOKUP($A24,SortedDownload!$A$3:$BB$219,35,FALSE)/86400000),"-")</f>
        <v>0.37788564814814812</v>
      </c>
      <c r="O24" s="57">
        <f>IFERROR(IF(VLOOKUP($A24,SortedDownload!$A$3:$BB$219,36,FALSE)=0,"-",VLOOKUP($A24,SortedDownload!$A$3:$BB$219,36,FALSE)/86400000),"-")</f>
        <v>0.37932949074074074</v>
      </c>
      <c r="P24" s="57">
        <f>IFERROR(IF(VLOOKUP($A24,SortedDownload!$A$3:$BB$219,37,FALSE)=0,"-",VLOOKUP($A24,SortedDownload!$A$3:$BB$219,37,FALSE)/86400000),"-")</f>
        <v>0.51471374999999997</v>
      </c>
      <c r="Q24" s="57">
        <f>IFERROR(IF(VLOOKUP($A24,SortedDownload!$A$3:$BB$219,38,FALSE)=0,"-",VLOOKUP($A24,SortedDownload!$A$3:$BB$219,38,FALSE)/86400000),"-")</f>
        <v>0.51765229166666671</v>
      </c>
      <c r="R24" s="57">
        <f>IFERROR(IF(VLOOKUP($A24,SortedDownload!$A$3:$BB$219,39,FALSE)=0,"-",VLOOKUP($A24,SortedDownload!$A$3:$BB$219,39,FALSE)/86400000),"-")</f>
        <v>0.55911280092592597</v>
      </c>
      <c r="S24" s="57">
        <f>IFERROR(IF(VLOOKUP($A24,SortedDownload!$A$3:$BB$219,40,FALSE)=0,"-",VLOOKUP($A24,SortedDownload!$A$3:$BB$219,40,FALSE)/86400000),"-")</f>
        <v>0.56262366898148153</v>
      </c>
      <c r="T24" s="57" t="str">
        <f>IFERROR(IF(VLOOKUP($A24,SortedDownload!$A$3:$BB$219,41,FALSE)=0,"-",VLOOKUP($A24,SortedDownload!$A$3:$BB$219,41,FALSE)/86400000),"-")</f>
        <v>-</v>
      </c>
      <c r="U24" s="57" t="str">
        <f>IFERROR(IF(VLOOKUP($A24,SortedDownload!$A$3:$BB$219,42,FALSE)=0,"-",VLOOKUP($A24,SortedDownload!$A$3:$BB$219,42,FALSE)/86400000),"-")</f>
        <v>-</v>
      </c>
      <c r="V24" s="57" t="str">
        <f>IFERROR(IF(VLOOKUP($A24,SortedDownload!$A$3:$BB$219,43,FALSE)=0,"-",VLOOKUP($A24,SortedDownload!$A$3:$BB$219,43,FALSE)/86400000),"-")</f>
        <v>-</v>
      </c>
      <c r="W24" s="57" t="str">
        <f>IFERROR(IF(VLOOKUP($A24,SortedDownload!$A$3:$BB$219,44,FALSE)=0,"-",VLOOKUP($A24,SortedDownload!$A$3:$BB$219,44,FALSE)/86400000),"-")</f>
        <v>-</v>
      </c>
      <c r="X24" s="57" t="str">
        <f>IFERROR(IF(VLOOKUP($A24,SortedDownload!$A$3:$BB$219,45,FALSE)=0,"-",VLOOKUP($A24,SortedDownload!$A$3:$BB$219,45,FALSE)/86400000),"-")</f>
        <v>-</v>
      </c>
      <c r="Y24" s="58">
        <f>IFERROR(VLOOKUP($A24,SortedDownload!$A$3:$BB$219,46,FALSE)/86400000,"")</f>
        <v>0</v>
      </c>
      <c r="Z24" s="58">
        <f>IFERROR(Table932[[#This Row],[End Time]]-Table932[[#This Row],[Start Time]],"")</f>
        <v>-0.42431878472222223</v>
      </c>
      <c r="AA24" s="58"/>
      <c r="AB24" s="170" t="str">
        <f t="shared" si="3"/>
        <v>N/A</v>
      </c>
      <c r="AC24" s="170" t="str">
        <f t="shared" si="2"/>
        <v>N/A</v>
      </c>
    </row>
    <row r="25" spans="1:29">
      <c r="A25" s="53">
        <f>IF(SortedDownload!A23 &lt; 1,"",SortedDownload!A23)</f>
        <v>219</v>
      </c>
      <c r="B25" s="54">
        <f t="shared" si="0"/>
        <v>20</v>
      </c>
      <c r="C25" s="54" t="str">
        <f>IFERROR(VLOOKUP($A25,CategoryResults!$A$3:$X$252,3,FALSE),"")</f>
        <v/>
      </c>
      <c r="D25" s="90" t="str">
        <f>IFERROR(VLOOKUP($A25,EntryList!$A$3:$N$291,2,FALSE),"")</f>
        <v>Alexander Ham</v>
      </c>
      <c r="E25" s="54" t="str">
        <f>IFERROR(VLOOKUP(C25,SeriesPoints!$A$2:$B$51,2,FALSE),"")</f>
        <v/>
      </c>
      <c r="F25" s="144" t="str">
        <f>IFERROR(VLOOKUP($A25,EntryList!$A$3:$V$291,22,FALSE),"")</f>
        <v>-</v>
      </c>
      <c r="G25" s="100" t="str">
        <f>IFERROR(VLOOKUP($A25,EntryList!$A$3:$N$291,6,FALSE),"")</f>
        <v>M</v>
      </c>
      <c r="H25" s="145" t="str">
        <f>IFERROR(VLOOKUP($A25,EntryList!$A$3:$N$291,7,FALSE),"")</f>
        <v>Elite Men</v>
      </c>
      <c r="I25" s="56">
        <f t="shared" si="1"/>
        <v>9</v>
      </c>
      <c r="J25" s="57">
        <f>IFERROR(VLOOKUP($A25,SortedDownload!$A$3:$BB$219,31,FALSE)/86400000,"")</f>
        <v>0.39457195601851852</v>
      </c>
      <c r="K25" s="57">
        <f>IFERROR(IF(VLOOKUP($A25,SortedDownload!$A$3:$BB$219,32,FALSE)=0,"-",VLOOKUP($A25,SortedDownload!$A$3:$BB$219,32,FALSE)/86400000),"-")</f>
        <v>0.39735688657407409</v>
      </c>
      <c r="L25" s="57">
        <f>IFERROR(IF(VLOOKUP($A25,SortedDownload!$A$3:$BB$219,33,FALSE)=0,"-",VLOOKUP($A25,SortedDownload!$A$3:$BB$219,33,FALSE)/86400000),"-")</f>
        <v>0.3625672337962963</v>
      </c>
      <c r="M25" s="57">
        <f>IFERROR(IF(VLOOKUP($A25,SortedDownload!$A$3:$BB$219,34,FALSE)=0,"-",VLOOKUP($A25,SortedDownload!$A$3:$BB$219,34,FALSE)/86400000),"-")</f>
        <v>0.36502709490740742</v>
      </c>
      <c r="N25" s="57">
        <f>IFERROR(IF(VLOOKUP($A25,SortedDownload!$A$3:$BB$219,35,FALSE)=0,"-",VLOOKUP($A25,SortedDownload!$A$3:$BB$219,35,FALSE)/86400000),"-")</f>
        <v>0.42599011574074075</v>
      </c>
      <c r="O25" s="57">
        <f>IFERROR(IF(VLOOKUP($A25,SortedDownload!$A$3:$BB$219,36,FALSE)=0,"-",VLOOKUP($A25,SortedDownload!$A$3:$BB$219,36,FALSE)/86400000),"-")</f>
        <v>0.42744208333333333</v>
      </c>
      <c r="P25" s="57">
        <f>IFERROR(IF(VLOOKUP($A25,SortedDownload!$A$3:$BB$219,37,FALSE)=0,"-",VLOOKUP($A25,SortedDownload!$A$3:$BB$219,37,FALSE)/86400000),"-")</f>
        <v>0.46426541666666665</v>
      </c>
      <c r="Q25" s="57">
        <f>IFERROR(IF(VLOOKUP($A25,SortedDownload!$A$3:$BB$219,38,FALSE)=0,"-",VLOOKUP($A25,SortedDownload!$A$3:$BB$219,38,FALSE)/86400000),"-")</f>
        <v>0.4670287384259259</v>
      </c>
      <c r="R25" s="57">
        <f>IFERROR(IF(VLOOKUP($A25,SortedDownload!$A$3:$BB$219,39,FALSE)=0,"-",VLOOKUP($A25,SortedDownload!$A$3:$BB$219,39,FALSE)/86400000),"-")</f>
        <v>0.49303868055555555</v>
      </c>
      <c r="S25" s="57">
        <f>IFERROR(IF(VLOOKUP($A25,SortedDownload!$A$3:$BB$219,40,FALSE)=0,"-",VLOOKUP($A25,SortedDownload!$A$3:$BB$219,40,FALSE)/86400000),"-")</f>
        <v>0.49654425925925927</v>
      </c>
      <c r="T25" s="57" t="str">
        <f>IFERROR(IF(VLOOKUP($A25,SortedDownload!$A$3:$BB$219,41,FALSE)=0,"-",VLOOKUP($A25,SortedDownload!$A$3:$BB$219,41,FALSE)/86400000),"-")</f>
        <v>-</v>
      </c>
      <c r="U25" s="57" t="str">
        <f>IFERROR(IF(VLOOKUP($A25,SortedDownload!$A$3:$BB$219,42,FALSE)=0,"-",VLOOKUP($A25,SortedDownload!$A$3:$BB$219,42,FALSE)/86400000),"-")</f>
        <v>-</v>
      </c>
      <c r="V25" s="57" t="str">
        <f>IFERROR(IF(VLOOKUP($A25,SortedDownload!$A$3:$BB$219,43,FALSE)=0,"-",VLOOKUP($A25,SortedDownload!$A$3:$BB$219,43,FALSE)/86400000),"-")</f>
        <v>-</v>
      </c>
      <c r="W25" s="57" t="str">
        <f>IFERROR(IF(VLOOKUP($A25,SortedDownload!$A$3:$BB$219,44,FALSE)=0,"-",VLOOKUP($A25,SortedDownload!$A$3:$BB$219,44,FALSE)/86400000),"-")</f>
        <v>-</v>
      </c>
      <c r="X25" s="57" t="str">
        <f>IFERROR(IF(VLOOKUP($A25,SortedDownload!$A$3:$BB$219,45,FALSE)=0,"-",VLOOKUP($A25,SortedDownload!$A$3:$BB$219,45,FALSE)/86400000),"-")</f>
        <v>-</v>
      </c>
      <c r="Y25" s="58">
        <f>IFERROR(VLOOKUP($A25,SortedDownload!$A$3:$BB$219,46,FALSE)/86400000,"")</f>
        <v>0</v>
      </c>
      <c r="Z25" s="58">
        <f>IFERROR(Table932[[#This Row],[End Time]]-Table932[[#This Row],[Start Time]],"")</f>
        <v>-0.39457195601851852</v>
      </c>
      <c r="AA25" s="58"/>
      <c r="AB25" s="170" t="str">
        <f t="shared" si="3"/>
        <v>42:50</v>
      </c>
      <c r="AC25" s="170" t="str">
        <f t="shared" si="2"/>
        <v>18:29</v>
      </c>
    </row>
    <row r="26" spans="1:29">
      <c r="A26" s="53">
        <f>IF(SortedDownload!A23 &lt; 1,"",SortedDownload!A23)</f>
        <v>219</v>
      </c>
      <c r="B26" s="54">
        <f t="shared" si="0"/>
        <v>21</v>
      </c>
      <c r="C26" s="54" t="str">
        <f>IFERROR(VLOOKUP($A26,CategoryResults!$A$3:$X$252,3,FALSE),"")</f>
        <v/>
      </c>
      <c r="D26" s="90" t="str">
        <f>IFERROR(VLOOKUP($A26,EntryList!$A$3:$N$291,2,FALSE),"")</f>
        <v>Alexander Ham</v>
      </c>
      <c r="E26" s="54" t="str">
        <f>IFERROR(VLOOKUP(C26,SeriesPoints!$A$2:$B$51,2,FALSE),"")</f>
        <v/>
      </c>
      <c r="F26" s="144" t="str">
        <f>IFERROR(VLOOKUP($A26,EntryList!$A$3:$V$291,22,FALSE),"")</f>
        <v>-</v>
      </c>
      <c r="G26" s="100" t="str">
        <f>IFERROR(VLOOKUP($A26,EntryList!$A$3:$N$291,6,FALSE),"")</f>
        <v>M</v>
      </c>
      <c r="H26" s="145" t="str">
        <f>IFERROR(VLOOKUP($A26,EntryList!$A$3:$N$291,7,FALSE),"")</f>
        <v>Elite Men</v>
      </c>
      <c r="I26" s="56">
        <f t="shared" si="1"/>
        <v>9</v>
      </c>
      <c r="J26" s="57">
        <f>IFERROR(VLOOKUP($A26,SortedDownload!$A$3:$BB$219,31,FALSE)/86400000,"")</f>
        <v>0.39457195601851852</v>
      </c>
      <c r="K26" s="57">
        <f>IFERROR(IF(VLOOKUP($A26,SortedDownload!$A$3:$BB$219,32,FALSE)=0,"-",VLOOKUP($A26,SortedDownload!$A$3:$BB$219,32,FALSE)/86400000),"-")</f>
        <v>0.39735688657407409</v>
      </c>
      <c r="L26" s="57">
        <f>IFERROR(IF(VLOOKUP($A26,SortedDownload!$A$3:$BB$219,33,FALSE)=0,"-",VLOOKUP($A26,SortedDownload!$A$3:$BB$219,33,FALSE)/86400000),"-")</f>
        <v>0.3625672337962963</v>
      </c>
      <c r="M26" s="57">
        <f>IFERROR(IF(VLOOKUP($A26,SortedDownload!$A$3:$BB$219,34,FALSE)=0,"-",VLOOKUP($A26,SortedDownload!$A$3:$BB$219,34,FALSE)/86400000),"-")</f>
        <v>0.36502709490740742</v>
      </c>
      <c r="N26" s="57">
        <f>IFERROR(IF(VLOOKUP($A26,SortedDownload!$A$3:$BB$219,35,FALSE)=0,"-",VLOOKUP($A26,SortedDownload!$A$3:$BB$219,35,FALSE)/86400000),"-")</f>
        <v>0.42599011574074075</v>
      </c>
      <c r="O26" s="57">
        <f>IFERROR(IF(VLOOKUP($A26,SortedDownload!$A$3:$BB$219,36,FALSE)=0,"-",VLOOKUP($A26,SortedDownload!$A$3:$BB$219,36,FALSE)/86400000),"-")</f>
        <v>0.42744208333333333</v>
      </c>
      <c r="P26" s="57">
        <f>IFERROR(IF(VLOOKUP($A26,SortedDownload!$A$3:$BB$219,37,FALSE)=0,"-",VLOOKUP($A26,SortedDownload!$A$3:$BB$219,37,FALSE)/86400000),"-")</f>
        <v>0.46426541666666665</v>
      </c>
      <c r="Q26" s="57">
        <f>IFERROR(IF(VLOOKUP($A26,SortedDownload!$A$3:$BB$219,38,FALSE)=0,"-",VLOOKUP($A26,SortedDownload!$A$3:$BB$219,38,FALSE)/86400000),"-")</f>
        <v>0.4670287384259259</v>
      </c>
      <c r="R26" s="57">
        <f>IFERROR(IF(VLOOKUP($A26,SortedDownload!$A$3:$BB$219,39,FALSE)=0,"-",VLOOKUP($A26,SortedDownload!$A$3:$BB$219,39,FALSE)/86400000),"-")</f>
        <v>0.49303868055555555</v>
      </c>
      <c r="S26" s="57">
        <f>IFERROR(IF(VLOOKUP($A26,SortedDownload!$A$3:$BB$219,40,FALSE)=0,"-",VLOOKUP($A26,SortedDownload!$A$3:$BB$219,40,FALSE)/86400000),"-")</f>
        <v>0.49654425925925927</v>
      </c>
      <c r="T26" s="57" t="str">
        <f>IFERROR(IF(VLOOKUP($A26,SortedDownload!$A$3:$BB$219,41,FALSE)=0,"-",VLOOKUP($A26,SortedDownload!$A$3:$BB$219,41,FALSE)/86400000),"-")</f>
        <v>-</v>
      </c>
      <c r="U26" s="57" t="str">
        <f>IFERROR(IF(VLOOKUP($A26,SortedDownload!$A$3:$BB$219,42,FALSE)=0,"-",VLOOKUP($A26,SortedDownload!$A$3:$BB$219,42,FALSE)/86400000),"-")</f>
        <v>-</v>
      </c>
      <c r="V26" s="57" t="str">
        <f>IFERROR(IF(VLOOKUP($A26,SortedDownload!$A$3:$BB$219,43,FALSE)=0,"-",VLOOKUP($A26,SortedDownload!$A$3:$BB$219,43,FALSE)/86400000),"-")</f>
        <v>-</v>
      </c>
      <c r="W26" s="57" t="str">
        <f>IFERROR(IF(VLOOKUP($A26,SortedDownload!$A$3:$BB$219,44,FALSE)=0,"-",VLOOKUP($A26,SortedDownload!$A$3:$BB$219,44,FALSE)/86400000),"-")</f>
        <v>-</v>
      </c>
      <c r="X26" s="57" t="str">
        <f>IFERROR(IF(VLOOKUP($A26,SortedDownload!$A$3:$BB$219,45,FALSE)=0,"-",VLOOKUP($A26,SortedDownload!$A$3:$BB$219,45,FALSE)/86400000),"-")</f>
        <v>-</v>
      </c>
      <c r="Y26" s="58">
        <f>IFERROR(VLOOKUP($A26,SortedDownload!$A$3:$BB$219,46,FALSE)/86400000,"")</f>
        <v>0</v>
      </c>
      <c r="Z26" s="58">
        <f>IFERROR(Table932[[#This Row],[End Time]]-Table932[[#This Row],[Start Time]],"")</f>
        <v>-0.39457195601851852</v>
      </c>
      <c r="AA26" s="58"/>
      <c r="AB26" s="170" t="str">
        <f t="shared" si="3"/>
        <v>00:00</v>
      </c>
      <c r="AC26" s="170" t="str">
        <f t="shared" si="2"/>
        <v>18:29</v>
      </c>
    </row>
    <row r="27" spans="1:29">
      <c r="A27" s="53">
        <f>IF(SortedDownload!A24 &lt; 1,"",SortedDownload!A24)</f>
        <v>274</v>
      </c>
      <c r="B27" s="54">
        <f t="shared" si="0"/>
        <v>22</v>
      </c>
      <c r="C27" s="54" t="str">
        <f>IFERROR(VLOOKUP($A27,CategoryResults!$A$3:$X$252,3,FALSE),"")</f>
        <v/>
      </c>
      <c r="D27" s="90" t="str">
        <f>IFERROR(VLOOKUP($A27,EntryList!$A$3:$N$291,2,FALSE),"")</f>
        <v>Luca Ruwiel</v>
      </c>
      <c r="E27" s="54" t="str">
        <f>IFERROR(VLOOKUP(C27,SeriesPoints!$A$2:$B$51,2,FALSE),"")</f>
        <v/>
      </c>
      <c r="F27" s="144" t="str">
        <f>IFERROR(VLOOKUP($A27,EntryList!$A$3:$V$291,22,FALSE),"")</f>
        <v>-</v>
      </c>
      <c r="G27" s="100" t="str">
        <f>IFERROR(VLOOKUP($A27,EntryList!$A$3:$N$291,6,FALSE),"")</f>
        <v>M</v>
      </c>
      <c r="H27" s="145" t="str">
        <f>IFERROR(VLOOKUP($A27,EntryList!$A$3:$N$291,7,FALSE),"")</f>
        <v>Elite Men</v>
      </c>
      <c r="I27" s="56">
        <f t="shared" si="1"/>
        <v>9</v>
      </c>
      <c r="J27" s="57">
        <f>IFERROR(VLOOKUP($A27,SortedDownload!$A$3:$BB$219,31,FALSE)/86400000,"")</f>
        <v>0.40980011574074077</v>
      </c>
      <c r="K27" s="57">
        <f>IFERROR(IF(VLOOKUP($A27,SortedDownload!$A$3:$BB$219,32,FALSE)=0,"-",VLOOKUP($A27,SortedDownload!$A$3:$BB$219,32,FALSE)/86400000),"-")</f>
        <v>0.41224406250000001</v>
      </c>
      <c r="L27" s="57">
        <f>IFERROR(IF(VLOOKUP($A27,SortedDownload!$A$3:$BB$219,33,FALSE)=0,"-",VLOOKUP($A27,SortedDownload!$A$3:$BB$219,33,FALSE)/86400000),"-")</f>
        <v>0.37492047453703703</v>
      </c>
      <c r="M27" s="57">
        <f>IFERROR(IF(VLOOKUP($A27,SortedDownload!$A$3:$BB$219,34,FALSE)=0,"-",VLOOKUP($A27,SortedDownload!$A$3:$BB$219,34,FALSE)/86400000),"-")</f>
        <v>0.37761418981481482</v>
      </c>
      <c r="N27" s="57">
        <f>IFERROR(IF(VLOOKUP($A27,SortedDownload!$A$3:$BB$219,35,FALSE)=0,"-",VLOOKUP($A27,SortedDownload!$A$3:$BB$219,35,FALSE)/86400000),"-")</f>
        <v>0.44304929398148146</v>
      </c>
      <c r="O27" s="57">
        <f>IFERROR(IF(VLOOKUP($A27,SortedDownload!$A$3:$BB$219,36,FALSE)=0,"-",VLOOKUP($A27,SortedDownload!$A$3:$BB$219,36,FALSE)/86400000),"-")</f>
        <v>0.4445603125</v>
      </c>
      <c r="P27" s="57">
        <f>IFERROR(IF(VLOOKUP($A27,SortedDownload!$A$3:$BB$219,37,FALSE)=0,"-",VLOOKUP($A27,SortedDownload!$A$3:$BB$219,37,FALSE)/86400000),"-")</f>
        <v>0.49030699074074074</v>
      </c>
      <c r="Q27" s="57">
        <f>IFERROR(IF(VLOOKUP($A27,SortedDownload!$A$3:$BB$219,38,FALSE)=0,"-",VLOOKUP($A27,SortedDownload!$A$3:$BB$219,38,FALSE)/86400000),"-")</f>
        <v>0.49314847222222224</v>
      </c>
      <c r="R27" s="57">
        <f>IFERROR(IF(VLOOKUP($A27,SortedDownload!$A$3:$BB$219,39,FALSE)=0,"-",VLOOKUP($A27,SortedDownload!$A$3:$BB$219,39,FALSE)/86400000),"-")</f>
        <v>0.52663451388888893</v>
      </c>
      <c r="S27" s="57">
        <f>IFERROR(IF(VLOOKUP($A27,SortedDownload!$A$3:$BB$219,40,FALSE)=0,"-",VLOOKUP($A27,SortedDownload!$A$3:$BB$219,40,FALSE)/86400000),"-")</f>
        <v>0.53011984953703706</v>
      </c>
      <c r="T27" s="57" t="str">
        <f>IFERROR(IF(VLOOKUP($A27,SortedDownload!$A$3:$BB$219,41,FALSE)=0,"-",VLOOKUP($A27,SortedDownload!$A$3:$BB$219,41,FALSE)/86400000),"-")</f>
        <v>-</v>
      </c>
      <c r="U27" s="57" t="str">
        <f>IFERROR(IF(VLOOKUP($A27,SortedDownload!$A$3:$BB$219,42,FALSE)=0,"-",VLOOKUP($A27,SortedDownload!$A$3:$BB$219,42,FALSE)/86400000),"-")</f>
        <v>-</v>
      </c>
      <c r="V27" s="57" t="str">
        <f>IFERROR(IF(VLOOKUP($A27,SortedDownload!$A$3:$BB$219,43,FALSE)=0,"-",VLOOKUP($A27,SortedDownload!$A$3:$BB$219,43,FALSE)/86400000),"-")</f>
        <v>-</v>
      </c>
      <c r="W27" s="57" t="str">
        <f>IFERROR(IF(VLOOKUP($A27,SortedDownload!$A$3:$BB$219,44,FALSE)=0,"-",VLOOKUP($A27,SortedDownload!$A$3:$BB$219,44,FALSE)/86400000),"-")</f>
        <v>-</v>
      </c>
      <c r="X27" s="57" t="str">
        <f>IFERROR(IF(VLOOKUP($A27,SortedDownload!$A$3:$BB$219,45,FALSE)=0,"-",VLOOKUP($A27,SortedDownload!$A$3:$BB$219,45,FALSE)/86400000),"-")</f>
        <v>-</v>
      </c>
      <c r="Y27" s="58">
        <f>IFERROR(VLOOKUP($A27,SortedDownload!$A$3:$BB$219,46,FALSE)/86400000,"")</f>
        <v>0</v>
      </c>
      <c r="Z27" s="58">
        <f>IFERROR(Table932[[#This Row],[End Time]]-Table932[[#This Row],[Start Time]],"")</f>
        <v>-0.40980011574074077</v>
      </c>
      <c r="AA27" s="58"/>
      <c r="AB27" s="170" t="str">
        <f t="shared" si="3"/>
        <v>N/A</v>
      </c>
      <c r="AC27" s="170" t="str">
        <f t="shared" si="2"/>
        <v>N/A</v>
      </c>
    </row>
    <row r="28" spans="1:29">
      <c r="A28" s="53">
        <f>IF(SortedDownload!A25 &lt; 1,"",SortedDownload!A25)</f>
        <v>258</v>
      </c>
      <c r="B28" s="54">
        <f t="shared" si="0"/>
        <v>23</v>
      </c>
      <c r="C28" s="54" t="str">
        <f>IFERROR(VLOOKUP($A28,CategoryResults!$A$3:$X$252,3,FALSE),"")</f>
        <v/>
      </c>
      <c r="D28" s="90" t="str">
        <f>IFERROR(VLOOKUP($A28,EntryList!$A$3:$N$291,2,FALSE),"")</f>
        <v>Henlu Starke</v>
      </c>
      <c r="E28" s="54" t="str">
        <f>IFERROR(VLOOKUP(C28,SeriesPoints!$A$2:$B$51,2,FALSE),"")</f>
        <v/>
      </c>
      <c r="F28" s="144" t="str">
        <f>IFERROR(VLOOKUP($A28,EntryList!$A$3:$V$291,22,FALSE),"")</f>
        <v>-</v>
      </c>
      <c r="G28" s="100" t="str">
        <f>IFERROR(VLOOKUP($A28,EntryList!$A$3:$N$291,6,FALSE),"")</f>
        <v>M</v>
      </c>
      <c r="H28" s="145" t="str">
        <f>IFERROR(VLOOKUP($A28,EntryList!$A$3:$N$291,7,FALSE),"")</f>
        <v>Master Men</v>
      </c>
      <c r="I28" s="56">
        <f t="shared" si="1"/>
        <v>9</v>
      </c>
      <c r="J28" s="57">
        <f>IFERROR(VLOOKUP($A28,SortedDownload!$A$3:$BB$219,31,FALSE)/86400000,"")</f>
        <v>0.4327319097222222</v>
      </c>
      <c r="K28" s="57">
        <f>IFERROR(IF(VLOOKUP($A28,SortedDownload!$A$3:$BB$219,32,FALSE)=0,"-",VLOOKUP($A28,SortedDownload!$A$3:$BB$219,32,FALSE)/86400000),"-")</f>
        <v>0.43516413194444442</v>
      </c>
      <c r="L28" s="57">
        <f>IFERROR(IF(VLOOKUP($A28,SortedDownload!$A$3:$BB$219,33,FALSE)=0,"-",VLOOKUP($A28,SortedDownload!$A$3:$BB$219,33,FALSE)/86400000),"-")</f>
        <v>0.3867331828703704</v>
      </c>
      <c r="M28" s="57">
        <f>IFERROR(IF(VLOOKUP($A28,SortedDownload!$A$3:$BB$219,34,FALSE)=0,"-",VLOOKUP($A28,SortedDownload!$A$3:$BB$219,34,FALSE)/86400000),"-")</f>
        <v>0.38932476851851849</v>
      </c>
      <c r="N28" s="57">
        <f>IFERROR(IF(VLOOKUP($A28,SortedDownload!$A$3:$BB$219,35,FALSE)=0,"-",VLOOKUP($A28,SortedDownload!$A$3:$BB$219,35,FALSE)/86400000),"-")</f>
        <v>0.46442884259259259</v>
      </c>
      <c r="O28" s="57">
        <f>IFERROR(IF(VLOOKUP($A28,SortedDownload!$A$3:$BB$219,36,FALSE)=0,"-",VLOOKUP($A28,SortedDownload!$A$3:$BB$219,36,FALSE)/86400000),"-")</f>
        <v>0.46587898148148149</v>
      </c>
      <c r="P28" s="57">
        <f>IFERROR(IF(VLOOKUP($A28,SortedDownload!$A$3:$BB$219,37,FALSE)=0,"-",VLOOKUP($A28,SortedDownload!$A$3:$BB$219,37,FALSE)/86400000),"-")</f>
        <v>0.51276254629629625</v>
      </c>
      <c r="Q28" s="57">
        <f>IFERROR(IF(VLOOKUP($A28,SortedDownload!$A$3:$BB$219,38,FALSE)=0,"-",VLOOKUP($A28,SortedDownload!$A$3:$BB$219,38,FALSE)/86400000),"-")</f>
        <v>0.51566363425925921</v>
      </c>
      <c r="R28" s="57">
        <f>IFERROR(IF(VLOOKUP($A28,SortedDownload!$A$3:$BB$219,39,FALSE)=0,"-",VLOOKUP($A28,SortedDownload!$A$3:$BB$219,39,FALSE)/86400000),"-")</f>
        <v>0.54881078703703701</v>
      </c>
      <c r="S28" s="57">
        <f>IFERROR(IF(VLOOKUP($A28,SortedDownload!$A$3:$BB$219,40,FALSE)=0,"-",VLOOKUP($A28,SortedDownload!$A$3:$BB$219,40,FALSE)/86400000),"-")</f>
        <v>0.55241628472222226</v>
      </c>
      <c r="T28" s="57" t="str">
        <f>IFERROR(IF(VLOOKUP($A28,SortedDownload!$A$3:$BB$219,41,FALSE)=0,"-",VLOOKUP($A28,SortedDownload!$A$3:$BB$219,41,FALSE)/86400000),"-")</f>
        <v>-</v>
      </c>
      <c r="U28" s="57" t="str">
        <f>IFERROR(IF(VLOOKUP($A28,SortedDownload!$A$3:$BB$219,42,FALSE)=0,"-",VLOOKUP($A28,SortedDownload!$A$3:$BB$219,42,FALSE)/86400000),"-")</f>
        <v>-</v>
      </c>
      <c r="V28" s="57" t="str">
        <f>IFERROR(IF(VLOOKUP($A28,SortedDownload!$A$3:$BB$219,43,FALSE)=0,"-",VLOOKUP($A28,SortedDownload!$A$3:$BB$219,43,FALSE)/86400000),"-")</f>
        <v>-</v>
      </c>
      <c r="W28" s="57" t="str">
        <f>IFERROR(IF(VLOOKUP($A28,SortedDownload!$A$3:$BB$219,44,FALSE)=0,"-",VLOOKUP($A28,SortedDownload!$A$3:$BB$219,44,FALSE)/86400000),"-")</f>
        <v>-</v>
      </c>
      <c r="X28" s="57" t="str">
        <f>IFERROR(IF(VLOOKUP($A28,SortedDownload!$A$3:$BB$219,45,FALSE)=0,"-",VLOOKUP($A28,SortedDownload!$A$3:$BB$219,45,FALSE)/86400000),"-")</f>
        <v>-</v>
      </c>
      <c r="Y28" s="58">
        <f>IFERROR(VLOOKUP($A28,SortedDownload!$A$3:$BB$219,46,FALSE)/86400000,"")</f>
        <v>0</v>
      </c>
      <c r="Z28" s="58">
        <f>IFERROR(Table932[[#This Row],[End Time]]-Table932[[#This Row],[Start Time]],"")</f>
        <v>-0.4327319097222222</v>
      </c>
      <c r="AA28" s="58"/>
      <c r="AB28" s="170" t="str">
        <f t="shared" si="3"/>
        <v>N/A</v>
      </c>
      <c r="AC28" s="170" t="str">
        <f t="shared" si="2"/>
        <v>N/A</v>
      </c>
    </row>
    <row r="29" spans="1:29">
      <c r="A29" s="53">
        <f>IF(SortedDownload!A26 &lt; 1,"",SortedDownload!A26)</f>
        <v>252</v>
      </c>
      <c r="B29" s="54">
        <f t="shared" si="0"/>
        <v>24</v>
      </c>
      <c r="C29" s="54" t="str">
        <f>IFERROR(VLOOKUP($A29,CategoryResults!$A$3:$X$252,3,FALSE),"")</f>
        <v/>
      </c>
      <c r="D29" s="90" t="str">
        <f>IFERROR(VLOOKUP($A29,EntryList!$A$3:$N$291,2,FALSE),"")</f>
        <v>Brandon Willcocks</v>
      </c>
      <c r="E29" s="54" t="str">
        <f>IFERROR(VLOOKUP(C29,SeriesPoints!$A$2:$B$51,2,FALSE),"")</f>
        <v/>
      </c>
      <c r="F29" s="144" t="str">
        <f>IFERROR(VLOOKUP($A29,EntryList!$A$3:$V$291,22,FALSE),"")</f>
        <v>-</v>
      </c>
      <c r="G29" s="100" t="str">
        <f>IFERROR(VLOOKUP($A29,EntryList!$A$3:$N$291,6,FALSE),"")</f>
        <v>M</v>
      </c>
      <c r="H29" s="145" t="str">
        <f>IFERROR(VLOOKUP($A29,EntryList!$A$3:$N$291,7,FALSE),"")</f>
        <v>Elite Men</v>
      </c>
      <c r="I29" s="56">
        <f t="shared" si="1"/>
        <v>9</v>
      </c>
      <c r="J29" s="57">
        <f>IFERROR(VLOOKUP($A29,SortedDownload!$A$3:$BB$219,31,FALSE)/86400000,"")</f>
        <v>0.3852597337962963</v>
      </c>
      <c r="K29" s="57">
        <f>IFERROR(IF(VLOOKUP($A29,SortedDownload!$A$3:$BB$219,32,FALSE)=0,"-",VLOOKUP($A29,SortedDownload!$A$3:$BB$219,32,FALSE)/86400000),"-")</f>
        <v>0.38774415509259258</v>
      </c>
      <c r="L29" s="57">
        <f>IFERROR(IF(VLOOKUP($A29,SortedDownload!$A$3:$BB$219,33,FALSE)=0,"-",VLOOKUP($A29,SortedDownload!$A$3:$BB$219,33,FALSE)/86400000),"-")</f>
        <v>0.42833568287037038</v>
      </c>
      <c r="M29" s="57">
        <f>IFERROR(IF(VLOOKUP($A29,SortedDownload!$A$3:$BB$219,34,FALSE)=0,"-",VLOOKUP($A29,SortedDownload!$A$3:$BB$219,34,FALSE)/86400000),"-")</f>
        <v>0.43100491898148147</v>
      </c>
      <c r="N29" s="57">
        <f>IFERROR(IF(VLOOKUP($A29,SortedDownload!$A$3:$BB$219,35,FALSE)=0,"-",VLOOKUP($A29,SortedDownload!$A$3:$BB$219,35,FALSE)/86400000),"-")</f>
        <v>0.36005649305555554</v>
      </c>
      <c r="O29" s="57">
        <f>IFERROR(IF(VLOOKUP($A29,SortedDownload!$A$3:$BB$219,36,FALSE)=0,"-",VLOOKUP($A29,SortedDownload!$A$3:$BB$219,36,FALSE)/86400000),"-")</f>
        <v>0.36156138888888889</v>
      </c>
      <c r="P29" s="57">
        <f>IFERROR(IF(VLOOKUP($A29,SortedDownload!$A$3:$BB$219,37,FALSE)=0,"-",VLOOKUP($A29,SortedDownload!$A$3:$BB$219,37,FALSE)/86400000),"-")</f>
        <v>0.47060166666666664</v>
      </c>
      <c r="Q29" s="57">
        <f>IFERROR(IF(VLOOKUP($A29,SortedDownload!$A$3:$BB$219,38,FALSE)=0,"-",VLOOKUP($A29,SortedDownload!$A$3:$BB$219,38,FALSE)/86400000),"-")</f>
        <v>0.47343581018518516</v>
      </c>
      <c r="R29" s="57">
        <f>IFERROR(IF(VLOOKUP($A29,SortedDownload!$A$3:$BB$219,39,FALSE)=0,"-",VLOOKUP($A29,SortedDownload!$A$3:$BB$219,39,FALSE)/86400000),"-")</f>
        <v>0.50442296296296296</v>
      </c>
      <c r="S29" s="57">
        <f>IFERROR(IF(VLOOKUP($A29,SortedDownload!$A$3:$BB$219,40,FALSE)=0,"-",VLOOKUP($A29,SortedDownload!$A$3:$BB$219,40,FALSE)/86400000),"-")</f>
        <v>0.50795273148148146</v>
      </c>
      <c r="T29" s="57" t="str">
        <f>IFERROR(IF(VLOOKUP($A29,SortedDownload!$A$3:$BB$219,41,FALSE)=0,"-",VLOOKUP($A29,SortedDownload!$A$3:$BB$219,41,FALSE)/86400000),"-")</f>
        <v>-</v>
      </c>
      <c r="U29" s="57" t="str">
        <f>IFERROR(IF(VLOOKUP($A29,SortedDownload!$A$3:$BB$219,42,FALSE)=0,"-",VLOOKUP($A29,SortedDownload!$A$3:$BB$219,42,FALSE)/86400000),"-")</f>
        <v>-</v>
      </c>
      <c r="V29" s="57" t="str">
        <f>IFERROR(IF(VLOOKUP($A29,SortedDownload!$A$3:$BB$219,43,FALSE)=0,"-",VLOOKUP($A29,SortedDownload!$A$3:$BB$219,43,FALSE)/86400000),"-")</f>
        <v>-</v>
      </c>
      <c r="W29" s="57" t="str">
        <f>IFERROR(IF(VLOOKUP($A29,SortedDownload!$A$3:$BB$219,44,FALSE)=0,"-",VLOOKUP($A29,SortedDownload!$A$3:$BB$219,44,FALSE)/86400000),"-")</f>
        <v>-</v>
      </c>
      <c r="X29" s="57" t="str">
        <f>IFERROR(IF(VLOOKUP($A29,SortedDownload!$A$3:$BB$219,45,FALSE)=0,"-",VLOOKUP($A29,SortedDownload!$A$3:$BB$219,45,FALSE)/86400000),"-")</f>
        <v>-</v>
      </c>
      <c r="Y29" s="58">
        <f>IFERROR(VLOOKUP($A29,SortedDownload!$A$3:$BB$219,46,FALSE)/86400000,"")</f>
        <v>0</v>
      </c>
      <c r="Z29" s="58">
        <f>IFERROR(Table932[[#This Row],[End Time]]-Table932[[#This Row],[Start Time]],"")</f>
        <v>-0.3852597337962963</v>
      </c>
      <c r="AA29" s="58"/>
      <c r="AB29" s="170" t="str">
        <f t="shared" si="3"/>
        <v>08:22</v>
      </c>
      <c r="AC29" s="170" t="str">
        <f t="shared" si="2"/>
        <v>31:54</v>
      </c>
    </row>
    <row r="30" spans="1:29">
      <c r="A30" s="53">
        <f>IF(SortedDownload!A27 &lt; 1,"",SortedDownload!A27)</f>
        <v>57</v>
      </c>
      <c r="B30" s="54">
        <f t="shared" si="0"/>
        <v>25</v>
      </c>
      <c r="C30" s="54" t="str">
        <f>IFERROR(VLOOKUP($A30,CategoryResults!$A$3:$X$252,3,FALSE),"")</f>
        <v/>
      </c>
      <c r="D30" s="90" t="str">
        <f>IFERROR(VLOOKUP($A30,EntryList!$A$3:$N$291,2,FALSE),"")</f>
        <v>Hendre De Villiers</v>
      </c>
      <c r="E30" s="54" t="str">
        <f>IFERROR(VLOOKUP(C30,SeriesPoints!$A$2:$B$51,2,FALSE),"")</f>
        <v/>
      </c>
      <c r="F30" s="144" t="str">
        <f>IFERROR(VLOOKUP($A30,EntryList!$A$3:$V$291,22,FALSE),"")</f>
        <v>-</v>
      </c>
      <c r="G30" s="100" t="str">
        <f>IFERROR(VLOOKUP($A30,EntryList!$A$3:$N$291,6,FALSE),"")</f>
        <v>M</v>
      </c>
      <c r="H30" s="145" t="str">
        <f>IFERROR(VLOOKUP($A30,EntryList!$A$3:$N$291,7,FALSE),"")</f>
        <v>Junior Men</v>
      </c>
      <c r="I30" s="56">
        <f t="shared" si="1"/>
        <v>9</v>
      </c>
      <c r="J30" s="57">
        <f>IFERROR(VLOOKUP($A30,SortedDownload!$A$3:$BB$219,31,FALSE)/86400000,"")</f>
        <v>0.41034351851851852</v>
      </c>
      <c r="K30" s="57">
        <f>IFERROR(IF(VLOOKUP($A30,SortedDownload!$A$3:$BB$219,32,FALSE)=0,"-",VLOOKUP($A30,SortedDownload!$A$3:$BB$219,32,FALSE)/86400000),"-")</f>
        <v>0.41280766203703706</v>
      </c>
      <c r="L30" s="57">
        <f>IFERROR(IF(VLOOKUP($A30,SortedDownload!$A$3:$BB$219,33,FALSE)=0,"-",VLOOKUP($A30,SortedDownload!$A$3:$BB$219,33,FALSE)/86400000),"-")</f>
        <v>0.3644730902777778</v>
      </c>
      <c r="M30" s="57">
        <f>IFERROR(IF(VLOOKUP($A30,SortedDownload!$A$3:$BB$219,34,FALSE)=0,"-",VLOOKUP($A30,SortedDownload!$A$3:$BB$219,34,FALSE)/86400000),"-")</f>
        <v>0.36713254629629627</v>
      </c>
      <c r="N30" s="57">
        <f>IFERROR(IF(VLOOKUP($A30,SortedDownload!$A$3:$BB$219,35,FALSE)=0,"-",VLOOKUP($A30,SortedDownload!$A$3:$BB$219,35,FALSE)/86400000),"-")</f>
        <v>0.44852283564814815</v>
      </c>
      <c r="O30" s="57">
        <f>IFERROR(IF(VLOOKUP($A30,SortedDownload!$A$3:$BB$219,36,FALSE)=0,"-",VLOOKUP($A30,SortedDownload!$A$3:$BB$219,36,FALSE)/86400000),"-")</f>
        <v>0.4500221875</v>
      </c>
      <c r="P30" s="57">
        <f>IFERROR(IF(VLOOKUP($A30,SortedDownload!$A$3:$BB$219,37,FALSE)=0,"-",VLOOKUP($A30,SortedDownload!$A$3:$BB$219,37,FALSE)/86400000),"-")</f>
        <v>0.50408071759259254</v>
      </c>
      <c r="Q30" s="57">
        <f>IFERROR(IF(VLOOKUP($A30,SortedDownload!$A$3:$BB$219,38,FALSE)=0,"-",VLOOKUP($A30,SortedDownload!$A$3:$BB$219,38,FALSE)/86400000),"-")</f>
        <v>0.50702870370370368</v>
      </c>
      <c r="R30" s="57">
        <f>IFERROR(IF(VLOOKUP($A30,SortedDownload!$A$3:$BB$219,39,FALSE)=0,"-",VLOOKUP($A30,SortedDownload!$A$3:$BB$219,39,FALSE)/86400000),"-")</f>
        <v>0.53938587962962958</v>
      </c>
      <c r="S30" s="57">
        <f>IFERROR(IF(VLOOKUP($A30,SortedDownload!$A$3:$BB$219,40,FALSE)=0,"-",VLOOKUP($A30,SortedDownload!$A$3:$BB$219,40,FALSE)/86400000),"-")</f>
        <v>0.54287201388888884</v>
      </c>
      <c r="T30" s="57" t="str">
        <f>IFERROR(IF(VLOOKUP($A30,SortedDownload!$A$3:$BB$219,41,FALSE)=0,"-",VLOOKUP($A30,SortedDownload!$A$3:$BB$219,41,FALSE)/86400000),"-")</f>
        <v>-</v>
      </c>
      <c r="U30" s="57" t="str">
        <f>IFERROR(IF(VLOOKUP($A30,SortedDownload!$A$3:$BB$219,42,FALSE)=0,"-",VLOOKUP($A30,SortedDownload!$A$3:$BB$219,42,FALSE)/86400000),"-")</f>
        <v>-</v>
      </c>
      <c r="V30" s="57" t="str">
        <f>IFERROR(IF(VLOOKUP($A30,SortedDownload!$A$3:$BB$219,43,FALSE)=0,"-",VLOOKUP($A30,SortedDownload!$A$3:$BB$219,43,FALSE)/86400000),"-")</f>
        <v>-</v>
      </c>
      <c r="W30" s="57" t="str">
        <f>IFERROR(IF(VLOOKUP($A30,SortedDownload!$A$3:$BB$219,44,FALSE)=0,"-",VLOOKUP($A30,SortedDownload!$A$3:$BB$219,44,FALSE)/86400000),"-")</f>
        <v>-</v>
      </c>
      <c r="X30" s="57" t="str">
        <f>IFERROR(IF(VLOOKUP($A30,SortedDownload!$A$3:$BB$219,45,FALSE)=0,"-",VLOOKUP($A30,SortedDownload!$A$3:$BB$219,45,FALSE)/86400000),"-")</f>
        <v>-</v>
      </c>
      <c r="Y30" s="58">
        <f>IFERROR(VLOOKUP($A30,SortedDownload!$A$3:$BB$219,46,FALSE)/86400000,"")</f>
        <v>0</v>
      </c>
      <c r="Z30" s="58">
        <f>IFERROR(Table932[[#This Row],[End Time]]-Table932[[#This Row],[Start Time]],"")</f>
        <v>-0.41034351851851852</v>
      </c>
      <c r="AA30" s="58"/>
      <c r="AB30" s="170" t="str">
        <f t="shared" si="3"/>
        <v>N/A</v>
      </c>
      <c r="AC30" s="170" t="str">
        <f t="shared" si="2"/>
        <v>N/A</v>
      </c>
    </row>
    <row r="31" spans="1:29">
      <c r="A31" s="53">
        <f>IF(SortedDownload!A28 &lt; 1,"",SortedDownload!A28)</f>
        <v>212</v>
      </c>
      <c r="B31" s="54">
        <f t="shared" si="0"/>
        <v>26</v>
      </c>
      <c r="C31" s="54" t="str">
        <f>IFERROR(VLOOKUP($A31,CategoryResults!$A$3:$X$252,3,FALSE),"")</f>
        <v/>
      </c>
      <c r="D31" s="90" t="str">
        <f>IFERROR(VLOOKUP($A31,EntryList!$A$3:$N$291,2,FALSE),"")</f>
        <v>Zander Du Plessis</v>
      </c>
      <c r="E31" s="54" t="str">
        <f>IFERROR(VLOOKUP(C31,SeriesPoints!$A$2:$B$51,2,FALSE),"")</f>
        <v/>
      </c>
      <c r="F31" s="144" t="str">
        <f>IFERROR(VLOOKUP($A31,EntryList!$A$3:$V$291,22,FALSE),"")</f>
        <v>-</v>
      </c>
      <c r="G31" s="100" t="str">
        <f>IFERROR(VLOOKUP($A31,EntryList!$A$3:$N$291,6,FALSE),"")</f>
        <v>M</v>
      </c>
      <c r="H31" s="145" t="str">
        <f>IFERROR(VLOOKUP($A31,EntryList!$A$3:$N$291,7,FALSE),"")</f>
        <v>Youth Men</v>
      </c>
      <c r="I31" s="56">
        <f t="shared" si="1"/>
        <v>9</v>
      </c>
      <c r="J31" s="57">
        <f>IFERROR(VLOOKUP($A31,SortedDownload!$A$3:$BB$219,31,FALSE)/86400000,"")</f>
        <v>0.3930150462962963</v>
      </c>
      <c r="K31" s="57">
        <f>IFERROR(IF(VLOOKUP($A31,SortedDownload!$A$3:$BB$219,32,FALSE)=0,"-",VLOOKUP($A31,SortedDownload!$A$3:$BB$219,32,FALSE)/86400000),"-")</f>
        <v>0.39524788194444443</v>
      </c>
      <c r="L31" s="57">
        <f>IFERROR(IF(VLOOKUP($A31,SortedDownload!$A$3:$BB$219,33,FALSE)=0,"-",VLOOKUP($A31,SortedDownload!$A$3:$BB$219,33,FALSE)/86400000),"-")</f>
        <v>0.35756128472222221</v>
      </c>
      <c r="M31" s="57">
        <f>IFERROR(IF(VLOOKUP($A31,SortedDownload!$A$3:$BB$219,34,FALSE)=0,"-",VLOOKUP($A31,SortedDownload!$A$3:$BB$219,34,FALSE)/86400000),"-")</f>
        <v>0.36004873842592594</v>
      </c>
      <c r="N31" s="57">
        <f>IFERROR(IF(VLOOKUP($A31,SortedDownload!$A$3:$BB$219,35,FALSE)=0,"-",VLOOKUP($A31,SortedDownload!$A$3:$BB$219,35,FALSE)/86400000),"-")</f>
        <v>0.42526635416666669</v>
      </c>
      <c r="O31" s="57">
        <f>IFERROR(IF(VLOOKUP($A31,SortedDownload!$A$3:$BB$219,36,FALSE)=0,"-",VLOOKUP($A31,SortedDownload!$A$3:$BB$219,36,FALSE)/86400000),"-")</f>
        <v>0.42663928240740739</v>
      </c>
      <c r="P31" s="57">
        <f>IFERROR(IF(VLOOKUP($A31,SortedDownload!$A$3:$BB$219,37,FALSE)=0,"-",VLOOKUP($A31,SortedDownload!$A$3:$BB$219,37,FALSE)/86400000),"-")</f>
        <v>0.46887716435185184</v>
      </c>
      <c r="Q31" s="57">
        <f>IFERROR(IF(VLOOKUP($A31,SortedDownload!$A$3:$BB$219,38,FALSE)=0,"-",VLOOKUP($A31,SortedDownload!$A$3:$BB$219,38,FALSE)/86400000),"-")</f>
        <v>0.47162380787037039</v>
      </c>
      <c r="R31" s="57">
        <f>IFERROR(IF(VLOOKUP($A31,SortedDownload!$A$3:$BB$219,39,FALSE)=0,"-",VLOOKUP($A31,SortedDownload!$A$3:$BB$219,39,FALSE)/86400000),"-")</f>
        <v>0.49860624999999997</v>
      </c>
      <c r="S31" s="57">
        <f>IFERROR(IF(VLOOKUP($A31,SortedDownload!$A$3:$BB$219,40,FALSE)=0,"-",VLOOKUP($A31,SortedDownload!$A$3:$BB$219,40,FALSE)/86400000),"-")</f>
        <v>0.50283185185185186</v>
      </c>
      <c r="T31" s="57" t="str">
        <f>IFERROR(IF(VLOOKUP($A31,SortedDownload!$A$3:$BB$219,41,FALSE)=0,"-",VLOOKUP($A31,SortedDownload!$A$3:$BB$219,41,FALSE)/86400000),"-")</f>
        <v>-</v>
      </c>
      <c r="U31" s="57" t="str">
        <f>IFERROR(IF(VLOOKUP($A31,SortedDownload!$A$3:$BB$219,42,FALSE)=0,"-",VLOOKUP($A31,SortedDownload!$A$3:$BB$219,42,FALSE)/86400000),"-")</f>
        <v>-</v>
      </c>
      <c r="V31" s="57" t="str">
        <f>IFERROR(IF(VLOOKUP($A31,SortedDownload!$A$3:$BB$219,43,FALSE)=0,"-",VLOOKUP($A31,SortedDownload!$A$3:$BB$219,43,FALSE)/86400000),"-")</f>
        <v>-</v>
      </c>
      <c r="W31" s="57" t="str">
        <f>IFERROR(IF(VLOOKUP($A31,SortedDownload!$A$3:$BB$219,44,FALSE)=0,"-",VLOOKUP($A31,SortedDownload!$A$3:$BB$219,44,FALSE)/86400000),"-")</f>
        <v>-</v>
      </c>
      <c r="X31" s="57" t="str">
        <f>IFERROR(IF(VLOOKUP($A31,SortedDownload!$A$3:$BB$219,45,FALSE)=0,"-",VLOOKUP($A31,SortedDownload!$A$3:$BB$219,45,FALSE)/86400000),"-")</f>
        <v>-</v>
      </c>
      <c r="Y31" s="58">
        <f>IFERROR(VLOOKUP($A31,SortedDownload!$A$3:$BB$219,46,FALSE)/86400000,"")</f>
        <v>0</v>
      </c>
      <c r="Z31" s="58">
        <f>IFERROR(Table932[[#This Row],[End Time]]-Table932[[#This Row],[Start Time]],"")</f>
        <v>-0.3930150462962963</v>
      </c>
      <c r="AA31" s="58"/>
      <c r="AB31" s="170" t="str">
        <f t="shared" si="3"/>
        <v>24:57</v>
      </c>
      <c r="AC31" s="170" t="str">
        <f t="shared" si="2"/>
        <v>20:44</v>
      </c>
    </row>
    <row r="32" spans="1:29">
      <c r="A32" s="53">
        <f>IF(SortedDownload!A29 &lt; 1,"",SortedDownload!A29)</f>
        <v>105</v>
      </c>
      <c r="B32" s="54">
        <f t="shared" si="0"/>
        <v>27</v>
      </c>
      <c r="C32" s="54" t="str">
        <f>IFERROR(VLOOKUP($A32,CategoryResults!$A$3:$X$252,3,FALSE),"")</f>
        <v/>
      </c>
      <c r="D32" s="90" t="str">
        <f>IFERROR(VLOOKUP($A32,EntryList!$A$3:$N$291,2,FALSE),"")</f>
        <v>Jacobus Johannes Veldsman</v>
      </c>
      <c r="E32" s="54" t="str">
        <f>IFERROR(VLOOKUP(C32,SeriesPoints!$A$2:$B$51,2,FALSE),"")</f>
        <v/>
      </c>
      <c r="F32" s="144" t="str">
        <f>IFERROR(VLOOKUP($A32,EntryList!$A$3:$V$291,22,FALSE),"")</f>
        <v>-</v>
      </c>
      <c r="G32" s="100" t="str">
        <f>IFERROR(VLOOKUP($A32,EntryList!$A$3:$N$291,6,FALSE),"")</f>
        <v>M</v>
      </c>
      <c r="H32" s="145" t="str">
        <f>IFERROR(VLOOKUP($A32,EntryList!$A$3:$N$291,7,FALSE),"")</f>
        <v>E-Bike M</v>
      </c>
      <c r="I32" s="56">
        <f t="shared" si="1"/>
        <v>9</v>
      </c>
      <c r="J32" s="57">
        <f>IFERROR(VLOOKUP($A32,SortedDownload!$A$3:$BB$219,31,FALSE)/86400000,"")</f>
        <v>0.41391498842592594</v>
      </c>
      <c r="K32" s="57">
        <f>IFERROR(IF(VLOOKUP($A32,SortedDownload!$A$3:$BB$219,32,FALSE)=0,"-",VLOOKUP($A32,SortedDownload!$A$3:$BB$219,32,FALSE)/86400000),"-")</f>
        <v>0.41642322916666669</v>
      </c>
      <c r="L32" s="57">
        <f>IFERROR(IF(VLOOKUP($A32,SortedDownload!$A$3:$BB$219,33,FALSE)=0,"-",VLOOKUP($A32,SortedDownload!$A$3:$BB$219,33,FALSE)/86400000),"-")</f>
        <v>0.35604901620370372</v>
      </c>
      <c r="M32" s="57">
        <f>IFERROR(IF(VLOOKUP($A32,SortedDownload!$A$3:$BB$219,34,FALSE)=0,"-",VLOOKUP($A32,SortedDownload!$A$3:$BB$219,34,FALSE)/86400000),"-")</f>
        <v>0.35868444444444442</v>
      </c>
      <c r="N32" s="57">
        <f>IFERROR(IF(VLOOKUP($A32,SortedDownload!$A$3:$BB$219,35,FALSE)=0,"-",VLOOKUP($A32,SortedDownload!$A$3:$BB$219,35,FALSE)/86400000),"-")</f>
        <v>0.3864841550925926</v>
      </c>
      <c r="O32" s="57">
        <f>IFERROR(IF(VLOOKUP($A32,SortedDownload!$A$3:$BB$219,36,FALSE)=0,"-",VLOOKUP($A32,SortedDownload!$A$3:$BB$219,36,FALSE)/86400000),"-")</f>
        <v>0.38798126157407409</v>
      </c>
      <c r="P32" s="57">
        <f>IFERROR(IF(VLOOKUP($A32,SortedDownload!$A$3:$BB$219,37,FALSE)=0,"-",VLOOKUP($A32,SortedDownload!$A$3:$BB$219,37,FALSE)/86400000),"-")</f>
        <v>0.45695502314814812</v>
      </c>
      <c r="Q32" s="57">
        <f>IFERROR(IF(VLOOKUP($A32,SortedDownload!$A$3:$BB$219,38,FALSE)=0,"-",VLOOKUP($A32,SortedDownload!$A$3:$BB$219,38,FALSE)/86400000),"-")</f>
        <v>0.45983337962962961</v>
      </c>
      <c r="R32" s="57">
        <f>IFERROR(IF(VLOOKUP($A32,SortedDownload!$A$3:$BB$219,39,FALSE)=0,"-",VLOOKUP($A32,SortedDownload!$A$3:$BB$219,39,FALSE)/86400000),"-")</f>
        <v>0.47500020833333334</v>
      </c>
      <c r="S32" s="57">
        <f>IFERROR(IF(VLOOKUP($A32,SortedDownload!$A$3:$BB$219,40,FALSE)=0,"-",VLOOKUP($A32,SortedDownload!$A$3:$BB$219,40,FALSE)/86400000),"-")</f>
        <v>0.47856660879629631</v>
      </c>
      <c r="T32" s="57" t="str">
        <f>IFERROR(IF(VLOOKUP($A32,SortedDownload!$A$3:$BB$219,41,FALSE)=0,"-",VLOOKUP($A32,SortedDownload!$A$3:$BB$219,41,FALSE)/86400000),"-")</f>
        <v>-</v>
      </c>
      <c r="U32" s="57" t="str">
        <f>IFERROR(IF(VLOOKUP($A32,SortedDownload!$A$3:$BB$219,42,FALSE)=0,"-",VLOOKUP($A32,SortedDownload!$A$3:$BB$219,42,FALSE)/86400000),"-")</f>
        <v>-</v>
      </c>
      <c r="V32" s="57" t="str">
        <f>IFERROR(IF(VLOOKUP($A32,SortedDownload!$A$3:$BB$219,43,FALSE)=0,"-",VLOOKUP($A32,SortedDownload!$A$3:$BB$219,43,FALSE)/86400000),"-")</f>
        <v>-</v>
      </c>
      <c r="W32" s="57" t="str">
        <f>IFERROR(IF(VLOOKUP($A32,SortedDownload!$A$3:$BB$219,44,FALSE)=0,"-",VLOOKUP($A32,SortedDownload!$A$3:$BB$219,44,FALSE)/86400000),"-")</f>
        <v>-</v>
      </c>
      <c r="X32" s="57" t="str">
        <f>IFERROR(IF(VLOOKUP($A32,SortedDownload!$A$3:$BB$219,45,FALSE)=0,"-",VLOOKUP($A32,SortedDownload!$A$3:$BB$219,45,FALSE)/86400000),"-")</f>
        <v>-</v>
      </c>
      <c r="Y32" s="58">
        <f>IFERROR(VLOOKUP($A32,SortedDownload!$A$3:$BB$219,46,FALSE)/86400000,"")</f>
        <v>0</v>
      </c>
      <c r="Z32" s="58">
        <f>IFERROR(Table932[[#This Row],[End Time]]-Table932[[#This Row],[Start Time]],"")</f>
        <v>-0.41391498842592594</v>
      </c>
      <c r="AA32" s="58"/>
      <c r="AB32" s="170" t="str">
        <f t="shared" si="3"/>
        <v>N/A</v>
      </c>
      <c r="AC32" s="170" t="str">
        <f t="shared" si="2"/>
        <v>N/A</v>
      </c>
    </row>
    <row r="33" spans="1:29">
      <c r="A33" s="53">
        <f>IF(SortedDownload!A30 &lt; 1,"",SortedDownload!A30)</f>
        <v>20</v>
      </c>
      <c r="B33" s="54">
        <f t="shared" si="0"/>
        <v>28</v>
      </c>
      <c r="C33" s="54" t="str">
        <f>IFERROR(VLOOKUP($A33,CategoryResults!$A$3:$X$252,3,FALSE),"")</f>
        <v/>
      </c>
      <c r="D33" s="90" t="str">
        <f>IFERROR(VLOOKUP($A33,EntryList!$A$3:$N$291,2,FALSE),"")</f>
        <v>Luca Zietsman</v>
      </c>
      <c r="E33" s="54" t="str">
        <f>IFERROR(VLOOKUP(C33,SeriesPoints!$A$2:$B$51,2,FALSE),"")</f>
        <v/>
      </c>
      <c r="F33" s="144" t="str">
        <f>IFERROR(VLOOKUP($A33,EntryList!$A$3:$V$291,22,FALSE),"")</f>
        <v>-</v>
      </c>
      <c r="G33" s="100" t="str">
        <f>IFERROR(VLOOKUP($A33,EntryList!$A$3:$N$291,6,FALSE),"")</f>
        <v>M</v>
      </c>
      <c r="H33" s="145" t="str">
        <f>IFERROR(VLOOKUP($A33,EntryList!$A$3:$N$291,7,FALSE),"")</f>
        <v>Youth Men</v>
      </c>
      <c r="I33" s="56">
        <f t="shared" si="1"/>
        <v>9</v>
      </c>
      <c r="J33" s="57">
        <f>IFERROR(VLOOKUP($A33,SortedDownload!$A$3:$BB$219,31,FALSE)/86400000,"")</f>
        <v>0.40704545138888887</v>
      </c>
      <c r="K33" s="57">
        <f>IFERROR(IF(VLOOKUP($A33,SortedDownload!$A$3:$BB$219,32,FALSE)=0,"-",VLOOKUP($A33,SortedDownload!$A$3:$BB$219,32,FALSE)/86400000),"-")</f>
        <v>0.40951949074074073</v>
      </c>
      <c r="L33" s="57">
        <f>IFERROR(IF(VLOOKUP($A33,SortedDownload!$A$3:$BB$219,33,FALSE)=0,"-",VLOOKUP($A33,SortedDownload!$A$3:$BB$219,33,FALSE)/86400000),"-")</f>
        <v>0.36551466435185187</v>
      </c>
      <c r="M33" s="57">
        <f>IFERROR(IF(VLOOKUP($A33,SortedDownload!$A$3:$BB$219,34,FALSE)=0,"-",VLOOKUP($A33,SortedDownload!$A$3:$BB$219,34,FALSE)/86400000),"-")</f>
        <v>0.3681565277777778</v>
      </c>
      <c r="N33" s="57">
        <f>IFERROR(IF(VLOOKUP($A33,SortedDownload!$A$3:$BB$219,35,FALSE)=0,"-",VLOOKUP($A33,SortedDownload!$A$3:$BB$219,35,FALSE)/86400000),"-")</f>
        <v>0.44693800925925925</v>
      </c>
      <c r="O33" s="57">
        <f>IFERROR(IF(VLOOKUP($A33,SortedDownload!$A$3:$BB$219,36,FALSE)=0,"-",VLOOKUP($A33,SortedDownload!$A$3:$BB$219,36,FALSE)/86400000),"-")</f>
        <v>0.44840450231481482</v>
      </c>
      <c r="P33" s="57">
        <f>IFERROR(IF(VLOOKUP($A33,SortedDownload!$A$3:$BB$219,37,FALSE)=0,"-",VLOOKUP($A33,SortedDownload!$A$3:$BB$219,37,FALSE)/86400000),"-")</f>
        <v>0.50366552083333338</v>
      </c>
      <c r="Q33" s="57">
        <f>IFERROR(IF(VLOOKUP($A33,SortedDownload!$A$3:$BB$219,38,FALSE)=0,"-",VLOOKUP($A33,SortedDownload!$A$3:$BB$219,38,FALSE)/86400000),"-")</f>
        <v>0.50660212962962958</v>
      </c>
      <c r="R33" s="57">
        <f>IFERROR(IF(VLOOKUP($A33,SortedDownload!$A$3:$BB$219,39,FALSE)=0,"-",VLOOKUP($A33,SortedDownload!$A$3:$BB$219,39,FALSE)/86400000),"-")</f>
        <v>0.54010238425925927</v>
      </c>
      <c r="S33" s="57">
        <f>IFERROR(IF(VLOOKUP($A33,SortedDownload!$A$3:$BB$219,40,FALSE)=0,"-",VLOOKUP($A33,SortedDownload!$A$3:$BB$219,40,FALSE)/86400000),"-")</f>
        <v>0.54367887731481479</v>
      </c>
      <c r="T33" s="57" t="str">
        <f>IFERROR(IF(VLOOKUP($A33,SortedDownload!$A$3:$BB$219,41,FALSE)=0,"-",VLOOKUP($A33,SortedDownload!$A$3:$BB$219,41,FALSE)/86400000),"-")</f>
        <v>-</v>
      </c>
      <c r="U33" s="57" t="str">
        <f>IFERROR(IF(VLOOKUP($A33,SortedDownload!$A$3:$BB$219,42,FALSE)=0,"-",VLOOKUP($A33,SortedDownload!$A$3:$BB$219,42,FALSE)/86400000),"-")</f>
        <v>-</v>
      </c>
      <c r="V33" s="57" t="str">
        <f>IFERROR(IF(VLOOKUP($A33,SortedDownload!$A$3:$BB$219,43,FALSE)=0,"-",VLOOKUP($A33,SortedDownload!$A$3:$BB$219,43,FALSE)/86400000),"-")</f>
        <v>-</v>
      </c>
      <c r="W33" s="57" t="str">
        <f>IFERROR(IF(VLOOKUP($A33,SortedDownload!$A$3:$BB$219,44,FALSE)=0,"-",VLOOKUP($A33,SortedDownload!$A$3:$BB$219,44,FALSE)/86400000),"-")</f>
        <v>-</v>
      </c>
      <c r="X33" s="57" t="str">
        <f>IFERROR(IF(VLOOKUP($A33,SortedDownload!$A$3:$BB$219,45,FALSE)=0,"-",VLOOKUP($A33,SortedDownload!$A$3:$BB$219,45,FALSE)/86400000),"-")</f>
        <v>-</v>
      </c>
      <c r="Y33" s="58">
        <f>IFERROR(VLOOKUP($A33,SortedDownload!$A$3:$BB$219,46,FALSE)/86400000,"")</f>
        <v>0</v>
      </c>
      <c r="Z33" s="58">
        <f>IFERROR(Table932[[#This Row],[End Time]]-Table932[[#This Row],[Start Time]],"")</f>
        <v>-0.40704545138888887</v>
      </c>
      <c r="AA33" s="58"/>
      <c r="AB33" s="170" t="str">
        <f t="shared" si="3"/>
        <v>09:54</v>
      </c>
      <c r="AC33" s="170" t="str">
        <f t="shared" si="2"/>
        <v>00:32</v>
      </c>
    </row>
    <row r="34" spans="1:29">
      <c r="A34" s="53">
        <f>IF(SortedDownload!A31 &lt; 1,"",SortedDownload!A31)</f>
        <v>56</v>
      </c>
      <c r="B34" s="54">
        <f t="shared" si="0"/>
        <v>29</v>
      </c>
      <c r="C34" s="54" t="str">
        <f>IFERROR(VLOOKUP($A34,CategoryResults!$A$3:$X$252,3,FALSE),"")</f>
        <v/>
      </c>
      <c r="D34" s="90" t="str">
        <f>IFERROR(VLOOKUP($A34,EntryList!$A$3:$N$291,2,FALSE),"")</f>
        <v>Myndert Laubscher</v>
      </c>
      <c r="E34" s="54" t="str">
        <f>IFERROR(VLOOKUP(C34,SeriesPoints!$A$2:$B$51,2,FALSE),"")</f>
        <v/>
      </c>
      <c r="F34" s="144" t="str">
        <f>IFERROR(VLOOKUP($A34,EntryList!$A$3:$V$291,22,FALSE),"")</f>
        <v>-</v>
      </c>
      <c r="G34" s="100" t="str">
        <f>IFERROR(VLOOKUP($A34,EntryList!$A$3:$N$291,6,FALSE),"")</f>
        <v>M</v>
      </c>
      <c r="H34" s="145" t="str">
        <f>IFERROR(VLOOKUP($A34,EntryList!$A$3:$N$291,7,FALSE),"")</f>
        <v>Youth Men</v>
      </c>
      <c r="I34" s="56">
        <f t="shared" si="1"/>
        <v>9</v>
      </c>
      <c r="J34" s="57">
        <f>IFERROR(VLOOKUP($A34,SortedDownload!$A$3:$BB$219,31,FALSE)/86400000,"")</f>
        <v>0.39335291666666666</v>
      </c>
      <c r="K34" s="57">
        <f>IFERROR(IF(VLOOKUP($A34,SortedDownload!$A$3:$BB$219,32,FALSE)=0,"-",VLOOKUP($A34,SortedDownload!$A$3:$BB$219,32,FALSE)/86400000),"-")</f>
        <v>0.39574017361111113</v>
      </c>
      <c r="L34" s="57">
        <f>IFERROR(IF(VLOOKUP($A34,SortedDownload!$A$3:$BB$219,33,FALSE)=0,"-",VLOOKUP($A34,SortedDownload!$A$3:$BB$219,33,FALSE)/86400000),"-")</f>
        <v>0.3577619212962963</v>
      </c>
      <c r="M34" s="57">
        <f>IFERROR(IF(VLOOKUP($A34,SortedDownload!$A$3:$BB$219,34,FALSE)=0,"-",VLOOKUP($A34,SortedDownload!$A$3:$BB$219,34,FALSE)/86400000),"-")</f>
        <v>0.36042886574074073</v>
      </c>
      <c r="N34" s="57">
        <f>IFERROR(IF(VLOOKUP($A34,SortedDownload!$A$3:$BB$219,35,FALSE)=0,"-",VLOOKUP($A34,SortedDownload!$A$3:$BB$219,35,FALSE)/86400000),"-")</f>
        <v>0.43893585648148148</v>
      </c>
      <c r="O34" s="57">
        <f>IFERROR(IF(VLOOKUP($A34,SortedDownload!$A$3:$BB$219,36,FALSE)=0,"-",VLOOKUP($A34,SortedDownload!$A$3:$BB$219,36,FALSE)/86400000),"-")</f>
        <v>0.44041730324074074</v>
      </c>
      <c r="P34" s="57">
        <f>IFERROR(IF(VLOOKUP($A34,SortedDownload!$A$3:$BB$219,37,FALSE)=0,"-",VLOOKUP($A34,SortedDownload!$A$3:$BB$219,37,FALSE)/86400000),"-")</f>
        <v>0.47942747685185183</v>
      </c>
      <c r="Q34" s="57">
        <f>IFERROR(IF(VLOOKUP($A34,SortedDownload!$A$3:$BB$219,38,FALSE)=0,"-",VLOOKUP($A34,SortedDownload!$A$3:$BB$219,38,FALSE)/86400000),"-")</f>
        <v>0.48239895833333335</v>
      </c>
      <c r="R34" s="57">
        <f>IFERROR(IF(VLOOKUP($A34,SortedDownload!$A$3:$BB$219,39,FALSE)=0,"-",VLOOKUP($A34,SortedDownload!$A$3:$BB$219,39,FALSE)/86400000),"-")</f>
        <v>0.50716398148148145</v>
      </c>
      <c r="S34" s="57">
        <f>IFERROR(IF(VLOOKUP($A34,SortedDownload!$A$3:$BB$219,40,FALSE)=0,"-",VLOOKUP($A34,SortedDownload!$A$3:$BB$219,40,FALSE)/86400000),"-")</f>
        <v>0.51078578703703703</v>
      </c>
      <c r="T34" s="57" t="str">
        <f>IFERROR(IF(VLOOKUP($A34,SortedDownload!$A$3:$BB$219,41,FALSE)=0,"-",VLOOKUP($A34,SortedDownload!$A$3:$BB$219,41,FALSE)/86400000),"-")</f>
        <v>-</v>
      </c>
      <c r="U34" s="57" t="str">
        <f>IFERROR(IF(VLOOKUP($A34,SortedDownload!$A$3:$BB$219,42,FALSE)=0,"-",VLOOKUP($A34,SortedDownload!$A$3:$BB$219,42,FALSE)/86400000),"-")</f>
        <v>-</v>
      </c>
      <c r="V34" s="57" t="str">
        <f>IFERROR(IF(VLOOKUP($A34,SortedDownload!$A$3:$BB$219,43,FALSE)=0,"-",VLOOKUP($A34,SortedDownload!$A$3:$BB$219,43,FALSE)/86400000),"-")</f>
        <v>-</v>
      </c>
      <c r="W34" s="57" t="str">
        <f>IFERROR(IF(VLOOKUP($A34,SortedDownload!$A$3:$BB$219,44,FALSE)=0,"-",VLOOKUP($A34,SortedDownload!$A$3:$BB$219,44,FALSE)/86400000),"-")</f>
        <v>-</v>
      </c>
      <c r="X34" s="57" t="str">
        <f>IFERROR(IF(VLOOKUP($A34,SortedDownload!$A$3:$BB$219,45,FALSE)=0,"-",VLOOKUP($A34,SortedDownload!$A$3:$BB$219,45,FALSE)/86400000),"-")</f>
        <v>-</v>
      </c>
      <c r="Y34" s="58">
        <f>IFERROR(VLOOKUP($A34,SortedDownload!$A$3:$BB$219,46,FALSE)/86400000,"")</f>
        <v>0</v>
      </c>
      <c r="Z34" s="58">
        <f>IFERROR(Table932[[#This Row],[End Time]]-Table932[[#This Row],[Start Time]],"")</f>
        <v>-0.39335291666666666</v>
      </c>
      <c r="AA34" s="58"/>
      <c r="AB34" s="170" t="str">
        <f t="shared" si="3"/>
        <v>19:43</v>
      </c>
      <c r="AC34" s="170" t="str">
        <f t="shared" si="2"/>
        <v>20:15</v>
      </c>
    </row>
    <row r="35" spans="1:29">
      <c r="A35" s="53">
        <f>IF(SortedDownload!A32 &lt; 1,"",SortedDownload!A32)</f>
        <v>152</v>
      </c>
      <c r="B35" s="54">
        <f t="shared" si="0"/>
        <v>30</v>
      </c>
      <c r="C35" s="54" t="str">
        <f>IFERROR(VLOOKUP($A35,CategoryResults!$A$3:$X$252,3,FALSE),"")</f>
        <v/>
      </c>
      <c r="D35" s="90" t="str">
        <f>IFERROR(VLOOKUP($A35,EntryList!$A$3:$N$291,2,FALSE),"")</f>
        <v>Grant Hulley</v>
      </c>
      <c r="E35" s="54" t="str">
        <f>IFERROR(VLOOKUP(C35,SeriesPoints!$A$2:$B$51,2,FALSE),"")</f>
        <v/>
      </c>
      <c r="F35" s="144" t="str">
        <f>IFERROR(VLOOKUP($A35,EntryList!$A$3:$V$291,22,FALSE),"")</f>
        <v>-</v>
      </c>
      <c r="G35" s="100" t="str">
        <f>IFERROR(VLOOKUP($A35,EntryList!$A$3:$N$291,6,FALSE),"")</f>
        <v>M</v>
      </c>
      <c r="H35" s="145" t="str">
        <f>IFERROR(VLOOKUP($A35,EntryList!$A$3:$N$291,7,FALSE),"")</f>
        <v>E-Bike M</v>
      </c>
      <c r="I35" s="56">
        <f t="shared" si="1"/>
        <v>9</v>
      </c>
      <c r="J35" s="57">
        <f>IFERROR(VLOOKUP($A35,SortedDownload!$A$3:$BB$219,31,FALSE)/86400000,"")</f>
        <v>0.4141053472222222</v>
      </c>
      <c r="K35" s="57">
        <f>IFERROR(IF(VLOOKUP($A35,SortedDownload!$A$3:$BB$219,32,FALSE)=0,"-",VLOOKUP($A35,SortedDownload!$A$3:$BB$219,32,FALSE)/86400000),"-")</f>
        <v>0.41667109953703702</v>
      </c>
      <c r="L35" s="57">
        <f>IFERROR(IF(VLOOKUP($A35,SortedDownload!$A$3:$BB$219,33,FALSE)=0,"-",VLOOKUP($A35,SortedDownload!$A$3:$BB$219,33,FALSE)/86400000),"-")</f>
        <v>0.3565359027777778</v>
      </c>
      <c r="M35" s="57">
        <f>IFERROR(IF(VLOOKUP($A35,SortedDownload!$A$3:$BB$219,34,FALSE)=0,"-",VLOOKUP($A35,SortedDownload!$A$3:$BB$219,34,FALSE)/86400000),"-")</f>
        <v>0.35916828703703702</v>
      </c>
      <c r="N35" s="57">
        <f>IFERROR(IF(VLOOKUP($A35,SortedDownload!$A$3:$BB$219,35,FALSE)=0,"-",VLOOKUP($A35,SortedDownload!$A$3:$BB$219,35,FALSE)/86400000),"-")</f>
        <v>0.38652927083333333</v>
      </c>
      <c r="O35" s="57">
        <f>IFERROR(IF(VLOOKUP($A35,SortedDownload!$A$3:$BB$219,36,FALSE)=0,"-",VLOOKUP($A35,SortedDownload!$A$3:$BB$219,36,FALSE)/86400000),"-")</f>
        <v>0.38809997685185182</v>
      </c>
      <c r="P35" s="57">
        <f>IFERROR(IF(VLOOKUP($A35,SortedDownload!$A$3:$BB$219,37,FALSE)=0,"-",VLOOKUP($A35,SortedDownload!$A$3:$BB$219,37,FALSE)/86400000),"-")</f>
        <v>0.4569988888888889</v>
      </c>
      <c r="Q35" s="57">
        <f>IFERROR(IF(VLOOKUP($A35,SortedDownload!$A$3:$BB$219,38,FALSE)=0,"-",VLOOKUP($A35,SortedDownload!$A$3:$BB$219,38,FALSE)/86400000),"-")</f>
        <v>0.4598935648148148</v>
      </c>
      <c r="R35" s="57">
        <f>IFERROR(IF(VLOOKUP($A35,SortedDownload!$A$3:$BB$219,39,FALSE)=0,"-",VLOOKUP($A35,SortedDownload!$A$3:$BB$219,39,FALSE)/86400000),"-")</f>
        <v>0.47504930555555558</v>
      </c>
      <c r="S35" s="57">
        <f>IFERROR(IF(VLOOKUP($A35,SortedDownload!$A$3:$BB$219,40,FALSE)=0,"-",VLOOKUP($A35,SortedDownload!$A$3:$BB$219,40,FALSE)/86400000),"-")</f>
        <v>0.4786182986111111</v>
      </c>
      <c r="T35" s="57" t="str">
        <f>IFERROR(IF(VLOOKUP($A35,SortedDownload!$A$3:$BB$219,41,FALSE)=0,"-",VLOOKUP($A35,SortedDownload!$A$3:$BB$219,41,FALSE)/86400000),"-")</f>
        <v>-</v>
      </c>
      <c r="U35" s="57" t="str">
        <f>IFERROR(IF(VLOOKUP($A35,SortedDownload!$A$3:$BB$219,42,FALSE)=0,"-",VLOOKUP($A35,SortedDownload!$A$3:$BB$219,42,FALSE)/86400000),"-")</f>
        <v>-</v>
      </c>
      <c r="V35" s="57" t="str">
        <f>IFERROR(IF(VLOOKUP($A35,SortedDownload!$A$3:$BB$219,43,FALSE)=0,"-",VLOOKUP($A35,SortedDownload!$A$3:$BB$219,43,FALSE)/86400000),"-")</f>
        <v>-</v>
      </c>
      <c r="W35" s="57" t="str">
        <f>IFERROR(IF(VLOOKUP($A35,SortedDownload!$A$3:$BB$219,44,FALSE)=0,"-",VLOOKUP($A35,SortedDownload!$A$3:$BB$219,44,FALSE)/86400000),"-")</f>
        <v>-</v>
      </c>
      <c r="X35" s="57" t="str">
        <f>IFERROR(IF(VLOOKUP($A35,SortedDownload!$A$3:$BB$219,45,FALSE)=0,"-",VLOOKUP($A35,SortedDownload!$A$3:$BB$219,45,FALSE)/86400000),"-")</f>
        <v>-</v>
      </c>
      <c r="Y35" s="58">
        <f>IFERROR(VLOOKUP($A35,SortedDownload!$A$3:$BB$219,46,FALSE)/86400000,"")</f>
        <v>0</v>
      </c>
      <c r="Z35" s="58">
        <f>IFERROR(Table932[[#This Row],[End Time]]-Table932[[#This Row],[Start Time]],"")</f>
        <v>-0.4141053472222222</v>
      </c>
      <c r="AA35" s="58"/>
      <c r="AB35" s="170" t="str">
        <f t="shared" si="3"/>
        <v>N/A</v>
      </c>
      <c r="AC35" s="170" t="str">
        <f t="shared" si="2"/>
        <v>N/A</v>
      </c>
    </row>
    <row r="36" spans="1:29">
      <c r="A36" s="53">
        <f>IF(SortedDownload!A33 &lt; 1,"",SortedDownload!A33)</f>
        <v>187</v>
      </c>
      <c r="B36" s="54">
        <f t="shared" si="0"/>
        <v>31</v>
      </c>
      <c r="C36" s="54" t="str">
        <f>IFERROR(VLOOKUP($A36,CategoryResults!$A$3:$X$252,3,FALSE),"")</f>
        <v/>
      </c>
      <c r="D36" s="90" t="str">
        <f>IFERROR(VLOOKUP($A36,EntryList!$A$3:$N$291,2,FALSE),"")</f>
        <v>James Owen</v>
      </c>
      <c r="E36" s="54" t="str">
        <f>IFERROR(VLOOKUP(C36,SeriesPoints!$A$2:$B$51,2,FALSE),"")</f>
        <v/>
      </c>
      <c r="F36" s="144" t="str">
        <f>IFERROR(VLOOKUP($A36,EntryList!$A$3:$V$291,22,FALSE),"")</f>
        <v>-</v>
      </c>
      <c r="G36" s="100" t="str">
        <f>IFERROR(VLOOKUP($A36,EntryList!$A$3:$N$291,6,FALSE),"")</f>
        <v>M</v>
      </c>
      <c r="H36" s="145" t="str">
        <f>IFERROR(VLOOKUP($A36,EntryList!$A$3:$N$291,7,FALSE),"")</f>
        <v>Master Men</v>
      </c>
      <c r="I36" s="56">
        <f t="shared" si="1"/>
        <v>9</v>
      </c>
      <c r="J36" s="57">
        <f>IFERROR(VLOOKUP($A36,SortedDownload!$A$3:$BB$219,31,FALSE)/86400000,"")</f>
        <v>0.38379363425925928</v>
      </c>
      <c r="K36" s="57">
        <f>IFERROR(IF(VLOOKUP($A36,SortedDownload!$A$3:$BB$219,32,FALSE)=0,"-",VLOOKUP($A36,SortedDownload!$A$3:$BB$219,32,FALSE)/86400000),"-")</f>
        <v>0.38638255787037035</v>
      </c>
      <c r="L36" s="57">
        <f>IFERROR(IF(VLOOKUP($A36,SortedDownload!$A$3:$BB$219,33,FALSE)=0,"-",VLOOKUP($A36,SortedDownload!$A$3:$BB$219,33,FALSE)/86400000),"-")</f>
        <v>0.45735270833333336</v>
      </c>
      <c r="M36" s="57">
        <f>IFERROR(IF(VLOOKUP($A36,SortedDownload!$A$3:$BB$219,34,FALSE)=0,"-",VLOOKUP($A36,SortedDownload!$A$3:$BB$219,34,FALSE)/86400000),"-")</f>
        <v>0.45992089120370372</v>
      </c>
      <c r="N36" s="57">
        <f>IFERROR(IF(VLOOKUP($A36,SortedDownload!$A$3:$BB$219,35,FALSE)=0,"-",VLOOKUP($A36,SortedDownload!$A$3:$BB$219,35,FALSE)/86400000),"-")</f>
        <v>0.42089195601851853</v>
      </c>
      <c r="O36" s="57">
        <f>IFERROR(IF(VLOOKUP($A36,SortedDownload!$A$3:$BB$219,36,FALSE)=0,"-",VLOOKUP($A36,SortedDownload!$A$3:$BB$219,36,FALSE)/86400000),"-")</f>
        <v>0.42236722222222223</v>
      </c>
      <c r="P36" s="57">
        <f>IFERROR(IF(VLOOKUP($A36,SortedDownload!$A$3:$BB$219,37,FALSE)=0,"-",VLOOKUP($A36,SortedDownload!$A$3:$BB$219,37,FALSE)/86400000),"-")</f>
        <v>0.51050390046296301</v>
      </c>
      <c r="Q36" s="57">
        <f>IFERROR(IF(VLOOKUP($A36,SortedDownload!$A$3:$BB$219,38,FALSE)=0,"-",VLOOKUP($A36,SortedDownload!$A$3:$BB$219,38,FALSE)/86400000),"-")</f>
        <v>0.5134305555555555</v>
      </c>
      <c r="R36" s="57">
        <f>IFERROR(IF(VLOOKUP($A36,SortedDownload!$A$3:$BB$219,39,FALSE)=0,"-",VLOOKUP($A36,SortedDownload!$A$3:$BB$219,39,FALSE)/86400000),"-")</f>
        <v>0.54467789351851847</v>
      </c>
      <c r="S36" s="57">
        <f>IFERROR(IF(VLOOKUP($A36,SortedDownload!$A$3:$BB$219,40,FALSE)=0,"-",VLOOKUP($A36,SortedDownload!$A$3:$BB$219,40,FALSE)/86400000),"-")</f>
        <v>0.54835695601851853</v>
      </c>
      <c r="T36" s="57" t="str">
        <f>IFERROR(IF(VLOOKUP($A36,SortedDownload!$A$3:$BB$219,41,FALSE)=0,"-",VLOOKUP($A36,SortedDownload!$A$3:$BB$219,41,FALSE)/86400000),"-")</f>
        <v>-</v>
      </c>
      <c r="U36" s="57" t="str">
        <f>IFERROR(IF(VLOOKUP($A36,SortedDownload!$A$3:$BB$219,42,FALSE)=0,"-",VLOOKUP($A36,SortedDownload!$A$3:$BB$219,42,FALSE)/86400000),"-")</f>
        <v>-</v>
      </c>
      <c r="V36" s="57" t="str">
        <f>IFERROR(IF(VLOOKUP($A36,SortedDownload!$A$3:$BB$219,43,FALSE)=0,"-",VLOOKUP($A36,SortedDownload!$A$3:$BB$219,43,FALSE)/86400000),"-")</f>
        <v>-</v>
      </c>
      <c r="W36" s="57" t="str">
        <f>IFERROR(IF(VLOOKUP($A36,SortedDownload!$A$3:$BB$219,44,FALSE)=0,"-",VLOOKUP($A36,SortedDownload!$A$3:$BB$219,44,FALSE)/86400000),"-")</f>
        <v>-</v>
      </c>
      <c r="X36" s="57" t="str">
        <f>IFERROR(IF(VLOOKUP($A36,SortedDownload!$A$3:$BB$219,45,FALSE)=0,"-",VLOOKUP($A36,SortedDownload!$A$3:$BB$219,45,FALSE)/86400000),"-")</f>
        <v>-</v>
      </c>
      <c r="Y36" s="58">
        <f>IFERROR(VLOOKUP($A36,SortedDownload!$A$3:$BB$219,46,FALSE)/86400000,"")</f>
        <v>0</v>
      </c>
      <c r="Z36" s="58">
        <f>IFERROR(Table932[[#This Row],[End Time]]-Table932[[#This Row],[Start Time]],"")</f>
        <v>-0.38379363425925928</v>
      </c>
      <c r="AA36" s="58"/>
      <c r="AB36" s="170" t="str">
        <f t="shared" si="3"/>
        <v>43:39</v>
      </c>
      <c r="AC36" s="170" t="str">
        <f t="shared" si="2"/>
        <v>34:01</v>
      </c>
    </row>
    <row r="37" spans="1:29">
      <c r="A37" s="53">
        <f>IF(SortedDownload!A34 &lt; 1,"",SortedDownload!A34)</f>
        <v>55</v>
      </c>
      <c r="B37" s="54">
        <f t="shared" si="0"/>
        <v>32</v>
      </c>
      <c r="C37" s="54" t="str">
        <f>IFERROR(VLOOKUP($A37,CategoryResults!$A$3:$X$252,3,FALSE),"")</f>
        <v/>
      </c>
      <c r="D37" s="90" t="str">
        <f>IFERROR(VLOOKUP($A37,EntryList!$A$3:$N$291,2,FALSE),"")</f>
        <v>Nic Rezelman</v>
      </c>
      <c r="E37" s="54" t="str">
        <f>IFERROR(VLOOKUP(C37,SeriesPoints!$A$2:$B$51,2,FALSE),"")</f>
        <v/>
      </c>
      <c r="F37" s="144" t="str">
        <f>IFERROR(VLOOKUP($A37,EntryList!$A$3:$V$291,22,FALSE),"")</f>
        <v>-</v>
      </c>
      <c r="G37" s="100" t="str">
        <f>IFERROR(VLOOKUP($A37,EntryList!$A$3:$N$291,6,FALSE),"")</f>
        <v>M</v>
      </c>
      <c r="H37" s="145" t="str">
        <f>IFERROR(VLOOKUP($A37,EntryList!$A$3:$N$291,7,FALSE),"")</f>
        <v>E-Bike M</v>
      </c>
      <c r="I37" s="56">
        <f t="shared" si="1"/>
        <v>9</v>
      </c>
      <c r="J37" s="57">
        <f>IFERROR(VLOOKUP($A37,SortedDownload!$A$3:$BB$219,31,FALSE)/86400000,"")</f>
        <v>0.3824427777777778</v>
      </c>
      <c r="K37" s="57">
        <f>IFERROR(IF(VLOOKUP($A37,SortedDownload!$A$3:$BB$219,32,FALSE)=0,"-",VLOOKUP($A37,SortedDownload!$A$3:$BB$219,32,FALSE)/86400000),"-")</f>
        <v>0.38514685185185188</v>
      </c>
      <c r="L37" s="57">
        <f>IFERROR(IF(VLOOKUP($A37,SortedDownload!$A$3:$BB$219,33,FALSE)=0,"-",VLOOKUP($A37,SortedDownload!$A$3:$BB$219,33,FALSE)/86400000),"-")</f>
        <v>0.45691787037037035</v>
      </c>
      <c r="M37" s="57">
        <f>IFERROR(IF(VLOOKUP($A37,SortedDownload!$A$3:$BB$219,34,FALSE)=0,"-",VLOOKUP($A37,SortedDownload!$A$3:$BB$219,34,FALSE)/86400000),"-")</f>
        <v>0.45948959490740743</v>
      </c>
      <c r="N37" s="57">
        <f>IFERROR(IF(VLOOKUP($A37,SortedDownload!$A$3:$BB$219,35,FALSE)=0,"-",VLOOKUP($A37,SortedDownload!$A$3:$BB$219,35,FALSE)/86400000),"-")</f>
        <v>0.42122412037037038</v>
      </c>
      <c r="O37" s="57">
        <f>IFERROR(IF(VLOOKUP($A37,SortedDownload!$A$3:$BB$219,36,FALSE)=0,"-",VLOOKUP($A37,SortedDownload!$A$3:$BB$219,36,FALSE)/86400000),"-")</f>
        <v>0.42272031249999997</v>
      </c>
      <c r="P37" s="57">
        <f>IFERROR(IF(VLOOKUP($A37,SortedDownload!$A$3:$BB$219,37,FALSE)=0,"-",VLOOKUP($A37,SortedDownload!$A$3:$BB$219,37,FALSE)/86400000),"-")</f>
        <v>0.51026445601851855</v>
      </c>
      <c r="Q37" s="57">
        <f>IFERROR(IF(VLOOKUP($A37,SortedDownload!$A$3:$BB$219,38,FALSE)=0,"-",VLOOKUP($A37,SortedDownload!$A$3:$BB$219,38,FALSE)/86400000),"-")</f>
        <v>0.51314628472222223</v>
      </c>
      <c r="R37" s="57">
        <f>IFERROR(IF(VLOOKUP($A37,SortedDownload!$A$3:$BB$219,39,FALSE)=0,"-",VLOOKUP($A37,SortedDownload!$A$3:$BB$219,39,FALSE)/86400000),"-")</f>
        <v>0.54437344907407403</v>
      </c>
      <c r="S37" s="57">
        <f>IFERROR(IF(VLOOKUP($A37,SortedDownload!$A$3:$BB$219,40,FALSE)=0,"-",VLOOKUP($A37,SortedDownload!$A$3:$BB$219,40,FALSE)/86400000),"-")</f>
        <v>0.54796016203703701</v>
      </c>
      <c r="T37" s="57" t="str">
        <f>IFERROR(IF(VLOOKUP($A37,SortedDownload!$A$3:$BB$219,41,FALSE)=0,"-",VLOOKUP($A37,SortedDownload!$A$3:$BB$219,41,FALSE)/86400000),"-")</f>
        <v>-</v>
      </c>
      <c r="U37" s="57" t="str">
        <f>IFERROR(IF(VLOOKUP($A37,SortedDownload!$A$3:$BB$219,42,FALSE)=0,"-",VLOOKUP($A37,SortedDownload!$A$3:$BB$219,42,FALSE)/86400000),"-")</f>
        <v>-</v>
      </c>
      <c r="V37" s="57" t="str">
        <f>IFERROR(IF(VLOOKUP($A37,SortedDownload!$A$3:$BB$219,43,FALSE)=0,"-",VLOOKUP($A37,SortedDownload!$A$3:$BB$219,43,FALSE)/86400000),"-")</f>
        <v>-</v>
      </c>
      <c r="W37" s="57" t="str">
        <f>IFERROR(IF(VLOOKUP($A37,SortedDownload!$A$3:$BB$219,44,FALSE)=0,"-",VLOOKUP($A37,SortedDownload!$A$3:$BB$219,44,FALSE)/86400000),"-")</f>
        <v>-</v>
      </c>
      <c r="X37" s="57" t="str">
        <f>IFERROR(IF(VLOOKUP($A37,SortedDownload!$A$3:$BB$219,45,FALSE)=0,"-",VLOOKUP($A37,SortedDownload!$A$3:$BB$219,45,FALSE)/86400000),"-")</f>
        <v>-</v>
      </c>
      <c r="Y37" s="58">
        <f>IFERROR(VLOOKUP($A37,SortedDownload!$A$3:$BB$219,46,FALSE)/86400000,"")</f>
        <v>0</v>
      </c>
      <c r="Z37" s="58">
        <f>IFERROR(Table932[[#This Row],[End Time]]-Table932[[#This Row],[Start Time]],"")</f>
        <v>-0.3824427777777778</v>
      </c>
      <c r="AA37" s="58"/>
      <c r="AB37" s="170" t="str">
        <f t="shared" si="3"/>
        <v>01:57</v>
      </c>
      <c r="AC37" s="170" t="str">
        <f t="shared" si="2"/>
        <v>35:57</v>
      </c>
    </row>
    <row r="38" spans="1:29">
      <c r="A38" s="53">
        <f>IF(SortedDownload!A35 &lt; 1,"",SortedDownload!A35)</f>
        <v>160</v>
      </c>
      <c r="B38" s="54">
        <f t="shared" si="0"/>
        <v>33</v>
      </c>
      <c r="C38" s="54" t="str">
        <f>IFERROR(VLOOKUP($A38,CategoryResults!$A$3:$X$252,3,FALSE),"")</f>
        <v/>
      </c>
      <c r="D38" s="90" t="str">
        <f>IFERROR(VLOOKUP($A38,EntryList!$A$3:$N$291,2,FALSE),"")</f>
        <v>Francois Van Schalkwyk</v>
      </c>
      <c r="E38" s="54" t="str">
        <f>IFERROR(VLOOKUP(C38,SeriesPoints!$A$2:$B$51,2,FALSE),"")</f>
        <v/>
      </c>
      <c r="F38" s="144" t="str">
        <f>IFERROR(VLOOKUP($A38,EntryList!$A$3:$V$291,22,FALSE),"")</f>
        <v>-</v>
      </c>
      <c r="G38" s="100" t="str">
        <f>IFERROR(VLOOKUP($A38,EntryList!$A$3:$N$291,6,FALSE),"")</f>
        <v>M</v>
      </c>
      <c r="H38" s="145" t="str">
        <f>IFERROR(VLOOKUP($A38,EntryList!$A$3:$N$291,7,FALSE),"")</f>
        <v>Elite Men</v>
      </c>
      <c r="I38" s="56">
        <f t="shared" si="1"/>
        <v>9</v>
      </c>
      <c r="J38" s="57">
        <f>IFERROR(VLOOKUP($A38,SortedDownload!$A$3:$BB$219,31,FALSE)/86400000,"")</f>
        <v>0.42469353009259259</v>
      </c>
      <c r="K38" s="57">
        <f>IFERROR(IF(VLOOKUP($A38,SortedDownload!$A$3:$BB$219,32,FALSE)=0,"-",VLOOKUP($A38,SortedDownload!$A$3:$BB$219,32,FALSE)/86400000),"-")</f>
        <v>0.42724082175925926</v>
      </c>
      <c r="L38" s="57">
        <f>IFERROR(IF(VLOOKUP($A38,SortedDownload!$A$3:$BB$219,33,FALSE)=0,"-",VLOOKUP($A38,SortedDownload!$A$3:$BB$219,33,FALSE)/86400000),"-")</f>
        <v>0.46401995370370369</v>
      </c>
      <c r="M38" s="57">
        <f>IFERROR(IF(VLOOKUP($A38,SortedDownload!$A$3:$BB$219,34,FALSE)=0,"-",VLOOKUP($A38,SortedDownload!$A$3:$BB$219,34,FALSE)/86400000),"-")</f>
        <v>0.46666548611111114</v>
      </c>
      <c r="N38" s="57">
        <f>IFERROR(IF(VLOOKUP($A38,SortedDownload!$A$3:$BB$219,35,FALSE)=0,"-",VLOOKUP($A38,SortedDownload!$A$3:$BB$219,35,FALSE)/86400000),"-")</f>
        <v>0.37816379629629632</v>
      </c>
      <c r="O38" s="57">
        <f>IFERROR(IF(VLOOKUP($A38,SortedDownload!$A$3:$BB$219,36,FALSE)=0,"-",VLOOKUP($A38,SortedDownload!$A$3:$BB$219,36,FALSE)/86400000),"-")</f>
        <v>0.37979067129629629</v>
      </c>
      <c r="P38" s="57">
        <f>IFERROR(IF(VLOOKUP($A38,SortedDownload!$A$3:$BB$219,37,FALSE)=0,"-",VLOOKUP($A38,SortedDownload!$A$3:$BB$219,37,FALSE)/86400000),"-")</f>
        <v>0.51501314814814814</v>
      </c>
      <c r="Q38" s="57">
        <f>IFERROR(IF(VLOOKUP($A38,SortedDownload!$A$3:$BB$219,38,FALSE)=0,"-",VLOOKUP($A38,SortedDownload!$A$3:$BB$219,38,FALSE)/86400000),"-")</f>
        <v>0.51786168981481484</v>
      </c>
      <c r="R38" s="57">
        <f>IFERROR(IF(VLOOKUP($A38,SortedDownload!$A$3:$BB$219,39,FALSE)=0,"-",VLOOKUP($A38,SortedDownload!$A$3:$BB$219,39,FALSE)/86400000),"-")</f>
        <v>0.55956162037037038</v>
      </c>
      <c r="S38" s="57">
        <f>IFERROR(IF(VLOOKUP($A38,SortedDownload!$A$3:$BB$219,40,FALSE)=0,"-",VLOOKUP($A38,SortedDownload!$A$3:$BB$219,40,FALSE)/86400000),"-")</f>
        <v>0.56321427083333331</v>
      </c>
      <c r="T38" s="57" t="str">
        <f>IFERROR(IF(VLOOKUP($A38,SortedDownload!$A$3:$BB$219,41,FALSE)=0,"-",VLOOKUP($A38,SortedDownload!$A$3:$BB$219,41,FALSE)/86400000),"-")</f>
        <v>-</v>
      </c>
      <c r="U38" s="57" t="str">
        <f>IFERROR(IF(VLOOKUP($A38,SortedDownload!$A$3:$BB$219,42,FALSE)=0,"-",VLOOKUP($A38,SortedDownload!$A$3:$BB$219,42,FALSE)/86400000),"-")</f>
        <v>-</v>
      </c>
      <c r="V38" s="57" t="str">
        <f>IFERROR(IF(VLOOKUP($A38,SortedDownload!$A$3:$BB$219,43,FALSE)=0,"-",VLOOKUP($A38,SortedDownload!$A$3:$BB$219,43,FALSE)/86400000),"-")</f>
        <v>-</v>
      </c>
      <c r="W38" s="57" t="str">
        <f>IFERROR(IF(VLOOKUP($A38,SortedDownload!$A$3:$BB$219,44,FALSE)=0,"-",VLOOKUP($A38,SortedDownload!$A$3:$BB$219,44,FALSE)/86400000),"-")</f>
        <v>-</v>
      </c>
      <c r="X38" s="57" t="str">
        <f>IFERROR(IF(VLOOKUP($A38,SortedDownload!$A$3:$BB$219,45,FALSE)=0,"-",VLOOKUP($A38,SortedDownload!$A$3:$BB$219,45,FALSE)/86400000),"-")</f>
        <v>-</v>
      </c>
      <c r="Y38" s="58">
        <f>IFERROR(VLOOKUP($A38,SortedDownload!$A$3:$BB$219,46,FALSE)/86400000,"")</f>
        <v>0</v>
      </c>
      <c r="Z38" s="58">
        <f>IFERROR(Table932[[#This Row],[End Time]]-Table932[[#This Row],[Start Time]],"")</f>
        <v>-0.42469353009259259</v>
      </c>
      <c r="AA38" s="58"/>
      <c r="AB38" s="170" t="str">
        <f t="shared" si="3"/>
        <v>N/A</v>
      </c>
      <c r="AC38" s="170" t="str">
        <f t="shared" ref="AC38:AC69" si="4">IF($I38-$I$6&lt;0,"N/A",IFERROR(TEXT(($Z38-$Z$6),"mm:ss"),"N/A"))</f>
        <v>N/A</v>
      </c>
    </row>
    <row r="39" spans="1:29">
      <c r="A39" s="53">
        <f>IF(SortedDownload!A36 &lt; 1,"",SortedDownload!A36)</f>
        <v>285</v>
      </c>
      <c r="B39" s="54">
        <f t="shared" si="0"/>
        <v>34</v>
      </c>
      <c r="C39" s="54" t="str">
        <f>IFERROR(VLOOKUP($A39,CategoryResults!$A$3:$X$252,3,FALSE),"")</f>
        <v/>
      </c>
      <c r="D39" s="90" t="str">
        <f>IFERROR(VLOOKUP($A39,EntryList!$A$3:$N$291,2,FALSE),"")</f>
        <v>Piet Brummer</v>
      </c>
      <c r="E39" s="54" t="str">
        <f>IFERROR(VLOOKUP(C39,SeriesPoints!$A$2:$B$51,2,FALSE),"")</f>
        <v/>
      </c>
      <c r="F39" s="144" t="str">
        <f>IFERROR(VLOOKUP($A39,EntryList!$A$3:$V$291,22,FALSE),"")</f>
        <v>-</v>
      </c>
      <c r="G39" s="100" t="str">
        <f>IFERROR(VLOOKUP($A39,EntryList!$A$3:$N$291,6,FALSE),"")</f>
        <v>M</v>
      </c>
      <c r="H39" s="145" t="str">
        <f>IFERROR(VLOOKUP($A39,EntryList!$A$3:$N$291,7,FALSE),"")</f>
        <v>Elite Men</v>
      </c>
      <c r="I39" s="56">
        <f t="shared" si="1"/>
        <v>9</v>
      </c>
      <c r="J39" s="57">
        <f>IFERROR(VLOOKUP($A39,SortedDownload!$A$3:$BB$219,31,FALSE)/86400000,"")</f>
        <v>0.41820091435185186</v>
      </c>
      <c r="K39" s="57">
        <f>IFERROR(IF(VLOOKUP($A39,SortedDownload!$A$3:$BB$219,32,FALSE)=0,"-",VLOOKUP($A39,SortedDownload!$A$3:$BB$219,32,FALSE)/86400000),"-")</f>
        <v>0.42063797453703705</v>
      </c>
      <c r="L39" s="57">
        <f>IFERROR(IF(VLOOKUP($A39,SortedDownload!$A$3:$BB$219,33,FALSE)=0,"-",VLOOKUP($A39,SortedDownload!$A$3:$BB$219,33,FALSE)/86400000),"-")</f>
        <v>0.37253333333333333</v>
      </c>
      <c r="M39" s="57">
        <f>IFERROR(IF(VLOOKUP($A39,SortedDownload!$A$3:$BB$219,34,FALSE)=0,"-",VLOOKUP($A39,SortedDownload!$A$3:$BB$219,34,FALSE)/86400000),"-")</f>
        <v>0.37527012731481479</v>
      </c>
      <c r="N39" s="57">
        <f>IFERROR(IF(VLOOKUP($A39,SortedDownload!$A$3:$BB$219,35,FALSE)=0,"-",VLOOKUP($A39,SortedDownload!$A$3:$BB$219,35,FALSE)/86400000),"-")</f>
        <v>0.45412123842592594</v>
      </c>
      <c r="O39" s="57">
        <f>IFERROR(IF(VLOOKUP($A39,SortedDownload!$A$3:$BB$219,36,FALSE)=0,"-",VLOOKUP($A39,SortedDownload!$A$3:$BB$219,36,FALSE)/86400000),"-")</f>
        <v>0.45563082175925929</v>
      </c>
      <c r="P39" s="57">
        <f>IFERROR(IF(VLOOKUP($A39,SortedDownload!$A$3:$BB$219,37,FALSE)=0,"-",VLOOKUP($A39,SortedDownload!$A$3:$BB$219,37,FALSE)/86400000),"-")</f>
        <v>0.4963646990740741</v>
      </c>
      <c r="Q39" s="57">
        <f>IFERROR(IF(VLOOKUP($A39,SortedDownload!$A$3:$BB$219,38,FALSE)=0,"-",VLOOKUP($A39,SortedDownload!$A$3:$BB$219,38,FALSE)/86400000),"-")</f>
        <v>0.49941458333333333</v>
      </c>
      <c r="R39" s="57">
        <f>IFERROR(IF(VLOOKUP($A39,SortedDownload!$A$3:$BB$219,39,FALSE)=0,"-",VLOOKUP($A39,SortedDownload!$A$3:$BB$219,39,FALSE)/86400000),"-")</f>
        <v>0.52858888888888889</v>
      </c>
      <c r="S39" s="57">
        <f>IFERROR(IF(VLOOKUP($A39,SortedDownload!$A$3:$BB$219,40,FALSE)=0,"-",VLOOKUP($A39,SortedDownload!$A$3:$BB$219,40,FALSE)/86400000),"-")</f>
        <v>0.5321770023148148</v>
      </c>
      <c r="T39" s="57" t="str">
        <f>IFERROR(IF(VLOOKUP($A39,SortedDownload!$A$3:$BB$219,41,FALSE)=0,"-",VLOOKUP($A39,SortedDownload!$A$3:$BB$219,41,FALSE)/86400000),"-")</f>
        <v>-</v>
      </c>
      <c r="U39" s="57" t="str">
        <f>IFERROR(IF(VLOOKUP($A39,SortedDownload!$A$3:$BB$219,42,FALSE)=0,"-",VLOOKUP($A39,SortedDownload!$A$3:$BB$219,42,FALSE)/86400000),"-")</f>
        <v>-</v>
      </c>
      <c r="V39" s="57" t="str">
        <f>IFERROR(IF(VLOOKUP($A39,SortedDownload!$A$3:$BB$219,43,FALSE)=0,"-",VLOOKUP($A39,SortedDownload!$A$3:$BB$219,43,FALSE)/86400000),"-")</f>
        <v>-</v>
      </c>
      <c r="W39" s="57" t="str">
        <f>IFERROR(IF(VLOOKUP($A39,SortedDownload!$A$3:$BB$219,44,FALSE)=0,"-",VLOOKUP($A39,SortedDownload!$A$3:$BB$219,44,FALSE)/86400000),"-")</f>
        <v>-</v>
      </c>
      <c r="X39" s="57" t="str">
        <f>IFERROR(IF(VLOOKUP($A39,SortedDownload!$A$3:$BB$219,45,FALSE)=0,"-",VLOOKUP($A39,SortedDownload!$A$3:$BB$219,45,FALSE)/86400000),"-")</f>
        <v>-</v>
      </c>
      <c r="Y39" s="58">
        <f>IFERROR(VLOOKUP($A39,SortedDownload!$A$3:$BB$219,46,FALSE)/86400000,"")</f>
        <v>0</v>
      </c>
      <c r="Z39" s="58">
        <f>IFERROR(Table932[[#This Row],[End Time]]-Table932[[#This Row],[Start Time]],"")</f>
        <v>-0.41820091435185186</v>
      </c>
      <c r="AA39" s="58"/>
      <c r="AB39" s="170" t="str">
        <f t="shared" si="3"/>
        <v>09:21</v>
      </c>
      <c r="AC39" s="170" t="str">
        <f t="shared" si="4"/>
        <v>N/A</v>
      </c>
    </row>
    <row r="40" spans="1:29">
      <c r="A40" s="53">
        <f>IF(SortedDownload!A37 &lt; 1,"",SortedDownload!A37)</f>
        <v>208</v>
      </c>
      <c r="B40" s="54">
        <f t="shared" si="0"/>
        <v>35</v>
      </c>
      <c r="C40" s="54" t="str">
        <f>IFERROR(VLOOKUP($A40,CategoryResults!$A$3:$X$252,3,FALSE),"")</f>
        <v/>
      </c>
      <c r="D40" s="90" t="str">
        <f>IFERROR(VLOOKUP($A40,EntryList!$A$3:$N$291,2,FALSE),"")</f>
        <v>Lood Goosen</v>
      </c>
      <c r="E40" s="54" t="str">
        <f>IFERROR(VLOOKUP(C40,SeriesPoints!$A$2:$B$51,2,FALSE),"")</f>
        <v/>
      </c>
      <c r="F40" s="144" t="str">
        <f>IFERROR(VLOOKUP($A40,EntryList!$A$3:$V$291,22,FALSE),"")</f>
        <v>-</v>
      </c>
      <c r="G40" s="100" t="str">
        <f>IFERROR(VLOOKUP($A40,EntryList!$A$3:$N$291,6,FALSE),"")</f>
        <v>M</v>
      </c>
      <c r="H40" s="145" t="str">
        <f>IFERROR(VLOOKUP($A40,EntryList!$A$3:$N$291,7,FALSE),"")</f>
        <v>Junior Men</v>
      </c>
      <c r="I40" s="56">
        <f t="shared" si="1"/>
        <v>9</v>
      </c>
      <c r="J40" s="57">
        <f>IFERROR(VLOOKUP($A40,SortedDownload!$A$3:$BB$219,31,FALSE)/86400000,"")</f>
        <v>0.39310386574074074</v>
      </c>
      <c r="K40" s="57">
        <f>IFERROR(IF(VLOOKUP($A40,SortedDownload!$A$3:$BB$219,32,FALSE)=0,"-",VLOOKUP($A40,SortedDownload!$A$3:$BB$219,32,FALSE)/86400000),"-")</f>
        <v>0.39570905092592595</v>
      </c>
      <c r="L40" s="57">
        <f>IFERROR(IF(VLOOKUP($A40,SortedDownload!$A$3:$BB$219,33,FALSE)=0,"-",VLOOKUP($A40,SortedDownload!$A$3:$BB$219,33,FALSE)/86400000),"-")</f>
        <v>0.3580125578703704</v>
      </c>
      <c r="M40" s="57">
        <f>IFERROR(IF(VLOOKUP($A40,SortedDownload!$A$3:$BB$219,34,FALSE)=0,"-",VLOOKUP($A40,SortedDownload!$A$3:$BB$219,34,FALSE)/86400000),"-")</f>
        <v>0.36070597222222223</v>
      </c>
      <c r="N40" s="57">
        <f>IFERROR(IF(VLOOKUP($A40,SortedDownload!$A$3:$BB$219,35,FALSE)=0,"-",VLOOKUP($A40,SortedDownload!$A$3:$BB$219,35,FALSE)/86400000),"-")</f>
        <v>0.42531578703703704</v>
      </c>
      <c r="O40" s="57">
        <f>IFERROR(IF(VLOOKUP($A40,SortedDownload!$A$3:$BB$219,36,FALSE)=0,"-",VLOOKUP($A40,SortedDownload!$A$3:$BB$219,36,FALSE)/86400000),"-")</f>
        <v>0.42682909722222223</v>
      </c>
      <c r="P40" s="57">
        <f>IFERROR(IF(VLOOKUP($A40,SortedDownload!$A$3:$BB$219,37,FALSE)=0,"-",VLOOKUP($A40,SortedDownload!$A$3:$BB$219,37,FALSE)/86400000),"-")</f>
        <v>0.46899416666666666</v>
      </c>
      <c r="Q40" s="57">
        <f>IFERROR(IF(VLOOKUP($A40,SortedDownload!$A$3:$BB$219,38,FALSE)=0,"-",VLOOKUP($A40,SortedDownload!$A$3:$BB$219,38,FALSE)/86400000),"-")</f>
        <v>0.47197490740740738</v>
      </c>
      <c r="R40" s="57">
        <f>IFERROR(IF(VLOOKUP($A40,SortedDownload!$A$3:$BB$219,39,FALSE)=0,"-",VLOOKUP($A40,SortedDownload!$A$3:$BB$219,39,FALSE)/86400000),"-")</f>
        <v>0.4986700925925926</v>
      </c>
      <c r="S40" s="57">
        <f>IFERROR(IF(VLOOKUP($A40,SortedDownload!$A$3:$BB$219,40,FALSE)=0,"-",VLOOKUP($A40,SortedDownload!$A$3:$BB$219,40,FALSE)/86400000),"-")</f>
        <v>0.50220259259259259</v>
      </c>
      <c r="T40" s="57" t="str">
        <f>IFERROR(IF(VLOOKUP($A40,SortedDownload!$A$3:$BB$219,41,FALSE)=0,"-",VLOOKUP($A40,SortedDownload!$A$3:$BB$219,41,FALSE)/86400000),"-")</f>
        <v>-</v>
      </c>
      <c r="U40" s="57" t="str">
        <f>IFERROR(IF(VLOOKUP($A40,SortedDownload!$A$3:$BB$219,42,FALSE)=0,"-",VLOOKUP($A40,SortedDownload!$A$3:$BB$219,42,FALSE)/86400000),"-")</f>
        <v>-</v>
      </c>
      <c r="V40" s="57" t="str">
        <f>IFERROR(IF(VLOOKUP($A40,SortedDownload!$A$3:$BB$219,43,FALSE)=0,"-",VLOOKUP($A40,SortedDownload!$A$3:$BB$219,43,FALSE)/86400000),"-")</f>
        <v>-</v>
      </c>
      <c r="W40" s="57" t="str">
        <f>IFERROR(IF(VLOOKUP($A40,SortedDownload!$A$3:$BB$219,44,FALSE)=0,"-",VLOOKUP($A40,SortedDownload!$A$3:$BB$219,44,FALSE)/86400000),"-")</f>
        <v>-</v>
      </c>
      <c r="X40" s="57" t="str">
        <f>IFERROR(IF(VLOOKUP($A40,SortedDownload!$A$3:$BB$219,45,FALSE)=0,"-",VLOOKUP($A40,SortedDownload!$A$3:$BB$219,45,FALSE)/86400000),"-")</f>
        <v>-</v>
      </c>
      <c r="Y40" s="58">
        <f>IFERROR(VLOOKUP($A40,SortedDownload!$A$3:$BB$219,46,FALSE)/86400000,"")</f>
        <v>0</v>
      </c>
      <c r="Z40" s="58">
        <f>IFERROR(Table932[[#This Row],[End Time]]-Table932[[#This Row],[Start Time]],"")</f>
        <v>-0.39310386574074074</v>
      </c>
      <c r="AA40" s="58"/>
      <c r="AB40" s="170" t="str">
        <f t="shared" si="3"/>
        <v>36:08</v>
      </c>
      <c r="AC40" s="170" t="str">
        <f t="shared" si="4"/>
        <v>20:36</v>
      </c>
    </row>
    <row r="41" spans="1:29">
      <c r="A41" s="53">
        <f>IF(SortedDownload!A38 &lt; 1,"",SortedDownload!A38)</f>
        <v>16</v>
      </c>
      <c r="B41" s="54">
        <f t="shared" si="0"/>
        <v>36</v>
      </c>
      <c r="C41" s="54" t="str">
        <f>IFERROR(VLOOKUP($A41,CategoryResults!$A$3:$X$252,3,FALSE),"")</f>
        <v/>
      </c>
      <c r="D41" s="90" t="str">
        <f>IFERROR(VLOOKUP($A41,EntryList!$A$3:$N$291,2,FALSE),"")</f>
        <v>Seth Barnard</v>
      </c>
      <c r="E41" s="54" t="str">
        <f>IFERROR(VLOOKUP(C41,SeriesPoints!$A$2:$B$51,2,FALSE),"")</f>
        <v/>
      </c>
      <c r="F41" s="144" t="str">
        <f>IFERROR(VLOOKUP($A41,EntryList!$A$3:$V$291,22,FALSE),"")</f>
        <v>-</v>
      </c>
      <c r="G41" s="100" t="str">
        <f>IFERROR(VLOOKUP($A41,EntryList!$A$3:$N$291,6,FALSE),"")</f>
        <v>M</v>
      </c>
      <c r="H41" s="145" t="str">
        <f>IFERROR(VLOOKUP($A41,EntryList!$A$3:$N$291,7,FALSE),"")</f>
        <v>Youth Men</v>
      </c>
      <c r="I41" s="56">
        <f t="shared" si="1"/>
        <v>9</v>
      </c>
      <c r="J41" s="57">
        <f>IFERROR(VLOOKUP($A41,SortedDownload!$A$3:$BB$219,31,FALSE)/86400000,"")</f>
        <v>0.39988579861111112</v>
      </c>
      <c r="K41" s="57">
        <f>IFERROR(IF(VLOOKUP($A41,SortedDownload!$A$3:$BB$219,32,FALSE)=0,"-",VLOOKUP($A41,SortedDownload!$A$3:$BB$219,32,FALSE)/86400000),"-")</f>
        <v>0.40249694444444445</v>
      </c>
      <c r="L41" s="57">
        <f>IFERROR(IF(VLOOKUP($A41,SortedDownload!$A$3:$BB$219,33,FALSE)=0,"-",VLOOKUP($A41,SortedDownload!$A$3:$BB$219,33,FALSE)/86400000),"-")</f>
        <v>0.36079526620370372</v>
      </c>
      <c r="M41" s="57">
        <f>IFERROR(IF(VLOOKUP($A41,SortedDownload!$A$3:$BB$219,34,FALSE)=0,"-",VLOOKUP($A41,SortedDownload!$A$3:$BB$219,34,FALSE)/86400000),"-")</f>
        <v>0.36349949074074073</v>
      </c>
      <c r="N41" s="57">
        <f>IFERROR(IF(VLOOKUP($A41,SortedDownload!$A$3:$BB$219,35,FALSE)=0,"-",VLOOKUP($A41,SortedDownload!$A$3:$BB$219,35,FALSE)/86400000),"-")</f>
        <v>0.43791527777777778</v>
      </c>
      <c r="O41" s="57">
        <f>IFERROR(IF(VLOOKUP($A41,SortedDownload!$A$3:$BB$219,36,FALSE)=0,"-",VLOOKUP($A41,SortedDownload!$A$3:$BB$219,36,FALSE)/86400000),"-")</f>
        <v>0.43937152777777777</v>
      </c>
      <c r="P41" s="57">
        <f>IFERROR(IF(VLOOKUP($A41,SortedDownload!$A$3:$BB$219,37,FALSE)=0,"-",VLOOKUP($A41,SortedDownload!$A$3:$BB$219,37,FALSE)/86400000),"-")</f>
        <v>0.48500313657407407</v>
      </c>
      <c r="Q41" s="57">
        <f>IFERROR(IF(VLOOKUP($A41,SortedDownload!$A$3:$BB$219,38,FALSE)=0,"-",VLOOKUP($A41,SortedDownload!$A$3:$BB$219,38,FALSE)/86400000),"-")</f>
        <v>0.48792829861111109</v>
      </c>
      <c r="R41" s="57">
        <f>IFERROR(IF(VLOOKUP($A41,SortedDownload!$A$3:$BB$219,39,FALSE)=0,"-",VLOOKUP($A41,SortedDownload!$A$3:$BB$219,39,FALSE)/86400000),"-")</f>
        <v>0.52010932870370374</v>
      </c>
      <c r="S41" s="57">
        <f>IFERROR(IF(VLOOKUP($A41,SortedDownload!$A$3:$BB$219,40,FALSE)=0,"-",VLOOKUP($A41,SortedDownload!$A$3:$BB$219,40,FALSE)/86400000),"-")</f>
        <v>0.52375938657407406</v>
      </c>
      <c r="T41" s="57" t="str">
        <f>IFERROR(IF(VLOOKUP($A41,SortedDownload!$A$3:$BB$219,41,FALSE)=0,"-",VLOOKUP($A41,SortedDownload!$A$3:$BB$219,41,FALSE)/86400000),"-")</f>
        <v>-</v>
      </c>
      <c r="U41" s="57" t="str">
        <f>IFERROR(IF(VLOOKUP($A41,SortedDownload!$A$3:$BB$219,42,FALSE)=0,"-",VLOOKUP($A41,SortedDownload!$A$3:$BB$219,42,FALSE)/86400000),"-")</f>
        <v>-</v>
      </c>
      <c r="V41" s="57" t="str">
        <f>IFERROR(IF(VLOOKUP($A41,SortedDownload!$A$3:$BB$219,43,FALSE)=0,"-",VLOOKUP($A41,SortedDownload!$A$3:$BB$219,43,FALSE)/86400000),"-")</f>
        <v>-</v>
      </c>
      <c r="W41" s="57" t="str">
        <f>IFERROR(IF(VLOOKUP($A41,SortedDownload!$A$3:$BB$219,44,FALSE)=0,"-",VLOOKUP($A41,SortedDownload!$A$3:$BB$219,44,FALSE)/86400000),"-")</f>
        <v>-</v>
      </c>
      <c r="X41" s="57" t="str">
        <f>IFERROR(IF(VLOOKUP($A41,SortedDownload!$A$3:$BB$219,45,FALSE)=0,"-",VLOOKUP($A41,SortedDownload!$A$3:$BB$219,45,FALSE)/86400000),"-")</f>
        <v>-</v>
      </c>
      <c r="Y41" s="58">
        <f>IFERROR(VLOOKUP($A41,SortedDownload!$A$3:$BB$219,46,FALSE)/86400000,"")</f>
        <v>0</v>
      </c>
      <c r="Z41" s="58">
        <f>IFERROR(Table932[[#This Row],[End Time]]-Table932[[#This Row],[Start Time]],"")</f>
        <v>-0.39988579861111112</v>
      </c>
      <c r="AA41" s="58"/>
      <c r="AB41" s="170" t="str">
        <f t="shared" si="3"/>
        <v>N/A</v>
      </c>
      <c r="AC41" s="170" t="str">
        <f t="shared" si="4"/>
        <v>10:50</v>
      </c>
    </row>
    <row r="42" spans="1:29">
      <c r="A42" s="53">
        <f>IF(SortedDownload!A39 &lt; 1,"",SortedDownload!A39)</f>
        <v>126</v>
      </c>
      <c r="B42" s="54">
        <f t="shared" si="0"/>
        <v>37</v>
      </c>
      <c r="C42" s="54" t="str">
        <f>IFERROR(VLOOKUP($A42,CategoryResults!$A$3:$X$252,3,FALSE),"")</f>
        <v/>
      </c>
      <c r="D42" s="90" t="str">
        <f>IFERROR(VLOOKUP($A42,EntryList!$A$3:$N$291,2,FALSE),"")</f>
        <v>Luke Moir</v>
      </c>
      <c r="E42" s="54" t="str">
        <f>IFERROR(VLOOKUP(C42,SeriesPoints!$A$2:$B$51,2,FALSE),"")</f>
        <v/>
      </c>
      <c r="F42" s="144" t="str">
        <f>IFERROR(VLOOKUP($A42,EntryList!$A$3:$V$291,22,FALSE),"")</f>
        <v>-</v>
      </c>
      <c r="G42" s="100" t="str">
        <f>IFERROR(VLOOKUP($A42,EntryList!$A$3:$N$291,6,FALSE),"")</f>
        <v>M</v>
      </c>
      <c r="H42" s="145" t="str">
        <f>IFERROR(VLOOKUP($A42,EntryList!$A$3:$N$291,7,FALSE),"")</f>
        <v>Elite Men</v>
      </c>
      <c r="I42" s="56">
        <f t="shared" si="1"/>
        <v>9</v>
      </c>
      <c r="J42" s="57">
        <f>IFERROR(VLOOKUP($A42,SortedDownload!$A$3:$BB$219,31,FALSE)/86400000,"")</f>
        <v>0.40882432870370372</v>
      </c>
      <c r="K42" s="57">
        <f>IFERROR(IF(VLOOKUP($A42,SortedDownload!$A$3:$BB$219,32,FALSE)=0,"-",VLOOKUP($A42,SortedDownload!$A$3:$BB$219,32,FALSE)/86400000),"-")</f>
        <v>0.41106296296296296</v>
      </c>
      <c r="L42" s="57">
        <f>IFERROR(IF(VLOOKUP($A42,SortedDownload!$A$3:$BB$219,33,FALSE)=0,"-",VLOOKUP($A42,SortedDownload!$A$3:$BB$219,33,FALSE)/86400000),"-")</f>
        <v>0.37461059027777777</v>
      </c>
      <c r="M42" s="57">
        <f>IFERROR(IF(VLOOKUP($A42,SortedDownload!$A$3:$BB$219,34,FALSE)=0,"-",VLOOKUP($A42,SortedDownload!$A$3:$BB$219,34,FALSE)/86400000),"-")</f>
        <v>0.37713091435185186</v>
      </c>
      <c r="N42" s="57">
        <f>IFERROR(IF(VLOOKUP($A42,SortedDownload!$A$3:$BB$219,35,FALSE)=0,"-",VLOOKUP($A42,SortedDownload!$A$3:$BB$219,35,FALSE)/86400000),"-")</f>
        <v>0.4427564814814815</v>
      </c>
      <c r="O42" s="57">
        <f>IFERROR(IF(VLOOKUP($A42,SortedDownload!$A$3:$BB$219,36,FALSE)=0,"-",VLOOKUP($A42,SortedDownload!$A$3:$BB$219,36,FALSE)/86400000),"-")</f>
        <v>0.44413328703703703</v>
      </c>
      <c r="P42" s="57">
        <f>IFERROR(IF(VLOOKUP($A42,SortedDownload!$A$3:$BB$219,37,FALSE)=0,"-",VLOOKUP($A42,SortedDownload!$A$3:$BB$219,37,FALSE)/86400000),"-")</f>
        <v>0.48986202546296298</v>
      </c>
      <c r="Q42" s="57">
        <f>IFERROR(IF(VLOOKUP($A42,SortedDownload!$A$3:$BB$219,38,FALSE)=0,"-",VLOOKUP($A42,SortedDownload!$A$3:$BB$219,38,FALSE)/86400000),"-")</f>
        <v>0.49379868055555554</v>
      </c>
      <c r="R42" s="57">
        <f>IFERROR(IF(VLOOKUP($A42,SortedDownload!$A$3:$BB$219,39,FALSE)=0,"-",VLOOKUP($A42,SortedDownload!$A$3:$BB$219,39,FALSE)/86400000),"-")</f>
        <v>0.52624175925925931</v>
      </c>
      <c r="S42" s="57">
        <f>IFERROR(IF(VLOOKUP($A42,SortedDownload!$A$3:$BB$219,40,FALSE)=0,"-",VLOOKUP($A42,SortedDownload!$A$3:$BB$219,40,FALSE)/86400000),"-")</f>
        <v>0.52953019675925928</v>
      </c>
      <c r="T42" s="57" t="str">
        <f>IFERROR(IF(VLOOKUP($A42,SortedDownload!$A$3:$BB$219,41,FALSE)=0,"-",VLOOKUP($A42,SortedDownload!$A$3:$BB$219,41,FALSE)/86400000),"-")</f>
        <v>-</v>
      </c>
      <c r="U42" s="57" t="str">
        <f>IFERROR(IF(VLOOKUP($A42,SortedDownload!$A$3:$BB$219,42,FALSE)=0,"-",VLOOKUP($A42,SortedDownload!$A$3:$BB$219,42,FALSE)/86400000),"-")</f>
        <v>-</v>
      </c>
      <c r="V42" s="57" t="str">
        <f>IFERROR(IF(VLOOKUP($A42,SortedDownload!$A$3:$BB$219,43,FALSE)=0,"-",VLOOKUP($A42,SortedDownload!$A$3:$BB$219,43,FALSE)/86400000),"-")</f>
        <v>-</v>
      </c>
      <c r="W42" s="57" t="str">
        <f>IFERROR(IF(VLOOKUP($A42,SortedDownload!$A$3:$BB$219,44,FALSE)=0,"-",VLOOKUP($A42,SortedDownload!$A$3:$BB$219,44,FALSE)/86400000),"-")</f>
        <v>-</v>
      </c>
      <c r="X42" s="57" t="str">
        <f>IFERROR(IF(VLOOKUP($A42,SortedDownload!$A$3:$BB$219,45,FALSE)=0,"-",VLOOKUP($A42,SortedDownload!$A$3:$BB$219,45,FALSE)/86400000),"-")</f>
        <v>-</v>
      </c>
      <c r="Y42" s="58">
        <f>IFERROR(VLOOKUP($A42,SortedDownload!$A$3:$BB$219,46,FALSE)/86400000,"")</f>
        <v>0</v>
      </c>
      <c r="Z42" s="58">
        <f>IFERROR(Table932[[#This Row],[End Time]]-Table932[[#This Row],[Start Time]],"")</f>
        <v>-0.40882432870370372</v>
      </c>
      <c r="AA42" s="58"/>
      <c r="AB42" s="170" t="str">
        <f t="shared" si="3"/>
        <v>N/A</v>
      </c>
      <c r="AC42" s="170" t="str">
        <f t="shared" si="4"/>
        <v>N/A</v>
      </c>
    </row>
    <row r="43" spans="1:29">
      <c r="A43" s="53">
        <f>IF(SortedDownload!A40 &lt; 1,"",SortedDownload!A40)</f>
        <v>84</v>
      </c>
      <c r="B43" s="54">
        <f t="shared" si="0"/>
        <v>38</v>
      </c>
      <c r="C43" s="54" t="str">
        <f>IFERROR(VLOOKUP($A43,CategoryResults!$A$3:$X$252,3,FALSE),"")</f>
        <v/>
      </c>
      <c r="D43" s="90" t="str">
        <f>IFERROR(VLOOKUP($A43,EntryList!$A$3:$N$291,2,FALSE),"")</f>
        <v>Stefan Boshoff</v>
      </c>
      <c r="E43" s="54" t="str">
        <f>IFERROR(VLOOKUP(C43,SeriesPoints!$A$2:$B$51,2,FALSE),"")</f>
        <v/>
      </c>
      <c r="F43" s="144" t="str">
        <f>IFERROR(VLOOKUP($A43,EntryList!$A$3:$V$291,22,FALSE),"")</f>
        <v>-</v>
      </c>
      <c r="G43" s="100" t="str">
        <f>IFERROR(VLOOKUP($A43,EntryList!$A$3:$N$291,6,FALSE),"")</f>
        <v>M</v>
      </c>
      <c r="H43" s="145" t="str">
        <f>IFERROR(VLOOKUP($A43,EntryList!$A$3:$N$291,7,FALSE),"")</f>
        <v>Master Men</v>
      </c>
      <c r="I43" s="56">
        <f t="shared" si="1"/>
        <v>9</v>
      </c>
      <c r="J43" s="57">
        <f>IFERROR(VLOOKUP($A43,SortedDownload!$A$3:$BB$219,31,FALSE)/86400000,"")</f>
        <v>0.36403949074074077</v>
      </c>
      <c r="K43" s="57">
        <f>IFERROR(IF(VLOOKUP($A43,SortedDownload!$A$3:$BB$219,32,FALSE)=0,"-",VLOOKUP($A43,SortedDownload!$A$3:$BB$219,32,FALSE)/86400000),"-")</f>
        <v>0.36659011574074074</v>
      </c>
      <c r="L43" s="57">
        <f>IFERROR(IF(VLOOKUP($A43,SortedDownload!$A$3:$BB$219,33,FALSE)=0,"-",VLOOKUP($A43,SortedDownload!$A$3:$BB$219,33,FALSE)/86400000),"-")</f>
        <v>0.41463495370370368</v>
      </c>
      <c r="M43" s="57">
        <f>IFERROR(IF(VLOOKUP($A43,SortedDownload!$A$3:$BB$219,34,FALSE)=0,"-",VLOOKUP($A43,SortedDownload!$A$3:$BB$219,34,FALSE)/86400000),"-")</f>
        <v>0.41733261574074076</v>
      </c>
      <c r="N43" s="57">
        <f>IFERROR(IF(VLOOKUP($A43,SortedDownload!$A$3:$BB$219,35,FALSE)=0,"-",VLOOKUP($A43,SortedDownload!$A$3:$BB$219,35,FALSE)/86400000),"-")</f>
        <v>0.45740476851851852</v>
      </c>
      <c r="O43" s="57">
        <f>IFERROR(IF(VLOOKUP($A43,SortedDownload!$A$3:$BB$219,36,FALSE)=0,"-",VLOOKUP($A43,SortedDownload!$A$3:$BB$219,36,FALSE)/86400000),"-")</f>
        <v>0.45885284722222225</v>
      </c>
      <c r="P43" s="57">
        <f>IFERROR(IF(VLOOKUP($A43,SortedDownload!$A$3:$BB$219,37,FALSE)=0,"-",VLOOKUP($A43,SortedDownload!$A$3:$BB$219,37,FALSE)/86400000),"-")</f>
        <v>0.50667576388888891</v>
      </c>
      <c r="Q43" s="57">
        <f>IFERROR(IF(VLOOKUP($A43,SortedDownload!$A$3:$BB$219,38,FALSE)=0,"-",VLOOKUP($A43,SortedDownload!$A$3:$BB$219,38,FALSE)/86400000),"-")</f>
        <v>0.50963835648148148</v>
      </c>
      <c r="R43" s="57">
        <f>IFERROR(IF(VLOOKUP($A43,SortedDownload!$A$3:$BB$219,39,FALSE)=0,"-",VLOOKUP($A43,SortedDownload!$A$3:$BB$219,39,FALSE)/86400000),"-")</f>
        <v>0.54509141203703704</v>
      </c>
      <c r="S43" s="57">
        <f>IFERROR(IF(VLOOKUP($A43,SortedDownload!$A$3:$BB$219,40,FALSE)=0,"-",VLOOKUP($A43,SortedDownload!$A$3:$BB$219,40,FALSE)/86400000),"-")</f>
        <v>0.54880439814814819</v>
      </c>
      <c r="T43" s="57" t="str">
        <f>IFERROR(IF(VLOOKUP($A43,SortedDownload!$A$3:$BB$219,41,FALSE)=0,"-",VLOOKUP($A43,SortedDownload!$A$3:$BB$219,41,FALSE)/86400000),"-")</f>
        <v>-</v>
      </c>
      <c r="U43" s="57" t="str">
        <f>IFERROR(IF(VLOOKUP($A43,SortedDownload!$A$3:$BB$219,42,FALSE)=0,"-",VLOOKUP($A43,SortedDownload!$A$3:$BB$219,42,FALSE)/86400000),"-")</f>
        <v>-</v>
      </c>
      <c r="V43" s="57" t="str">
        <f>IFERROR(IF(VLOOKUP($A43,SortedDownload!$A$3:$BB$219,43,FALSE)=0,"-",VLOOKUP($A43,SortedDownload!$A$3:$BB$219,43,FALSE)/86400000),"-")</f>
        <v>-</v>
      </c>
      <c r="W43" s="57" t="str">
        <f>IFERROR(IF(VLOOKUP($A43,SortedDownload!$A$3:$BB$219,44,FALSE)=0,"-",VLOOKUP($A43,SortedDownload!$A$3:$BB$219,44,FALSE)/86400000),"-")</f>
        <v>-</v>
      </c>
      <c r="X43" s="57" t="str">
        <f>IFERROR(IF(VLOOKUP($A43,SortedDownload!$A$3:$BB$219,45,FALSE)=0,"-",VLOOKUP($A43,SortedDownload!$A$3:$BB$219,45,FALSE)/86400000),"-")</f>
        <v>-</v>
      </c>
      <c r="Y43" s="58">
        <f>IFERROR(VLOOKUP($A43,SortedDownload!$A$3:$BB$219,46,FALSE)/86400000,"")</f>
        <v>0</v>
      </c>
      <c r="Z43" s="58">
        <f>IFERROR(Table932[[#This Row],[End Time]]-Table932[[#This Row],[Start Time]],"")</f>
        <v>-0.36403949074074077</v>
      </c>
      <c r="AA43" s="58"/>
      <c r="AB43" s="170" t="str">
        <f t="shared" si="3"/>
        <v>04:29</v>
      </c>
      <c r="AC43" s="170" t="str">
        <f t="shared" si="4"/>
        <v>02:27</v>
      </c>
    </row>
    <row r="44" spans="1:29">
      <c r="A44" s="53">
        <f>IF(SortedDownload!A41 &lt; 1,"",SortedDownload!A41)</f>
        <v>17</v>
      </c>
      <c r="B44" s="54">
        <f t="shared" si="0"/>
        <v>39</v>
      </c>
      <c r="C44" s="54" t="str">
        <f>IFERROR(VLOOKUP($A44,CategoryResults!$A$3:$X$252,3,FALSE),"")</f>
        <v/>
      </c>
      <c r="D44" s="90" t="str">
        <f>IFERROR(VLOOKUP($A44,EntryList!$A$3:$N$291,2,FALSE),"")</f>
        <v>Alexander Jonker</v>
      </c>
      <c r="E44" s="54" t="str">
        <f>IFERROR(VLOOKUP(C44,SeriesPoints!$A$2:$B$51,2,FALSE),"")</f>
        <v/>
      </c>
      <c r="F44" s="144" t="str">
        <f>IFERROR(VLOOKUP($A44,EntryList!$A$3:$V$291,22,FALSE),"")</f>
        <v>-</v>
      </c>
      <c r="G44" s="100" t="str">
        <f>IFERROR(VLOOKUP($A44,EntryList!$A$3:$N$291,6,FALSE),"")</f>
        <v>M</v>
      </c>
      <c r="H44" s="145" t="str">
        <f>IFERROR(VLOOKUP($A44,EntryList!$A$3:$N$291,7,FALSE),"")</f>
        <v>Youth Men</v>
      </c>
      <c r="I44" s="56">
        <f t="shared" si="1"/>
        <v>9</v>
      </c>
      <c r="J44" s="57">
        <f>IFERROR(VLOOKUP($A44,SortedDownload!$A$3:$BB$219,31,FALSE)/86400000,"")</f>
        <v>0.40606458333333334</v>
      </c>
      <c r="K44" s="57">
        <f>IFERROR(IF(VLOOKUP($A44,SortedDownload!$A$3:$BB$219,32,FALSE)=0,"-",VLOOKUP($A44,SortedDownload!$A$3:$BB$219,32,FALSE)/86400000),"-")</f>
        <v>0.40853547453703704</v>
      </c>
      <c r="L44" s="57">
        <f>IFERROR(IF(VLOOKUP($A44,SortedDownload!$A$3:$BB$219,33,FALSE)=0,"-",VLOOKUP($A44,SortedDownload!$A$3:$BB$219,33,FALSE)/86400000),"-")</f>
        <v>0.36459981481481479</v>
      </c>
      <c r="M44" s="57">
        <f>IFERROR(IF(VLOOKUP($A44,SortedDownload!$A$3:$BB$219,34,FALSE)=0,"-",VLOOKUP($A44,SortedDownload!$A$3:$BB$219,34,FALSE)/86400000),"-")</f>
        <v>0.36742292824074074</v>
      </c>
      <c r="N44" s="57">
        <f>IFERROR(IF(VLOOKUP($A44,SortedDownload!$A$3:$BB$219,35,FALSE)=0,"-",VLOOKUP($A44,SortedDownload!$A$3:$BB$219,35,FALSE)/86400000),"-")</f>
        <v>0.44830356481481481</v>
      </c>
      <c r="O44" s="57">
        <f>IFERROR(IF(VLOOKUP($A44,SortedDownload!$A$3:$BB$219,36,FALSE)=0,"-",VLOOKUP($A44,SortedDownload!$A$3:$BB$219,36,FALSE)/86400000),"-")</f>
        <v>0.44981707175925928</v>
      </c>
      <c r="P44" s="57">
        <f>IFERROR(IF(VLOOKUP($A44,SortedDownload!$A$3:$BB$219,37,FALSE)=0,"-",VLOOKUP($A44,SortedDownload!$A$3:$BB$219,37,FALSE)/86400000),"-")</f>
        <v>0.50331917824074079</v>
      </c>
      <c r="Q44" s="57">
        <f>IFERROR(IF(VLOOKUP($A44,SortedDownload!$A$3:$BB$219,38,FALSE)=0,"-",VLOOKUP($A44,SortedDownload!$A$3:$BB$219,38,FALSE)/86400000),"-")</f>
        <v>0.50630751157407405</v>
      </c>
      <c r="R44" s="57">
        <f>IFERROR(IF(VLOOKUP($A44,SortedDownload!$A$3:$BB$219,39,FALSE)=0,"-",VLOOKUP($A44,SortedDownload!$A$3:$BB$219,39,FALSE)/86400000),"-")</f>
        <v>0.53437155092592592</v>
      </c>
      <c r="S44" s="57">
        <f>IFERROR(IF(VLOOKUP($A44,SortedDownload!$A$3:$BB$219,40,FALSE)=0,"-",VLOOKUP($A44,SortedDownload!$A$3:$BB$219,40,FALSE)/86400000),"-")</f>
        <v>0.5379758912037037</v>
      </c>
      <c r="T44" s="57" t="str">
        <f>IFERROR(IF(VLOOKUP($A44,SortedDownload!$A$3:$BB$219,41,FALSE)=0,"-",VLOOKUP($A44,SortedDownload!$A$3:$BB$219,41,FALSE)/86400000),"-")</f>
        <v>-</v>
      </c>
      <c r="U44" s="57" t="str">
        <f>IFERROR(IF(VLOOKUP($A44,SortedDownload!$A$3:$BB$219,42,FALSE)=0,"-",VLOOKUP($A44,SortedDownload!$A$3:$BB$219,42,FALSE)/86400000),"-")</f>
        <v>-</v>
      </c>
      <c r="V44" s="57" t="str">
        <f>IFERROR(IF(VLOOKUP($A44,SortedDownload!$A$3:$BB$219,43,FALSE)=0,"-",VLOOKUP($A44,SortedDownload!$A$3:$BB$219,43,FALSE)/86400000),"-")</f>
        <v>-</v>
      </c>
      <c r="W44" s="57" t="str">
        <f>IFERROR(IF(VLOOKUP($A44,SortedDownload!$A$3:$BB$219,44,FALSE)=0,"-",VLOOKUP($A44,SortedDownload!$A$3:$BB$219,44,FALSE)/86400000),"-")</f>
        <v>-</v>
      </c>
      <c r="X44" s="57" t="str">
        <f>IFERROR(IF(VLOOKUP($A44,SortedDownload!$A$3:$BB$219,45,FALSE)=0,"-",VLOOKUP($A44,SortedDownload!$A$3:$BB$219,45,FALSE)/86400000),"-")</f>
        <v>-</v>
      </c>
      <c r="Y44" s="58">
        <f>IFERROR(VLOOKUP($A44,SortedDownload!$A$3:$BB$219,46,FALSE)/86400000,"")</f>
        <v>0</v>
      </c>
      <c r="Z44" s="58">
        <f>IFERROR(Table932[[#This Row],[End Time]]-Table932[[#This Row],[Start Time]],"")</f>
        <v>-0.40606458333333334</v>
      </c>
      <c r="AA44" s="58"/>
      <c r="AB44" s="170" t="str">
        <f t="shared" ref="AB44:AB75" si="5">IFERROR(TEXT(($Z44-$Z43),"mm:ss"),"N/A")</f>
        <v>N/A</v>
      </c>
      <c r="AC44" s="170" t="str">
        <f t="shared" si="4"/>
        <v>01:56</v>
      </c>
    </row>
    <row r="45" spans="1:29">
      <c r="A45" s="53">
        <f>IF(SortedDownload!A42 &lt; 1,"",SortedDownload!A42)</f>
        <v>30</v>
      </c>
      <c r="B45" s="54">
        <f t="shared" si="0"/>
        <v>40</v>
      </c>
      <c r="C45" s="54" t="str">
        <f>IFERROR(VLOOKUP($A45,CategoryResults!$A$3:$X$252,3,FALSE),"")</f>
        <v/>
      </c>
      <c r="D45" s="90" t="str">
        <f>IFERROR(VLOOKUP($A45,EntryList!$A$3:$N$291,2,FALSE),"")</f>
        <v>Devin Toselli</v>
      </c>
      <c r="E45" s="54" t="str">
        <f>IFERROR(VLOOKUP(C45,SeriesPoints!$A$2:$B$51,2,FALSE),"")</f>
        <v/>
      </c>
      <c r="F45" s="144" t="str">
        <f>IFERROR(VLOOKUP($A45,EntryList!$A$3:$V$291,22,FALSE),"")</f>
        <v>-</v>
      </c>
      <c r="G45" s="100" t="str">
        <f>IFERROR(VLOOKUP($A45,EntryList!$A$3:$N$291,6,FALSE),"")</f>
        <v>M</v>
      </c>
      <c r="H45" s="145" t="str">
        <f>IFERROR(VLOOKUP($A45,EntryList!$A$3:$N$291,7,FALSE),"")</f>
        <v>Master Men</v>
      </c>
      <c r="I45" s="56">
        <f t="shared" si="1"/>
        <v>9</v>
      </c>
      <c r="J45" s="57">
        <f>IFERROR(VLOOKUP($A45,SortedDownload!$A$3:$BB$219,31,FALSE)/86400000,"")</f>
        <v>0.39817203703703702</v>
      </c>
      <c r="K45" s="57">
        <f>IFERROR(IF(VLOOKUP($A45,SortedDownload!$A$3:$BB$219,32,FALSE)=0,"-",VLOOKUP($A45,SortedDownload!$A$3:$BB$219,32,FALSE)/86400000),"-")</f>
        <v>0.40077311342592592</v>
      </c>
      <c r="L45" s="57">
        <f>IFERROR(IF(VLOOKUP($A45,SortedDownload!$A$3:$BB$219,33,FALSE)=0,"-",VLOOKUP($A45,SortedDownload!$A$3:$BB$219,33,FALSE)/86400000),"-")</f>
        <v>0.43676030092592594</v>
      </c>
      <c r="M45" s="57">
        <f>IFERROR(IF(VLOOKUP($A45,SortedDownload!$A$3:$BB$219,34,FALSE)=0,"-",VLOOKUP($A45,SortedDownload!$A$3:$BB$219,34,FALSE)/86400000),"-")</f>
        <v>0.43941878472222223</v>
      </c>
      <c r="N45" s="57">
        <f>IFERROR(IF(VLOOKUP($A45,SortedDownload!$A$3:$BB$219,35,FALSE)=0,"-",VLOOKUP($A45,SortedDownload!$A$3:$BB$219,35,FALSE)/86400000),"-")</f>
        <v>0.36484850694444443</v>
      </c>
      <c r="O45" s="57">
        <f>IFERROR(IF(VLOOKUP($A45,SortedDownload!$A$3:$BB$219,36,FALSE)=0,"-",VLOOKUP($A45,SortedDownload!$A$3:$BB$219,36,FALSE)/86400000),"-")</f>
        <v>0.36635559027777775</v>
      </c>
      <c r="P45" s="57">
        <f>IFERROR(IF(VLOOKUP($A45,SortedDownload!$A$3:$BB$219,37,FALSE)=0,"-",VLOOKUP($A45,SortedDownload!$A$3:$BB$219,37,FALSE)/86400000),"-")</f>
        <v>0.4867859259259259</v>
      </c>
      <c r="Q45" s="57">
        <f>IFERROR(IF(VLOOKUP($A45,SortedDownload!$A$3:$BB$219,38,FALSE)=0,"-",VLOOKUP($A45,SortedDownload!$A$3:$BB$219,38,FALSE)/86400000),"-")</f>
        <v>0.48983233796296294</v>
      </c>
      <c r="R45" s="57">
        <f>IFERROR(IF(VLOOKUP($A45,SortedDownload!$A$3:$BB$219,39,FALSE)=0,"-",VLOOKUP($A45,SortedDownload!$A$3:$BB$219,39,FALSE)/86400000),"-")</f>
        <v>0.51646275462962965</v>
      </c>
      <c r="S45" s="57">
        <f>IFERROR(IF(VLOOKUP($A45,SortedDownload!$A$3:$BB$219,40,FALSE)=0,"-",VLOOKUP($A45,SortedDownload!$A$3:$BB$219,40,FALSE)/86400000),"-")</f>
        <v>0.52009560185185189</v>
      </c>
      <c r="T45" s="57" t="str">
        <f>IFERROR(IF(VLOOKUP($A45,SortedDownload!$A$3:$BB$219,41,FALSE)=0,"-",VLOOKUP($A45,SortedDownload!$A$3:$BB$219,41,FALSE)/86400000),"-")</f>
        <v>-</v>
      </c>
      <c r="U45" s="57" t="str">
        <f>IFERROR(IF(VLOOKUP($A45,SortedDownload!$A$3:$BB$219,42,FALSE)=0,"-",VLOOKUP($A45,SortedDownload!$A$3:$BB$219,42,FALSE)/86400000),"-")</f>
        <v>-</v>
      </c>
      <c r="V45" s="57" t="str">
        <f>IFERROR(IF(VLOOKUP($A45,SortedDownload!$A$3:$BB$219,43,FALSE)=0,"-",VLOOKUP($A45,SortedDownload!$A$3:$BB$219,43,FALSE)/86400000),"-")</f>
        <v>-</v>
      </c>
      <c r="W45" s="57" t="str">
        <f>IFERROR(IF(VLOOKUP($A45,SortedDownload!$A$3:$BB$219,44,FALSE)=0,"-",VLOOKUP($A45,SortedDownload!$A$3:$BB$219,44,FALSE)/86400000),"-")</f>
        <v>-</v>
      </c>
      <c r="X45" s="57" t="str">
        <f>IFERROR(IF(VLOOKUP($A45,SortedDownload!$A$3:$BB$219,45,FALSE)=0,"-",VLOOKUP($A45,SortedDownload!$A$3:$BB$219,45,FALSE)/86400000),"-")</f>
        <v>-</v>
      </c>
      <c r="Y45" s="58">
        <f>IFERROR(VLOOKUP($A45,SortedDownload!$A$3:$BB$219,46,FALSE)/86400000,"")</f>
        <v>0</v>
      </c>
      <c r="Z45" s="58">
        <f>IFERROR(Table932[[#This Row],[End Time]]-Table932[[#This Row],[Start Time]],"")</f>
        <v>-0.39817203703703702</v>
      </c>
      <c r="AA45" s="58"/>
      <c r="AB45" s="170" t="str">
        <f t="shared" si="5"/>
        <v>11:22</v>
      </c>
      <c r="AC45" s="170" t="str">
        <f t="shared" si="4"/>
        <v>13:18</v>
      </c>
    </row>
    <row r="46" spans="1:29">
      <c r="A46" s="53">
        <f>IF(SortedDownload!A43 &lt; 1,"",SortedDownload!A43)</f>
        <v>165</v>
      </c>
      <c r="B46" s="54">
        <f t="shared" si="0"/>
        <v>41</v>
      </c>
      <c r="C46" s="54" t="str">
        <f>IFERROR(VLOOKUP($A46,CategoryResults!$A$3:$X$252,3,FALSE),"")</f>
        <v/>
      </c>
      <c r="D46" s="90" t="str">
        <f>IFERROR(VLOOKUP($A46,EntryList!$A$3:$N$291,2,FALSE),"")</f>
        <v>Christian Mocke'</v>
      </c>
      <c r="E46" s="54" t="str">
        <f>IFERROR(VLOOKUP(C46,SeriesPoints!$A$2:$B$51,2,FALSE),"")</f>
        <v/>
      </c>
      <c r="F46" s="144" t="str">
        <f>IFERROR(VLOOKUP($A46,EntryList!$A$3:$V$291,22,FALSE),"")</f>
        <v>-</v>
      </c>
      <c r="G46" s="100" t="str">
        <f>IFERROR(VLOOKUP($A46,EntryList!$A$3:$N$291,6,FALSE),"")</f>
        <v>M</v>
      </c>
      <c r="H46" s="145" t="str">
        <f>IFERROR(VLOOKUP($A46,EntryList!$A$3:$N$291,7,FALSE),"")</f>
        <v>Youth Men</v>
      </c>
      <c r="I46" s="56">
        <f t="shared" si="1"/>
        <v>9</v>
      </c>
      <c r="J46" s="57">
        <f>IFERROR(VLOOKUP($A46,SortedDownload!$A$3:$BB$219,31,FALSE)/86400000,"")</f>
        <v>0.41633921296296295</v>
      </c>
      <c r="K46" s="57">
        <f>IFERROR(IF(VLOOKUP($A46,SortedDownload!$A$3:$BB$219,32,FALSE)=0,"-",VLOOKUP($A46,SortedDownload!$A$3:$BB$219,32,FALSE)/86400000),"-")</f>
        <v>0.41888815972222221</v>
      </c>
      <c r="L46" s="57">
        <f>IFERROR(IF(VLOOKUP($A46,SortedDownload!$A$3:$BB$219,33,FALSE)=0,"-",VLOOKUP($A46,SortedDownload!$A$3:$BB$219,33,FALSE)/86400000),"-")</f>
        <v>0.3703123611111111</v>
      </c>
      <c r="M46" s="57">
        <f>IFERROR(IF(VLOOKUP($A46,SortedDownload!$A$3:$BB$219,34,FALSE)=0,"-",VLOOKUP($A46,SortedDownload!$A$3:$BB$219,34,FALSE)/86400000),"-")</f>
        <v>0.37312125000000002</v>
      </c>
      <c r="N46" s="57">
        <f>IFERROR(IF(VLOOKUP($A46,SortedDownload!$A$3:$BB$219,35,FALSE)=0,"-",VLOOKUP($A46,SortedDownload!$A$3:$BB$219,35,FALSE)/86400000),"-")</f>
        <v>0.45932763888888889</v>
      </c>
      <c r="O46" s="57">
        <f>IFERROR(IF(VLOOKUP($A46,SortedDownload!$A$3:$BB$219,36,FALSE)=0,"-",VLOOKUP($A46,SortedDownload!$A$3:$BB$219,36,FALSE)/86400000),"-")</f>
        <v>0.46084046296296294</v>
      </c>
      <c r="P46" s="57">
        <f>IFERROR(IF(VLOOKUP($A46,SortedDownload!$A$3:$BB$219,37,FALSE)=0,"-",VLOOKUP($A46,SortedDownload!$A$3:$BB$219,37,FALSE)/86400000),"-")</f>
        <v>0.51800974537037037</v>
      </c>
      <c r="Q46" s="57">
        <f>IFERROR(IF(VLOOKUP($A46,SortedDownload!$A$3:$BB$219,38,FALSE)=0,"-",VLOOKUP($A46,SortedDownload!$A$3:$BB$219,38,FALSE)/86400000),"-")</f>
        <v>0.52096299768518517</v>
      </c>
      <c r="R46" s="57">
        <f>IFERROR(IF(VLOOKUP($A46,SortedDownload!$A$3:$BB$219,39,FALSE)=0,"-",VLOOKUP($A46,SortedDownload!$A$3:$BB$219,39,FALSE)/86400000),"-")</f>
        <v>0.54951812499999997</v>
      </c>
      <c r="S46" s="57">
        <f>IFERROR(IF(VLOOKUP($A46,SortedDownload!$A$3:$BB$219,40,FALSE)=0,"-",VLOOKUP($A46,SortedDownload!$A$3:$BB$219,40,FALSE)/86400000),"-")</f>
        <v>0.55316932870370372</v>
      </c>
      <c r="T46" s="57" t="str">
        <f>IFERROR(IF(VLOOKUP($A46,SortedDownload!$A$3:$BB$219,41,FALSE)=0,"-",VLOOKUP($A46,SortedDownload!$A$3:$BB$219,41,FALSE)/86400000),"-")</f>
        <v>-</v>
      </c>
      <c r="U46" s="57" t="str">
        <f>IFERROR(IF(VLOOKUP($A46,SortedDownload!$A$3:$BB$219,42,FALSE)=0,"-",VLOOKUP($A46,SortedDownload!$A$3:$BB$219,42,FALSE)/86400000),"-")</f>
        <v>-</v>
      </c>
      <c r="V46" s="57" t="str">
        <f>IFERROR(IF(VLOOKUP($A46,SortedDownload!$A$3:$BB$219,43,FALSE)=0,"-",VLOOKUP($A46,SortedDownload!$A$3:$BB$219,43,FALSE)/86400000),"-")</f>
        <v>-</v>
      </c>
      <c r="W46" s="57" t="str">
        <f>IFERROR(IF(VLOOKUP($A46,SortedDownload!$A$3:$BB$219,44,FALSE)=0,"-",VLOOKUP($A46,SortedDownload!$A$3:$BB$219,44,FALSE)/86400000),"-")</f>
        <v>-</v>
      </c>
      <c r="X46" s="57" t="str">
        <f>IFERROR(IF(VLOOKUP($A46,SortedDownload!$A$3:$BB$219,45,FALSE)=0,"-",VLOOKUP($A46,SortedDownload!$A$3:$BB$219,45,FALSE)/86400000),"-")</f>
        <v>-</v>
      </c>
      <c r="Y46" s="58">
        <f>IFERROR(VLOOKUP($A46,SortedDownload!$A$3:$BB$219,46,FALSE)/86400000,"")</f>
        <v>0</v>
      </c>
      <c r="Z46" s="58">
        <f>IFERROR(Table932[[#This Row],[End Time]]-Table932[[#This Row],[Start Time]],"")</f>
        <v>-0.41633921296296295</v>
      </c>
      <c r="AA46" s="58"/>
      <c r="AB46" s="170" t="str">
        <f t="shared" si="5"/>
        <v>N/A</v>
      </c>
      <c r="AC46" s="170" t="str">
        <f t="shared" si="4"/>
        <v>N/A</v>
      </c>
    </row>
    <row r="47" spans="1:29">
      <c r="A47" s="53">
        <f>IF(SortedDownload!A44 &lt; 1,"",SortedDownload!A44)</f>
        <v>202</v>
      </c>
      <c r="B47" s="54">
        <f t="shared" si="0"/>
        <v>42</v>
      </c>
      <c r="C47" s="54" t="str">
        <f>IFERROR(VLOOKUP($A47,CategoryResults!$A$3:$X$252,3,FALSE),"")</f>
        <v/>
      </c>
      <c r="D47" s="90" t="str">
        <f>IFERROR(VLOOKUP($A47,EntryList!$A$3:$N$291,2,FALSE),"")</f>
        <v>Jaco Van Zyl</v>
      </c>
      <c r="E47" s="54" t="str">
        <f>IFERROR(VLOOKUP(C47,SeriesPoints!$A$2:$B$51,2,FALSE),"")</f>
        <v/>
      </c>
      <c r="F47" s="144" t="str">
        <f>IFERROR(VLOOKUP($A47,EntryList!$A$3:$V$291,22,FALSE),"")</f>
        <v>-</v>
      </c>
      <c r="G47" s="100" t="str">
        <f>IFERROR(VLOOKUP($A47,EntryList!$A$3:$N$291,6,FALSE),"")</f>
        <v>M</v>
      </c>
      <c r="H47" s="145" t="str">
        <f>IFERROR(VLOOKUP($A47,EntryList!$A$3:$N$291,7,FALSE),"")</f>
        <v>Youth Men</v>
      </c>
      <c r="I47" s="56">
        <f t="shared" si="1"/>
        <v>9</v>
      </c>
      <c r="J47" s="57">
        <f>IFERROR(VLOOKUP($A47,SortedDownload!$A$3:$BB$219,31,FALSE)/86400000,"")</f>
        <v>0.37104461805555555</v>
      </c>
      <c r="K47" s="57">
        <f>IFERROR(IF(VLOOKUP($A47,SortedDownload!$A$3:$BB$219,32,FALSE)=0,"-",VLOOKUP($A47,SortedDownload!$A$3:$BB$219,32,FALSE)/86400000),"-")</f>
        <v>0.37372803240740743</v>
      </c>
      <c r="L47" s="57">
        <f>IFERROR(IF(VLOOKUP($A47,SortedDownload!$A$3:$BB$219,33,FALSE)=0,"-",VLOOKUP($A47,SortedDownload!$A$3:$BB$219,33,FALSE)/86400000),"-")</f>
        <v>0.43028954861111113</v>
      </c>
      <c r="M47" s="57">
        <f>IFERROR(IF(VLOOKUP($A47,SortedDownload!$A$3:$BB$219,34,FALSE)=0,"-",VLOOKUP($A47,SortedDownload!$A$3:$BB$219,34,FALSE)/86400000),"-")</f>
        <v>0.43302112268518517</v>
      </c>
      <c r="N47" s="57">
        <f>IFERROR(IF(VLOOKUP($A47,SortedDownload!$A$3:$BB$219,35,FALSE)=0,"-",VLOOKUP($A47,SortedDownload!$A$3:$BB$219,35,FALSE)/86400000),"-")</f>
        <v>0.46709018518518519</v>
      </c>
      <c r="O47" s="57">
        <f>IFERROR(IF(VLOOKUP($A47,SortedDownload!$A$3:$BB$219,36,FALSE)=0,"-",VLOOKUP($A47,SortedDownload!$A$3:$BB$219,36,FALSE)/86400000),"-")</f>
        <v>0.46856729166666666</v>
      </c>
      <c r="P47" s="57">
        <f>IFERROR(IF(VLOOKUP($A47,SortedDownload!$A$3:$BB$219,37,FALSE)=0,"-",VLOOKUP($A47,SortedDownload!$A$3:$BB$219,37,FALSE)/86400000),"-")</f>
        <v>0.50701434027777781</v>
      </c>
      <c r="Q47" s="57">
        <f>IFERROR(IF(VLOOKUP($A47,SortedDownload!$A$3:$BB$219,38,FALSE)=0,"-",VLOOKUP($A47,SortedDownload!$A$3:$BB$219,38,FALSE)/86400000),"-")</f>
        <v>0.50998138888888889</v>
      </c>
      <c r="R47" s="57">
        <f>IFERROR(IF(VLOOKUP($A47,SortedDownload!$A$3:$BB$219,39,FALSE)=0,"-",VLOOKUP($A47,SortedDownload!$A$3:$BB$219,39,FALSE)/86400000),"-")</f>
        <v>0.54133655092592592</v>
      </c>
      <c r="S47" s="57">
        <f>IFERROR(IF(VLOOKUP($A47,SortedDownload!$A$3:$BB$219,40,FALSE)=0,"-",VLOOKUP($A47,SortedDownload!$A$3:$BB$219,40,FALSE)/86400000),"-")</f>
        <v>0.54499668981481486</v>
      </c>
      <c r="T47" s="57" t="str">
        <f>IFERROR(IF(VLOOKUP($A47,SortedDownload!$A$3:$BB$219,41,FALSE)=0,"-",VLOOKUP($A47,SortedDownload!$A$3:$BB$219,41,FALSE)/86400000),"-")</f>
        <v>-</v>
      </c>
      <c r="U47" s="57" t="str">
        <f>IFERROR(IF(VLOOKUP($A47,SortedDownload!$A$3:$BB$219,42,FALSE)=0,"-",VLOOKUP($A47,SortedDownload!$A$3:$BB$219,42,FALSE)/86400000),"-")</f>
        <v>-</v>
      </c>
      <c r="V47" s="57" t="str">
        <f>IFERROR(IF(VLOOKUP($A47,SortedDownload!$A$3:$BB$219,43,FALSE)=0,"-",VLOOKUP($A47,SortedDownload!$A$3:$BB$219,43,FALSE)/86400000),"-")</f>
        <v>-</v>
      </c>
      <c r="W47" s="57" t="str">
        <f>IFERROR(IF(VLOOKUP($A47,SortedDownload!$A$3:$BB$219,44,FALSE)=0,"-",VLOOKUP($A47,SortedDownload!$A$3:$BB$219,44,FALSE)/86400000),"-")</f>
        <v>-</v>
      </c>
      <c r="X47" s="57" t="str">
        <f>IFERROR(IF(VLOOKUP($A47,SortedDownload!$A$3:$BB$219,45,FALSE)=0,"-",VLOOKUP($A47,SortedDownload!$A$3:$BB$219,45,FALSE)/86400000),"-")</f>
        <v>-</v>
      </c>
      <c r="Y47" s="58">
        <f>IFERROR(VLOOKUP($A47,SortedDownload!$A$3:$BB$219,46,FALSE)/86400000,"")</f>
        <v>0</v>
      </c>
      <c r="Z47" s="58">
        <f>IFERROR(Table932[[#This Row],[End Time]]-Table932[[#This Row],[Start Time]],"")</f>
        <v>-0.37104461805555555</v>
      </c>
      <c r="AA47" s="58"/>
      <c r="AB47" s="170" t="str">
        <f t="shared" si="5"/>
        <v>05:13</v>
      </c>
      <c r="AC47" s="170" t="str">
        <f t="shared" si="4"/>
        <v>52:22</v>
      </c>
    </row>
    <row r="48" spans="1:29">
      <c r="A48" s="53">
        <f>IF(SortedDownload!A45 &lt; 1,"",SortedDownload!A45)</f>
        <v>66</v>
      </c>
      <c r="B48" s="54">
        <f t="shared" si="0"/>
        <v>43</v>
      </c>
      <c r="C48" s="54" t="str">
        <f>IFERROR(VLOOKUP($A48,CategoryResults!$A$3:$X$252,3,FALSE),"")</f>
        <v/>
      </c>
      <c r="D48" s="90" t="str">
        <f>IFERROR(VLOOKUP($A48,EntryList!$A$3:$N$291,2,FALSE),"")</f>
        <v>Neo Dekker</v>
      </c>
      <c r="E48" s="54" t="str">
        <f>IFERROR(VLOOKUP(C48,SeriesPoints!$A$2:$B$51,2,FALSE),"")</f>
        <v/>
      </c>
      <c r="F48" s="144" t="str">
        <f>IFERROR(VLOOKUP($A48,EntryList!$A$3:$V$291,22,FALSE),"")</f>
        <v>-</v>
      </c>
      <c r="G48" s="100" t="str">
        <f>IFERROR(VLOOKUP($A48,EntryList!$A$3:$N$291,6,FALSE),"")</f>
        <v>M</v>
      </c>
      <c r="H48" s="145" t="str">
        <f>IFERROR(VLOOKUP($A48,EntryList!$A$3:$N$291,7,FALSE),"")</f>
        <v>Junior Men</v>
      </c>
      <c r="I48" s="56">
        <f t="shared" si="1"/>
        <v>9</v>
      </c>
      <c r="J48" s="57">
        <f>IFERROR(VLOOKUP($A48,SortedDownload!$A$3:$BB$219,31,FALSE)/86400000,"")</f>
        <v>0.39520780092592595</v>
      </c>
      <c r="K48" s="57">
        <f>IFERROR(IF(VLOOKUP($A48,SortedDownload!$A$3:$BB$219,32,FALSE)=0,"-",VLOOKUP($A48,SortedDownload!$A$3:$BB$219,32,FALSE)/86400000),"-")</f>
        <v>0.39800150462962963</v>
      </c>
      <c r="L48" s="57">
        <f>IFERROR(IF(VLOOKUP($A48,SortedDownload!$A$3:$BB$219,33,FALSE)=0,"-",VLOOKUP($A48,SortedDownload!$A$3:$BB$219,33,FALSE)/86400000),"-")</f>
        <v>0.44100120370370371</v>
      </c>
      <c r="M48" s="57">
        <f>IFERROR(IF(VLOOKUP($A48,SortedDownload!$A$3:$BB$219,34,FALSE)=0,"-",VLOOKUP($A48,SortedDownload!$A$3:$BB$219,34,FALSE)/86400000),"-")</f>
        <v>0.44362160879629631</v>
      </c>
      <c r="N48" s="57">
        <f>IFERROR(IF(VLOOKUP($A48,SortedDownload!$A$3:$BB$219,35,FALSE)=0,"-",VLOOKUP($A48,SortedDownload!$A$3:$BB$219,35,FALSE)/86400000),"-")</f>
        <v>0.35899144675925926</v>
      </c>
      <c r="O48" s="57">
        <f>IFERROR(IF(VLOOKUP($A48,SortedDownload!$A$3:$BB$219,36,FALSE)=0,"-",VLOOKUP($A48,SortedDownload!$A$3:$BB$219,36,FALSE)/86400000),"-")</f>
        <v>0.36043355324074072</v>
      </c>
      <c r="P48" s="57">
        <f>IFERROR(IF(VLOOKUP($A48,SortedDownload!$A$3:$BB$219,37,FALSE)=0,"-",VLOOKUP($A48,SortedDownload!$A$3:$BB$219,37,FALSE)/86400000),"-")</f>
        <v>0.50124170138888891</v>
      </c>
      <c r="Q48" s="57">
        <f>IFERROR(IF(VLOOKUP($A48,SortedDownload!$A$3:$BB$219,38,FALSE)=0,"-",VLOOKUP($A48,SortedDownload!$A$3:$BB$219,38,FALSE)/86400000),"-")</f>
        <v>0.50425212962962962</v>
      </c>
      <c r="R48" s="57">
        <f>IFERROR(IF(VLOOKUP($A48,SortedDownload!$A$3:$BB$219,39,FALSE)=0,"-",VLOOKUP($A48,SortedDownload!$A$3:$BB$219,39,FALSE)/86400000),"-")</f>
        <v>0.53391490740740744</v>
      </c>
      <c r="S48" s="57">
        <f>IFERROR(IF(VLOOKUP($A48,SortedDownload!$A$3:$BB$219,40,FALSE)=0,"-",VLOOKUP($A48,SortedDownload!$A$3:$BB$219,40,FALSE)/86400000),"-")</f>
        <v>0.53758239583333334</v>
      </c>
      <c r="T48" s="57" t="str">
        <f>IFERROR(IF(VLOOKUP($A48,SortedDownload!$A$3:$BB$219,41,FALSE)=0,"-",VLOOKUP($A48,SortedDownload!$A$3:$BB$219,41,FALSE)/86400000),"-")</f>
        <v>-</v>
      </c>
      <c r="U48" s="57" t="str">
        <f>IFERROR(IF(VLOOKUP($A48,SortedDownload!$A$3:$BB$219,42,FALSE)=0,"-",VLOOKUP($A48,SortedDownload!$A$3:$BB$219,42,FALSE)/86400000),"-")</f>
        <v>-</v>
      </c>
      <c r="V48" s="57" t="str">
        <f>IFERROR(IF(VLOOKUP($A48,SortedDownload!$A$3:$BB$219,43,FALSE)=0,"-",VLOOKUP($A48,SortedDownload!$A$3:$BB$219,43,FALSE)/86400000),"-")</f>
        <v>-</v>
      </c>
      <c r="W48" s="57" t="str">
        <f>IFERROR(IF(VLOOKUP($A48,SortedDownload!$A$3:$BB$219,44,FALSE)=0,"-",VLOOKUP($A48,SortedDownload!$A$3:$BB$219,44,FALSE)/86400000),"-")</f>
        <v>-</v>
      </c>
      <c r="X48" s="57" t="str">
        <f>IFERROR(IF(VLOOKUP($A48,SortedDownload!$A$3:$BB$219,45,FALSE)=0,"-",VLOOKUP($A48,SortedDownload!$A$3:$BB$219,45,FALSE)/86400000),"-")</f>
        <v>-</v>
      </c>
      <c r="Y48" s="58">
        <f>IFERROR(VLOOKUP($A48,SortedDownload!$A$3:$BB$219,46,FALSE)/86400000,"")</f>
        <v>0</v>
      </c>
      <c r="Z48" s="58">
        <f>IFERROR(Table932[[#This Row],[End Time]]-Table932[[#This Row],[Start Time]],"")</f>
        <v>-0.39520780092592595</v>
      </c>
      <c r="AA48" s="58"/>
      <c r="AB48" s="170" t="str">
        <f t="shared" si="5"/>
        <v>N/A</v>
      </c>
      <c r="AC48" s="170" t="str">
        <f t="shared" si="4"/>
        <v>17:34</v>
      </c>
    </row>
    <row r="49" spans="1:29">
      <c r="A49" s="53">
        <f>IF(SortedDownload!A46 &lt; 1,"",SortedDownload!A46)</f>
        <v>190</v>
      </c>
      <c r="B49" s="54">
        <f t="shared" si="0"/>
        <v>44</v>
      </c>
      <c r="C49" s="54" t="str">
        <f>IFERROR(VLOOKUP($A49,CategoryResults!$A$3:$X$252,3,FALSE),"")</f>
        <v/>
      </c>
      <c r="D49" s="90" t="str">
        <f>IFERROR(VLOOKUP($A49,EntryList!$A$3:$N$291,2,FALSE),"")</f>
        <v>Theuns Louw</v>
      </c>
      <c r="E49" s="54" t="str">
        <f>IFERROR(VLOOKUP(C49,SeriesPoints!$A$2:$B$51,2,FALSE),"")</f>
        <v/>
      </c>
      <c r="F49" s="144" t="str">
        <f>IFERROR(VLOOKUP($A49,EntryList!$A$3:$V$291,22,FALSE),"")</f>
        <v>-</v>
      </c>
      <c r="G49" s="100" t="str">
        <f>IFERROR(VLOOKUP($A49,EntryList!$A$3:$N$291,6,FALSE),"")</f>
        <v>M</v>
      </c>
      <c r="H49" s="145" t="str">
        <f>IFERROR(VLOOKUP($A49,EntryList!$A$3:$N$291,7,FALSE),"")</f>
        <v>Master Men</v>
      </c>
      <c r="I49" s="56">
        <f t="shared" si="1"/>
        <v>9</v>
      </c>
      <c r="J49" s="57">
        <f>IFERROR(VLOOKUP($A49,SortedDownload!$A$3:$BB$219,31,FALSE)/86400000,"")</f>
        <v>0.39744785879629629</v>
      </c>
      <c r="K49" s="57">
        <f>IFERROR(IF(VLOOKUP($A49,SortedDownload!$A$3:$BB$219,32,FALSE)=0,"-",VLOOKUP($A49,SortedDownload!$A$3:$BB$219,32,FALSE)/86400000),"-")</f>
        <v>0.40008096064814813</v>
      </c>
      <c r="L49" s="57">
        <f>IFERROR(IF(VLOOKUP($A49,SortedDownload!$A$3:$BB$219,33,FALSE)=0,"-",VLOOKUP($A49,SortedDownload!$A$3:$BB$219,33,FALSE)/86400000),"-")</f>
        <v>0.36827479166666666</v>
      </c>
      <c r="M49" s="57">
        <f>IFERROR(IF(VLOOKUP($A49,SortedDownload!$A$3:$BB$219,34,FALSE)=0,"-",VLOOKUP($A49,SortedDownload!$A$3:$BB$219,34,FALSE)/86400000),"-")</f>
        <v>0.37098291666666666</v>
      </c>
      <c r="N49" s="57">
        <f>IFERROR(IF(VLOOKUP($A49,SortedDownload!$A$3:$BB$219,35,FALSE)=0,"-",VLOOKUP($A49,SortedDownload!$A$3:$BB$219,35,FALSE)/86400000),"-")</f>
        <v>0.42856377314814814</v>
      </c>
      <c r="O49" s="57">
        <f>IFERROR(IF(VLOOKUP($A49,SortedDownload!$A$3:$BB$219,36,FALSE)=0,"-",VLOOKUP($A49,SortedDownload!$A$3:$BB$219,36,FALSE)/86400000),"-")</f>
        <v>0.43004523148148149</v>
      </c>
      <c r="P49" s="57">
        <f>IFERROR(IF(VLOOKUP($A49,SortedDownload!$A$3:$BB$219,37,FALSE)=0,"-",VLOOKUP($A49,SortedDownload!$A$3:$BB$219,37,FALSE)/86400000),"-")</f>
        <v>0.47708898148148149</v>
      </c>
      <c r="Q49" s="57">
        <f>IFERROR(IF(VLOOKUP($A49,SortedDownload!$A$3:$BB$219,38,FALSE)=0,"-",VLOOKUP($A49,SortedDownload!$A$3:$BB$219,38,FALSE)/86400000),"-")</f>
        <v>0.48008483796296297</v>
      </c>
      <c r="R49" s="57">
        <f>IFERROR(IF(VLOOKUP($A49,SortedDownload!$A$3:$BB$219,39,FALSE)=0,"-",VLOOKUP($A49,SortedDownload!$A$3:$BB$219,39,FALSE)/86400000),"-")</f>
        <v>0.51348726851851856</v>
      </c>
      <c r="S49" s="57">
        <f>IFERROR(IF(VLOOKUP($A49,SortedDownload!$A$3:$BB$219,40,FALSE)=0,"-",VLOOKUP($A49,SortedDownload!$A$3:$BB$219,40,FALSE)/86400000),"-")</f>
        <v>0.51721945601851849</v>
      </c>
      <c r="T49" s="57" t="str">
        <f>IFERROR(IF(VLOOKUP($A49,SortedDownload!$A$3:$BB$219,41,FALSE)=0,"-",VLOOKUP($A49,SortedDownload!$A$3:$BB$219,41,FALSE)/86400000),"-")</f>
        <v>-</v>
      </c>
      <c r="U49" s="57" t="str">
        <f>IFERROR(IF(VLOOKUP($A49,SortedDownload!$A$3:$BB$219,42,FALSE)=0,"-",VLOOKUP($A49,SortedDownload!$A$3:$BB$219,42,FALSE)/86400000),"-")</f>
        <v>-</v>
      </c>
      <c r="V49" s="57" t="str">
        <f>IFERROR(IF(VLOOKUP($A49,SortedDownload!$A$3:$BB$219,43,FALSE)=0,"-",VLOOKUP($A49,SortedDownload!$A$3:$BB$219,43,FALSE)/86400000),"-")</f>
        <v>-</v>
      </c>
      <c r="W49" s="57" t="str">
        <f>IFERROR(IF(VLOOKUP($A49,SortedDownload!$A$3:$BB$219,44,FALSE)=0,"-",VLOOKUP($A49,SortedDownload!$A$3:$BB$219,44,FALSE)/86400000),"-")</f>
        <v>-</v>
      </c>
      <c r="X49" s="57" t="str">
        <f>IFERROR(IF(VLOOKUP($A49,SortedDownload!$A$3:$BB$219,45,FALSE)=0,"-",VLOOKUP($A49,SortedDownload!$A$3:$BB$219,45,FALSE)/86400000),"-")</f>
        <v>-</v>
      </c>
      <c r="Y49" s="58">
        <f>IFERROR(VLOOKUP($A49,SortedDownload!$A$3:$BB$219,46,FALSE)/86400000,"")</f>
        <v>0</v>
      </c>
      <c r="Z49" s="58">
        <f>IFERROR(Table932[[#This Row],[End Time]]-Table932[[#This Row],[Start Time]],"")</f>
        <v>-0.39744785879629629</v>
      </c>
      <c r="AA49" s="58"/>
      <c r="AB49" s="170" t="str">
        <f t="shared" si="5"/>
        <v>N/A</v>
      </c>
      <c r="AC49" s="170" t="str">
        <f t="shared" si="4"/>
        <v>14:21</v>
      </c>
    </row>
    <row r="50" spans="1:29">
      <c r="A50" s="53">
        <f>IF(SortedDownload!A47 &lt; 1,"",SortedDownload!A47)</f>
        <v>3</v>
      </c>
      <c r="B50" s="54">
        <f t="shared" si="0"/>
        <v>45</v>
      </c>
      <c r="C50" s="54" t="str">
        <f>IFERROR(VLOOKUP($A50,CategoryResults!$A$3:$X$252,3,FALSE),"")</f>
        <v/>
      </c>
      <c r="D50" s="90" t="str">
        <f>IFERROR(VLOOKUP($A50,EntryList!$A$3:$N$291,2,FALSE),"")</f>
        <v>Kevin De Kock</v>
      </c>
      <c r="E50" s="54" t="str">
        <f>IFERROR(VLOOKUP(C50,SeriesPoints!$A$2:$B$51,2,FALSE),"")</f>
        <v/>
      </c>
      <c r="F50" s="144" t="str">
        <f>IFERROR(VLOOKUP($A50,EntryList!$A$3:$V$291,22,FALSE),"")</f>
        <v>-</v>
      </c>
      <c r="G50" s="100" t="str">
        <f>IFERROR(VLOOKUP($A50,EntryList!$A$3:$N$291,6,FALSE),"")</f>
        <v>M</v>
      </c>
      <c r="H50" s="145" t="str">
        <f>IFERROR(VLOOKUP($A50,EntryList!$A$3:$N$291,7,FALSE),"")</f>
        <v>Junior Men</v>
      </c>
      <c r="I50" s="56">
        <f t="shared" si="1"/>
        <v>9</v>
      </c>
      <c r="J50" s="57">
        <f>IFERROR(VLOOKUP($A50,SortedDownload!$A$3:$BB$219,31,FALSE)/86400000,"")</f>
        <v>0.40994999999999998</v>
      </c>
      <c r="K50" s="57">
        <f>IFERROR(IF(VLOOKUP($A50,SortedDownload!$A$3:$BB$219,32,FALSE)=0,"-",VLOOKUP($A50,SortedDownload!$A$3:$BB$219,32,FALSE)/86400000),"-")</f>
        <v>0.41254648148148149</v>
      </c>
      <c r="L50" s="57">
        <f>IFERROR(IF(VLOOKUP($A50,SortedDownload!$A$3:$BB$219,33,FALSE)=0,"-",VLOOKUP($A50,SortedDownload!$A$3:$BB$219,33,FALSE)/86400000),"-")</f>
        <v>0.37438240740740741</v>
      </c>
      <c r="M50" s="57">
        <f>IFERROR(IF(VLOOKUP($A50,SortedDownload!$A$3:$BB$219,34,FALSE)=0,"-",VLOOKUP($A50,SortedDownload!$A$3:$BB$219,34,FALSE)/86400000),"-")</f>
        <v>0.37710200231481483</v>
      </c>
      <c r="N50" s="57">
        <f>IFERROR(IF(VLOOKUP($A50,SortedDownload!$A$3:$BB$219,35,FALSE)=0,"-",VLOOKUP($A50,SortedDownload!$A$3:$BB$219,35,FALSE)/86400000),"-")</f>
        <v>0.44336525462962961</v>
      </c>
      <c r="O50" s="57">
        <f>IFERROR(IF(VLOOKUP($A50,SortedDownload!$A$3:$BB$219,36,FALSE)=0,"-",VLOOKUP($A50,SortedDownload!$A$3:$BB$219,36,FALSE)/86400000),"-")</f>
        <v>0.44488835648148151</v>
      </c>
      <c r="P50" s="57">
        <f>IFERROR(IF(VLOOKUP($A50,SortedDownload!$A$3:$BB$219,37,FALSE)=0,"-",VLOOKUP($A50,SortedDownload!$A$3:$BB$219,37,FALSE)/86400000),"-")</f>
        <v>0.49051364583333334</v>
      </c>
      <c r="Q50" s="57">
        <f>IFERROR(IF(VLOOKUP($A50,SortedDownload!$A$3:$BB$219,38,FALSE)=0,"-",VLOOKUP($A50,SortedDownload!$A$3:$BB$219,38,FALSE)/86400000),"-")</f>
        <v>0.49351031249999999</v>
      </c>
      <c r="R50" s="57">
        <f>IFERROR(IF(VLOOKUP($A50,SortedDownload!$A$3:$BB$219,39,FALSE)=0,"-",VLOOKUP($A50,SortedDownload!$A$3:$BB$219,39,FALSE)/86400000),"-")</f>
        <v>0.52681708333333332</v>
      </c>
      <c r="S50" s="57">
        <f>IFERROR(IF(VLOOKUP($A50,SortedDownload!$A$3:$BB$219,40,FALSE)=0,"-",VLOOKUP($A50,SortedDownload!$A$3:$BB$219,40,FALSE)/86400000),"-")</f>
        <v>0.5305372800925926</v>
      </c>
      <c r="T50" s="57" t="str">
        <f>IFERROR(IF(VLOOKUP($A50,SortedDownload!$A$3:$BB$219,41,FALSE)=0,"-",VLOOKUP($A50,SortedDownload!$A$3:$BB$219,41,FALSE)/86400000),"-")</f>
        <v>-</v>
      </c>
      <c r="U50" s="57" t="str">
        <f>IFERROR(IF(VLOOKUP($A50,SortedDownload!$A$3:$BB$219,42,FALSE)=0,"-",VLOOKUP($A50,SortedDownload!$A$3:$BB$219,42,FALSE)/86400000),"-")</f>
        <v>-</v>
      </c>
      <c r="V50" s="57" t="str">
        <f>IFERROR(IF(VLOOKUP($A50,SortedDownload!$A$3:$BB$219,43,FALSE)=0,"-",VLOOKUP($A50,SortedDownload!$A$3:$BB$219,43,FALSE)/86400000),"-")</f>
        <v>-</v>
      </c>
      <c r="W50" s="57" t="str">
        <f>IFERROR(IF(VLOOKUP($A50,SortedDownload!$A$3:$BB$219,44,FALSE)=0,"-",VLOOKUP($A50,SortedDownload!$A$3:$BB$219,44,FALSE)/86400000),"-")</f>
        <v>-</v>
      </c>
      <c r="X50" s="57" t="str">
        <f>IFERROR(IF(VLOOKUP($A50,SortedDownload!$A$3:$BB$219,45,FALSE)=0,"-",VLOOKUP($A50,SortedDownload!$A$3:$BB$219,45,FALSE)/86400000),"-")</f>
        <v>-</v>
      </c>
      <c r="Y50" s="58">
        <f>IFERROR(VLOOKUP($A50,SortedDownload!$A$3:$BB$219,46,FALSE)/86400000,"")</f>
        <v>0</v>
      </c>
      <c r="Z50" s="58">
        <f>IFERROR(Table932[[#This Row],[End Time]]-Table932[[#This Row],[Start Time]],"")</f>
        <v>-0.40994999999999998</v>
      </c>
      <c r="AA50" s="58"/>
      <c r="AB50" s="170" t="str">
        <f t="shared" si="5"/>
        <v>N/A</v>
      </c>
      <c r="AC50" s="170" t="str">
        <f t="shared" si="4"/>
        <v>N/A</v>
      </c>
    </row>
    <row r="51" spans="1:29">
      <c r="A51" s="53">
        <f>IF(SortedDownload!A48 &lt; 1,"",SortedDownload!A48)</f>
        <v>206</v>
      </c>
      <c r="B51" s="54">
        <f t="shared" si="0"/>
        <v>46</v>
      </c>
      <c r="C51" s="54" t="str">
        <f>IFERROR(VLOOKUP($A51,CategoryResults!$A$3:$X$252,3,FALSE),"")</f>
        <v/>
      </c>
      <c r="D51" s="90" t="str">
        <f>IFERROR(VLOOKUP($A51,EntryList!$A$3:$N$291,2,FALSE),"")</f>
        <v>Waldo De Wet</v>
      </c>
      <c r="E51" s="54" t="str">
        <f>IFERROR(VLOOKUP(C51,SeriesPoints!$A$2:$B$51,2,FALSE),"")</f>
        <v/>
      </c>
      <c r="F51" s="144" t="str">
        <f>IFERROR(VLOOKUP($A51,EntryList!$A$3:$V$291,22,FALSE),"")</f>
        <v>-</v>
      </c>
      <c r="G51" s="100" t="str">
        <f>IFERROR(VLOOKUP($A51,EntryList!$A$3:$N$291,6,FALSE),"")</f>
        <v>M</v>
      </c>
      <c r="H51" s="145" t="str">
        <f>IFERROR(VLOOKUP($A51,EntryList!$A$3:$N$291,7,FALSE),"")</f>
        <v>Master Men</v>
      </c>
      <c r="I51" s="56">
        <f t="shared" si="1"/>
        <v>9</v>
      </c>
      <c r="J51" s="57">
        <f>IFERROR(VLOOKUP($A51,SortedDownload!$A$3:$BB$219,31,FALSE)/86400000,"")</f>
        <v>0.42301199074074075</v>
      </c>
      <c r="K51" s="57">
        <f>IFERROR(IF(VLOOKUP($A51,SortedDownload!$A$3:$BB$219,32,FALSE)=0,"-",VLOOKUP($A51,SortedDownload!$A$3:$BB$219,32,FALSE)/86400000),"-")</f>
        <v>0.42555466435185185</v>
      </c>
      <c r="L51" s="57">
        <f>IFERROR(IF(VLOOKUP($A51,SortedDownload!$A$3:$BB$219,33,FALSE)=0,"-",VLOOKUP($A51,SortedDownload!$A$3:$BB$219,33,FALSE)/86400000),"-")</f>
        <v>0.3706170138888889</v>
      </c>
      <c r="M51" s="57">
        <f>IFERROR(IF(VLOOKUP($A51,SortedDownload!$A$3:$BB$219,34,FALSE)=0,"-",VLOOKUP($A51,SortedDownload!$A$3:$BB$219,34,FALSE)/86400000),"-")</f>
        <v>0.3732991087962963</v>
      </c>
      <c r="N51" s="57">
        <f>IFERROR(IF(VLOOKUP($A51,SortedDownload!$A$3:$BB$219,35,FALSE)=0,"-",VLOOKUP($A51,SortedDownload!$A$3:$BB$219,35,FALSE)/86400000),"-")</f>
        <v>0.46417870370370368</v>
      </c>
      <c r="O51" s="57">
        <f>IFERROR(IF(VLOOKUP($A51,SortedDownload!$A$3:$BB$219,36,FALSE)=0,"-",VLOOKUP($A51,SortedDownload!$A$3:$BB$219,36,FALSE)/86400000),"-")</f>
        <v>0.46567314814814814</v>
      </c>
      <c r="P51" s="57">
        <f>IFERROR(IF(VLOOKUP($A51,SortedDownload!$A$3:$BB$219,37,FALSE)=0,"-",VLOOKUP($A51,SortedDownload!$A$3:$BB$219,37,FALSE)/86400000),"-")</f>
        <v>0.5176442361111111</v>
      </c>
      <c r="Q51" s="57">
        <f>IFERROR(IF(VLOOKUP($A51,SortedDownload!$A$3:$BB$219,38,FALSE)=0,"-",VLOOKUP($A51,SortedDownload!$A$3:$BB$219,38,FALSE)/86400000),"-")</f>
        <v>0.52067343749999995</v>
      </c>
      <c r="R51" s="57">
        <f>IFERROR(IF(VLOOKUP($A51,SortedDownload!$A$3:$BB$219,39,FALSE)=0,"-",VLOOKUP($A51,SortedDownload!$A$3:$BB$219,39,FALSE)/86400000),"-")</f>
        <v>0.55635569444444444</v>
      </c>
      <c r="S51" s="57">
        <f>IFERROR(IF(VLOOKUP($A51,SortedDownload!$A$3:$BB$219,40,FALSE)=0,"-",VLOOKUP($A51,SortedDownload!$A$3:$BB$219,40,FALSE)/86400000),"-")</f>
        <v>0.56016696759259255</v>
      </c>
      <c r="T51" s="57" t="str">
        <f>IFERROR(IF(VLOOKUP($A51,SortedDownload!$A$3:$BB$219,41,FALSE)=0,"-",VLOOKUP($A51,SortedDownload!$A$3:$BB$219,41,FALSE)/86400000),"-")</f>
        <v>-</v>
      </c>
      <c r="U51" s="57" t="str">
        <f>IFERROR(IF(VLOOKUP($A51,SortedDownload!$A$3:$BB$219,42,FALSE)=0,"-",VLOOKUP($A51,SortedDownload!$A$3:$BB$219,42,FALSE)/86400000),"-")</f>
        <v>-</v>
      </c>
      <c r="V51" s="57" t="str">
        <f>IFERROR(IF(VLOOKUP($A51,SortedDownload!$A$3:$BB$219,43,FALSE)=0,"-",VLOOKUP($A51,SortedDownload!$A$3:$BB$219,43,FALSE)/86400000),"-")</f>
        <v>-</v>
      </c>
      <c r="W51" s="57" t="str">
        <f>IFERROR(IF(VLOOKUP($A51,SortedDownload!$A$3:$BB$219,44,FALSE)=0,"-",VLOOKUP($A51,SortedDownload!$A$3:$BB$219,44,FALSE)/86400000),"-")</f>
        <v>-</v>
      </c>
      <c r="X51" s="57" t="str">
        <f>IFERROR(IF(VLOOKUP($A51,SortedDownload!$A$3:$BB$219,45,FALSE)=0,"-",VLOOKUP($A51,SortedDownload!$A$3:$BB$219,45,FALSE)/86400000),"-")</f>
        <v>-</v>
      </c>
      <c r="Y51" s="58">
        <f>IFERROR(VLOOKUP($A51,SortedDownload!$A$3:$BB$219,46,FALSE)/86400000,"")</f>
        <v>0</v>
      </c>
      <c r="Z51" s="58">
        <f>IFERROR(Table932[[#This Row],[End Time]]-Table932[[#This Row],[Start Time]],"")</f>
        <v>-0.42301199074074075</v>
      </c>
      <c r="AA51" s="58"/>
      <c r="AB51" s="170" t="str">
        <f t="shared" si="5"/>
        <v>N/A</v>
      </c>
      <c r="AC51" s="170" t="str">
        <f t="shared" si="4"/>
        <v>N/A</v>
      </c>
    </row>
    <row r="52" spans="1:29">
      <c r="A52" s="53">
        <f>IF(SortedDownload!A49 &lt; 1,"",SortedDownload!A49)</f>
        <v>163</v>
      </c>
      <c r="B52" s="54">
        <f t="shared" si="0"/>
        <v>47</v>
      </c>
      <c r="C52" s="54" t="str">
        <f>IFERROR(VLOOKUP($A52,CategoryResults!$A$3:$X$252,3,FALSE),"")</f>
        <v/>
      </c>
      <c r="D52" s="90" t="str">
        <f>IFERROR(VLOOKUP($A52,EntryList!$A$3:$N$291,2,FALSE),"")</f>
        <v>Ethan Paton</v>
      </c>
      <c r="E52" s="54" t="str">
        <f>IFERROR(VLOOKUP(C52,SeriesPoints!$A$2:$B$51,2,FALSE),"")</f>
        <v/>
      </c>
      <c r="F52" s="144" t="str">
        <f>IFERROR(VLOOKUP($A52,EntryList!$A$3:$V$291,22,FALSE),"")</f>
        <v>-</v>
      </c>
      <c r="G52" s="100" t="str">
        <f>IFERROR(VLOOKUP($A52,EntryList!$A$3:$N$291,6,FALSE),"")</f>
        <v>M</v>
      </c>
      <c r="H52" s="145" t="str">
        <f>IFERROR(VLOOKUP($A52,EntryList!$A$3:$N$291,7,FALSE),"")</f>
        <v>Elite Men</v>
      </c>
      <c r="I52" s="56">
        <f t="shared" si="1"/>
        <v>9</v>
      </c>
      <c r="J52" s="57">
        <f>IFERROR(VLOOKUP($A52,SortedDownload!$A$3:$BB$219,31,FALSE)/86400000,"")</f>
        <v>0.38700416666666665</v>
      </c>
      <c r="K52" s="57">
        <f>IFERROR(IF(VLOOKUP($A52,SortedDownload!$A$3:$BB$219,32,FALSE)=0,"-",VLOOKUP($A52,SortedDownload!$A$3:$BB$219,32,FALSE)/86400000),"-")</f>
        <v>0.38982530092592593</v>
      </c>
      <c r="L52" s="57">
        <f>IFERROR(IF(VLOOKUP($A52,SortedDownload!$A$3:$BB$219,33,FALSE)=0,"-",VLOOKUP($A52,SortedDownload!$A$3:$BB$219,33,FALSE)/86400000),"-")</f>
        <v>0.47349861111111113</v>
      </c>
      <c r="M52" s="57">
        <f>IFERROR(IF(VLOOKUP($A52,SortedDownload!$A$3:$BB$219,34,FALSE)=0,"-",VLOOKUP($A52,SortedDownload!$A$3:$BB$219,34,FALSE)/86400000),"-")</f>
        <v>0.47609812499999998</v>
      </c>
      <c r="N52" s="57">
        <f>IFERROR(IF(VLOOKUP($A52,SortedDownload!$A$3:$BB$219,35,FALSE)=0,"-",VLOOKUP($A52,SortedDownload!$A$3:$BB$219,35,FALSE)/86400000),"-")</f>
        <v>0.43332310185185186</v>
      </c>
      <c r="O52" s="57">
        <f>IFERROR(IF(VLOOKUP($A52,SortedDownload!$A$3:$BB$219,36,FALSE)=0,"-",VLOOKUP($A52,SortedDownload!$A$3:$BB$219,36,FALSE)/86400000),"-")</f>
        <v>0.43495509259259257</v>
      </c>
      <c r="P52" s="57">
        <f>IFERROR(IF(VLOOKUP($A52,SortedDownload!$A$3:$BB$219,37,FALSE)=0,"-",VLOOKUP($A52,SortedDownload!$A$3:$BB$219,37,FALSE)/86400000),"-")</f>
        <v>0.52167819444444441</v>
      </c>
      <c r="Q52" s="57">
        <f>IFERROR(IF(VLOOKUP($A52,SortedDownload!$A$3:$BB$219,38,FALSE)=0,"-",VLOOKUP($A52,SortedDownload!$A$3:$BB$219,38,FALSE)/86400000),"-")</f>
        <v>0.52466116898148152</v>
      </c>
      <c r="R52" s="57">
        <f>IFERROR(IF(VLOOKUP($A52,SortedDownload!$A$3:$BB$219,39,FALSE)=0,"-",VLOOKUP($A52,SortedDownload!$A$3:$BB$219,39,FALSE)/86400000),"-")</f>
        <v>0.56434613425925928</v>
      </c>
      <c r="S52" s="57">
        <f>IFERROR(IF(VLOOKUP($A52,SortedDownload!$A$3:$BB$219,40,FALSE)=0,"-",VLOOKUP($A52,SortedDownload!$A$3:$BB$219,40,FALSE)/86400000),"-")</f>
        <v>0.56794222222222224</v>
      </c>
      <c r="T52" s="57" t="str">
        <f>IFERROR(IF(VLOOKUP($A52,SortedDownload!$A$3:$BB$219,41,FALSE)=0,"-",VLOOKUP($A52,SortedDownload!$A$3:$BB$219,41,FALSE)/86400000),"-")</f>
        <v>-</v>
      </c>
      <c r="U52" s="57" t="str">
        <f>IFERROR(IF(VLOOKUP($A52,SortedDownload!$A$3:$BB$219,42,FALSE)=0,"-",VLOOKUP($A52,SortedDownload!$A$3:$BB$219,42,FALSE)/86400000),"-")</f>
        <v>-</v>
      </c>
      <c r="V52" s="57" t="str">
        <f>IFERROR(IF(VLOOKUP($A52,SortedDownload!$A$3:$BB$219,43,FALSE)=0,"-",VLOOKUP($A52,SortedDownload!$A$3:$BB$219,43,FALSE)/86400000),"-")</f>
        <v>-</v>
      </c>
      <c r="W52" s="57" t="str">
        <f>IFERROR(IF(VLOOKUP($A52,SortedDownload!$A$3:$BB$219,44,FALSE)=0,"-",VLOOKUP($A52,SortedDownload!$A$3:$BB$219,44,FALSE)/86400000),"-")</f>
        <v>-</v>
      </c>
      <c r="X52" s="57" t="str">
        <f>IFERROR(IF(VLOOKUP($A52,SortedDownload!$A$3:$BB$219,45,FALSE)=0,"-",VLOOKUP($A52,SortedDownload!$A$3:$BB$219,45,FALSE)/86400000),"-")</f>
        <v>-</v>
      </c>
      <c r="Y52" s="58">
        <f>IFERROR(VLOOKUP($A52,SortedDownload!$A$3:$BB$219,46,FALSE)/86400000,"")</f>
        <v>0</v>
      </c>
      <c r="Z52" s="58">
        <f>IFERROR(Table932[[#This Row],[End Time]]-Table932[[#This Row],[Start Time]],"")</f>
        <v>-0.38700416666666665</v>
      </c>
      <c r="AA52" s="58"/>
      <c r="AB52" s="170" t="str">
        <f t="shared" si="5"/>
        <v>51:51</v>
      </c>
      <c r="AC52" s="170" t="str">
        <f t="shared" si="4"/>
        <v>29:23</v>
      </c>
    </row>
    <row r="53" spans="1:29">
      <c r="A53" s="53">
        <f>IF(SortedDownload!A50 &lt; 1,"",SortedDownload!A50)</f>
        <v>142</v>
      </c>
      <c r="B53" s="54">
        <f t="shared" si="0"/>
        <v>48</v>
      </c>
      <c r="C53" s="54" t="str">
        <f>IFERROR(VLOOKUP($A53,CategoryResults!$A$3:$X$252,3,FALSE),"")</f>
        <v/>
      </c>
      <c r="D53" s="90" t="str">
        <f>IFERROR(VLOOKUP($A53,EntryList!$A$3:$N$291,2,FALSE),"")</f>
        <v>Dr Katzen</v>
      </c>
      <c r="E53" s="54" t="str">
        <f>IFERROR(VLOOKUP(C53,SeriesPoints!$A$2:$B$51,2,FALSE),"")</f>
        <v/>
      </c>
      <c r="F53" s="144" t="str">
        <f>IFERROR(VLOOKUP($A53,EntryList!$A$3:$V$291,22,FALSE),"")</f>
        <v>-</v>
      </c>
      <c r="G53" s="100" t="str">
        <f>IFERROR(VLOOKUP($A53,EntryList!$A$3:$N$291,6,FALSE),"")</f>
        <v>M</v>
      </c>
      <c r="H53" s="145" t="str">
        <f>IFERROR(VLOOKUP($A53,EntryList!$A$3:$N$291,7,FALSE),"")</f>
        <v>Master Men</v>
      </c>
      <c r="I53" s="56">
        <f t="shared" si="1"/>
        <v>9</v>
      </c>
      <c r="J53" s="57">
        <f>IFERROR(VLOOKUP($A53,SortedDownload!$A$3:$BB$219,31,FALSE)/86400000,"")</f>
        <v>0.37891784722222221</v>
      </c>
      <c r="K53" s="57">
        <f>IFERROR(IF(VLOOKUP($A53,SortedDownload!$A$3:$BB$219,32,FALSE)=0,"-",VLOOKUP($A53,SortedDownload!$A$3:$BB$219,32,FALSE)/86400000),"-")</f>
        <v>0.38163018518518521</v>
      </c>
      <c r="L53" s="57">
        <f>IFERROR(IF(VLOOKUP($A53,SortedDownload!$A$3:$BB$219,33,FALSE)=0,"-",VLOOKUP($A53,SortedDownload!$A$3:$BB$219,33,FALSE)/86400000),"-")</f>
        <v>0.43098871527777777</v>
      </c>
      <c r="M53" s="57">
        <f>IFERROR(IF(VLOOKUP($A53,SortedDownload!$A$3:$BB$219,34,FALSE)=0,"-",VLOOKUP($A53,SortedDownload!$A$3:$BB$219,34,FALSE)/86400000),"-")</f>
        <v>0.43369543981481479</v>
      </c>
      <c r="N53" s="57">
        <f>IFERROR(IF(VLOOKUP($A53,SortedDownload!$A$3:$BB$219,35,FALSE)=0,"-",VLOOKUP($A53,SortedDownload!$A$3:$BB$219,35,FALSE)/86400000),"-")</f>
        <v>0.46815694444444444</v>
      </c>
      <c r="O53" s="57">
        <f>IFERROR(IF(VLOOKUP($A53,SortedDownload!$A$3:$BB$219,36,FALSE)=0,"-",VLOOKUP($A53,SortedDownload!$A$3:$BB$219,36,FALSE)/86400000),"-")</f>
        <v>0.4697059027777778</v>
      </c>
      <c r="P53" s="57">
        <f>IFERROR(IF(VLOOKUP($A53,SortedDownload!$A$3:$BB$219,37,FALSE)=0,"-",VLOOKUP($A53,SortedDownload!$A$3:$BB$219,37,FALSE)/86400000),"-")</f>
        <v>0.51907261574074071</v>
      </c>
      <c r="Q53" s="57">
        <f>IFERROR(IF(VLOOKUP($A53,SortedDownload!$A$3:$BB$219,38,FALSE)=0,"-",VLOOKUP($A53,SortedDownload!$A$3:$BB$219,38,FALSE)/86400000),"-")</f>
        <v>0.52210797453703706</v>
      </c>
      <c r="R53" s="57">
        <f>IFERROR(IF(VLOOKUP($A53,SortedDownload!$A$3:$BB$219,39,FALSE)=0,"-",VLOOKUP($A53,SortedDownload!$A$3:$BB$219,39,FALSE)/86400000),"-")</f>
        <v>0.5528622685185185</v>
      </c>
      <c r="S53" s="57">
        <f>IFERROR(IF(VLOOKUP($A53,SortedDownload!$A$3:$BB$219,40,FALSE)=0,"-",VLOOKUP($A53,SortedDownload!$A$3:$BB$219,40,FALSE)/86400000),"-")</f>
        <v>0.55653807870370375</v>
      </c>
      <c r="T53" s="57" t="str">
        <f>IFERROR(IF(VLOOKUP($A53,SortedDownload!$A$3:$BB$219,41,FALSE)=0,"-",VLOOKUP($A53,SortedDownload!$A$3:$BB$219,41,FALSE)/86400000),"-")</f>
        <v>-</v>
      </c>
      <c r="U53" s="57" t="str">
        <f>IFERROR(IF(VLOOKUP($A53,SortedDownload!$A$3:$BB$219,42,FALSE)=0,"-",VLOOKUP($A53,SortedDownload!$A$3:$BB$219,42,FALSE)/86400000),"-")</f>
        <v>-</v>
      </c>
      <c r="V53" s="57" t="str">
        <f>IFERROR(IF(VLOOKUP($A53,SortedDownload!$A$3:$BB$219,43,FALSE)=0,"-",VLOOKUP($A53,SortedDownload!$A$3:$BB$219,43,FALSE)/86400000),"-")</f>
        <v>-</v>
      </c>
      <c r="W53" s="57" t="str">
        <f>IFERROR(IF(VLOOKUP($A53,SortedDownload!$A$3:$BB$219,44,FALSE)=0,"-",VLOOKUP($A53,SortedDownload!$A$3:$BB$219,44,FALSE)/86400000),"-")</f>
        <v>-</v>
      </c>
      <c r="X53" s="57" t="str">
        <f>IFERROR(IF(VLOOKUP($A53,SortedDownload!$A$3:$BB$219,45,FALSE)=0,"-",VLOOKUP($A53,SortedDownload!$A$3:$BB$219,45,FALSE)/86400000),"-")</f>
        <v>-</v>
      </c>
      <c r="Y53" s="58">
        <f>IFERROR(VLOOKUP($A53,SortedDownload!$A$3:$BB$219,46,FALSE)/86400000,"")</f>
        <v>0</v>
      </c>
      <c r="Z53" s="58">
        <f>IFERROR(Table932[[#This Row],[End Time]]-Table932[[#This Row],[Start Time]],"")</f>
        <v>-0.37891784722222221</v>
      </c>
      <c r="AA53" s="58"/>
      <c r="AB53" s="170" t="str">
        <f t="shared" si="5"/>
        <v>11:39</v>
      </c>
      <c r="AC53" s="170" t="str">
        <f t="shared" si="4"/>
        <v>41:02</v>
      </c>
    </row>
    <row r="54" spans="1:29">
      <c r="A54" s="53">
        <f>IF(SortedDownload!A51 &lt; 1,"",SortedDownload!A51)</f>
        <v>199</v>
      </c>
      <c r="B54" s="54">
        <f t="shared" si="0"/>
        <v>49</v>
      </c>
      <c r="C54" s="54" t="str">
        <f>IFERROR(VLOOKUP($A54,CategoryResults!$A$3:$X$252,3,FALSE),"")</f>
        <v/>
      </c>
      <c r="D54" s="90" t="str">
        <f>IFERROR(VLOOKUP($A54,EntryList!$A$3:$N$291,2,FALSE),"")</f>
        <v>Frankie Du Toit</v>
      </c>
      <c r="E54" s="54" t="str">
        <f>IFERROR(VLOOKUP(C54,SeriesPoints!$A$2:$B$51,2,FALSE),"")</f>
        <v/>
      </c>
      <c r="F54" s="144" t="str">
        <f>IFERROR(VLOOKUP($A54,EntryList!$A$3:$V$291,22,FALSE),"")</f>
        <v>-</v>
      </c>
      <c r="G54" s="100" t="str">
        <f>IFERROR(VLOOKUP($A54,EntryList!$A$3:$N$291,6,FALSE),"")</f>
        <v>F</v>
      </c>
      <c r="H54" s="145" t="str">
        <f>IFERROR(VLOOKUP($A54,EntryList!$A$3:$N$291,7,FALSE),"")</f>
        <v>Elite Women</v>
      </c>
      <c r="I54" s="56">
        <f t="shared" si="1"/>
        <v>9</v>
      </c>
      <c r="J54" s="57">
        <f>IFERROR(VLOOKUP($A54,SortedDownload!$A$3:$BB$219,31,FALSE)/86400000,"")</f>
        <v>0.45435740740740743</v>
      </c>
      <c r="K54" s="57">
        <f>IFERROR(IF(VLOOKUP($A54,SortedDownload!$A$3:$BB$219,32,FALSE)=0,"-",VLOOKUP($A54,SortedDownload!$A$3:$BB$219,32,FALSE)/86400000),"-")</f>
        <v>0.45715037037037037</v>
      </c>
      <c r="L54" s="57">
        <f>IFERROR(IF(VLOOKUP($A54,SortedDownload!$A$3:$BB$219,33,FALSE)=0,"-",VLOOKUP($A54,SortedDownload!$A$3:$BB$219,33,FALSE)/86400000),"-")</f>
        <v>0.42700877314814817</v>
      </c>
      <c r="M54" s="57">
        <f>IFERROR(IF(VLOOKUP($A54,SortedDownload!$A$3:$BB$219,34,FALSE)=0,"-",VLOOKUP($A54,SortedDownload!$A$3:$BB$219,34,FALSE)/86400000),"-")</f>
        <v>0.42969653935185187</v>
      </c>
      <c r="N54" s="57">
        <f>IFERROR(IF(VLOOKUP($A54,SortedDownload!$A$3:$BB$219,35,FALSE)=0,"-",VLOOKUP($A54,SortedDownload!$A$3:$BB$219,35,FALSE)/86400000),"-")</f>
        <v>0.37995489583333331</v>
      </c>
      <c r="O54" s="57">
        <f>IFERROR(IF(VLOOKUP($A54,SortedDownload!$A$3:$BB$219,36,FALSE)=0,"-",VLOOKUP($A54,SortedDownload!$A$3:$BB$219,36,FALSE)/86400000),"-")</f>
        <v>0.38147278935185186</v>
      </c>
      <c r="P54" s="57">
        <f>IFERROR(IF(VLOOKUP($A54,SortedDownload!$A$3:$BB$219,37,FALSE)=0,"-",VLOOKUP($A54,SortedDownload!$A$3:$BB$219,37,FALSE)/86400000),"-")</f>
        <v>0.49948901620370373</v>
      </c>
      <c r="Q54" s="57">
        <f>IFERROR(IF(VLOOKUP($A54,SortedDownload!$A$3:$BB$219,38,FALSE)=0,"-",VLOOKUP($A54,SortedDownload!$A$3:$BB$219,38,FALSE)/86400000),"-")</f>
        <v>0.50253041666666665</v>
      </c>
      <c r="R54" s="57">
        <f>IFERROR(IF(VLOOKUP($A54,SortedDownload!$A$3:$BB$219,39,FALSE)=0,"-",VLOOKUP($A54,SortedDownload!$A$3:$BB$219,39,FALSE)/86400000),"-")</f>
        <v>0.5334315277777778</v>
      </c>
      <c r="S54" s="57">
        <f>IFERROR(IF(VLOOKUP($A54,SortedDownload!$A$3:$BB$219,40,FALSE)=0,"-",VLOOKUP($A54,SortedDownload!$A$3:$BB$219,40,FALSE)/86400000),"-")</f>
        <v>0.53707767361111114</v>
      </c>
      <c r="T54" s="57" t="str">
        <f>IFERROR(IF(VLOOKUP($A54,SortedDownload!$A$3:$BB$219,41,FALSE)=0,"-",VLOOKUP($A54,SortedDownload!$A$3:$BB$219,41,FALSE)/86400000),"-")</f>
        <v>-</v>
      </c>
      <c r="U54" s="57" t="str">
        <f>IFERROR(IF(VLOOKUP($A54,SortedDownload!$A$3:$BB$219,42,FALSE)=0,"-",VLOOKUP($A54,SortedDownload!$A$3:$BB$219,42,FALSE)/86400000),"-")</f>
        <v>-</v>
      </c>
      <c r="V54" s="57" t="str">
        <f>IFERROR(IF(VLOOKUP($A54,SortedDownload!$A$3:$BB$219,43,FALSE)=0,"-",VLOOKUP($A54,SortedDownload!$A$3:$BB$219,43,FALSE)/86400000),"-")</f>
        <v>-</v>
      </c>
      <c r="W54" s="57" t="str">
        <f>IFERROR(IF(VLOOKUP($A54,SortedDownload!$A$3:$BB$219,44,FALSE)=0,"-",VLOOKUP($A54,SortedDownload!$A$3:$BB$219,44,FALSE)/86400000),"-")</f>
        <v>-</v>
      </c>
      <c r="X54" s="57" t="str">
        <f>IFERROR(IF(VLOOKUP($A54,SortedDownload!$A$3:$BB$219,45,FALSE)=0,"-",VLOOKUP($A54,SortedDownload!$A$3:$BB$219,45,FALSE)/86400000),"-")</f>
        <v>-</v>
      </c>
      <c r="Y54" s="58">
        <f>IFERROR(VLOOKUP($A54,SortedDownload!$A$3:$BB$219,46,FALSE)/86400000,"")</f>
        <v>0</v>
      </c>
      <c r="Z54" s="58">
        <f>IFERROR(Table932[[#This Row],[End Time]]-Table932[[#This Row],[Start Time]],"")</f>
        <v>-0.45435740740740743</v>
      </c>
      <c r="AA54" s="58"/>
      <c r="AB54" s="170" t="str">
        <f t="shared" si="5"/>
        <v>N/A</v>
      </c>
      <c r="AC54" s="170" t="str">
        <f t="shared" si="4"/>
        <v>N/A</v>
      </c>
    </row>
    <row r="55" spans="1:29">
      <c r="A55" s="53">
        <f>IF(SortedDownload!A52 &lt; 1,"",SortedDownload!A52)</f>
        <v>166</v>
      </c>
      <c r="B55" s="54">
        <f t="shared" si="0"/>
        <v>50</v>
      </c>
      <c r="C55" s="54" t="str">
        <f>IFERROR(VLOOKUP($A55,CategoryResults!$A$3:$X$252,3,FALSE),"")</f>
        <v/>
      </c>
      <c r="D55" s="90" t="str">
        <f>IFERROR(VLOOKUP($A55,EntryList!$A$3:$N$291,2,FALSE),"")</f>
        <v>Zivan Venter</v>
      </c>
      <c r="E55" s="54" t="str">
        <f>IFERROR(VLOOKUP(C55,SeriesPoints!$A$2:$B$51,2,FALSE),"")</f>
        <v/>
      </c>
      <c r="F55" s="144" t="str">
        <f>IFERROR(VLOOKUP($A55,EntryList!$A$3:$V$291,22,FALSE),"")</f>
        <v>-</v>
      </c>
      <c r="G55" s="100" t="str">
        <f>IFERROR(VLOOKUP($A55,EntryList!$A$3:$N$291,6,FALSE),"")</f>
        <v>M</v>
      </c>
      <c r="H55" s="145" t="str">
        <f>IFERROR(VLOOKUP($A55,EntryList!$A$3:$N$291,7,FALSE),"")</f>
        <v>Youth Men</v>
      </c>
      <c r="I55" s="56">
        <f t="shared" si="1"/>
        <v>9</v>
      </c>
      <c r="J55" s="57">
        <f>IFERROR(VLOOKUP($A55,SortedDownload!$A$3:$BB$219,31,FALSE)/86400000,"")</f>
        <v>0.4077059837962963</v>
      </c>
      <c r="K55" s="57">
        <f>IFERROR(IF(VLOOKUP($A55,SortedDownload!$A$3:$BB$219,32,FALSE)=0,"-",VLOOKUP($A55,SortedDownload!$A$3:$BB$219,32,FALSE)/86400000),"-")</f>
        <v>0.41038951388888889</v>
      </c>
      <c r="L55" s="57">
        <f>IFERROR(IF(VLOOKUP($A55,SortedDownload!$A$3:$BB$219,33,FALSE)=0,"-",VLOOKUP($A55,SortedDownload!$A$3:$BB$219,33,FALSE)/86400000),"-")</f>
        <v>0.36489386574074073</v>
      </c>
      <c r="M55" s="57">
        <f>IFERROR(IF(VLOOKUP($A55,SortedDownload!$A$3:$BB$219,34,FALSE)=0,"-",VLOOKUP($A55,SortedDownload!$A$3:$BB$219,34,FALSE)/86400000),"-")</f>
        <v>0.36764909722222222</v>
      </c>
      <c r="N55" s="57">
        <f>IFERROR(IF(VLOOKUP($A55,SortedDownload!$A$3:$BB$219,35,FALSE)=0,"-",VLOOKUP($A55,SortedDownload!$A$3:$BB$219,35,FALSE)/86400000),"-")</f>
        <v>0.44720844907407409</v>
      </c>
      <c r="O55" s="57">
        <f>IFERROR(IF(VLOOKUP($A55,SortedDownload!$A$3:$BB$219,36,FALSE)=0,"-",VLOOKUP($A55,SortedDownload!$A$3:$BB$219,36,FALSE)/86400000),"-")</f>
        <v>0.44872033564814817</v>
      </c>
      <c r="P55" s="57">
        <f>IFERROR(IF(VLOOKUP($A55,SortedDownload!$A$3:$BB$219,37,FALSE)=0,"-",VLOOKUP($A55,SortedDownload!$A$3:$BB$219,37,FALSE)/86400000),"-")</f>
        <v>0.50508444444444445</v>
      </c>
      <c r="Q55" s="57">
        <f>IFERROR(IF(VLOOKUP($A55,SortedDownload!$A$3:$BB$219,38,FALSE)=0,"-",VLOOKUP($A55,SortedDownload!$A$3:$BB$219,38,FALSE)/86400000),"-")</f>
        <v>0.50814622685185185</v>
      </c>
      <c r="R55" s="57">
        <f>IFERROR(IF(VLOOKUP($A55,SortedDownload!$A$3:$BB$219,39,FALSE)=0,"-",VLOOKUP($A55,SortedDownload!$A$3:$BB$219,39,FALSE)/86400000),"-")</f>
        <v>0.54098374999999999</v>
      </c>
      <c r="S55" s="57">
        <f>IFERROR(IF(VLOOKUP($A55,SortedDownload!$A$3:$BB$219,40,FALSE)=0,"-",VLOOKUP($A55,SortedDownload!$A$3:$BB$219,40,FALSE)/86400000),"-")</f>
        <v>0.54468865740740746</v>
      </c>
      <c r="T55" s="57" t="str">
        <f>IFERROR(IF(VLOOKUP($A55,SortedDownload!$A$3:$BB$219,41,FALSE)=0,"-",VLOOKUP($A55,SortedDownload!$A$3:$BB$219,41,FALSE)/86400000),"-")</f>
        <v>-</v>
      </c>
      <c r="U55" s="57" t="str">
        <f>IFERROR(IF(VLOOKUP($A55,SortedDownload!$A$3:$BB$219,42,FALSE)=0,"-",VLOOKUP($A55,SortedDownload!$A$3:$BB$219,42,FALSE)/86400000),"-")</f>
        <v>-</v>
      </c>
      <c r="V55" s="57" t="str">
        <f>IFERROR(IF(VLOOKUP($A55,SortedDownload!$A$3:$BB$219,43,FALSE)=0,"-",VLOOKUP($A55,SortedDownload!$A$3:$BB$219,43,FALSE)/86400000),"-")</f>
        <v>-</v>
      </c>
      <c r="W55" s="57" t="str">
        <f>IFERROR(IF(VLOOKUP($A55,SortedDownload!$A$3:$BB$219,44,FALSE)=0,"-",VLOOKUP($A55,SortedDownload!$A$3:$BB$219,44,FALSE)/86400000),"-")</f>
        <v>-</v>
      </c>
      <c r="X55" s="57" t="str">
        <f>IFERROR(IF(VLOOKUP($A55,SortedDownload!$A$3:$BB$219,45,FALSE)=0,"-",VLOOKUP($A55,SortedDownload!$A$3:$BB$219,45,FALSE)/86400000),"-")</f>
        <v>-</v>
      </c>
      <c r="Y55" s="58">
        <f>IFERROR(VLOOKUP($A55,SortedDownload!$A$3:$BB$219,46,FALSE)/86400000,"")</f>
        <v>0</v>
      </c>
      <c r="Z55" s="58">
        <f>IFERROR(Table932[[#This Row],[End Time]]-Table932[[#This Row],[Start Time]],"")</f>
        <v>-0.4077059837962963</v>
      </c>
      <c r="AA55" s="58"/>
      <c r="AB55" s="170" t="str">
        <f t="shared" si="5"/>
        <v>07:11</v>
      </c>
      <c r="AC55" s="170" t="str">
        <f t="shared" si="4"/>
        <v>N/A</v>
      </c>
    </row>
    <row r="56" spans="1:29">
      <c r="A56" s="53">
        <f>IF(SortedDownload!A53 &lt; 1,"",SortedDownload!A53)</f>
        <v>177</v>
      </c>
      <c r="B56" s="54">
        <f t="shared" si="0"/>
        <v>51</v>
      </c>
      <c r="C56" s="54" t="str">
        <f>IFERROR(VLOOKUP($A56,CategoryResults!$A$3:$X$252,3,FALSE),"")</f>
        <v/>
      </c>
      <c r="D56" s="90" t="str">
        <f>IFERROR(VLOOKUP($A56,EntryList!$A$3:$N$291,2,FALSE),"")</f>
        <v>Daniel Fairbrother</v>
      </c>
      <c r="E56" s="54" t="str">
        <f>IFERROR(VLOOKUP(C56,SeriesPoints!$A$2:$B$51,2,FALSE),"")</f>
        <v/>
      </c>
      <c r="F56" s="144" t="str">
        <f>IFERROR(VLOOKUP($A56,EntryList!$A$3:$V$291,22,FALSE),"")</f>
        <v>-</v>
      </c>
      <c r="G56" s="100" t="str">
        <f>IFERROR(VLOOKUP($A56,EntryList!$A$3:$N$291,6,FALSE),"")</f>
        <v>M</v>
      </c>
      <c r="H56" s="145" t="str">
        <f>IFERROR(VLOOKUP($A56,EntryList!$A$3:$N$291,7,FALSE),"")</f>
        <v>Youth Men</v>
      </c>
      <c r="I56" s="56">
        <f t="shared" si="1"/>
        <v>9</v>
      </c>
      <c r="J56" s="57">
        <f>IFERROR(VLOOKUP($A56,SortedDownload!$A$3:$BB$219,31,FALSE)/86400000,"")</f>
        <v>0.40007321759259257</v>
      </c>
      <c r="K56" s="57">
        <f>IFERROR(IF(VLOOKUP($A56,SortedDownload!$A$3:$BB$219,32,FALSE)=0,"-",VLOOKUP($A56,SortedDownload!$A$3:$BB$219,32,FALSE)/86400000),"-")</f>
        <v>0.40285087962962962</v>
      </c>
      <c r="L56" s="57">
        <f>IFERROR(IF(VLOOKUP($A56,SortedDownload!$A$3:$BB$219,33,FALSE)=0,"-",VLOOKUP($A56,SortedDownload!$A$3:$BB$219,33,FALSE)/86400000),"-")</f>
        <v>0.36093915509259261</v>
      </c>
      <c r="M56" s="57">
        <f>IFERROR(IF(VLOOKUP($A56,SortedDownload!$A$3:$BB$219,34,FALSE)=0,"-",VLOOKUP($A56,SortedDownload!$A$3:$BB$219,34,FALSE)/86400000),"-")</f>
        <v>0.36373699074074073</v>
      </c>
      <c r="N56" s="57">
        <f>IFERROR(IF(VLOOKUP($A56,SortedDownload!$A$3:$BB$219,35,FALSE)=0,"-",VLOOKUP($A56,SortedDownload!$A$3:$BB$219,35,FALSE)/86400000),"-")</f>
        <v>0.4380792361111111</v>
      </c>
      <c r="O56" s="57">
        <f>IFERROR(IF(VLOOKUP($A56,SortedDownload!$A$3:$BB$219,36,FALSE)=0,"-",VLOOKUP($A56,SortedDownload!$A$3:$BB$219,36,FALSE)/86400000),"-")</f>
        <v>0.43956924768518518</v>
      </c>
      <c r="P56" s="57">
        <f>IFERROR(IF(VLOOKUP($A56,SortedDownload!$A$3:$BB$219,37,FALSE)=0,"-",VLOOKUP($A56,SortedDownload!$A$3:$BB$219,37,FALSE)/86400000),"-")</f>
        <v>0.48519973379629627</v>
      </c>
      <c r="Q56" s="57">
        <f>IFERROR(IF(VLOOKUP($A56,SortedDownload!$A$3:$BB$219,38,FALSE)=0,"-",VLOOKUP($A56,SortedDownload!$A$3:$BB$219,38,FALSE)/86400000),"-")</f>
        <v>0.48822962962962962</v>
      </c>
      <c r="R56" s="57">
        <f>IFERROR(IF(VLOOKUP($A56,SortedDownload!$A$3:$BB$219,39,FALSE)=0,"-",VLOOKUP($A56,SortedDownload!$A$3:$BB$219,39,FALSE)/86400000),"-")</f>
        <v>0.52027527777777782</v>
      </c>
      <c r="S56" s="57">
        <f>IFERROR(IF(VLOOKUP($A56,SortedDownload!$A$3:$BB$219,40,FALSE)=0,"-",VLOOKUP($A56,SortedDownload!$A$3:$BB$219,40,FALSE)/86400000),"-")</f>
        <v>0.52398284722222221</v>
      </c>
      <c r="T56" s="57" t="str">
        <f>IFERROR(IF(VLOOKUP($A56,SortedDownload!$A$3:$BB$219,41,FALSE)=0,"-",VLOOKUP($A56,SortedDownload!$A$3:$BB$219,41,FALSE)/86400000),"-")</f>
        <v>-</v>
      </c>
      <c r="U56" s="57" t="str">
        <f>IFERROR(IF(VLOOKUP($A56,SortedDownload!$A$3:$BB$219,42,FALSE)=0,"-",VLOOKUP($A56,SortedDownload!$A$3:$BB$219,42,FALSE)/86400000),"-")</f>
        <v>-</v>
      </c>
      <c r="V56" s="57" t="str">
        <f>IFERROR(IF(VLOOKUP($A56,SortedDownload!$A$3:$BB$219,43,FALSE)=0,"-",VLOOKUP($A56,SortedDownload!$A$3:$BB$219,43,FALSE)/86400000),"-")</f>
        <v>-</v>
      </c>
      <c r="W56" s="57" t="str">
        <f>IFERROR(IF(VLOOKUP($A56,SortedDownload!$A$3:$BB$219,44,FALSE)=0,"-",VLOOKUP($A56,SortedDownload!$A$3:$BB$219,44,FALSE)/86400000),"-")</f>
        <v>-</v>
      </c>
      <c r="X56" s="57" t="str">
        <f>IFERROR(IF(VLOOKUP($A56,SortedDownload!$A$3:$BB$219,45,FALSE)=0,"-",VLOOKUP($A56,SortedDownload!$A$3:$BB$219,45,FALSE)/86400000),"-")</f>
        <v>-</v>
      </c>
      <c r="Y56" s="58">
        <f>IFERROR(VLOOKUP($A56,SortedDownload!$A$3:$BB$219,46,FALSE)/86400000,"")</f>
        <v>0</v>
      </c>
      <c r="Z56" s="58">
        <f>IFERROR(Table932[[#This Row],[End Time]]-Table932[[#This Row],[Start Time]],"")</f>
        <v>-0.40007321759259257</v>
      </c>
      <c r="AA56" s="58"/>
      <c r="AB56" s="170" t="str">
        <f t="shared" si="5"/>
        <v>10:59</v>
      </c>
      <c r="AC56" s="170" t="str">
        <f t="shared" si="4"/>
        <v>10:34</v>
      </c>
    </row>
    <row r="57" spans="1:29">
      <c r="A57" s="53">
        <f>IF(SortedDownload!A54 &lt; 1,"",SortedDownload!A54)</f>
        <v>125</v>
      </c>
      <c r="B57" s="54">
        <f t="shared" si="0"/>
        <v>52</v>
      </c>
      <c r="C57" s="146" t="str">
        <f>IFERROR(VLOOKUP($A57,CategoryResults!$A$3:$X$252,3,FALSE),"")</f>
        <v/>
      </c>
      <c r="D57" s="149" t="str">
        <f>IFERROR(VLOOKUP($A57,EntryList!$A$3:$N$291,2,FALSE),"")</f>
        <v>Nic Kenny</v>
      </c>
      <c r="E57" s="146" t="str">
        <f>IFERROR(VLOOKUP(C57,SeriesPoints!$A$2:$B$51,2,FALSE),"")</f>
        <v/>
      </c>
      <c r="F57" s="150" t="str">
        <f>IFERROR(VLOOKUP($A57,EntryList!$A$3:$V$291,22,FALSE),"")</f>
        <v>-</v>
      </c>
      <c r="G57" s="148" t="str">
        <f>IFERROR(VLOOKUP($A57,EntryList!$A$3:$N$291,6,FALSE),"")</f>
        <v>M</v>
      </c>
      <c r="H57" s="145" t="str">
        <f>IFERROR(VLOOKUP($A57,EntryList!$A$3:$N$291,7,FALSE),"")</f>
        <v>Junior Men</v>
      </c>
      <c r="I57" s="56">
        <f t="shared" si="1"/>
        <v>9</v>
      </c>
      <c r="J57" s="57">
        <f>IFERROR(VLOOKUP($A57,SortedDownload!$A$3:$BB$219,31,FALSE)/86400000,"")</f>
        <v>0.42081623842592591</v>
      </c>
      <c r="K57" s="57">
        <f>IFERROR(IF(VLOOKUP($A57,SortedDownload!$A$3:$BB$219,32,FALSE)=0,"-",VLOOKUP($A57,SortedDownload!$A$3:$BB$219,32,FALSE)/86400000),"-")</f>
        <v>0.42341701388888892</v>
      </c>
      <c r="L57" s="57">
        <f>IFERROR(IF(VLOOKUP($A57,SortedDownload!$A$3:$BB$219,33,FALSE)=0,"-",VLOOKUP($A57,SortedDownload!$A$3:$BB$219,33,FALSE)/86400000),"-")</f>
        <v>0.37701520833333335</v>
      </c>
      <c r="M57" s="57">
        <f>IFERROR(IF(VLOOKUP($A57,SortedDownload!$A$3:$BB$219,34,FALSE)=0,"-",VLOOKUP($A57,SortedDownload!$A$3:$BB$219,34,FALSE)/86400000),"-")</f>
        <v>0.3798121990740741</v>
      </c>
      <c r="N57" s="57">
        <f>IFERROR(IF(VLOOKUP($A57,SortedDownload!$A$3:$BB$219,35,FALSE)=0,"-",VLOOKUP($A57,SortedDownload!$A$3:$BB$219,35,FALSE)/86400000),"-")</f>
        <v>0.46111715277777776</v>
      </c>
      <c r="O57" s="57">
        <f>IFERROR(IF(VLOOKUP($A57,SortedDownload!$A$3:$BB$219,36,FALSE)=0,"-",VLOOKUP($A57,SortedDownload!$A$3:$BB$219,36,FALSE)/86400000),"-")</f>
        <v>0.46265574074074073</v>
      </c>
      <c r="P57" s="57">
        <f>IFERROR(IF(VLOOKUP($A57,SortedDownload!$A$3:$BB$219,37,FALSE)=0,"-",VLOOKUP($A57,SortedDownload!$A$3:$BB$219,37,FALSE)/86400000),"-")</f>
        <v>0.51299410879629626</v>
      </c>
      <c r="Q57" s="57">
        <f>IFERROR(IF(VLOOKUP($A57,SortedDownload!$A$3:$BB$219,38,FALSE)=0,"-",VLOOKUP($A57,SortedDownload!$A$3:$BB$219,38,FALSE)/86400000),"-")</f>
        <v>0.51604934027777782</v>
      </c>
      <c r="R57" s="57">
        <f>IFERROR(IF(VLOOKUP($A57,SortedDownload!$A$3:$BB$219,39,FALSE)=0,"-",VLOOKUP($A57,SortedDownload!$A$3:$BB$219,39,FALSE)/86400000),"-")</f>
        <v>0.55076354166666663</v>
      </c>
      <c r="S57" s="57">
        <f>IFERROR(IF(VLOOKUP($A57,SortedDownload!$A$3:$BB$219,40,FALSE)=0,"-",VLOOKUP($A57,SortedDownload!$A$3:$BB$219,40,FALSE)/86400000),"-")</f>
        <v>0.55469818287037032</v>
      </c>
      <c r="T57" s="57" t="str">
        <f>IFERROR(IF(VLOOKUP($A57,SortedDownload!$A$3:$BB$219,41,FALSE)=0,"-",VLOOKUP($A57,SortedDownload!$A$3:$BB$219,41,FALSE)/86400000),"-")</f>
        <v>-</v>
      </c>
      <c r="U57" s="57" t="str">
        <f>IFERROR(IF(VLOOKUP($A57,SortedDownload!$A$3:$BB$219,42,FALSE)=0,"-",VLOOKUP($A57,SortedDownload!$A$3:$BB$219,42,FALSE)/86400000),"-")</f>
        <v>-</v>
      </c>
      <c r="V57" s="57" t="str">
        <f>IFERROR(IF(VLOOKUP($A57,SortedDownload!$A$3:$BB$219,43,FALSE)=0,"-",VLOOKUP($A57,SortedDownload!$A$3:$BB$219,43,FALSE)/86400000),"-")</f>
        <v>-</v>
      </c>
      <c r="W57" s="57" t="str">
        <f>IFERROR(IF(VLOOKUP($A57,SortedDownload!$A$3:$BB$219,44,FALSE)=0,"-",VLOOKUP($A57,SortedDownload!$A$3:$BB$219,44,FALSE)/86400000),"-")</f>
        <v>-</v>
      </c>
      <c r="X57" s="57" t="str">
        <f>IFERROR(IF(VLOOKUP($A57,SortedDownload!$A$3:$BB$219,45,FALSE)=0,"-",VLOOKUP($A57,SortedDownload!$A$3:$BB$219,45,FALSE)/86400000),"-")</f>
        <v>-</v>
      </c>
      <c r="Y57" s="58">
        <f>IFERROR(VLOOKUP($A57,SortedDownload!$A$3:$BB$219,46,FALSE)/86400000,"")</f>
        <v>0</v>
      </c>
      <c r="Z57" s="58">
        <f>IFERROR(Table932[[#This Row],[End Time]]-Table932[[#This Row],[Start Time]],"")</f>
        <v>-0.42081623842592591</v>
      </c>
      <c r="AA57" s="58"/>
      <c r="AB57" s="170" t="str">
        <f t="shared" si="5"/>
        <v>N/A</v>
      </c>
      <c r="AC57" s="170" t="str">
        <f t="shared" si="4"/>
        <v>N/A</v>
      </c>
    </row>
    <row r="58" spans="1:29">
      <c r="A58" s="53">
        <f>IF(SortedDownload!A55 &lt; 1,"",SortedDownload!A55)</f>
        <v>80</v>
      </c>
      <c r="B58" s="54">
        <f t="shared" si="0"/>
        <v>53</v>
      </c>
      <c r="C58" s="146" t="str">
        <f>IFERROR(VLOOKUP($A58,CategoryResults!$A$3:$X$252,3,FALSE),"")</f>
        <v/>
      </c>
      <c r="D58" s="149" t="str">
        <f>IFERROR(VLOOKUP($A58,EntryList!$A$3:$N$291,2,FALSE),"")</f>
        <v>Matthias Christen</v>
      </c>
      <c r="E58" s="146" t="str">
        <f>IFERROR(VLOOKUP(C58,SeriesPoints!$A$2:$B$51,2,FALSE),"")</f>
        <v/>
      </c>
      <c r="F58" s="150" t="str">
        <f>IFERROR(VLOOKUP($A58,EntryList!$A$3:$V$291,22,FALSE),"")</f>
        <v>-</v>
      </c>
      <c r="G58" s="148" t="str">
        <f>IFERROR(VLOOKUP($A58,EntryList!$A$3:$N$291,6,FALSE),"")</f>
        <v>M</v>
      </c>
      <c r="H58" s="145" t="str">
        <f>IFERROR(VLOOKUP($A58,EntryList!$A$3:$N$291,7,FALSE),"")</f>
        <v>Master Men</v>
      </c>
      <c r="I58" s="56">
        <f t="shared" si="1"/>
        <v>9</v>
      </c>
      <c r="J58" s="57">
        <f>IFERROR(VLOOKUP($A58,SortedDownload!$A$3:$BB$219,31,FALSE)/86400000,"")</f>
        <v>0.37791133101851854</v>
      </c>
      <c r="K58" s="57">
        <f>IFERROR(IF(VLOOKUP($A58,SortedDownload!$A$3:$BB$219,32,FALSE)=0,"-",VLOOKUP($A58,SortedDownload!$A$3:$BB$219,32,FALSE)/86400000),"-")</f>
        <v>0.38072826388888886</v>
      </c>
      <c r="L58" s="57">
        <f>IFERROR(IF(VLOOKUP($A58,SortedDownload!$A$3:$BB$219,33,FALSE)=0,"-",VLOOKUP($A58,SortedDownload!$A$3:$BB$219,33,FALSE)/86400000),"-")</f>
        <v>0.42436385416666667</v>
      </c>
      <c r="M58" s="57">
        <f>IFERROR(IF(VLOOKUP($A58,SortedDownload!$A$3:$BB$219,34,FALSE)=0,"-",VLOOKUP($A58,SortedDownload!$A$3:$BB$219,34,FALSE)/86400000),"-")</f>
        <v>0.42716380787037039</v>
      </c>
      <c r="N58" s="57">
        <f>IFERROR(IF(VLOOKUP($A58,SortedDownload!$A$3:$BB$219,35,FALSE)=0,"-",VLOOKUP($A58,SortedDownload!$A$3:$BB$219,35,FALSE)/86400000),"-")</f>
        <v>0.46280675925925924</v>
      </c>
      <c r="O58" s="57">
        <f>IFERROR(IF(VLOOKUP($A58,SortedDownload!$A$3:$BB$219,36,FALSE)=0,"-",VLOOKUP($A58,SortedDownload!$A$3:$BB$219,36,FALSE)/86400000),"-")</f>
        <v>0.46440317129629627</v>
      </c>
      <c r="P58" s="57">
        <f>IFERROR(IF(VLOOKUP($A58,SortedDownload!$A$3:$BB$219,37,FALSE)=0,"-",VLOOKUP($A58,SortedDownload!$A$3:$BB$219,37,FALSE)/86400000),"-")</f>
        <v>0.50815731481481485</v>
      </c>
      <c r="Q58" s="57">
        <f>IFERROR(IF(VLOOKUP($A58,SortedDownload!$A$3:$BB$219,38,FALSE)=0,"-",VLOOKUP($A58,SortedDownload!$A$3:$BB$219,38,FALSE)/86400000),"-")</f>
        <v>0.51117077546296297</v>
      </c>
      <c r="R58" s="57">
        <f>IFERROR(IF(VLOOKUP($A58,SortedDownload!$A$3:$BB$219,39,FALSE)=0,"-",VLOOKUP($A58,SortedDownload!$A$3:$BB$219,39,FALSE)/86400000),"-")</f>
        <v>0.54282796296296298</v>
      </c>
      <c r="S58" s="57">
        <f>IFERROR(IF(VLOOKUP($A58,SortedDownload!$A$3:$BB$219,40,FALSE)=0,"-",VLOOKUP($A58,SortedDownload!$A$3:$BB$219,40,FALSE)/86400000),"-")</f>
        <v>0.54662270833333337</v>
      </c>
      <c r="T58" s="57" t="str">
        <f>IFERROR(IF(VLOOKUP($A58,SortedDownload!$A$3:$BB$219,41,FALSE)=0,"-",VLOOKUP($A58,SortedDownload!$A$3:$BB$219,41,FALSE)/86400000),"-")</f>
        <v>-</v>
      </c>
      <c r="U58" s="57" t="str">
        <f>IFERROR(IF(VLOOKUP($A58,SortedDownload!$A$3:$BB$219,42,FALSE)=0,"-",VLOOKUP($A58,SortedDownload!$A$3:$BB$219,42,FALSE)/86400000),"-")</f>
        <v>-</v>
      </c>
      <c r="V58" s="57" t="str">
        <f>IFERROR(IF(VLOOKUP($A58,SortedDownload!$A$3:$BB$219,43,FALSE)=0,"-",VLOOKUP($A58,SortedDownload!$A$3:$BB$219,43,FALSE)/86400000),"-")</f>
        <v>-</v>
      </c>
      <c r="W58" s="57" t="str">
        <f>IFERROR(IF(VLOOKUP($A58,SortedDownload!$A$3:$BB$219,44,FALSE)=0,"-",VLOOKUP($A58,SortedDownload!$A$3:$BB$219,44,FALSE)/86400000),"-")</f>
        <v>-</v>
      </c>
      <c r="X58" s="57" t="str">
        <f>IFERROR(IF(VLOOKUP($A58,SortedDownload!$A$3:$BB$219,45,FALSE)=0,"-",VLOOKUP($A58,SortedDownload!$A$3:$BB$219,45,FALSE)/86400000),"-")</f>
        <v>-</v>
      </c>
      <c r="Y58" s="58">
        <f>IFERROR(VLOOKUP($A58,SortedDownload!$A$3:$BB$219,46,FALSE)/86400000,"")</f>
        <v>0</v>
      </c>
      <c r="Z58" s="58">
        <f>IFERROR(Table932[[#This Row],[End Time]]-Table932[[#This Row],[Start Time]],"")</f>
        <v>-0.37791133101851854</v>
      </c>
      <c r="AA58" s="58"/>
      <c r="AB58" s="170" t="str">
        <f t="shared" si="5"/>
        <v>01:47</v>
      </c>
      <c r="AC58" s="170" t="str">
        <f t="shared" si="4"/>
        <v>42:29</v>
      </c>
    </row>
    <row r="59" spans="1:29">
      <c r="A59" s="53">
        <f>IF(SortedDownload!A56 &lt; 1,"",SortedDownload!A56)</f>
        <v>15</v>
      </c>
      <c r="B59" s="54">
        <f t="shared" si="0"/>
        <v>54</v>
      </c>
      <c r="C59" s="146" t="str">
        <f>IFERROR(VLOOKUP($A59,CategoryResults!$A$3:$X$252,3,FALSE),"")</f>
        <v/>
      </c>
      <c r="D59" s="149" t="str">
        <f>IFERROR(VLOOKUP($A59,EntryList!$A$3:$N$291,2,FALSE),"")</f>
        <v>Dale Barnard</v>
      </c>
      <c r="E59" s="146" t="str">
        <f>IFERROR(VLOOKUP(C59,SeriesPoints!$A$2:$B$51,2,FALSE),"")</f>
        <v/>
      </c>
      <c r="F59" s="150" t="str">
        <f>IFERROR(VLOOKUP($A59,EntryList!$A$3:$V$291,22,FALSE),"")</f>
        <v>-</v>
      </c>
      <c r="G59" s="148" t="str">
        <f>IFERROR(VLOOKUP($A59,EntryList!$A$3:$N$291,6,FALSE),"")</f>
        <v>M</v>
      </c>
      <c r="H59" s="145" t="str">
        <f>IFERROR(VLOOKUP($A59,EntryList!$A$3:$N$291,7,FALSE),"")</f>
        <v>Master Men</v>
      </c>
      <c r="I59" s="56">
        <f t="shared" si="1"/>
        <v>9</v>
      </c>
      <c r="J59" s="57">
        <f>IFERROR(VLOOKUP($A59,SortedDownload!$A$3:$BB$219,31,FALSE)/86400000,"")</f>
        <v>0.40023696759259259</v>
      </c>
      <c r="K59" s="57">
        <f>IFERROR(IF(VLOOKUP($A59,SortedDownload!$A$3:$BB$219,32,FALSE)=0,"-",VLOOKUP($A59,SortedDownload!$A$3:$BB$219,32,FALSE)/86400000),"-")</f>
        <v>0.40308496527777776</v>
      </c>
      <c r="L59" s="57">
        <f>IFERROR(IF(VLOOKUP($A59,SortedDownload!$A$3:$BB$219,33,FALSE)=0,"-",VLOOKUP($A59,SortedDownload!$A$3:$BB$219,33,FALSE)/86400000),"-")</f>
        <v>0.36111464120370368</v>
      </c>
      <c r="M59" s="57">
        <f>IFERROR(IF(VLOOKUP($A59,SortedDownload!$A$3:$BB$219,34,FALSE)=0,"-",VLOOKUP($A59,SortedDownload!$A$3:$BB$219,34,FALSE)/86400000),"-")</f>
        <v>0.36390815972222224</v>
      </c>
      <c r="N59" s="57">
        <f>IFERROR(IF(VLOOKUP($A59,SortedDownload!$A$3:$BB$219,35,FALSE)=0,"-",VLOOKUP($A59,SortedDownload!$A$3:$BB$219,35,FALSE)/86400000),"-")</f>
        <v>0.43822642361111114</v>
      </c>
      <c r="O59" s="57">
        <f>IFERROR(IF(VLOOKUP($A59,SortedDownload!$A$3:$BB$219,36,FALSE)=0,"-",VLOOKUP($A59,SortedDownload!$A$3:$BB$219,36,FALSE)/86400000),"-")</f>
        <v>0.43976141203703706</v>
      </c>
      <c r="P59" s="57">
        <f>IFERROR(IF(VLOOKUP($A59,SortedDownload!$A$3:$BB$219,37,FALSE)=0,"-",VLOOKUP($A59,SortedDownload!$A$3:$BB$219,37,FALSE)/86400000),"-")</f>
        <v>0.4853826273148148</v>
      </c>
      <c r="Q59" s="57">
        <f>IFERROR(IF(VLOOKUP($A59,SortedDownload!$A$3:$BB$219,38,FALSE)=0,"-",VLOOKUP($A59,SortedDownload!$A$3:$BB$219,38,FALSE)/86400000),"-")</f>
        <v>0.48850464120370368</v>
      </c>
      <c r="R59" s="57">
        <f>IFERROR(IF(VLOOKUP($A59,SortedDownload!$A$3:$BB$219,39,FALSE)=0,"-",VLOOKUP($A59,SortedDownload!$A$3:$BB$219,39,FALSE)/86400000),"-")</f>
        <v>0.52042460648148148</v>
      </c>
      <c r="S59" s="57">
        <f>IFERROR(IF(VLOOKUP($A59,SortedDownload!$A$3:$BB$219,40,FALSE)=0,"-",VLOOKUP($A59,SortedDownload!$A$3:$BB$219,40,FALSE)/86400000),"-")</f>
        <v>0.52422089120370374</v>
      </c>
      <c r="T59" s="57" t="str">
        <f>IFERROR(IF(VLOOKUP($A59,SortedDownload!$A$3:$BB$219,41,FALSE)=0,"-",VLOOKUP($A59,SortedDownload!$A$3:$BB$219,41,FALSE)/86400000),"-")</f>
        <v>-</v>
      </c>
      <c r="U59" s="57" t="str">
        <f>IFERROR(IF(VLOOKUP($A59,SortedDownload!$A$3:$BB$219,42,FALSE)=0,"-",VLOOKUP($A59,SortedDownload!$A$3:$BB$219,42,FALSE)/86400000),"-")</f>
        <v>-</v>
      </c>
      <c r="V59" s="57" t="str">
        <f>IFERROR(IF(VLOOKUP($A59,SortedDownload!$A$3:$BB$219,43,FALSE)=0,"-",VLOOKUP($A59,SortedDownload!$A$3:$BB$219,43,FALSE)/86400000),"-")</f>
        <v>-</v>
      </c>
      <c r="W59" s="57" t="str">
        <f>IFERROR(IF(VLOOKUP($A59,SortedDownload!$A$3:$BB$219,44,FALSE)=0,"-",VLOOKUP($A59,SortedDownload!$A$3:$BB$219,44,FALSE)/86400000),"-")</f>
        <v>-</v>
      </c>
      <c r="X59" s="57" t="str">
        <f>IFERROR(IF(VLOOKUP($A59,SortedDownload!$A$3:$BB$219,45,FALSE)=0,"-",VLOOKUP($A59,SortedDownload!$A$3:$BB$219,45,FALSE)/86400000),"-")</f>
        <v>-</v>
      </c>
      <c r="Y59" s="58">
        <f>IFERROR(VLOOKUP($A59,SortedDownload!$A$3:$BB$219,46,FALSE)/86400000,"")</f>
        <v>0</v>
      </c>
      <c r="Z59" s="58">
        <f>IFERROR(Table932[[#This Row],[End Time]]-Table932[[#This Row],[Start Time]],"")</f>
        <v>-0.40023696759259259</v>
      </c>
      <c r="AA59" s="58"/>
      <c r="AB59" s="170" t="str">
        <f t="shared" si="5"/>
        <v>N/A</v>
      </c>
      <c r="AC59" s="170" t="str">
        <f t="shared" si="4"/>
        <v>10:20</v>
      </c>
    </row>
    <row r="60" spans="1:29">
      <c r="A60" s="53">
        <f>IF(SortedDownload!A56 &lt; 1,"",SortedDownload!A56)</f>
        <v>15</v>
      </c>
      <c r="B60" s="54">
        <f t="shared" si="0"/>
        <v>55</v>
      </c>
      <c r="C60" s="146" t="str">
        <f>IFERROR(VLOOKUP($A60,CategoryResults!$A$3:$X$252,3,FALSE),"")</f>
        <v/>
      </c>
      <c r="D60" s="149" t="str">
        <f>IFERROR(VLOOKUP($A60,EntryList!$A$3:$N$291,2,FALSE),"")</f>
        <v>Dale Barnard</v>
      </c>
      <c r="E60" s="146" t="str">
        <f>IFERROR(VLOOKUP(C60,SeriesPoints!$A$2:$B$51,2,FALSE),"")</f>
        <v/>
      </c>
      <c r="F60" s="150" t="str">
        <f>IFERROR(VLOOKUP($A60,EntryList!$A$3:$V$291,22,FALSE),"")</f>
        <v>-</v>
      </c>
      <c r="G60" s="148" t="str">
        <f>IFERROR(VLOOKUP($A60,EntryList!$A$3:$N$291,6,FALSE),"")</f>
        <v>M</v>
      </c>
      <c r="H60" s="145" t="str">
        <f>IFERROR(VLOOKUP($A60,EntryList!$A$3:$N$291,7,FALSE),"")</f>
        <v>Master Men</v>
      </c>
      <c r="I60" s="56">
        <f t="shared" si="1"/>
        <v>9</v>
      </c>
      <c r="J60" s="57">
        <f>IFERROR(VLOOKUP($A60,SortedDownload!$A$3:$BB$219,31,FALSE)/86400000,"")</f>
        <v>0.40023696759259259</v>
      </c>
      <c r="K60" s="57">
        <f>IFERROR(IF(VLOOKUP($A60,SortedDownload!$A$3:$BB$219,32,FALSE)=0,"-",VLOOKUP($A60,SortedDownload!$A$3:$BB$219,32,FALSE)/86400000),"-")</f>
        <v>0.40308496527777776</v>
      </c>
      <c r="L60" s="57">
        <f>IFERROR(IF(VLOOKUP($A60,SortedDownload!$A$3:$BB$219,33,FALSE)=0,"-",VLOOKUP($A60,SortedDownload!$A$3:$BB$219,33,FALSE)/86400000),"-")</f>
        <v>0.36111464120370368</v>
      </c>
      <c r="M60" s="57">
        <f>IFERROR(IF(VLOOKUP($A60,SortedDownload!$A$3:$BB$219,34,FALSE)=0,"-",VLOOKUP($A60,SortedDownload!$A$3:$BB$219,34,FALSE)/86400000),"-")</f>
        <v>0.36390815972222224</v>
      </c>
      <c r="N60" s="57">
        <f>IFERROR(IF(VLOOKUP($A60,SortedDownload!$A$3:$BB$219,35,FALSE)=0,"-",VLOOKUP($A60,SortedDownload!$A$3:$BB$219,35,FALSE)/86400000),"-")</f>
        <v>0.43822642361111114</v>
      </c>
      <c r="O60" s="57">
        <f>IFERROR(IF(VLOOKUP($A60,SortedDownload!$A$3:$BB$219,36,FALSE)=0,"-",VLOOKUP($A60,SortedDownload!$A$3:$BB$219,36,FALSE)/86400000),"-")</f>
        <v>0.43976141203703706</v>
      </c>
      <c r="P60" s="57">
        <f>IFERROR(IF(VLOOKUP($A60,SortedDownload!$A$3:$BB$219,37,FALSE)=0,"-",VLOOKUP($A60,SortedDownload!$A$3:$BB$219,37,FALSE)/86400000),"-")</f>
        <v>0.4853826273148148</v>
      </c>
      <c r="Q60" s="57">
        <f>IFERROR(IF(VLOOKUP($A60,SortedDownload!$A$3:$BB$219,38,FALSE)=0,"-",VLOOKUP($A60,SortedDownload!$A$3:$BB$219,38,FALSE)/86400000),"-")</f>
        <v>0.48850464120370368</v>
      </c>
      <c r="R60" s="57">
        <f>IFERROR(IF(VLOOKUP($A60,SortedDownload!$A$3:$BB$219,39,FALSE)=0,"-",VLOOKUP($A60,SortedDownload!$A$3:$BB$219,39,FALSE)/86400000),"-")</f>
        <v>0.52042460648148148</v>
      </c>
      <c r="S60" s="57">
        <f>IFERROR(IF(VLOOKUP($A60,SortedDownload!$A$3:$BB$219,40,FALSE)=0,"-",VLOOKUP($A60,SortedDownload!$A$3:$BB$219,40,FALSE)/86400000),"-")</f>
        <v>0.52422089120370374</v>
      </c>
      <c r="T60" s="57" t="str">
        <f>IFERROR(IF(VLOOKUP($A60,SortedDownload!$A$3:$BB$219,41,FALSE)=0,"-",VLOOKUP($A60,SortedDownload!$A$3:$BB$219,41,FALSE)/86400000),"-")</f>
        <v>-</v>
      </c>
      <c r="U60" s="57" t="str">
        <f>IFERROR(IF(VLOOKUP($A60,SortedDownload!$A$3:$BB$219,42,FALSE)=0,"-",VLOOKUP($A60,SortedDownload!$A$3:$BB$219,42,FALSE)/86400000),"-")</f>
        <v>-</v>
      </c>
      <c r="V60" s="57" t="str">
        <f>IFERROR(IF(VLOOKUP($A60,SortedDownload!$A$3:$BB$219,43,FALSE)=0,"-",VLOOKUP($A60,SortedDownload!$A$3:$BB$219,43,FALSE)/86400000),"-")</f>
        <v>-</v>
      </c>
      <c r="W60" s="57" t="str">
        <f>IFERROR(IF(VLOOKUP($A60,SortedDownload!$A$3:$BB$219,44,FALSE)=0,"-",VLOOKUP($A60,SortedDownload!$A$3:$BB$219,44,FALSE)/86400000),"-")</f>
        <v>-</v>
      </c>
      <c r="X60" s="57" t="str">
        <f>IFERROR(IF(VLOOKUP($A60,SortedDownload!$A$3:$BB$219,45,FALSE)=0,"-",VLOOKUP($A60,SortedDownload!$A$3:$BB$219,45,FALSE)/86400000),"-")</f>
        <v>-</v>
      </c>
      <c r="Y60" s="58">
        <f>IFERROR(VLOOKUP($A60,SortedDownload!$A$3:$BB$219,46,FALSE)/86400000,"")</f>
        <v>0</v>
      </c>
      <c r="Z60" s="58">
        <f>IFERROR(Table932[[#This Row],[End Time]]-Table932[[#This Row],[Start Time]],"")</f>
        <v>-0.40023696759259259</v>
      </c>
      <c r="AA60" s="58"/>
      <c r="AB60" s="170" t="str">
        <f t="shared" si="5"/>
        <v>00:00</v>
      </c>
      <c r="AC60" s="170" t="str">
        <f t="shared" si="4"/>
        <v>10:20</v>
      </c>
    </row>
    <row r="61" spans="1:29">
      <c r="A61" s="53">
        <f>IF(SortedDownload!A57 &lt; 1,"",SortedDownload!A57)</f>
        <v>130</v>
      </c>
      <c r="B61" s="54">
        <f t="shared" si="0"/>
        <v>56</v>
      </c>
      <c r="C61" s="146" t="str">
        <f>IFERROR(VLOOKUP($A61,CategoryResults!$A$3:$X$252,3,FALSE),"")</f>
        <v/>
      </c>
      <c r="D61" s="149" t="str">
        <f>IFERROR(VLOOKUP($A61,EntryList!$A$3:$N$291,2,FALSE),"")</f>
        <v>Jano Gildenhuys</v>
      </c>
      <c r="E61" s="146" t="str">
        <f>IFERROR(VLOOKUP(C61,SeriesPoints!$A$2:$B$51,2,FALSE),"")</f>
        <v/>
      </c>
      <c r="F61" s="150" t="str">
        <f>IFERROR(VLOOKUP($A61,EntryList!$A$3:$V$291,22,FALSE),"")</f>
        <v>-</v>
      </c>
      <c r="G61" s="148" t="str">
        <f>IFERROR(VLOOKUP($A61,EntryList!$A$3:$N$291,6,FALSE),"")</f>
        <v>M</v>
      </c>
      <c r="H61" s="145" t="str">
        <f>IFERROR(VLOOKUP($A61,EntryList!$A$3:$N$291,7,FALSE),"")</f>
        <v>Youth Men</v>
      </c>
      <c r="I61" s="56">
        <f t="shared" si="1"/>
        <v>9</v>
      </c>
      <c r="J61" s="57">
        <f>IFERROR(VLOOKUP($A61,SortedDownload!$A$3:$BB$219,31,FALSE)/86400000,"")</f>
        <v>0.3710083564814815</v>
      </c>
      <c r="K61" s="57">
        <f>IFERROR(IF(VLOOKUP($A61,SortedDownload!$A$3:$BB$219,32,FALSE)=0,"-",VLOOKUP($A61,SortedDownload!$A$3:$BB$219,32,FALSE)/86400000),"-")</f>
        <v>0.37369476851851852</v>
      </c>
      <c r="L61" s="57">
        <f>IFERROR(IF(VLOOKUP($A61,SortedDownload!$A$3:$BB$219,33,FALSE)=0,"-",VLOOKUP($A61,SortedDownload!$A$3:$BB$219,33,FALSE)/86400000),"-")</f>
        <v>0.43002995370370373</v>
      </c>
      <c r="M61" s="57">
        <f>IFERROR(IF(VLOOKUP($A61,SortedDownload!$A$3:$BB$219,34,FALSE)=0,"-",VLOOKUP($A61,SortedDownload!$A$3:$BB$219,34,FALSE)/86400000),"-")</f>
        <v>0.4329955324074074</v>
      </c>
      <c r="N61" s="57">
        <f>IFERROR(IF(VLOOKUP($A61,SortedDownload!$A$3:$BB$219,35,FALSE)=0,"-",VLOOKUP($A61,SortedDownload!$A$3:$BB$219,35,FALSE)/86400000),"-")</f>
        <v>0.46674240740740741</v>
      </c>
      <c r="O61" s="57">
        <f>IFERROR(IF(VLOOKUP($A61,SortedDownload!$A$3:$BB$219,36,FALSE)=0,"-",VLOOKUP($A61,SortedDownload!$A$3:$BB$219,36,FALSE)/86400000),"-")</f>
        <v>0.46827263888888887</v>
      </c>
      <c r="P61" s="57">
        <f>IFERROR(IF(VLOOKUP($A61,SortedDownload!$A$3:$BB$219,37,FALSE)=0,"-",VLOOKUP($A61,SortedDownload!$A$3:$BB$219,37,FALSE)/86400000),"-")</f>
        <v>0.50757047453703708</v>
      </c>
      <c r="Q61" s="57">
        <f>IFERROR(IF(VLOOKUP($A61,SortedDownload!$A$3:$BB$219,38,FALSE)=0,"-",VLOOKUP($A61,SortedDownload!$A$3:$BB$219,38,FALSE)/86400000),"-")</f>
        <v>0.51060619212962965</v>
      </c>
      <c r="R61" s="57">
        <f>IFERROR(IF(VLOOKUP($A61,SortedDownload!$A$3:$BB$219,39,FALSE)=0,"-",VLOOKUP($A61,SortedDownload!$A$3:$BB$219,39,FALSE)/86400000),"-")</f>
        <v>0.54981932870370376</v>
      </c>
      <c r="S61" s="57">
        <f>IFERROR(IF(VLOOKUP($A61,SortedDownload!$A$3:$BB$219,40,FALSE)=0,"-",VLOOKUP($A61,SortedDownload!$A$3:$BB$219,40,FALSE)/86400000),"-")</f>
        <v>0.55377045138888892</v>
      </c>
      <c r="T61" s="57" t="str">
        <f>IFERROR(IF(VLOOKUP($A61,SortedDownload!$A$3:$BB$219,41,FALSE)=0,"-",VLOOKUP($A61,SortedDownload!$A$3:$BB$219,41,FALSE)/86400000),"-")</f>
        <v>-</v>
      </c>
      <c r="U61" s="57" t="str">
        <f>IFERROR(IF(VLOOKUP($A61,SortedDownload!$A$3:$BB$219,42,FALSE)=0,"-",VLOOKUP($A61,SortedDownload!$A$3:$BB$219,42,FALSE)/86400000),"-")</f>
        <v>-</v>
      </c>
      <c r="V61" s="57" t="str">
        <f>IFERROR(IF(VLOOKUP($A61,SortedDownload!$A$3:$BB$219,43,FALSE)=0,"-",VLOOKUP($A61,SortedDownload!$A$3:$BB$219,43,FALSE)/86400000),"-")</f>
        <v>-</v>
      </c>
      <c r="W61" s="57" t="str">
        <f>IFERROR(IF(VLOOKUP($A61,SortedDownload!$A$3:$BB$219,44,FALSE)=0,"-",VLOOKUP($A61,SortedDownload!$A$3:$BB$219,44,FALSE)/86400000),"-")</f>
        <v>-</v>
      </c>
      <c r="X61" s="57" t="str">
        <f>IFERROR(IF(VLOOKUP($A61,SortedDownload!$A$3:$BB$219,45,FALSE)=0,"-",VLOOKUP($A61,SortedDownload!$A$3:$BB$219,45,FALSE)/86400000),"-")</f>
        <v>-</v>
      </c>
      <c r="Y61" s="58">
        <f>IFERROR(VLOOKUP($A61,SortedDownload!$A$3:$BB$219,46,FALSE)/86400000,"")</f>
        <v>0</v>
      </c>
      <c r="Z61" s="58">
        <f>IFERROR(Table932[[#This Row],[End Time]]-Table932[[#This Row],[Start Time]],"")</f>
        <v>-0.3710083564814815</v>
      </c>
      <c r="AA61" s="58"/>
      <c r="AB61" s="170" t="str">
        <f t="shared" si="5"/>
        <v>42:05</v>
      </c>
      <c r="AC61" s="170" t="str">
        <f t="shared" si="4"/>
        <v>52:25</v>
      </c>
    </row>
    <row r="62" spans="1:29">
      <c r="A62" s="53">
        <f>IF(SortedDownload!A58 &lt; 1,"",SortedDownload!A58)</f>
        <v>287</v>
      </c>
      <c r="B62" s="54">
        <f t="shared" si="0"/>
        <v>57</v>
      </c>
      <c r="C62" s="146" t="str">
        <f>IFERROR(VLOOKUP($A62,CategoryResults!$A$3:$X$252,3,FALSE),"")</f>
        <v/>
      </c>
      <c r="D62" s="149" t="str">
        <f>IFERROR(VLOOKUP($A62,EntryList!$A$3:$N$291,2,FALSE),"")</f>
        <v>Dewald Oosthuizen</v>
      </c>
      <c r="E62" s="146" t="str">
        <f>IFERROR(VLOOKUP(C62,SeriesPoints!$A$2:$B$51,2,FALSE),"")</f>
        <v/>
      </c>
      <c r="F62" s="150" t="str">
        <f>IFERROR(VLOOKUP($A62,EntryList!$A$3:$V$291,22,FALSE),"")</f>
        <v>-</v>
      </c>
      <c r="G62" s="148" t="str">
        <f>IFERROR(VLOOKUP($A62,EntryList!$A$3:$N$291,6,FALSE),"")</f>
        <v>M</v>
      </c>
      <c r="H62" s="145" t="str">
        <f>IFERROR(VLOOKUP($A62,EntryList!$A$3:$N$291,7,FALSE),"")</f>
        <v>E-Bike M</v>
      </c>
      <c r="I62" s="56">
        <f t="shared" si="1"/>
        <v>9</v>
      </c>
      <c r="J62" s="57">
        <f>IFERROR(VLOOKUP($A62,SortedDownload!$A$3:$BB$219,31,FALSE)/86400000,"")</f>
        <v>0.35959260416666666</v>
      </c>
      <c r="K62" s="57">
        <f>IFERROR(IF(VLOOKUP($A62,SortedDownload!$A$3:$BB$219,32,FALSE)=0,"-",VLOOKUP($A62,SortedDownload!$A$3:$BB$219,32,FALSE)/86400000),"-")</f>
        <v>0.36241181712962961</v>
      </c>
      <c r="L62" s="57">
        <f>IFERROR(IF(VLOOKUP($A62,SortedDownload!$A$3:$BB$219,33,FALSE)=0,"-",VLOOKUP($A62,SortedDownload!$A$3:$BB$219,33,FALSE)/86400000),"-")</f>
        <v>0.40577696759259257</v>
      </c>
      <c r="M62" s="57">
        <f>IFERROR(IF(VLOOKUP($A62,SortedDownload!$A$3:$BB$219,34,FALSE)=0,"-",VLOOKUP($A62,SortedDownload!$A$3:$BB$219,34,FALSE)/86400000),"-")</f>
        <v>0.40858811342592594</v>
      </c>
      <c r="N62" s="57">
        <f>IFERROR(IF(VLOOKUP($A62,SortedDownload!$A$3:$BB$219,35,FALSE)=0,"-",VLOOKUP($A62,SortedDownload!$A$3:$BB$219,35,FALSE)/86400000),"-")</f>
        <v>0.43553869212962965</v>
      </c>
      <c r="O62" s="57">
        <f>IFERROR(IF(VLOOKUP($A62,SortedDownload!$A$3:$BB$219,36,FALSE)=0,"-",VLOOKUP($A62,SortedDownload!$A$3:$BB$219,36,FALSE)/86400000),"-")</f>
        <v>0.43714531249999999</v>
      </c>
      <c r="P62" s="57">
        <f>IFERROR(IF(VLOOKUP($A62,SortedDownload!$A$3:$BB$219,37,FALSE)=0,"-",VLOOKUP($A62,SortedDownload!$A$3:$BB$219,37,FALSE)/86400000),"-")</f>
        <v>0.48384203703703704</v>
      </c>
      <c r="Q62" s="57">
        <f>IFERROR(IF(VLOOKUP($A62,SortedDownload!$A$3:$BB$219,38,FALSE)=0,"-",VLOOKUP($A62,SortedDownload!$A$3:$BB$219,38,FALSE)/86400000),"-")</f>
        <v>0.48697636574074071</v>
      </c>
      <c r="R62" s="57">
        <f>IFERROR(IF(VLOOKUP($A62,SortedDownload!$A$3:$BB$219,39,FALSE)=0,"-",VLOOKUP($A62,SortedDownload!$A$3:$BB$219,39,FALSE)/86400000),"-")</f>
        <v>0.50935763888888885</v>
      </c>
      <c r="S62" s="57">
        <f>IFERROR(IF(VLOOKUP($A62,SortedDownload!$A$3:$BB$219,40,FALSE)=0,"-",VLOOKUP($A62,SortedDownload!$A$3:$BB$219,40,FALSE)/86400000),"-")</f>
        <v>0.51317697916666671</v>
      </c>
      <c r="T62" s="57" t="str">
        <f>IFERROR(IF(VLOOKUP($A62,SortedDownload!$A$3:$BB$219,41,FALSE)=0,"-",VLOOKUP($A62,SortedDownload!$A$3:$BB$219,41,FALSE)/86400000),"-")</f>
        <v>-</v>
      </c>
      <c r="U62" s="57" t="str">
        <f>IFERROR(IF(VLOOKUP($A62,SortedDownload!$A$3:$BB$219,42,FALSE)=0,"-",VLOOKUP($A62,SortedDownload!$A$3:$BB$219,42,FALSE)/86400000),"-")</f>
        <v>-</v>
      </c>
      <c r="V62" s="57" t="str">
        <f>IFERROR(IF(VLOOKUP($A62,SortedDownload!$A$3:$BB$219,43,FALSE)=0,"-",VLOOKUP($A62,SortedDownload!$A$3:$BB$219,43,FALSE)/86400000),"-")</f>
        <v>-</v>
      </c>
      <c r="W62" s="57" t="str">
        <f>IFERROR(IF(VLOOKUP($A62,SortedDownload!$A$3:$BB$219,44,FALSE)=0,"-",VLOOKUP($A62,SortedDownload!$A$3:$BB$219,44,FALSE)/86400000),"-")</f>
        <v>-</v>
      </c>
      <c r="X62" s="57" t="str">
        <f>IFERROR(IF(VLOOKUP($A62,SortedDownload!$A$3:$BB$219,45,FALSE)=0,"-",VLOOKUP($A62,SortedDownload!$A$3:$BB$219,45,FALSE)/86400000),"-")</f>
        <v>-</v>
      </c>
      <c r="Y62" s="58">
        <f>IFERROR(VLOOKUP($A62,SortedDownload!$A$3:$BB$219,46,FALSE)/86400000,"")</f>
        <v>0</v>
      </c>
      <c r="Z62" s="58">
        <f>IFERROR(Table932[[#This Row],[End Time]]-Table932[[#This Row],[Start Time]],"")</f>
        <v>-0.35959260416666666</v>
      </c>
      <c r="AA62" s="58"/>
      <c r="AB62" s="170" t="str">
        <f t="shared" si="5"/>
        <v>16:26</v>
      </c>
      <c r="AC62" s="170" t="str">
        <f t="shared" si="4"/>
        <v>08:52</v>
      </c>
    </row>
    <row r="63" spans="1:29">
      <c r="A63" s="53">
        <f>IF(SortedDownload!A59 &lt; 1,"",SortedDownload!A59)</f>
        <v>236</v>
      </c>
      <c r="B63" s="54">
        <f t="shared" si="0"/>
        <v>58</v>
      </c>
      <c r="C63" s="146" t="str">
        <f>IFERROR(VLOOKUP($A63,CategoryResults!$A$3:$X$252,3,FALSE),"")</f>
        <v/>
      </c>
      <c r="D63" s="149" t="str">
        <f>IFERROR(VLOOKUP($A63,EntryList!$A$3:$N$291,2,FALSE),"")</f>
        <v>Marc Carr</v>
      </c>
      <c r="E63" s="146" t="str">
        <f>IFERROR(VLOOKUP(C63,SeriesPoints!$A$2:$B$51,2,FALSE),"")</f>
        <v/>
      </c>
      <c r="F63" s="150" t="str">
        <f>IFERROR(VLOOKUP($A63,EntryList!$A$3:$V$291,22,FALSE),"")</f>
        <v>-</v>
      </c>
      <c r="G63" s="148" t="str">
        <f>IFERROR(VLOOKUP($A63,EntryList!$A$3:$N$291,6,FALSE),"")</f>
        <v>M</v>
      </c>
      <c r="H63" s="145" t="str">
        <f>IFERROR(VLOOKUP($A63,EntryList!$A$3:$N$291,7,FALSE),"")</f>
        <v>E-Bike M</v>
      </c>
      <c r="I63" s="56">
        <f t="shared" si="1"/>
        <v>9</v>
      </c>
      <c r="J63" s="57">
        <f>IFERROR(VLOOKUP($A63,SortedDownload!$A$3:$BB$219,31,FALSE)/86400000,"")</f>
        <v>0.35966488425925924</v>
      </c>
      <c r="K63" s="57">
        <f>IFERROR(IF(VLOOKUP($A63,SortedDownload!$A$3:$BB$219,32,FALSE)=0,"-",VLOOKUP($A63,SortedDownload!$A$3:$BB$219,32,FALSE)/86400000),"-")</f>
        <v>0.36256487268518517</v>
      </c>
      <c r="L63" s="57">
        <f>IFERROR(IF(VLOOKUP($A63,SortedDownload!$A$3:$BB$219,33,FALSE)=0,"-",VLOOKUP($A63,SortedDownload!$A$3:$BB$219,33,FALSE)/86400000),"-")</f>
        <v>0.4058309259259259</v>
      </c>
      <c r="M63" s="57">
        <f>IFERROR(IF(VLOOKUP($A63,SortedDownload!$A$3:$BB$219,34,FALSE)=0,"-",VLOOKUP($A63,SortedDownload!$A$3:$BB$219,34,FALSE)/86400000),"-")</f>
        <v>0.40862701388888889</v>
      </c>
      <c r="N63" s="57">
        <f>IFERROR(IF(VLOOKUP($A63,SortedDownload!$A$3:$BB$219,35,FALSE)=0,"-",VLOOKUP($A63,SortedDownload!$A$3:$BB$219,35,FALSE)/86400000),"-")</f>
        <v>0.43539655092592594</v>
      </c>
      <c r="O63" s="57">
        <f>IFERROR(IF(VLOOKUP($A63,SortedDownload!$A$3:$BB$219,36,FALSE)=0,"-",VLOOKUP($A63,SortedDownload!$A$3:$BB$219,36,FALSE)/86400000),"-")</f>
        <v>0.43696626157407409</v>
      </c>
      <c r="P63" s="57">
        <f>IFERROR(IF(VLOOKUP($A63,SortedDownload!$A$3:$BB$219,37,FALSE)=0,"-",VLOOKUP($A63,SortedDownload!$A$3:$BB$219,37,FALSE)/86400000),"-")</f>
        <v>0.48376766203703703</v>
      </c>
      <c r="Q63" s="57">
        <f>IFERROR(IF(VLOOKUP($A63,SortedDownload!$A$3:$BB$219,38,FALSE)=0,"-",VLOOKUP($A63,SortedDownload!$A$3:$BB$219,38,FALSE)/86400000),"-")</f>
        <v>0.48689478009259257</v>
      </c>
      <c r="R63" s="57">
        <f>IFERROR(IF(VLOOKUP($A63,SortedDownload!$A$3:$BB$219,39,FALSE)=0,"-",VLOOKUP($A63,SortedDownload!$A$3:$BB$219,39,FALSE)/86400000),"-")</f>
        <v>0.50929986111111114</v>
      </c>
      <c r="S63" s="57">
        <f>IFERROR(IF(VLOOKUP($A63,SortedDownload!$A$3:$BB$219,40,FALSE)=0,"-",VLOOKUP($A63,SortedDownload!$A$3:$BB$219,40,FALSE)/86400000),"-")</f>
        <v>0.51315428240740746</v>
      </c>
      <c r="T63" s="57" t="str">
        <f>IFERROR(IF(VLOOKUP($A63,SortedDownload!$A$3:$BB$219,41,FALSE)=0,"-",VLOOKUP($A63,SortedDownload!$A$3:$BB$219,41,FALSE)/86400000),"-")</f>
        <v>-</v>
      </c>
      <c r="U63" s="57" t="str">
        <f>IFERROR(IF(VLOOKUP($A63,SortedDownload!$A$3:$BB$219,42,FALSE)=0,"-",VLOOKUP($A63,SortedDownload!$A$3:$BB$219,42,FALSE)/86400000),"-")</f>
        <v>-</v>
      </c>
      <c r="V63" s="57" t="str">
        <f>IFERROR(IF(VLOOKUP($A63,SortedDownload!$A$3:$BB$219,43,FALSE)=0,"-",VLOOKUP($A63,SortedDownload!$A$3:$BB$219,43,FALSE)/86400000),"-")</f>
        <v>-</v>
      </c>
      <c r="W63" s="57" t="str">
        <f>IFERROR(IF(VLOOKUP($A63,SortedDownload!$A$3:$BB$219,44,FALSE)=0,"-",VLOOKUP($A63,SortedDownload!$A$3:$BB$219,44,FALSE)/86400000),"-")</f>
        <v>-</v>
      </c>
      <c r="X63" s="57" t="str">
        <f>IFERROR(IF(VLOOKUP($A63,SortedDownload!$A$3:$BB$219,45,FALSE)=0,"-",VLOOKUP($A63,SortedDownload!$A$3:$BB$219,45,FALSE)/86400000),"-")</f>
        <v>-</v>
      </c>
      <c r="Y63" s="58">
        <f>IFERROR(VLOOKUP($A63,SortedDownload!$A$3:$BB$219,46,FALSE)/86400000,"")</f>
        <v>0</v>
      </c>
      <c r="Z63" s="58">
        <f>IFERROR(Table932[[#This Row],[End Time]]-Table932[[#This Row],[Start Time]],"")</f>
        <v>-0.35966488425925924</v>
      </c>
      <c r="AA63" s="58"/>
      <c r="AB63" s="170" t="str">
        <f t="shared" si="5"/>
        <v>N/A</v>
      </c>
      <c r="AC63" s="170" t="str">
        <f t="shared" si="4"/>
        <v>08:45</v>
      </c>
    </row>
    <row r="64" spans="1:29">
      <c r="A64" s="53">
        <f>IF(SortedDownload!A60 &lt; 1,"",SortedDownload!A60)</f>
        <v>24</v>
      </c>
      <c r="B64" s="54">
        <f t="shared" si="0"/>
        <v>59</v>
      </c>
      <c r="C64" s="146" t="str">
        <f>IFERROR(VLOOKUP($A64,CategoryResults!$A$3:$X$252,3,FALSE),"")</f>
        <v/>
      </c>
      <c r="D64" s="149" t="str">
        <f>IFERROR(VLOOKUP($A64,EntryList!$A$3:$N$291,2,FALSE),"")</f>
        <v>Enrique Julyan</v>
      </c>
      <c r="E64" s="146" t="str">
        <f>IFERROR(VLOOKUP(C64,SeriesPoints!$A$2:$B$51,2,FALSE),"")</f>
        <v/>
      </c>
      <c r="F64" s="150" t="str">
        <f>IFERROR(VLOOKUP($A64,EntryList!$A$3:$V$291,22,FALSE),"")</f>
        <v>-</v>
      </c>
      <c r="G64" s="148" t="str">
        <f>IFERROR(VLOOKUP($A64,EntryList!$A$3:$N$291,6,FALSE),"")</f>
        <v>M</v>
      </c>
      <c r="H64" s="145" t="str">
        <f>IFERROR(VLOOKUP($A64,EntryList!$A$3:$N$291,7,FALSE),"")</f>
        <v>Master Men</v>
      </c>
      <c r="I64" s="56">
        <f t="shared" si="1"/>
        <v>9</v>
      </c>
      <c r="J64" s="57">
        <f>IFERROR(VLOOKUP($A64,SortedDownload!$A$3:$BB$219,31,FALSE)/86400000,"")</f>
        <v>0.3632692476851852</v>
      </c>
      <c r="K64" s="57">
        <f>IFERROR(IF(VLOOKUP($A64,SortedDownload!$A$3:$BB$219,32,FALSE)=0,"-",VLOOKUP($A64,SortedDownload!$A$3:$BB$219,32,FALSE)/86400000),"-")</f>
        <v>0.36617700231481481</v>
      </c>
      <c r="L64" s="57">
        <f>IFERROR(IF(VLOOKUP($A64,SortedDownload!$A$3:$BB$219,33,FALSE)=0,"-",VLOOKUP($A64,SortedDownload!$A$3:$BB$219,33,FALSE)/86400000),"-")</f>
        <v>0.41475968749999997</v>
      </c>
      <c r="M64" s="57">
        <f>IFERROR(IF(VLOOKUP($A64,SortedDownload!$A$3:$BB$219,34,FALSE)=0,"-",VLOOKUP($A64,SortedDownload!$A$3:$BB$219,34,FALSE)/86400000),"-")</f>
        <v>0.41760805555555558</v>
      </c>
      <c r="N64" s="57">
        <f>IFERROR(IF(VLOOKUP($A64,SortedDownload!$A$3:$BB$219,35,FALSE)=0,"-",VLOOKUP($A64,SortedDownload!$A$3:$BB$219,35,FALSE)/86400000),"-")</f>
        <v>0.45487638888888887</v>
      </c>
      <c r="O64" s="57">
        <f>IFERROR(IF(VLOOKUP($A64,SortedDownload!$A$3:$BB$219,36,FALSE)=0,"-",VLOOKUP($A64,SortedDownload!$A$3:$BB$219,36,FALSE)/86400000),"-")</f>
        <v>0.45650335648148149</v>
      </c>
      <c r="P64" s="57">
        <f>IFERROR(IF(VLOOKUP($A64,SortedDownload!$A$3:$BB$219,37,FALSE)=0,"-",VLOOKUP($A64,SortedDownload!$A$3:$BB$219,37,FALSE)/86400000),"-")</f>
        <v>0.49887085648148149</v>
      </c>
      <c r="Q64" s="57">
        <f>IFERROR(IF(VLOOKUP($A64,SortedDownload!$A$3:$BB$219,38,FALSE)=0,"-",VLOOKUP($A64,SortedDownload!$A$3:$BB$219,38,FALSE)/86400000),"-")</f>
        <v>0.50194923611111109</v>
      </c>
      <c r="R64" s="57">
        <f>IFERROR(IF(VLOOKUP($A64,SortedDownload!$A$3:$BB$219,39,FALSE)=0,"-",VLOOKUP($A64,SortedDownload!$A$3:$BB$219,39,FALSE)/86400000),"-")</f>
        <v>0.53238895833333333</v>
      </c>
      <c r="S64" s="57">
        <f>IFERROR(IF(VLOOKUP($A64,SortedDownload!$A$3:$BB$219,40,FALSE)=0,"-",VLOOKUP($A64,SortedDownload!$A$3:$BB$219,40,FALSE)/86400000),"-")</f>
        <v>0.53622846064814811</v>
      </c>
      <c r="T64" s="57" t="str">
        <f>IFERROR(IF(VLOOKUP($A64,SortedDownload!$A$3:$BB$219,41,FALSE)=0,"-",VLOOKUP($A64,SortedDownload!$A$3:$BB$219,41,FALSE)/86400000),"-")</f>
        <v>-</v>
      </c>
      <c r="U64" s="57" t="str">
        <f>IFERROR(IF(VLOOKUP($A64,SortedDownload!$A$3:$BB$219,42,FALSE)=0,"-",VLOOKUP($A64,SortedDownload!$A$3:$BB$219,42,FALSE)/86400000),"-")</f>
        <v>-</v>
      </c>
      <c r="V64" s="57" t="str">
        <f>IFERROR(IF(VLOOKUP($A64,SortedDownload!$A$3:$BB$219,43,FALSE)=0,"-",VLOOKUP($A64,SortedDownload!$A$3:$BB$219,43,FALSE)/86400000),"-")</f>
        <v>-</v>
      </c>
      <c r="W64" s="57" t="str">
        <f>IFERROR(IF(VLOOKUP($A64,SortedDownload!$A$3:$BB$219,44,FALSE)=0,"-",VLOOKUP($A64,SortedDownload!$A$3:$BB$219,44,FALSE)/86400000),"-")</f>
        <v>-</v>
      </c>
      <c r="X64" s="57" t="str">
        <f>IFERROR(IF(VLOOKUP($A64,SortedDownload!$A$3:$BB$219,45,FALSE)=0,"-",VLOOKUP($A64,SortedDownload!$A$3:$BB$219,45,FALSE)/86400000),"-")</f>
        <v>-</v>
      </c>
      <c r="Y64" s="58">
        <f>IFERROR(VLOOKUP($A64,SortedDownload!$A$3:$BB$219,46,FALSE)/86400000,"")</f>
        <v>0</v>
      </c>
      <c r="Z64" s="58">
        <f>IFERROR(Table932[[#This Row],[End Time]]-Table932[[#This Row],[Start Time]],"")</f>
        <v>-0.3632692476851852</v>
      </c>
      <c r="AA64" s="58"/>
      <c r="AB64" s="170" t="str">
        <f t="shared" si="5"/>
        <v>N/A</v>
      </c>
      <c r="AC64" s="170" t="str">
        <f t="shared" si="4"/>
        <v>03:34</v>
      </c>
    </row>
    <row r="65" spans="1:29">
      <c r="A65" s="53">
        <f>IF(SortedDownload!A61 &lt; 1,"",SortedDownload!A61)</f>
        <v>94</v>
      </c>
      <c r="B65" s="54">
        <f t="shared" si="0"/>
        <v>60</v>
      </c>
      <c r="C65" s="146" t="str">
        <f>IFERROR(VLOOKUP($A65,CategoryResults!$A$3:$X$252,3,FALSE),"")</f>
        <v/>
      </c>
      <c r="D65" s="149" t="str">
        <f>IFERROR(VLOOKUP($A65,EntryList!$A$3:$N$291,2,FALSE),"")</f>
        <v>Christo Van Den Heever</v>
      </c>
      <c r="E65" s="146" t="str">
        <f>IFERROR(VLOOKUP(C65,SeriesPoints!$A$2:$B$51,2,FALSE),"")</f>
        <v/>
      </c>
      <c r="F65" s="150" t="str">
        <f>IFERROR(VLOOKUP($A65,EntryList!$A$3:$V$291,22,FALSE),"")</f>
        <v>-</v>
      </c>
      <c r="G65" s="148" t="str">
        <f>IFERROR(VLOOKUP($A65,EntryList!$A$3:$N$291,6,FALSE),"")</f>
        <v>M</v>
      </c>
      <c r="H65" s="145" t="str">
        <f>IFERROR(VLOOKUP($A65,EntryList!$A$3:$N$291,7,FALSE),"")</f>
        <v>Master Men</v>
      </c>
      <c r="I65" s="56">
        <f t="shared" si="1"/>
        <v>9</v>
      </c>
      <c r="J65" s="57">
        <f>IFERROR(VLOOKUP($A65,SortedDownload!$A$3:$BB$219,31,FALSE)/86400000,"")</f>
        <v>0.35321974537037037</v>
      </c>
      <c r="K65" s="57">
        <f>IFERROR(IF(VLOOKUP($A65,SortedDownload!$A$3:$BB$219,32,FALSE)=0,"-",VLOOKUP($A65,SortedDownload!$A$3:$BB$219,32,FALSE)/86400000),"-")</f>
        <v>0.35614229166666667</v>
      </c>
      <c r="L65" s="57">
        <f>IFERROR(IF(VLOOKUP($A65,SortedDownload!$A$3:$BB$219,33,FALSE)=0,"-",VLOOKUP($A65,SortedDownload!$A$3:$BB$219,33,FALSE)/86400000),"-")</f>
        <v>0.37760939814814815</v>
      </c>
      <c r="M65" s="57">
        <f>IFERROR(IF(VLOOKUP($A65,SortedDownload!$A$3:$BB$219,34,FALSE)=0,"-",VLOOKUP($A65,SortedDownload!$A$3:$BB$219,34,FALSE)/86400000),"-")</f>
        <v>0.38048055555555554</v>
      </c>
      <c r="N65" s="57">
        <f>IFERROR(IF(VLOOKUP($A65,SortedDownload!$A$3:$BB$219,35,FALSE)=0,"-",VLOOKUP($A65,SortedDownload!$A$3:$BB$219,35,FALSE)/86400000),"-")</f>
        <v>0.39993534722222224</v>
      </c>
      <c r="O65" s="57">
        <f>IFERROR(IF(VLOOKUP($A65,SortedDownload!$A$3:$BB$219,36,FALSE)=0,"-",VLOOKUP($A65,SortedDownload!$A$3:$BB$219,36,FALSE)/86400000),"-")</f>
        <v>0.40149925925925928</v>
      </c>
      <c r="P65" s="57">
        <f>IFERROR(IF(VLOOKUP($A65,SortedDownload!$A$3:$BB$219,37,FALSE)=0,"-",VLOOKUP($A65,SortedDownload!$A$3:$BB$219,37,FALSE)/86400000),"-")</f>
        <v>0.43247862268518517</v>
      </c>
      <c r="Q65" s="57">
        <f>IFERROR(IF(VLOOKUP($A65,SortedDownload!$A$3:$BB$219,38,FALSE)=0,"-",VLOOKUP($A65,SortedDownload!$A$3:$BB$219,38,FALSE)/86400000),"-")</f>
        <v>0.43566746527777778</v>
      </c>
      <c r="R65" s="57">
        <f>IFERROR(IF(VLOOKUP($A65,SortedDownload!$A$3:$BB$219,39,FALSE)=0,"-",VLOOKUP($A65,SortedDownload!$A$3:$BB$219,39,FALSE)/86400000),"-")</f>
        <v>0.44931888888888888</v>
      </c>
      <c r="S65" s="57">
        <f>IFERROR(IF(VLOOKUP($A65,SortedDownload!$A$3:$BB$219,40,FALSE)=0,"-",VLOOKUP($A65,SortedDownload!$A$3:$BB$219,40,FALSE)/86400000),"-")</f>
        <v>0.45310462962962961</v>
      </c>
      <c r="T65" s="57" t="str">
        <f>IFERROR(IF(VLOOKUP($A65,SortedDownload!$A$3:$BB$219,41,FALSE)=0,"-",VLOOKUP($A65,SortedDownload!$A$3:$BB$219,41,FALSE)/86400000),"-")</f>
        <v>-</v>
      </c>
      <c r="U65" s="57" t="str">
        <f>IFERROR(IF(VLOOKUP($A65,SortedDownload!$A$3:$BB$219,42,FALSE)=0,"-",VLOOKUP($A65,SortedDownload!$A$3:$BB$219,42,FALSE)/86400000),"-")</f>
        <v>-</v>
      </c>
      <c r="V65" s="57" t="str">
        <f>IFERROR(IF(VLOOKUP($A65,SortedDownload!$A$3:$BB$219,43,FALSE)=0,"-",VLOOKUP($A65,SortedDownload!$A$3:$BB$219,43,FALSE)/86400000),"-")</f>
        <v>-</v>
      </c>
      <c r="W65" s="57" t="str">
        <f>IFERROR(IF(VLOOKUP($A65,SortedDownload!$A$3:$BB$219,44,FALSE)=0,"-",VLOOKUP($A65,SortedDownload!$A$3:$BB$219,44,FALSE)/86400000),"-")</f>
        <v>-</v>
      </c>
      <c r="X65" s="57" t="str">
        <f>IFERROR(IF(VLOOKUP($A65,SortedDownload!$A$3:$BB$219,45,FALSE)=0,"-",VLOOKUP($A65,SortedDownload!$A$3:$BB$219,45,FALSE)/86400000),"-")</f>
        <v>-</v>
      </c>
      <c r="Y65" s="58">
        <f>IFERROR(VLOOKUP($A65,SortedDownload!$A$3:$BB$219,46,FALSE)/86400000,"")</f>
        <v>0</v>
      </c>
      <c r="Z65" s="58">
        <f>IFERROR(Table932[[#This Row],[End Time]]-Table932[[#This Row],[Start Time]],"")</f>
        <v>-0.35321974537037037</v>
      </c>
      <c r="AA65" s="58"/>
      <c r="AB65" s="170" t="str">
        <f t="shared" si="5"/>
        <v>14:28</v>
      </c>
      <c r="AC65" s="170" t="str">
        <f t="shared" si="4"/>
        <v>18:02</v>
      </c>
    </row>
    <row r="66" spans="1:29">
      <c r="A66" s="53">
        <f>IF(SortedDownload!A62 &lt; 1,"",SortedDownload!A62)</f>
        <v>141</v>
      </c>
      <c r="B66" s="54">
        <f t="shared" si="0"/>
        <v>61</v>
      </c>
      <c r="C66" s="146" t="str">
        <f>IFERROR(VLOOKUP($A66,CategoryResults!$A$3:$X$252,3,FALSE),"")</f>
        <v/>
      </c>
      <c r="D66" s="149" t="str">
        <f>IFERROR(VLOOKUP($A66,EntryList!$A$3:$N$291,2,FALSE),"")</f>
        <v>Philip Mccann</v>
      </c>
      <c r="E66" s="146" t="str">
        <f>IFERROR(VLOOKUP(C66,SeriesPoints!$A$2:$B$51,2,FALSE),"")</f>
        <v/>
      </c>
      <c r="F66" s="150" t="str">
        <f>IFERROR(VLOOKUP($A66,EntryList!$A$3:$V$291,22,FALSE),"")</f>
        <v>-</v>
      </c>
      <c r="G66" s="148" t="str">
        <f>IFERROR(VLOOKUP($A66,EntryList!$A$3:$N$291,6,FALSE),"")</f>
        <v>M</v>
      </c>
      <c r="H66" s="145" t="str">
        <f>IFERROR(VLOOKUP($A66,EntryList!$A$3:$N$291,7,FALSE),"")</f>
        <v>Youth Men</v>
      </c>
      <c r="I66" s="56">
        <f t="shared" si="1"/>
        <v>9</v>
      </c>
      <c r="J66" s="57">
        <f>IFERROR(VLOOKUP($A66,SortedDownload!$A$3:$BB$219,31,FALSE)/86400000,"")</f>
        <v>0.41884543981481481</v>
      </c>
      <c r="K66" s="57">
        <f>IFERROR(IF(VLOOKUP($A66,SortedDownload!$A$3:$BB$219,32,FALSE)=0,"-",VLOOKUP($A66,SortedDownload!$A$3:$BB$219,32,FALSE)/86400000),"-")</f>
        <v>0.42152379629629627</v>
      </c>
      <c r="L66" s="57">
        <f>IFERROR(IF(VLOOKUP($A66,SortedDownload!$A$3:$BB$219,33,FALSE)=0,"-",VLOOKUP($A66,SortedDownload!$A$3:$BB$219,33,FALSE)/86400000),"-")</f>
        <v>0.37829969907407407</v>
      </c>
      <c r="M66" s="57">
        <f>IFERROR(IF(VLOOKUP($A66,SortedDownload!$A$3:$BB$219,34,FALSE)=0,"-",VLOOKUP($A66,SortedDownload!$A$3:$BB$219,34,FALSE)/86400000),"-")</f>
        <v>0.38122832175925925</v>
      </c>
      <c r="N66" s="57">
        <f>IFERROR(IF(VLOOKUP($A66,SortedDownload!$A$3:$BB$219,35,FALSE)=0,"-",VLOOKUP($A66,SortedDownload!$A$3:$BB$219,35,FALSE)/86400000),"-")</f>
        <v>0.45980800925925924</v>
      </c>
      <c r="O66" s="57">
        <f>IFERROR(IF(VLOOKUP($A66,SortedDownload!$A$3:$BB$219,36,FALSE)=0,"-",VLOOKUP($A66,SortedDownload!$A$3:$BB$219,36,FALSE)/86400000),"-")</f>
        <v>0.46138032407407409</v>
      </c>
      <c r="P66" s="57">
        <f>IFERROR(IF(VLOOKUP($A66,SortedDownload!$A$3:$BB$219,37,FALSE)=0,"-",VLOOKUP($A66,SortedDownload!$A$3:$BB$219,37,FALSE)/86400000),"-")</f>
        <v>0.51963724537037037</v>
      </c>
      <c r="Q66" s="57">
        <f>IFERROR(IF(VLOOKUP($A66,SortedDownload!$A$3:$BB$219,38,FALSE)=0,"-",VLOOKUP($A66,SortedDownload!$A$3:$BB$219,38,FALSE)/86400000),"-")</f>
        <v>0.52283827546296291</v>
      </c>
      <c r="R66" s="57">
        <f>IFERROR(IF(VLOOKUP($A66,SortedDownload!$A$3:$BB$219,39,FALSE)=0,"-",VLOOKUP($A66,SortedDownload!$A$3:$BB$219,39,FALSE)/86400000),"-")</f>
        <v>0.5555741666666667</v>
      </c>
      <c r="S66" s="57">
        <f>IFERROR(IF(VLOOKUP($A66,SortedDownload!$A$3:$BB$219,40,FALSE)=0,"-",VLOOKUP($A66,SortedDownload!$A$3:$BB$219,40,FALSE)/86400000),"-")</f>
        <v>0.55954695601851856</v>
      </c>
      <c r="T66" s="57" t="str">
        <f>IFERROR(IF(VLOOKUP($A66,SortedDownload!$A$3:$BB$219,41,FALSE)=0,"-",VLOOKUP($A66,SortedDownload!$A$3:$BB$219,41,FALSE)/86400000),"-")</f>
        <v>-</v>
      </c>
      <c r="U66" s="57" t="str">
        <f>IFERROR(IF(VLOOKUP($A66,SortedDownload!$A$3:$BB$219,42,FALSE)=0,"-",VLOOKUP($A66,SortedDownload!$A$3:$BB$219,42,FALSE)/86400000),"-")</f>
        <v>-</v>
      </c>
      <c r="V66" s="57" t="str">
        <f>IFERROR(IF(VLOOKUP($A66,SortedDownload!$A$3:$BB$219,43,FALSE)=0,"-",VLOOKUP($A66,SortedDownload!$A$3:$BB$219,43,FALSE)/86400000),"-")</f>
        <v>-</v>
      </c>
      <c r="W66" s="57" t="str">
        <f>IFERROR(IF(VLOOKUP($A66,SortedDownload!$A$3:$BB$219,44,FALSE)=0,"-",VLOOKUP($A66,SortedDownload!$A$3:$BB$219,44,FALSE)/86400000),"-")</f>
        <v>-</v>
      </c>
      <c r="X66" s="57" t="str">
        <f>IFERROR(IF(VLOOKUP($A66,SortedDownload!$A$3:$BB$219,45,FALSE)=0,"-",VLOOKUP($A66,SortedDownload!$A$3:$BB$219,45,FALSE)/86400000),"-")</f>
        <v>-</v>
      </c>
      <c r="Y66" s="58">
        <f>IFERROR(VLOOKUP($A66,SortedDownload!$A$3:$BB$219,46,FALSE)/86400000,"")</f>
        <v>0</v>
      </c>
      <c r="Z66" s="58">
        <f>IFERROR(Table932[[#This Row],[End Time]]-Table932[[#This Row],[Start Time]],"")</f>
        <v>-0.41884543981481481</v>
      </c>
      <c r="AA66" s="58"/>
      <c r="AB66" s="170" t="str">
        <f t="shared" si="5"/>
        <v>N/A</v>
      </c>
      <c r="AC66" s="170" t="str">
        <f t="shared" si="4"/>
        <v>N/A</v>
      </c>
    </row>
    <row r="67" spans="1:29">
      <c r="A67" s="53">
        <f>IF(SortedDownload!A63 &lt; 1,"",SortedDownload!A63)</f>
        <v>33</v>
      </c>
      <c r="B67" s="54">
        <f t="shared" si="0"/>
        <v>62</v>
      </c>
      <c r="C67" s="146" t="str">
        <f>IFERROR(VLOOKUP($A67,CategoryResults!$A$3:$X$252,3,FALSE),"")</f>
        <v/>
      </c>
      <c r="D67" s="149" t="str">
        <f>IFERROR(VLOOKUP($A67,EntryList!$A$3:$N$291,2,FALSE),"")</f>
        <v>Rameez Abrahams</v>
      </c>
      <c r="E67" s="146" t="str">
        <f>IFERROR(VLOOKUP(C67,SeriesPoints!$A$2:$B$51,2,FALSE),"")</f>
        <v/>
      </c>
      <c r="F67" s="150" t="str">
        <f>IFERROR(VLOOKUP($A67,EntryList!$A$3:$V$291,22,FALSE),"")</f>
        <v>-</v>
      </c>
      <c r="G67" s="148" t="str">
        <f>IFERROR(VLOOKUP($A67,EntryList!$A$3:$N$291,6,FALSE),"")</f>
        <v>M</v>
      </c>
      <c r="H67" s="145" t="str">
        <f>IFERROR(VLOOKUP($A67,EntryList!$A$3:$N$291,7,FALSE),"")</f>
        <v>Master Men</v>
      </c>
      <c r="I67" s="56">
        <f t="shared" si="1"/>
        <v>9</v>
      </c>
      <c r="J67" s="57">
        <f>IFERROR(VLOOKUP($A67,SortedDownload!$A$3:$BB$219,31,FALSE)/86400000,"")</f>
        <v>0.41161479166666665</v>
      </c>
      <c r="K67" s="57">
        <f>IFERROR(IF(VLOOKUP($A67,SortedDownload!$A$3:$BB$219,32,FALSE)=0,"-",VLOOKUP($A67,SortedDownload!$A$3:$BB$219,32,FALSE)/86400000),"-")</f>
        <v>0.41449827546296297</v>
      </c>
      <c r="L67" s="57">
        <f>IFERROR(IF(VLOOKUP($A67,SortedDownload!$A$3:$BB$219,33,FALSE)=0,"-",VLOOKUP($A67,SortedDownload!$A$3:$BB$219,33,FALSE)/86400000),"-")</f>
        <v>0.37514150462962964</v>
      </c>
      <c r="M67" s="57">
        <f>IFERROR(IF(VLOOKUP($A67,SortedDownload!$A$3:$BB$219,34,FALSE)=0,"-",VLOOKUP($A67,SortedDownload!$A$3:$BB$219,34,FALSE)/86400000),"-")</f>
        <v>0.3779239699074074</v>
      </c>
      <c r="N67" s="57">
        <f>IFERROR(IF(VLOOKUP($A67,SortedDownload!$A$3:$BB$219,35,FALSE)=0,"-",VLOOKUP($A67,SortedDownload!$A$3:$BB$219,35,FALSE)/86400000),"-")</f>
        <v>0.45430229166666669</v>
      </c>
      <c r="O67" s="57">
        <f>IFERROR(IF(VLOOKUP($A67,SortedDownload!$A$3:$BB$219,36,FALSE)=0,"-",VLOOKUP($A67,SortedDownload!$A$3:$BB$219,36,FALSE)/86400000),"-")</f>
        <v>0.45599381944444445</v>
      </c>
      <c r="P67" s="57">
        <f>IFERROR(IF(VLOOKUP($A67,SortedDownload!$A$3:$BB$219,37,FALSE)=0,"-",VLOOKUP($A67,SortedDownload!$A$3:$BB$219,37,FALSE)/86400000),"-")</f>
        <v>0.49406251157407405</v>
      </c>
      <c r="Q67" s="57">
        <f>IFERROR(IF(VLOOKUP($A67,SortedDownload!$A$3:$BB$219,38,FALSE)=0,"-",VLOOKUP($A67,SortedDownload!$A$3:$BB$219,38,FALSE)/86400000),"-")</f>
        <v>0.4972579513888889</v>
      </c>
      <c r="R67" s="57">
        <f>IFERROR(IF(VLOOKUP($A67,SortedDownload!$A$3:$BB$219,39,FALSE)=0,"-",VLOOKUP($A67,SortedDownload!$A$3:$BB$219,39,FALSE)/86400000),"-")</f>
        <v>0.52820314814814817</v>
      </c>
      <c r="S67" s="57">
        <f>IFERROR(IF(VLOOKUP($A67,SortedDownload!$A$3:$BB$219,40,FALSE)=0,"-",VLOOKUP($A67,SortedDownload!$A$3:$BB$219,40,FALSE)/86400000),"-")</f>
        <v>0.53202668981481482</v>
      </c>
      <c r="T67" s="57" t="str">
        <f>IFERROR(IF(VLOOKUP($A67,SortedDownload!$A$3:$BB$219,41,FALSE)=0,"-",VLOOKUP($A67,SortedDownload!$A$3:$BB$219,41,FALSE)/86400000),"-")</f>
        <v>-</v>
      </c>
      <c r="U67" s="57" t="str">
        <f>IFERROR(IF(VLOOKUP($A67,SortedDownload!$A$3:$BB$219,42,FALSE)=0,"-",VLOOKUP($A67,SortedDownload!$A$3:$BB$219,42,FALSE)/86400000),"-")</f>
        <v>-</v>
      </c>
      <c r="V67" s="57" t="str">
        <f>IFERROR(IF(VLOOKUP($A67,SortedDownload!$A$3:$BB$219,43,FALSE)=0,"-",VLOOKUP($A67,SortedDownload!$A$3:$BB$219,43,FALSE)/86400000),"-")</f>
        <v>-</v>
      </c>
      <c r="W67" s="57" t="str">
        <f>IFERROR(IF(VLOOKUP($A67,SortedDownload!$A$3:$BB$219,44,FALSE)=0,"-",VLOOKUP($A67,SortedDownload!$A$3:$BB$219,44,FALSE)/86400000),"-")</f>
        <v>-</v>
      </c>
      <c r="X67" s="57" t="str">
        <f>IFERROR(IF(VLOOKUP($A67,SortedDownload!$A$3:$BB$219,45,FALSE)=0,"-",VLOOKUP($A67,SortedDownload!$A$3:$BB$219,45,FALSE)/86400000),"-")</f>
        <v>-</v>
      </c>
      <c r="Y67" s="58">
        <f>IFERROR(VLOOKUP($A67,SortedDownload!$A$3:$BB$219,46,FALSE)/86400000,"")</f>
        <v>0</v>
      </c>
      <c r="Z67" s="58">
        <f>IFERROR(Table932[[#This Row],[End Time]]-Table932[[#This Row],[Start Time]],"")</f>
        <v>-0.41161479166666665</v>
      </c>
      <c r="AA67" s="58"/>
      <c r="AB67" s="170" t="str">
        <f t="shared" si="5"/>
        <v>10:25</v>
      </c>
      <c r="AC67" s="170" t="str">
        <f t="shared" si="4"/>
        <v>N/A</v>
      </c>
    </row>
    <row r="68" spans="1:29">
      <c r="A68" s="53">
        <f>IF(SortedDownload!A64 &lt; 1,"",SortedDownload!A64)</f>
        <v>298</v>
      </c>
      <c r="B68" s="54">
        <f t="shared" si="0"/>
        <v>63</v>
      </c>
      <c r="C68" s="146" t="str">
        <f>IFERROR(VLOOKUP($A68,CategoryResults!$A$3:$X$252,3,FALSE),"")</f>
        <v/>
      </c>
      <c r="D68" s="149" t="str">
        <f>IFERROR(VLOOKUP($A68,EntryList!$A$3:$N$291,2,FALSE),"")</f>
        <v>Nicholas Turvey</v>
      </c>
      <c r="E68" s="146" t="str">
        <f>IFERROR(VLOOKUP(C68,SeriesPoints!$A$2:$B$51,2,FALSE),"")</f>
        <v/>
      </c>
      <c r="F68" s="150" t="str">
        <f>IFERROR(VLOOKUP($A68,EntryList!$A$3:$V$291,22,FALSE),"")</f>
        <v>-</v>
      </c>
      <c r="G68" s="148" t="str">
        <f>IFERROR(VLOOKUP($A68,EntryList!$A$3:$N$291,6,FALSE),"")</f>
        <v>M</v>
      </c>
      <c r="H68" s="145" t="str">
        <f>IFERROR(VLOOKUP($A68,EntryList!$A$3:$N$291,7,FALSE),"")</f>
        <v>Master Men</v>
      </c>
      <c r="I68" s="56">
        <f t="shared" si="1"/>
        <v>9</v>
      </c>
      <c r="J68" s="57">
        <f>IFERROR(VLOOKUP($A68,SortedDownload!$A$3:$BB$219,31,FALSE)/86400000,"")</f>
        <v>0.39840310185185185</v>
      </c>
      <c r="K68" s="57">
        <f>IFERROR(IF(VLOOKUP($A68,SortedDownload!$A$3:$BB$219,32,FALSE)=0,"-",VLOOKUP($A68,SortedDownload!$A$3:$BB$219,32,FALSE)/86400000),"-")</f>
        <v>0.40128709490740738</v>
      </c>
      <c r="L68" s="57">
        <f>IFERROR(IF(VLOOKUP($A68,SortedDownload!$A$3:$BB$219,33,FALSE)=0,"-",VLOOKUP($A68,SortedDownload!$A$3:$BB$219,33,FALSE)/86400000),"-")</f>
        <v>0.43723086805555555</v>
      </c>
      <c r="M68" s="57">
        <f>IFERROR(IF(VLOOKUP($A68,SortedDownload!$A$3:$BB$219,34,FALSE)=0,"-",VLOOKUP($A68,SortedDownload!$A$3:$BB$219,34,FALSE)/86400000),"-")</f>
        <v>0.44007520833333336</v>
      </c>
      <c r="N68" s="57">
        <f>IFERROR(IF(VLOOKUP($A68,SortedDownload!$A$3:$BB$219,35,FALSE)=0,"-",VLOOKUP($A68,SortedDownload!$A$3:$BB$219,35,FALSE)/86400000),"-")</f>
        <v>0.36532199074074073</v>
      </c>
      <c r="O68" s="57">
        <f>IFERROR(IF(VLOOKUP($A68,SortedDownload!$A$3:$BB$219,36,FALSE)=0,"-",VLOOKUP($A68,SortedDownload!$A$3:$BB$219,36,FALSE)/86400000),"-")</f>
        <v>0.36696814814814815</v>
      </c>
      <c r="P68" s="57">
        <f>IFERROR(IF(VLOOKUP($A68,SortedDownload!$A$3:$BB$219,37,FALSE)=0,"-",VLOOKUP($A68,SortedDownload!$A$3:$BB$219,37,FALSE)/86400000),"-")</f>
        <v>0.48701107638888891</v>
      </c>
      <c r="Q68" s="57">
        <f>IFERROR(IF(VLOOKUP($A68,SortedDownload!$A$3:$BB$219,38,FALSE)=0,"-",VLOOKUP($A68,SortedDownload!$A$3:$BB$219,38,FALSE)/86400000),"-")</f>
        <v>0.49016350694444444</v>
      </c>
      <c r="R68" s="57">
        <f>IFERROR(IF(VLOOKUP($A68,SortedDownload!$A$3:$BB$219,39,FALSE)=0,"-",VLOOKUP($A68,SortedDownload!$A$3:$BB$219,39,FALSE)/86400000),"-")</f>
        <v>0.51666421296296294</v>
      </c>
      <c r="S68" s="57">
        <f>IFERROR(IF(VLOOKUP($A68,SortedDownload!$A$3:$BB$219,40,FALSE)=0,"-",VLOOKUP($A68,SortedDownload!$A$3:$BB$219,40,FALSE)/86400000),"-")</f>
        <v>0.52053760416666661</v>
      </c>
      <c r="T68" s="57" t="str">
        <f>IFERROR(IF(VLOOKUP($A68,SortedDownload!$A$3:$BB$219,41,FALSE)=0,"-",VLOOKUP($A68,SortedDownload!$A$3:$BB$219,41,FALSE)/86400000),"-")</f>
        <v>-</v>
      </c>
      <c r="U68" s="57" t="str">
        <f>IFERROR(IF(VLOOKUP($A68,SortedDownload!$A$3:$BB$219,42,FALSE)=0,"-",VLOOKUP($A68,SortedDownload!$A$3:$BB$219,42,FALSE)/86400000),"-")</f>
        <v>-</v>
      </c>
      <c r="V68" s="57" t="str">
        <f>IFERROR(IF(VLOOKUP($A68,SortedDownload!$A$3:$BB$219,43,FALSE)=0,"-",VLOOKUP($A68,SortedDownload!$A$3:$BB$219,43,FALSE)/86400000),"-")</f>
        <v>-</v>
      </c>
      <c r="W68" s="57" t="str">
        <f>IFERROR(IF(VLOOKUP($A68,SortedDownload!$A$3:$BB$219,44,FALSE)=0,"-",VLOOKUP($A68,SortedDownload!$A$3:$BB$219,44,FALSE)/86400000),"-")</f>
        <v>-</v>
      </c>
      <c r="X68" s="57" t="str">
        <f>IFERROR(IF(VLOOKUP($A68,SortedDownload!$A$3:$BB$219,45,FALSE)=0,"-",VLOOKUP($A68,SortedDownload!$A$3:$BB$219,45,FALSE)/86400000),"-")</f>
        <v>-</v>
      </c>
      <c r="Y68" s="58">
        <f>IFERROR(VLOOKUP($A68,SortedDownload!$A$3:$BB$219,46,FALSE)/86400000,"")</f>
        <v>0</v>
      </c>
      <c r="Z68" s="58">
        <f>IFERROR(Table932[[#This Row],[End Time]]-Table932[[#This Row],[Start Time]],"")</f>
        <v>-0.39840310185185185</v>
      </c>
      <c r="AA68" s="58"/>
      <c r="AB68" s="170" t="str">
        <f t="shared" si="5"/>
        <v>19:01</v>
      </c>
      <c r="AC68" s="170" t="str">
        <f t="shared" si="4"/>
        <v>12:58</v>
      </c>
    </row>
    <row r="69" spans="1:29">
      <c r="A69" s="53">
        <f>IF(SortedDownload!A65 &lt; 1,"",SortedDownload!A65)</f>
        <v>128</v>
      </c>
      <c r="B69" s="54">
        <f t="shared" si="0"/>
        <v>64</v>
      </c>
      <c r="C69" s="146" t="str">
        <f>IFERROR(VLOOKUP($A69,CategoryResults!$A$3:$X$252,3,FALSE),"")</f>
        <v/>
      </c>
      <c r="D69" s="149" t="str">
        <f>IFERROR(VLOOKUP($A69,EntryList!$A$3:$N$291,2,FALSE),"")</f>
        <v>Tiaan Van De Merwe</v>
      </c>
      <c r="E69" s="146" t="str">
        <f>IFERROR(VLOOKUP(C69,SeriesPoints!$A$2:$B$51,2,FALSE),"")</f>
        <v/>
      </c>
      <c r="F69" s="150" t="str">
        <f>IFERROR(VLOOKUP($A69,EntryList!$A$3:$V$291,22,FALSE),"")</f>
        <v>-</v>
      </c>
      <c r="G69" s="148" t="str">
        <f>IFERROR(VLOOKUP($A69,EntryList!$A$3:$N$291,6,FALSE),"")</f>
        <v>M</v>
      </c>
      <c r="H69" s="145" t="str">
        <f>IFERROR(VLOOKUP($A69,EntryList!$A$3:$N$291,7,FALSE),"")</f>
        <v>Elite Men</v>
      </c>
      <c r="I69" s="56">
        <f t="shared" si="1"/>
        <v>9</v>
      </c>
      <c r="J69" s="57">
        <f>IFERROR(VLOOKUP($A69,SortedDownload!$A$3:$BB$219,31,FALSE)/86400000,"")</f>
        <v>0.41986584490740742</v>
      </c>
      <c r="K69" s="57">
        <f>IFERROR(IF(VLOOKUP($A69,SortedDownload!$A$3:$BB$219,32,FALSE)=0,"-",VLOOKUP($A69,SortedDownload!$A$3:$BB$219,32,FALSE)/86400000),"-")</f>
        <v>0.42290291666666668</v>
      </c>
      <c r="L69" s="57">
        <f>IFERROR(IF(VLOOKUP($A69,SortedDownload!$A$3:$BB$219,33,FALSE)=0,"-",VLOOKUP($A69,SortedDownload!$A$3:$BB$219,33,FALSE)/86400000),"-")</f>
        <v>0.36947800925925928</v>
      </c>
      <c r="M69" s="57">
        <f>IFERROR(IF(VLOOKUP($A69,SortedDownload!$A$3:$BB$219,34,FALSE)=0,"-",VLOOKUP($A69,SortedDownload!$A$3:$BB$219,34,FALSE)/86400000),"-")</f>
        <v>0.37229922453703701</v>
      </c>
      <c r="N69" s="57">
        <f>IFERROR(IF(VLOOKUP($A69,SortedDownload!$A$3:$BB$219,35,FALSE)=0,"-",VLOOKUP($A69,SortedDownload!$A$3:$BB$219,35,FALSE)/86400000),"-")</f>
        <v>0.46530782407407406</v>
      </c>
      <c r="O69" s="57">
        <f>IFERROR(IF(VLOOKUP($A69,SortedDownload!$A$3:$BB$219,36,FALSE)=0,"-",VLOOKUP($A69,SortedDownload!$A$3:$BB$219,36,FALSE)/86400000),"-")</f>
        <v>0.46689701388888888</v>
      </c>
      <c r="P69" s="57">
        <f>IFERROR(IF(VLOOKUP($A69,SortedDownload!$A$3:$BB$219,37,FALSE)=0,"-",VLOOKUP($A69,SortedDownload!$A$3:$BB$219,37,FALSE)/86400000),"-")</f>
        <v>0.52211597222222217</v>
      </c>
      <c r="Q69" s="57">
        <f>IFERROR(IF(VLOOKUP($A69,SortedDownload!$A$3:$BB$219,38,FALSE)=0,"-",VLOOKUP($A69,SortedDownload!$A$3:$BB$219,38,FALSE)/86400000),"-")</f>
        <v>0.52522626157407404</v>
      </c>
      <c r="R69" s="57">
        <f>IFERROR(IF(VLOOKUP($A69,SortedDownload!$A$3:$BB$219,39,FALSE)=0,"-",VLOOKUP($A69,SortedDownload!$A$3:$BB$219,39,FALSE)/86400000),"-")</f>
        <v>0.55725620370370366</v>
      </c>
      <c r="S69" s="57">
        <f>IFERROR(IF(VLOOKUP($A69,SortedDownload!$A$3:$BB$219,40,FALSE)=0,"-",VLOOKUP($A69,SortedDownload!$A$3:$BB$219,40,FALSE)/86400000),"-")</f>
        <v>0.56111915509259258</v>
      </c>
      <c r="T69" s="57" t="str">
        <f>IFERROR(IF(VLOOKUP($A69,SortedDownload!$A$3:$BB$219,41,FALSE)=0,"-",VLOOKUP($A69,SortedDownload!$A$3:$BB$219,41,FALSE)/86400000),"-")</f>
        <v>-</v>
      </c>
      <c r="U69" s="57" t="str">
        <f>IFERROR(IF(VLOOKUP($A69,SortedDownload!$A$3:$BB$219,42,FALSE)=0,"-",VLOOKUP($A69,SortedDownload!$A$3:$BB$219,42,FALSE)/86400000),"-")</f>
        <v>-</v>
      </c>
      <c r="V69" s="57" t="str">
        <f>IFERROR(IF(VLOOKUP($A69,SortedDownload!$A$3:$BB$219,43,FALSE)=0,"-",VLOOKUP($A69,SortedDownload!$A$3:$BB$219,43,FALSE)/86400000),"-")</f>
        <v>-</v>
      </c>
      <c r="W69" s="57" t="str">
        <f>IFERROR(IF(VLOOKUP($A69,SortedDownload!$A$3:$BB$219,44,FALSE)=0,"-",VLOOKUP($A69,SortedDownload!$A$3:$BB$219,44,FALSE)/86400000),"-")</f>
        <v>-</v>
      </c>
      <c r="X69" s="57" t="str">
        <f>IFERROR(IF(VLOOKUP($A69,SortedDownload!$A$3:$BB$219,45,FALSE)=0,"-",VLOOKUP($A69,SortedDownload!$A$3:$BB$219,45,FALSE)/86400000),"-")</f>
        <v>-</v>
      </c>
      <c r="Y69" s="58">
        <f>IFERROR(VLOOKUP($A69,SortedDownload!$A$3:$BB$219,46,FALSE)/86400000,"")</f>
        <v>0</v>
      </c>
      <c r="Z69" s="58">
        <f>IFERROR(Table932[[#This Row],[End Time]]-Table932[[#This Row],[Start Time]],"")</f>
        <v>-0.41986584490740742</v>
      </c>
      <c r="AA69" s="58"/>
      <c r="AB69" s="170" t="str">
        <f t="shared" si="5"/>
        <v>N/A</v>
      </c>
      <c r="AC69" s="170" t="str">
        <f t="shared" si="4"/>
        <v>N/A</v>
      </c>
    </row>
    <row r="70" spans="1:29">
      <c r="A70" s="53">
        <f>IF(SortedDownload!A66 &lt; 1,"",SortedDownload!A66)</f>
        <v>260</v>
      </c>
      <c r="B70" s="54">
        <f t="shared" ref="B70:B133" si="6">IF(A70="","",ROW()-5)</f>
        <v>65</v>
      </c>
      <c r="C70" s="146" t="str">
        <f>IFERROR(VLOOKUP($A70,CategoryResults!$A$3:$X$252,3,FALSE),"")</f>
        <v/>
      </c>
      <c r="D70" s="149" t="str">
        <f>IFERROR(VLOOKUP($A70,EntryList!$A$3:$N$291,2,FALSE),"")</f>
        <v>Dillan Rix</v>
      </c>
      <c r="E70" s="146" t="str">
        <f>IFERROR(VLOOKUP(C70,SeriesPoints!$A$2:$B$51,2,FALSE),"")</f>
        <v/>
      </c>
      <c r="F70" s="150" t="str">
        <f>IFERROR(VLOOKUP($A70,EntryList!$A$3:$V$291,22,FALSE),"")</f>
        <v>-</v>
      </c>
      <c r="G70" s="148" t="str">
        <f>IFERROR(VLOOKUP($A70,EntryList!$A$3:$N$291,6,FALSE),"")</f>
        <v>M</v>
      </c>
      <c r="H70" s="145" t="str">
        <f>IFERROR(VLOOKUP($A70,EntryList!$A$3:$N$291,7,FALSE),"")</f>
        <v>Elite Men</v>
      </c>
      <c r="I70" s="56">
        <f t="shared" ref="I70:I133" si="7">COUNTIF(K70:X70,"&lt;&gt;"&amp;"-")</f>
        <v>9</v>
      </c>
      <c r="J70" s="57">
        <f>IFERROR(VLOOKUP($A70,SortedDownload!$A$3:$BB$219,31,FALSE)/86400000,"")</f>
        <v>0.41076313657407409</v>
      </c>
      <c r="K70" s="57">
        <f>IFERROR(IF(VLOOKUP($A70,SortedDownload!$A$3:$BB$219,32,FALSE)=0,"-",VLOOKUP($A70,SortedDownload!$A$3:$BB$219,32,FALSE)/86400000),"-")</f>
        <v>0.41338033564814813</v>
      </c>
      <c r="L70" s="57">
        <f>IFERROR(IF(VLOOKUP($A70,SortedDownload!$A$3:$BB$219,33,FALSE)=0,"-",VLOOKUP($A70,SortedDownload!$A$3:$BB$219,33,FALSE)/86400000),"-")</f>
        <v>0.45097189814814814</v>
      </c>
      <c r="M70" s="57">
        <f>IFERROR(IF(VLOOKUP($A70,SortedDownload!$A$3:$BB$219,34,FALSE)=0,"-",VLOOKUP($A70,SortedDownload!$A$3:$BB$219,34,FALSE)/86400000),"-")</f>
        <v>0.45371140046296299</v>
      </c>
      <c r="N70" s="57">
        <f>IFERROR(IF(VLOOKUP($A70,SortedDownload!$A$3:$BB$219,35,FALSE)=0,"-",VLOOKUP($A70,SortedDownload!$A$3:$BB$219,35,FALSE)/86400000),"-")</f>
        <v>0.3676363773148148</v>
      </c>
      <c r="O70" s="57">
        <f>IFERROR(IF(VLOOKUP($A70,SortedDownload!$A$3:$BB$219,36,FALSE)=0,"-",VLOOKUP($A70,SortedDownload!$A$3:$BB$219,36,FALSE)/86400000),"-")</f>
        <v>0.36924616898148149</v>
      </c>
      <c r="P70" s="57">
        <f>IFERROR(IF(VLOOKUP($A70,SortedDownload!$A$3:$BB$219,37,FALSE)=0,"-",VLOOKUP($A70,SortedDownload!$A$3:$BB$219,37,FALSE)/86400000),"-")</f>
        <v>0.52115274305555559</v>
      </c>
      <c r="Q70" s="57">
        <f>IFERROR(IF(VLOOKUP($A70,SortedDownload!$A$3:$BB$219,38,FALSE)=0,"-",VLOOKUP($A70,SortedDownload!$A$3:$BB$219,38,FALSE)/86400000),"-")</f>
        <v>0.52506406250000004</v>
      </c>
      <c r="R70" s="57">
        <f>IFERROR(IF(VLOOKUP($A70,SortedDownload!$A$3:$BB$219,39,FALSE)=0,"-",VLOOKUP($A70,SortedDownload!$A$3:$BB$219,39,FALSE)/86400000),"-")</f>
        <v>0.56169256944444446</v>
      </c>
      <c r="S70" s="57">
        <f>IFERROR(IF(VLOOKUP($A70,SortedDownload!$A$3:$BB$219,40,FALSE)=0,"-",VLOOKUP($A70,SortedDownload!$A$3:$BB$219,40,FALSE)/86400000),"-")</f>
        <v>0.56530089120370375</v>
      </c>
      <c r="T70" s="57" t="str">
        <f>IFERROR(IF(VLOOKUP($A70,SortedDownload!$A$3:$BB$219,41,FALSE)=0,"-",VLOOKUP($A70,SortedDownload!$A$3:$BB$219,41,FALSE)/86400000),"-")</f>
        <v>-</v>
      </c>
      <c r="U70" s="57" t="str">
        <f>IFERROR(IF(VLOOKUP($A70,SortedDownload!$A$3:$BB$219,42,FALSE)=0,"-",VLOOKUP($A70,SortedDownload!$A$3:$BB$219,42,FALSE)/86400000),"-")</f>
        <v>-</v>
      </c>
      <c r="V70" s="57" t="str">
        <f>IFERROR(IF(VLOOKUP($A70,SortedDownload!$A$3:$BB$219,43,FALSE)=0,"-",VLOOKUP($A70,SortedDownload!$A$3:$BB$219,43,FALSE)/86400000),"-")</f>
        <v>-</v>
      </c>
      <c r="W70" s="57" t="str">
        <f>IFERROR(IF(VLOOKUP($A70,SortedDownload!$A$3:$BB$219,44,FALSE)=0,"-",VLOOKUP($A70,SortedDownload!$A$3:$BB$219,44,FALSE)/86400000),"-")</f>
        <v>-</v>
      </c>
      <c r="X70" s="57" t="str">
        <f>IFERROR(IF(VLOOKUP($A70,SortedDownload!$A$3:$BB$219,45,FALSE)=0,"-",VLOOKUP($A70,SortedDownload!$A$3:$BB$219,45,FALSE)/86400000),"-")</f>
        <v>-</v>
      </c>
      <c r="Y70" s="58">
        <f>IFERROR(VLOOKUP($A70,SortedDownload!$A$3:$BB$219,46,FALSE)/86400000,"")</f>
        <v>0</v>
      </c>
      <c r="Z70" s="58">
        <f>IFERROR(Table932[[#This Row],[End Time]]-Table932[[#This Row],[Start Time]],"")</f>
        <v>-0.41076313657407409</v>
      </c>
      <c r="AA70" s="58"/>
      <c r="AB70" s="170" t="str">
        <f t="shared" si="5"/>
        <v>13:06</v>
      </c>
      <c r="AC70" s="170" t="str">
        <f t="shared" ref="AC70:AC101" si="8">IF($I70-$I$6&lt;0,"N/A",IFERROR(TEXT(($Z70-$Z$6),"mm:ss"),"N/A"))</f>
        <v>N/A</v>
      </c>
    </row>
    <row r="71" spans="1:29">
      <c r="A71" s="53">
        <f>IF(SortedDownload!A67 &lt; 1,"",SortedDownload!A67)</f>
        <v>179</v>
      </c>
      <c r="B71" s="54">
        <f t="shared" si="6"/>
        <v>66</v>
      </c>
      <c r="C71" s="146" t="str">
        <f>IFERROR(VLOOKUP($A71,CategoryResults!$A$3:$X$252,3,FALSE),"")</f>
        <v/>
      </c>
      <c r="D71" s="149" t="str">
        <f>IFERROR(VLOOKUP($A71,EntryList!$A$3:$N$291,2,FALSE),"")</f>
        <v>Daniel Jacobs</v>
      </c>
      <c r="E71" s="146" t="str">
        <f>IFERROR(VLOOKUP(C71,SeriesPoints!$A$2:$B$51,2,FALSE),"")</f>
        <v/>
      </c>
      <c r="F71" s="150" t="str">
        <f>IFERROR(VLOOKUP($A71,EntryList!$A$3:$V$291,22,FALSE),"")</f>
        <v>-</v>
      </c>
      <c r="G71" s="148" t="str">
        <f>IFERROR(VLOOKUP($A71,EntryList!$A$3:$N$291,6,FALSE),"")</f>
        <v>M</v>
      </c>
      <c r="H71" s="145" t="str">
        <f>IFERROR(VLOOKUP($A71,EntryList!$A$3:$N$291,7,FALSE),"")</f>
        <v>Master Men</v>
      </c>
      <c r="I71" s="56">
        <f t="shared" si="7"/>
        <v>9</v>
      </c>
      <c r="J71" s="57">
        <f>IFERROR(VLOOKUP($A71,SortedDownload!$A$3:$BB$219,31,FALSE)/86400000,"")</f>
        <v>0.37617853009259261</v>
      </c>
      <c r="K71" s="57">
        <f>IFERROR(IF(VLOOKUP($A71,SortedDownload!$A$3:$BB$219,32,FALSE)=0,"-",VLOOKUP($A71,SortedDownload!$A$3:$BB$219,32,FALSE)/86400000),"-")</f>
        <v>0.37911927083333335</v>
      </c>
      <c r="L71" s="57">
        <f>IFERROR(IF(VLOOKUP($A71,SortedDownload!$A$3:$BB$219,33,FALSE)=0,"-",VLOOKUP($A71,SortedDownload!$A$3:$BB$219,33,FALSE)/86400000),"-")</f>
        <v>0.44438820601851853</v>
      </c>
      <c r="M71" s="57">
        <f>IFERROR(IF(VLOOKUP($A71,SortedDownload!$A$3:$BB$219,34,FALSE)=0,"-",VLOOKUP($A71,SortedDownload!$A$3:$BB$219,34,FALSE)/86400000),"-")</f>
        <v>0.4473007638888889</v>
      </c>
      <c r="N71" s="57">
        <f>IFERROR(IF(VLOOKUP($A71,SortedDownload!$A$3:$BB$219,35,FALSE)=0,"-",VLOOKUP($A71,SortedDownload!$A$3:$BB$219,35,FALSE)/86400000),"-")</f>
        <v>0.40741186342592595</v>
      </c>
      <c r="O71" s="57">
        <f>IFERROR(IF(VLOOKUP($A71,SortedDownload!$A$3:$BB$219,36,FALSE)=0,"-",VLOOKUP($A71,SortedDownload!$A$3:$BB$219,36,FALSE)/86400000),"-")</f>
        <v>0.40898459490740741</v>
      </c>
      <c r="P71" s="57">
        <f>IFERROR(IF(VLOOKUP($A71,SortedDownload!$A$3:$BB$219,37,FALSE)=0,"-",VLOOKUP($A71,SortedDownload!$A$3:$BB$219,37,FALSE)/86400000),"-")</f>
        <v>0.48775818287037037</v>
      </c>
      <c r="Q71" s="57">
        <f>IFERROR(IF(VLOOKUP($A71,SortedDownload!$A$3:$BB$219,38,FALSE)=0,"-",VLOOKUP($A71,SortedDownload!$A$3:$BB$219,38,FALSE)/86400000),"-")</f>
        <v>0.49092834490740739</v>
      </c>
      <c r="R71" s="57">
        <f>IFERROR(IF(VLOOKUP($A71,SortedDownload!$A$3:$BB$219,39,FALSE)=0,"-",VLOOKUP($A71,SortedDownload!$A$3:$BB$219,39,FALSE)/86400000),"-")</f>
        <v>0.51899754629629624</v>
      </c>
      <c r="S71" s="57">
        <f>IFERROR(IF(VLOOKUP($A71,SortedDownload!$A$3:$BB$219,40,FALSE)=0,"-",VLOOKUP($A71,SortedDownload!$A$3:$BB$219,40,FALSE)/86400000),"-")</f>
        <v>0.52291315972222219</v>
      </c>
      <c r="T71" s="57" t="str">
        <f>IFERROR(IF(VLOOKUP($A71,SortedDownload!$A$3:$BB$219,41,FALSE)=0,"-",VLOOKUP($A71,SortedDownload!$A$3:$BB$219,41,FALSE)/86400000),"-")</f>
        <v>-</v>
      </c>
      <c r="U71" s="57" t="str">
        <f>IFERROR(IF(VLOOKUP($A71,SortedDownload!$A$3:$BB$219,42,FALSE)=0,"-",VLOOKUP($A71,SortedDownload!$A$3:$BB$219,42,FALSE)/86400000),"-")</f>
        <v>-</v>
      </c>
      <c r="V71" s="57" t="str">
        <f>IFERROR(IF(VLOOKUP($A71,SortedDownload!$A$3:$BB$219,43,FALSE)=0,"-",VLOOKUP($A71,SortedDownload!$A$3:$BB$219,43,FALSE)/86400000),"-")</f>
        <v>-</v>
      </c>
      <c r="W71" s="57" t="str">
        <f>IFERROR(IF(VLOOKUP($A71,SortedDownload!$A$3:$BB$219,44,FALSE)=0,"-",VLOOKUP($A71,SortedDownload!$A$3:$BB$219,44,FALSE)/86400000),"-")</f>
        <v>-</v>
      </c>
      <c r="X71" s="57" t="str">
        <f>IFERROR(IF(VLOOKUP($A71,SortedDownload!$A$3:$BB$219,45,FALSE)=0,"-",VLOOKUP($A71,SortedDownload!$A$3:$BB$219,45,FALSE)/86400000),"-")</f>
        <v>-</v>
      </c>
      <c r="Y71" s="58">
        <f>IFERROR(VLOOKUP($A71,SortedDownload!$A$3:$BB$219,46,FALSE)/86400000,"")</f>
        <v>0</v>
      </c>
      <c r="Z71" s="58">
        <f>IFERROR(Table932[[#This Row],[End Time]]-Table932[[#This Row],[Start Time]],"")</f>
        <v>-0.37617853009259261</v>
      </c>
      <c r="AA71" s="58"/>
      <c r="AB71" s="170" t="str">
        <f t="shared" si="5"/>
        <v>49:48</v>
      </c>
      <c r="AC71" s="170" t="str">
        <f t="shared" si="8"/>
        <v>44:59</v>
      </c>
    </row>
    <row r="72" spans="1:29">
      <c r="A72" s="53">
        <f>IF(SortedDownload!A68 &lt; 1,"",SortedDownload!A68)</f>
        <v>25</v>
      </c>
      <c r="B72" s="54">
        <f t="shared" si="6"/>
        <v>67</v>
      </c>
      <c r="C72" s="146" t="str">
        <f>IFERROR(VLOOKUP($A72,CategoryResults!$A$3:$X$252,3,FALSE),"")</f>
        <v/>
      </c>
      <c r="D72" s="149" t="str">
        <f>IFERROR(VLOOKUP($A72,EntryList!$A$3:$N$291,2,FALSE),"")</f>
        <v>Stirling Kotze</v>
      </c>
      <c r="E72" s="146" t="str">
        <f>IFERROR(VLOOKUP(C72,SeriesPoints!$A$2:$B$51,2,FALSE),"")</f>
        <v/>
      </c>
      <c r="F72" s="150" t="str">
        <f>IFERROR(VLOOKUP($A72,EntryList!$A$3:$V$291,22,FALSE),"")</f>
        <v>-</v>
      </c>
      <c r="G72" s="148" t="str">
        <f>IFERROR(VLOOKUP($A72,EntryList!$A$3:$N$291,6,FALSE),"")</f>
        <v>M</v>
      </c>
      <c r="H72" s="145" t="str">
        <f>IFERROR(VLOOKUP($A72,EntryList!$A$3:$N$291,7,FALSE),"")</f>
        <v>E-Bike M</v>
      </c>
      <c r="I72" s="56">
        <f t="shared" si="7"/>
        <v>9</v>
      </c>
      <c r="J72" s="57">
        <f>IFERROR(VLOOKUP($A72,SortedDownload!$A$3:$BB$219,31,FALSE)/86400000,"")</f>
        <v>0.39884376157407408</v>
      </c>
      <c r="K72" s="57">
        <f>IFERROR(IF(VLOOKUP($A72,SortedDownload!$A$3:$BB$219,32,FALSE)=0,"-",VLOOKUP($A72,SortedDownload!$A$3:$BB$219,32,FALSE)/86400000),"-")</f>
        <v>0.40167418981481484</v>
      </c>
      <c r="L72" s="57">
        <f>IFERROR(IF(VLOOKUP($A72,SortedDownload!$A$3:$BB$219,33,FALSE)=0,"-",VLOOKUP($A72,SortedDownload!$A$3:$BB$219,33,FALSE)/86400000),"-")</f>
        <v>0.437410625</v>
      </c>
      <c r="M72" s="57">
        <f>IFERROR(IF(VLOOKUP($A72,SortedDownload!$A$3:$BB$219,34,FALSE)=0,"-",VLOOKUP($A72,SortedDownload!$A$3:$BB$219,34,FALSE)/86400000),"-")</f>
        <v>0.44028350694444446</v>
      </c>
      <c r="N72" s="57">
        <f>IFERROR(IF(VLOOKUP($A72,SortedDownload!$A$3:$BB$219,35,FALSE)=0,"-",VLOOKUP($A72,SortedDownload!$A$3:$BB$219,35,FALSE)/86400000),"-")</f>
        <v>0.36595792824074075</v>
      </c>
      <c r="O72" s="57">
        <f>IFERROR(IF(VLOOKUP($A72,SortedDownload!$A$3:$BB$219,36,FALSE)=0,"-",VLOOKUP($A72,SortedDownload!$A$3:$BB$219,36,FALSE)/86400000),"-")</f>
        <v>0.36766744212962965</v>
      </c>
      <c r="P72" s="57">
        <f>IFERROR(IF(VLOOKUP($A72,SortedDownload!$A$3:$BB$219,37,FALSE)=0,"-",VLOOKUP($A72,SortedDownload!$A$3:$BB$219,37,FALSE)/86400000),"-")</f>
        <v>0.50054917824074074</v>
      </c>
      <c r="Q72" s="57">
        <f>IFERROR(IF(VLOOKUP($A72,SortedDownload!$A$3:$BB$219,38,FALSE)=0,"-",VLOOKUP($A72,SortedDownload!$A$3:$BB$219,38,FALSE)/86400000),"-")</f>
        <v>0.50368714120370373</v>
      </c>
      <c r="R72" s="57">
        <f>IFERROR(IF(VLOOKUP($A72,SortedDownload!$A$3:$BB$219,39,FALSE)=0,"-",VLOOKUP($A72,SortedDownload!$A$3:$BB$219,39,FALSE)/86400000),"-")</f>
        <v>0.5278116435185185</v>
      </c>
      <c r="S72" s="57">
        <f>IFERROR(IF(VLOOKUP($A72,SortedDownload!$A$3:$BB$219,40,FALSE)=0,"-",VLOOKUP($A72,SortedDownload!$A$3:$BB$219,40,FALSE)/86400000),"-")</f>
        <v>0.53177418981481483</v>
      </c>
      <c r="T72" s="57" t="str">
        <f>IFERROR(IF(VLOOKUP($A72,SortedDownload!$A$3:$BB$219,41,FALSE)=0,"-",VLOOKUP($A72,SortedDownload!$A$3:$BB$219,41,FALSE)/86400000),"-")</f>
        <v>-</v>
      </c>
      <c r="U72" s="57" t="str">
        <f>IFERROR(IF(VLOOKUP($A72,SortedDownload!$A$3:$BB$219,42,FALSE)=0,"-",VLOOKUP($A72,SortedDownload!$A$3:$BB$219,42,FALSE)/86400000),"-")</f>
        <v>-</v>
      </c>
      <c r="V72" s="57" t="str">
        <f>IFERROR(IF(VLOOKUP($A72,SortedDownload!$A$3:$BB$219,43,FALSE)=0,"-",VLOOKUP($A72,SortedDownload!$A$3:$BB$219,43,FALSE)/86400000),"-")</f>
        <v>-</v>
      </c>
      <c r="W72" s="57" t="str">
        <f>IFERROR(IF(VLOOKUP($A72,SortedDownload!$A$3:$BB$219,44,FALSE)=0,"-",VLOOKUP($A72,SortedDownload!$A$3:$BB$219,44,FALSE)/86400000),"-")</f>
        <v>-</v>
      </c>
      <c r="X72" s="57" t="str">
        <f>IFERROR(IF(VLOOKUP($A72,SortedDownload!$A$3:$BB$219,45,FALSE)=0,"-",VLOOKUP($A72,SortedDownload!$A$3:$BB$219,45,FALSE)/86400000),"-")</f>
        <v>-</v>
      </c>
      <c r="Y72" s="58">
        <f>IFERROR(VLOOKUP($A72,SortedDownload!$A$3:$BB$219,46,FALSE)/86400000,"")</f>
        <v>0</v>
      </c>
      <c r="Z72" s="58">
        <f>IFERROR(Table932[[#This Row],[End Time]]-Table932[[#This Row],[Start Time]],"")</f>
        <v>-0.39884376157407408</v>
      </c>
      <c r="AA72" s="58"/>
      <c r="AB72" s="170" t="str">
        <f t="shared" si="5"/>
        <v>N/A</v>
      </c>
      <c r="AC72" s="170" t="str">
        <f t="shared" si="8"/>
        <v>12:20</v>
      </c>
    </row>
    <row r="73" spans="1:29">
      <c r="A73" s="53">
        <f>IF(SortedDownload!A69 &lt; 1,"",SortedDownload!A69)</f>
        <v>201</v>
      </c>
      <c r="B73" s="54">
        <f t="shared" si="6"/>
        <v>68</v>
      </c>
      <c r="C73" s="146" t="str">
        <f>IFERROR(VLOOKUP($A73,CategoryResults!$A$3:$X$252,3,FALSE),"")</f>
        <v/>
      </c>
      <c r="D73" s="149" t="str">
        <f>IFERROR(VLOOKUP($A73,EntryList!$A$3:$N$291,2,FALSE),"")</f>
        <v>Jordan De Goede</v>
      </c>
      <c r="E73" s="146" t="str">
        <f>IFERROR(VLOOKUP(C73,SeriesPoints!$A$2:$B$51,2,FALSE),"")</f>
        <v/>
      </c>
      <c r="F73" s="150" t="str">
        <f>IFERROR(VLOOKUP($A73,EntryList!$A$3:$V$291,22,FALSE),"")</f>
        <v>-</v>
      </c>
      <c r="G73" s="148" t="str">
        <f>IFERROR(VLOOKUP($A73,EntryList!$A$3:$N$291,6,FALSE),"")</f>
        <v>M</v>
      </c>
      <c r="H73" s="145" t="str">
        <f>IFERROR(VLOOKUP($A73,EntryList!$A$3:$N$291,7,FALSE),"")</f>
        <v>Elite Men</v>
      </c>
      <c r="I73" s="56">
        <f t="shared" si="7"/>
        <v>9</v>
      </c>
      <c r="J73" s="57">
        <f>IFERROR(VLOOKUP($A73,SortedDownload!$A$3:$BB$219,31,FALSE)/86400000,"")</f>
        <v>0.36116739583333335</v>
      </c>
      <c r="K73" s="57">
        <f>IFERROR(IF(VLOOKUP($A73,SortedDownload!$A$3:$BB$219,32,FALSE)=0,"-",VLOOKUP($A73,SortedDownload!$A$3:$BB$219,32,FALSE)/86400000),"-")</f>
        <v>0.36359339120370371</v>
      </c>
      <c r="L73" s="57">
        <f>IFERROR(IF(VLOOKUP($A73,SortedDownload!$A$3:$BB$219,33,FALSE)=0,"-",VLOOKUP($A73,SortedDownload!$A$3:$BB$219,33,FALSE)/86400000),"-")</f>
        <v>0.42665997685185186</v>
      </c>
      <c r="M73" s="57">
        <f>IFERROR(IF(VLOOKUP($A73,SortedDownload!$A$3:$BB$219,34,FALSE)=0,"-",VLOOKUP($A73,SortedDownload!$A$3:$BB$219,34,FALSE)/86400000),"-")</f>
        <v>0.42928820601851853</v>
      </c>
      <c r="N73" s="57">
        <f>IFERROR(IF(VLOOKUP($A73,SortedDownload!$A$3:$BB$219,35,FALSE)=0,"-",VLOOKUP($A73,SortedDownload!$A$3:$BB$219,35,FALSE)/86400000),"-")</f>
        <v>0.45629035879629631</v>
      </c>
      <c r="O73" s="57">
        <f>IFERROR(IF(VLOOKUP($A73,SortedDownload!$A$3:$BB$219,36,FALSE)=0,"-",VLOOKUP($A73,SortedDownload!$A$3:$BB$219,36,FALSE)/86400000),"-")</f>
        <v>0.45951486111111112</v>
      </c>
      <c r="P73" s="57">
        <f>IFERROR(IF(VLOOKUP($A73,SortedDownload!$A$3:$BB$219,37,FALSE)=0,"-",VLOOKUP($A73,SortedDownload!$A$3:$BB$219,37,FALSE)/86400000),"-")</f>
        <v>0.51178519675925926</v>
      </c>
      <c r="Q73" s="57">
        <f>IFERROR(IF(VLOOKUP($A73,SortedDownload!$A$3:$BB$219,38,FALSE)=0,"-",VLOOKUP($A73,SortedDownload!$A$3:$BB$219,38,FALSE)/86400000),"-")</f>
        <v>0.51456097222222219</v>
      </c>
      <c r="R73" s="57">
        <f>IFERROR(IF(VLOOKUP($A73,SortedDownload!$A$3:$BB$219,39,FALSE)=0,"-",VLOOKUP($A73,SortedDownload!$A$3:$BB$219,39,FALSE)/86400000),"-")</f>
        <v>0.54587944444444447</v>
      </c>
      <c r="S73" s="57">
        <f>IFERROR(IF(VLOOKUP($A73,SortedDownload!$A$3:$BB$219,40,FALSE)=0,"-",VLOOKUP($A73,SortedDownload!$A$3:$BB$219,40,FALSE)/86400000),"-")</f>
        <v>0.54936925925925928</v>
      </c>
      <c r="T73" s="57" t="str">
        <f>IFERROR(IF(VLOOKUP($A73,SortedDownload!$A$3:$BB$219,41,FALSE)=0,"-",VLOOKUP($A73,SortedDownload!$A$3:$BB$219,41,FALSE)/86400000),"-")</f>
        <v>-</v>
      </c>
      <c r="U73" s="57" t="str">
        <f>IFERROR(IF(VLOOKUP($A73,SortedDownload!$A$3:$BB$219,42,FALSE)=0,"-",VLOOKUP($A73,SortedDownload!$A$3:$BB$219,42,FALSE)/86400000),"-")</f>
        <v>-</v>
      </c>
      <c r="V73" s="57" t="str">
        <f>IFERROR(IF(VLOOKUP($A73,SortedDownload!$A$3:$BB$219,43,FALSE)=0,"-",VLOOKUP($A73,SortedDownload!$A$3:$BB$219,43,FALSE)/86400000),"-")</f>
        <v>-</v>
      </c>
      <c r="W73" s="57" t="str">
        <f>IFERROR(IF(VLOOKUP($A73,SortedDownload!$A$3:$BB$219,44,FALSE)=0,"-",VLOOKUP($A73,SortedDownload!$A$3:$BB$219,44,FALSE)/86400000),"-")</f>
        <v>-</v>
      </c>
      <c r="X73" s="57" t="str">
        <f>IFERROR(IF(VLOOKUP($A73,SortedDownload!$A$3:$BB$219,45,FALSE)=0,"-",VLOOKUP($A73,SortedDownload!$A$3:$BB$219,45,FALSE)/86400000),"-")</f>
        <v>-</v>
      </c>
      <c r="Y73" s="58">
        <f>IFERROR(VLOOKUP($A73,SortedDownload!$A$3:$BB$219,46,FALSE)/86400000,"")</f>
        <v>0</v>
      </c>
      <c r="Z73" s="58">
        <f>IFERROR(Table932[[#This Row],[End Time]]-Table932[[#This Row],[Start Time]],"")</f>
        <v>-0.36116739583333335</v>
      </c>
      <c r="AA73" s="58"/>
      <c r="AB73" s="170" t="str">
        <f t="shared" si="5"/>
        <v>54:15</v>
      </c>
      <c r="AC73" s="170" t="str">
        <f t="shared" si="8"/>
        <v>06:36</v>
      </c>
    </row>
    <row r="74" spans="1:29">
      <c r="A74" s="53">
        <f>IF(SortedDownload!A70 &lt; 1,"",SortedDownload!A70)</f>
        <v>13</v>
      </c>
      <c r="B74" s="54">
        <f t="shared" si="6"/>
        <v>69</v>
      </c>
      <c r="C74" s="146" t="str">
        <f>IFERROR(VLOOKUP($A74,CategoryResults!$A$3:$X$252,3,FALSE),"")</f>
        <v/>
      </c>
      <c r="D74" s="149" t="str">
        <f>IFERROR(VLOOKUP($A74,EntryList!$A$3:$N$291,2,FALSE),"")</f>
        <v>David B Hartley</v>
      </c>
      <c r="E74" s="146" t="str">
        <f>IFERROR(VLOOKUP(C74,SeriesPoints!$A$2:$B$51,2,FALSE),"")</f>
        <v/>
      </c>
      <c r="F74" s="150" t="str">
        <f>IFERROR(VLOOKUP($A74,EntryList!$A$3:$V$291,22,FALSE),"")</f>
        <v>-</v>
      </c>
      <c r="G74" s="148" t="str">
        <f>IFERROR(VLOOKUP($A74,EntryList!$A$3:$N$291,6,FALSE),"")</f>
        <v>M</v>
      </c>
      <c r="H74" s="145" t="str">
        <f>IFERROR(VLOOKUP($A74,EntryList!$A$3:$N$291,7,FALSE),"")</f>
        <v>Master Men</v>
      </c>
      <c r="I74" s="56">
        <f t="shared" si="7"/>
        <v>9</v>
      </c>
      <c r="J74" s="57">
        <f>IFERROR(VLOOKUP($A74,SortedDownload!$A$3:$BB$219,31,FALSE)/86400000,"")</f>
        <v>0.39086604166666666</v>
      </c>
      <c r="K74" s="57">
        <f>IFERROR(IF(VLOOKUP($A74,SortedDownload!$A$3:$BB$219,32,FALSE)=0,"-",VLOOKUP($A74,SortedDownload!$A$3:$BB$219,32,FALSE)/86400000),"-")</f>
        <v>0.39368975694444447</v>
      </c>
      <c r="L74" s="57">
        <f>IFERROR(IF(VLOOKUP($A74,SortedDownload!$A$3:$BB$219,33,FALSE)=0,"-",VLOOKUP($A74,SortedDownload!$A$3:$BB$219,33,FALSE)/86400000),"-")</f>
        <v>0.35913724537037039</v>
      </c>
      <c r="M74" s="57">
        <f>IFERROR(IF(VLOOKUP($A74,SortedDownload!$A$3:$BB$219,34,FALSE)=0,"-",VLOOKUP($A74,SortedDownload!$A$3:$BB$219,34,FALSE)/86400000),"-")</f>
        <v>0.36198834490740739</v>
      </c>
      <c r="N74" s="57">
        <f>IFERROR(IF(VLOOKUP($A74,SortedDownload!$A$3:$BB$219,35,FALSE)=0,"-",VLOOKUP($A74,SortedDownload!$A$3:$BB$219,35,FALSE)/86400000),"-")</f>
        <v>0.41926074074074077</v>
      </c>
      <c r="O74" s="57">
        <f>IFERROR(IF(VLOOKUP($A74,SortedDownload!$A$3:$BB$219,36,FALSE)=0,"-",VLOOKUP($A74,SortedDownload!$A$3:$BB$219,36,FALSE)/86400000),"-")</f>
        <v>0.42098990740740738</v>
      </c>
      <c r="P74" s="57">
        <f>IFERROR(IF(VLOOKUP($A74,SortedDownload!$A$3:$BB$219,37,FALSE)=0,"-",VLOOKUP($A74,SortedDownload!$A$3:$BB$219,37,FALSE)/86400000),"-")</f>
        <v>0.46149368055555556</v>
      </c>
      <c r="Q74" s="57">
        <f>IFERROR(IF(VLOOKUP($A74,SortedDownload!$A$3:$BB$219,38,FALSE)=0,"-",VLOOKUP($A74,SortedDownload!$A$3:$BB$219,38,FALSE)/86400000),"-")</f>
        <v>0.46473832175925928</v>
      </c>
      <c r="R74" s="57">
        <f>IFERROR(IF(VLOOKUP($A74,SortedDownload!$A$3:$BB$219,39,FALSE)=0,"-",VLOOKUP($A74,SortedDownload!$A$3:$BB$219,39,FALSE)/86400000),"-")</f>
        <v>0.49341393518518517</v>
      </c>
      <c r="S74" s="57">
        <f>IFERROR(IF(VLOOKUP($A74,SortedDownload!$A$3:$BB$219,40,FALSE)=0,"-",VLOOKUP($A74,SortedDownload!$A$3:$BB$219,40,FALSE)/86400000),"-")</f>
        <v>0.4973282175925926</v>
      </c>
      <c r="T74" s="57" t="str">
        <f>IFERROR(IF(VLOOKUP($A74,SortedDownload!$A$3:$BB$219,41,FALSE)=0,"-",VLOOKUP($A74,SortedDownload!$A$3:$BB$219,41,FALSE)/86400000),"-")</f>
        <v>-</v>
      </c>
      <c r="U74" s="57" t="str">
        <f>IFERROR(IF(VLOOKUP($A74,SortedDownload!$A$3:$BB$219,42,FALSE)=0,"-",VLOOKUP($A74,SortedDownload!$A$3:$BB$219,42,FALSE)/86400000),"-")</f>
        <v>-</v>
      </c>
      <c r="V74" s="57" t="str">
        <f>IFERROR(IF(VLOOKUP($A74,SortedDownload!$A$3:$BB$219,43,FALSE)=0,"-",VLOOKUP($A74,SortedDownload!$A$3:$BB$219,43,FALSE)/86400000),"-")</f>
        <v>-</v>
      </c>
      <c r="W74" s="57" t="str">
        <f>IFERROR(IF(VLOOKUP($A74,SortedDownload!$A$3:$BB$219,44,FALSE)=0,"-",VLOOKUP($A74,SortedDownload!$A$3:$BB$219,44,FALSE)/86400000),"-")</f>
        <v>-</v>
      </c>
      <c r="X74" s="57" t="str">
        <f>IFERROR(IF(VLOOKUP($A74,SortedDownload!$A$3:$BB$219,45,FALSE)=0,"-",VLOOKUP($A74,SortedDownload!$A$3:$BB$219,45,FALSE)/86400000),"-")</f>
        <v>-</v>
      </c>
      <c r="Y74" s="58">
        <f>IFERROR(VLOOKUP($A74,SortedDownload!$A$3:$BB$219,46,FALSE)/86400000,"")</f>
        <v>0</v>
      </c>
      <c r="Z74" s="58">
        <f>IFERROR(Table932[[#This Row],[End Time]]-Table932[[#This Row],[Start Time]],"")</f>
        <v>-0.39086604166666666</v>
      </c>
      <c r="AA74" s="58"/>
      <c r="AB74" s="170" t="str">
        <f t="shared" si="5"/>
        <v>N/A</v>
      </c>
      <c r="AC74" s="170" t="str">
        <f t="shared" si="8"/>
        <v>23:50</v>
      </c>
    </row>
    <row r="75" spans="1:29">
      <c r="A75" s="53">
        <f>IF(SortedDownload!A71 &lt; 1,"",SortedDownload!A71)</f>
        <v>210</v>
      </c>
      <c r="B75" s="54">
        <f t="shared" si="6"/>
        <v>70</v>
      </c>
      <c r="C75" s="146" t="str">
        <f>IFERROR(VLOOKUP($A75,CategoryResults!$A$3:$X$252,3,FALSE),"")</f>
        <v/>
      </c>
      <c r="D75" s="149" t="str">
        <f>IFERROR(VLOOKUP($A75,EntryList!$A$3:$N$291,2,FALSE),"")</f>
        <v>Thomas Dunkley</v>
      </c>
      <c r="E75" s="146" t="str">
        <f>IFERROR(VLOOKUP(C75,SeriesPoints!$A$2:$B$51,2,FALSE),"")</f>
        <v/>
      </c>
      <c r="F75" s="150" t="str">
        <f>IFERROR(VLOOKUP($A75,EntryList!$A$3:$V$291,22,FALSE),"")</f>
        <v>-</v>
      </c>
      <c r="G75" s="148" t="str">
        <f>IFERROR(VLOOKUP($A75,EntryList!$A$3:$N$291,6,FALSE),"")</f>
        <v>M</v>
      </c>
      <c r="H75" s="145" t="str">
        <f>IFERROR(VLOOKUP($A75,EntryList!$A$3:$N$291,7,FALSE),"")</f>
        <v>Youth Men</v>
      </c>
      <c r="I75" s="56">
        <f t="shared" si="7"/>
        <v>9</v>
      </c>
      <c r="J75" s="57">
        <f>IFERROR(VLOOKUP($A75,SortedDownload!$A$3:$BB$219,31,FALSE)/86400000,"")</f>
        <v>0.39345077546296298</v>
      </c>
      <c r="K75" s="57">
        <f>IFERROR(IF(VLOOKUP($A75,SortedDownload!$A$3:$BB$219,32,FALSE)=0,"-",VLOOKUP($A75,SortedDownload!$A$3:$BB$219,32,FALSE)/86400000),"-")</f>
        <v>0.39666021990740741</v>
      </c>
      <c r="L75" s="57">
        <f>IFERROR(IF(VLOOKUP($A75,SortedDownload!$A$3:$BB$219,33,FALSE)=0,"-",VLOOKUP($A75,SortedDownload!$A$3:$BB$219,33,FALSE)/86400000),"-")</f>
        <v>0.36194094907407409</v>
      </c>
      <c r="M75" s="57">
        <f>IFERROR(IF(VLOOKUP($A75,SortedDownload!$A$3:$BB$219,34,FALSE)=0,"-",VLOOKUP($A75,SortedDownload!$A$3:$BB$219,34,FALSE)/86400000),"-")</f>
        <v>0.36475381944444446</v>
      </c>
      <c r="N75" s="57">
        <f>IFERROR(IF(VLOOKUP($A75,SortedDownload!$A$3:$BB$219,35,FALSE)=0,"-",VLOOKUP($A75,SortedDownload!$A$3:$BB$219,35,FALSE)/86400000),"-")</f>
        <v>0.42540163194444447</v>
      </c>
      <c r="O75" s="57">
        <f>IFERROR(IF(VLOOKUP($A75,SortedDownload!$A$3:$BB$219,36,FALSE)=0,"-",VLOOKUP($A75,SortedDownload!$A$3:$BB$219,36,FALSE)/86400000),"-")</f>
        <v>0.42707690972222223</v>
      </c>
      <c r="P75" s="57">
        <f>IFERROR(IF(VLOOKUP($A75,SortedDownload!$A$3:$BB$219,37,FALSE)=0,"-",VLOOKUP($A75,SortedDownload!$A$3:$BB$219,37,FALSE)/86400000),"-")</f>
        <v>0.46910693287037036</v>
      </c>
      <c r="Q75" s="57">
        <f>IFERROR(IF(VLOOKUP($A75,SortedDownload!$A$3:$BB$219,38,FALSE)=0,"-",VLOOKUP($A75,SortedDownload!$A$3:$BB$219,38,FALSE)/86400000),"-")</f>
        <v>0.47229552083333332</v>
      </c>
      <c r="R75" s="57">
        <f>IFERROR(IF(VLOOKUP($A75,SortedDownload!$A$3:$BB$219,39,FALSE)=0,"-",VLOOKUP($A75,SortedDownload!$A$3:$BB$219,39,FALSE)/86400000),"-")</f>
        <v>0.4987416203703704</v>
      </c>
      <c r="S75" s="57">
        <f>IFERROR(IF(VLOOKUP($A75,SortedDownload!$A$3:$BB$219,40,FALSE)=0,"-",VLOOKUP($A75,SortedDownload!$A$3:$BB$219,40,FALSE)/86400000),"-")</f>
        <v>0.50251061342592596</v>
      </c>
      <c r="T75" s="57" t="str">
        <f>IFERROR(IF(VLOOKUP($A75,SortedDownload!$A$3:$BB$219,41,FALSE)=0,"-",VLOOKUP($A75,SortedDownload!$A$3:$BB$219,41,FALSE)/86400000),"-")</f>
        <v>-</v>
      </c>
      <c r="U75" s="57" t="str">
        <f>IFERROR(IF(VLOOKUP($A75,SortedDownload!$A$3:$BB$219,42,FALSE)=0,"-",VLOOKUP($A75,SortedDownload!$A$3:$BB$219,42,FALSE)/86400000),"-")</f>
        <v>-</v>
      </c>
      <c r="V75" s="57" t="str">
        <f>IFERROR(IF(VLOOKUP($A75,SortedDownload!$A$3:$BB$219,43,FALSE)=0,"-",VLOOKUP($A75,SortedDownload!$A$3:$BB$219,43,FALSE)/86400000),"-")</f>
        <v>-</v>
      </c>
      <c r="W75" s="57" t="str">
        <f>IFERROR(IF(VLOOKUP($A75,SortedDownload!$A$3:$BB$219,44,FALSE)=0,"-",VLOOKUP($A75,SortedDownload!$A$3:$BB$219,44,FALSE)/86400000),"-")</f>
        <v>-</v>
      </c>
      <c r="X75" s="57" t="str">
        <f>IFERROR(IF(VLOOKUP($A75,SortedDownload!$A$3:$BB$219,45,FALSE)=0,"-",VLOOKUP($A75,SortedDownload!$A$3:$BB$219,45,FALSE)/86400000),"-")</f>
        <v>-</v>
      </c>
      <c r="Y75" s="58">
        <f>IFERROR(VLOOKUP($A75,SortedDownload!$A$3:$BB$219,46,FALSE)/86400000,"")</f>
        <v>0</v>
      </c>
      <c r="Z75" s="58">
        <f>IFERROR(Table932[[#This Row],[End Time]]-Table932[[#This Row],[Start Time]],"")</f>
        <v>-0.39345077546296298</v>
      </c>
      <c r="AA75" s="58"/>
      <c r="AB75" s="170" t="str">
        <f t="shared" si="5"/>
        <v>N/A</v>
      </c>
      <c r="AC75" s="170" t="str">
        <f t="shared" si="8"/>
        <v>20:06</v>
      </c>
    </row>
    <row r="76" spans="1:29">
      <c r="A76" s="53">
        <f>IF(SortedDownload!A72 &lt; 1,"",SortedDownload!A72)</f>
        <v>233</v>
      </c>
      <c r="B76" s="54">
        <f t="shared" si="6"/>
        <v>71</v>
      </c>
      <c r="C76" s="146" t="str">
        <f>IFERROR(VLOOKUP($A76,CategoryResults!$A$3:$X$252,3,FALSE),"")</f>
        <v/>
      </c>
      <c r="D76" s="149" t="str">
        <f>IFERROR(VLOOKUP($A76,EntryList!$A$3:$N$291,2,FALSE),"")</f>
        <v>Jordon Evard</v>
      </c>
      <c r="E76" s="146" t="str">
        <f>IFERROR(VLOOKUP(C76,SeriesPoints!$A$2:$B$51,2,FALSE),"")</f>
        <v/>
      </c>
      <c r="F76" s="150" t="str">
        <f>IFERROR(VLOOKUP($A76,EntryList!$A$3:$V$291,22,FALSE),"")</f>
        <v>-</v>
      </c>
      <c r="G76" s="148" t="str">
        <f>IFERROR(VLOOKUP($A76,EntryList!$A$3:$N$291,6,FALSE),"")</f>
        <v>M</v>
      </c>
      <c r="H76" s="145" t="str">
        <f>IFERROR(VLOOKUP($A76,EntryList!$A$3:$N$291,7,FALSE),"")</f>
        <v>Junior Men</v>
      </c>
      <c r="I76" s="56">
        <f t="shared" si="7"/>
        <v>9</v>
      </c>
      <c r="J76" s="57">
        <f>IFERROR(VLOOKUP($A76,SortedDownload!$A$3:$BB$219,31,FALSE)/86400000,"")</f>
        <v>0.44084222222222225</v>
      </c>
      <c r="K76" s="57">
        <f>IFERROR(IF(VLOOKUP($A76,SortedDownload!$A$3:$BB$219,32,FALSE)=0,"-",VLOOKUP($A76,SortedDownload!$A$3:$BB$219,32,FALSE)/86400000),"-")</f>
        <v>0.44378847222222223</v>
      </c>
      <c r="L76" s="57">
        <f>IFERROR(IF(VLOOKUP($A76,SortedDownload!$A$3:$BB$219,33,FALSE)=0,"-",VLOOKUP($A76,SortedDownload!$A$3:$BB$219,33,FALSE)/86400000),"-")</f>
        <v>0.39848651620370368</v>
      </c>
      <c r="M76" s="57">
        <f>IFERROR(IF(VLOOKUP($A76,SortedDownload!$A$3:$BB$219,34,FALSE)=0,"-",VLOOKUP($A76,SortedDownload!$A$3:$BB$219,34,FALSE)/86400000),"-")</f>
        <v>0.40133521990740739</v>
      </c>
      <c r="N76" s="57">
        <f>IFERROR(IF(VLOOKUP($A76,SortedDownload!$A$3:$BB$219,35,FALSE)=0,"-",VLOOKUP($A76,SortedDownload!$A$3:$BB$219,35,FALSE)/86400000),"-")</f>
        <v>0.48171965277777778</v>
      </c>
      <c r="O76" s="57">
        <f>IFERROR(IF(VLOOKUP($A76,SortedDownload!$A$3:$BB$219,36,FALSE)=0,"-",VLOOKUP($A76,SortedDownload!$A$3:$BB$219,36,FALSE)/86400000),"-")</f>
        <v>0.48341081018518517</v>
      </c>
      <c r="P76" s="57">
        <f>IFERROR(IF(VLOOKUP($A76,SortedDownload!$A$3:$BB$219,37,FALSE)=0,"-",VLOOKUP($A76,SortedDownload!$A$3:$BB$219,37,FALSE)/86400000),"-")</f>
        <v>0.53787952546296292</v>
      </c>
      <c r="Q76" s="57">
        <f>IFERROR(IF(VLOOKUP($A76,SortedDownload!$A$3:$BB$219,38,FALSE)=0,"-",VLOOKUP($A76,SortedDownload!$A$3:$BB$219,38,FALSE)/86400000),"-")</f>
        <v>0.54105907407407405</v>
      </c>
      <c r="R76" s="57">
        <f>IFERROR(IF(VLOOKUP($A76,SortedDownload!$A$3:$BB$219,39,FALSE)=0,"-",VLOOKUP($A76,SortedDownload!$A$3:$BB$219,39,FALSE)/86400000),"-")</f>
        <v>0.56846437500000002</v>
      </c>
      <c r="S76" s="57">
        <f>IFERROR(IF(VLOOKUP($A76,SortedDownload!$A$3:$BB$219,40,FALSE)=0,"-",VLOOKUP($A76,SortedDownload!$A$3:$BB$219,40,FALSE)/86400000),"-")</f>
        <v>0.57253592592592595</v>
      </c>
      <c r="T76" s="57" t="str">
        <f>IFERROR(IF(VLOOKUP($A76,SortedDownload!$A$3:$BB$219,41,FALSE)=0,"-",VLOOKUP($A76,SortedDownload!$A$3:$BB$219,41,FALSE)/86400000),"-")</f>
        <v>-</v>
      </c>
      <c r="U76" s="57" t="str">
        <f>IFERROR(IF(VLOOKUP($A76,SortedDownload!$A$3:$BB$219,42,FALSE)=0,"-",VLOOKUP($A76,SortedDownload!$A$3:$BB$219,42,FALSE)/86400000),"-")</f>
        <v>-</v>
      </c>
      <c r="V76" s="57" t="str">
        <f>IFERROR(IF(VLOOKUP($A76,SortedDownload!$A$3:$BB$219,43,FALSE)=0,"-",VLOOKUP($A76,SortedDownload!$A$3:$BB$219,43,FALSE)/86400000),"-")</f>
        <v>-</v>
      </c>
      <c r="W76" s="57" t="str">
        <f>IFERROR(IF(VLOOKUP($A76,SortedDownload!$A$3:$BB$219,44,FALSE)=0,"-",VLOOKUP($A76,SortedDownload!$A$3:$BB$219,44,FALSE)/86400000),"-")</f>
        <v>-</v>
      </c>
      <c r="X76" s="57" t="str">
        <f>IFERROR(IF(VLOOKUP($A76,SortedDownload!$A$3:$BB$219,45,FALSE)=0,"-",VLOOKUP($A76,SortedDownload!$A$3:$BB$219,45,FALSE)/86400000),"-")</f>
        <v>-</v>
      </c>
      <c r="Y76" s="58">
        <f>IFERROR(VLOOKUP($A76,SortedDownload!$A$3:$BB$219,46,FALSE)/86400000,"")</f>
        <v>0</v>
      </c>
      <c r="Z76" s="58">
        <f>IFERROR(Table932[[#This Row],[End Time]]-Table932[[#This Row],[Start Time]],"")</f>
        <v>-0.44084222222222225</v>
      </c>
      <c r="AA76" s="58"/>
      <c r="AB76" s="170" t="str">
        <f t="shared" ref="AB76:AB107" si="9">IFERROR(TEXT(($Z76-$Z75),"mm:ss"),"N/A")</f>
        <v>N/A</v>
      </c>
      <c r="AC76" s="170" t="str">
        <f t="shared" si="8"/>
        <v>N/A</v>
      </c>
    </row>
    <row r="77" spans="1:29">
      <c r="A77" s="53">
        <f>IF(SortedDownload!A73 &lt; 1,"",SortedDownload!A73)</f>
        <v>284</v>
      </c>
      <c r="B77" s="54">
        <f t="shared" si="6"/>
        <v>72</v>
      </c>
      <c r="C77" s="146" t="str">
        <f>IFERROR(VLOOKUP($A77,CategoryResults!$A$3:$X$252,3,FALSE),"")</f>
        <v/>
      </c>
      <c r="D77" s="149" t="str">
        <f>IFERROR(VLOOKUP($A77,EntryList!$A$3:$N$291,2,FALSE),"")</f>
        <v>Jonathan Wareing</v>
      </c>
      <c r="E77" s="146" t="str">
        <f>IFERROR(VLOOKUP(C77,SeriesPoints!$A$2:$B$51,2,FALSE),"")</f>
        <v/>
      </c>
      <c r="F77" s="150" t="str">
        <f>IFERROR(VLOOKUP($A77,EntryList!$A$3:$V$291,22,FALSE),"")</f>
        <v>-</v>
      </c>
      <c r="G77" s="148" t="str">
        <f>IFERROR(VLOOKUP($A77,EntryList!$A$3:$N$291,6,FALSE),"")</f>
        <v>M</v>
      </c>
      <c r="H77" s="145" t="str">
        <f>IFERROR(VLOOKUP($A77,EntryList!$A$3:$N$291,7,FALSE),"")</f>
        <v>Elite Men</v>
      </c>
      <c r="I77" s="56">
        <f t="shared" si="7"/>
        <v>9</v>
      </c>
      <c r="J77" s="57">
        <f>IFERROR(VLOOKUP($A77,SortedDownload!$A$3:$BB$219,31,FALSE)/86400000,"")</f>
        <v>0.43324802083333336</v>
      </c>
      <c r="K77" s="57">
        <f>IFERROR(IF(VLOOKUP($A77,SortedDownload!$A$3:$BB$219,32,FALSE)=0,"-",VLOOKUP($A77,SortedDownload!$A$3:$BB$219,32,FALSE)/86400000),"-")</f>
        <v>0.43631935185185183</v>
      </c>
      <c r="L77" s="57">
        <f>IFERROR(IF(VLOOKUP($A77,SortedDownload!$A$3:$BB$219,33,FALSE)=0,"-",VLOOKUP($A77,SortedDownload!$A$3:$BB$219,33,FALSE)/86400000),"-")</f>
        <v>0.38321776620370368</v>
      </c>
      <c r="M77" s="57">
        <f>IFERROR(IF(VLOOKUP($A77,SortedDownload!$A$3:$BB$219,34,FALSE)=0,"-",VLOOKUP($A77,SortedDownload!$A$3:$BB$219,34,FALSE)/86400000),"-")</f>
        <v>0.3861632523148148</v>
      </c>
      <c r="N77" s="57">
        <f>IFERROR(IF(VLOOKUP($A77,SortedDownload!$A$3:$BB$219,35,FALSE)=0,"-",VLOOKUP($A77,SortedDownload!$A$3:$BB$219,35,FALSE)/86400000),"-")</f>
        <v>0.4726150925925926</v>
      </c>
      <c r="O77" s="57">
        <f>IFERROR(IF(VLOOKUP($A77,SortedDownload!$A$3:$BB$219,36,FALSE)=0,"-",VLOOKUP($A77,SortedDownload!$A$3:$BB$219,36,FALSE)/86400000),"-")</f>
        <v>0.47422641203703703</v>
      </c>
      <c r="P77" s="57">
        <f>IFERROR(IF(VLOOKUP($A77,SortedDownload!$A$3:$BB$219,37,FALSE)=0,"-",VLOOKUP($A77,SortedDownload!$A$3:$BB$219,37,FALSE)/86400000),"-")</f>
        <v>0.53116269675925931</v>
      </c>
      <c r="Q77" s="57">
        <f>IFERROR(IF(VLOOKUP($A77,SortedDownload!$A$3:$BB$219,38,FALSE)=0,"-",VLOOKUP($A77,SortedDownload!$A$3:$BB$219,38,FALSE)/86400000),"-")</f>
        <v>0.53437790509259264</v>
      </c>
      <c r="R77" s="57">
        <f>IFERROR(IF(VLOOKUP($A77,SortedDownload!$A$3:$BB$219,39,FALSE)=0,"-",VLOOKUP($A77,SortedDownload!$A$3:$BB$219,39,FALSE)/86400000),"-")</f>
        <v>0.56957590277777781</v>
      </c>
      <c r="S77" s="57">
        <f>IFERROR(IF(VLOOKUP($A77,SortedDownload!$A$3:$BB$219,40,FALSE)=0,"-",VLOOKUP($A77,SortedDownload!$A$3:$BB$219,40,FALSE)/86400000),"-")</f>
        <v>0.5735147800925926</v>
      </c>
      <c r="T77" s="57" t="str">
        <f>IFERROR(IF(VLOOKUP($A77,SortedDownload!$A$3:$BB$219,41,FALSE)=0,"-",VLOOKUP($A77,SortedDownload!$A$3:$BB$219,41,FALSE)/86400000),"-")</f>
        <v>-</v>
      </c>
      <c r="U77" s="57" t="str">
        <f>IFERROR(IF(VLOOKUP($A77,SortedDownload!$A$3:$BB$219,42,FALSE)=0,"-",VLOOKUP($A77,SortedDownload!$A$3:$BB$219,42,FALSE)/86400000),"-")</f>
        <v>-</v>
      </c>
      <c r="V77" s="57" t="str">
        <f>IFERROR(IF(VLOOKUP($A77,SortedDownload!$A$3:$BB$219,43,FALSE)=0,"-",VLOOKUP($A77,SortedDownload!$A$3:$BB$219,43,FALSE)/86400000),"-")</f>
        <v>-</v>
      </c>
      <c r="W77" s="57" t="str">
        <f>IFERROR(IF(VLOOKUP($A77,SortedDownload!$A$3:$BB$219,44,FALSE)=0,"-",VLOOKUP($A77,SortedDownload!$A$3:$BB$219,44,FALSE)/86400000),"-")</f>
        <v>-</v>
      </c>
      <c r="X77" s="57" t="str">
        <f>IFERROR(IF(VLOOKUP($A77,SortedDownload!$A$3:$BB$219,45,FALSE)=0,"-",VLOOKUP($A77,SortedDownload!$A$3:$BB$219,45,FALSE)/86400000),"-")</f>
        <v>-</v>
      </c>
      <c r="Y77" s="58">
        <f>IFERROR(VLOOKUP($A77,SortedDownload!$A$3:$BB$219,46,FALSE)/86400000,"")</f>
        <v>0</v>
      </c>
      <c r="Z77" s="58">
        <f>IFERROR(Table932[[#This Row],[End Time]]-Table932[[#This Row],[Start Time]],"")</f>
        <v>-0.43324802083333336</v>
      </c>
      <c r="AA77" s="58"/>
      <c r="AB77" s="170" t="str">
        <f t="shared" si="9"/>
        <v>10:56</v>
      </c>
      <c r="AC77" s="170" t="str">
        <f t="shared" si="8"/>
        <v>N/A</v>
      </c>
    </row>
    <row r="78" spans="1:29">
      <c r="A78" s="53">
        <f>IF(SortedDownload!A74 &lt; 1,"",SortedDownload!A74)</f>
        <v>198</v>
      </c>
      <c r="B78" s="54">
        <f t="shared" si="6"/>
        <v>73</v>
      </c>
      <c r="C78" s="146" t="str">
        <f>IFERROR(VLOOKUP($A78,CategoryResults!$A$3:$X$252,3,FALSE),"")</f>
        <v/>
      </c>
      <c r="D78" s="149" t="str">
        <f>IFERROR(VLOOKUP($A78,EntryList!$A$3:$N$291,2,FALSE),"")</f>
        <v>John Rostance</v>
      </c>
      <c r="E78" s="146" t="str">
        <f>IFERROR(VLOOKUP(C78,SeriesPoints!$A$2:$B$51,2,FALSE),"")</f>
        <v/>
      </c>
      <c r="F78" s="150" t="str">
        <f>IFERROR(VLOOKUP($A78,EntryList!$A$3:$V$291,22,FALSE),"")</f>
        <v>-</v>
      </c>
      <c r="G78" s="148" t="str">
        <f>IFERROR(VLOOKUP($A78,EntryList!$A$3:$N$291,6,FALSE),"")</f>
        <v>M</v>
      </c>
      <c r="H78" s="145" t="str">
        <f>IFERROR(VLOOKUP($A78,EntryList!$A$3:$N$291,7,FALSE),"")</f>
        <v>Master Men</v>
      </c>
      <c r="I78" s="56">
        <f t="shared" si="7"/>
        <v>9</v>
      </c>
      <c r="J78" s="57">
        <f>IFERROR(VLOOKUP($A78,SortedDownload!$A$3:$BB$219,31,FALSE)/86400000,"")</f>
        <v>0.39909199074074075</v>
      </c>
      <c r="K78" s="57">
        <f>IFERROR(IF(VLOOKUP($A78,SortedDownload!$A$3:$BB$219,32,FALSE)=0,"-",VLOOKUP($A78,SortedDownload!$A$3:$BB$219,32,FALSE)/86400000),"-")</f>
        <v>0.40206318287037035</v>
      </c>
      <c r="L78" s="57">
        <f>IFERROR(IF(VLOOKUP($A78,SortedDownload!$A$3:$BB$219,33,FALSE)=0,"-",VLOOKUP($A78,SortedDownload!$A$3:$BB$219,33,FALSE)/86400000),"-")</f>
        <v>0.43687822916666669</v>
      </c>
      <c r="M78" s="57">
        <f>IFERROR(IF(VLOOKUP($A78,SortedDownload!$A$3:$BB$219,34,FALSE)=0,"-",VLOOKUP($A78,SortedDownload!$A$3:$BB$219,34,FALSE)/86400000),"-")</f>
        <v>0.43979959490740739</v>
      </c>
      <c r="N78" s="57">
        <f>IFERROR(IF(VLOOKUP($A78,SortedDownload!$A$3:$BB$219,35,FALSE)=0,"-",VLOOKUP($A78,SortedDownload!$A$3:$BB$219,35,FALSE)/86400000),"-")</f>
        <v>0.36556876157407409</v>
      </c>
      <c r="O78" s="57">
        <f>IFERROR(IF(VLOOKUP($A78,SortedDownload!$A$3:$BB$219,36,FALSE)=0,"-",VLOOKUP($A78,SortedDownload!$A$3:$BB$219,36,FALSE)/86400000),"-")</f>
        <v>0.3672945949074074</v>
      </c>
      <c r="P78" s="57">
        <f>IFERROR(IF(VLOOKUP($A78,SortedDownload!$A$3:$BB$219,37,FALSE)=0,"-",VLOOKUP($A78,SortedDownload!$A$3:$BB$219,37,FALSE)/86400000),"-")</f>
        <v>0.4872841087962963</v>
      </c>
      <c r="Q78" s="57">
        <f>IFERROR(IF(VLOOKUP($A78,SortedDownload!$A$3:$BB$219,38,FALSE)=0,"-",VLOOKUP($A78,SortedDownload!$A$3:$BB$219,38,FALSE)/86400000),"-")</f>
        <v>0.49050778935185185</v>
      </c>
      <c r="R78" s="57">
        <f>IFERROR(IF(VLOOKUP($A78,SortedDownload!$A$3:$BB$219,39,FALSE)=0,"-",VLOOKUP($A78,SortedDownload!$A$3:$BB$219,39,FALSE)/86400000),"-")</f>
        <v>0.51653085648148145</v>
      </c>
      <c r="S78" s="57">
        <f>IFERROR(IF(VLOOKUP($A78,SortedDownload!$A$3:$BB$219,40,FALSE)=0,"-",VLOOKUP($A78,SortedDownload!$A$3:$BB$219,40,FALSE)/86400000),"-")</f>
        <v>0.5204862384259259</v>
      </c>
      <c r="T78" s="57" t="str">
        <f>IFERROR(IF(VLOOKUP($A78,SortedDownload!$A$3:$BB$219,41,FALSE)=0,"-",VLOOKUP($A78,SortedDownload!$A$3:$BB$219,41,FALSE)/86400000),"-")</f>
        <v>-</v>
      </c>
      <c r="U78" s="57" t="str">
        <f>IFERROR(IF(VLOOKUP($A78,SortedDownload!$A$3:$BB$219,42,FALSE)=0,"-",VLOOKUP($A78,SortedDownload!$A$3:$BB$219,42,FALSE)/86400000),"-")</f>
        <v>-</v>
      </c>
      <c r="V78" s="57" t="str">
        <f>IFERROR(IF(VLOOKUP($A78,SortedDownload!$A$3:$BB$219,43,FALSE)=0,"-",VLOOKUP($A78,SortedDownload!$A$3:$BB$219,43,FALSE)/86400000),"-")</f>
        <v>-</v>
      </c>
      <c r="W78" s="57" t="str">
        <f>IFERROR(IF(VLOOKUP($A78,SortedDownload!$A$3:$BB$219,44,FALSE)=0,"-",VLOOKUP($A78,SortedDownload!$A$3:$BB$219,44,FALSE)/86400000),"-")</f>
        <v>-</v>
      </c>
      <c r="X78" s="57" t="str">
        <f>IFERROR(IF(VLOOKUP($A78,SortedDownload!$A$3:$BB$219,45,FALSE)=0,"-",VLOOKUP($A78,SortedDownload!$A$3:$BB$219,45,FALSE)/86400000),"-")</f>
        <v>-</v>
      </c>
      <c r="Y78" s="58">
        <f>IFERROR(VLOOKUP($A78,SortedDownload!$A$3:$BB$219,46,FALSE)/86400000,"")</f>
        <v>0</v>
      </c>
      <c r="Z78" s="58">
        <f>IFERROR(Table932[[#This Row],[End Time]]-Table932[[#This Row],[Start Time]],"")</f>
        <v>-0.39909199074074075</v>
      </c>
      <c r="AA78" s="58"/>
      <c r="AB78" s="170" t="str">
        <f t="shared" si="9"/>
        <v>49:11</v>
      </c>
      <c r="AC78" s="170" t="str">
        <f t="shared" si="8"/>
        <v>11:59</v>
      </c>
    </row>
    <row r="79" spans="1:29">
      <c r="A79" s="53">
        <f>IF(SortedDownload!A75 &lt; 1,"",SortedDownload!A75)</f>
        <v>41</v>
      </c>
      <c r="B79" s="54">
        <f t="shared" si="6"/>
        <v>74</v>
      </c>
      <c r="C79" s="146" t="str">
        <f>IFERROR(VLOOKUP($A79,CategoryResults!$A$3:$X$252,3,FALSE),"")</f>
        <v/>
      </c>
      <c r="D79" s="149" t="str">
        <f>IFERROR(VLOOKUP($A79,EntryList!$A$3:$N$291,2,FALSE),"")</f>
        <v>Kyle Ridge</v>
      </c>
      <c r="E79" s="146" t="str">
        <f>IFERROR(VLOOKUP(C79,SeriesPoints!$A$2:$B$51,2,FALSE),"")</f>
        <v/>
      </c>
      <c r="F79" s="150" t="str">
        <f>IFERROR(VLOOKUP($A79,EntryList!$A$3:$V$291,22,FALSE),"")</f>
        <v>-</v>
      </c>
      <c r="G79" s="148" t="str">
        <f>IFERROR(VLOOKUP($A79,EntryList!$A$3:$N$291,6,FALSE),"")</f>
        <v>M</v>
      </c>
      <c r="H79" s="145" t="str">
        <f>IFERROR(VLOOKUP($A79,EntryList!$A$3:$N$291,7,FALSE),"")</f>
        <v>Elite Men</v>
      </c>
      <c r="I79" s="56">
        <f t="shared" si="7"/>
        <v>9</v>
      </c>
      <c r="J79" s="57">
        <f>IFERROR(VLOOKUP($A79,SortedDownload!$A$3:$BB$219,31,FALSE)/86400000,"")</f>
        <v>0.41907163194444447</v>
      </c>
      <c r="K79" s="57">
        <f>IFERROR(IF(VLOOKUP($A79,SortedDownload!$A$3:$BB$219,32,FALSE)=0,"-",VLOOKUP($A79,SortedDownload!$A$3:$BB$219,32,FALSE)/86400000),"-")</f>
        <v>0.42197902777777779</v>
      </c>
      <c r="L79" s="57">
        <f>IFERROR(IF(VLOOKUP($A79,SortedDownload!$A$3:$BB$219,33,FALSE)=0,"-",VLOOKUP($A79,SortedDownload!$A$3:$BB$219,33,FALSE)/86400000),"-")</f>
        <v>0.37311031249999999</v>
      </c>
      <c r="M79" s="57">
        <f>IFERROR(IF(VLOOKUP($A79,SortedDownload!$A$3:$BB$219,34,FALSE)=0,"-",VLOOKUP($A79,SortedDownload!$A$3:$BB$219,34,FALSE)/86400000),"-")</f>
        <v>0.3759605324074074</v>
      </c>
      <c r="N79" s="57">
        <f>IFERROR(IF(VLOOKUP($A79,SortedDownload!$A$3:$BB$219,35,FALSE)=0,"-",VLOOKUP($A79,SortedDownload!$A$3:$BB$219,35,FALSE)/86400000),"-")</f>
        <v>0.45997810185185184</v>
      </c>
      <c r="O79" s="57">
        <f>IFERROR(IF(VLOOKUP($A79,SortedDownload!$A$3:$BB$219,36,FALSE)=0,"-",VLOOKUP($A79,SortedDownload!$A$3:$BB$219,36,FALSE)/86400000),"-")</f>
        <v>0.46162574074074075</v>
      </c>
      <c r="P79" s="57">
        <f>IFERROR(IF(VLOOKUP($A79,SortedDownload!$A$3:$BB$219,37,FALSE)=0,"-",VLOOKUP($A79,SortedDownload!$A$3:$BB$219,37,FALSE)/86400000),"-")</f>
        <v>0.5198334722222222</v>
      </c>
      <c r="Q79" s="57">
        <f>IFERROR(IF(VLOOKUP($A79,SortedDownload!$A$3:$BB$219,38,FALSE)=0,"-",VLOOKUP($A79,SortedDownload!$A$3:$BB$219,38,FALSE)/86400000),"-")</f>
        <v>0.52323591435185191</v>
      </c>
      <c r="R79" s="57">
        <f>IFERROR(IF(VLOOKUP($A79,SortedDownload!$A$3:$BB$219,39,FALSE)=0,"-",VLOOKUP($A79,SortedDownload!$A$3:$BB$219,39,FALSE)/86400000),"-")</f>
        <v>0.55611074074074074</v>
      </c>
      <c r="S79" s="57">
        <f>IFERROR(IF(VLOOKUP($A79,SortedDownload!$A$3:$BB$219,40,FALSE)=0,"-",VLOOKUP($A79,SortedDownload!$A$3:$BB$219,40,FALSE)/86400000),"-")</f>
        <v>0.56013199074074072</v>
      </c>
      <c r="T79" s="57" t="str">
        <f>IFERROR(IF(VLOOKUP($A79,SortedDownload!$A$3:$BB$219,41,FALSE)=0,"-",VLOOKUP($A79,SortedDownload!$A$3:$BB$219,41,FALSE)/86400000),"-")</f>
        <v>-</v>
      </c>
      <c r="U79" s="57" t="str">
        <f>IFERROR(IF(VLOOKUP($A79,SortedDownload!$A$3:$BB$219,42,FALSE)=0,"-",VLOOKUP($A79,SortedDownload!$A$3:$BB$219,42,FALSE)/86400000),"-")</f>
        <v>-</v>
      </c>
      <c r="V79" s="57" t="str">
        <f>IFERROR(IF(VLOOKUP($A79,SortedDownload!$A$3:$BB$219,43,FALSE)=0,"-",VLOOKUP($A79,SortedDownload!$A$3:$BB$219,43,FALSE)/86400000),"-")</f>
        <v>-</v>
      </c>
      <c r="W79" s="57" t="str">
        <f>IFERROR(IF(VLOOKUP($A79,SortedDownload!$A$3:$BB$219,44,FALSE)=0,"-",VLOOKUP($A79,SortedDownload!$A$3:$BB$219,44,FALSE)/86400000),"-")</f>
        <v>-</v>
      </c>
      <c r="X79" s="57" t="str">
        <f>IFERROR(IF(VLOOKUP($A79,SortedDownload!$A$3:$BB$219,45,FALSE)=0,"-",VLOOKUP($A79,SortedDownload!$A$3:$BB$219,45,FALSE)/86400000),"-")</f>
        <v>-</v>
      </c>
      <c r="Y79" s="58">
        <f>IFERROR(VLOOKUP($A79,SortedDownload!$A$3:$BB$219,46,FALSE)/86400000,"")</f>
        <v>0</v>
      </c>
      <c r="Z79" s="58">
        <f>IFERROR(Table932[[#This Row],[End Time]]-Table932[[#This Row],[Start Time]],"")</f>
        <v>-0.41907163194444447</v>
      </c>
      <c r="AA79" s="58"/>
      <c r="AB79" s="170" t="str">
        <f t="shared" si="9"/>
        <v>N/A</v>
      </c>
      <c r="AC79" s="170" t="str">
        <f t="shared" si="8"/>
        <v>N/A</v>
      </c>
    </row>
    <row r="80" spans="1:29">
      <c r="A80" s="53">
        <f>IF(SortedDownload!A76 &lt; 1,"",SortedDownload!A76)</f>
        <v>102</v>
      </c>
      <c r="B80" s="54">
        <f t="shared" si="6"/>
        <v>75</v>
      </c>
      <c r="C80" s="146" t="str">
        <f>IFERROR(VLOOKUP($A80,CategoryResults!$A$3:$X$252,3,FALSE),"")</f>
        <v/>
      </c>
      <c r="D80" s="149" t="str">
        <f>IFERROR(VLOOKUP($A80,EntryList!$A$3:$N$291,2,FALSE),"")</f>
        <v>Altus Rossouw</v>
      </c>
      <c r="E80" s="146" t="str">
        <f>IFERROR(VLOOKUP(C80,SeriesPoints!$A$2:$B$51,2,FALSE),"")</f>
        <v/>
      </c>
      <c r="F80" s="150" t="str">
        <f>IFERROR(VLOOKUP($A80,EntryList!$A$3:$V$291,22,FALSE),"")</f>
        <v>-</v>
      </c>
      <c r="G80" s="148" t="str">
        <f>IFERROR(VLOOKUP($A80,EntryList!$A$3:$N$291,6,FALSE),"")</f>
        <v>M</v>
      </c>
      <c r="H80" s="145" t="str">
        <f>IFERROR(VLOOKUP($A80,EntryList!$A$3:$N$291,7,FALSE),"")</f>
        <v>Junior Men</v>
      </c>
      <c r="I80" s="56">
        <f t="shared" si="7"/>
        <v>9</v>
      </c>
      <c r="J80" s="57">
        <f>IFERROR(VLOOKUP($A80,SortedDownload!$A$3:$BB$219,31,FALSE)/86400000,"")</f>
        <v>0.3768780902777778</v>
      </c>
      <c r="K80" s="57">
        <f>IFERROR(IF(VLOOKUP($A80,SortedDownload!$A$3:$BB$219,32,FALSE)=0,"-",VLOOKUP($A80,SortedDownload!$A$3:$BB$219,32,FALSE)/86400000),"-")</f>
        <v>0.37995400462962964</v>
      </c>
      <c r="L80" s="57">
        <f>IFERROR(IF(VLOOKUP($A80,SortedDownload!$A$3:$BB$219,33,FALSE)=0,"-",VLOOKUP($A80,SortedDownload!$A$3:$BB$219,33,FALSE)/86400000),"-")</f>
        <v>0.42401915509259258</v>
      </c>
      <c r="M80" s="57">
        <f>IFERROR(IF(VLOOKUP($A80,SortedDownload!$A$3:$BB$219,34,FALSE)=0,"-",VLOOKUP($A80,SortedDownload!$A$3:$BB$219,34,FALSE)/86400000),"-")</f>
        <v>0.42691755787037039</v>
      </c>
      <c r="N80" s="57">
        <f>IFERROR(IF(VLOOKUP($A80,SortedDownload!$A$3:$BB$219,35,FALSE)=0,"-",VLOOKUP($A80,SortedDownload!$A$3:$BB$219,35,FALSE)/86400000),"-")</f>
        <v>0.45952201388888891</v>
      </c>
      <c r="O80" s="57">
        <f>IFERROR(IF(VLOOKUP($A80,SortedDownload!$A$3:$BB$219,36,FALSE)=0,"-",VLOOKUP($A80,SortedDownload!$A$3:$BB$219,36,FALSE)/86400000),"-")</f>
        <v>0.46118284722222225</v>
      </c>
      <c r="P80" s="57">
        <f>IFERROR(IF(VLOOKUP($A80,SortedDownload!$A$3:$BB$219,37,FALSE)=0,"-",VLOOKUP($A80,SortedDownload!$A$3:$BB$219,37,FALSE)/86400000),"-")</f>
        <v>0.5182071412037037</v>
      </c>
      <c r="Q80" s="57">
        <f>IFERROR(IF(VLOOKUP($A80,SortedDownload!$A$3:$BB$219,38,FALSE)=0,"-",VLOOKUP($A80,SortedDownload!$A$3:$BB$219,38,FALSE)/86400000),"-")</f>
        <v>0.52155665509259264</v>
      </c>
      <c r="R80" s="57">
        <f>IFERROR(IF(VLOOKUP($A80,SortedDownload!$A$3:$BB$219,39,FALSE)=0,"-",VLOOKUP($A80,SortedDownload!$A$3:$BB$219,39,FALSE)/86400000),"-")</f>
        <v>0.55014164351851846</v>
      </c>
      <c r="S80" s="57">
        <f>IFERROR(IF(VLOOKUP($A80,SortedDownload!$A$3:$BB$219,40,FALSE)=0,"-",VLOOKUP($A80,SortedDownload!$A$3:$BB$219,40,FALSE)/86400000),"-")</f>
        <v>0.55400903935185186</v>
      </c>
      <c r="T80" s="57" t="str">
        <f>IFERROR(IF(VLOOKUP($A80,SortedDownload!$A$3:$BB$219,41,FALSE)=0,"-",VLOOKUP($A80,SortedDownload!$A$3:$BB$219,41,FALSE)/86400000),"-")</f>
        <v>-</v>
      </c>
      <c r="U80" s="57" t="str">
        <f>IFERROR(IF(VLOOKUP($A80,SortedDownload!$A$3:$BB$219,42,FALSE)=0,"-",VLOOKUP($A80,SortedDownload!$A$3:$BB$219,42,FALSE)/86400000),"-")</f>
        <v>-</v>
      </c>
      <c r="V80" s="57" t="str">
        <f>IFERROR(IF(VLOOKUP($A80,SortedDownload!$A$3:$BB$219,43,FALSE)=0,"-",VLOOKUP($A80,SortedDownload!$A$3:$BB$219,43,FALSE)/86400000),"-")</f>
        <v>-</v>
      </c>
      <c r="W80" s="57" t="str">
        <f>IFERROR(IF(VLOOKUP($A80,SortedDownload!$A$3:$BB$219,44,FALSE)=0,"-",VLOOKUP($A80,SortedDownload!$A$3:$BB$219,44,FALSE)/86400000),"-")</f>
        <v>-</v>
      </c>
      <c r="X80" s="57" t="str">
        <f>IFERROR(IF(VLOOKUP($A80,SortedDownload!$A$3:$BB$219,45,FALSE)=0,"-",VLOOKUP($A80,SortedDownload!$A$3:$BB$219,45,FALSE)/86400000),"-")</f>
        <v>-</v>
      </c>
      <c r="Y80" s="58">
        <f>IFERROR(VLOOKUP($A80,SortedDownload!$A$3:$BB$219,46,FALSE)/86400000,"")</f>
        <v>0</v>
      </c>
      <c r="Z80" s="58">
        <f>IFERROR(Table932[[#This Row],[End Time]]-Table932[[#This Row],[Start Time]],"")</f>
        <v>-0.3768780902777778</v>
      </c>
      <c r="AA80" s="58"/>
      <c r="AB80" s="170" t="str">
        <f t="shared" si="9"/>
        <v>00:46</v>
      </c>
      <c r="AC80" s="170" t="str">
        <f t="shared" si="8"/>
        <v>43:58</v>
      </c>
    </row>
    <row r="81" spans="1:29">
      <c r="A81" s="53">
        <f>IF(SortedDownload!A77 &lt; 1,"",SortedDownload!A77)</f>
        <v>68</v>
      </c>
      <c r="B81" s="54">
        <f t="shared" si="6"/>
        <v>76</v>
      </c>
      <c r="C81" s="146" t="str">
        <f>IFERROR(VLOOKUP($A81,CategoryResults!$A$3:$X$252,3,FALSE),"")</f>
        <v/>
      </c>
      <c r="D81" s="149" t="str">
        <f>IFERROR(VLOOKUP($A81,EntryList!$A$3:$N$291,2,FALSE),"")</f>
        <v>Liam Coetzee</v>
      </c>
      <c r="E81" s="146" t="str">
        <f>IFERROR(VLOOKUP(C81,SeriesPoints!$A$2:$B$51,2,FALSE),"")</f>
        <v/>
      </c>
      <c r="F81" s="150" t="str">
        <f>IFERROR(VLOOKUP($A81,EntryList!$A$3:$V$291,22,FALSE),"")</f>
        <v>-</v>
      </c>
      <c r="G81" s="148" t="str">
        <f>IFERROR(VLOOKUP($A81,EntryList!$A$3:$N$291,6,FALSE),"")</f>
        <v>M</v>
      </c>
      <c r="H81" s="145" t="str">
        <f>IFERROR(VLOOKUP($A81,EntryList!$A$3:$N$291,7,FALSE),"")</f>
        <v>Youth Men</v>
      </c>
      <c r="I81" s="56">
        <f t="shared" si="7"/>
        <v>9</v>
      </c>
      <c r="J81" s="57">
        <f>IFERROR(VLOOKUP($A81,SortedDownload!$A$3:$BB$219,31,FALSE)/86400000,"")</f>
        <v>0.42659525462962961</v>
      </c>
      <c r="K81" s="57">
        <f>IFERROR(IF(VLOOKUP($A81,SortedDownload!$A$3:$BB$219,32,FALSE)=0,"-",VLOOKUP($A81,SortedDownload!$A$3:$BB$219,32,FALSE)/86400000),"-")</f>
        <v>0.4297987962962963</v>
      </c>
      <c r="L81" s="57">
        <f>IFERROR(IF(VLOOKUP($A81,SortedDownload!$A$3:$BB$219,33,FALSE)=0,"-",VLOOKUP($A81,SortedDownload!$A$3:$BB$219,33,FALSE)/86400000),"-")</f>
        <v>0.38069501157407409</v>
      </c>
      <c r="M81" s="57">
        <f>IFERROR(IF(VLOOKUP($A81,SortedDownload!$A$3:$BB$219,34,FALSE)=0,"-",VLOOKUP($A81,SortedDownload!$A$3:$BB$219,34,FALSE)/86400000),"-")</f>
        <v>0.38359721064814817</v>
      </c>
      <c r="N81" s="57">
        <f>IFERROR(IF(VLOOKUP($A81,SortedDownload!$A$3:$BB$219,35,FALSE)=0,"-",VLOOKUP($A81,SortedDownload!$A$3:$BB$219,35,FALSE)/86400000),"-")</f>
        <v>0.46239995370370368</v>
      </c>
      <c r="O81" s="57">
        <f>IFERROR(IF(VLOOKUP($A81,SortedDownload!$A$3:$BB$219,36,FALSE)=0,"-",VLOOKUP($A81,SortedDownload!$A$3:$BB$219,36,FALSE)/86400000),"-")</f>
        <v>0.46407067129629631</v>
      </c>
      <c r="P81" s="57">
        <f>IFERROR(IF(VLOOKUP($A81,SortedDownload!$A$3:$BB$219,37,FALSE)=0,"-",VLOOKUP($A81,SortedDownload!$A$3:$BB$219,37,FALSE)/86400000),"-")</f>
        <v>0.51721606481481486</v>
      </c>
      <c r="Q81" s="57">
        <f>IFERROR(IF(VLOOKUP($A81,SortedDownload!$A$3:$BB$219,38,FALSE)=0,"-",VLOOKUP($A81,SortedDownload!$A$3:$BB$219,38,FALSE)/86400000),"-")</f>
        <v>0.52034900462962963</v>
      </c>
      <c r="R81" s="57">
        <f>IFERROR(IF(VLOOKUP($A81,SortedDownload!$A$3:$BB$219,39,FALSE)=0,"-",VLOOKUP($A81,SortedDownload!$A$3:$BB$219,39,FALSE)/86400000),"-")</f>
        <v>0.5481141435185185</v>
      </c>
      <c r="S81" s="57">
        <f>IFERROR(IF(VLOOKUP($A81,SortedDownload!$A$3:$BB$219,40,FALSE)=0,"-",VLOOKUP($A81,SortedDownload!$A$3:$BB$219,40,FALSE)/86400000),"-")</f>
        <v>0.55214505787037038</v>
      </c>
      <c r="T81" s="57" t="str">
        <f>IFERROR(IF(VLOOKUP($A81,SortedDownload!$A$3:$BB$219,41,FALSE)=0,"-",VLOOKUP($A81,SortedDownload!$A$3:$BB$219,41,FALSE)/86400000),"-")</f>
        <v>-</v>
      </c>
      <c r="U81" s="57" t="str">
        <f>IFERROR(IF(VLOOKUP($A81,SortedDownload!$A$3:$BB$219,42,FALSE)=0,"-",VLOOKUP($A81,SortedDownload!$A$3:$BB$219,42,FALSE)/86400000),"-")</f>
        <v>-</v>
      </c>
      <c r="V81" s="57" t="str">
        <f>IFERROR(IF(VLOOKUP($A81,SortedDownload!$A$3:$BB$219,43,FALSE)=0,"-",VLOOKUP($A81,SortedDownload!$A$3:$BB$219,43,FALSE)/86400000),"-")</f>
        <v>-</v>
      </c>
      <c r="W81" s="57" t="str">
        <f>IFERROR(IF(VLOOKUP($A81,SortedDownload!$A$3:$BB$219,44,FALSE)=0,"-",VLOOKUP($A81,SortedDownload!$A$3:$BB$219,44,FALSE)/86400000),"-")</f>
        <v>-</v>
      </c>
      <c r="X81" s="57" t="str">
        <f>IFERROR(IF(VLOOKUP($A81,SortedDownload!$A$3:$BB$219,45,FALSE)=0,"-",VLOOKUP($A81,SortedDownload!$A$3:$BB$219,45,FALSE)/86400000),"-")</f>
        <v>-</v>
      </c>
      <c r="Y81" s="58">
        <f>IFERROR(VLOOKUP($A81,SortedDownload!$A$3:$BB$219,46,FALSE)/86400000,"")</f>
        <v>0</v>
      </c>
      <c r="Z81" s="58">
        <f>IFERROR(Table932[[#This Row],[End Time]]-Table932[[#This Row],[Start Time]],"")</f>
        <v>-0.42659525462962961</v>
      </c>
      <c r="AA81" s="58"/>
      <c r="AB81" s="170" t="str">
        <f t="shared" si="9"/>
        <v>N/A</v>
      </c>
      <c r="AC81" s="170" t="str">
        <f t="shared" si="8"/>
        <v>N/A</v>
      </c>
    </row>
    <row r="82" spans="1:29">
      <c r="A82" s="53">
        <f>IF(SortedDownload!A78 &lt; 1,"",SortedDownload!A78)</f>
        <v>73</v>
      </c>
      <c r="B82" s="54">
        <f t="shared" si="6"/>
        <v>77</v>
      </c>
      <c r="C82" s="146" t="str">
        <f>IFERROR(VLOOKUP($A82,CategoryResults!$A$3:$X$252,3,FALSE),"")</f>
        <v/>
      </c>
      <c r="D82" s="149" t="str">
        <f>IFERROR(VLOOKUP($A82,EntryList!$A$3:$N$291,2,FALSE),"")</f>
        <v>Jean-Pierre Whitfield</v>
      </c>
      <c r="E82" s="146" t="str">
        <f>IFERROR(VLOOKUP(C82,SeriesPoints!$A$2:$B$51,2,FALSE),"")</f>
        <v/>
      </c>
      <c r="F82" s="150" t="str">
        <f>IFERROR(VLOOKUP($A82,EntryList!$A$3:$V$291,22,FALSE),"")</f>
        <v>-</v>
      </c>
      <c r="G82" s="148" t="str">
        <f>IFERROR(VLOOKUP($A82,EntryList!$A$3:$N$291,6,FALSE),"")</f>
        <v>M</v>
      </c>
      <c r="H82" s="145" t="str">
        <f>IFERROR(VLOOKUP($A82,EntryList!$A$3:$N$291,7,FALSE),"")</f>
        <v>Elite Men</v>
      </c>
      <c r="I82" s="56">
        <f t="shared" si="7"/>
        <v>9</v>
      </c>
      <c r="J82" s="57">
        <f>IFERROR(VLOOKUP($A82,SortedDownload!$A$3:$BB$219,31,FALSE)/86400000,"")</f>
        <v>0.41363208333333334</v>
      </c>
      <c r="K82" s="57">
        <f>IFERROR(IF(VLOOKUP($A82,SortedDownload!$A$3:$BB$219,32,FALSE)=0,"-",VLOOKUP($A82,SortedDownload!$A$3:$BB$219,32,FALSE)/86400000),"-")</f>
        <v>0.41640362268518516</v>
      </c>
      <c r="L82" s="57">
        <f>IFERROR(IF(VLOOKUP($A82,SortedDownload!$A$3:$BB$219,33,FALSE)=0,"-",VLOOKUP($A82,SortedDownload!$A$3:$BB$219,33,FALSE)/86400000),"-")</f>
        <v>0.37595440972222222</v>
      </c>
      <c r="M82" s="57">
        <f>IFERROR(IF(VLOOKUP($A82,SortedDownload!$A$3:$BB$219,34,FALSE)=0,"-",VLOOKUP($A82,SortedDownload!$A$3:$BB$219,34,FALSE)/86400000),"-")</f>
        <v>0.37889711805555554</v>
      </c>
      <c r="N82" s="57">
        <f>IFERROR(IF(VLOOKUP($A82,SortedDownload!$A$3:$BB$219,35,FALSE)=0,"-",VLOOKUP($A82,SortedDownload!$A$3:$BB$219,35,FALSE)/86400000),"-")</f>
        <v>0.45308950231481482</v>
      </c>
      <c r="O82" s="57">
        <f>IFERROR(IF(VLOOKUP($A82,SortedDownload!$A$3:$BB$219,36,FALSE)=0,"-",VLOOKUP($A82,SortedDownload!$A$3:$BB$219,36,FALSE)/86400000),"-")</f>
        <v>0.45477730324074073</v>
      </c>
      <c r="P82" s="57">
        <f>IFERROR(IF(VLOOKUP($A82,SortedDownload!$A$3:$BB$219,37,FALSE)=0,"-",VLOOKUP($A82,SortedDownload!$A$3:$BB$219,37,FALSE)/86400000),"-")</f>
        <v>0.49505408564814812</v>
      </c>
      <c r="Q82" s="57">
        <f>IFERROR(IF(VLOOKUP($A82,SortedDownload!$A$3:$BB$219,38,FALSE)=0,"-",VLOOKUP($A82,SortedDownload!$A$3:$BB$219,38,FALSE)/86400000),"-")</f>
        <v>0.49852844907407406</v>
      </c>
      <c r="R82" s="57">
        <f>IFERROR(IF(VLOOKUP($A82,SortedDownload!$A$3:$BB$219,39,FALSE)=0,"-",VLOOKUP($A82,SortedDownload!$A$3:$BB$219,39,FALSE)/86400000),"-")</f>
        <v>0.52538942129629629</v>
      </c>
      <c r="S82" s="57">
        <f>IFERROR(IF(VLOOKUP($A82,SortedDownload!$A$3:$BB$219,40,FALSE)=0,"-",VLOOKUP($A82,SortedDownload!$A$3:$BB$219,40,FALSE)/86400000),"-")</f>
        <v>0.52947645833333334</v>
      </c>
      <c r="T82" s="57" t="str">
        <f>IFERROR(IF(VLOOKUP($A82,SortedDownload!$A$3:$BB$219,41,FALSE)=0,"-",VLOOKUP($A82,SortedDownload!$A$3:$BB$219,41,FALSE)/86400000),"-")</f>
        <v>-</v>
      </c>
      <c r="U82" s="57" t="str">
        <f>IFERROR(IF(VLOOKUP($A82,SortedDownload!$A$3:$BB$219,42,FALSE)=0,"-",VLOOKUP($A82,SortedDownload!$A$3:$BB$219,42,FALSE)/86400000),"-")</f>
        <v>-</v>
      </c>
      <c r="V82" s="57" t="str">
        <f>IFERROR(IF(VLOOKUP($A82,SortedDownload!$A$3:$BB$219,43,FALSE)=0,"-",VLOOKUP($A82,SortedDownload!$A$3:$BB$219,43,FALSE)/86400000),"-")</f>
        <v>-</v>
      </c>
      <c r="W82" s="57" t="str">
        <f>IFERROR(IF(VLOOKUP($A82,SortedDownload!$A$3:$BB$219,44,FALSE)=0,"-",VLOOKUP($A82,SortedDownload!$A$3:$BB$219,44,FALSE)/86400000),"-")</f>
        <v>-</v>
      </c>
      <c r="X82" s="57" t="str">
        <f>IFERROR(IF(VLOOKUP($A82,SortedDownload!$A$3:$BB$219,45,FALSE)=0,"-",VLOOKUP($A82,SortedDownload!$A$3:$BB$219,45,FALSE)/86400000),"-")</f>
        <v>-</v>
      </c>
      <c r="Y82" s="58">
        <f>IFERROR(VLOOKUP($A82,SortedDownload!$A$3:$BB$219,46,FALSE)/86400000,"")</f>
        <v>0</v>
      </c>
      <c r="Z82" s="58">
        <f>IFERROR(Table932[[#This Row],[End Time]]-Table932[[#This Row],[Start Time]],"")</f>
        <v>-0.41363208333333334</v>
      </c>
      <c r="AA82" s="58"/>
      <c r="AB82" s="170" t="str">
        <f t="shared" si="9"/>
        <v>18:40</v>
      </c>
      <c r="AC82" s="170" t="str">
        <f t="shared" si="8"/>
        <v>N/A</v>
      </c>
    </row>
    <row r="83" spans="1:29">
      <c r="A83" s="53">
        <f>IF(SortedDownload!A79 &lt; 1,"",SortedDownload!A79)</f>
        <v>124</v>
      </c>
      <c r="B83" s="54">
        <f t="shared" si="6"/>
        <v>78</v>
      </c>
      <c r="C83" s="146" t="str">
        <f>IFERROR(VLOOKUP($A83,CategoryResults!$A$3:$X$252,3,FALSE),"")</f>
        <v/>
      </c>
      <c r="D83" s="149" t="str">
        <f>IFERROR(VLOOKUP($A83,EntryList!$A$3:$N$291,2,FALSE),"")</f>
        <v>Matthew Halbert</v>
      </c>
      <c r="E83" s="146" t="str">
        <f>IFERROR(VLOOKUP(C83,SeriesPoints!$A$2:$B$51,2,FALSE),"")</f>
        <v/>
      </c>
      <c r="F83" s="150" t="str">
        <f>IFERROR(VLOOKUP($A83,EntryList!$A$3:$V$291,22,FALSE),"")</f>
        <v>-</v>
      </c>
      <c r="G83" s="148" t="str">
        <f>IFERROR(VLOOKUP($A83,EntryList!$A$3:$N$291,6,FALSE),"")</f>
        <v>M</v>
      </c>
      <c r="H83" s="145" t="str">
        <f>IFERROR(VLOOKUP($A83,EntryList!$A$3:$N$291,7,FALSE),"")</f>
        <v>Junior Men</v>
      </c>
      <c r="I83" s="56">
        <f t="shared" si="7"/>
        <v>9</v>
      </c>
      <c r="J83" s="57">
        <f>IFERROR(VLOOKUP($A83,SortedDownload!$A$3:$BB$219,31,FALSE)/86400000,"")</f>
        <v>0.42105983796296298</v>
      </c>
      <c r="K83" s="57">
        <f>IFERROR(IF(VLOOKUP($A83,SortedDownload!$A$3:$BB$219,32,FALSE)=0,"-",VLOOKUP($A83,SortedDownload!$A$3:$BB$219,32,FALSE)/86400000),"-")</f>
        <v>0.42441215277777777</v>
      </c>
      <c r="L83" s="57">
        <f>IFERROR(IF(VLOOKUP($A83,SortedDownload!$A$3:$BB$219,33,FALSE)=0,"-",VLOOKUP($A83,SortedDownload!$A$3:$BB$219,33,FALSE)/86400000),"-")</f>
        <v>0.37715616898148147</v>
      </c>
      <c r="M83" s="57">
        <f>IFERROR(IF(VLOOKUP($A83,SortedDownload!$A$3:$BB$219,34,FALSE)=0,"-",VLOOKUP($A83,SortedDownload!$A$3:$BB$219,34,FALSE)/86400000),"-")</f>
        <v>0.38008202546296294</v>
      </c>
      <c r="N83" s="57">
        <f>IFERROR(IF(VLOOKUP($A83,SortedDownload!$A$3:$BB$219,35,FALSE)=0,"-",VLOOKUP($A83,SortedDownload!$A$3:$BB$219,35,FALSE)/86400000),"-")</f>
        <v>0.46123182870370372</v>
      </c>
      <c r="O83" s="57">
        <f>IFERROR(IF(VLOOKUP($A83,SortedDownload!$A$3:$BB$219,36,FALSE)=0,"-",VLOOKUP($A83,SortedDownload!$A$3:$BB$219,36,FALSE)/86400000),"-")</f>
        <v>0.46286388888888891</v>
      </c>
      <c r="P83" s="57">
        <f>IFERROR(IF(VLOOKUP($A83,SortedDownload!$A$3:$BB$219,37,FALSE)=0,"-",VLOOKUP($A83,SortedDownload!$A$3:$BB$219,37,FALSE)/86400000),"-")</f>
        <v>0.51341929398148145</v>
      </c>
      <c r="Q83" s="57">
        <f>IFERROR(IF(VLOOKUP($A83,SortedDownload!$A$3:$BB$219,38,FALSE)=0,"-",VLOOKUP($A83,SortedDownload!$A$3:$BB$219,38,FALSE)/86400000),"-")</f>
        <v>0.5166181481481481</v>
      </c>
      <c r="R83" s="57">
        <f>IFERROR(IF(VLOOKUP($A83,SortedDownload!$A$3:$BB$219,39,FALSE)=0,"-",VLOOKUP($A83,SortedDownload!$A$3:$BB$219,39,FALSE)/86400000),"-")</f>
        <v>0.55132979166666662</v>
      </c>
      <c r="S83" s="57">
        <f>IFERROR(IF(VLOOKUP($A83,SortedDownload!$A$3:$BB$219,40,FALSE)=0,"-",VLOOKUP($A83,SortedDownload!$A$3:$BB$219,40,FALSE)/86400000),"-")</f>
        <v>0.55524341435185187</v>
      </c>
      <c r="T83" s="57" t="str">
        <f>IFERROR(IF(VLOOKUP($A83,SortedDownload!$A$3:$BB$219,41,FALSE)=0,"-",VLOOKUP($A83,SortedDownload!$A$3:$BB$219,41,FALSE)/86400000),"-")</f>
        <v>-</v>
      </c>
      <c r="U83" s="57" t="str">
        <f>IFERROR(IF(VLOOKUP($A83,SortedDownload!$A$3:$BB$219,42,FALSE)=0,"-",VLOOKUP($A83,SortedDownload!$A$3:$BB$219,42,FALSE)/86400000),"-")</f>
        <v>-</v>
      </c>
      <c r="V83" s="57" t="str">
        <f>IFERROR(IF(VLOOKUP($A83,SortedDownload!$A$3:$BB$219,43,FALSE)=0,"-",VLOOKUP($A83,SortedDownload!$A$3:$BB$219,43,FALSE)/86400000),"-")</f>
        <v>-</v>
      </c>
      <c r="W83" s="57" t="str">
        <f>IFERROR(IF(VLOOKUP($A83,SortedDownload!$A$3:$BB$219,44,FALSE)=0,"-",VLOOKUP($A83,SortedDownload!$A$3:$BB$219,44,FALSE)/86400000),"-")</f>
        <v>-</v>
      </c>
      <c r="X83" s="57" t="str">
        <f>IFERROR(IF(VLOOKUP($A83,SortedDownload!$A$3:$BB$219,45,FALSE)=0,"-",VLOOKUP($A83,SortedDownload!$A$3:$BB$219,45,FALSE)/86400000),"-")</f>
        <v>-</v>
      </c>
      <c r="Y83" s="58">
        <f>IFERROR(VLOOKUP($A83,SortedDownload!$A$3:$BB$219,46,FALSE)/86400000,"")</f>
        <v>0</v>
      </c>
      <c r="Z83" s="58">
        <f>IFERROR(Table932[[#This Row],[End Time]]-Table932[[#This Row],[Start Time]],"")</f>
        <v>-0.42105983796296298</v>
      </c>
      <c r="AA83" s="58"/>
      <c r="AB83" s="170" t="str">
        <f t="shared" si="9"/>
        <v>N/A</v>
      </c>
      <c r="AC83" s="170" t="str">
        <f t="shared" si="8"/>
        <v>N/A</v>
      </c>
    </row>
    <row r="84" spans="1:29">
      <c r="A84" s="53">
        <f>IF(SortedDownload!A80 &lt; 1,"",SortedDownload!A80)</f>
        <v>173</v>
      </c>
      <c r="B84" s="54">
        <f t="shared" si="6"/>
        <v>79</v>
      </c>
      <c r="C84" s="146" t="str">
        <f>IFERROR(VLOOKUP($A84,CategoryResults!$A$3:$X$252,3,FALSE),"")</f>
        <v/>
      </c>
      <c r="D84" s="149" t="str">
        <f>IFERROR(VLOOKUP($A84,EntryList!$A$3:$N$291,2,FALSE),"")</f>
        <v>Luca Hewitson</v>
      </c>
      <c r="E84" s="146" t="str">
        <f>IFERROR(VLOOKUP(C84,SeriesPoints!$A$2:$B$51,2,FALSE),"")</f>
        <v/>
      </c>
      <c r="F84" s="150" t="str">
        <f>IFERROR(VLOOKUP($A84,EntryList!$A$3:$V$291,22,FALSE),"")</f>
        <v>-</v>
      </c>
      <c r="G84" s="148" t="str">
        <f>IFERROR(VLOOKUP($A84,EntryList!$A$3:$N$291,6,FALSE),"")</f>
        <v>M</v>
      </c>
      <c r="H84" s="145" t="str">
        <f>IFERROR(VLOOKUP($A84,EntryList!$A$3:$N$291,7,FALSE),"")</f>
        <v>Elite Men</v>
      </c>
      <c r="I84" s="56">
        <f t="shared" si="7"/>
        <v>9</v>
      </c>
      <c r="J84" s="57">
        <f>IFERROR(VLOOKUP($A84,SortedDownload!$A$3:$BB$219,31,FALSE)/86400000,"")</f>
        <v>0.38733826388888887</v>
      </c>
      <c r="K84" s="57">
        <f>IFERROR(IF(VLOOKUP($A84,SortedDownload!$A$3:$BB$219,32,FALSE)=0,"-",VLOOKUP($A84,SortedDownload!$A$3:$BB$219,32,FALSE)/86400000),"-")</f>
        <v>0.39024108796296297</v>
      </c>
      <c r="L84" s="57">
        <f>IFERROR(IF(VLOOKUP($A84,SortedDownload!$A$3:$BB$219,33,FALSE)=0,"-",VLOOKUP($A84,SortedDownload!$A$3:$BB$219,33,FALSE)/86400000),"-")</f>
        <v>0.47434740740740738</v>
      </c>
      <c r="M84" s="57">
        <f>IFERROR(IF(VLOOKUP($A84,SortedDownload!$A$3:$BB$219,34,FALSE)=0,"-",VLOOKUP($A84,SortedDownload!$A$3:$BB$219,34,FALSE)/86400000),"-")</f>
        <v>0.47736070601851854</v>
      </c>
      <c r="N84" s="57">
        <f>IFERROR(IF(VLOOKUP($A84,SortedDownload!$A$3:$BB$219,35,FALSE)=0,"-",VLOOKUP($A84,SortedDownload!$A$3:$BB$219,35,FALSE)/86400000),"-")</f>
        <v>0.43729842592592594</v>
      </c>
      <c r="O84" s="57">
        <f>IFERROR(IF(VLOOKUP($A84,SortedDownload!$A$3:$BB$219,36,FALSE)=0,"-",VLOOKUP($A84,SortedDownload!$A$3:$BB$219,36,FALSE)/86400000),"-")</f>
        <v>0.43900041666666667</v>
      </c>
      <c r="P84" s="57">
        <f>IFERROR(IF(VLOOKUP($A84,SortedDownload!$A$3:$BB$219,37,FALSE)=0,"-",VLOOKUP($A84,SortedDownload!$A$3:$BB$219,37,FALSE)/86400000),"-")</f>
        <v>0.53254081018518518</v>
      </c>
      <c r="Q84" s="57">
        <f>IFERROR(IF(VLOOKUP($A84,SortedDownload!$A$3:$BB$219,38,FALSE)=0,"-",VLOOKUP($A84,SortedDownload!$A$3:$BB$219,38,FALSE)/86400000),"-")</f>
        <v>0.53588008101851847</v>
      </c>
      <c r="R84" s="57">
        <f>IFERROR(IF(VLOOKUP($A84,SortedDownload!$A$3:$BB$219,39,FALSE)=0,"-",VLOOKUP($A84,SortedDownload!$A$3:$BB$219,39,FALSE)/86400000),"-")</f>
        <v>0.56754805555555554</v>
      </c>
      <c r="S84" s="57">
        <f>IFERROR(IF(VLOOKUP($A84,SortedDownload!$A$3:$BB$219,40,FALSE)=0,"-",VLOOKUP($A84,SortedDownload!$A$3:$BB$219,40,FALSE)/86400000),"-")</f>
        <v>0.57164251157407409</v>
      </c>
      <c r="T84" s="57" t="str">
        <f>IFERROR(IF(VLOOKUP($A84,SortedDownload!$A$3:$BB$219,41,FALSE)=0,"-",VLOOKUP($A84,SortedDownload!$A$3:$BB$219,41,FALSE)/86400000),"-")</f>
        <v>-</v>
      </c>
      <c r="U84" s="57" t="str">
        <f>IFERROR(IF(VLOOKUP($A84,SortedDownload!$A$3:$BB$219,42,FALSE)=0,"-",VLOOKUP($A84,SortedDownload!$A$3:$BB$219,42,FALSE)/86400000),"-")</f>
        <v>-</v>
      </c>
      <c r="V84" s="57" t="str">
        <f>IFERROR(IF(VLOOKUP($A84,SortedDownload!$A$3:$BB$219,43,FALSE)=0,"-",VLOOKUP($A84,SortedDownload!$A$3:$BB$219,43,FALSE)/86400000),"-")</f>
        <v>-</v>
      </c>
      <c r="W84" s="57" t="str">
        <f>IFERROR(IF(VLOOKUP($A84,SortedDownload!$A$3:$BB$219,44,FALSE)=0,"-",VLOOKUP($A84,SortedDownload!$A$3:$BB$219,44,FALSE)/86400000),"-")</f>
        <v>-</v>
      </c>
      <c r="X84" s="57" t="str">
        <f>IFERROR(IF(VLOOKUP($A84,SortedDownload!$A$3:$BB$219,45,FALSE)=0,"-",VLOOKUP($A84,SortedDownload!$A$3:$BB$219,45,FALSE)/86400000),"-")</f>
        <v>-</v>
      </c>
      <c r="Y84" s="58">
        <f>IFERROR(VLOOKUP($A84,SortedDownload!$A$3:$BB$219,46,FALSE)/86400000,"")</f>
        <v>0</v>
      </c>
      <c r="Z84" s="58">
        <f>IFERROR(Table932[[#This Row],[End Time]]-Table932[[#This Row],[Start Time]],"")</f>
        <v>-0.38733826388888887</v>
      </c>
      <c r="AA84" s="58"/>
      <c r="AB84" s="170" t="str">
        <f t="shared" si="9"/>
        <v>48:34</v>
      </c>
      <c r="AC84" s="170" t="str">
        <f t="shared" si="8"/>
        <v>28:54</v>
      </c>
    </row>
    <row r="85" spans="1:29">
      <c r="A85" s="53">
        <f>IF(SortedDownload!A81 &lt; 1,"",SortedDownload!A81)</f>
        <v>259</v>
      </c>
      <c r="B85" s="54">
        <f t="shared" si="6"/>
        <v>80</v>
      </c>
      <c r="C85" s="146" t="str">
        <f>IFERROR(VLOOKUP($A85,CategoryResults!$A$3:$X$252,3,FALSE),"")</f>
        <v/>
      </c>
      <c r="D85" s="149" t="str">
        <f>IFERROR(VLOOKUP($A85,EntryList!$A$3:$N$291,2,FALSE),"")</f>
        <v>Jessi Nixon</v>
      </c>
      <c r="E85" s="146" t="str">
        <f>IFERROR(VLOOKUP(C85,SeriesPoints!$A$2:$B$51,2,FALSE),"")</f>
        <v/>
      </c>
      <c r="F85" s="150" t="str">
        <f>IFERROR(VLOOKUP($A85,EntryList!$A$3:$V$291,22,FALSE),"")</f>
        <v>-</v>
      </c>
      <c r="G85" s="148" t="str">
        <f>IFERROR(VLOOKUP($A85,EntryList!$A$3:$N$291,6,FALSE),"")</f>
        <v>F</v>
      </c>
      <c r="H85" s="145" t="str">
        <f>IFERROR(VLOOKUP($A85,EntryList!$A$3:$N$291,7,FALSE),"")</f>
        <v>Elite Women</v>
      </c>
      <c r="I85" s="56">
        <f t="shared" si="7"/>
        <v>9</v>
      </c>
      <c r="J85" s="57">
        <f>IFERROR(VLOOKUP($A85,SortedDownload!$A$3:$BB$219,31,FALSE)/86400000,"")</f>
        <v>0.4109863310185185</v>
      </c>
      <c r="K85" s="57">
        <f>IFERROR(IF(VLOOKUP($A85,SortedDownload!$A$3:$BB$219,32,FALSE)=0,"-",VLOOKUP($A85,SortedDownload!$A$3:$BB$219,32,FALSE)/86400000),"-")</f>
        <v>0.41389457175925926</v>
      </c>
      <c r="L85" s="57">
        <f>IFERROR(IF(VLOOKUP($A85,SortedDownload!$A$3:$BB$219,33,FALSE)=0,"-",VLOOKUP($A85,SortedDownload!$A$3:$BB$219,33,FALSE)/86400000),"-")</f>
        <v>0.45155048611111109</v>
      </c>
      <c r="M85" s="57">
        <f>IFERROR(IF(VLOOKUP($A85,SortedDownload!$A$3:$BB$219,34,FALSE)=0,"-",VLOOKUP($A85,SortedDownload!$A$3:$BB$219,34,FALSE)/86400000),"-")</f>
        <v>0.45456207175925928</v>
      </c>
      <c r="N85" s="57">
        <f>IFERROR(IF(VLOOKUP($A85,SortedDownload!$A$3:$BB$219,35,FALSE)=0,"-",VLOOKUP($A85,SortedDownload!$A$3:$BB$219,35,FALSE)/86400000),"-")</f>
        <v>0.36778696759259261</v>
      </c>
      <c r="O85" s="57">
        <f>IFERROR(IF(VLOOKUP($A85,SortedDownload!$A$3:$BB$219,36,FALSE)=0,"-",VLOOKUP($A85,SortedDownload!$A$3:$BB$219,36,FALSE)/86400000),"-")</f>
        <v>0.36947869212962964</v>
      </c>
      <c r="P85" s="57">
        <f>IFERROR(IF(VLOOKUP($A85,SortedDownload!$A$3:$BB$219,37,FALSE)=0,"-",VLOOKUP($A85,SortedDownload!$A$3:$BB$219,37,FALSE)/86400000),"-")</f>
        <v>0.52136498842592593</v>
      </c>
      <c r="Q85" s="57">
        <f>IFERROR(IF(VLOOKUP($A85,SortedDownload!$A$3:$BB$219,38,FALSE)=0,"-",VLOOKUP($A85,SortedDownload!$A$3:$BB$219,38,FALSE)/86400000),"-")</f>
        <v>0.52475743055555557</v>
      </c>
      <c r="R85" s="57">
        <f>IFERROR(IF(VLOOKUP($A85,SortedDownload!$A$3:$BB$219,39,FALSE)=0,"-",VLOOKUP($A85,SortedDownload!$A$3:$BB$219,39,FALSE)/86400000),"-")</f>
        <v>0.56187101851851851</v>
      </c>
      <c r="S85" s="57">
        <f>IFERROR(IF(VLOOKUP($A85,SortedDownload!$A$3:$BB$219,40,FALSE)=0,"-",VLOOKUP($A85,SortedDownload!$A$3:$BB$219,40,FALSE)/86400000),"-")</f>
        <v>0.56594320601851855</v>
      </c>
      <c r="T85" s="57" t="str">
        <f>IFERROR(IF(VLOOKUP($A85,SortedDownload!$A$3:$BB$219,41,FALSE)=0,"-",VLOOKUP($A85,SortedDownload!$A$3:$BB$219,41,FALSE)/86400000),"-")</f>
        <v>-</v>
      </c>
      <c r="U85" s="57" t="str">
        <f>IFERROR(IF(VLOOKUP($A85,SortedDownload!$A$3:$BB$219,42,FALSE)=0,"-",VLOOKUP($A85,SortedDownload!$A$3:$BB$219,42,FALSE)/86400000),"-")</f>
        <v>-</v>
      </c>
      <c r="V85" s="57" t="str">
        <f>IFERROR(IF(VLOOKUP($A85,SortedDownload!$A$3:$BB$219,43,FALSE)=0,"-",VLOOKUP($A85,SortedDownload!$A$3:$BB$219,43,FALSE)/86400000),"-")</f>
        <v>-</v>
      </c>
      <c r="W85" s="57" t="str">
        <f>IFERROR(IF(VLOOKUP($A85,SortedDownload!$A$3:$BB$219,44,FALSE)=0,"-",VLOOKUP($A85,SortedDownload!$A$3:$BB$219,44,FALSE)/86400000),"-")</f>
        <v>-</v>
      </c>
      <c r="X85" s="57" t="str">
        <f>IFERROR(IF(VLOOKUP($A85,SortedDownload!$A$3:$BB$219,45,FALSE)=0,"-",VLOOKUP($A85,SortedDownload!$A$3:$BB$219,45,FALSE)/86400000),"-")</f>
        <v>-</v>
      </c>
      <c r="Y85" s="58">
        <f>IFERROR(VLOOKUP($A85,SortedDownload!$A$3:$BB$219,46,FALSE)/86400000,"")</f>
        <v>0</v>
      </c>
      <c r="Z85" s="58">
        <f>IFERROR(Table932[[#This Row],[End Time]]-Table932[[#This Row],[Start Time]],"")</f>
        <v>-0.4109863310185185</v>
      </c>
      <c r="AA85" s="58"/>
      <c r="AB85" s="170" t="str">
        <f t="shared" si="9"/>
        <v>N/A</v>
      </c>
      <c r="AC85" s="170" t="str">
        <f t="shared" si="8"/>
        <v>N/A</v>
      </c>
    </row>
    <row r="86" spans="1:29">
      <c r="A86" s="53">
        <f>IF(SortedDownload!A82 &lt; 1,"",SortedDownload!A82)</f>
        <v>59</v>
      </c>
      <c r="B86" s="54">
        <f t="shared" si="6"/>
        <v>81</v>
      </c>
      <c r="C86" s="146" t="str">
        <f>IFERROR(VLOOKUP($A86,CategoryResults!$A$3:$X$252,3,FALSE),"")</f>
        <v/>
      </c>
      <c r="D86" s="149" t="str">
        <f>IFERROR(VLOOKUP($A86,EntryList!$A$3:$N$291,2,FALSE),"")</f>
        <v>Kyle Collair</v>
      </c>
      <c r="E86" s="146" t="str">
        <f>IFERROR(VLOOKUP(C86,SeriesPoints!$A$2:$B$51,2,FALSE),"")</f>
        <v/>
      </c>
      <c r="F86" s="150" t="str">
        <f>IFERROR(VLOOKUP($A86,EntryList!$A$3:$V$291,22,FALSE),"")</f>
        <v>-</v>
      </c>
      <c r="G86" s="148" t="str">
        <f>IFERROR(VLOOKUP($A86,EntryList!$A$3:$N$291,6,FALSE),"")</f>
        <v>M</v>
      </c>
      <c r="H86" s="145" t="str">
        <f>IFERROR(VLOOKUP($A86,EntryList!$A$3:$N$291,7,FALSE),"")</f>
        <v>Master Men</v>
      </c>
      <c r="I86" s="56">
        <f t="shared" si="7"/>
        <v>9</v>
      </c>
      <c r="J86" s="57">
        <f>IFERROR(VLOOKUP($A86,SortedDownload!$A$3:$BB$219,31,FALSE)/86400000,"")</f>
        <v>0.39925817129629632</v>
      </c>
      <c r="K86" s="57">
        <f>IFERROR(IF(VLOOKUP($A86,SortedDownload!$A$3:$BB$219,32,FALSE)=0,"-",VLOOKUP($A86,SortedDownload!$A$3:$BB$219,32,FALSE)/86400000),"-")</f>
        <v>0.40247950231481483</v>
      </c>
      <c r="L86" s="57">
        <f>IFERROR(IF(VLOOKUP($A86,SortedDownload!$A$3:$BB$219,33,FALSE)=0,"-",VLOOKUP($A86,SortedDownload!$A$3:$BB$219,33,FALSE)/86400000),"-")</f>
        <v>0.43756233796296296</v>
      </c>
      <c r="M86" s="57">
        <f>IFERROR(IF(VLOOKUP($A86,SortedDownload!$A$3:$BB$219,34,FALSE)=0,"-",VLOOKUP($A86,SortedDownload!$A$3:$BB$219,34,FALSE)/86400000),"-")</f>
        <v>0.44046675925925927</v>
      </c>
      <c r="N86" s="57">
        <f>IFERROR(IF(VLOOKUP($A86,SortedDownload!$A$3:$BB$219,35,FALSE)=0,"-",VLOOKUP($A86,SortedDownload!$A$3:$BB$219,35,FALSE)/86400000),"-")</f>
        <v>0.36607412037037035</v>
      </c>
      <c r="O86" s="57">
        <f>IFERROR(IF(VLOOKUP($A86,SortedDownload!$A$3:$BB$219,36,FALSE)=0,"-",VLOOKUP($A86,SortedDownload!$A$3:$BB$219,36,FALSE)/86400000),"-")</f>
        <v>0.36781410879629628</v>
      </c>
      <c r="P86" s="57">
        <f>IFERROR(IF(VLOOKUP($A86,SortedDownload!$A$3:$BB$219,37,FALSE)=0,"-",VLOOKUP($A86,SortedDownload!$A$3:$BB$219,37,FALSE)/86400000),"-")</f>
        <v>0.4925773263888889</v>
      </c>
      <c r="Q86" s="57">
        <f>IFERROR(IF(VLOOKUP($A86,SortedDownload!$A$3:$BB$219,38,FALSE)=0,"-",VLOOKUP($A86,SortedDownload!$A$3:$BB$219,38,FALSE)/86400000),"-")</f>
        <v>0.49593521990740741</v>
      </c>
      <c r="R86" s="57">
        <f>IFERROR(IF(VLOOKUP($A86,SortedDownload!$A$3:$BB$219,39,FALSE)=0,"-",VLOOKUP($A86,SortedDownload!$A$3:$BB$219,39,FALSE)/86400000),"-")</f>
        <v>0.51681571759259259</v>
      </c>
      <c r="S86" s="57">
        <f>IFERROR(IF(VLOOKUP($A86,SortedDownload!$A$3:$BB$219,40,FALSE)=0,"-",VLOOKUP($A86,SortedDownload!$A$3:$BB$219,40,FALSE)/86400000),"-")</f>
        <v>0.52076901620370375</v>
      </c>
      <c r="T86" s="57" t="str">
        <f>IFERROR(IF(VLOOKUP($A86,SortedDownload!$A$3:$BB$219,41,FALSE)=0,"-",VLOOKUP($A86,SortedDownload!$A$3:$BB$219,41,FALSE)/86400000),"-")</f>
        <v>-</v>
      </c>
      <c r="U86" s="57" t="str">
        <f>IFERROR(IF(VLOOKUP($A86,SortedDownload!$A$3:$BB$219,42,FALSE)=0,"-",VLOOKUP($A86,SortedDownload!$A$3:$BB$219,42,FALSE)/86400000),"-")</f>
        <v>-</v>
      </c>
      <c r="V86" s="57" t="str">
        <f>IFERROR(IF(VLOOKUP($A86,SortedDownload!$A$3:$BB$219,43,FALSE)=0,"-",VLOOKUP($A86,SortedDownload!$A$3:$BB$219,43,FALSE)/86400000),"-")</f>
        <v>-</v>
      </c>
      <c r="W86" s="57" t="str">
        <f>IFERROR(IF(VLOOKUP($A86,SortedDownload!$A$3:$BB$219,44,FALSE)=0,"-",VLOOKUP($A86,SortedDownload!$A$3:$BB$219,44,FALSE)/86400000),"-")</f>
        <v>-</v>
      </c>
      <c r="X86" s="57" t="str">
        <f>IFERROR(IF(VLOOKUP($A86,SortedDownload!$A$3:$BB$219,45,FALSE)=0,"-",VLOOKUP($A86,SortedDownload!$A$3:$BB$219,45,FALSE)/86400000),"-")</f>
        <v>-</v>
      </c>
      <c r="Y86" s="58">
        <f>IFERROR(VLOOKUP($A86,SortedDownload!$A$3:$BB$219,46,FALSE)/86400000,"")</f>
        <v>0</v>
      </c>
      <c r="Z86" s="58">
        <f>IFERROR(Table932[[#This Row],[End Time]]-Table932[[#This Row],[Start Time]],"")</f>
        <v>-0.39925817129629632</v>
      </c>
      <c r="AA86" s="58"/>
      <c r="AB86" s="170" t="str">
        <f t="shared" si="9"/>
        <v>16:53</v>
      </c>
      <c r="AC86" s="170" t="str">
        <f t="shared" si="8"/>
        <v>11:45</v>
      </c>
    </row>
    <row r="87" spans="1:29">
      <c r="A87" s="53">
        <f>IF(SortedDownload!A83 &lt; 1,"",SortedDownload!A83)</f>
        <v>178</v>
      </c>
      <c r="B87" s="54">
        <f t="shared" si="6"/>
        <v>82</v>
      </c>
      <c r="C87" s="146" t="str">
        <f>IFERROR(VLOOKUP($A87,CategoryResults!$A$3:$X$252,3,FALSE),"")</f>
        <v/>
      </c>
      <c r="D87" s="149" t="str">
        <f>IFERROR(VLOOKUP($A87,EntryList!$A$3:$N$291,2,FALSE),"")</f>
        <v>Gustav Raubenheimer</v>
      </c>
      <c r="E87" s="146" t="str">
        <f>IFERROR(VLOOKUP(C87,SeriesPoints!$A$2:$B$51,2,FALSE),"")</f>
        <v/>
      </c>
      <c r="F87" s="150" t="str">
        <f>IFERROR(VLOOKUP($A87,EntryList!$A$3:$V$291,22,FALSE),"")</f>
        <v>-</v>
      </c>
      <c r="G87" s="148" t="str">
        <f>IFERROR(VLOOKUP($A87,EntryList!$A$3:$N$291,6,FALSE),"")</f>
        <v>M</v>
      </c>
      <c r="H87" s="145" t="str">
        <f>IFERROR(VLOOKUP($A87,EntryList!$A$3:$N$291,7,FALSE),"")</f>
        <v>Youth Men</v>
      </c>
      <c r="I87" s="56">
        <f t="shared" si="7"/>
        <v>9</v>
      </c>
      <c r="J87" s="57">
        <f>IFERROR(VLOOKUP($A87,SortedDownload!$A$3:$BB$219,31,FALSE)/86400000,"")</f>
        <v>0.370190625</v>
      </c>
      <c r="K87" s="57">
        <f>IFERROR(IF(VLOOKUP($A87,SortedDownload!$A$3:$BB$219,32,FALSE)=0,"-",VLOOKUP($A87,SortedDownload!$A$3:$BB$219,32,FALSE)/86400000),"-")</f>
        <v>0.37329493055555557</v>
      </c>
      <c r="L87" s="57">
        <f>IFERROR(IF(VLOOKUP($A87,SortedDownload!$A$3:$BB$219,33,FALSE)=0,"-",VLOOKUP($A87,SortedDownload!$A$3:$BB$219,33,FALSE)/86400000),"-")</f>
        <v>0.41011091435185187</v>
      </c>
      <c r="M87" s="57">
        <f>IFERROR(IF(VLOOKUP($A87,SortedDownload!$A$3:$BB$219,34,FALSE)=0,"-",VLOOKUP($A87,SortedDownload!$A$3:$BB$219,34,FALSE)/86400000),"-")</f>
        <v>0.41303954861111108</v>
      </c>
      <c r="N87" s="57">
        <f>IFERROR(IF(VLOOKUP($A87,SortedDownload!$A$3:$BB$219,35,FALSE)=0,"-",VLOOKUP($A87,SortedDownload!$A$3:$BB$219,35,FALSE)/86400000),"-")</f>
        <v>0.4487464814814815</v>
      </c>
      <c r="O87" s="57">
        <f>IFERROR(IF(VLOOKUP($A87,SortedDownload!$A$3:$BB$219,36,FALSE)=0,"-",VLOOKUP($A87,SortedDownload!$A$3:$BB$219,36,FALSE)/86400000),"-")</f>
        <v>0.4504563425925926</v>
      </c>
      <c r="P87" s="57">
        <f>IFERROR(IF(VLOOKUP($A87,SortedDownload!$A$3:$BB$219,37,FALSE)=0,"-",VLOOKUP($A87,SortedDownload!$A$3:$BB$219,37,FALSE)/86400000),"-")</f>
        <v>0.49847189814814813</v>
      </c>
      <c r="Q87" s="57">
        <f>IFERROR(IF(VLOOKUP($A87,SortedDownload!$A$3:$BB$219,38,FALSE)=0,"-",VLOOKUP($A87,SortedDownload!$A$3:$BB$219,38,FALSE)/86400000),"-")</f>
        <v>0.50177962962962963</v>
      </c>
      <c r="R87" s="57">
        <f>IFERROR(IF(VLOOKUP($A87,SortedDownload!$A$3:$BB$219,39,FALSE)=0,"-",VLOOKUP($A87,SortedDownload!$A$3:$BB$219,39,FALSE)/86400000),"-")</f>
        <v>0.52728986111111109</v>
      </c>
      <c r="S87" s="57">
        <f>IFERROR(IF(VLOOKUP($A87,SortedDownload!$A$3:$BB$219,40,FALSE)=0,"-",VLOOKUP($A87,SortedDownload!$A$3:$BB$219,40,FALSE)/86400000),"-")</f>
        <v>0.53143625000000005</v>
      </c>
      <c r="T87" s="57" t="str">
        <f>IFERROR(IF(VLOOKUP($A87,SortedDownload!$A$3:$BB$219,41,FALSE)=0,"-",VLOOKUP($A87,SortedDownload!$A$3:$BB$219,41,FALSE)/86400000),"-")</f>
        <v>-</v>
      </c>
      <c r="U87" s="57" t="str">
        <f>IFERROR(IF(VLOOKUP($A87,SortedDownload!$A$3:$BB$219,42,FALSE)=0,"-",VLOOKUP($A87,SortedDownload!$A$3:$BB$219,42,FALSE)/86400000),"-")</f>
        <v>-</v>
      </c>
      <c r="V87" s="57" t="str">
        <f>IFERROR(IF(VLOOKUP($A87,SortedDownload!$A$3:$BB$219,43,FALSE)=0,"-",VLOOKUP($A87,SortedDownload!$A$3:$BB$219,43,FALSE)/86400000),"-")</f>
        <v>-</v>
      </c>
      <c r="W87" s="57" t="str">
        <f>IFERROR(IF(VLOOKUP($A87,SortedDownload!$A$3:$BB$219,44,FALSE)=0,"-",VLOOKUP($A87,SortedDownload!$A$3:$BB$219,44,FALSE)/86400000),"-")</f>
        <v>-</v>
      </c>
      <c r="X87" s="57" t="str">
        <f>IFERROR(IF(VLOOKUP($A87,SortedDownload!$A$3:$BB$219,45,FALSE)=0,"-",VLOOKUP($A87,SortedDownload!$A$3:$BB$219,45,FALSE)/86400000),"-")</f>
        <v>-</v>
      </c>
      <c r="Y87" s="58">
        <f>IFERROR(VLOOKUP($A87,SortedDownload!$A$3:$BB$219,46,FALSE)/86400000,"")</f>
        <v>0</v>
      </c>
      <c r="Z87" s="58">
        <f>IFERROR(Table932[[#This Row],[End Time]]-Table932[[#This Row],[Start Time]],"")</f>
        <v>-0.370190625</v>
      </c>
      <c r="AA87" s="58"/>
      <c r="AB87" s="170" t="str">
        <f t="shared" si="9"/>
        <v>41:51</v>
      </c>
      <c r="AC87" s="170" t="str">
        <f t="shared" si="8"/>
        <v>53:36</v>
      </c>
    </row>
    <row r="88" spans="1:29">
      <c r="A88" s="53">
        <f>IF(SortedDownload!A84 &lt; 1,"",SortedDownload!A84)</f>
        <v>184</v>
      </c>
      <c r="B88" s="54">
        <f t="shared" si="6"/>
        <v>83</v>
      </c>
      <c r="C88" s="146" t="str">
        <f>IFERROR(VLOOKUP($A88,CategoryResults!$A$3:$X$252,3,FALSE),"")</f>
        <v/>
      </c>
      <c r="D88" s="149" t="str">
        <f>IFERROR(VLOOKUP($A88,EntryList!$A$3:$N$291,2,FALSE),"")</f>
        <v>Leon Bartel</v>
      </c>
      <c r="E88" s="146" t="str">
        <f>IFERROR(VLOOKUP(C88,SeriesPoints!$A$2:$B$51,2,FALSE),"")</f>
        <v/>
      </c>
      <c r="F88" s="150" t="str">
        <f>IFERROR(VLOOKUP($A88,EntryList!$A$3:$V$291,22,FALSE),"")</f>
        <v>-</v>
      </c>
      <c r="G88" s="148" t="str">
        <f>IFERROR(VLOOKUP($A88,EntryList!$A$3:$N$291,6,FALSE),"")</f>
        <v>M</v>
      </c>
      <c r="H88" s="145" t="str">
        <f>IFERROR(VLOOKUP($A88,EntryList!$A$3:$N$291,7,FALSE),"")</f>
        <v>Elite Men</v>
      </c>
      <c r="I88" s="56">
        <f t="shared" si="7"/>
        <v>9</v>
      </c>
      <c r="J88" s="57">
        <f>IFERROR(VLOOKUP($A88,SortedDownload!$A$3:$BB$219,31,FALSE)/86400000,"")</f>
        <v>0.42485525462962964</v>
      </c>
      <c r="K88" s="57">
        <f>IFERROR(IF(VLOOKUP($A88,SortedDownload!$A$3:$BB$219,32,FALSE)=0,"-",VLOOKUP($A88,SortedDownload!$A$3:$BB$219,32,FALSE)/86400000),"-")</f>
        <v>0.42804675925925928</v>
      </c>
      <c r="L88" s="57">
        <f>IFERROR(IF(VLOOKUP($A88,SortedDownload!$A$3:$BB$219,33,FALSE)=0,"-",VLOOKUP($A88,SortedDownload!$A$3:$BB$219,33,FALSE)/86400000),"-")</f>
        <v>0.46486115740740741</v>
      </c>
      <c r="M88" s="57">
        <f>IFERROR(IF(VLOOKUP($A88,SortedDownload!$A$3:$BB$219,34,FALSE)=0,"-",VLOOKUP($A88,SortedDownload!$A$3:$BB$219,34,FALSE)/86400000),"-")</f>
        <v>0.46784626157407405</v>
      </c>
      <c r="N88" s="57">
        <f>IFERROR(IF(VLOOKUP($A88,SortedDownload!$A$3:$BB$219,35,FALSE)=0,"-",VLOOKUP($A88,SortedDownload!$A$3:$BB$219,35,FALSE)/86400000),"-")</f>
        <v>0.37828658564814815</v>
      </c>
      <c r="O88" s="57">
        <f>IFERROR(IF(VLOOKUP($A88,SortedDownload!$A$3:$BB$219,36,FALSE)=0,"-",VLOOKUP($A88,SortedDownload!$A$3:$BB$219,36,FALSE)/86400000),"-")</f>
        <v>0.38011787037037037</v>
      </c>
      <c r="P88" s="57">
        <f>IFERROR(IF(VLOOKUP($A88,SortedDownload!$A$3:$BB$219,37,FALSE)=0,"-",VLOOKUP($A88,SortedDownload!$A$3:$BB$219,37,FALSE)/86400000),"-")</f>
        <v>0.51530425925925927</v>
      </c>
      <c r="Q88" s="57">
        <f>IFERROR(IF(VLOOKUP($A88,SortedDownload!$A$3:$BB$219,38,FALSE)=0,"-",VLOOKUP($A88,SortedDownload!$A$3:$BB$219,38,FALSE)/86400000),"-")</f>
        <v>0.51870502314814815</v>
      </c>
      <c r="R88" s="57">
        <f>IFERROR(IF(VLOOKUP($A88,SortedDownload!$A$3:$BB$219,39,FALSE)=0,"-",VLOOKUP($A88,SortedDownload!$A$3:$BB$219,39,FALSE)/86400000),"-")</f>
        <v>0.55978537037037035</v>
      </c>
      <c r="S88" s="57">
        <f>IFERROR(IF(VLOOKUP($A88,SortedDownload!$A$3:$BB$219,40,FALSE)=0,"-",VLOOKUP($A88,SortedDownload!$A$3:$BB$219,40,FALSE)/86400000),"-")</f>
        <v>0.56370314814814815</v>
      </c>
      <c r="T88" s="57" t="str">
        <f>IFERROR(IF(VLOOKUP($A88,SortedDownload!$A$3:$BB$219,41,FALSE)=0,"-",VLOOKUP($A88,SortedDownload!$A$3:$BB$219,41,FALSE)/86400000),"-")</f>
        <v>-</v>
      </c>
      <c r="U88" s="57" t="str">
        <f>IFERROR(IF(VLOOKUP($A88,SortedDownload!$A$3:$BB$219,42,FALSE)=0,"-",VLOOKUP($A88,SortedDownload!$A$3:$BB$219,42,FALSE)/86400000),"-")</f>
        <v>-</v>
      </c>
      <c r="V88" s="57" t="str">
        <f>IFERROR(IF(VLOOKUP($A88,SortedDownload!$A$3:$BB$219,43,FALSE)=0,"-",VLOOKUP($A88,SortedDownload!$A$3:$BB$219,43,FALSE)/86400000),"-")</f>
        <v>-</v>
      </c>
      <c r="W88" s="57" t="str">
        <f>IFERROR(IF(VLOOKUP($A88,SortedDownload!$A$3:$BB$219,44,FALSE)=0,"-",VLOOKUP($A88,SortedDownload!$A$3:$BB$219,44,FALSE)/86400000),"-")</f>
        <v>-</v>
      </c>
      <c r="X88" s="57" t="str">
        <f>IFERROR(IF(VLOOKUP($A88,SortedDownload!$A$3:$BB$219,45,FALSE)=0,"-",VLOOKUP($A88,SortedDownload!$A$3:$BB$219,45,FALSE)/86400000),"-")</f>
        <v>-</v>
      </c>
      <c r="Y88" s="58">
        <f>IFERROR(VLOOKUP($A88,SortedDownload!$A$3:$BB$219,46,FALSE)/86400000,"")</f>
        <v>0</v>
      </c>
      <c r="Z88" s="58">
        <f>IFERROR(Table932[[#This Row],[End Time]]-Table932[[#This Row],[Start Time]],"")</f>
        <v>-0.42485525462962964</v>
      </c>
      <c r="AA88" s="58"/>
      <c r="AB88" s="170" t="str">
        <f t="shared" si="9"/>
        <v>N/A</v>
      </c>
      <c r="AC88" s="170" t="str">
        <f t="shared" si="8"/>
        <v>N/A</v>
      </c>
    </row>
    <row r="89" spans="1:29">
      <c r="A89" s="53">
        <f>IF(SortedDownload!A85 &lt; 1,"",SortedDownload!A85)</f>
        <v>162</v>
      </c>
      <c r="B89" s="54">
        <f t="shared" si="6"/>
        <v>84</v>
      </c>
      <c r="C89" s="146" t="str">
        <f>IFERROR(VLOOKUP($A89,CategoryResults!$A$3:$X$252,3,FALSE),"")</f>
        <v/>
      </c>
      <c r="D89" s="149" t="str">
        <f>IFERROR(VLOOKUP($A89,EntryList!$A$3:$N$291,2,FALSE),"")</f>
        <v>Fritz Kolb</v>
      </c>
      <c r="E89" s="146" t="str">
        <f>IFERROR(VLOOKUP(C89,SeriesPoints!$A$2:$B$51,2,FALSE),"")</f>
        <v/>
      </c>
      <c r="F89" s="150" t="str">
        <f>IFERROR(VLOOKUP($A89,EntryList!$A$3:$V$291,22,FALSE),"")</f>
        <v>-</v>
      </c>
      <c r="G89" s="148" t="str">
        <f>IFERROR(VLOOKUP($A89,EntryList!$A$3:$N$291,6,FALSE),"")</f>
        <v>M</v>
      </c>
      <c r="H89" s="145" t="str">
        <f>IFERROR(VLOOKUP($A89,EntryList!$A$3:$N$291,7,FALSE),"")</f>
        <v>Youth Men</v>
      </c>
      <c r="I89" s="56">
        <f t="shared" si="7"/>
        <v>9</v>
      </c>
      <c r="J89" s="57">
        <f>IFERROR(VLOOKUP($A89,SortedDownload!$A$3:$BB$219,31,FALSE)/86400000,"")</f>
        <v>0.42928630787037036</v>
      </c>
      <c r="K89" s="57">
        <f>IFERROR(IF(VLOOKUP($A89,SortedDownload!$A$3:$BB$219,32,FALSE)=0,"-",VLOOKUP($A89,SortedDownload!$A$3:$BB$219,32,FALSE)/86400000),"-")</f>
        <v>0.4324838773148148</v>
      </c>
      <c r="L89" s="57">
        <f>IFERROR(IF(VLOOKUP($A89,SortedDownload!$A$3:$BB$219,33,FALSE)=0,"-",VLOOKUP($A89,SortedDownload!$A$3:$BB$219,33,FALSE)/86400000),"-")</f>
        <v>0.3784605324074074</v>
      </c>
      <c r="M89" s="57">
        <f>IFERROR(IF(VLOOKUP($A89,SortedDownload!$A$3:$BB$219,34,FALSE)=0,"-",VLOOKUP($A89,SortedDownload!$A$3:$BB$219,34,FALSE)/86400000),"-")</f>
        <v>0.38154100694444443</v>
      </c>
      <c r="N89" s="57">
        <f>IFERROR(IF(VLOOKUP($A89,SortedDownload!$A$3:$BB$219,35,FALSE)=0,"-",VLOOKUP($A89,SortedDownload!$A$3:$BB$219,35,FALSE)/86400000),"-")</f>
        <v>0.47445270833333331</v>
      </c>
      <c r="O89" s="57">
        <f>IFERROR(IF(VLOOKUP($A89,SortedDownload!$A$3:$BB$219,36,FALSE)=0,"-",VLOOKUP($A89,SortedDownload!$A$3:$BB$219,36,FALSE)/86400000),"-")</f>
        <v>0.4761609259259259</v>
      </c>
      <c r="P89" s="57">
        <f>IFERROR(IF(VLOOKUP($A89,SortedDownload!$A$3:$BB$219,37,FALSE)=0,"-",VLOOKUP($A89,SortedDownload!$A$3:$BB$219,37,FALSE)/86400000),"-")</f>
        <v>0.52853737268518519</v>
      </c>
      <c r="Q89" s="57">
        <f>IFERROR(IF(VLOOKUP($A89,SortedDownload!$A$3:$BB$219,38,FALSE)=0,"-",VLOOKUP($A89,SortedDownload!$A$3:$BB$219,38,FALSE)/86400000),"-")</f>
        <v>0.53194276620370373</v>
      </c>
      <c r="R89" s="57">
        <f>IFERROR(IF(VLOOKUP($A89,SortedDownload!$A$3:$BB$219,39,FALSE)=0,"-",VLOOKUP($A89,SortedDownload!$A$3:$BB$219,39,FALSE)/86400000),"-")</f>
        <v>0.56500798611111114</v>
      </c>
      <c r="S89" s="57">
        <f>IFERROR(IF(VLOOKUP($A89,SortedDownload!$A$3:$BB$219,40,FALSE)=0,"-",VLOOKUP($A89,SortedDownload!$A$3:$BB$219,40,FALSE)/86400000),"-")</f>
        <v>0.56894666666666671</v>
      </c>
      <c r="T89" s="57" t="str">
        <f>IFERROR(IF(VLOOKUP($A89,SortedDownload!$A$3:$BB$219,41,FALSE)=0,"-",VLOOKUP($A89,SortedDownload!$A$3:$BB$219,41,FALSE)/86400000),"-")</f>
        <v>-</v>
      </c>
      <c r="U89" s="57" t="str">
        <f>IFERROR(IF(VLOOKUP($A89,SortedDownload!$A$3:$BB$219,42,FALSE)=0,"-",VLOOKUP($A89,SortedDownload!$A$3:$BB$219,42,FALSE)/86400000),"-")</f>
        <v>-</v>
      </c>
      <c r="V89" s="57" t="str">
        <f>IFERROR(IF(VLOOKUP($A89,SortedDownload!$A$3:$BB$219,43,FALSE)=0,"-",VLOOKUP($A89,SortedDownload!$A$3:$BB$219,43,FALSE)/86400000),"-")</f>
        <v>-</v>
      </c>
      <c r="W89" s="57" t="str">
        <f>IFERROR(IF(VLOOKUP($A89,SortedDownload!$A$3:$BB$219,44,FALSE)=0,"-",VLOOKUP($A89,SortedDownload!$A$3:$BB$219,44,FALSE)/86400000),"-")</f>
        <v>-</v>
      </c>
      <c r="X89" s="57" t="str">
        <f>IFERROR(IF(VLOOKUP($A89,SortedDownload!$A$3:$BB$219,45,FALSE)=0,"-",VLOOKUP($A89,SortedDownload!$A$3:$BB$219,45,FALSE)/86400000),"-")</f>
        <v>-</v>
      </c>
      <c r="Y89" s="58">
        <f>IFERROR(VLOOKUP($A89,SortedDownload!$A$3:$BB$219,46,FALSE)/86400000,"")</f>
        <v>0</v>
      </c>
      <c r="Z89" s="58">
        <f>IFERROR(Table932[[#This Row],[End Time]]-Table932[[#This Row],[Start Time]],"")</f>
        <v>-0.42928630787037036</v>
      </c>
      <c r="AA89" s="58"/>
      <c r="AB89" s="170" t="str">
        <f t="shared" si="9"/>
        <v>N/A</v>
      </c>
      <c r="AC89" s="170" t="str">
        <f t="shared" si="8"/>
        <v>N/A</v>
      </c>
    </row>
    <row r="90" spans="1:29">
      <c r="A90" s="53">
        <f>IF(SortedDownload!A86 &lt; 1,"",SortedDownload!A86)</f>
        <v>226</v>
      </c>
      <c r="B90" s="54">
        <f t="shared" si="6"/>
        <v>85</v>
      </c>
      <c r="C90" s="146" t="str">
        <f>IFERROR(VLOOKUP($A90,CategoryResults!$A$3:$X$252,3,FALSE),"")</f>
        <v/>
      </c>
      <c r="D90" s="149" t="str">
        <f>IFERROR(VLOOKUP($A90,EntryList!$A$3:$N$291,2,FALSE),"")</f>
        <v>Adriaan De Lange</v>
      </c>
      <c r="E90" s="146" t="str">
        <f>IFERROR(VLOOKUP(C90,SeriesPoints!$A$2:$B$51,2,FALSE),"")</f>
        <v/>
      </c>
      <c r="F90" s="150" t="str">
        <f>IFERROR(VLOOKUP($A90,EntryList!$A$3:$V$291,22,FALSE),"")</f>
        <v>-</v>
      </c>
      <c r="G90" s="148" t="str">
        <f>IFERROR(VLOOKUP($A90,EntryList!$A$3:$N$291,6,FALSE),"")</f>
        <v>M</v>
      </c>
      <c r="H90" s="145" t="str">
        <f>IFERROR(VLOOKUP($A90,EntryList!$A$3:$N$291,7,FALSE),"")</f>
        <v>Elite Men</v>
      </c>
      <c r="I90" s="56">
        <f t="shared" si="7"/>
        <v>9</v>
      </c>
      <c r="J90" s="57">
        <f>IFERROR(VLOOKUP($A90,SortedDownload!$A$3:$BB$219,31,FALSE)/86400000,"")</f>
        <v>0.31886202546296294</v>
      </c>
      <c r="K90" s="57">
        <f>IFERROR(IF(VLOOKUP($A90,SortedDownload!$A$3:$BB$219,32,FALSE)=0,"-",VLOOKUP($A90,SortedDownload!$A$3:$BB$219,32,FALSE)/86400000),"-")</f>
        <v>0.32258991898148148</v>
      </c>
      <c r="L90" s="57">
        <f>IFERROR(IF(VLOOKUP($A90,SortedDownload!$A$3:$BB$219,33,FALSE)=0,"-",VLOOKUP($A90,SortedDownload!$A$3:$BB$219,33,FALSE)/86400000),"-")</f>
        <v>0.52170016203703706</v>
      </c>
      <c r="M90" s="57">
        <f>IFERROR(IF(VLOOKUP($A90,SortedDownload!$A$3:$BB$219,34,FALSE)=0,"-",VLOOKUP($A90,SortedDownload!$A$3:$BB$219,34,FALSE)/86400000),"-")</f>
        <v>0.52479724537037042</v>
      </c>
      <c r="N90" s="57">
        <f>IFERROR(IF(VLOOKUP($A90,SortedDownload!$A$3:$BB$219,35,FALSE)=0,"-",VLOOKUP($A90,SortedDownload!$A$3:$BB$219,35,FALSE)/86400000),"-")</f>
        <v>0.34498111111111113</v>
      </c>
      <c r="O90" s="57">
        <f>IFERROR(IF(VLOOKUP($A90,SortedDownload!$A$3:$BB$219,36,FALSE)=0,"-",VLOOKUP($A90,SortedDownload!$A$3:$BB$219,36,FALSE)/86400000),"-")</f>
        <v>0.34655805555555558</v>
      </c>
      <c r="P90" s="57">
        <f>IFERROR(IF(VLOOKUP($A90,SortedDownload!$A$3:$BB$219,37,FALSE)=0,"-",VLOOKUP($A90,SortedDownload!$A$3:$BB$219,37,FALSE)/86400000),"-")</f>
        <v>0.56087118055555552</v>
      </c>
      <c r="Q90" s="57">
        <f>IFERROR(IF(VLOOKUP($A90,SortedDownload!$A$3:$BB$219,38,FALSE)=0,"-",VLOOKUP($A90,SortedDownload!$A$3:$BB$219,38,FALSE)/86400000),"-")</f>
        <v>0.56406031249999999</v>
      </c>
      <c r="R90" s="57">
        <f>IFERROR(IF(VLOOKUP($A90,SortedDownload!$A$3:$BB$219,39,FALSE)=0,"-",VLOOKUP($A90,SortedDownload!$A$3:$BB$219,39,FALSE)/86400000),"-")</f>
        <v>0.58255793981481485</v>
      </c>
      <c r="S90" s="57">
        <f>IFERROR(IF(VLOOKUP($A90,SortedDownload!$A$3:$BB$219,40,FALSE)=0,"-",VLOOKUP($A90,SortedDownload!$A$3:$BB$219,40,FALSE)/86400000),"-")</f>
        <v>0.58631928240740738</v>
      </c>
      <c r="T90" s="57" t="str">
        <f>IFERROR(IF(VLOOKUP($A90,SortedDownload!$A$3:$BB$219,41,FALSE)=0,"-",VLOOKUP($A90,SortedDownload!$A$3:$BB$219,41,FALSE)/86400000),"-")</f>
        <v>-</v>
      </c>
      <c r="U90" s="57" t="str">
        <f>IFERROR(IF(VLOOKUP($A90,SortedDownload!$A$3:$BB$219,42,FALSE)=0,"-",VLOOKUP($A90,SortedDownload!$A$3:$BB$219,42,FALSE)/86400000),"-")</f>
        <v>-</v>
      </c>
      <c r="V90" s="57" t="str">
        <f>IFERROR(IF(VLOOKUP($A90,SortedDownload!$A$3:$BB$219,43,FALSE)=0,"-",VLOOKUP($A90,SortedDownload!$A$3:$BB$219,43,FALSE)/86400000),"-")</f>
        <v>-</v>
      </c>
      <c r="W90" s="57" t="str">
        <f>IFERROR(IF(VLOOKUP($A90,SortedDownload!$A$3:$BB$219,44,FALSE)=0,"-",VLOOKUP($A90,SortedDownload!$A$3:$BB$219,44,FALSE)/86400000),"-")</f>
        <v>-</v>
      </c>
      <c r="X90" s="57" t="str">
        <f>IFERROR(IF(VLOOKUP($A90,SortedDownload!$A$3:$BB$219,45,FALSE)=0,"-",VLOOKUP($A90,SortedDownload!$A$3:$BB$219,45,FALSE)/86400000),"-")</f>
        <v>-</v>
      </c>
      <c r="Y90" s="58">
        <f>IFERROR(VLOOKUP($A90,SortedDownload!$A$3:$BB$219,46,FALSE)/86400000,"")</f>
        <v>0</v>
      </c>
      <c r="Z90" s="58">
        <f>IFERROR(Table932[[#This Row],[End Time]]-Table932[[#This Row],[Start Time]],"")</f>
        <v>-0.31886202546296294</v>
      </c>
      <c r="AA90" s="58"/>
      <c r="AB90" s="170" t="str">
        <f t="shared" si="9"/>
        <v>39:01</v>
      </c>
      <c r="AC90" s="170" t="str">
        <f t="shared" si="8"/>
        <v>07:31</v>
      </c>
    </row>
    <row r="91" spans="1:29">
      <c r="A91" s="53">
        <f>IF(SortedDownload!A87 &lt; 1,"",SortedDownload!A87)</f>
        <v>261</v>
      </c>
      <c r="B91" s="54">
        <f t="shared" si="6"/>
        <v>86</v>
      </c>
      <c r="C91" s="146" t="str">
        <f>IFERROR(VLOOKUP($A91,CategoryResults!$A$3:$X$252,3,FALSE),"")</f>
        <v/>
      </c>
      <c r="D91" s="149" t="str">
        <f>IFERROR(VLOOKUP($A91,EntryList!$A$3:$N$291,2,FALSE),"")</f>
        <v>Gina Nixon</v>
      </c>
      <c r="E91" s="146" t="str">
        <f>IFERROR(VLOOKUP(C91,SeriesPoints!$A$2:$B$51,2,FALSE),"")</f>
        <v/>
      </c>
      <c r="F91" s="150" t="str">
        <f>IFERROR(VLOOKUP($A91,EntryList!$A$3:$V$291,22,FALSE),"")</f>
        <v>-</v>
      </c>
      <c r="G91" s="148" t="str">
        <f>IFERROR(VLOOKUP($A91,EntryList!$A$3:$N$291,6,FALSE),"")</f>
        <v>F</v>
      </c>
      <c r="H91" s="145" t="str">
        <f>IFERROR(VLOOKUP($A91,EntryList!$A$3:$N$291,7,FALSE),"")</f>
        <v>E-Bike F</v>
      </c>
      <c r="I91" s="56">
        <f t="shared" si="7"/>
        <v>9</v>
      </c>
      <c r="J91" s="57">
        <f>IFERROR(VLOOKUP($A91,SortedDownload!$A$3:$BB$219,31,FALSE)/86400000,"")</f>
        <v>0.41116876157407406</v>
      </c>
      <c r="K91" s="57">
        <f>IFERROR(IF(VLOOKUP($A91,SortedDownload!$A$3:$BB$219,32,FALSE)=0,"-",VLOOKUP($A91,SortedDownload!$A$3:$BB$219,32,FALSE)/86400000),"-")</f>
        <v>0.41442483796296298</v>
      </c>
      <c r="L91" s="57">
        <f>IFERROR(IF(VLOOKUP($A91,SortedDownload!$A$3:$BB$219,33,FALSE)=0,"-",VLOOKUP($A91,SortedDownload!$A$3:$BB$219,33,FALSE)/86400000),"-")</f>
        <v>0.38284307870370371</v>
      </c>
      <c r="M91" s="57">
        <f>IFERROR(IF(VLOOKUP($A91,SortedDownload!$A$3:$BB$219,34,FALSE)=0,"-",VLOOKUP($A91,SortedDownload!$A$3:$BB$219,34,FALSE)/86400000),"-")</f>
        <v>0.38581184027777776</v>
      </c>
      <c r="N91" s="57">
        <f>IFERROR(IF(VLOOKUP($A91,SortedDownload!$A$3:$BB$219,35,FALSE)=0,"-",VLOOKUP($A91,SortedDownload!$A$3:$BB$219,35,FALSE)/86400000),"-")</f>
        <v>0.36037471064814813</v>
      </c>
      <c r="O91" s="57">
        <f>IFERROR(IF(VLOOKUP($A91,SortedDownload!$A$3:$BB$219,36,FALSE)=0,"-",VLOOKUP($A91,SortedDownload!$A$3:$BB$219,36,FALSE)/86400000),"-")</f>
        <v>0.36216884259259258</v>
      </c>
      <c r="P91" s="57">
        <f>IFERROR(IF(VLOOKUP($A91,SortedDownload!$A$3:$BB$219,37,FALSE)=0,"-",VLOOKUP($A91,SortedDownload!$A$3:$BB$219,37,FALSE)/86400000),"-")</f>
        <v>0.45738812499999998</v>
      </c>
      <c r="Q91" s="57">
        <f>IFERROR(IF(VLOOKUP($A91,SortedDownload!$A$3:$BB$219,38,FALSE)=0,"-",VLOOKUP($A91,SortedDownload!$A$3:$BB$219,38,FALSE)/86400000),"-")</f>
        <v>0.46077925925925928</v>
      </c>
      <c r="R91" s="57">
        <f>IFERROR(IF(VLOOKUP($A91,SortedDownload!$A$3:$BB$219,39,FALSE)=0,"-",VLOOKUP($A91,SortedDownload!$A$3:$BB$219,39,FALSE)/86400000),"-")</f>
        <v>0.47523050925925925</v>
      </c>
      <c r="S91" s="57">
        <f>IFERROR(IF(VLOOKUP($A91,SortedDownload!$A$3:$BB$219,40,FALSE)=0,"-",VLOOKUP($A91,SortedDownload!$A$3:$BB$219,40,FALSE)/86400000),"-")</f>
        <v>0.47926844907407407</v>
      </c>
      <c r="T91" s="57" t="str">
        <f>IFERROR(IF(VLOOKUP($A91,SortedDownload!$A$3:$BB$219,41,FALSE)=0,"-",VLOOKUP($A91,SortedDownload!$A$3:$BB$219,41,FALSE)/86400000),"-")</f>
        <v>-</v>
      </c>
      <c r="U91" s="57" t="str">
        <f>IFERROR(IF(VLOOKUP($A91,SortedDownload!$A$3:$BB$219,42,FALSE)=0,"-",VLOOKUP($A91,SortedDownload!$A$3:$BB$219,42,FALSE)/86400000),"-")</f>
        <v>-</v>
      </c>
      <c r="V91" s="57" t="str">
        <f>IFERROR(IF(VLOOKUP($A91,SortedDownload!$A$3:$BB$219,43,FALSE)=0,"-",VLOOKUP($A91,SortedDownload!$A$3:$BB$219,43,FALSE)/86400000),"-")</f>
        <v>-</v>
      </c>
      <c r="W91" s="57" t="str">
        <f>IFERROR(IF(VLOOKUP($A91,SortedDownload!$A$3:$BB$219,44,FALSE)=0,"-",VLOOKUP($A91,SortedDownload!$A$3:$BB$219,44,FALSE)/86400000),"-")</f>
        <v>-</v>
      </c>
      <c r="X91" s="57" t="str">
        <f>IFERROR(IF(VLOOKUP($A91,SortedDownload!$A$3:$BB$219,45,FALSE)=0,"-",VLOOKUP($A91,SortedDownload!$A$3:$BB$219,45,FALSE)/86400000),"-")</f>
        <v>-</v>
      </c>
      <c r="Y91" s="58">
        <f>IFERROR(VLOOKUP($A91,SortedDownload!$A$3:$BB$219,46,FALSE)/86400000,"")</f>
        <v>0</v>
      </c>
      <c r="Z91" s="58">
        <f>IFERROR(Table932[[#This Row],[End Time]]-Table932[[#This Row],[Start Time]],"")</f>
        <v>-0.41116876157407406</v>
      </c>
      <c r="AA91" s="58"/>
      <c r="AB91" s="170" t="str">
        <f t="shared" si="9"/>
        <v>N/A</v>
      </c>
      <c r="AC91" s="170" t="str">
        <f t="shared" si="8"/>
        <v>N/A</v>
      </c>
    </row>
    <row r="92" spans="1:29">
      <c r="A92" s="53">
        <f>IF(SortedDownload!A88 &lt; 1,"",SortedDownload!A88)</f>
        <v>214</v>
      </c>
      <c r="B92" s="54">
        <f t="shared" si="6"/>
        <v>87</v>
      </c>
      <c r="C92" s="146" t="str">
        <f>IFERROR(VLOOKUP($A92,CategoryResults!$A$3:$X$252,3,FALSE),"")</f>
        <v/>
      </c>
      <c r="D92" s="149" t="str">
        <f>IFERROR(VLOOKUP($A92,EntryList!$A$3:$N$291,2,FALSE),"")</f>
        <v>James Mccann</v>
      </c>
      <c r="E92" s="146" t="str">
        <f>IFERROR(VLOOKUP(C92,SeriesPoints!$A$2:$B$51,2,FALSE),"")</f>
        <v/>
      </c>
      <c r="F92" s="150" t="str">
        <f>IFERROR(VLOOKUP($A92,EntryList!$A$3:$V$291,22,FALSE),"")</f>
        <v>-</v>
      </c>
      <c r="G92" s="148" t="str">
        <f>IFERROR(VLOOKUP($A92,EntryList!$A$3:$N$291,6,FALSE),"")</f>
        <v>M</v>
      </c>
      <c r="H92" s="145" t="str">
        <f>IFERROR(VLOOKUP($A92,EntryList!$A$3:$N$291,7,FALSE),"")</f>
        <v>Youth Men</v>
      </c>
      <c r="I92" s="56">
        <f t="shared" si="7"/>
        <v>9</v>
      </c>
      <c r="J92" s="57">
        <f>IFERROR(VLOOKUP($A92,SortedDownload!$A$3:$BB$219,31,FALSE)/86400000,"")</f>
        <v>0.42965973379629629</v>
      </c>
      <c r="K92" s="57">
        <f>IFERROR(IF(VLOOKUP($A92,SortedDownload!$A$3:$BB$219,32,FALSE)=0,"-",VLOOKUP($A92,SortedDownload!$A$3:$BB$219,32,FALSE)/86400000),"-")</f>
        <v>0.43265478009259262</v>
      </c>
      <c r="L92" s="57">
        <f>IFERROR(IF(VLOOKUP($A92,SortedDownload!$A$3:$BB$219,33,FALSE)=0,"-",VLOOKUP($A92,SortedDownload!$A$3:$BB$219,33,FALSE)/86400000),"-")</f>
        <v>0.37791878472222223</v>
      </c>
      <c r="M92" s="57">
        <f>IFERROR(IF(VLOOKUP($A92,SortedDownload!$A$3:$BB$219,34,FALSE)=0,"-",VLOOKUP($A92,SortedDownload!$A$3:$BB$219,34,FALSE)/86400000),"-")</f>
        <v>0.38121221064814814</v>
      </c>
      <c r="N92" s="57">
        <f>IFERROR(IF(VLOOKUP($A92,SortedDownload!$A$3:$BB$219,35,FALSE)=0,"-",VLOOKUP($A92,SortedDownload!$A$3:$BB$219,35,FALSE)/86400000),"-")</f>
        <v>0.47474053240740743</v>
      </c>
      <c r="O92" s="57">
        <f>IFERROR(IF(VLOOKUP($A92,SortedDownload!$A$3:$BB$219,36,FALSE)=0,"-",VLOOKUP($A92,SortedDownload!$A$3:$BB$219,36,FALSE)/86400000),"-")</f>
        <v>0.47645509259259261</v>
      </c>
      <c r="P92" s="57">
        <f>IFERROR(IF(VLOOKUP($A92,SortedDownload!$A$3:$BB$219,37,FALSE)=0,"-",VLOOKUP($A92,SortedDownload!$A$3:$BB$219,37,FALSE)/86400000),"-")</f>
        <v>0.52919388888888885</v>
      </c>
      <c r="Q92" s="57">
        <f>IFERROR(IF(VLOOKUP($A92,SortedDownload!$A$3:$BB$219,38,FALSE)=0,"-",VLOOKUP($A92,SortedDownload!$A$3:$BB$219,38,FALSE)/86400000),"-")</f>
        <v>0.53254526620370368</v>
      </c>
      <c r="R92" s="57">
        <f>IFERROR(IF(VLOOKUP($A92,SortedDownload!$A$3:$BB$219,39,FALSE)=0,"-",VLOOKUP($A92,SortedDownload!$A$3:$BB$219,39,FALSE)/86400000),"-")</f>
        <v>0.56521958333333333</v>
      </c>
      <c r="S92" s="57">
        <f>IFERROR(IF(VLOOKUP($A92,SortedDownload!$A$3:$BB$219,40,FALSE)=0,"-",VLOOKUP($A92,SortedDownload!$A$3:$BB$219,40,FALSE)/86400000),"-")</f>
        <v>0.5693525231481481</v>
      </c>
      <c r="T92" s="57" t="str">
        <f>IFERROR(IF(VLOOKUP($A92,SortedDownload!$A$3:$BB$219,41,FALSE)=0,"-",VLOOKUP($A92,SortedDownload!$A$3:$BB$219,41,FALSE)/86400000),"-")</f>
        <v>-</v>
      </c>
      <c r="U92" s="57" t="str">
        <f>IFERROR(IF(VLOOKUP($A92,SortedDownload!$A$3:$BB$219,42,FALSE)=0,"-",VLOOKUP($A92,SortedDownload!$A$3:$BB$219,42,FALSE)/86400000),"-")</f>
        <v>-</v>
      </c>
      <c r="V92" s="57" t="str">
        <f>IFERROR(IF(VLOOKUP($A92,SortedDownload!$A$3:$BB$219,43,FALSE)=0,"-",VLOOKUP($A92,SortedDownload!$A$3:$BB$219,43,FALSE)/86400000),"-")</f>
        <v>-</v>
      </c>
      <c r="W92" s="57" t="str">
        <f>IFERROR(IF(VLOOKUP($A92,SortedDownload!$A$3:$BB$219,44,FALSE)=0,"-",VLOOKUP($A92,SortedDownload!$A$3:$BB$219,44,FALSE)/86400000),"-")</f>
        <v>-</v>
      </c>
      <c r="X92" s="57" t="str">
        <f>IFERROR(IF(VLOOKUP($A92,SortedDownload!$A$3:$BB$219,45,FALSE)=0,"-",VLOOKUP($A92,SortedDownload!$A$3:$BB$219,45,FALSE)/86400000),"-")</f>
        <v>-</v>
      </c>
      <c r="Y92" s="58">
        <f>IFERROR(VLOOKUP($A92,SortedDownload!$A$3:$BB$219,46,FALSE)/86400000,"")</f>
        <v>0</v>
      </c>
      <c r="Z92" s="58">
        <f>IFERROR(Table932[[#This Row],[End Time]]-Table932[[#This Row],[Start Time]],"")</f>
        <v>-0.42965973379629629</v>
      </c>
      <c r="AA92" s="58"/>
      <c r="AB92" s="170" t="str">
        <f t="shared" si="9"/>
        <v>N/A</v>
      </c>
      <c r="AC92" s="170" t="str">
        <f t="shared" si="8"/>
        <v>N/A</v>
      </c>
    </row>
    <row r="93" spans="1:29">
      <c r="A93" s="53">
        <f>IF(SortedDownload!A89 &lt; 1,"",SortedDownload!A89)</f>
        <v>123</v>
      </c>
      <c r="B93" s="54">
        <f t="shared" si="6"/>
        <v>88</v>
      </c>
      <c r="C93" s="146" t="str">
        <f>IFERROR(VLOOKUP($A93,CategoryResults!$A$3:$X$252,3,FALSE),"")</f>
        <v/>
      </c>
      <c r="D93" s="149" t="str">
        <f>IFERROR(VLOOKUP($A93,EntryList!$A$3:$N$291,2,FALSE),"")</f>
        <v>Dane Clifton</v>
      </c>
      <c r="E93" s="146" t="str">
        <f>IFERROR(VLOOKUP(C93,SeriesPoints!$A$2:$B$51,2,FALSE),"")</f>
        <v/>
      </c>
      <c r="F93" s="150" t="str">
        <f>IFERROR(VLOOKUP($A93,EntryList!$A$3:$V$291,22,FALSE),"")</f>
        <v>-</v>
      </c>
      <c r="G93" s="148" t="str">
        <f>IFERROR(VLOOKUP($A93,EntryList!$A$3:$N$291,6,FALSE),"")</f>
        <v>M</v>
      </c>
      <c r="H93" s="145" t="str">
        <f>IFERROR(VLOOKUP($A93,EntryList!$A$3:$N$291,7,FALSE),"")</f>
        <v>Master Men</v>
      </c>
      <c r="I93" s="56">
        <f t="shared" si="7"/>
        <v>9</v>
      </c>
      <c r="J93" s="57">
        <f>IFERROR(VLOOKUP($A93,SortedDownload!$A$3:$BB$219,31,FALSE)/86400000,"")</f>
        <v>0.38662976851851855</v>
      </c>
      <c r="K93" s="57">
        <f>IFERROR(IF(VLOOKUP($A93,SortedDownload!$A$3:$BB$219,32,FALSE)=0,"-",VLOOKUP($A93,SortedDownload!$A$3:$BB$219,32,FALSE)/86400000),"-")</f>
        <v>0.38960324074074076</v>
      </c>
      <c r="L93" s="57">
        <f>IFERROR(IF(VLOOKUP($A93,SortedDownload!$A$3:$BB$219,33,FALSE)=0,"-",VLOOKUP($A93,SortedDownload!$A$3:$BB$219,33,FALSE)/86400000),"-")</f>
        <v>0.45770789351851854</v>
      </c>
      <c r="M93" s="57">
        <f>IFERROR(IF(VLOOKUP($A93,SortedDownload!$A$3:$BB$219,34,FALSE)=0,"-",VLOOKUP($A93,SortedDownload!$A$3:$BB$219,34,FALSE)/86400000),"-")</f>
        <v>0.46079739583333335</v>
      </c>
      <c r="N93" s="57">
        <f>IFERROR(IF(VLOOKUP($A93,SortedDownload!$A$3:$BB$219,35,FALSE)=0,"-",VLOOKUP($A93,SortedDownload!$A$3:$BB$219,35,FALSE)/86400000),"-")</f>
        <v>0.4234895486111111</v>
      </c>
      <c r="O93" s="57">
        <f>IFERROR(IF(VLOOKUP($A93,SortedDownload!$A$3:$BB$219,36,FALSE)=0,"-",VLOOKUP($A93,SortedDownload!$A$3:$BB$219,36,FALSE)/86400000),"-")</f>
        <v>0.42514608796296294</v>
      </c>
      <c r="P93" s="57">
        <f>IFERROR(IF(VLOOKUP($A93,SortedDownload!$A$3:$BB$219,37,FALSE)=0,"-",VLOOKUP($A93,SortedDownload!$A$3:$BB$219,37,FALSE)/86400000),"-")</f>
        <v>0.51113016203703698</v>
      </c>
      <c r="Q93" s="57">
        <f>IFERROR(IF(VLOOKUP($A93,SortedDownload!$A$3:$BB$219,38,FALSE)=0,"-",VLOOKUP($A93,SortedDownload!$A$3:$BB$219,38,FALSE)/86400000),"-")</f>
        <v>0.51484545138888893</v>
      </c>
      <c r="R93" s="57">
        <f>IFERROR(IF(VLOOKUP($A93,SortedDownload!$A$3:$BB$219,39,FALSE)=0,"-",VLOOKUP($A93,SortedDownload!$A$3:$BB$219,39,FALSE)/86400000),"-")</f>
        <v>0.54620939814814817</v>
      </c>
      <c r="S93" s="57">
        <f>IFERROR(IF(VLOOKUP($A93,SortedDownload!$A$3:$BB$219,40,FALSE)=0,"-",VLOOKUP($A93,SortedDownload!$A$3:$BB$219,40,FALSE)/86400000),"-")</f>
        <v>0.55028615740740738</v>
      </c>
      <c r="T93" s="57" t="str">
        <f>IFERROR(IF(VLOOKUP($A93,SortedDownload!$A$3:$BB$219,41,FALSE)=0,"-",VLOOKUP($A93,SortedDownload!$A$3:$BB$219,41,FALSE)/86400000),"-")</f>
        <v>-</v>
      </c>
      <c r="U93" s="57" t="str">
        <f>IFERROR(IF(VLOOKUP($A93,SortedDownload!$A$3:$BB$219,42,FALSE)=0,"-",VLOOKUP($A93,SortedDownload!$A$3:$BB$219,42,FALSE)/86400000),"-")</f>
        <v>-</v>
      </c>
      <c r="V93" s="57" t="str">
        <f>IFERROR(IF(VLOOKUP($A93,SortedDownload!$A$3:$BB$219,43,FALSE)=0,"-",VLOOKUP($A93,SortedDownload!$A$3:$BB$219,43,FALSE)/86400000),"-")</f>
        <v>-</v>
      </c>
      <c r="W93" s="57" t="str">
        <f>IFERROR(IF(VLOOKUP($A93,SortedDownload!$A$3:$BB$219,44,FALSE)=0,"-",VLOOKUP($A93,SortedDownload!$A$3:$BB$219,44,FALSE)/86400000),"-")</f>
        <v>-</v>
      </c>
      <c r="X93" s="57" t="str">
        <f>IFERROR(IF(VLOOKUP($A93,SortedDownload!$A$3:$BB$219,45,FALSE)=0,"-",VLOOKUP($A93,SortedDownload!$A$3:$BB$219,45,FALSE)/86400000),"-")</f>
        <v>-</v>
      </c>
      <c r="Y93" s="58">
        <f>IFERROR(VLOOKUP($A93,SortedDownload!$A$3:$BB$219,46,FALSE)/86400000,"")</f>
        <v>0</v>
      </c>
      <c r="Z93" s="58">
        <f>IFERROR(Table932[[#This Row],[End Time]]-Table932[[#This Row],[Start Time]],"")</f>
        <v>-0.38662976851851855</v>
      </c>
      <c r="AA93" s="58"/>
      <c r="AB93" s="170" t="str">
        <f t="shared" si="9"/>
        <v>01:58</v>
      </c>
      <c r="AC93" s="170" t="str">
        <f t="shared" si="8"/>
        <v>29:56</v>
      </c>
    </row>
    <row r="94" spans="1:29">
      <c r="A94" s="53">
        <f>IF(SortedDownload!A90 &lt; 1,"",SortedDownload!A90)</f>
        <v>235</v>
      </c>
      <c r="B94" s="54">
        <f t="shared" si="6"/>
        <v>89</v>
      </c>
      <c r="C94" s="146" t="str">
        <f>IFERROR(VLOOKUP($A94,CategoryResults!$A$3:$X$252,3,FALSE),"")</f>
        <v/>
      </c>
      <c r="D94" s="149" t="str">
        <f>IFERROR(VLOOKUP($A94,EntryList!$A$3:$N$291,2,FALSE),"")</f>
        <v>Bjorn Train</v>
      </c>
      <c r="E94" s="146" t="str">
        <f>IFERROR(VLOOKUP(C94,SeriesPoints!$A$2:$B$51,2,FALSE),"")</f>
        <v/>
      </c>
      <c r="F94" s="150" t="str">
        <f>IFERROR(VLOOKUP($A94,EntryList!$A$3:$V$291,22,FALSE),"")</f>
        <v>-</v>
      </c>
      <c r="G94" s="148" t="str">
        <f>IFERROR(VLOOKUP($A94,EntryList!$A$3:$N$291,6,FALSE),"")</f>
        <v>M</v>
      </c>
      <c r="H94" s="145" t="str">
        <f>IFERROR(VLOOKUP($A94,EntryList!$A$3:$N$291,7,FALSE),"")</f>
        <v>Elite Men</v>
      </c>
      <c r="I94" s="56">
        <f t="shared" si="7"/>
        <v>9</v>
      </c>
      <c r="J94" s="57">
        <f>IFERROR(VLOOKUP($A94,SortedDownload!$A$3:$BB$219,31,FALSE)/86400000,"")</f>
        <v>0.38625376157407409</v>
      </c>
      <c r="K94" s="57">
        <f>IFERROR(IF(VLOOKUP($A94,SortedDownload!$A$3:$BB$219,32,FALSE)=0,"-",VLOOKUP($A94,SortedDownload!$A$3:$BB$219,32,FALSE)/86400000),"-")</f>
        <v>0.3897278472222222</v>
      </c>
      <c r="L94" s="57">
        <f>IFERROR(IF(VLOOKUP($A94,SortedDownload!$A$3:$BB$219,33,FALSE)=0,"-",VLOOKUP($A94,SortedDownload!$A$3:$BB$219,33,FALSE)/86400000),"-")</f>
        <v>0.45819587962962965</v>
      </c>
      <c r="M94" s="57">
        <f>IFERROR(IF(VLOOKUP($A94,SortedDownload!$A$3:$BB$219,34,FALSE)=0,"-",VLOOKUP($A94,SortedDownload!$A$3:$BB$219,34,FALSE)/86400000),"-")</f>
        <v>0.46124696759259259</v>
      </c>
      <c r="N94" s="57">
        <f>IFERROR(IF(VLOOKUP($A94,SortedDownload!$A$3:$BB$219,35,FALSE)=0,"-",VLOOKUP($A94,SortedDownload!$A$3:$BB$219,35,FALSE)/86400000),"-")</f>
        <v>0.42205591435185186</v>
      </c>
      <c r="O94" s="57">
        <f>IFERROR(IF(VLOOKUP($A94,SortedDownload!$A$3:$BB$219,36,FALSE)=0,"-",VLOOKUP($A94,SortedDownload!$A$3:$BB$219,36,FALSE)/86400000),"-")</f>
        <v>0.42373299768518519</v>
      </c>
      <c r="P94" s="57">
        <f>IFERROR(IF(VLOOKUP($A94,SortedDownload!$A$3:$BB$219,37,FALSE)=0,"-",VLOOKUP($A94,SortedDownload!$A$3:$BB$219,37,FALSE)/86400000),"-")</f>
        <v>0.51211121527777781</v>
      </c>
      <c r="Q94" s="57">
        <f>IFERROR(IF(VLOOKUP($A94,SortedDownload!$A$3:$BB$219,38,FALSE)=0,"-",VLOOKUP($A94,SortedDownload!$A$3:$BB$219,38,FALSE)/86400000),"-")</f>
        <v>0.51544594907407404</v>
      </c>
      <c r="R94" s="57">
        <f>IFERROR(IF(VLOOKUP($A94,SortedDownload!$A$3:$BB$219,39,FALSE)=0,"-",VLOOKUP($A94,SortedDownload!$A$3:$BB$219,39,FALSE)/86400000),"-")</f>
        <v>0.54675432870370366</v>
      </c>
      <c r="S94" s="57">
        <f>IFERROR(IF(VLOOKUP($A94,SortedDownload!$A$3:$BB$219,40,FALSE)=0,"-",VLOOKUP($A94,SortedDownload!$A$3:$BB$219,40,FALSE)/86400000),"-")</f>
        <v>0.55079089120370373</v>
      </c>
      <c r="T94" s="57" t="str">
        <f>IFERROR(IF(VLOOKUP($A94,SortedDownload!$A$3:$BB$219,41,FALSE)=0,"-",VLOOKUP($A94,SortedDownload!$A$3:$BB$219,41,FALSE)/86400000),"-")</f>
        <v>-</v>
      </c>
      <c r="U94" s="57" t="str">
        <f>IFERROR(IF(VLOOKUP($A94,SortedDownload!$A$3:$BB$219,42,FALSE)=0,"-",VLOOKUP($A94,SortedDownload!$A$3:$BB$219,42,FALSE)/86400000),"-")</f>
        <v>-</v>
      </c>
      <c r="V94" s="57" t="str">
        <f>IFERROR(IF(VLOOKUP($A94,SortedDownload!$A$3:$BB$219,43,FALSE)=0,"-",VLOOKUP($A94,SortedDownload!$A$3:$BB$219,43,FALSE)/86400000),"-")</f>
        <v>-</v>
      </c>
      <c r="W94" s="57" t="str">
        <f>IFERROR(IF(VLOOKUP($A94,SortedDownload!$A$3:$BB$219,44,FALSE)=0,"-",VLOOKUP($A94,SortedDownload!$A$3:$BB$219,44,FALSE)/86400000),"-")</f>
        <v>-</v>
      </c>
      <c r="X94" s="57" t="str">
        <f>IFERROR(IF(VLOOKUP($A94,SortedDownload!$A$3:$BB$219,45,FALSE)=0,"-",VLOOKUP($A94,SortedDownload!$A$3:$BB$219,45,FALSE)/86400000),"-")</f>
        <v>-</v>
      </c>
      <c r="Y94" s="58">
        <f>IFERROR(VLOOKUP($A94,SortedDownload!$A$3:$BB$219,46,FALSE)/86400000,"")</f>
        <v>0</v>
      </c>
      <c r="Z94" s="58">
        <f>IFERROR(Table932[[#This Row],[End Time]]-Table932[[#This Row],[Start Time]],"")</f>
        <v>-0.38625376157407409</v>
      </c>
      <c r="AA94" s="58"/>
      <c r="AB94" s="170" t="str">
        <f t="shared" si="9"/>
        <v>00:32</v>
      </c>
      <c r="AC94" s="170" t="str">
        <f t="shared" si="8"/>
        <v>30:28</v>
      </c>
    </row>
    <row r="95" spans="1:29">
      <c r="A95" s="53">
        <f>IF(SortedDownload!A91 &lt; 1,"",SortedDownload!A91)</f>
        <v>231</v>
      </c>
      <c r="B95" s="54">
        <f t="shared" si="6"/>
        <v>90</v>
      </c>
      <c r="C95" s="146" t="str">
        <f>IFERROR(VLOOKUP($A95,CategoryResults!$A$3:$X$252,3,FALSE),"")</f>
        <v/>
      </c>
      <c r="D95" s="149" t="str">
        <f>IFERROR(VLOOKUP($A95,EntryList!$A$3:$N$291,2,FALSE),"")</f>
        <v>Adriaan De Waard</v>
      </c>
      <c r="E95" s="146" t="str">
        <f>IFERROR(VLOOKUP(C95,SeriesPoints!$A$2:$B$51,2,FALSE),"")</f>
        <v/>
      </c>
      <c r="F95" s="150" t="str">
        <f>IFERROR(VLOOKUP($A95,EntryList!$A$3:$V$291,22,FALSE),"")</f>
        <v>-</v>
      </c>
      <c r="G95" s="148" t="str">
        <f>IFERROR(VLOOKUP($A95,EntryList!$A$3:$N$291,6,FALSE),"")</f>
        <v>M</v>
      </c>
      <c r="H95" s="145" t="str">
        <f>IFERROR(VLOOKUP($A95,EntryList!$A$3:$N$291,7,FALSE),"")</f>
        <v>Youth Men</v>
      </c>
      <c r="I95" s="56">
        <f t="shared" si="7"/>
        <v>9</v>
      </c>
      <c r="J95" s="57">
        <f>IFERROR(VLOOKUP($A95,SortedDownload!$A$3:$BB$219,31,FALSE)/86400000,"")</f>
        <v>0.42869016203703703</v>
      </c>
      <c r="K95" s="57">
        <f>IFERROR(IF(VLOOKUP($A95,SortedDownload!$A$3:$BB$219,32,FALSE)=0,"-",VLOOKUP($A95,SortedDownload!$A$3:$BB$219,32,FALSE)/86400000),"-")</f>
        <v>0.43161936342592594</v>
      </c>
      <c r="L95" s="57">
        <f>IFERROR(IF(VLOOKUP($A95,SortedDownload!$A$3:$BB$219,33,FALSE)=0,"-",VLOOKUP($A95,SortedDownload!$A$3:$BB$219,33,FALSE)/86400000),"-")</f>
        <v>0.38038960648148146</v>
      </c>
      <c r="M95" s="57">
        <f>IFERROR(IF(VLOOKUP($A95,SortedDownload!$A$3:$BB$219,34,FALSE)=0,"-",VLOOKUP($A95,SortedDownload!$A$3:$BB$219,34,FALSE)/86400000),"-")</f>
        <v>0.38345113425925925</v>
      </c>
      <c r="N95" s="57">
        <f>IFERROR(IF(VLOOKUP($A95,SortedDownload!$A$3:$BB$219,35,FALSE)=0,"-",VLOOKUP($A95,SortedDownload!$A$3:$BB$219,35,FALSE)/86400000),"-")</f>
        <v>0.47130548611111112</v>
      </c>
      <c r="O95" s="57">
        <f>IFERROR(IF(VLOOKUP($A95,SortedDownload!$A$3:$BB$219,36,FALSE)=0,"-",VLOOKUP($A95,SortedDownload!$A$3:$BB$219,36,FALSE)/86400000),"-")</f>
        <v>0.47301893518518517</v>
      </c>
      <c r="P95" s="57">
        <f>IFERROR(IF(VLOOKUP($A95,SortedDownload!$A$3:$BB$219,37,FALSE)=0,"-",VLOOKUP($A95,SortedDownload!$A$3:$BB$219,37,FALSE)/86400000),"-")</f>
        <v>0.55194781250000002</v>
      </c>
      <c r="Q95" s="57">
        <f>IFERROR(IF(VLOOKUP($A95,SortedDownload!$A$3:$BB$219,38,FALSE)=0,"-",VLOOKUP($A95,SortedDownload!$A$3:$BB$219,38,FALSE)/86400000),"-")</f>
        <v>0.55556599537037032</v>
      </c>
      <c r="R95" s="57">
        <f>IFERROR(IF(VLOOKUP($A95,SortedDownload!$A$3:$BB$219,39,FALSE)=0,"-",VLOOKUP($A95,SortedDownload!$A$3:$BB$219,39,FALSE)/86400000),"-")</f>
        <v>0.51043122685185183</v>
      </c>
      <c r="S95" s="57">
        <f>IFERROR(IF(VLOOKUP($A95,SortedDownload!$A$3:$BB$219,40,FALSE)=0,"-",VLOOKUP($A95,SortedDownload!$A$3:$BB$219,40,FALSE)/86400000),"-")</f>
        <v>0.51469989583333331</v>
      </c>
      <c r="T95" s="57" t="str">
        <f>IFERROR(IF(VLOOKUP($A95,SortedDownload!$A$3:$BB$219,41,FALSE)=0,"-",VLOOKUP($A95,SortedDownload!$A$3:$BB$219,41,FALSE)/86400000),"-")</f>
        <v>-</v>
      </c>
      <c r="U95" s="57" t="str">
        <f>IFERROR(IF(VLOOKUP($A95,SortedDownload!$A$3:$BB$219,42,FALSE)=0,"-",VLOOKUP($A95,SortedDownload!$A$3:$BB$219,42,FALSE)/86400000),"-")</f>
        <v>-</v>
      </c>
      <c r="V95" s="57" t="str">
        <f>IFERROR(IF(VLOOKUP($A95,SortedDownload!$A$3:$BB$219,43,FALSE)=0,"-",VLOOKUP($A95,SortedDownload!$A$3:$BB$219,43,FALSE)/86400000),"-")</f>
        <v>-</v>
      </c>
      <c r="W95" s="57" t="str">
        <f>IFERROR(IF(VLOOKUP($A95,SortedDownload!$A$3:$BB$219,44,FALSE)=0,"-",VLOOKUP($A95,SortedDownload!$A$3:$BB$219,44,FALSE)/86400000),"-")</f>
        <v>-</v>
      </c>
      <c r="X95" s="57" t="str">
        <f>IFERROR(IF(VLOOKUP($A95,SortedDownload!$A$3:$BB$219,45,FALSE)=0,"-",VLOOKUP($A95,SortedDownload!$A$3:$BB$219,45,FALSE)/86400000),"-")</f>
        <v>-</v>
      </c>
      <c r="Y95" s="58">
        <f>IFERROR(VLOOKUP($A95,SortedDownload!$A$3:$BB$219,46,FALSE)/86400000,"")</f>
        <v>0</v>
      </c>
      <c r="Z95" s="58">
        <f>IFERROR(Table932[[#This Row],[End Time]]-Table932[[#This Row],[Start Time]],"")</f>
        <v>-0.42869016203703703</v>
      </c>
      <c r="AA95" s="58"/>
      <c r="AB95" s="170" t="str">
        <f t="shared" si="9"/>
        <v>N/A</v>
      </c>
      <c r="AC95" s="170" t="str">
        <f t="shared" si="8"/>
        <v>N/A</v>
      </c>
    </row>
    <row r="96" spans="1:29">
      <c r="A96" s="53">
        <f>IF(SortedDownload!A92 &lt; 1,"",SortedDownload!A92)</f>
        <v>62</v>
      </c>
      <c r="B96" s="54">
        <f t="shared" si="6"/>
        <v>91</v>
      </c>
      <c r="C96" s="146" t="str">
        <f>IFERROR(VLOOKUP($A96,CategoryResults!$A$3:$X$252,3,FALSE),"")</f>
        <v/>
      </c>
      <c r="D96" s="149" t="str">
        <f>IFERROR(VLOOKUP($A96,EntryList!$A$3:$N$291,2,FALSE),"")</f>
        <v>Brett Wienburg</v>
      </c>
      <c r="E96" s="146" t="str">
        <f>IFERROR(VLOOKUP(C96,SeriesPoints!$A$2:$B$51,2,FALSE),"")</f>
        <v/>
      </c>
      <c r="F96" s="150" t="str">
        <f>IFERROR(VLOOKUP($A96,EntryList!$A$3:$V$291,22,FALSE),"")</f>
        <v>-</v>
      </c>
      <c r="G96" s="148" t="str">
        <f>IFERROR(VLOOKUP($A96,EntryList!$A$3:$N$291,6,FALSE),"")</f>
        <v>M</v>
      </c>
      <c r="H96" s="145" t="str">
        <f>IFERROR(VLOOKUP($A96,EntryList!$A$3:$N$291,7,FALSE),"")</f>
        <v>E-Bike M</v>
      </c>
      <c r="I96" s="56">
        <f t="shared" si="7"/>
        <v>9</v>
      </c>
      <c r="J96" s="57">
        <f>IFERROR(VLOOKUP($A96,SortedDownload!$A$3:$BB$219,31,FALSE)/86400000,"")</f>
        <v>0.35986814814814816</v>
      </c>
      <c r="K96" s="57">
        <f>IFERROR(IF(VLOOKUP($A96,SortedDownload!$A$3:$BB$219,32,FALSE)=0,"-",VLOOKUP($A96,SortedDownload!$A$3:$BB$219,32,FALSE)/86400000),"-")</f>
        <v>0.36301187499999998</v>
      </c>
      <c r="L96" s="57">
        <f>IFERROR(IF(VLOOKUP($A96,SortedDownload!$A$3:$BB$219,33,FALSE)=0,"-",VLOOKUP($A96,SortedDownload!$A$3:$BB$219,33,FALSE)/86400000),"-")</f>
        <v>0.38136262731481479</v>
      </c>
      <c r="M96" s="57">
        <f>IFERROR(IF(VLOOKUP($A96,SortedDownload!$A$3:$BB$219,34,FALSE)=0,"-",VLOOKUP($A96,SortedDownload!$A$3:$BB$219,34,FALSE)/86400000),"-")</f>
        <v>0.38433280092592592</v>
      </c>
      <c r="N96" s="57">
        <f>IFERROR(IF(VLOOKUP($A96,SortedDownload!$A$3:$BB$219,35,FALSE)=0,"-",VLOOKUP($A96,SortedDownload!$A$3:$BB$219,35,FALSE)/86400000),"-")</f>
        <v>0.40903944444444446</v>
      </c>
      <c r="O96" s="57">
        <f>IFERROR(IF(VLOOKUP($A96,SortedDownload!$A$3:$BB$219,36,FALSE)=0,"-",VLOOKUP($A96,SortedDownload!$A$3:$BB$219,36,FALSE)/86400000),"-")</f>
        <v>0.41083069444444442</v>
      </c>
      <c r="P96" s="57">
        <f>IFERROR(IF(VLOOKUP($A96,SortedDownload!$A$3:$BB$219,37,FALSE)=0,"-",VLOOKUP($A96,SortedDownload!$A$3:$BB$219,37,FALSE)/86400000),"-")</f>
        <v>0.44225626157407405</v>
      </c>
      <c r="Q96" s="57">
        <f>IFERROR(IF(VLOOKUP($A96,SortedDownload!$A$3:$BB$219,38,FALSE)=0,"-",VLOOKUP($A96,SortedDownload!$A$3:$BB$219,38,FALSE)/86400000),"-")</f>
        <v>0.44594555555555554</v>
      </c>
      <c r="R96" s="57">
        <f>IFERROR(IF(VLOOKUP($A96,SortedDownload!$A$3:$BB$219,39,FALSE)=0,"-",VLOOKUP($A96,SortedDownload!$A$3:$BB$219,39,FALSE)/86400000),"-")</f>
        <v>0.46139099537037037</v>
      </c>
      <c r="S96" s="57">
        <f>IFERROR(IF(VLOOKUP($A96,SortedDownload!$A$3:$BB$219,40,FALSE)=0,"-",VLOOKUP($A96,SortedDownload!$A$3:$BB$219,40,FALSE)/86400000),"-")</f>
        <v>0.46542002314814812</v>
      </c>
      <c r="T96" s="57" t="str">
        <f>IFERROR(IF(VLOOKUP($A96,SortedDownload!$A$3:$BB$219,41,FALSE)=0,"-",VLOOKUP($A96,SortedDownload!$A$3:$BB$219,41,FALSE)/86400000),"-")</f>
        <v>-</v>
      </c>
      <c r="U96" s="57" t="str">
        <f>IFERROR(IF(VLOOKUP($A96,SortedDownload!$A$3:$BB$219,42,FALSE)=0,"-",VLOOKUP($A96,SortedDownload!$A$3:$BB$219,42,FALSE)/86400000),"-")</f>
        <v>-</v>
      </c>
      <c r="V96" s="57" t="str">
        <f>IFERROR(IF(VLOOKUP($A96,SortedDownload!$A$3:$BB$219,43,FALSE)=0,"-",VLOOKUP($A96,SortedDownload!$A$3:$BB$219,43,FALSE)/86400000),"-")</f>
        <v>-</v>
      </c>
      <c r="W96" s="57" t="str">
        <f>IFERROR(IF(VLOOKUP($A96,SortedDownload!$A$3:$BB$219,44,FALSE)=0,"-",VLOOKUP($A96,SortedDownload!$A$3:$BB$219,44,FALSE)/86400000),"-")</f>
        <v>-</v>
      </c>
      <c r="X96" s="57" t="str">
        <f>IFERROR(IF(VLOOKUP($A96,SortedDownload!$A$3:$BB$219,45,FALSE)=0,"-",VLOOKUP($A96,SortedDownload!$A$3:$BB$219,45,FALSE)/86400000),"-")</f>
        <v>-</v>
      </c>
      <c r="Y96" s="58">
        <f>IFERROR(VLOOKUP($A96,SortedDownload!$A$3:$BB$219,46,FALSE)/86400000,"")</f>
        <v>0</v>
      </c>
      <c r="Z96" s="58">
        <f>IFERROR(Table932[[#This Row],[End Time]]-Table932[[#This Row],[Start Time]],"")</f>
        <v>-0.35986814814814816</v>
      </c>
      <c r="AA96" s="58"/>
      <c r="AB96" s="170" t="str">
        <f t="shared" si="9"/>
        <v>39:06</v>
      </c>
      <c r="AC96" s="170" t="str">
        <f t="shared" si="8"/>
        <v>08:28</v>
      </c>
    </row>
    <row r="97" spans="1:29">
      <c r="A97" s="53">
        <f>IF(SortedDownload!A93 &lt; 1,"",SortedDownload!A93)</f>
        <v>86</v>
      </c>
      <c r="B97" s="54">
        <f t="shared" si="6"/>
        <v>92</v>
      </c>
      <c r="C97" s="146" t="str">
        <f>IFERROR(VLOOKUP($A97,CategoryResults!$A$3:$X$252,3,FALSE),"")</f>
        <v/>
      </c>
      <c r="D97" s="149" t="str">
        <f>IFERROR(VLOOKUP($A97,EntryList!$A$3:$N$291,2,FALSE),"")</f>
        <v>Julian Burke</v>
      </c>
      <c r="E97" s="146" t="str">
        <f>IFERROR(VLOOKUP(C97,SeriesPoints!$A$2:$B$51,2,FALSE),"")</f>
        <v/>
      </c>
      <c r="F97" s="150" t="str">
        <f>IFERROR(VLOOKUP($A97,EntryList!$A$3:$V$291,22,FALSE),"")</f>
        <v>-</v>
      </c>
      <c r="G97" s="148" t="str">
        <f>IFERROR(VLOOKUP($A97,EntryList!$A$3:$N$291,6,FALSE),"")</f>
        <v>M</v>
      </c>
      <c r="H97" s="145" t="str">
        <f>IFERROR(VLOOKUP($A97,EntryList!$A$3:$N$291,7,FALSE),"")</f>
        <v>Master Men</v>
      </c>
      <c r="I97" s="56">
        <f t="shared" si="7"/>
        <v>9</v>
      </c>
      <c r="J97" s="57">
        <f>IFERROR(VLOOKUP($A97,SortedDownload!$A$3:$BB$219,31,FALSE)/86400000,"")</f>
        <v>0.41181449074074072</v>
      </c>
      <c r="K97" s="57">
        <f>IFERROR(IF(VLOOKUP($A97,SortedDownload!$A$3:$BB$219,32,FALSE)=0,"-",VLOOKUP($A97,SortedDownload!$A$3:$BB$219,32,FALSE)/86400000),"-")</f>
        <v>0.41500041666666665</v>
      </c>
      <c r="L97" s="57">
        <f>IFERROR(IF(VLOOKUP($A97,SortedDownload!$A$3:$BB$219,33,FALSE)=0,"-",VLOOKUP($A97,SortedDownload!$A$3:$BB$219,33,FALSE)/86400000),"-")</f>
        <v>0.44585464120370372</v>
      </c>
      <c r="M97" s="57">
        <f>IFERROR(IF(VLOOKUP($A97,SortedDownload!$A$3:$BB$219,34,FALSE)=0,"-",VLOOKUP($A97,SortedDownload!$A$3:$BB$219,34,FALSE)/86400000),"-")</f>
        <v>0.44893244212962963</v>
      </c>
      <c r="N97" s="57">
        <f>IFERROR(IF(VLOOKUP($A97,SortedDownload!$A$3:$BB$219,35,FALSE)=0,"-",VLOOKUP($A97,SortedDownload!$A$3:$BB$219,35,FALSE)/86400000),"-")</f>
        <v>0.3726083912037037</v>
      </c>
      <c r="O97" s="57">
        <f>IFERROR(IF(VLOOKUP($A97,SortedDownload!$A$3:$BB$219,36,FALSE)=0,"-",VLOOKUP($A97,SortedDownload!$A$3:$BB$219,36,FALSE)/86400000),"-")</f>
        <v>0.37446425925925925</v>
      </c>
      <c r="P97" s="57">
        <f>IFERROR(IF(VLOOKUP($A97,SortedDownload!$A$3:$BB$219,37,FALSE)=0,"-",VLOOKUP($A97,SortedDownload!$A$3:$BB$219,37,FALSE)/86400000),"-")</f>
        <v>0.49119783564814817</v>
      </c>
      <c r="Q97" s="57">
        <f>IFERROR(IF(VLOOKUP($A97,SortedDownload!$A$3:$BB$219,38,FALSE)=0,"-",VLOOKUP($A97,SortedDownload!$A$3:$BB$219,38,FALSE)/86400000),"-")</f>
        <v>0.49461949074074074</v>
      </c>
      <c r="R97" s="57">
        <f>IFERROR(IF(VLOOKUP($A97,SortedDownload!$A$3:$BB$219,39,FALSE)=0,"-",VLOOKUP($A97,SortedDownload!$A$3:$BB$219,39,FALSE)/86400000),"-")</f>
        <v>0.52692909722222225</v>
      </c>
      <c r="S97" s="57">
        <f>IFERROR(IF(VLOOKUP($A97,SortedDownload!$A$3:$BB$219,40,FALSE)=0,"-",VLOOKUP($A97,SortedDownload!$A$3:$BB$219,40,FALSE)/86400000),"-")</f>
        <v>0.53101967592592592</v>
      </c>
      <c r="T97" s="57" t="str">
        <f>IFERROR(IF(VLOOKUP($A97,SortedDownload!$A$3:$BB$219,41,FALSE)=0,"-",VLOOKUP($A97,SortedDownload!$A$3:$BB$219,41,FALSE)/86400000),"-")</f>
        <v>-</v>
      </c>
      <c r="U97" s="57" t="str">
        <f>IFERROR(IF(VLOOKUP($A97,SortedDownload!$A$3:$BB$219,42,FALSE)=0,"-",VLOOKUP($A97,SortedDownload!$A$3:$BB$219,42,FALSE)/86400000),"-")</f>
        <v>-</v>
      </c>
      <c r="V97" s="57" t="str">
        <f>IFERROR(IF(VLOOKUP($A97,SortedDownload!$A$3:$BB$219,43,FALSE)=0,"-",VLOOKUP($A97,SortedDownload!$A$3:$BB$219,43,FALSE)/86400000),"-")</f>
        <v>-</v>
      </c>
      <c r="W97" s="57" t="str">
        <f>IFERROR(IF(VLOOKUP($A97,SortedDownload!$A$3:$BB$219,44,FALSE)=0,"-",VLOOKUP($A97,SortedDownload!$A$3:$BB$219,44,FALSE)/86400000),"-")</f>
        <v>-</v>
      </c>
      <c r="X97" s="57" t="str">
        <f>IFERROR(IF(VLOOKUP($A97,SortedDownload!$A$3:$BB$219,45,FALSE)=0,"-",VLOOKUP($A97,SortedDownload!$A$3:$BB$219,45,FALSE)/86400000),"-")</f>
        <v>-</v>
      </c>
      <c r="Y97" s="58">
        <f>IFERROR(VLOOKUP($A97,SortedDownload!$A$3:$BB$219,46,FALSE)/86400000,"")</f>
        <v>0</v>
      </c>
      <c r="Z97" s="58">
        <f>IFERROR(Table932[[#This Row],[End Time]]-Table932[[#This Row],[Start Time]],"")</f>
        <v>-0.41181449074074072</v>
      </c>
      <c r="AA97" s="58"/>
      <c r="AB97" s="170" t="str">
        <f t="shared" si="9"/>
        <v>N/A</v>
      </c>
      <c r="AC97" s="170" t="str">
        <f t="shared" si="8"/>
        <v>N/A</v>
      </c>
    </row>
    <row r="98" spans="1:29">
      <c r="A98" s="53">
        <f>IF(SortedDownload!A94 &lt; 1,"",SortedDownload!A94)</f>
        <v>40</v>
      </c>
      <c r="B98" s="54">
        <f t="shared" si="6"/>
        <v>93</v>
      </c>
      <c r="C98" s="146" t="str">
        <f>IFERROR(VLOOKUP($A98,CategoryResults!$A$3:$X$252,3,FALSE),"")</f>
        <v/>
      </c>
      <c r="D98" s="149" t="str">
        <f>IFERROR(VLOOKUP($A98,EntryList!$A$3:$N$291,2,FALSE),"")</f>
        <v>Eugene Elliott</v>
      </c>
      <c r="E98" s="146" t="str">
        <f>IFERROR(VLOOKUP(C98,SeriesPoints!$A$2:$B$51,2,FALSE),"")</f>
        <v/>
      </c>
      <c r="F98" s="150" t="str">
        <f>IFERROR(VLOOKUP($A98,EntryList!$A$3:$V$291,22,FALSE),"")</f>
        <v>-</v>
      </c>
      <c r="G98" s="148" t="str">
        <f>IFERROR(VLOOKUP($A98,EntryList!$A$3:$N$291,6,FALSE),"")</f>
        <v>M</v>
      </c>
      <c r="H98" s="145" t="str">
        <f>IFERROR(VLOOKUP($A98,EntryList!$A$3:$N$291,7,FALSE),"")</f>
        <v>Master Men</v>
      </c>
      <c r="I98" s="56">
        <f t="shared" si="7"/>
        <v>9</v>
      </c>
      <c r="J98" s="57">
        <f>IFERROR(VLOOKUP($A98,SortedDownload!$A$3:$BB$219,31,FALSE)/86400000,"")</f>
        <v>0.47916009259259257</v>
      </c>
      <c r="K98" s="57">
        <f>IFERROR(IF(VLOOKUP($A98,SortedDownload!$A$3:$BB$219,32,FALSE)=0,"-",VLOOKUP($A98,SortedDownload!$A$3:$BB$219,32,FALSE)/86400000),"-")</f>
        <v>0.48250614583333334</v>
      </c>
      <c r="L98" s="57">
        <f>IFERROR(IF(VLOOKUP($A98,SortedDownload!$A$3:$BB$219,33,FALSE)=0,"-",VLOOKUP($A98,SortedDownload!$A$3:$BB$219,33,FALSE)/86400000),"-")</f>
        <v>0.4067794560185185</v>
      </c>
      <c r="M98" s="57">
        <f>IFERROR(IF(VLOOKUP($A98,SortedDownload!$A$3:$BB$219,34,FALSE)=0,"-",VLOOKUP($A98,SortedDownload!$A$3:$BB$219,34,FALSE)/86400000),"-")</f>
        <v>0.40989127314814816</v>
      </c>
      <c r="N98" s="57">
        <f>IFERROR(IF(VLOOKUP($A98,SortedDownload!$A$3:$BB$219,35,FALSE)=0,"-",VLOOKUP($A98,SortedDownload!$A$3:$BB$219,35,FALSE)/86400000),"-")</f>
        <v>0.45184571759259257</v>
      </c>
      <c r="O98" s="57">
        <f>IFERROR(IF(VLOOKUP($A98,SortedDownload!$A$3:$BB$219,36,FALSE)=0,"-",VLOOKUP($A98,SortedDownload!$A$3:$BB$219,36,FALSE)/86400000),"-")</f>
        <v>0.45362988425925926</v>
      </c>
      <c r="P98" s="57">
        <f>IFERROR(IF(VLOOKUP($A98,SortedDownload!$A$3:$BB$219,37,FALSE)=0,"-",VLOOKUP($A98,SortedDownload!$A$3:$BB$219,37,FALSE)/86400000),"-")</f>
        <v>0.53456944444444443</v>
      </c>
      <c r="Q98" s="57">
        <f>IFERROR(IF(VLOOKUP($A98,SortedDownload!$A$3:$BB$219,38,FALSE)=0,"-",VLOOKUP($A98,SortedDownload!$A$3:$BB$219,38,FALSE)/86400000),"-")</f>
        <v>0.53800020833333329</v>
      </c>
      <c r="R98" s="57">
        <f>IFERROR(IF(VLOOKUP($A98,SortedDownload!$A$3:$BB$219,39,FALSE)=0,"-",VLOOKUP($A98,SortedDownload!$A$3:$BB$219,39,FALSE)/86400000),"-")</f>
        <v>0.56694497685185186</v>
      </c>
      <c r="S98" s="57">
        <f>IFERROR(IF(VLOOKUP($A98,SortedDownload!$A$3:$BB$219,40,FALSE)=0,"-",VLOOKUP($A98,SortedDownload!$A$3:$BB$219,40,FALSE)/86400000),"-")</f>
        <v>0.57093000000000005</v>
      </c>
      <c r="T98" s="57" t="str">
        <f>IFERROR(IF(VLOOKUP($A98,SortedDownload!$A$3:$BB$219,41,FALSE)=0,"-",VLOOKUP($A98,SortedDownload!$A$3:$BB$219,41,FALSE)/86400000),"-")</f>
        <v>-</v>
      </c>
      <c r="U98" s="57" t="str">
        <f>IFERROR(IF(VLOOKUP($A98,SortedDownload!$A$3:$BB$219,42,FALSE)=0,"-",VLOOKUP($A98,SortedDownload!$A$3:$BB$219,42,FALSE)/86400000),"-")</f>
        <v>-</v>
      </c>
      <c r="V98" s="57" t="str">
        <f>IFERROR(IF(VLOOKUP($A98,SortedDownload!$A$3:$BB$219,43,FALSE)=0,"-",VLOOKUP($A98,SortedDownload!$A$3:$BB$219,43,FALSE)/86400000),"-")</f>
        <v>-</v>
      </c>
      <c r="W98" s="57" t="str">
        <f>IFERROR(IF(VLOOKUP($A98,SortedDownload!$A$3:$BB$219,44,FALSE)=0,"-",VLOOKUP($A98,SortedDownload!$A$3:$BB$219,44,FALSE)/86400000),"-")</f>
        <v>-</v>
      </c>
      <c r="X98" s="57" t="str">
        <f>IFERROR(IF(VLOOKUP($A98,SortedDownload!$A$3:$BB$219,45,FALSE)=0,"-",VLOOKUP($A98,SortedDownload!$A$3:$BB$219,45,FALSE)/86400000),"-")</f>
        <v>-</v>
      </c>
      <c r="Y98" s="58">
        <f>IFERROR(VLOOKUP($A98,SortedDownload!$A$3:$BB$219,46,FALSE)/86400000,"")</f>
        <v>0</v>
      </c>
      <c r="Z98" s="58">
        <f>IFERROR(Table932[[#This Row],[End Time]]-Table932[[#This Row],[Start Time]],"")</f>
        <v>-0.47916009259259257</v>
      </c>
      <c r="AA98" s="58"/>
      <c r="AB98" s="170" t="str">
        <f t="shared" si="9"/>
        <v>N/A</v>
      </c>
      <c r="AC98" s="170" t="str">
        <f t="shared" si="8"/>
        <v>N/A</v>
      </c>
    </row>
    <row r="99" spans="1:29">
      <c r="A99" s="53">
        <f>IF(SortedDownload!A95 &lt; 1,"",SortedDownload!A95)</f>
        <v>129</v>
      </c>
      <c r="B99" s="54">
        <f t="shared" si="6"/>
        <v>94</v>
      </c>
      <c r="C99" s="146" t="str">
        <f>IFERROR(VLOOKUP($A99,CategoryResults!$A$3:$X$252,3,FALSE),"")</f>
        <v/>
      </c>
      <c r="D99" s="149" t="str">
        <f>IFERROR(VLOOKUP($A99,EntryList!$A$3:$N$291,2,FALSE),"")</f>
        <v>Evan Lategan</v>
      </c>
      <c r="E99" s="146" t="str">
        <f>IFERROR(VLOOKUP(C99,SeriesPoints!$A$2:$B$51,2,FALSE),"")</f>
        <v/>
      </c>
      <c r="F99" s="150" t="str">
        <f>IFERROR(VLOOKUP($A99,EntryList!$A$3:$V$291,22,FALSE),"")</f>
        <v>-</v>
      </c>
      <c r="G99" s="148" t="str">
        <f>IFERROR(VLOOKUP($A99,EntryList!$A$3:$N$291,6,FALSE),"")</f>
        <v>M</v>
      </c>
      <c r="H99" s="145" t="str">
        <f>IFERROR(VLOOKUP($A99,EntryList!$A$3:$N$291,7,FALSE),"")</f>
        <v>Youth Men</v>
      </c>
      <c r="I99" s="56">
        <f t="shared" si="7"/>
        <v>9</v>
      </c>
      <c r="J99" s="57">
        <f>IFERROR(VLOOKUP($A99,SortedDownload!$A$3:$BB$219,31,FALSE)/86400000,"")</f>
        <v>0.42699386574074072</v>
      </c>
      <c r="K99" s="57">
        <f>IFERROR(IF(VLOOKUP($A99,SortedDownload!$A$3:$BB$219,32,FALSE)=0,"-",VLOOKUP($A99,SortedDownload!$A$3:$BB$219,32,FALSE)/86400000),"-")</f>
        <v>0.43011100694444443</v>
      </c>
      <c r="L99" s="57">
        <f>IFERROR(IF(VLOOKUP($A99,SortedDownload!$A$3:$BB$219,33,FALSE)=0,"-",VLOOKUP($A99,SortedDownload!$A$3:$BB$219,33,FALSE)/86400000),"-")</f>
        <v>0.38101244212962965</v>
      </c>
      <c r="M99" s="57">
        <f>IFERROR(IF(VLOOKUP($A99,SortedDownload!$A$3:$BB$219,34,FALSE)=0,"-",VLOOKUP($A99,SortedDownload!$A$3:$BB$219,34,FALSE)/86400000),"-")</f>
        <v>0.38423049768518519</v>
      </c>
      <c r="N99" s="57">
        <f>IFERROR(IF(VLOOKUP($A99,SortedDownload!$A$3:$BB$219,35,FALSE)=0,"-",VLOOKUP($A99,SortedDownload!$A$3:$BB$219,35,FALSE)/86400000),"-")</f>
        <v>0.46178439814814815</v>
      </c>
      <c r="O99" s="57">
        <f>IFERROR(IF(VLOOKUP($A99,SortedDownload!$A$3:$BB$219,36,FALSE)=0,"-",VLOOKUP($A99,SortedDownload!$A$3:$BB$219,36,FALSE)/86400000),"-")</f>
        <v>0.4635502314814815</v>
      </c>
      <c r="P99" s="57">
        <f>IFERROR(IF(VLOOKUP($A99,SortedDownload!$A$3:$BB$219,37,FALSE)=0,"-",VLOOKUP($A99,SortedDownload!$A$3:$BB$219,37,FALSE)/86400000),"-")</f>
        <v>0.51836472222222219</v>
      </c>
      <c r="Q99" s="57">
        <f>IFERROR(IF(VLOOKUP($A99,SortedDownload!$A$3:$BB$219,38,FALSE)=0,"-",VLOOKUP($A99,SortedDownload!$A$3:$BB$219,38,FALSE)/86400000),"-")</f>
        <v>0.52185271990740745</v>
      </c>
      <c r="R99" s="57">
        <f>IFERROR(IF(VLOOKUP($A99,SortedDownload!$A$3:$BB$219,39,FALSE)=0,"-",VLOOKUP($A99,SortedDownload!$A$3:$BB$219,39,FALSE)/86400000),"-")</f>
        <v>0.54770877314814814</v>
      </c>
      <c r="S99" s="57">
        <f>IFERROR(IF(VLOOKUP($A99,SortedDownload!$A$3:$BB$219,40,FALSE)=0,"-",VLOOKUP($A99,SortedDownload!$A$3:$BB$219,40,FALSE)/86400000),"-")</f>
        <v>0.55179572916666664</v>
      </c>
      <c r="T99" s="57" t="str">
        <f>IFERROR(IF(VLOOKUP($A99,SortedDownload!$A$3:$BB$219,41,FALSE)=0,"-",VLOOKUP($A99,SortedDownload!$A$3:$BB$219,41,FALSE)/86400000),"-")</f>
        <v>-</v>
      </c>
      <c r="U99" s="57" t="str">
        <f>IFERROR(IF(VLOOKUP($A99,SortedDownload!$A$3:$BB$219,42,FALSE)=0,"-",VLOOKUP($A99,SortedDownload!$A$3:$BB$219,42,FALSE)/86400000),"-")</f>
        <v>-</v>
      </c>
      <c r="V99" s="57" t="str">
        <f>IFERROR(IF(VLOOKUP($A99,SortedDownload!$A$3:$BB$219,43,FALSE)=0,"-",VLOOKUP($A99,SortedDownload!$A$3:$BB$219,43,FALSE)/86400000),"-")</f>
        <v>-</v>
      </c>
      <c r="W99" s="57" t="str">
        <f>IFERROR(IF(VLOOKUP($A99,SortedDownload!$A$3:$BB$219,44,FALSE)=0,"-",VLOOKUP($A99,SortedDownload!$A$3:$BB$219,44,FALSE)/86400000),"-")</f>
        <v>-</v>
      </c>
      <c r="X99" s="57" t="str">
        <f>IFERROR(IF(VLOOKUP($A99,SortedDownload!$A$3:$BB$219,45,FALSE)=0,"-",VLOOKUP($A99,SortedDownload!$A$3:$BB$219,45,FALSE)/86400000),"-")</f>
        <v>-</v>
      </c>
      <c r="Y99" s="58">
        <f>IFERROR(VLOOKUP($A99,SortedDownload!$A$3:$BB$219,46,FALSE)/86400000,"")</f>
        <v>0</v>
      </c>
      <c r="Z99" s="58">
        <f>IFERROR(Table932[[#This Row],[End Time]]-Table932[[#This Row],[Start Time]],"")</f>
        <v>-0.42699386574074072</v>
      </c>
      <c r="AA99" s="58"/>
      <c r="AB99" s="170" t="str">
        <f t="shared" si="9"/>
        <v>15:07</v>
      </c>
      <c r="AC99" s="170" t="str">
        <f t="shared" si="8"/>
        <v>N/A</v>
      </c>
    </row>
    <row r="100" spans="1:29">
      <c r="A100" s="53">
        <f>IF(SortedDownload!A96 &lt; 1,"",SortedDownload!A96)</f>
        <v>54</v>
      </c>
      <c r="B100" s="54">
        <f t="shared" si="6"/>
        <v>95</v>
      </c>
      <c r="C100" s="146" t="str">
        <f>IFERROR(VLOOKUP($A100,CategoryResults!$A$3:$X$252,3,FALSE),"")</f>
        <v/>
      </c>
      <c r="D100" s="149" t="str">
        <f>IFERROR(VLOOKUP($A100,EntryList!$A$3:$N$291,2,FALSE),"")</f>
        <v>Warren Galley</v>
      </c>
      <c r="E100" s="146" t="str">
        <f>IFERROR(VLOOKUP(C100,SeriesPoints!$A$2:$B$51,2,FALSE),"")</f>
        <v/>
      </c>
      <c r="F100" s="150" t="str">
        <f>IFERROR(VLOOKUP($A100,EntryList!$A$3:$V$291,22,FALSE),"")</f>
        <v>-</v>
      </c>
      <c r="G100" s="148" t="str">
        <f>IFERROR(VLOOKUP($A100,EntryList!$A$3:$N$291,6,FALSE),"")</f>
        <v>M</v>
      </c>
      <c r="H100" s="145" t="str">
        <f>IFERROR(VLOOKUP($A100,EntryList!$A$3:$N$291,7,FALSE),"")</f>
        <v>Master Men</v>
      </c>
      <c r="I100" s="56">
        <f t="shared" si="7"/>
        <v>9</v>
      </c>
      <c r="J100" s="57">
        <f>IFERROR(VLOOKUP($A100,SortedDownload!$A$3:$BB$219,31,FALSE)/86400000,"")</f>
        <v>0.38417149305555554</v>
      </c>
      <c r="K100" s="57">
        <f>IFERROR(IF(VLOOKUP($A100,SortedDownload!$A$3:$BB$219,32,FALSE)=0,"-",VLOOKUP($A100,SortedDownload!$A$3:$BB$219,32,FALSE)/86400000),"-")</f>
        <v>0.387515</v>
      </c>
      <c r="L100" s="57">
        <f>IFERROR(IF(VLOOKUP($A100,SortedDownload!$A$3:$BB$219,33,FALSE)=0,"-",VLOOKUP($A100,SortedDownload!$A$3:$BB$219,33,FALSE)/86400000),"-")</f>
        <v>0.45900009259259261</v>
      </c>
      <c r="M100" s="57">
        <f>IFERROR(IF(VLOOKUP($A100,SortedDownload!$A$3:$BB$219,34,FALSE)=0,"-",VLOOKUP($A100,SortedDownload!$A$3:$BB$219,34,FALSE)/86400000),"-")</f>
        <v>0.46199751157407409</v>
      </c>
      <c r="N100" s="57">
        <f>IFERROR(IF(VLOOKUP($A100,SortedDownload!$A$3:$BB$219,35,FALSE)=0,"-",VLOOKUP($A100,SortedDownload!$A$3:$BB$219,35,FALSE)/86400000),"-")</f>
        <v>0.42285369212962964</v>
      </c>
      <c r="O100" s="57">
        <f>IFERROR(IF(VLOOKUP($A100,SortedDownload!$A$3:$BB$219,36,FALSE)=0,"-",VLOOKUP($A100,SortedDownload!$A$3:$BB$219,36,FALSE)/86400000),"-")</f>
        <v>0.42462019675925927</v>
      </c>
      <c r="P100" s="57">
        <f>IFERROR(IF(VLOOKUP($A100,SortedDownload!$A$3:$BB$219,37,FALSE)=0,"-",VLOOKUP($A100,SortedDownload!$A$3:$BB$219,37,FALSE)/86400000),"-")</f>
        <v>0.52007905092592588</v>
      </c>
      <c r="Q100" s="57">
        <f>IFERROR(IF(VLOOKUP($A100,SortedDownload!$A$3:$BB$219,38,FALSE)=0,"-",VLOOKUP($A100,SortedDownload!$A$3:$BB$219,38,FALSE)/86400000),"-")</f>
        <v>0.52358563657407409</v>
      </c>
      <c r="R100" s="57">
        <f>IFERROR(IF(VLOOKUP($A100,SortedDownload!$A$3:$BB$219,39,FALSE)=0,"-",VLOOKUP($A100,SortedDownload!$A$3:$BB$219,39,FALSE)/86400000),"-")</f>
        <v>0.5567769212962963</v>
      </c>
      <c r="S100" s="57">
        <f>IFERROR(IF(VLOOKUP($A100,SortedDownload!$A$3:$BB$219,40,FALSE)=0,"-",VLOOKUP($A100,SortedDownload!$A$3:$BB$219,40,FALSE)/86400000),"-")</f>
        <v>0.5609032986111111</v>
      </c>
      <c r="T100" s="57" t="str">
        <f>IFERROR(IF(VLOOKUP($A100,SortedDownload!$A$3:$BB$219,41,FALSE)=0,"-",VLOOKUP($A100,SortedDownload!$A$3:$BB$219,41,FALSE)/86400000),"-")</f>
        <v>-</v>
      </c>
      <c r="U100" s="57" t="str">
        <f>IFERROR(IF(VLOOKUP($A100,SortedDownload!$A$3:$BB$219,42,FALSE)=0,"-",VLOOKUP($A100,SortedDownload!$A$3:$BB$219,42,FALSE)/86400000),"-")</f>
        <v>-</v>
      </c>
      <c r="V100" s="57" t="str">
        <f>IFERROR(IF(VLOOKUP($A100,SortedDownload!$A$3:$BB$219,43,FALSE)=0,"-",VLOOKUP($A100,SortedDownload!$A$3:$BB$219,43,FALSE)/86400000),"-")</f>
        <v>-</v>
      </c>
      <c r="W100" s="57" t="str">
        <f>IFERROR(IF(VLOOKUP($A100,SortedDownload!$A$3:$BB$219,44,FALSE)=0,"-",VLOOKUP($A100,SortedDownload!$A$3:$BB$219,44,FALSE)/86400000),"-")</f>
        <v>-</v>
      </c>
      <c r="X100" s="57" t="str">
        <f>IFERROR(IF(VLOOKUP($A100,SortedDownload!$A$3:$BB$219,45,FALSE)=0,"-",VLOOKUP($A100,SortedDownload!$A$3:$BB$219,45,FALSE)/86400000),"-")</f>
        <v>-</v>
      </c>
      <c r="Y100" s="58">
        <f>IFERROR(VLOOKUP($A100,SortedDownload!$A$3:$BB$219,46,FALSE)/86400000,"")</f>
        <v>0</v>
      </c>
      <c r="Z100" s="58">
        <f>IFERROR(Table932[[#This Row],[End Time]]-Table932[[#This Row],[Start Time]],"")</f>
        <v>-0.38417149305555554</v>
      </c>
      <c r="AA100" s="58"/>
      <c r="AB100" s="170" t="str">
        <f t="shared" si="9"/>
        <v>01:40</v>
      </c>
      <c r="AC100" s="170" t="str">
        <f t="shared" si="8"/>
        <v>33:28</v>
      </c>
    </row>
    <row r="101" spans="1:29">
      <c r="A101" s="53">
        <f>IF(SortedDownload!A97 &lt; 1,"",SortedDownload!A97)</f>
        <v>140</v>
      </c>
      <c r="B101" s="54">
        <f t="shared" si="6"/>
        <v>96</v>
      </c>
      <c r="C101" s="146" t="str">
        <f>IFERROR(VLOOKUP($A101,CategoryResults!$A$3:$X$252,3,FALSE),"")</f>
        <v/>
      </c>
      <c r="D101" s="149" t="str">
        <f>IFERROR(VLOOKUP($A101,EntryList!$A$3:$N$291,2,FALSE),"")</f>
        <v>Gavin Dingley</v>
      </c>
      <c r="E101" s="146" t="str">
        <f>IFERROR(VLOOKUP(C101,SeriesPoints!$A$2:$B$51,2,FALSE),"")</f>
        <v/>
      </c>
      <c r="F101" s="150" t="str">
        <f>IFERROR(VLOOKUP($A101,EntryList!$A$3:$V$291,22,FALSE),"")</f>
        <v>-</v>
      </c>
      <c r="G101" s="148" t="str">
        <f>IFERROR(VLOOKUP($A101,EntryList!$A$3:$N$291,6,FALSE),"")</f>
        <v>M</v>
      </c>
      <c r="H101" s="145" t="str">
        <f>IFERROR(VLOOKUP($A101,EntryList!$A$3:$N$291,7,FALSE),"")</f>
        <v>Junior Men</v>
      </c>
      <c r="I101" s="56">
        <f t="shared" si="7"/>
        <v>9</v>
      </c>
      <c r="J101" s="57">
        <f>IFERROR(VLOOKUP($A101,SortedDownload!$A$3:$BB$219,31,FALSE)/86400000,"")</f>
        <v>0.42097103009259257</v>
      </c>
      <c r="K101" s="57">
        <f>IFERROR(IF(VLOOKUP($A101,SortedDownload!$A$3:$BB$219,32,FALSE)=0,"-",VLOOKUP($A101,SortedDownload!$A$3:$BB$219,32,FALSE)/86400000),"-")</f>
        <v>0.42496070601851854</v>
      </c>
      <c r="L101" s="57">
        <f>IFERROR(IF(VLOOKUP($A101,SortedDownload!$A$3:$BB$219,33,FALSE)=0,"-",VLOOKUP($A101,SortedDownload!$A$3:$BB$219,33,FALSE)/86400000),"-")</f>
        <v>0.37739725694444443</v>
      </c>
      <c r="M101" s="57">
        <f>IFERROR(IF(VLOOKUP($A101,SortedDownload!$A$3:$BB$219,34,FALSE)=0,"-",VLOOKUP($A101,SortedDownload!$A$3:$BB$219,34,FALSE)/86400000),"-")</f>
        <v>0.38032121527777779</v>
      </c>
      <c r="N101" s="57">
        <f>IFERROR(IF(VLOOKUP($A101,SortedDownload!$A$3:$BB$219,35,FALSE)=0,"-",VLOOKUP($A101,SortedDownload!$A$3:$BB$219,35,FALSE)/86400000),"-")</f>
        <v>0.46117449074074074</v>
      </c>
      <c r="O101" s="57">
        <f>IFERROR(IF(VLOOKUP($A101,SortedDownload!$A$3:$BB$219,36,FALSE)=0,"-",VLOOKUP($A101,SortedDownload!$A$3:$BB$219,36,FALSE)/86400000),"-")</f>
        <v>0.46283712962962964</v>
      </c>
      <c r="P101" s="57">
        <f>IFERROR(IF(VLOOKUP($A101,SortedDownload!$A$3:$BB$219,37,FALSE)=0,"-",VLOOKUP($A101,SortedDownload!$A$3:$BB$219,37,FALSE)/86400000),"-")</f>
        <v>0.51333960648148147</v>
      </c>
      <c r="Q101" s="57">
        <f>IFERROR(IF(VLOOKUP($A101,SortedDownload!$A$3:$BB$219,38,FALSE)=0,"-",VLOOKUP($A101,SortedDownload!$A$3:$BB$219,38,FALSE)/86400000),"-")</f>
        <v>0.51658593750000004</v>
      </c>
      <c r="R101" s="57">
        <f>IFERROR(IF(VLOOKUP($A101,SortedDownload!$A$3:$BB$219,39,FALSE)=0,"-",VLOOKUP($A101,SortedDownload!$A$3:$BB$219,39,FALSE)/86400000),"-")</f>
        <v>0.55123240740740742</v>
      </c>
      <c r="S101" s="57">
        <f>IFERROR(IF(VLOOKUP($A101,SortedDownload!$A$3:$BB$219,40,FALSE)=0,"-",VLOOKUP($A101,SortedDownload!$A$3:$BB$219,40,FALSE)/86400000),"-")</f>
        <v>0.55521780092592588</v>
      </c>
      <c r="T101" s="57" t="str">
        <f>IFERROR(IF(VLOOKUP($A101,SortedDownload!$A$3:$BB$219,41,FALSE)=0,"-",VLOOKUP($A101,SortedDownload!$A$3:$BB$219,41,FALSE)/86400000),"-")</f>
        <v>-</v>
      </c>
      <c r="U101" s="57" t="str">
        <f>IFERROR(IF(VLOOKUP($A101,SortedDownload!$A$3:$BB$219,42,FALSE)=0,"-",VLOOKUP($A101,SortedDownload!$A$3:$BB$219,42,FALSE)/86400000),"-")</f>
        <v>-</v>
      </c>
      <c r="V101" s="57" t="str">
        <f>IFERROR(IF(VLOOKUP($A101,SortedDownload!$A$3:$BB$219,43,FALSE)=0,"-",VLOOKUP($A101,SortedDownload!$A$3:$BB$219,43,FALSE)/86400000),"-")</f>
        <v>-</v>
      </c>
      <c r="W101" s="57" t="str">
        <f>IFERROR(IF(VLOOKUP($A101,SortedDownload!$A$3:$BB$219,44,FALSE)=0,"-",VLOOKUP($A101,SortedDownload!$A$3:$BB$219,44,FALSE)/86400000),"-")</f>
        <v>-</v>
      </c>
      <c r="X101" s="57" t="str">
        <f>IFERROR(IF(VLOOKUP($A101,SortedDownload!$A$3:$BB$219,45,FALSE)=0,"-",VLOOKUP($A101,SortedDownload!$A$3:$BB$219,45,FALSE)/86400000),"-")</f>
        <v>-</v>
      </c>
      <c r="Y101" s="58">
        <f>IFERROR(VLOOKUP($A101,SortedDownload!$A$3:$BB$219,46,FALSE)/86400000,"")</f>
        <v>0</v>
      </c>
      <c r="Z101" s="58">
        <f>IFERROR(Table932[[#This Row],[End Time]]-Table932[[#This Row],[Start Time]],"")</f>
        <v>-0.42097103009259257</v>
      </c>
      <c r="AA101" s="58"/>
      <c r="AB101" s="170" t="str">
        <f t="shared" si="9"/>
        <v>N/A</v>
      </c>
      <c r="AC101" s="170" t="str">
        <f t="shared" si="8"/>
        <v>N/A</v>
      </c>
    </row>
    <row r="102" spans="1:29">
      <c r="A102" s="53">
        <f>IF(SortedDownload!A98 &lt; 1,"",SortedDownload!A98)</f>
        <v>283</v>
      </c>
      <c r="B102" s="54">
        <f t="shared" si="6"/>
        <v>97</v>
      </c>
      <c r="C102" s="146" t="str">
        <f>IFERROR(VLOOKUP($A102,CategoryResults!$A$3:$X$252,3,FALSE),"")</f>
        <v/>
      </c>
      <c r="D102" s="149" t="str">
        <f>IFERROR(VLOOKUP($A102,EntryList!$A$3:$N$291,2,FALSE),"")</f>
        <v>Adrian Kritzinger</v>
      </c>
      <c r="E102" s="146" t="str">
        <f>IFERROR(VLOOKUP(C102,SeriesPoints!$A$2:$B$51,2,FALSE),"")</f>
        <v/>
      </c>
      <c r="F102" s="150" t="str">
        <f>IFERROR(VLOOKUP($A102,EntryList!$A$3:$V$291,22,FALSE),"")</f>
        <v>-</v>
      </c>
      <c r="G102" s="148" t="str">
        <f>IFERROR(VLOOKUP($A102,EntryList!$A$3:$N$291,6,FALSE),"")</f>
        <v>M</v>
      </c>
      <c r="H102" s="145" t="str">
        <f>IFERROR(VLOOKUP($A102,EntryList!$A$3:$N$291,7,FALSE),"")</f>
        <v>Master Men</v>
      </c>
      <c r="I102" s="56">
        <f t="shared" si="7"/>
        <v>9</v>
      </c>
      <c r="J102" s="57">
        <f>IFERROR(VLOOKUP($A102,SortedDownload!$A$3:$BB$219,31,FALSE)/86400000,"")</f>
        <v>0.42539501157407406</v>
      </c>
      <c r="K102" s="57">
        <f>IFERROR(IF(VLOOKUP($A102,SortedDownload!$A$3:$BB$219,32,FALSE)=0,"-",VLOOKUP($A102,SortedDownload!$A$3:$BB$219,32,FALSE)/86400000),"-")</f>
        <v>0.42856185185185186</v>
      </c>
      <c r="L102" s="57">
        <f>IFERROR(IF(VLOOKUP($A102,SortedDownload!$A$3:$BB$219,33,FALSE)=0,"-",VLOOKUP($A102,SortedDownload!$A$3:$BB$219,33,FALSE)/86400000),"-")</f>
        <v>0.37864092592592591</v>
      </c>
      <c r="M102" s="57">
        <f>IFERROR(IF(VLOOKUP($A102,SortedDownload!$A$3:$BB$219,34,FALSE)=0,"-",VLOOKUP($A102,SortedDownload!$A$3:$BB$219,34,FALSE)/86400000),"-")</f>
        <v>0.38188533564814814</v>
      </c>
      <c r="N102" s="57">
        <f>IFERROR(IF(VLOOKUP($A102,SortedDownload!$A$3:$BB$219,35,FALSE)=0,"-",VLOOKUP($A102,SortedDownload!$A$3:$BB$219,35,FALSE)/86400000),"-")</f>
        <v>0.46050694444444445</v>
      </c>
      <c r="O102" s="57">
        <f>IFERROR(IF(VLOOKUP($A102,SortedDownload!$A$3:$BB$219,36,FALSE)=0,"-",VLOOKUP($A102,SortedDownload!$A$3:$BB$219,36,FALSE)/86400000),"-")</f>
        <v>0.46234750000000002</v>
      </c>
      <c r="P102" s="57">
        <f>IFERROR(IF(VLOOKUP($A102,SortedDownload!$A$3:$BB$219,37,FALSE)=0,"-",VLOOKUP($A102,SortedDownload!$A$3:$BB$219,37,FALSE)/86400000),"-")</f>
        <v>0.50868684027777777</v>
      </c>
      <c r="Q102" s="57">
        <f>IFERROR(IF(VLOOKUP($A102,SortedDownload!$A$3:$BB$219,38,FALSE)=0,"-",VLOOKUP($A102,SortedDownload!$A$3:$BB$219,38,FALSE)/86400000),"-")</f>
        <v>0.5122038888888889</v>
      </c>
      <c r="R102" s="57">
        <f>IFERROR(IF(VLOOKUP($A102,SortedDownload!$A$3:$BB$219,39,FALSE)=0,"-",VLOOKUP($A102,SortedDownload!$A$3:$BB$219,39,FALSE)/86400000),"-")</f>
        <v>0.54320687499999998</v>
      </c>
      <c r="S102" s="57">
        <f>IFERROR(IF(VLOOKUP($A102,SortedDownload!$A$3:$BB$219,40,FALSE)=0,"-",VLOOKUP($A102,SortedDownload!$A$3:$BB$219,40,FALSE)/86400000),"-")</f>
        <v>0.54737107638888893</v>
      </c>
      <c r="T102" s="57" t="str">
        <f>IFERROR(IF(VLOOKUP($A102,SortedDownload!$A$3:$BB$219,41,FALSE)=0,"-",VLOOKUP($A102,SortedDownload!$A$3:$BB$219,41,FALSE)/86400000),"-")</f>
        <v>-</v>
      </c>
      <c r="U102" s="57" t="str">
        <f>IFERROR(IF(VLOOKUP($A102,SortedDownload!$A$3:$BB$219,42,FALSE)=0,"-",VLOOKUP($A102,SortedDownload!$A$3:$BB$219,42,FALSE)/86400000),"-")</f>
        <v>-</v>
      </c>
      <c r="V102" s="57" t="str">
        <f>IFERROR(IF(VLOOKUP($A102,SortedDownload!$A$3:$BB$219,43,FALSE)=0,"-",VLOOKUP($A102,SortedDownload!$A$3:$BB$219,43,FALSE)/86400000),"-")</f>
        <v>-</v>
      </c>
      <c r="W102" s="57" t="str">
        <f>IFERROR(IF(VLOOKUP($A102,SortedDownload!$A$3:$BB$219,44,FALSE)=0,"-",VLOOKUP($A102,SortedDownload!$A$3:$BB$219,44,FALSE)/86400000),"-")</f>
        <v>-</v>
      </c>
      <c r="X102" s="57" t="str">
        <f>IFERROR(IF(VLOOKUP($A102,SortedDownload!$A$3:$BB$219,45,FALSE)=0,"-",VLOOKUP($A102,SortedDownload!$A$3:$BB$219,45,FALSE)/86400000),"-")</f>
        <v>-</v>
      </c>
      <c r="Y102" s="58">
        <f>IFERROR(VLOOKUP($A102,SortedDownload!$A$3:$BB$219,46,FALSE)/86400000,"")</f>
        <v>0</v>
      </c>
      <c r="Z102" s="58">
        <f>IFERROR(Table932[[#This Row],[End Time]]-Table932[[#This Row],[Start Time]],"")</f>
        <v>-0.42539501157407406</v>
      </c>
      <c r="AA102" s="58"/>
      <c r="AB102" s="170" t="str">
        <f t="shared" si="9"/>
        <v>N/A</v>
      </c>
      <c r="AC102" s="170" t="str">
        <f t="shared" ref="AC102:AC133" si="10">IF($I102-$I$6&lt;0,"N/A",IFERROR(TEXT(($Z102-$Z$6),"mm:ss"),"N/A"))</f>
        <v>N/A</v>
      </c>
    </row>
    <row r="103" spans="1:29">
      <c r="A103" s="53">
        <f>IF(SortedDownload!A99 &lt; 1,"",SortedDownload!A99)</f>
        <v>88</v>
      </c>
      <c r="B103" s="54">
        <f t="shared" si="6"/>
        <v>98</v>
      </c>
      <c r="C103" s="146" t="str">
        <f>IFERROR(VLOOKUP($A103,CategoryResults!$A$3:$X$252,3,FALSE),"")</f>
        <v/>
      </c>
      <c r="D103" s="149" t="str">
        <f>IFERROR(VLOOKUP($A103,EntryList!$A$3:$N$291,2,FALSE),"")</f>
        <v>John Dalton</v>
      </c>
      <c r="E103" s="146" t="str">
        <f>IFERROR(VLOOKUP(C103,SeriesPoints!$A$2:$B$51,2,FALSE),"")</f>
        <v/>
      </c>
      <c r="F103" s="150" t="str">
        <f>IFERROR(VLOOKUP($A103,EntryList!$A$3:$V$291,22,FALSE),"")</f>
        <v>-</v>
      </c>
      <c r="G103" s="148" t="str">
        <f>IFERROR(VLOOKUP($A103,EntryList!$A$3:$N$291,6,FALSE),"")</f>
        <v>M</v>
      </c>
      <c r="H103" s="145" t="str">
        <f>IFERROR(VLOOKUP($A103,EntryList!$A$3:$N$291,7,FALSE),"")</f>
        <v>Master Men</v>
      </c>
      <c r="I103" s="56">
        <f t="shared" si="7"/>
        <v>9</v>
      </c>
      <c r="J103" s="57">
        <f>IFERROR(VLOOKUP($A103,SortedDownload!$A$3:$BB$219,31,FALSE)/86400000,"")</f>
        <v>0.38088211805555555</v>
      </c>
      <c r="K103" s="57">
        <f>IFERROR(IF(VLOOKUP($A103,SortedDownload!$A$3:$BB$219,32,FALSE)=0,"-",VLOOKUP($A103,SortedDownload!$A$3:$BB$219,32,FALSE)/86400000),"-")</f>
        <v>0.38416166666666668</v>
      </c>
      <c r="L103" s="57">
        <f>IFERROR(IF(VLOOKUP($A103,SortedDownload!$A$3:$BB$219,33,FALSE)=0,"-",VLOOKUP($A103,SortedDownload!$A$3:$BB$219,33,FALSE)/86400000),"-")</f>
        <v>0.42929401620370372</v>
      </c>
      <c r="M103" s="57">
        <f>IFERROR(IF(VLOOKUP($A103,SortedDownload!$A$3:$BB$219,34,FALSE)=0,"-",VLOOKUP($A103,SortedDownload!$A$3:$BB$219,34,FALSE)/86400000),"-")</f>
        <v>0.4326140740740741</v>
      </c>
      <c r="N103" s="57">
        <f>IFERROR(IF(VLOOKUP($A103,SortedDownload!$A$3:$BB$219,35,FALSE)=0,"-",VLOOKUP($A103,SortedDownload!$A$3:$BB$219,35,FALSE)/86400000),"-")</f>
        <v>0.47850780092592593</v>
      </c>
      <c r="O103" s="57">
        <f>IFERROR(IF(VLOOKUP($A103,SortedDownload!$A$3:$BB$219,36,FALSE)=0,"-",VLOOKUP($A103,SortedDownload!$A$3:$BB$219,36,FALSE)/86400000),"-")</f>
        <v>0.48034185185185185</v>
      </c>
      <c r="P103" s="57">
        <f>IFERROR(IF(VLOOKUP($A103,SortedDownload!$A$3:$BB$219,37,FALSE)=0,"-",VLOOKUP($A103,SortedDownload!$A$3:$BB$219,37,FALSE)/86400000),"-")</f>
        <v>0.52464136574074072</v>
      </c>
      <c r="Q103" s="57">
        <f>IFERROR(IF(VLOOKUP($A103,SortedDownload!$A$3:$BB$219,38,FALSE)=0,"-",VLOOKUP($A103,SortedDownload!$A$3:$BB$219,38,FALSE)/86400000),"-")</f>
        <v>0.52807356481481482</v>
      </c>
      <c r="R103" s="57">
        <f>IFERROR(IF(VLOOKUP($A103,SortedDownload!$A$3:$BB$219,39,FALSE)=0,"-",VLOOKUP($A103,SortedDownload!$A$3:$BB$219,39,FALSE)/86400000),"-")</f>
        <v>0.55751733796296299</v>
      </c>
      <c r="S103" s="57">
        <f>IFERROR(IF(VLOOKUP($A103,SortedDownload!$A$3:$BB$219,40,FALSE)=0,"-",VLOOKUP($A103,SortedDownload!$A$3:$BB$219,40,FALSE)/86400000),"-")</f>
        <v>0.56160784722222223</v>
      </c>
      <c r="T103" s="57" t="str">
        <f>IFERROR(IF(VLOOKUP($A103,SortedDownload!$A$3:$BB$219,41,FALSE)=0,"-",VLOOKUP($A103,SortedDownload!$A$3:$BB$219,41,FALSE)/86400000),"-")</f>
        <v>-</v>
      </c>
      <c r="U103" s="57" t="str">
        <f>IFERROR(IF(VLOOKUP($A103,SortedDownload!$A$3:$BB$219,42,FALSE)=0,"-",VLOOKUP($A103,SortedDownload!$A$3:$BB$219,42,FALSE)/86400000),"-")</f>
        <v>-</v>
      </c>
      <c r="V103" s="57" t="str">
        <f>IFERROR(IF(VLOOKUP($A103,SortedDownload!$A$3:$BB$219,43,FALSE)=0,"-",VLOOKUP($A103,SortedDownload!$A$3:$BB$219,43,FALSE)/86400000),"-")</f>
        <v>-</v>
      </c>
      <c r="W103" s="57" t="str">
        <f>IFERROR(IF(VLOOKUP($A103,SortedDownload!$A$3:$BB$219,44,FALSE)=0,"-",VLOOKUP($A103,SortedDownload!$A$3:$BB$219,44,FALSE)/86400000),"-")</f>
        <v>-</v>
      </c>
      <c r="X103" s="57" t="str">
        <f>IFERROR(IF(VLOOKUP($A103,SortedDownload!$A$3:$BB$219,45,FALSE)=0,"-",VLOOKUP($A103,SortedDownload!$A$3:$BB$219,45,FALSE)/86400000),"-")</f>
        <v>-</v>
      </c>
      <c r="Y103" s="58">
        <f>IFERROR(VLOOKUP($A103,SortedDownload!$A$3:$BB$219,46,FALSE)/86400000,"")</f>
        <v>0</v>
      </c>
      <c r="Z103" s="58">
        <f>IFERROR(Table932[[#This Row],[End Time]]-Table932[[#This Row],[Start Time]],"")</f>
        <v>-0.38088211805555555</v>
      </c>
      <c r="AA103" s="58"/>
      <c r="AB103" s="170" t="str">
        <f t="shared" si="9"/>
        <v>04:06</v>
      </c>
      <c r="AC103" s="170" t="str">
        <f t="shared" si="10"/>
        <v>38:12</v>
      </c>
    </row>
    <row r="104" spans="1:29">
      <c r="A104" s="53">
        <f>IF(SortedDownload!A100 &lt; 1,"",SortedDownload!A100)</f>
        <v>69</v>
      </c>
      <c r="B104" s="54">
        <f t="shared" si="6"/>
        <v>99</v>
      </c>
      <c r="C104" s="146" t="str">
        <f>IFERROR(VLOOKUP($A104,CategoryResults!$A$3:$X$252,3,FALSE),"")</f>
        <v/>
      </c>
      <c r="D104" s="149" t="str">
        <f>IFERROR(VLOOKUP($A104,EntryList!$A$3:$N$291,2,FALSE),"")</f>
        <v>Roger Hartley</v>
      </c>
      <c r="E104" s="146" t="str">
        <f>IFERROR(VLOOKUP(C104,SeriesPoints!$A$2:$B$51,2,FALSE),"")</f>
        <v/>
      </c>
      <c r="F104" s="150" t="str">
        <f>IFERROR(VLOOKUP($A104,EntryList!$A$3:$V$291,22,FALSE),"")</f>
        <v>-</v>
      </c>
      <c r="G104" s="148" t="str">
        <f>IFERROR(VLOOKUP($A104,EntryList!$A$3:$N$291,6,FALSE),"")</f>
        <v>M</v>
      </c>
      <c r="H104" s="145" t="str">
        <f>IFERROR(VLOOKUP($A104,EntryList!$A$3:$N$291,7,FALSE),"")</f>
        <v>E-Bike M</v>
      </c>
      <c r="I104" s="56">
        <f t="shared" si="7"/>
        <v>9</v>
      </c>
      <c r="J104" s="57">
        <f>IFERROR(VLOOKUP($A104,SortedDownload!$A$3:$BB$219,31,FALSE)/86400000,"")</f>
        <v>0.39090322916666664</v>
      </c>
      <c r="K104" s="57">
        <f>IFERROR(IF(VLOOKUP($A104,SortedDownload!$A$3:$BB$219,32,FALSE)=0,"-",VLOOKUP($A104,SortedDownload!$A$3:$BB$219,32,FALSE)/86400000),"-")</f>
        <v>0.39402539351851851</v>
      </c>
      <c r="L104" s="57">
        <f>IFERROR(IF(VLOOKUP($A104,SortedDownload!$A$3:$BB$219,33,FALSE)=0,"-",VLOOKUP($A104,SortedDownload!$A$3:$BB$219,33,FALSE)/86400000),"-")</f>
        <v>0.35917309027777777</v>
      </c>
      <c r="M104" s="57">
        <f>IFERROR(IF(VLOOKUP($A104,SortedDownload!$A$3:$BB$219,34,FALSE)=0,"-",VLOOKUP($A104,SortedDownload!$A$3:$BB$219,34,FALSE)/86400000),"-")</f>
        <v>0.3624618634259259</v>
      </c>
      <c r="N104" s="57">
        <f>IFERROR(IF(VLOOKUP($A104,SortedDownload!$A$3:$BB$219,35,FALSE)=0,"-",VLOOKUP($A104,SortedDownload!$A$3:$BB$219,35,FALSE)/86400000),"-")</f>
        <v>0.41933130787037037</v>
      </c>
      <c r="O104" s="57">
        <f>IFERROR(IF(VLOOKUP($A104,SortedDownload!$A$3:$BB$219,36,FALSE)=0,"-",VLOOKUP($A104,SortedDownload!$A$3:$BB$219,36,FALSE)/86400000),"-")</f>
        <v>0.4211786574074074</v>
      </c>
      <c r="P104" s="57">
        <f>IFERROR(IF(VLOOKUP($A104,SortedDownload!$A$3:$BB$219,37,FALSE)=0,"-",VLOOKUP($A104,SortedDownload!$A$3:$BB$219,37,FALSE)/86400000),"-")</f>
        <v>0.46155739583333333</v>
      </c>
      <c r="Q104" s="57">
        <f>IFERROR(IF(VLOOKUP($A104,SortedDownload!$A$3:$BB$219,38,FALSE)=0,"-",VLOOKUP($A104,SortedDownload!$A$3:$BB$219,38,FALSE)/86400000),"-")</f>
        <v>0.46515644675925927</v>
      </c>
      <c r="R104" s="57">
        <f>IFERROR(IF(VLOOKUP($A104,SortedDownload!$A$3:$BB$219,39,FALSE)=0,"-",VLOOKUP($A104,SortedDownload!$A$3:$BB$219,39,FALSE)/86400000),"-")</f>
        <v>0.49345914351851849</v>
      </c>
      <c r="S104" s="57">
        <f>IFERROR(IF(VLOOKUP($A104,SortedDownload!$A$3:$BB$219,40,FALSE)=0,"-",VLOOKUP($A104,SortedDownload!$A$3:$BB$219,40,FALSE)/86400000),"-")</f>
        <v>0.49772440972222221</v>
      </c>
      <c r="T104" s="57" t="str">
        <f>IFERROR(IF(VLOOKUP($A104,SortedDownload!$A$3:$BB$219,41,FALSE)=0,"-",VLOOKUP($A104,SortedDownload!$A$3:$BB$219,41,FALSE)/86400000),"-")</f>
        <v>-</v>
      </c>
      <c r="U104" s="57" t="str">
        <f>IFERROR(IF(VLOOKUP($A104,SortedDownload!$A$3:$BB$219,42,FALSE)=0,"-",VLOOKUP($A104,SortedDownload!$A$3:$BB$219,42,FALSE)/86400000),"-")</f>
        <v>-</v>
      </c>
      <c r="V104" s="57" t="str">
        <f>IFERROR(IF(VLOOKUP($A104,SortedDownload!$A$3:$BB$219,43,FALSE)=0,"-",VLOOKUP($A104,SortedDownload!$A$3:$BB$219,43,FALSE)/86400000),"-")</f>
        <v>-</v>
      </c>
      <c r="W104" s="57" t="str">
        <f>IFERROR(IF(VLOOKUP($A104,SortedDownload!$A$3:$BB$219,44,FALSE)=0,"-",VLOOKUP($A104,SortedDownload!$A$3:$BB$219,44,FALSE)/86400000),"-")</f>
        <v>-</v>
      </c>
      <c r="X104" s="57" t="str">
        <f>IFERROR(IF(VLOOKUP($A104,SortedDownload!$A$3:$BB$219,45,FALSE)=0,"-",VLOOKUP($A104,SortedDownload!$A$3:$BB$219,45,FALSE)/86400000),"-")</f>
        <v>-</v>
      </c>
      <c r="Y104" s="58">
        <f>IFERROR(VLOOKUP($A104,SortedDownload!$A$3:$BB$219,46,FALSE)/86400000,"")</f>
        <v>0</v>
      </c>
      <c r="Z104" s="58">
        <f>IFERROR(Table932[[#This Row],[End Time]]-Table932[[#This Row],[Start Time]],"")</f>
        <v>-0.39090322916666664</v>
      </c>
      <c r="AA104" s="58"/>
      <c r="AB104" s="170" t="str">
        <f t="shared" si="9"/>
        <v>N/A</v>
      </c>
      <c r="AC104" s="170" t="str">
        <f t="shared" si="10"/>
        <v>23:46</v>
      </c>
    </row>
    <row r="105" spans="1:29">
      <c r="A105" s="53">
        <f>IF(SortedDownload!A101 &lt; 1,"",SortedDownload!A101)</f>
        <v>172</v>
      </c>
      <c r="B105" s="54">
        <f t="shared" si="6"/>
        <v>100</v>
      </c>
      <c r="C105" s="146" t="str">
        <f>IFERROR(VLOOKUP($A105,CategoryResults!$A$3:$X$252,3,FALSE),"")</f>
        <v/>
      </c>
      <c r="D105" s="149" t="str">
        <f>IFERROR(VLOOKUP($A105,EntryList!$A$3:$N$291,2,FALSE),"")</f>
        <v>Jean-Luc Roux</v>
      </c>
      <c r="E105" s="146" t="str">
        <f>IFERROR(VLOOKUP(C105,SeriesPoints!$A$2:$B$51,2,FALSE),"")</f>
        <v/>
      </c>
      <c r="F105" s="150" t="str">
        <f>IFERROR(VLOOKUP($A105,EntryList!$A$3:$V$291,22,FALSE),"")</f>
        <v>-</v>
      </c>
      <c r="G105" s="148" t="str">
        <f>IFERROR(VLOOKUP($A105,EntryList!$A$3:$N$291,6,FALSE),"")</f>
        <v>M</v>
      </c>
      <c r="H105" s="145" t="str">
        <f>IFERROR(VLOOKUP($A105,EntryList!$A$3:$N$291,7,FALSE),"")</f>
        <v>Youth Men</v>
      </c>
      <c r="I105" s="56">
        <f t="shared" si="7"/>
        <v>9</v>
      </c>
      <c r="J105" s="57">
        <f>IFERROR(VLOOKUP($A105,SortedDownload!$A$3:$BB$219,31,FALSE)/86400000,"")</f>
        <v>0.36256188657407407</v>
      </c>
      <c r="K105" s="57">
        <f>IFERROR(IF(VLOOKUP($A105,SortedDownload!$A$3:$BB$219,32,FALSE)=0,"-",VLOOKUP($A105,SortedDownload!$A$3:$BB$219,32,FALSE)/86400000),"-")</f>
        <v>0.36588116898148149</v>
      </c>
      <c r="L105" s="57">
        <f>IFERROR(IF(VLOOKUP($A105,SortedDownload!$A$3:$BB$219,33,FALSE)=0,"-",VLOOKUP($A105,SortedDownload!$A$3:$BB$219,33,FALSE)/86400000),"-")</f>
        <v>0.41058913194444446</v>
      </c>
      <c r="M105" s="57">
        <f>IFERROR(IF(VLOOKUP($A105,SortedDownload!$A$3:$BB$219,34,FALSE)=0,"-",VLOOKUP($A105,SortedDownload!$A$3:$BB$219,34,FALSE)/86400000),"-")</f>
        <v>0.41382914351851852</v>
      </c>
      <c r="N105" s="57">
        <f>IFERROR(IF(VLOOKUP($A105,SortedDownload!$A$3:$BB$219,35,FALSE)=0,"-",VLOOKUP($A105,SortedDownload!$A$3:$BB$219,35,FALSE)/86400000),"-")</f>
        <v>0.45213065972222222</v>
      </c>
      <c r="O105" s="57">
        <f>IFERROR(IF(VLOOKUP($A105,SortedDownload!$A$3:$BB$219,36,FALSE)=0,"-",VLOOKUP($A105,SortedDownload!$A$3:$BB$219,36,FALSE)/86400000),"-")</f>
        <v>0.45401280092592594</v>
      </c>
      <c r="P105" s="57">
        <f>IFERROR(IF(VLOOKUP($A105,SortedDownload!$A$3:$BB$219,37,FALSE)=0,"-",VLOOKUP($A105,SortedDownload!$A$3:$BB$219,37,FALSE)/86400000),"-")</f>
        <v>0.49866314814814816</v>
      </c>
      <c r="Q105" s="57">
        <f>IFERROR(IF(VLOOKUP($A105,SortedDownload!$A$3:$BB$219,38,FALSE)=0,"-",VLOOKUP($A105,SortedDownload!$A$3:$BB$219,38,FALSE)/86400000),"-")</f>
        <v>0.50226372685185183</v>
      </c>
      <c r="R105" s="57">
        <f>IFERROR(IF(VLOOKUP($A105,SortedDownload!$A$3:$BB$219,39,FALSE)=0,"-",VLOOKUP($A105,SortedDownload!$A$3:$BB$219,39,FALSE)/86400000),"-")</f>
        <v>0.52747071759259256</v>
      </c>
      <c r="S105" s="57">
        <f>IFERROR(IF(VLOOKUP($A105,SortedDownload!$A$3:$BB$219,40,FALSE)=0,"-",VLOOKUP($A105,SortedDownload!$A$3:$BB$219,40,FALSE)/86400000),"-")</f>
        <v>0.53156668981481481</v>
      </c>
      <c r="T105" s="57" t="str">
        <f>IFERROR(IF(VLOOKUP($A105,SortedDownload!$A$3:$BB$219,41,FALSE)=0,"-",VLOOKUP($A105,SortedDownload!$A$3:$BB$219,41,FALSE)/86400000),"-")</f>
        <v>-</v>
      </c>
      <c r="U105" s="57" t="str">
        <f>IFERROR(IF(VLOOKUP($A105,SortedDownload!$A$3:$BB$219,42,FALSE)=0,"-",VLOOKUP($A105,SortedDownload!$A$3:$BB$219,42,FALSE)/86400000),"-")</f>
        <v>-</v>
      </c>
      <c r="V105" s="57" t="str">
        <f>IFERROR(IF(VLOOKUP($A105,SortedDownload!$A$3:$BB$219,43,FALSE)=0,"-",VLOOKUP($A105,SortedDownload!$A$3:$BB$219,43,FALSE)/86400000),"-")</f>
        <v>-</v>
      </c>
      <c r="W105" s="57" t="str">
        <f>IFERROR(IF(VLOOKUP($A105,SortedDownload!$A$3:$BB$219,44,FALSE)=0,"-",VLOOKUP($A105,SortedDownload!$A$3:$BB$219,44,FALSE)/86400000),"-")</f>
        <v>-</v>
      </c>
      <c r="X105" s="57" t="str">
        <f>IFERROR(IF(VLOOKUP($A105,SortedDownload!$A$3:$BB$219,45,FALSE)=0,"-",VLOOKUP($A105,SortedDownload!$A$3:$BB$219,45,FALSE)/86400000),"-")</f>
        <v>-</v>
      </c>
      <c r="Y105" s="58">
        <f>IFERROR(VLOOKUP($A105,SortedDownload!$A$3:$BB$219,46,FALSE)/86400000,"")</f>
        <v>0</v>
      </c>
      <c r="Z105" s="58">
        <f>IFERROR(Table932[[#This Row],[End Time]]-Table932[[#This Row],[Start Time]],"")</f>
        <v>-0.36256188657407407</v>
      </c>
      <c r="AA105" s="58"/>
      <c r="AB105" s="170" t="str">
        <f t="shared" si="9"/>
        <v>40:49</v>
      </c>
      <c r="AC105" s="170" t="str">
        <f t="shared" si="10"/>
        <v>04:35</v>
      </c>
    </row>
    <row r="106" spans="1:29">
      <c r="A106" s="53">
        <f>IF(SortedDownload!A102 &lt; 1,"",SortedDownload!A102)</f>
        <v>42</v>
      </c>
      <c r="B106" s="54">
        <f t="shared" si="6"/>
        <v>101</v>
      </c>
      <c r="C106" s="146" t="str">
        <f>IFERROR(VLOOKUP($A106,CategoryResults!$A$3:$X$252,3,FALSE),"")</f>
        <v/>
      </c>
      <c r="D106" s="149" t="str">
        <f>IFERROR(VLOOKUP($A106,EntryList!$A$3:$N$291,2,FALSE),"")</f>
        <v>Dylan Jones</v>
      </c>
      <c r="E106" s="146" t="str">
        <f>IFERROR(VLOOKUP(C106,SeriesPoints!$A$2:$B$51,2,FALSE),"")</f>
        <v/>
      </c>
      <c r="F106" s="150" t="str">
        <f>IFERROR(VLOOKUP($A106,EntryList!$A$3:$V$291,22,FALSE),"")</f>
        <v>-</v>
      </c>
      <c r="G106" s="148" t="str">
        <f>IFERROR(VLOOKUP($A106,EntryList!$A$3:$N$291,6,FALSE),"")</f>
        <v>M</v>
      </c>
      <c r="H106" s="145" t="str">
        <f>IFERROR(VLOOKUP($A106,EntryList!$A$3:$N$291,7,FALSE),"")</f>
        <v>Master Men</v>
      </c>
      <c r="I106" s="56">
        <f t="shared" si="7"/>
        <v>9</v>
      </c>
      <c r="J106" s="57">
        <f>IFERROR(VLOOKUP($A106,SortedDownload!$A$3:$BB$219,31,FALSE)/86400000,"")</f>
        <v>0.38448973379629631</v>
      </c>
      <c r="K106" s="57">
        <f>IFERROR(IF(VLOOKUP($A106,SortedDownload!$A$3:$BB$219,32,FALSE)=0,"-",VLOOKUP($A106,SortedDownload!$A$3:$BB$219,32,FALSE)/86400000),"-")</f>
        <v>0.38788258101851852</v>
      </c>
      <c r="L106" s="57">
        <f>IFERROR(IF(VLOOKUP($A106,SortedDownload!$A$3:$BB$219,33,FALSE)=0,"-",VLOOKUP($A106,SortedDownload!$A$3:$BB$219,33,FALSE)/86400000),"-")</f>
        <v>0.46026222222222224</v>
      </c>
      <c r="M106" s="57">
        <f>IFERROR(IF(VLOOKUP($A106,SortedDownload!$A$3:$BB$219,34,FALSE)=0,"-",VLOOKUP($A106,SortedDownload!$A$3:$BB$219,34,FALSE)/86400000),"-")</f>
        <v>0.46341630787037036</v>
      </c>
      <c r="N106" s="57">
        <f>IFERROR(IF(VLOOKUP($A106,SortedDownload!$A$3:$BB$219,35,FALSE)=0,"-",VLOOKUP($A106,SortedDownload!$A$3:$BB$219,35,FALSE)/86400000),"-")</f>
        <v>0.4216800810185185</v>
      </c>
      <c r="O106" s="57">
        <f>IFERROR(IF(VLOOKUP($A106,SortedDownload!$A$3:$BB$219,36,FALSE)=0,"-",VLOOKUP($A106,SortedDownload!$A$3:$BB$219,36,FALSE)/86400000),"-")</f>
        <v>0.42342895833333333</v>
      </c>
      <c r="P106" s="57">
        <f>IFERROR(IF(VLOOKUP($A106,SortedDownload!$A$3:$BB$219,37,FALSE)=0,"-",VLOOKUP($A106,SortedDownload!$A$3:$BB$219,37,FALSE)/86400000),"-")</f>
        <v>0.5224758796296296</v>
      </c>
      <c r="Q106" s="57">
        <f>IFERROR(IF(VLOOKUP($A106,SortedDownload!$A$3:$BB$219,38,FALSE)=0,"-",VLOOKUP($A106,SortedDownload!$A$3:$BB$219,38,FALSE)/86400000),"-")</f>
        <v>0.52592954861111108</v>
      </c>
      <c r="R106" s="57">
        <f>IFERROR(IF(VLOOKUP($A106,SortedDownload!$A$3:$BB$219,39,FALSE)=0,"-",VLOOKUP($A106,SortedDownload!$A$3:$BB$219,39,FALSE)/86400000),"-")</f>
        <v>0.56399849537037039</v>
      </c>
      <c r="S106" s="57">
        <f>IFERROR(IF(VLOOKUP($A106,SortedDownload!$A$3:$BB$219,40,FALSE)=0,"-",VLOOKUP($A106,SortedDownload!$A$3:$BB$219,40,FALSE)/86400000),"-")</f>
        <v>0.56839938657407407</v>
      </c>
      <c r="T106" s="57" t="str">
        <f>IFERROR(IF(VLOOKUP($A106,SortedDownload!$A$3:$BB$219,41,FALSE)=0,"-",VLOOKUP($A106,SortedDownload!$A$3:$BB$219,41,FALSE)/86400000),"-")</f>
        <v>-</v>
      </c>
      <c r="U106" s="57" t="str">
        <f>IFERROR(IF(VLOOKUP($A106,SortedDownload!$A$3:$BB$219,42,FALSE)=0,"-",VLOOKUP($A106,SortedDownload!$A$3:$BB$219,42,FALSE)/86400000),"-")</f>
        <v>-</v>
      </c>
      <c r="V106" s="57" t="str">
        <f>IFERROR(IF(VLOOKUP($A106,SortedDownload!$A$3:$BB$219,43,FALSE)=0,"-",VLOOKUP($A106,SortedDownload!$A$3:$BB$219,43,FALSE)/86400000),"-")</f>
        <v>-</v>
      </c>
      <c r="W106" s="57" t="str">
        <f>IFERROR(IF(VLOOKUP($A106,SortedDownload!$A$3:$BB$219,44,FALSE)=0,"-",VLOOKUP($A106,SortedDownload!$A$3:$BB$219,44,FALSE)/86400000),"-")</f>
        <v>-</v>
      </c>
      <c r="X106" s="57" t="str">
        <f>IFERROR(IF(VLOOKUP($A106,SortedDownload!$A$3:$BB$219,45,FALSE)=0,"-",VLOOKUP($A106,SortedDownload!$A$3:$BB$219,45,FALSE)/86400000),"-")</f>
        <v>-</v>
      </c>
      <c r="Y106" s="58">
        <f>IFERROR(VLOOKUP($A106,SortedDownload!$A$3:$BB$219,46,FALSE)/86400000,"")</f>
        <v>0</v>
      </c>
      <c r="Z106" s="58">
        <f>IFERROR(Table932[[#This Row],[End Time]]-Table932[[#This Row],[Start Time]],"")</f>
        <v>-0.38448973379629631</v>
      </c>
      <c r="AA106" s="58"/>
      <c r="AB106" s="170" t="str">
        <f t="shared" si="9"/>
        <v>N/A</v>
      </c>
      <c r="AC106" s="170" t="str">
        <f t="shared" si="10"/>
        <v>33:00</v>
      </c>
    </row>
    <row r="107" spans="1:29">
      <c r="A107" s="53">
        <f>IF(SortedDownload!A103 &lt; 1,"",SortedDownload!A103)</f>
        <v>9</v>
      </c>
      <c r="B107" s="54">
        <f t="shared" si="6"/>
        <v>102</v>
      </c>
      <c r="C107" s="146" t="str">
        <f>IFERROR(VLOOKUP($A107,CategoryResults!$A$3:$X$252,3,FALSE),"")</f>
        <v/>
      </c>
      <c r="D107" s="149" t="str">
        <f>IFERROR(VLOOKUP($A107,EntryList!$A$3:$N$291,2,FALSE),"")</f>
        <v>Charlie Thiry</v>
      </c>
      <c r="E107" s="146" t="str">
        <f>IFERROR(VLOOKUP(C107,SeriesPoints!$A$2:$B$51,2,FALSE),"")</f>
        <v/>
      </c>
      <c r="F107" s="150" t="str">
        <f>IFERROR(VLOOKUP($A107,EntryList!$A$3:$V$291,22,FALSE),"")</f>
        <v>-</v>
      </c>
      <c r="G107" s="148" t="str">
        <f>IFERROR(VLOOKUP($A107,EntryList!$A$3:$N$291,6,FALSE),"")</f>
        <v>M</v>
      </c>
      <c r="H107" s="145" t="str">
        <f>IFERROR(VLOOKUP($A107,EntryList!$A$3:$N$291,7,FALSE),"")</f>
        <v>Elite Men</v>
      </c>
      <c r="I107" s="56">
        <f t="shared" si="7"/>
        <v>9</v>
      </c>
      <c r="J107" s="57">
        <f>IFERROR(VLOOKUP($A107,SortedDownload!$A$3:$BB$219,31,FALSE)/86400000,"")</f>
        <v>0.39544203703703706</v>
      </c>
      <c r="K107" s="57">
        <f>IFERROR(IF(VLOOKUP($A107,SortedDownload!$A$3:$BB$219,32,FALSE)=0,"-",VLOOKUP($A107,SortedDownload!$A$3:$BB$219,32,FALSE)/86400000),"-")</f>
        <v>0.3990515277777778</v>
      </c>
      <c r="L107" s="57">
        <f>IFERROR(IF(VLOOKUP($A107,SortedDownload!$A$3:$BB$219,33,FALSE)=0,"-",VLOOKUP($A107,SortedDownload!$A$3:$BB$219,33,FALSE)/86400000),"-")</f>
        <v>0.36004568287037036</v>
      </c>
      <c r="M107" s="57">
        <f>IFERROR(IF(VLOOKUP($A107,SortedDownload!$A$3:$BB$219,34,FALSE)=0,"-",VLOOKUP($A107,SortedDownload!$A$3:$BB$219,34,FALSE)/86400000),"-")</f>
        <v>0.36317468749999998</v>
      </c>
      <c r="N107" s="57">
        <f>IFERROR(IF(VLOOKUP($A107,SortedDownload!$A$3:$BB$219,35,FALSE)=0,"-",VLOOKUP($A107,SortedDownload!$A$3:$BB$219,35,FALSE)/86400000),"-")</f>
        <v>0.45761006944444443</v>
      </c>
      <c r="O107" s="57">
        <f>IFERROR(IF(VLOOKUP($A107,SortedDownload!$A$3:$BB$219,36,FALSE)=0,"-",VLOOKUP($A107,SortedDownload!$A$3:$BB$219,36,FALSE)/86400000),"-")</f>
        <v>0.45938398148148146</v>
      </c>
      <c r="P107" s="57">
        <f>IFERROR(IF(VLOOKUP($A107,SortedDownload!$A$3:$BB$219,37,FALSE)=0,"-",VLOOKUP($A107,SortedDownload!$A$3:$BB$219,37,FALSE)/86400000),"-")</f>
        <v>0.51864174768518523</v>
      </c>
      <c r="Q107" s="57">
        <f>IFERROR(IF(VLOOKUP($A107,SortedDownload!$A$3:$BB$219,38,FALSE)=0,"-",VLOOKUP($A107,SortedDownload!$A$3:$BB$219,38,FALSE)/86400000),"-")</f>
        <v>0.52207708333333336</v>
      </c>
      <c r="R107" s="57">
        <f>IFERROR(IF(VLOOKUP($A107,SortedDownload!$A$3:$BB$219,39,FALSE)=0,"-",VLOOKUP($A107,SortedDownload!$A$3:$BB$219,39,FALSE)/86400000),"-")</f>
        <v>0.55657962962962959</v>
      </c>
      <c r="S107" s="57">
        <f>IFERROR(IF(VLOOKUP($A107,SortedDownload!$A$3:$BB$219,40,FALSE)=0,"-",VLOOKUP($A107,SortedDownload!$A$3:$BB$219,40,FALSE)/86400000),"-")</f>
        <v>0.56078531249999997</v>
      </c>
      <c r="T107" s="57" t="str">
        <f>IFERROR(IF(VLOOKUP($A107,SortedDownload!$A$3:$BB$219,41,FALSE)=0,"-",VLOOKUP($A107,SortedDownload!$A$3:$BB$219,41,FALSE)/86400000),"-")</f>
        <v>-</v>
      </c>
      <c r="U107" s="57" t="str">
        <f>IFERROR(IF(VLOOKUP($A107,SortedDownload!$A$3:$BB$219,42,FALSE)=0,"-",VLOOKUP($A107,SortedDownload!$A$3:$BB$219,42,FALSE)/86400000),"-")</f>
        <v>-</v>
      </c>
      <c r="V107" s="57" t="str">
        <f>IFERROR(IF(VLOOKUP($A107,SortedDownload!$A$3:$BB$219,43,FALSE)=0,"-",VLOOKUP($A107,SortedDownload!$A$3:$BB$219,43,FALSE)/86400000),"-")</f>
        <v>-</v>
      </c>
      <c r="W107" s="57" t="str">
        <f>IFERROR(IF(VLOOKUP($A107,SortedDownload!$A$3:$BB$219,44,FALSE)=0,"-",VLOOKUP($A107,SortedDownload!$A$3:$BB$219,44,FALSE)/86400000),"-")</f>
        <v>-</v>
      </c>
      <c r="X107" s="57" t="str">
        <f>IFERROR(IF(VLOOKUP($A107,SortedDownload!$A$3:$BB$219,45,FALSE)=0,"-",VLOOKUP($A107,SortedDownload!$A$3:$BB$219,45,FALSE)/86400000),"-")</f>
        <v>-</v>
      </c>
      <c r="Y107" s="58">
        <f>IFERROR(VLOOKUP($A107,SortedDownload!$A$3:$BB$219,46,FALSE)/86400000,"")</f>
        <v>0</v>
      </c>
      <c r="Z107" s="58">
        <f>IFERROR(Table932[[#This Row],[End Time]]-Table932[[#This Row],[Start Time]],"")</f>
        <v>-0.39544203703703706</v>
      </c>
      <c r="AA107" s="58"/>
      <c r="AB107" s="170" t="str">
        <f t="shared" si="9"/>
        <v>N/A</v>
      </c>
      <c r="AC107" s="170" t="str">
        <f t="shared" si="10"/>
        <v>17:14</v>
      </c>
    </row>
    <row r="108" spans="1:29">
      <c r="A108" s="53">
        <f>IF(SortedDownload!A104 &lt; 1,"",SortedDownload!A104)</f>
        <v>44</v>
      </c>
      <c r="B108" s="54">
        <f t="shared" si="6"/>
        <v>103</v>
      </c>
      <c r="C108" s="146" t="str">
        <f>IFERROR(VLOOKUP($A108,CategoryResults!$A$3:$X$252,3,FALSE),"")</f>
        <v/>
      </c>
      <c r="D108" s="149" t="str">
        <f>IFERROR(VLOOKUP($A108,EntryList!$A$3:$N$291,2,FALSE),"")</f>
        <v>Nigel Basel</v>
      </c>
      <c r="E108" s="146" t="str">
        <f>IFERROR(VLOOKUP(C108,SeriesPoints!$A$2:$B$51,2,FALSE),"")</f>
        <v/>
      </c>
      <c r="F108" s="150" t="str">
        <f>IFERROR(VLOOKUP($A108,EntryList!$A$3:$V$291,22,FALSE),"")</f>
        <v>-</v>
      </c>
      <c r="G108" s="148" t="str">
        <f>IFERROR(VLOOKUP($A108,EntryList!$A$3:$N$291,6,FALSE),"")</f>
        <v>M</v>
      </c>
      <c r="H108" s="145" t="str">
        <f>IFERROR(VLOOKUP($A108,EntryList!$A$3:$N$291,7,FALSE),"")</f>
        <v>Master Men</v>
      </c>
      <c r="I108" s="56">
        <f t="shared" si="7"/>
        <v>9</v>
      </c>
      <c r="J108" s="57">
        <f>IFERROR(VLOOKUP($A108,SortedDownload!$A$3:$BB$219,31,FALSE)/86400000,"")</f>
        <v>0.41268873842592591</v>
      </c>
      <c r="K108" s="57">
        <f>IFERROR(IF(VLOOKUP($A108,SortedDownload!$A$3:$BB$219,32,FALSE)=0,"-",VLOOKUP($A108,SortedDownload!$A$3:$BB$219,32,FALSE)/86400000),"-")</f>
        <v>0.41596944444444445</v>
      </c>
      <c r="L108" s="57">
        <f>IFERROR(IF(VLOOKUP($A108,SortedDownload!$A$3:$BB$219,33,FALSE)=0,"-",VLOOKUP($A108,SortedDownload!$A$3:$BB$219,33,FALSE)/86400000),"-")</f>
        <v>0.37608104166666667</v>
      </c>
      <c r="M108" s="57">
        <f>IFERROR(IF(VLOOKUP($A108,SortedDownload!$A$3:$BB$219,34,FALSE)=0,"-",VLOOKUP($A108,SortedDownload!$A$3:$BB$219,34,FALSE)/86400000),"-")</f>
        <v>0.37928366898148147</v>
      </c>
      <c r="N108" s="57">
        <f>IFERROR(IF(VLOOKUP($A108,SortedDownload!$A$3:$BB$219,35,FALSE)=0,"-",VLOOKUP($A108,SortedDownload!$A$3:$BB$219,35,FALSE)/86400000),"-")</f>
        <v>0.4533301388888889</v>
      </c>
      <c r="O108" s="57">
        <f>IFERROR(IF(VLOOKUP($A108,SortedDownload!$A$3:$BB$219,36,FALSE)=0,"-",VLOOKUP($A108,SortedDownload!$A$3:$BB$219,36,FALSE)/86400000),"-")</f>
        <v>0.45516437500000001</v>
      </c>
      <c r="P108" s="57">
        <f>IFERROR(IF(VLOOKUP($A108,SortedDownload!$A$3:$BB$219,37,FALSE)=0,"-",VLOOKUP($A108,SortedDownload!$A$3:$BB$219,37,FALSE)/86400000),"-")</f>
        <v>0.49813539351851854</v>
      </c>
      <c r="Q108" s="57">
        <f>IFERROR(IF(VLOOKUP($A108,SortedDownload!$A$3:$BB$219,38,FALSE)=0,"-",VLOOKUP($A108,SortedDownload!$A$3:$BB$219,38,FALSE)/86400000),"-")</f>
        <v>0.501627974537037</v>
      </c>
      <c r="R108" s="57">
        <f>IFERROR(IF(VLOOKUP($A108,SortedDownload!$A$3:$BB$219,39,FALSE)=0,"-",VLOOKUP($A108,SortedDownload!$A$3:$BB$219,39,FALSE)/86400000),"-")</f>
        <v>0.53117217592592592</v>
      </c>
      <c r="S108" s="57">
        <f>IFERROR(IF(VLOOKUP($A108,SortedDownload!$A$3:$BB$219,40,FALSE)=0,"-",VLOOKUP($A108,SortedDownload!$A$3:$BB$219,40,FALSE)/86400000),"-")</f>
        <v>0.53551884259259264</v>
      </c>
      <c r="T108" s="57" t="str">
        <f>IFERROR(IF(VLOOKUP($A108,SortedDownload!$A$3:$BB$219,41,FALSE)=0,"-",VLOOKUP($A108,SortedDownload!$A$3:$BB$219,41,FALSE)/86400000),"-")</f>
        <v>-</v>
      </c>
      <c r="U108" s="57" t="str">
        <f>IFERROR(IF(VLOOKUP($A108,SortedDownload!$A$3:$BB$219,42,FALSE)=0,"-",VLOOKUP($A108,SortedDownload!$A$3:$BB$219,42,FALSE)/86400000),"-")</f>
        <v>-</v>
      </c>
      <c r="V108" s="57" t="str">
        <f>IFERROR(IF(VLOOKUP($A108,SortedDownload!$A$3:$BB$219,43,FALSE)=0,"-",VLOOKUP($A108,SortedDownload!$A$3:$BB$219,43,FALSE)/86400000),"-")</f>
        <v>-</v>
      </c>
      <c r="W108" s="57" t="str">
        <f>IFERROR(IF(VLOOKUP($A108,SortedDownload!$A$3:$BB$219,44,FALSE)=0,"-",VLOOKUP($A108,SortedDownload!$A$3:$BB$219,44,FALSE)/86400000),"-")</f>
        <v>-</v>
      </c>
      <c r="X108" s="57" t="str">
        <f>IFERROR(IF(VLOOKUP($A108,SortedDownload!$A$3:$BB$219,45,FALSE)=0,"-",VLOOKUP($A108,SortedDownload!$A$3:$BB$219,45,FALSE)/86400000),"-")</f>
        <v>-</v>
      </c>
      <c r="Y108" s="58">
        <f>IFERROR(VLOOKUP($A108,SortedDownload!$A$3:$BB$219,46,FALSE)/86400000,"")</f>
        <v>0</v>
      </c>
      <c r="Z108" s="58">
        <f>IFERROR(Table932[[#This Row],[End Time]]-Table932[[#This Row],[Start Time]],"")</f>
        <v>-0.41268873842592591</v>
      </c>
      <c r="AA108" s="58"/>
      <c r="AB108" s="170" t="str">
        <f t="shared" ref="AB108:AB139" si="11">IFERROR(TEXT(($Z108-$Z107),"mm:ss"),"N/A")</f>
        <v>N/A</v>
      </c>
      <c r="AC108" s="170" t="str">
        <f t="shared" si="10"/>
        <v>N/A</v>
      </c>
    </row>
    <row r="109" spans="1:29">
      <c r="A109" s="53">
        <f>IF(SortedDownload!A105 &lt; 1,"",SortedDownload!A105)</f>
        <v>22</v>
      </c>
      <c r="B109" s="54">
        <f t="shared" si="6"/>
        <v>104</v>
      </c>
      <c r="C109" s="146" t="str">
        <f>IFERROR(VLOOKUP($A109,CategoryResults!$A$3:$X$252,3,FALSE),"")</f>
        <v/>
      </c>
      <c r="D109" s="149" t="str">
        <f>IFERROR(VLOOKUP($A109,EntryList!$A$3:$N$291,2,FALSE),"")</f>
        <v>Annemi Pfister</v>
      </c>
      <c r="E109" s="146" t="str">
        <f>IFERROR(VLOOKUP(C109,SeriesPoints!$A$2:$B$51,2,FALSE),"")</f>
        <v/>
      </c>
      <c r="F109" s="150" t="str">
        <f>IFERROR(VLOOKUP($A109,EntryList!$A$3:$V$291,22,FALSE),"")</f>
        <v>-</v>
      </c>
      <c r="G109" s="148" t="str">
        <f>IFERROR(VLOOKUP($A109,EntryList!$A$3:$N$291,6,FALSE),"")</f>
        <v>F</v>
      </c>
      <c r="H109" s="145" t="str">
        <f>IFERROR(VLOOKUP($A109,EntryList!$A$3:$N$291,7,FALSE),"")</f>
        <v>Master Women</v>
      </c>
      <c r="I109" s="56">
        <f t="shared" si="7"/>
        <v>9</v>
      </c>
      <c r="J109" s="57">
        <f>IFERROR(VLOOKUP($A109,SortedDownload!$A$3:$BB$219,31,FALSE)/86400000,"")</f>
        <v>0.36518049768518518</v>
      </c>
      <c r="K109" s="57">
        <f>IFERROR(IF(VLOOKUP($A109,SortedDownload!$A$3:$BB$219,32,FALSE)=0,"-",VLOOKUP($A109,SortedDownload!$A$3:$BB$219,32,FALSE)/86400000),"-")</f>
        <v>0.3687670023148148</v>
      </c>
      <c r="L109" s="57">
        <f>IFERROR(IF(VLOOKUP($A109,SortedDownload!$A$3:$BB$219,33,FALSE)=0,"-",VLOOKUP($A109,SortedDownload!$A$3:$BB$219,33,FALSE)/86400000),"-")</f>
        <v>0.41496181712962965</v>
      </c>
      <c r="M109" s="57">
        <f>IFERROR(IF(VLOOKUP($A109,SortedDownload!$A$3:$BB$219,34,FALSE)=0,"-",VLOOKUP($A109,SortedDownload!$A$3:$BB$219,34,FALSE)/86400000),"-")</f>
        <v>0.41807341435185186</v>
      </c>
      <c r="N109" s="57">
        <f>IFERROR(IF(VLOOKUP($A109,SortedDownload!$A$3:$BB$219,35,FALSE)=0,"-",VLOOKUP($A109,SortedDownload!$A$3:$BB$219,35,FALSE)/86400000),"-")</f>
        <v>0.45501594907407406</v>
      </c>
      <c r="O109" s="57">
        <f>IFERROR(IF(VLOOKUP($A109,SortedDownload!$A$3:$BB$219,36,FALSE)=0,"-",VLOOKUP($A109,SortedDownload!$A$3:$BB$219,36,FALSE)/86400000),"-")</f>
        <v>0.45684221064814817</v>
      </c>
      <c r="P109" s="57">
        <f>IFERROR(IF(VLOOKUP($A109,SortedDownload!$A$3:$BB$219,37,FALSE)=0,"-",VLOOKUP($A109,SortedDownload!$A$3:$BB$219,37,FALSE)/86400000),"-")</f>
        <v>0.49970765046296295</v>
      </c>
      <c r="Q109" s="57">
        <f>IFERROR(IF(VLOOKUP($A109,SortedDownload!$A$3:$BB$219,38,FALSE)=0,"-",VLOOKUP($A109,SortedDownload!$A$3:$BB$219,38,FALSE)/86400000),"-")</f>
        <v>0.5032606828703704</v>
      </c>
      <c r="R109" s="57">
        <f>IFERROR(IF(VLOOKUP($A109,SortedDownload!$A$3:$BB$219,39,FALSE)=0,"-",VLOOKUP($A109,SortedDownload!$A$3:$BB$219,39,FALSE)/86400000),"-")</f>
        <v>0.53260217592592596</v>
      </c>
      <c r="S109" s="57">
        <f>IFERROR(IF(VLOOKUP($A109,SortedDownload!$A$3:$BB$219,40,FALSE)=0,"-",VLOOKUP($A109,SortedDownload!$A$3:$BB$219,40,FALSE)/86400000),"-")</f>
        <v>0.53673353009259261</v>
      </c>
      <c r="T109" s="57" t="str">
        <f>IFERROR(IF(VLOOKUP($A109,SortedDownload!$A$3:$BB$219,41,FALSE)=0,"-",VLOOKUP($A109,SortedDownload!$A$3:$BB$219,41,FALSE)/86400000),"-")</f>
        <v>-</v>
      </c>
      <c r="U109" s="57" t="str">
        <f>IFERROR(IF(VLOOKUP($A109,SortedDownload!$A$3:$BB$219,42,FALSE)=0,"-",VLOOKUP($A109,SortedDownload!$A$3:$BB$219,42,FALSE)/86400000),"-")</f>
        <v>-</v>
      </c>
      <c r="V109" s="57" t="str">
        <f>IFERROR(IF(VLOOKUP($A109,SortedDownload!$A$3:$BB$219,43,FALSE)=0,"-",VLOOKUP($A109,SortedDownload!$A$3:$BB$219,43,FALSE)/86400000),"-")</f>
        <v>-</v>
      </c>
      <c r="W109" s="57" t="str">
        <f>IFERROR(IF(VLOOKUP($A109,SortedDownload!$A$3:$BB$219,44,FALSE)=0,"-",VLOOKUP($A109,SortedDownload!$A$3:$BB$219,44,FALSE)/86400000),"-")</f>
        <v>-</v>
      </c>
      <c r="X109" s="57" t="str">
        <f>IFERROR(IF(VLOOKUP($A109,SortedDownload!$A$3:$BB$219,45,FALSE)=0,"-",VLOOKUP($A109,SortedDownload!$A$3:$BB$219,45,FALSE)/86400000),"-")</f>
        <v>-</v>
      </c>
      <c r="Y109" s="58">
        <f>IFERROR(VLOOKUP($A109,SortedDownload!$A$3:$BB$219,46,FALSE)/86400000,"")</f>
        <v>0</v>
      </c>
      <c r="Z109" s="58">
        <f>IFERROR(Table932[[#This Row],[End Time]]-Table932[[#This Row],[Start Time]],"")</f>
        <v>-0.36518049768518518</v>
      </c>
      <c r="AA109" s="58"/>
      <c r="AB109" s="170" t="str">
        <f t="shared" si="11"/>
        <v>08:25</v>
      </c>
      <c r="AC109" s="170" t="str">
        <f t="shared" si="10"/>
        <v>00:49</v>
      </c>
    </row>
    <row r="110" spans="1:29">
      <c r="A110" s="53">
        <f>IF(SortedDownload!A106 &lt; 1,"",SortedDownload!A106)</f>
        <v>4</v>
      </c>
      <c r="B110" s="54">
        <f t="shared" si="6"/>
        <v>105</v>
      </c>
      <c r="C110" s="146" t="str">
        <f>IFERROR(VLOOKUP($A110,CategoryResults!$A$3:$X$252,3,FALSE),"")</f>
        <v/>
      </c>
      <c r="D110" s="149" t="str">
        <f>IFERROR(VLOOKUP($A110,EntryList!$A$3:$N$291,2,FALSE),"")</f>
        <v>James Eatwell</v>
      </c>
      <c r="E110" s="146" t="str">
        <f>IFERROR(VLOOKUP(C110,SeriesPoints!$A$2:$B$51,2,FALSE),"")</f>
        <v/>
      </c>
      <c r="F110" s="150" t="str">
        <f>IFERROR(VLOOKUP($A110,EntryList!$A$3:$V$291,22,FALSE),"")</f>
        <v>-</v>
      </c>
      <c r="G110" s="148" t="str">
        <f>IFERROR(VLOOKUP($A110,EntryList!$A$3:$N$291,6,FALSE),"")</f>
        <v>M</v>
      </c>
      <c r="H110" s="145" t="str">
        <f>IFERROR(VLOOKUP($A110,EntryList!$A$3:$N$291,7,FALSE),"")</f>
        <v>Master Men</v>
      </c>
      <c r="I110" s="56">
        <f t="shared" si="7"/>
        <v>9</v>
      </c>
      <c r="J110" s="57">
        <f>IFERROR(VLOOKUP($A110,SortedDownload!$A$3:$BB$219,31,FALSE)/86400000,"")</f>
        <v>0.36957089120370368</v>
      </c>
      <c r="K110" s="57">
        <f>IFERROR(IF(VLOOKUP($A110,SortedDownload!$A$3:$BB$219,32,FALSE)=0,"-",VLOOKUP($A110,SortedDownload!$A$3:$BB$219,32,FALSE)/86400000),"-")</f>
        <v>0.37301976851851854</v>
      </c>
      <c r="L110" s="57">
        <f>IFERROR(IF(VLOOKUP($A110,SortedDownload!$A$3:$BB$219,33,FALSE)=0,"-",VLOOKUP($A110,SortedDownload!$A$3:$BB$219,33,FALSE)/86400000),"-")</f>
        <v>0.42586825231481479</v>
      </c>
      <c r="M110" s="57">
        <f>IFERROR(IF(VLOOKUP($A110,SortedDownload!$A$3:$BB$219,34,FALSE)=0,"-",VLOOKUP($A110,SortedDownload!$A$3:$BB$219,34,FALSE)/86400000),"-")</f>
        <v>0.4289428009259259</v>
      </c>
      <c r="N110" s="57">
        <f>IFERROR(IF(VLOOKUP($A110,SortedDownload!$A$3:$BB$219,35,FALSE)=0,"-",VLOOKUP($A110,SortedDownload!$A$3:$BB$219,35,FALSE)/86400000),"-")</f>
        <v>0.46641210648148146</v>
      </c>
      <c r="O110" s="57">
        <f>IFERROR(IF(VLOOKUP($A110,SortedDownload!$A$3:$BB$219,36,FALSE)=0,"-",VLOOKUP($A110,SortedDownload!$A$3:$BB$219,36,FALSE)/86400000),"-")</f>
        <v>0.46825773148148148</v>
      </c>
      <c r="P110" s="57">
        <f>IFERROR(IF(VLOOKUP($A110,SortedDownload!$A$3:$BB$219,37,FALSE)=0,"-",VLOOKUP($A110,SortedDownload!$A$3:$BB$219,37,FALSE)/86400000),"-")</f>
        <v>0.5236739583333333</v>
      </c>
      <c r="Q110" s="57">
        <f>IFERROR(IF(VLOOKUP($A110,SortedDownload!$A$3:$BB$219,38,FALSE)=0,"-",VLOOKUP($A110,SortedDownload!$A$3:$BB$219,38,FALSE)/86400000),"-")</f>
        <v>0.52743444444444443</v>
      </c>
      <c r="R110" s="57">
        <f>IFERROR(IF(VLOOKUP($A110,SortedDownload!$A$3:$BB$219,39,FALSE)=0,"-",VLOOKUP($A110,SortedDownload!$A$3:$BB$219,39,FALSE)/86400000),"-")</f>
        <v>0.56325407407407413</v>
      </c>
      <c r="S110" s="57">
        <f>IFERROR(IF(VLOOKUP($A110,SortedDownload!$A$3:$BB$219,40,FALSE)=0,"-",VLOOKUP($A110,SortedDownload!$A$3:$BB$219,40,FALSE)/86400000),"-")</f>
        <v>0.56741997685185186</v>
      </c>
      <c r="T110" s="57" t="str">
        <f>IFERROR(IF(VLOOKUP($A110,SortedDownload!$A$3:$BB$219,41,FALSE)=0,"-",VLOOKUP($A110,SortedDownload!$A$3:$BB$219,41,FALSE)/86400000),"-")</f>
        <v>-</v>
      </c>
      <c r="U110" s="57" t="str">
        <f>IFERROR(IF(VLOOKUP($A110,SortedDownload!$A$3:$BB$219,42,FALSE)=0,"-",VLOOKUP($A110,SortedDownload!$A$3:$BB$219,42,FALSE)/86400000),"-")</f>
        <v>-</v>
      </c>
      <c r="V110" s="57" t="str">
        <f>IFERROR(IF(VLOOKUP($A110,SortedDownload!$A$3:$BB$219,43,FALSE)=0,"-",VLOOKUP($A110,SortedDownload!$A$3:$BB$219,43,FALSE)/86400000),"-")</f>
        <v>-</v>
      </c>
      <c r="W110" s="57" t="str">
        <f>IFERROR(IF(VLOOKUP($A110,SortedDownload!$A$3:$BB$219,44,FALSE)=0,"-",VLOOKUP($A110,SortedDownload!$A$3:$BB$219,44,FALSE)/86400000),"-")</f>
        <v>-</v>
      </c>
      <c r="X110" s="57" t="str">
        <f>IFERROR(IF(VLOOKUP($A110,SortedDownload!$A$3:$BB$219,45,FALSE)=0,"-",VLOOKUP($A110,SortedDownload!$A$3:$BB$219,45,FALSE)/86400000),"-")</f>
        <v>-</v>
      </c>
      <c r="Y110" s="58">
        <f>IFERROR(VLOOKUP($A110,SortedDownload!$A$3:$BB$219,46,FALSE)/86400000,"")</f>
        <v>0</v>
      </c>
      <c r="Z110" s="58">
        <f>IFERROR(Table932[[#This Row],[End Time]]-Table932[[#This Row],[Start Time]],"")</f>
        <v>-0.36957089120370368</v>
      </c>
      <c r="AA110" s="58"/>
      <c r="AB110" s="170" t="str">
        <f t="shared" si="11"/>
        <v>N/A</v>
      </c>
      <c r="AC110" s="170" t="str">
        <f t="shared" si="10"/>
        <v>54:29</v>
      </c>
    </row>
    <row r="111" spans="1:29">
      <c r="A111" s="53">
        <f>IF(SortedDownload!A106 &lt; 1,"",SortedDownload!A106)</f>
        <v>4</v>
      </c>
      <c r="B111" s="54">
        <f t="shared" si="6"/>
        <v>106</v>
      </c>
      <c r="C111" s="146" t="str">
        <f>IFERROR(VLOOKUP($A111,CategoryResults!$A$3:$X$252,3,FALSE),"")</f>
        <v/>
      </c>
      <c r="D111" s="149" t="str">
        <f>IFERROR(VLOOKUP($A111,EntryList!$A$3:$N$291,2,FALSE),"")</f>
        <v>James Eatwell</v>
      </c>
      <c r="E111" s="146" t="str">
        <f>IFERROR(VLOOKUP(C111,SeriesPoints!$A$2:$B$51,2,FALSE),"")</f>
        <v/>
      </c>
      <c r="F111" s="150" t="str">
        <f>IFERROR(VLOOKUP($A111,EntryList!$A$3:$V$291,22,FALSE),"")</f>
        <v>-</v>
      </c>
      <c r="G111" s="148" t="str">
        <f>IFERROR(VLOOKUP($A111,EntryList!$A$3:$N$291,6,FALSE),"")</f>
        <v>M</v>
      </c>
      <c r="H111" s="145" t="str">
        <f>IFERROR(VLOOKUP($A111,EntryList!$A$3:$N$291,7,FALSE),"")</f>
        <v>Master Men</v>
      </c>
      <c r="I111" s="56">
        <f t="shared" si="7"/>
        <v>9</v>
      </c>
      <c r="J111" s="57">
        <f>IFERROR(VLOOKUP($A111,SortedDownload!$A$3:$BB$219,31,FALSE)/86400000,"")</f>
        <v>0.36957089120370368</v>
      </c>
      <c r="K111" s="57">
        <f>IFERROR(IF(VLOOKUP($A111,SortedDownload!$A$3:$BB$219,32,FALSE)=0,"-",VLOOKUP($A111,SortedDownload!$A$3:$BB$219,32,FALSE)/86400000),"-")</f>
        <v>0.37301976851851854</v>
      </c>
      <c r="L111" s="57">
        <f>IFERROR(IF(VLOOKUP($A111,SortedDownload!$A$3:$BB$219,33,FALSE)=0,"-",VLOOKUP($A111,SortedDownload!$A$3:$BB$219,33,FALSE)/86400000),"-")</f>
        <v>0.42586825231481479</v>
      </c>
      <c r="M111" s="57">
        <f>IFERROR(IF(VLOOKUP($A111,SortedDownload!$A$3:$BB$219,34,FALSE)=0,"-",VLOOKUP($A111,SortedDownload!$A$3:$BB$219,34,FALSE)/86400000),"-")</f>
        <v>0.4289428009259259</v>
      </c>
      <c r="N111" s="57">
        <f>IFERROR(IF(VLOOKUP($A111,SortedDownload!$A$3:$BB$219,35,FALSE)=0,"-",VLOOKUP($A111,SortedDownload!$A$3:$BB$219,35,FALSE)/86400000),"-")</f>
        <v>0.46641210648148146</v>
      </c>
      <c r="O111" s="57">
        <f>IFERROR(IF(VLOOKUP($A111,SortedDownload!$A$3:$BB$219,36,FALSE)=0,"-",VLOOKUP($A111,SortedDownload!$A$3:$BB$219,36,FALSE)/86400000),"-")</f>
        <v>0.46825773148148148</v>
      </c>
      <c r="P111" s="57">
        <f>IFERROR(IF(VLOOKUP($A111,SortedDownload!$A$3:$BB$219,37,FALSE)=0,"-",VLOOKUP($A111,SortedDownload!$A$3:$BB$219,37,FALSE)/86400000),"-")</f>
        <v>0.5236739583333333</v>
      </c>
      <c r="Q111" s="57">
        <f>IFERROR(IF(VLOOKUP($A111,SortedDownload!$A$3:$BB$219,38,FALSE)=0,"-",VLOOKUP($A111,SortedDownload!$A$3:$BB$219,38,FALSE)/86400000),"-")</f>
        <v>0.52743444444444443</v>
      </c>
      <c r="R111" s="57">
        <f>IFERROR(IF(VLOOKUP($A111,SortedDownload!$A$3:$BB$219,39,FALSE)=0,"-",VLOOKUP($A111,SortedDownload!$A$3:$BB$219,39,FALSE)/86400000),"-")</f>
        <v>0.56325407407407413</v>
      </c>
      <c r="S111" s="57">
        <f>IFERROR(IF(VLOOKUP($A111,SortedDownload!$A$3:$BB$219,40,FALSE)=0,"-",VLOOKUP($A111,SortedDownload!$A$3:$BB$219,40,FALSE)/86400000),"-")</f>
        <v>0.56741997685185186</v>
      </c>
      <c r="T111" s="57" t="str">
        <f>IFERROR(IF(VLOOKUP($A111,SortedDownload!$A$3:$BB$219,41,FALSE)=0,"-",VLOOKUP($A111,SortedDownload!$A$3:$BB$219,41,FALSE)/86400000),"-")</f>
        <v>-</v>
      </c>
      <c r="U111" s="57" t="str">
        <f>IFERROR(IF(VLOOKUP($A111,SortedDownload!$A$3:$BB$219,42,FALSE)=0,"-",VLOOKUP($A111,SortedDownload!$A$3:$BB$219,42,FALSE)/86400000),"-")</f>
        <v>-</v>
      </c>
      <c r="V111" s="57" t="str">
        <f>IFERROR(IF(VLOOKUP($A111,SortedDownload!$A$3:$BB$219,43,FALSE)=0,"-",VLOOKUP($A111,SortedDownload!$A$3:$BB$219,43,FALSE)/86400000),"-")</f>
        <v>-</v>
      </c>
      <c r="W111" s="57" t="str">
        <f>IFERROR(IF(VLOOKUP($A111,SortedDownload!$A$3:$BB$219,44,FALSE)=0,"-",VLOOKUP($A111,SortedDownload!$A$3:$BB$219,44,FALSE)/86400000),"-")</f>
        <v>-</v>
      </c>
      <c r="X111" s="57" t="str">
        <f>IFERROR(IF(VLOOKUP($A111,SortedDownload!$A$3:$BB$219,45,FALSE)=0,"-",VLOOKUP($A111,SortedDownload!$A$3:$BB$219,45,FALSE)/86400000),"-")</f>
        <v>-</v>
      </c>
      <c r="Y111" s="58">
        <f>IFERROR(VLOOKUP($A111,SortedDownload!$A$3:$BB$219,46,FALSE)/86400000,"")</f>
        <v>0</v>
      </c>
      <c r="Z111" s="58">
        <f>IFERROR(Table932[[#This Row],[End Time]]-Table932[[#This Row],[Start Time]],"")</f>
        <v>-0.36957089120370368</v>
      </c>
      <c r="AA111" s="58"/>
      <c r="AB111" s="170" t="str">
        <f t="shared" si="11"/>
        <v>00:00</v>
      </c>
      <c r="AC111" s="170" t="str">
        <f t="shared" si="10"/>
        <v>54:29</v>
      </c>
    </row>
    <row r="112" spans="1:29">
      <c r="A112" s="53">
        <f>IF(SortedDownload!A107 &lt; 1,"",SortedDownload!A107)</f>
        <v>119</v>
      </c>
      <c r="B112" s="54">
        <f t="shared" si="6"/>
        <v>107</v>
      </c>
      <c r="C112" s="146" t="str">
        <f>IFERROR(VLOOKUP($A112,CategoryResults!$A$3:$X$252,3,FALSE),"")</f>
        <v/>
      </c>
      <c r="D112" s="149" t="str">
        <f>IFERROR(VLOOKUP($A112,EntryList!$A$3:$N$291,2,FALSE),"")</f>
        <v>Ian Williams</v>
      </c>
      <c r="E112" s="146" t="str">
        <f>IFERROR(VLOOKUP(C112,SeriesPoints!$A$2:$B$51,2,FALSE),"")</f>
        <v/>
      </c>
      <c r="F112" s="150" t="str">
        <f>IFERROR(VLOOKUP($A112,EntryList!$A$3:$V$291,22,FALSE),"")</f>
        <v>-</v>
      </c>
      <c r="G112" s="148" t="str">
        <f>IFERROR(VLOOKUP($A112,EntryList!$A$3:$N$291,6,FALSE),"")</f>
        <v>M</v>
      </c>
      <c r="H112" s="145" t="str">
        <f>IFERROR(VLOOKUP($A112,EntryList!$A$3:$N$291,7,FALSE),"")</f>
        <v>Master Men</v>
      </c>
      <c r="I112" s="56">
        <f t="shared" si="7"/>
        <v>9</v>
      </c>
      <c r="J112" s="57">
        <f>IFERROR(VLOOKUP($A112,SortedDownload!$A$3:$BB$219,31,FALSE)/86400000,"")</f>
        <v>0.37725225694444442</v>
      </c>
      <c r="K112" s="57">
        <f>IFERROR(IF(VLOOKUP($A112,SortedDownload!$A$3:$BB$219,32,FALSE)=0,"-",VLOOKUP($A112,SortedDownload!$A$3:$BB$219,32,FALSE)/86400000),"-")</f>
        <v>0.38088017361111109</v>
      </c>
      <c r="L112" s="57">
        <f>IFERROR(IF(VLOOKUP($A112,SortedDownload!$A$3:$BB$219,33,FALSE)=0,"-",VLOOKUP($A112,SortedDownload!$A$3:$BB$219,33,FALSE)/86400000),"-")</f>
        <v>0.43126276620370368</v>
      </c>
      <c r="M112" s="57">
        <f>IFERROR(IF(VLOOKUP($A112,SortedDownload!$A$3:$BB$219,34,FALSE)=0,"-",VLOOKUP($A112,SortedDownload!$A$3:$BB$219,34,FALSE)/86400000),"-")</f>
        <v>0.4344635648148148</v>
      </c>
      <c r="N112" s="57">
        <f>IFERROR(IF(VLOOKUP($A112,SortedDownload!$A$3:$BB$219,35,FALSE)=0,"-",VLOOKUP($A112,SortedDownload!$A$3:$BB$219,35,FALSE)/86400000),"-")</f>
        <v>0.46850999999999998</v>
      </c>
      <c r="O112" s="57">
        <f>IFERROR(IF(VLOOKUP($A112,SortedDownload!$A$3:$BB$219,36,FALSE)=0,"-",VLOOKUP($A112,SortedDownload!$A$3:$BB$219,36,FALSE)/86400000),"-")</f>
        <v>0.47036638888888888</v>
      </c>
      <c r="P112" s="57">
        <f>IFERROR(IF(VLOOKUP($A112,SortedDownload!$A$3:$BB$219,37,FALSE)=0,"-",VLOOKUP($A112,SortedDownload!$A$3:$BB$219,37,FALSE)/86400000),"-")</f>
        <v>0.51926642361111108</v>
      </c>
      <c r="Q112" s="57">
        <f>IFERROR(IF(VLOOKUP($A112,SortedDownload!$A$3:$BB$219,38,FALSE)=0,"-",VLOOKUP($A112,SortedDownload!$A$3:$BB$219,38,FALSE)/86400000),"-")</f>
        <v>0.52279538194444442</v>
      </c>
      <c r="R112" s="57">
        <f>IFERROR(IF(VLOOKUP($A112,SortedDownload!$A$3:$BB$219,39,FALSE)=0,"-",VLOOKUP($A112,SortedDownload!$A$3:$BB$219,39,FALSE)/86400000),"-")</f>
        <v>0.55295719907407404</v>
      </c>
      <c r="S112" s="57">
        <f>IFERROR(IF(VLOOKUP($A112,SortedDownload!$A$3:$BB$219,40,FALSE)=0,"-",VLOOKUP($A112,SortedDownload!$A$3:$BB$219,40,FALSE)/86400000),"-")</f>
        <v>0.55711989583333332</v>
      </c>
      <c r="T112" s="57" t="str">
        <f>IFERROR(IF(VLOOKUP($A112,SortedDownload!$A$3:$BB$219,41,FALSE)=0,"-",VLOOKUP($A112,SortedDownload!$A$3:$BB$219,41,FALSE)/86400000),"-")</f>
        <v>-</v>
      </c>
      <c r="U112" s="57" t="str">
        <f>IFERROR(IF(VLOOKUP($A112,SortedDownload!$A$3:$BB$219,42,FALSE)=0,"-",VLOOKUP($A112,SortedDownload!$A$3:$BB$219,42,FALSE)/86400000),"-")</f>
        <v>-</v>
      </c>
      <c r="V112" s="57" t="str">
        <f>IFERROR(IF(VLOOKUP($A112,SortedDownload!$A$3:$BB$219,43,FALSE)=0,"-",VLOOKUP($A112,SortedDownload!$A$3:$BB$219,43,FALSE)/86400000),"-")</f>
        <v>-</v>
      </c>
      <c r="W112" s="57" t="str">
        <f>IFERROR(IF(VLOOKUP($A112,SortedDownload!$A$3:$BB$219,44,FALSE)=0,"-",VLOOKUP($A112,SortedDownload!$A$3:$BB$219,44,FALSE)/86400000),"-")</f>
        <v>-</v>
      </c>
      <c r="X112" s="57" t="str">
        <f>IFERROR(IF(VLOOKUP($A112,SortedDownload!$A$3:$BB$219,45,FALSE)=0,"-",VLOOKUP($A112,SortedDownload!$A$3:$BB$219,45,FALSE)/86400000),"-")</f>
        <v>-</v>
      </c>
      <c r="Y112" s="58">
        <f>IFERROR(VLOOKUP($A112,SortedDownload!$A$3:$BB$219,46,FALSE)/86400000,"")</f>
        <v>0</v>
      </c>
      <c r="Z112" s="58">
        <f>IFERROR(Table932[[#This Row],[End Time]]-Table932[[#This Row],[Start Time]],"")</f>
        <v>-0.37725225694444442</v>
      </c>
      <c r="AA112" s="58"/>
      <c r="AB112" s="170" t="str">
        <f t="shared" si="11"/>
        <v>N/A</v>
      </c>
      <c r="AC112" s="170" t="str">
        <f t="shared" si="10"/>
        <v>43:26</v>
      </c>
    </row>
    <row r="113" spans="1:29">
      <c r="A113" s="53">
        <f>IF(SortedDownload!A108 &lt; 1,"",SortedDownload!A108)</f>
        <v>180</v>
      </c>
      <c r="B113" s="54">
        <f t="shared" si="6"/>
        <v>108</v>
      </c>
      <c r="C113" s="146" t="str">
        <f>IFERROR(VLOOKUP($A113,CategoryResults!$A$3:$X$252,3,FALSE),"")</f>
        <v/>
      </c>
      <c r="D113" s="149" t="str">
        <f>IFERROR(VLOOKUP($A113,EntryList!$A$3:$N$291,2,FALSE),"")</f>
        <v>Robyn Emslie</v>
      </c>
      <c r="E113" s="146" t="str">
        <f>IFERROR(VLOOKUP(C113,SeriesPoints!$A$2:$B$51,2,FALSE),"")</f>
        <v/>
      </c>
      <c r="F113" s="150" t="str">
        <f>IFERROR(VLOOKUP($A113,EntryList!$A$3:$V$291,22,FALSE),"")</f>
        <v>-</v>
      </c>
      <c r="G113" s="148" t="str">
        <f>IFERROR(VLOOKUP($A113,EntryList!$A$3:$N$291,6,FALSE),"")</f>
        <v>F</v>
      </c>
      <c r="H113" s="145" t="str">
        <f>IFERROR(VLOOKUP($A113,EntryList!$A$3:$N$291,7,FALSE),"")</f>
        <v>Elite Women</v>
      </c>
      <c r="I113" s="56">
        <f t="shared" si="7"/>
        <v>9</v>
      </c>
      <c r="J113" s="57">
        <f>IFERROR(VLOOKUP($A113,SortedDownload!$A$3:$BB$219,31,FALSE)/86400000,"")</f>
        <v>0.38939788194444447</v>
      </c>
      <c r="K113" s="57">
        <f>IFERROR(IF(VLOOKUP($A113,SortedDownload!$A$3:$BB$219,32,FALSE)=0,"-",VLOOKUP($A113,SortedDownload!$A$3:$BB$219,32,FALSE)/86400000),"-")</f>
        <v>0.39322109953703704</v>
      </c>
      <c r="L113" s="57">
        <f>IFERROR(IF(VLOOKUP($A113,SortedDownload!$A$3:$BB$219,33,FALSE)=0,"-",VLOOKUP($A113,SortedDownload!$A$3:$BB$219,33,FALSE)/86400000),"-")</f>
        <v>0.47450583333333335</v>
      </c>
      <c r="M113" s="57">
        <f>IFERROR(IF(VLOOKUP($A113,SortedDownload!$A$3:$BB$219,34,FALSE)=0,"-",VLOOKUP($A113,SortedDownload!$A$3:$BB$219,34,FALSE)/86400000),"-")</f>
        <v>0.47762384259259261</v>
      </c>
      <c r="N113" s="57">
        <f>IFERROR(IF(VLOOKUP($A113,SortedDownload!$A$3:$BB$219,35,FALSE)=0,"-",VLOOKUP($A113,SortedDownload!$A$3:$BB$219,35,FALSE)/86400000),"-")</f>
        <v>0.43693495370370372</v>
      </c>
      <c r="O113" s="57">
        <f>IFERROR(IF(VLOOKUP($A113,SortedDownload!$A$3:$BB$219,36,FALSE)=0,"-",VLOOKUP($A113,SortedDownload!$A$3:$BB$219,36,FALSE)/86400000),"-")</f>
        <v>0.43875179398148151</v>
      </c>
      <c r="P113" s="57">
        <f>IFERROR(IF(VLOOKUP($A113,SortedDownload!$A$3:$BB$219,37,FALSE)=0,"-",VLOOKUP($A113,SortedDownload!$A$3:$BB$219,37,FALSE)/86400000),"-")</f>
        <v>0.52406091435185187</v>
      </c>
      <c r="Q113" s="57">
        <f>IFERROR(IF(VLOOKUP($A113,SortedDownload!$A$3:$BB$219,38,FALSE)=0,"-",VLOOKUP($A113,SortedDownload!$A$3:$BB$219,38,FALSE)/86400000),"-")</f>
        <v>0.52758787037037036</v>
      </c>
      <c r="R113" s="57">
        <f>IFERROR(IF(VLOOKUP($A113,SortedDownload!$A$3:$BB$219,39,FALSE)=0,"-",VLOOKUP($A113,SortedDownload!$A$3:$BB$219,39,FALSE)/86400000),"-")</f>
        <v>0.56452740740740737</v>
      </c>
      <c r="S113" s="57">
        <f>IFERROR(IF(VLOOKUP($A113,SortedDownload!$A$3:$BB$219,40,FALSE)=0,"-",VLOOKUP($A113,SortedDownload!$A$3:$BB$219,40,FALSE)/86400000),"-")</f>
        <v>0.56862668981481479</v>
      </c>
      <c r="T113" s="57" t="str">
        <f>IFERROR(IF(VLOOKUP($A113,SortedDownload!$A$3:$BB$219,41,FALSE)=0,"-",VLOOKUP($A113,SortedDownload!$A$3:$BB$219,41,FALSE)/86400000),"-")</f>
        <v>-</v>
      </c>
      <c r="U113" s="57" t="str">
        <f>IFERROR(IF(VLOOKUP($A113,SortedDownload!$A$3:$BB$219,42,FALSE)=0,"-",VLOOKUP($A113,SortedDownload!$A$3:$BB$219,42,FALSE)/86400000),"-")</f>
        <v>-</v>
      </c>
      <c r="V113" s="57" t="str">
        <f>IFERROR(IF(VLOOKUP($A113,SortedDownload!$A$3:$BB$219,43,FALSE)=0,"-",VLOOKUP($A113,SortedDownload!$A$3:$BB$219,43,FALSE)/86400000),"-")</f>
        <v>-</v>
      </c>
      <c r="W113" s="57" t="str">
        <f>IFERROR(IF(VLOOKUP($A113,SortedDownload!$A$3:$BB$219,44,FALSE)=0,"-",VLOOKUP($A113,SortedDownload!$A$3:$BB$219,44,FALSE)/86400000),"-")</f>
        <v>-</v>
      </c>
      <c r="X113" s="57" t="str">
        <f>IFERROR(IF(VLOOKUP($A113,SortedDownload!$A$3:$BB$219,45,FALSE)=0,"-",VLOOKUP($A113,SortedDownload!$A$3:$BB$219,45,FALSE)/86400000),"-")</f>
        <v>-</v>
      </c>
      <c r="Y113" s="58">
        <f>IFERROR(VLOOKUP($A113,SortedDownload!$A$3:$BB$219,46,FALSE)/86400000,"")</f>
        <v>0</v>
      </c>
      <c r="Z113" s="58">
        <f>IFERROR(Table932[[#This Row],[End Time]]-Table932[[#This Row],[Start Time]],"")</f>
        <v>-0.38939788194444447</v>
      </c>
      <c r="AA113" s="58"/>
      <c r="AB113" s="170" t="str">
        <f t="shared" si="11"/>
        <v>N/A</v>
      </c>
      <c r="AC113" s="170" t="str">
        <f t="shared" si="10"/>
        <v>25:56</v>
      </c>
    </row>
    <row r="114" spans="1:29">
      <c r="A114" s="53">
        <f>IF(SortedDownload!A109 &lt; 1,"",SortedDownload!A109)</f>
        <v>92</v>
      </c>
      <c r="B114" s="54">
        <f t="shared" si="6"/>
        <v>109</v>
      </c>
      <c r="C114" s="146" t="str">
        <f>IFERROR(VLOOKUP($A114,CategoryResults!$A$3:$X$252,3,FALSE),"")</f>
        <v/>
      </c>
      <c r="D114" s="149" t="str">
        <f>IFERROR(VLOOKUP($A114,EntryList!$A$3:$N$291,2,FALSE),"")</f>
        <v>Jaco Van Der Linde</v>
      </c>
      <c r="E114" s="146" t="str">
        <f>IFERROR(VLOOKUP(C114,SeriesPoints!$A$2:$B$51,2,FALSE),"")</f>
        <v/>
      </c>
      <c r="F114" s="150" t="str">
        <f>IFERROR(VLOOKUP($A114,EntryList!$A$3:$V$291,22,FALSE),"")</f>
        <v>-</v>
      </c>
      <c r="G114" s="148" t="str">
        <f>IFERROR(VLOOKUP($A114,EntryList!$A$3:$N$291,6,FALSE),"")</f>
        <v>M</v>
      </c>
      <c r="H114" s="145" t="str">
        <f>IFERROR(VLOOKUP($A114,EntryList!$A$3:$N$291,7,FALSE),"")</f>
        <v>Master Men</v>
      </c>
      <c r="I114" s="56">
        <f t="shared" si="7"/>
        <v>9</v>
      </c>
      <c r="J114" s="57">
        <f>IFERROR(VLOOKUP($A114,SortedDownload!$A$3:$BB$219,31,FALSE)/86400000,"")</f>
        <v>0.41231399305555555</v>
      </c>
      <c r="K114" s="57">
        <f>IFERROR(IF(VLOOKUP($A114,SortedDownload!$A$3:$BB$219,32,FALSE)=0,"-",VLOOKUP($A114,SortedDownload!$A$3:$BB$219,32,FALSE)/86400000),"-")</f>
        <v>0.41687865740740743</v>
      </c>
      <c r="L114" s="57">
        <f>IFERROR(IF(VLOOKUP($A114,SortedDownload!$A$3:$BB$219,33,FALSE)=0,"-",VLOOKUP($A114,SortedDownload!$A$3:$BB$219,33,FALSE)/86400000),"-")</f>
        <v>0.3734558564814815</v>
      </c>
      <c r="M114" s="57">
        <f>IFERROR(IF(VLOOKUP($A114,SortedDownload!$A$3:$BB$219,34,FALSE)=0,"-",VLOOKUP($A114,SortedDownload!$A$3:$BB$219,34,FALSE)/86400000),"-")</f>
        <v>0.37627585648148149</v>
      </c>
      <c r="N114" s="57">
        <f>IFERROR(IF(VLOOKUP($A114,SortedDownload!$A$3:$BB$219,35,FALSE)=0,"-",VLOOKUP($A114,SortedDownload!$A$3:$BB$219,35,FALSE)/86400000),"-")</f>
        <v>0.45459534722222222</v>
      </c>
      <c r="O114" s="57">
        <f>IFERROR(IF(VLOOKUP($A114,SortedDownload!$A$3:$BB$219,36,FALSE)=0,"-",VLOOKUP($A114,SortedDownload!$A$3:$BB$219,36,FALSE)/86400000),"-")</f>
        <v>0.45629895833333334</v>
      </c>
      <c r="P114" s="57">
        <f>IFERROR(IF(VLOOKUP($A114,SortedDownload!$A$3:$BB$219,37,FALSE)=0,"-",VLOOKUP($A114,SortedDownload!$A$3:$BB$219,37,FALSE)/86400000),"-")</f>
        <v>0.49690721064814813</v>
      </c>
      <c r="Q114" s="57">
        <f>IFERROR(IF(VLOOKUP($A114,SortedDownload!$A$3:$BB$219,38,FALSE)=0,"-",VLOOKUP($A114,SortedDownload!$A$3:$BB$219,38,FALSE)/86400000),"-")</f>
        <v>0.50029585648148145</v>
      </c>
      <c r="R114" s="57">
        <f>IFERROR(IF(VLOOKUP($A114,SortedDownload!$A$3:$BB$219,39,FALSE)=0,"-",VLOOKUP($A114,SortedDownload!$A$3:$BB$219,39,FALSE)/86400000),"-")</f>
        <v>0.5288208333333333</v>
      </c>
      <c r="S114" s="57">
        <f>IFERROR(IF(VLOOKUP($A114,SortedDownload!$A$3:$BB$219,40,FALSE)=0,"-",VLOOKUP($A114,SortedDownload!$A$3:$BB$219,40,FALSE)/86400000),"-")</f>
        <v>0.53282148148148145</v>
      </c>
      <c r="T114" s="57" t="str">
        <f>IFERROR(IF(VLOOKUP($A114,SortedDownload!$A$3:$BB$219,41,FALSE)=0,"-",VLOOKUP($A114,SortedDownload!$A$3:$BB$219,41,FALSE)/86400000),"-")</f>
        <v>-</v>
      </c>
      <c r="U114" s="57" t="str">
        <f>IFERROR(IF(VLOOKUP($A114,SortedDownload!$A$3:$BB$219,42,FALSE)=0,"-",VLOOKUP($A114,SortedDownload!$A$3:$BB$219,42,FALSE)/86400000),"-")</f>
        <v>-</v>
      </c>
      <c r="V114" s="57" t="str">
        <f>IFERROR(IF(VLOOKUP($A114,SortedDownload!$A$3:$BB$219,43,FALSE)=0,"-",VLOOKUP($A114,SortedDownload!$A$3:$BB$219,43,FALSE)/86400000),"-")</f>
        <v>-</v>
      </c>
      <c r="W114" s="57" t="str">
        <f>IFERROR(IF(VLOOKUP($A114,SortedDownload!$A$3:$BB$219,44,FALSE)=0,"-",VLOOKUP($A114,SortedDownload!$A$3:$BB$219,44,FALSE)/86400000),"-")</f>
        <v>-</v>
      </c>
      <c r="X114" s="57" t="str">
        <f>IFERROR(IF(VLOOKUP($A114,SortedDownload!$A$3:$BB$219,45,FALSE)=0,"-",VLOOKUP($A114,SortedDownload!$A$3:$BB$219,45,FALSE)/86400000),"-")</f>
        <v>-</v>
      </c>
      <c r="Y114" s="58">
        <f>IFERROR(VLOOKUP($A114,SortedDownload!$A$3:$BB$219,46,FALSE)/86400000,"")</f>
        <v>0</v>
      </c>
      <c r="Z114" s="58">
        <f>IFERROR(Table932[[#This Row],[End Time]]-Table932[[#This Row],[Start Time]],"")</f>
        <v>-0.41231399305555555</v>
      </c>
      <c r="AA114" s="58"/>
      <c r="AB114" s="170" t="str">
        <f t="shared" si="11"/>
        <v>N/A</v>
      </c>
      <c r="AC114" s="170" t="str">
        <f t="shared" si="10"/>
        <v>N/A</v>
      </c>
    </row>
    <row r="115" spans="1:29">
      <c r="A115" s="53">
        <f>IF(SortedDownload!A110 &lt; 1,"",SortedDownload!A110)</f>
        <v>277</v>
      </c>
      <c r="B115" s="54">
        <f t="shared" si="6"/>
        <v>110</v>
      </c>
      <c r="C115" s="146" t="str">
        <f>IFERROR(VLOOKUP($A115,CategoryResults!$A$3:$X$252,3,FALSE),"")</f>
        <v/>
      </c>
      <c r="D115" s="149" t="str">
        <f>IFERROR(VLOOKUP($A115,EntryList!$A$3:$N$291,2,FALSE),"")</f>
        <v>Stephen Wiggill</v>
      </c>
      <c r="E115" s="146" t="str">
        <f>IFERROR(VLOOKUP(C115,SeriesPoints!$A$2:$B$51,2,FALSE),"")</f>
        <v/>
      </c>
      <c r="F115" s="150" t="str">
        <f>IFERROR(VLOOKUP($A115,EntryList!$A$3:$V$291,22,FALSE),"")</f>
        <v>-</v>
      </c>
      <c r="G115" s="148" t="str">
        <f>IFERROR(VLOOKUP($A115,EntryList!$A$3:$N$291,6,FALSE),"")</f>
        <v>M</v>
      </c>
      <c r="H115" s="145" t="str">
        <f>IFERROR(VLOOKUP($A115,EntryList!$A$3:$N$291,7,FALSE),"")</f>
        <v>E-Bike M</v>
      </c>
      <c r="I115" s="56">
        <f t="shared" si="7"/>
        <v>9</v>
      </c>
      <c r="J115" s="57">
        <f>IFERROR(VLOOKUP($A115,SortedDownload!$A$3:$BB$219,31,FALSE)/86400000,"")</f>
        <v>0.38002457175925924</v>
      </c>
      <c r="K115" s="57">
        <f>IFERROR(IF(VLOOKUP($A115,SortedDownload!$A$3:$BB$219,32,FALSE)=0,"-",VLOOKUP($A115,SortedDownload!$A$3:$BB$219,32,FALSE)/86400000),"-")</f>
        <v>0.38367280092592593</v>
      </c>
      <c r="L115" s="57">
        <f>IFERROR(IF(VLOOKUP($A115,SortedDownload!$A$3:$BB$219,33,FALSE)=0,"-",VLOOKUP($A115,SortedDownload!$A$3:$BB$219,33,FALSE)/86400000),"-")</f>
        <v>0.35617445601851849</v>
      </c>
      <c r="M115" s="57">
        <f>IFERROR(IF(VLOOKUP($A115,SortedDownload!$A$3:$BB$219,34,FALSE)=0,"-",VLOOKUP($A115,SortedDownload!$A$3:$BB$219,34,FALSE)/86400000),"-")</f>
        <v>0.35934482638888887</v>
      </c>
      <c r="N115" s="57">
        <f>IFERROR(IF(VLOOKUP($A115,SortedDownload!$A$3:$BB$219,35,FALSE)=0,"-",VLOOKUP($A115,SortedDownload!$A$3:$BB$219,35,FALSE)/86400000),"-")</f>
        <v>0.40612390046296298</v>
      </c>
      <c r="O115" s="57">
        <f>IFERROR(IF(VLOOKUP($A115,SortedDownload!$A$3:$BB$219,36,FALSE)=0,"-",VLOOKUP($A115,SortedDownload!$A$3:$BB$219,36,FALSE)/86400000),"-")</f>
        <v>0.4081002314814815</v>
      </c>
      <c r="P115" s="57">
        <f>IFERROR(IF(VLOOKUP($A115,SortedDownload!$A$3:$BB$219,37,FALSE)=0,"-",VLOOKUP($A115,SortedDownload!$A$3:$BB$219,37,FALSE)/86400000),"-")</f>
        <v>0.46186690972222222</v>
      </c>
      <c r="Q115" s="57">
        <f>IFERROR(IF(VLOOKUP($A115,SortedDownload!$A$3:$BB$219,38,FALSE)=0,"-",VLOOKUP($A115,SortedDownload!$A$3:$BB$219,38,FALSE)/86400000),"-")</f>
        <v>0.4655360648148148</v>
      </c>
      <c r="R115" s="57">
        <f>IFERROR(IF(VLOOKUP($A115,SortedDownload!$A$3:$BB$219,39,FALSE)=0,"-",VLOOKUP($A115,SortedDownload!$A$3:$BB$219,39,FALSE)/86400000),"-")</f>
        <v>0.51459905092592595</v>
      </c>
      <c r="S115" s="57">
        <f>IFERROR(IF(VLOOKUP($A115,SortedDownload!$A$3:$BB$219,40,FALSE)=0,"-",VLOOKUP($A115,SortedDownload!$A$3:$BB$219,40,FALSE)/86400000),"-")</f>
        <v>0.51872962962962965</v>
      </c>
      <c r="T115" s="57" t="str">
        <f>IFERROR(IF(VLOOKUP($A115,SortedDownload!$A$3:$BB$219,41,FALSE)=0,"-",VLOOKUP($A115,SortedDownload!$A$3:$BB$219,41,FALSE)/86400000),"-")</f>
        <v>-</v>
      </c>
      <c r="U115" s="57" t="str">
        <f>IFERROR(IF(VLOOKUP($A115,SortedDownload!$A$3:$BB$219,42,FALSE)=0,"-",VLOOKUP($A115,SortedDownload!$A$3:$BB$219,42,FALSE)/86400000),"-")</f>
        <v>-</v>
      </c>
      <c r="V115" s="57" t="str">
        <f>IFERROR(IF(VLOOKUP($A115,SortedDownload!$A$3:$BB$219,43,FALSE)=0,"-",VLOOKUP($A115,SortedDownload!$A$3:$BB$219,43,FALSE)/86400000),"-")</f>
        <v>-</v>
      </c>
      <c r="W115" s="57" t="str">
        <f>IFERROR(IF(VLOOKUP($A115,SortedDownload!$A$3:$BB$219,44,FALSE)=0,"-",VLOOKUP($A115,SortedDownload!$A$3:$BB$219,44,FALSE)/86400000),"-")</f>
        <v>-</v>
      </c>
      <c r="X115" s="57" t="str">
        <f>IFERROR(IF(VLOOKUP($A115,SortedDownload!$A$3:$BB$219,45,FALSE)=0,"-",VLOOKUP($A115,SortedDownload!$A$3:$BB$219,45,FALSE)/86400000),"-")</f>
        <v>-</v>
      </c>
      <c r="Y115" s="58">
        <f>IFERROR(VLOOKUP($A115,SortedDownload!$A$3:$BB$219,46,FALSE)/86400000,"")</f>
        <v>0</v>
      </c>
      <c r="Z115" s="58">
        <f>IFERROR(Table932[[#This Row],[End Time]]-Table932[[#This Row],[Start Time]],"")</f>
        <v>-0.38002457175925924</v>
      </c>
      <c r="AA115" s="58"/>
      <c r="AB115" s="170" t="str">
        <f t="shared" si="11"/>
        <v>46:30</v>
      </c>
      <c r="AC115" s="170" t="str">
        <f t="shared" si="10"/>
        <v>39:26</v>
      </c>
    </row>
    <row r="116" spans="1:29">
      <c r="A116" s="53">
        <f>IF(SortedDownload!A111 &lt; 1,"",SortedDownload!A111)</f>
        <v>146</v>
      </c>
      <c r="B116" s="54">
        <f t="shared" si="6"/>
        <v>111</v>
      </c>
      <c r="C116" s="146" t="str">
        <f>IFERROR(VLOOKUP($A116,CategoryResults!$A$3:$X$252,3,FALSE),"")</f>
        <v/>
      </c>
      <c r="D116" s="149" t="str">
        <f>IFERROR(VLOOKUP($A116,EntryList!$A$3:$N$291,2,FALSE),"")</f>
        <v>Andrew Kenny</v>
      </c>
      <c r="E116" s="146" t="str">
        <f>IFERROR(VLOOKUP(C116,SeriesPoints!$A$2:$B$51,2,FALSE),"")</f>
        <v/>
      </c>
      <c r="F116" s="150" t="str">
        <f>IFERROR(VLOOKUP($A116,EntryList!$A$3:$V$291,22,FALSE),"")</f>
        <v>-</v>
      </c>
      <c r="G116" s="148" t="str">
        <f>IFERROR(VLOOKUP($A116,EntryList!$A$3:$N$291,6,FALSE),"")</f>
        <v>M</v>
      </c>
      <c r="H116" s="145" t="str">
        <f>IFERROR(VLOOKUP($A116,EntryList!$A$3:$N$291,7,FALSE),"")</f>
        <v>Master Men</v>
      </c>
      <c r="I116" s="56">
        <f t="shared" si="7"/>
        <v>9</v>
      </c>
      <c r="J116" s="57">
        <f>IFERROR(VLOOKUP($A116,SortedDownload!$A$3:$BB$219,31,FALSE)/86400000,"")</f>
        <v>0.42113695601851853</v>
      </c>
      <c r="K116" s="57">
        <f>IFERROR(IF(VLOOKUP($A116,SortedDownload!$A$3:$BB$219,32,FALSE)=0,"-",VLOOKUP($A116,SortedDownload!$A$3:$BB$219,32,FALSE)/86400000),"-")</f>
        <v>0.42521555555555557</v>
      </c>
      <c r="L116" s="57">
        <f>IFERROR(IF(VLOOKUP($A116,SortedDownload!$A$3:$BB$219,33,FALSE)=0,"-",VLOOKUP($A116,SortedDownload!$A$3:$BB$219,33,FALSE)/86400000),"-")</f>
        <v>0.37743699074074072</v>
      </c>
      <c r="M116" s="57">
        <f>IFERROR(IF(VLOOKUP($A116,SortedDownload!$A$3:$BB$219,34,FALSE)=0,"-",VLOOKUP($A116,SortedDownload!$A$3:$BB$219,34,FALSE)/86400000),"-")</f>
        <v>0.38045119212962963</v>
      </c>
      <c r="N116" s="57">
        <f>IFERROR(IF(VLOOKUP($A116,SortedDownload!$A$3:$BB$219,35,FALSE)=0,"-",VLOOKUP($A116,SortedDownload!$A$3:$BB$219,35,FALSE)/86400000),"-")</f>
        <v>0.46131988425925924</v>
      </c>
      <c r="O116" s="57">
        <f>IFERROR(IF(VLOOKUP($A116,SortedDownload!$A$3:$BB$219,36,FALSE)=0,"-",VLOOKUP($A116,SortedDownload!$A$3:$BB$219,36,FALSE)/86400000),"-")</f>
        <v>0.46316206018518519</v>
      </c>
      <c r="P116" s="57">
        <f>IFERROR(IF(VLOOKUP($A116,SortedDownload!$A$3:$BB$219,37,FALSE)=0,"-",VLOOKUP($A116,SortedDownload!$A$3:$BB$219,37,FALSE)/86400000),"-")</f>
        <v>0.51366570601851846</v>
      </c>
      <c r="Q116" s="57">
        <f>IFERROR(IF(VLOOKUP($A116,SortedDownload!$A$3:$BB$219,38,FALSE)=0,"-",VLOOKUP($A116,SortedDownload!$A$3:$BB$219,38,FALSE)/86400000),"-")</f>
        <v>0.51713989583333331</v>
      </c>
      <c r="R116" s="57">
        <f>IFERROR(IF(VLOOKUP($A116,SortedDownload!$A$3:$BB$219,39,FALSE)=0,"-",VLOOKUP($A116,SortedDownload!$A$3:$BB$219,39,FALSE)/86400000),"-")</f>
        <v>0.55169067129629634</v>
      </c>
      <c r="S116" s="57">
        <f>IFERROR(IF(VLOOKUP($A116,SortedDownload!$A$3:$BB$219,40,FALSE)=0,"-",VLOOKUP($A116,SortedDownload!$A$3:$BB$219,40,FALSE)/86400000),"-")</f>
        <v>0.55590863425925929</v>
      </c>
      <c r="T116" s="57" t="str">
        <f>IFERROR(IF(VLOOKUP($A116,SortedDownload!$A$3:$BB$219,41,FALSE)=0,"-",VLOOKUP($A116,SortedDownload!$A$3:$BB$219,41,FALSE)/86400000),"-")</f>
        <v>-</v>
      </c>
      <c r="U116" s="57" t="str">
        <f>IFERROR(IF(VLOOKUP($A116,SortedDownload!$A$3:$BB$219,42,FALSE)=0,"-",VLOOKUP($A116,SortedDownload!$A$3:$BB$219,42,FALSE)/86400000),"-")</f>
        <v>-</v>
      </c>
      <c r="V116" s="57" t="str">
        <f>IFERROR(IF(VLOOKUP($A116,SortedDownload!$A$3:$BB$219,43,FALSE)=0,"-",VLOOKUP($A116,SortedDownload!$A$3:$BB$219,43,FALSE)/86400000),"-")</f>
        <v>-</v>
      </c>
      <c r="W116" s="57" t="str">
        <f>IFERROR(IF(VLOOKUP($A116,SortedDownload!$A$3:$BB$219,44,FALSE)=0,"-",VLOOKUP($A116,SortedDownload!$A$3:$BB$219,44,FALSE)/86400000),"-")</f>
        <v>-</v>
      </c>
      <c r="X116" s="57" t="str">
        <f>IFERROR(IF(VLOOKUP($A116,SortedDownload!$A$3:$BB$219,45,FALSE)=0,"-",VLOOKUP($A116,SortedDownload!$A$3:$BB$219,45,FALSE)/86400000),"-")</f>
        <v>-</v>
      </c>
      <c r="Y116" s="58">
        <f>IFERROR(VLOOKUP($A116,SortedDownload!$A$3:$BB$219,46,FALSE)/86400000,"")</f>
        <v>0</v>
      </c>
      <c r="Z116" s="58">
        <f>IFERROR(Table932[[#This Row],[End Time]]-Table932[[#This Row],[Start Time]],"")</f>
        <v>-0.42113695601851853</v>
      </c>
      <c r="AA116" s="58"/>
      <c r="AB116" s="170" t="str">
        <f t="shared" si="11"/>
        <v>N/A</v>
      </c>
      <c r="AC116" s="170" t="str">
        <f t="shared" si="10"/>
        <v>N/A</v>
      </c>
    </row>
    <row r="117" spans="1:29">
      <c r="A117" s="53">
        <f>IF(SortedDownload!A112 &lt; 1,"",SortedDownload!A112)</f>
        <v>103</v>
      </c>
      <c r="B117" s="54">
        <f t="shared" si="6"/>
        <v>112</v>
      </c>
      <c r="C117" s="146" t="str">
        <f>IFERROR(VLOOKUP($A117,CategoryResults!$A$3:$X$252,3,FALSE),"")</f>
        <v/>
      </c>
      <c r="D117" s="149" t="str">
        <f>IFERROR(VLOOKUP($A117,EntryList!$A$3:$N$291,2,FALSE),"")</f>
        <v>Angus Fergusson</v>
      </c>
      <c r="E117" s="146" t="str">
        <f>IFERROR(VLOOKUP(C117,SeriesPoints!$A$2:$B$51,2,FALSE),"")</f>
        <v/>
      </c>
      <c r="F117" s="150" t="str">
        <f>IFERROR(VLOOKUP($A117,EntryList!$A$3:$V$291,22,FALSE),"")</f>
        <v>-</v>
      </c>
      <c r="G117" s="148" t="str">
        <f>IFERROR(VLOOKUP($A117,EntryList!$A$3:$N$291,6,FALSE),"")</f>
        <v>M</v>
      </c>
      <c r="H117" s="145" t="str">
        <f>IFERROR(VLOOKUP($A117,EntryList!$A$3:$N$291,7,FALSE),"")</f>
        <v>Elite Men</v>
      </c>
      <c r="I117" s="56">
        <f t="shared" si="7"/>
        <v>9</v>
      </c>
      <c r="J117" s="57">
        <f>IFERROR(VLOOKUP($A117,SortedDownload!$A$3:$BB$219,31,FALSE)/86400000,"")</f>
        <v>0.37937113425925928</v>
      </c>
      <c r="K117" s="57">
        <f>IFERROR(IF(VLOOKUP($A117,SortedDownload!$A$3:$BB$219,32,FALSE)=0,"-",VLOOKUP($A117,SortedDownload!$A$3:$BB$219,32,FALSE)/86400000),"-")</f>
        <v>0.38323628472222221</v>
      </c>
      <c r="L117" s="57">
        <f>IFERROR(IF(VLOOKUP($A117,SortedDownload!$A$3:$BB$219,33,FALSE)=0,"-",VLOOKUP($A117,SortedDownload!$A$3:$BB$219,33,FALSE)/86400000),"-")</f>
        <v>0.4283837615740741</v>
      </c>
      <c r="M117" s="57">
        <f>IFERROR(IF(VLOOKUP($A117,SortedDownload!$A$3:$BB$219,34,FALSE)=0,"-",VLOOKUP($A117,SortedDownload!$A$3:$BB$219,34,FALSE)/86400000),"-")</f>
        <v>0.43160049768518516</v>
      </c>
      <c r="N117" s="57">
        <f>IFERROR(IF(VLOOKUP($A117,SortedDownload!$A$3:$BB$219,35,FALSE)=0,"-",VLOOKUP($A117,SortedDownload!$A$3:$BB$219,35,FALSE)/86400000),"-")</f>
        <v>0.46140254629629629</v>
      </c>
      <c r="O117" s="57">
        <f>IFERROR(IF(VLOOKUP($A117,SortedDownload!$A$3:$BB$219,36,FALSE)=0,"-",VLOOKUP($A117,SortedDownload!$A$3:$BB$219,36,FALSE)/86400000),"-")</f>
        <v>0.46319842592592592</v>
      </c>
      <c r="P117" s="57">
        <f>IFERROR(IF(VLOOKUP($A117,SortedDownload!$A$3:$BB$219,37,FALSE)=0,"-",VLOOKUP($A117,SortedDownload!$A$3:$BB$219,37,FALSE)/86400000),"-")</f>
        <v>0.5106484375</v>
      </c>
      <c r="Q117" s="57">
        <f>IFERROR(IF(VLOOKUP($A117,SortedDownload!$A$3:$BB$219,38,FALSE)=0,"-",VLOOKUP($A117,SortedDownload!$A$3:$BB$219,38,FALSE)/86400000),"-")</f>
        <v>0.51422319444444442</v>
      </c>
      <c r="R117" s="57">
        <f>IFERROR(IF(VLOOKUP($A117,SortedDownload!$A$3:$BB$219,39,FALSE)=0,"-",VLOOKUP($A117,SortedDownload!$A$3:$BB$219,39,FALSE)/86400000),"-")</f>
        <v>0.54722238425925929</v>
      </c>
      <c r="S117" s="57">
        <f>IFERROR(IF(VLOOKUP($A117,SortedDownload!$A$3:$BB$219,40,FALSE)=0,"-",VLOOKUP($A117,SortedDownload!$A$3:$BB$219,40,FALSE)/86400000),"-")</f>
        <v>0.55148162037037041</v>
      </c>
      <c r="T117" s="57" t="str">
        <f>IFERROR(IF(VLOOKUP($A117,SortedDownload!$A$3:$BB$219,41,FALSE)=0,"-",VLOOKUP($A117,SortedDownload!$A$3:$BB$219,41,FALSE)/86400000),"-")</f>
        <v>-</v>
      </c>
      <c r="U117" s="57" t="str">
        <f>IFERROR(IF(VLOOKUP($A117,SortedDownload!$A$3:$BB$219,42,FALSE)=0,"-",VLOOKUP($A117,SortedDownload!$A$3:$BB$219,42,FALSE)/86400000),"-")</f>
        <v>-</v>
      </c>
      <c r="V117" s="57" t="str">
        <f>IFERROR(IF(VLOOKUP($A117,SortedDownload!$A$3:$BB$219,43,FALSE)=0,"-",VLOOKUP($A117,SortedDownload!$A$3:$BB$219,43,FALSE)/86400000),"-")</f>
        <v>-</v>
      </c>
      <c r="W117" s="57" t="str">
        <f>IFERROR(IF(VLOOKUP($A117,SortedDownload!$A$3:$BB$219,44,FALSE)=0,"-",VLOOKUP($A117,SortedDownload!$A$3:$BB$219,44,FALSE)/86400000),"-")</f>
        <v>-</v>
      </c>
      <c r="X117" s="57" t="str">
        <f>IFERROR(IF(VLOOKUP($A117,SortedDownload!$A$3:$BB$219,45,FALSE)=0,"-",VLOOKUP($A117,SortedDownload!$A$3:$BB$219,45,FALSE)/86400000),"-")</f>
        <v>-</v>
      </c>
      <c r="Y117" s="58">
        <f>IFERROR(VLOOKUP($A117,SortedDownload!$A$3:$BB$219,46,FALSE)/86400000,"")</f>
        <v>0</v>
      </c>
      <c r="Z117" s="58">
        <f>IFERROR(Table932[[#This Row],[End Time]]-Table932[[#This Row],[Start Time]],"")</f>
        <v>-0.37937113425925928</v>
      </c>
      <c r="AA117" s="58"/>
      <c r="AB117" s="170" t="str">
        <f t="shared" si="11"/>
        <v>00:09</v>
      </c>
      <c r="AC117" s="170" t="str">
        <f t="shared" si="10"/>
        <v>40:23</v>
      </c>
    </row>
    <row r="118" spans="1:29">
      <c r="A118" s="53">
        <f>IF(SortedDownload!A113 &lt; 1,"",SortedDownload!A113)</f>
        <v>245</v>
      </c>
      <c r="B118" s="54">
        <f t="shared" si="6"/>
        <v>113</v>
      </c>
      <c r="C118" s="146" t="str">
        <f>IFERROR(VLOOKUP($A118,CategoryResults!$A$3:$X$252,3,FALSE),"")</f>
        <v/>
      </c>
      <c r="D118" s="149" t="str">
        <f>IFERROR(VLOOKUP($A118,EntryList!$A$3:$N$291,2,FALSE),"")</f>
        <v>Miles Henebrey</v>
      </c>
      <c r="E118" s="146" t="str">
        <f>IFERROR(VLOOKUP(C118,SeriesPoints!$A$2:$B$51,2,FALSE),"")</f>
        <v/>
      </c>
      <c r="F118" s="150" t="str">
        <f>IFERROR(VLOOKUP($A118,EntryList!$A$3:$V$291,22,FALSE),"")</f>
        <v>-</v>
      </c>
      <c r="G118" s="148" t="str">
        <f>IFERROR(VLOOKUP($A118,EntryList!$A$3:$N$291,6,FALSE),"")</f>
        <v>M</v>
      </c>
      <c r="H118" s="145" t="str">
        <f>IFERROR(VLOOKUP($A118,EntryList!$A$3:$N$291,7,FALSE),"")</f>
        <v>E-Bike M</v>
      </c>
      <c r="I118" s="56">
        <f t="shared" si="7"/>
        <v>9</v>
      </c>
      <c r="J118" s="57">
        <f>IFERROR(VLOOKUP($A118,SortedDownload!$A$3:$BB$219,31,FALSE)/86400000,"")</f>
        <v>0.35969530092592594</v>
      </c>
      <c r="K118" s="57">
        <f>IFERROR(IF(VLOOKUP($A118,SortedDownload!$A$3:$BB$219,32,FALSE)=0,"-",VLOOKUP($A118,SortedDownload!$A$3:$BB$219,32,FALSE)/86400000),"-")</f>
        <v>0.36356697916666669</v>
      </c>
      <c r="L118" s="57">
        <f>IFERROR(IF(VLOOKUP($A118,SortedDownload!$A$3:$BB$219,33,FALSE)=0,"-",VLOOKUP($A118,SortedDownload!$A$3:$BB$219,33,FALSE)/86400000),"-")</f>
        <v>0.40586300925925928</v>
      </c>
      <c r="M118" s="57">
        <f>IFERROR(IF(VLOOKUP($A118,SortedDownload!$A$3:$BB$219,34,FALSE)=0,"-",VLOOKUP($A118,SortedDownload!$A$3:$BB$219,34,FALSE)/86400000),"-")</f>
        <v>0.40905991898148147</v>
      </c>
      <c r="N118" s="57">
        <f>IFERROR(IF(VLOOKUP($A118,SortedDownload!$A$3:$BB$219,35,FALSE)=0,"-",VLOOKUP($A118,SortedDownload!$A$3:$BB$219,35,FALSE)/86400000),"-")</f>
        <v>0.43556820601851853</v>
      </c>
      <c r="O118" s="57">
        <f>IFERROR(IF(VLOOKUP($A118,SortedDownload!$A$3:$BB$219,36,FALSE)=0,"-",VLOOKUP($A118,SortedDownload!$A$3:$BB$219,36,FALSE)/86400000),"-")</f>
        <v>0.43732285879629629</v>
      </c>
      <c r="P118" s="57">
        <f>IFERROR(IF(VLOOKUP($A118,SortedDownload!$A$3:$BB$219,37,FALSE)=0,"-",VLOOKUP($A118,SortedDownload!$A$3:$BB$219,37,FALSE)/86400000),"-")</f>
        <v>0.48388596064814815</v>
      </c>
      <c r="Q118" s="57">
        <f>IFERROR(IF(VLOOKUP($A118,SortedDownload!$A$3:$BB$219,38,FALSE)=0,"-",VLOOKUP($A118,SortedDownload!$A$3:$BB$219,38,FALSE)/86400000),"-")</f>
        <v>0.48755715277777778</v>
      </c>
      <c r="R118" s="57">
        <f>IFERROR(IF(VLOOKUP($A118,SortedDownload!$A$3:$BB$219,39,FALSE)=0,"-",VLOOKUP($A118,SortedDownload!$A$3:$BB$219,39,FALSE)/86400000),"-")</f>
        <v>0.50940414351851848</v>
      </c>
      <c r="S118" s="57">
        <f>IFERROR(IF(VLOOKUP($A118,SortedDownload!$A$3:$BB$219,40,FALSE)=0,"-",VLOOKUP($A118,SortedDownload!$A$3:$BB$219,40,FALSE)/86400000),"-")</f>
        <v>0.51375903935185185</v>
      </c>
      <c r="T118" s="57" t="str">
        <f>IFERROR(IF(VLOOKUP($A118,SortedDownload!$A$3:$BB$219,41,FALSE)=0,"-",VLOOKUP($A118,SortedDownload!$A$3:$BB$219,41,FALSE)/86400000),"-")</f>
        <v>-</v>
      </c>
      <c r="U118" s="57" t="str">
        <f>IFERROR(IF(VLOOKUP($A118,SortedDownload!$A$3:$BB$219,42,FALSE)=0,"-",VLOOKUP($A118,SortedDownload!$A$3:$BB$219,42,FALSE)/86400000),"-")</f>
        <v>-</v>
      </c>
      <c r="V118" s="57" t="str">
        <f>IFERROR(IF(VLOOKUP($A118,SortedDownload!$A$3:$BB$219,43,FALSE)=0,"-",VLOOKUP($A118,SortedDownload!$A$3:$BB$219,43,FALSE)/86400000),"-")</f>
        <v>-</v>
      </c>
      <c r="W118" s="57" t="str">
        <f>IFERROR(IF(VLOOKUP($A118,SortedDownload!$A$3:$BB$219,44,FALSE)=0,"-",VLOOKUP($A118,SortedDownload!$A$3:$BB$219,44,FALSE)/86400000),"-")</f>
        <v>-</v>
      </c>
      <c r="X118" s="57" t="str">
        <f>IFERROR(IF(VLOOKUP($A118,SortedDownload!$A$3:$BB$219,45,FALSE)=0,"-",VLOOKUP($A118,SortedDownload!$A$3:$BB$219,45,FALSE)/86400000),"-")</f>
        <v>-</v>
      </c>
      <c r="Y118" s="58">
        <f>IFERROR(VLOOKUP($A118,SortedDownload!$A$3:$BB$219,46,FALSE)/86400000,"")</f>
        <v>0</v>
      </c>
      <c r="Z118" s="58">
        <f>IFERROR(Table932[[#This Row],[End Time]]-Table932[[#This Row],[Start Time]],"")</f>
        <v>-0.35969530092592594</v>
      </c>
      <c r="AA118" s="58"/>
      <c r="AB118" s="170" t="str">
        <f t="shared" si="11"/>
        <v>28:20</v>
      </c>
      <c r="AC118" s="170" t="str">
        <f t="shared" si="10"/>
        <v>08:43</v>
      </c>
    </row>
    <row r="119" spans="1:29">
      <c r="A119" s="53">
        <f>IF(SortedDownload!A114 &lt; 1,"",SortedDownload!A114)</f>
        <v>118</v>
      </c>
      <c r="B119" s="54">
        <f t="shared" si="6"/>
        <v>114</v>
      </c>
      <c r="C119" s="146" t="str">
        <f>IFERROR(VLOOKUP($A119,CategoryResults!$A$3:$X$252,3,FALSE),"")</f>
        <v/>
      </c>
      <c r="D119" s="149" t="str">
        <f>IFERROR(VLOOKUP($A119,EntryList!$A$3:$N$291,2,FALSE),"")</f>
        <v>Robin Moore</v>
      </c>
      <c r="E119" s="146" t="str">
        <f>IFERROR(VLOOKUP(C119,SeriesPoints!$A$2:$B$51,2,FALSE),"")</f>
        <v/>
      </c>
      <c r="F119" s="150" t="str">
        <f>IFERROR(VLOOKUP($A119,EntryList!$A$3:$V$291,22,FALSE),"")</f>
        <v>-</v>
      </c>
      <c r="G119" s="148" t="str">
        <f>IFERROR(VLOOKUP($A119,EntryList!$A$3:$N$291,6,FALSE),"")</f>
        <v>M</v>
      </c>
      <c r="H119" s="145" t="str">
        <f>IFERROR(VLOOKUP($A119,EntryList!$A$3:$N$291,7,FALSE),"")</f>
        <v>Master Men</v>
      </c>
      <c r="I119" s="56">
        <f t="shared" si="7"/>
        <v>9</v>
      </c>
      <c r="J119" s="57">
        <f>IFERROR(VLOOKUP($A119,SortedDownload!$A$3:$BB$219,31,FALSE)/86400000,"")</f>
        <v>0.3773049537037037</v>
      </c>
      <c r="K119" s="57">
        <f>IFERROR(IF(VLOOKUP($A119,SortedDownload!$A$3:$BB$219,32,FALSE)=0,"-",VLOOKUP($A119,SortedDownload!$A$3:$BB$219,32,FALSE)/86400000),"-")</f>
        <v>0.38264601851851854</v>
      </c>
      <c r="L119" s="57">
        <f>IFERROR(IF(VLOOKUP($A119,SortedDownload!$A$3:$BB$219,33,FALSE)=0,"-",VLOOKUP($A119,SortedDownload!$A$3:$BB$219,33,FALSE)/86400000),"-")</f>
        <v>0.43118442129629631</v>
      </c>
      <c r="M119" s="57">
        <f>IFERROR(IF(VLOOKUP($A119,SortedDownload!$A$3:$BB$219,34,FALSE)=0,"-",VLOOKUP($A119,SortedDownload!$A$3:$BB$219,34,FALSE)/86400000),"-")</f>
        <v>0.4339779050925926</v>
      </c>
      <c r="N119" s="57">
        <f>IFERROR(IF(VLOOKUP($A119,SortedDownload!$A$3:$BB$219,35,FALSE)=0,"-",VLOOKUP($A119,SortedDownload!$A$3:$BB$219,35,FALSE)/86400000),"-")</f>
        <v>0.46836650462962964</v>
      </c>
      <c r="O119" s="57">
        <f>IFERROR(IF(VLOOKUP($A119,SortedDownload!$A$3:$BB$219,36,FALSE)=0,"-",VLOOKUP($A119,SortedDownload!$A$3:$BB$219,36,FALSE)/86400000),"-")</f>
        <v>0.47000858796296296</v>
      </c>
      <c r="P119" s="57">
        <f>IFERROR(IF(VLOOKUP($A119,SortedDownload!$A$3:$BB$219,37,FALSE)=0,"-",VLOOKUP($A119,SortedDownload!$A$3:$BB$219,37,FALSE)/86400000),"-")</f>
        <v>0.51920354166666671</v>
      </c>
      <c r="Q119" s="57">
        <f>IFERROR(IF(VLOOKUP($A119,SortedDownload!$A$3:$BB$219,38,FALSE)=0,"-",VLOOKUP($A119,SortedDownload!$A$3:$BB$219,38,FALSE)/86400000),"-")</f>
        <v>0.52244825231481484</v>
      </c>
      <c r="R119" s="57">
        <f>IFERROR(IF(VLOOKUP($A119,SortedDownload!$A$3:$BB$219,39,FALSE)=0,"-",VLOOKUP($A119,SortedDownload!$A$3:$BB$219,39,FALSE)/86400000),"-")</f>
        <v>0.55290502314814816</v>
      </c>
      <c r="S119" s="57">
        <f>IFERROR(IF(VLOOKUP($A119,SortedDownload!$A$3:$BB$219,40,FALSE)=0,"-",VLOOKUP($A119,SortedDownload!$A$3:$BB$219,40,FALSE)/86400000),"-")</f>
        <v>0.55674582175925924</v>
      </c>
      <c r="T119" s="57" t="str">
        <f>IFERROR(IF(VLOOKUP($A119,SortedDownload!$A$3:$BB$219,41,FALSE)=0,"-",VLOOKUP($A119,SortedDownload!$A$3:$BB$219,41,FALSE)/86400000),"-")</f>
        <v>-</v>
      </c>
      <c r="U119" s="57" t="str">
        <f>IFERROR(IF(VLOOKUP($A119,SortedDownload!$A$3:$BB$219,42,FALSE)=0,"-",VLOOKUP($A119,SortedDownload!$A$3:$BB$219,42,FALSE)/86400000),"-")</f>
        <v>-</v>
      </c>
      <c r="V119" s="57" t="str">
        <f>IFERROR(IF(VLOOKUP($A119,SortedDownload!$A$3:$BB$219,43,FALSE)=0,"-",VLOOKUP($A119,SortedDownload!$A$3:$BB$219,43,FALSE)/86400000),"-")</f>
        <v>-</v>
      </c>
      <c r="W119" s="57" t="str">
        <f>IFERROR(IF(VLOOKUP($A119,SortedDownload!$A$3:$BB$219,44,FALSE)=0,"-",VLOOKUP($A119,SortedDownload!$A$3:$BB$219,44,FALSE)/86400000),"-")</f>
        <v>-</v>
      </c>
      <c r="X119" s="57" t="str">
        <f>IFERROR(IF(VLOOKUP($A119,SortedDownload!$A$3:$BB$219,45,FALSE)=0,"-",VLOOKUP($A119,SortedDownload!$A$3:$BB$219,45,FALSE)/86400000),"-")</f>
        <v>-</v>
      </c>
      <c r="Y119" s="58">
        <f>IFERROR(VLOOKUP($A119,SortedDownload!$A$3:$BB$219,46,FALSE)/86400000,"")</f>
        <v>0</v>
      </c>
      <c r="Z119" s="58">
        <f>IFERROR(Table932[[#This Row],[End Time]]-Table932[[#This Row],[Start Time]],"")</f>
        <v>-0.3773049537037037</v>
      </c>
      <c r="AA119" s="58"/>
      <c r="AB119" s="170" t="str">
        <f t="shared" si="11"/>
        <v>N/A</v>
      </c>
      <c r="AC119" s="170" t="str">
        <f t="shared" si="10"/>
        <v>43:21</v>
      </c>
    </row>
    <row r="120" spans="1:29">
      <c r="A120" s="53">
        <f>IF(SortedDownload!A115 &lt; 1,"",SortedDownload!A115)</f>
        <v>204</v>
      </c>
      <c r="B120" s="54">
        <f t="shared" si="6"/>
        <v>115</v>
      </c>
      <c r="C120" s="146" t="str">
        <f>IFERROR(VLOOKUP($A120,CategoryResults!$A$3:$X$252,3,FALSE),"")</f>
        <v/>
      </c>
      <c r="D120" s="149" t="str">
        <f>IFERROR(VLOOKUP($A120,EntryList!$A$3:$N$291,2,FALSE),"")</f>
        <v>Tyler Pearce Denovan</v>
      </c>
      <c r="E120" s="146" t="str">
        <f>IFERROR(VLOOKUP(C120,SeriesPoints!$A$2:$B$51,2,FALSE),"")</f>
        <v/>
      </c>
      <c r="F120" s="150" t="str">
        <f>IFERROR(VLOOKUP($A120,EntryList!$A$3:$V$291,22,FALSE),"")</f>
        <v>-</v>
      </c>
      <c r="G120" s="148" t="str">
        <f>IFERROR(VLOOKUP($A120,EntryList!$A$3:$N$291,6,FALSE),"")</f>
        <v>M</v>
      </c>
      <c r="H120" s="145" t="str">
        <f>IFERROR(VLOOKUP($A120,EntryList!$A$3:$N$291,7,FALSE),"")</f>
        <v>Youth Men</v>
      </c>
      <c r="I120" s="56">
        <f t="shared" si="7"/>
        <v>9</v>
      </c>
      <c r="J120" s="57">
        <f>IFERROR(VLOOKUP($A120,SortedDownload!$A$3:$BB$219,31,FALSE)/86400000,"")</f>
        <v>0.42998399305555557</v>
      </c>
      <c r="K120" s="57">
        <f>IFERROR(IF(VLOOKUP($A120,SortedDownload!$A$3:$BB$219,32,FALSE)=0,"-",VLOOKUP($A120,SortedDownload!$A$3:$BB$219,32,FALSE)/86400000),"-")</f>
        <v>0.43355913194444445</v>
      </c>
      <c r="L120" s="57">
        <f>IFERROR(IF(VLOOKUP($A120,SortedDownload!$A$3:$BB$219,33,FALSE)=0,"-",VLOOKUP($A120,SortedDownload!$A$3:$BB$219,33,FALSE)/86400000),"-")</f>
        <v>0.37811517361111113</v>
      </c>
      <c r="M120" s="57">
        <f>IFERROR(IF(VLOOKUP($A120,SortedDownload!$A$3:$BB$219,34,FALSE)=0,"-",VLOOKUP($A120,SortedDownload!$A$3:$BB$219,34,FALSE)/86400000),"-")</f>
        <v>0.38135810185185187</v>
      </c>
      <c r="N120" s="57">
        <f>IFERROR(IF(VLOOKUP($A120,SortedDownload!$A$3:$BB$219,35,FALSE)=0,"-",VLOOKUP($A120,SortedDownload!$A$3:$BB$219,35,FALSE)/86400000),"-")</f>
        <v>0.4749976851851852</v>
      </c>
      <c r="O120" s="57">
        <f>IFERROR(IF(VLOOKUP($A120,SortedDownload!$A$3:$BB$219,36,FALSE)=0,"-",VLOOKUP($A120,SortedDownload!$A$3:$BB$219,36,FALSE)/86400000),"-")</f>
        <v>0.47685550925925924</v>
      </c>
      <c r="P120" s="57">
        <f>IFERROR(IF(VLOOKUP($A120,SortedDownload!$A$3:$BB$219,37,FALSE)=0,"-",VLOOKUP($A120,SortedDownload!$A$3:$BB$219,37,FALSE)/86400000),"-")</f>
        <v>0.5293380324074074</v>
      </c>
      <c r="Q120" s="57">
        <f>IFERROR(IF(VLOOKUP($A120,SortedDownload!$A$3:$BB$219,38,FALSE)=0,"-",VLOOKUP($A120,SortedDownload!$A$3:$BB$219,38,FALSE)/86400000),"-")</f>
        <v>0.53313186342592589</v>
      </c>
      <c r="R120" s="57">
        <f>IFERROR(IF(VLOOKUP($A120,SortedDownload!$A$3:$BB$219,39,FALSE)=0,"-",VLOOKUP($A120,SortedDownload!$A$3:$BB$219,39,FALSE)/86400000),"-")</f>
        <v>0.56552701388888893</v>
      </c>
      <c r="S120" s="57">
        <f>IFERROR(IF(VLOOKUP($A120,SortedDownload!$A$3:$BB$219,40,FALSE)=0,"-",VLOOKUP($A120,SortedDownload!$A$3:$BB$219,40,FALSE)/86400000),"-")</f>
        <v>0.5699308680555556</v>
      </c>
      <c r="T120" s="57" t="str">
        <f>IFERROR(IF(VLOOKUP($A120,SortedDownload!$A$3:$BB$219,41,FALSE)=0,"-",VLOOKUP($A120,SortedDownload!$A$3:$BB$219,41,FALSE)/86400000),"-")</f>
        <v>-</v>
      </c>
      <c r="U120" s="57" t="str">
        <f>IFERROR(IF(VLOOKUP($A120,SortedDownload!$A$3:$BB$219,42,FALSE)=0,"-",VLOOKUP($A120,SortedDownload!$A$3:$BB$219,42,FALSE)/86400000),"-")</f>
        <v>-</v>
      </c>
      <c r="V120" s="57" t="str">
        <f>IFERROR(IF(VLOOKUP($A120,SortedDownload!$A$3:$BB$219,43,FALSE)=0,"-",VLOOKUP($A120,SortedDownload!$A$3:$BB$219,43,FALSE)/86400000),"-")</f>
        <v>-</v>
      </c>
      <c r="W120" s="57" t="str">
        <f>IFERROR(IF(VLOOKUP($A120,SortedDownload!$A$3:$BB$219,44,FALSE)=0,"-",VLOOKUP($A120,SortedDownload!$A$3:$BB$219,44,FALSE)/86400000),"-")</f>
        <v>-</v>
      </c>
      <c r="X120" s="57" t="str">
        <f>IFERROR(IF(VLOOKUP($A120,SortedDownload!$A$3:$BB$219,45,FALSE)=0,"-",VLOOKUP($A120,SortedDownload!$A$3:$BB$219,45,FALSE)/86400000),"-")</f>
        <v>-</v>
      </c>
      <c r="Y120" s="58">
        <f>IFERROR(VLOOKUP($A120,SortedDownload!$A$3:$BB$219,46,FALSE)/86400000,"")</f>
        <v>0</v>
      </c>
      <c r="Z120" s="58">
        <f>IFERROR(Table932[[#This Row],[End Time]]-Table932[[#This Row],[Start Time]],"")</f>
        <v>-0.42998399305555557</v>
      </c>
      <c r="AA120" s="58"/>
      <c r="AB120" s="170" t="str">
        <f t="shared" si="11"/>
        <v>N/A</v>
      </c>
      <c r="AC120" s="170" t="str">
        <f t="shared" si="10"/>
        <v>N/A</v>
      </c>
    </row>
    <row r="121" spans="1:29">
      <c r="A121" s="53">
        <f>IF(SortedDownload!A116 &lt; 1,"",SortedDownload!A116)</f>
        <v>296</v>
      </c>
      <c r="B121" s="54">
        <f t="shared" si="6"/>
        <v>116</v>
      </c>
      <c r="C121" s="146" t="str">
        <f>IFERROR(VLOOKUP($A121,CategoryResults!$A$3:$X$252,3,FALSE),"")</f>
        <v/>
      </c>
      <c r="D121" s="149" t="str">
        <f>IFERROR(VLOOKUP($A121,EntryList!$A$3:$N$291,2,FALSE),"")</f>
        <v>Daniel Franken</v>
      </c>
      <c r="E121" s="146" t="str">
        <f>IFERROR(VLOOKUP(C121,SeriesPoints!$A$2:$B$51,2,FALSE),"")</f>
        <v/>
      </c>
      <c r="F121" s="150" t="str">
        <f>IFERROR(VLOOKUP($A121,EntryList!$A$3:$V$291,22,FALSE),"")</f>
        <v>-</v>
      </c>
      <c r="G121" s="148" t="str">
        <f>IFERROR(VLOOKUP($A121,EntryList!$A$3:$N$291,6,FALSE),"")</f>
        <v>M</v>
      </c>
      <c r="H121" s="145" t="str">
        <f>IFERROR(VLOOKUP($A121,EntryList!$A$3:$N$291,7,FALSE),"")</f>
        <v>Youth Men</v>
      </c>
      <c r="I121" s="56">
        <f t="shared" si="7"/>
        <v>9</v>
      </c>
      <c r="J121" s="57">
        <f>IFERROR(VLOOKUP($A121,SortedDownload!$A$3:$BB$219,31,FALSE)/86400000,"")</f>
        <v>0.43027935185185184</v>
      </c>
      <c r="K121" s="57">
        <f>IFERROR(IF(VLOOKUP($A121,SortedDownload!$A$3:$BB$219,32,FALSE)=0,"-",VLOOKUP($A121,SortedDownload!$A$3:$BB$219,32,FALSE)/86400000),"-")</f>
        <v>0.43415703703703706</v>
      </c>
      <c r="L121" s="57">
        <f>IFERROR(IF(VLOOKUP($A121,SortedDownload!$A$3:$BB$219,33,FALSE)=0,"-",VLOOKUP($A121,SortedDownload!$A$3:$BB$219,33,FALSE)/86400000),"-")</f>
        <v>0.47123171296296296</v>
      </c>
      <c r="M121" s="57">
        <f>IFERROR(IF(VLOOKUP($A121,SortedDownload!$A$3:$BB$219,34,FALSE)=0,"-",VLOOKUP($A121,SortedDownload!$A$3:$BB$219,34,FALSE)/86400000),"-")</f>
        <v>0.47452356481481484</v>
      </c>
      <c r="N121" s="57">
        <f>IFERROR(IF(VLOOKUP($A121,SortedDownload!$A$3:$BB$219,35,FALSE)=0,"-",VLOOKUP($A121,SortedDownload!$A$3:$BB$219,35,FALSE)/86400000),"-")</f>
        <v>0.3767888425925926</v>
      </c>
      <c r="O121" s="57">
        <f>IFERROR(IF(VLOOKUP($A121,SortedDownload!$A$3:$BB$219,36,FALSE)=0,"-",VLOOKUP($A121,SortedDownload!$A$3:$BB$219,36,FALSE)/86400000),"-")</f>
        <v>0.37865077546296294</v>
      </c>
      <c r="P121" s="57">
        <f>IFERROR(IF(VLOOKUP($A121,SortedDownload!$A$3:$BB$219,37,FALSE)=0,"-",VLOOKUP($A121,SortedDownload!$A$3:$BB$219,37,FALSE)/86400000),"-")</f>
        <v>0.52295217592592591</v>
      </c>
      <c r="Q121" s="57">
        <f>IFERROR(IF(VLOOKUP($A121,SortedDownload!$A$3:$BB$219,38,FALSE)=0,"-",VLOOKUP($A121,SortedDownload!$A$3:$BB$219,38,FALSE)/86400000),"-")</f>
        <v>0.52658868055555552</v>
      </c>
      <c r="R121" s="57">
        <f>IFERROR(IF(VLOOKUP($A121,SortedDownload!$A$3:$BB$219,39,FALSE)=0,"-",VLOOKUP($A121,SortedDownload!$A$3:$BB$219,39,FALSE)/86400000),"-")</f>
        <v>0.56219594907407411</v>
      </c>
      <c r="S121" s="57">
        <f>IFERROR(IF(VLOOKUP($A121,SortedDownload!$A$3:$BB$219,40,FALSE)=0,"-",VLOOKUP($A121,SortedDownload!$A$3:$BB$219,40,FALSE)/86400000),"-")</f>
        <v>0.56647208333333332</v>
      </c>
      <c r="T121" s="57" t="str">
        <f>IFERROR(IF(VLOOKUP($A121,SortedDownload!$A$3:$BB$219,41,FALSE)=0,"-",VLOOKUP($A121,SortedDownload!$A$3:$BB$219,41,FALSE)/86400000),"-")</f>
        <v>-</v>
      </c>
      <c r="U121" s="57" t="str">
        <f>IFERROR(IF(VLOOKUP($A121,SortedDownload!$A$3:$BB$219,42,FALSE)=0,"-",VLOOKUP($A121,SortedDownload!$A$3:$BB$219,42,FALSE)/86400000),"-")</f>
        <v>-</v>
      </c>
      <c r="V121" s="57" t="str">
        <f>IFERROR(IF(VLOOKUP($A121,SortedDownload!$A$3:$BB$219,43,FALSE)=0,"-",VLOOKUP($A121,SortedDownload!$A$3:$BB$219,43,FALSE)/86400000),"-")</f>
        <v>-</v>
      </c>
      <c r="W121" s="57" t="str">
        <f>IFERROR(IF(VLOOKUP($A121,SortedDownload!$A$3:$BB$219,44,FALSE)=0,"-",VLOOKUP($A121,SortedDownload!$A$3:$BB$219,44,FALSE)/86400000),"-")</f>
        <v>-</v>
      </c>
      <c r="X121" s="57" t="str">
        <f>IFERROR(IF(VLOOKUP($A121,SortedDownload!$A$3:$BB$219,45,FALSE)=0,"-",VLOOKUP($A121,SortedDownload!$A$3:$BB$219,45,FALSE)/86400000),"-")</f>
        <v>-</v>
      </c>
      <c r="Y121" s="58">
        <f>IFERROR(VLOOKUP($A121,SortedDownload!$A$3:$BB$219,46,FALSE)/86400000,"")</f>
        <v>0</v>
      </c>
      <c r="Z121" s="58">
        <f>IFERROR(Table932[[#This Row],[End Time]]-Table932[[#This Row],[Start Time]],"")</f>
        <v>-0.43027935185185184</v>
      </c>
      <c r="AA121" s="58"/>
      <c r="AB121" s="170" t="str">
        <f t="shared" si="11"/>
        <v>N/A</v>
      </c>
      <c r="AC121" s="170" t="str">
        <f t="shared" si="10"/>
        <v>N/A</v>
      </c>
    </row>
    <row r="122" spans="1:29">
      <c r="A122" s="53">
        <f>IF(SortedDownload!A117 &lt; 1,"",SortedDownload!A117)</f>
        <v>104</v>
      </c>
      <c r="B122" s="54">
        <f t="shared" si="6"/>
        <v>117</v>
      </c>
      <c r="C122" s="146" t="str">
        <f>IFERROR(VLOOKUP($A122,CategoryResults!$A$3:$X$252,3,FALSE),"")</f>
        <v/>
      </c>
      <c r="D122" s="149" t="str">
        <f>IFERROR(VLOOKUP($A122,EntryList!$A$3:$N$291,2,FALSE),"")</f>
        <v>Ryan Liversage</v>
      </c>
      <c r="E122" s="146" t="str">
        <f>IFERROR(VLOOKUP(C122,SeriesPoints!$A$2:$B$51,2,FALSE),"")</f>
        <v/>
      </c>
      <c r="F122" s="150" t="str">
        <f>IFERROR(VLOOKUP($A122,EntryList!$A$3:$V$291,22,FALSE),"")</f>
        <v>-</v>
      </c>
      <c r="G122" s="148" t="str">
        <f>IFERROR(VLOOKUP($A122,EntryList!$A$3:$N$291,6,FALSE),"")</f>
        <v>M</v>
      </c>
      <c r="H122" s="145" t="str">
        <f>IFERROR(VLOOKUP($A122,EntryList!$A$3:$N$291,7,FALSE),"")</f>
        <v>Master Men</v>
      </c>
      <c r="I122" s="56">
        <f t="shared" si="7"/>
        <v>9</v>
      </c>
      <c r="J122" s="57">
        <f>IFERROR(VLOOKUP($A122,SortedDownload!$A$3:$BB$219,31,FALSE)/86400000,"")</f>
        <v>0.38158961805555558</v>
      </c>
      <c r="K122" s="57">
        <f>IFERROR(IF(VLOOKUP($A122,SortedDownload!$A$3:$BB$219,32,FALSE)=0,"-",VLOOKUP($A122,SortedDownload!$A$3:$BB$219,32,FALSE)/86400000),"-")</f>
        <v>0.38513200231481481</v>
      </c>
      <c r="L122" s="57">
        <f>IFERROR(IF(VLOOKUP($A122,SortedDownload!$A$3:$BB$219,33,FALSE)=0,"-",VLOOKUP($A122,SortedDownload!$A$3:$BB$219,33,FALSE)/86400000),"-")</f>
        <v>0.43483460648148148</v>
      </c>
      <c r="M122" s="57">
        <f>IFERROR(IF(VLOOKUP($A122,SortedDownload!$A$3:$BB$219,34,FALSE)=0,"-",VLOOKUP($A122,SortedDownload!$A$3:$BB$219,34,FALSE)/86400000),"-")</f>
        <v>0.43821874999999999</v>
      </c>
      <c r="N122" s="57">
        <f>IFERROR(IF(VLOOKUP($A122,SortedDownload!$A$3:$BB$219,35,FALSE)=0,"-",VLOOKUP($A122,SortedDownload!$A$3:$BB$219,35,FALSE)/86400000),"-")</f>
        <v>0.47518122685185188</v>
      </c>
      <c r="O122" s="57">
        <f>IFERROR(IF(VLOOKUP($A122,SortedDownload!$A$3:$BB$219,36,FALSE)=0,"-",VLOOKUP($A122,SortedDownload!$A$3:$BB$219,36,FALSE)/86400000),"-")</f>
        <v>0.47697125000000001</v>
      </c>
      <c r="P122" s="57">
        <f>IFERROR(IF(VLOOKUP($A122,SortedDownload!$A$3:$BB$219,37,FALSE)=0,"-",VLOOKUP($A122,SortedDownload!$A$3:$BB$219,37,FALSE)/86400000),"-")</f>
        <v>0.52435049768518516</v>
      </c>
      <c r="Q122" s="57">
        <f>IFERROR(IF(VLOOKUP($A122,SortedDownload!$A$3:$BB$219,38,FALSE)=0,"-",VLOOKUP($A122,SortedDownload!$A$3:$BB$219,38,FALSE)/86400000),"-")</f>
        <v>0.5280492361111111</v>
      </c>
      <c r="R122" s="57">
        <f>IFERROR(IF(VLOOKUP($A122,SortedDownload!$A$3:$BB$219,39,FALSE)=0,"-",VLOOKUP($A122,SortedDownload!$A$3:$BB$219,39,FALSE)/86400000),"-")</f>
        <v>0.56091793981481486</v>
      </c>
      <c r="S122" s="57">
        <f>IFERROR(IF(VLOOKUP($A122,SortedDownload!$A$3:$BB$219,40,FALSE)=0,"-",VLOOKUP($A122,SortedDownload!$A$3:$BB$219,40,FALSE)/86400000),"-")</f>
        <v>0.56547731481481478</v>
      </c>
      <c r="T122" s="57" t="str">
        <f>IFERROR(IF(VLOOKUP($A122,SortedDownload!$A$3:$BB$219,41,FALSE)=0,"-",VLOOKUP($A122,SortedDownload!$A$3:$BB$219,41,FALSE)/86400000),"-")</f>
        <v>-</v>
      </c>
      <c r="U122" s="57" t="str">
        <f>IFERROR(IF(VLOOKUP($A122,SortedDownload!$A$3:$BB$219,42,FALSE)=0,"-",VLOOKUP($A122,SortedDownload!$A$3:$BB$219,42,FALSE)/86400000),"-")</f>
        <v>-</v>
      </c>
      <c r="V122" s="57" t="str">
        <f>IFERROR(IF(VLOOKUP($A122,SortedDownload!$A$3:$BB$219,43,FALSE)=0,"-",VLOOKUP($A122,SortedDownload!$A$3:$BB$219,43,FALSE)/86400000),"-")</f>
        <v>-</v>
      </c>
      <c r="W122" s="57" t="str">
        <f>IFERROR(IF(VLOOKUP($A122,SortedDownload!$A$3:$BB$219,44,FALSE)=0,"-",VLOOKUP($A122,SortedDownload!$A$3:$BB$219,44,FALSE)/86400000),"-")</f>
        <v>-</v>
      </c>
      <c r="X122" s="57" t="str">
        <f>IFERROR(IF(VLOOKUP($A122,SortedDownload!$A$3:$BB$219,45,FALSE)=0,"-",VLOOKUP($A122,SortedDownload!$A$3:$BB$219,45,FALSE)/86400000),"-")</f>
        <v>-</v>
      </c>
      <c r="Y122" s="58">
        <f>IFERROR(VLOOKUP($A122,SortedDownload!$A$3:$BB$219,46,FALSE)/86400000,"")</f>
        <v>0</v>
      </c>
      <c r="Z122" s="58">
        <f>IFERROR(Table932[[#This Row],[End Time]]-Table932[[#This Row],[Start Time]],"")</f>
        <v>-0.38158961805555558</v>
      </c>
      <c r="AA122" s="58"/>
      <c r="AB122" s="170" t="str">
        <f t="shared" si="11"/>
        <v>10:07</v>
      </c>
      <c r="AC122" s="170" t="str">
        <f t="shared" si="10"/>
        <v>37:11</v>
      </c>
    </row>
    <row r="123" spans="1:29">
      <c r="A123" s="53">
        <f>IF(SortedDownload!A118 &lt; 1,"",SortedDownload!A118)</f>
        <v>91</v>
      </c>
      <c r="B123" s="54">
        <f t="shared" si="6"/>
        <v>118</v>
      </c>
      <c r="C123" s="146" t="str">
        <f>IFERROR(VLOOKUP($A123,CategoryResults!$A$3:$X$252,3,FALSE),"")</f>
        <v/>
      </c>
      <c r="D123" s="149" t="str">
        <f>IFERROR(VLOOKUP($A123,EntryList!$A$3:$N$291,2,FALSE),"")</f>
        <v>Grant Morris</v>
      </c>
      <c r="E123" s="146" t="str">
        <f>IFERROR(VLOOKUP(C123,SeriesPoints!$A$2:$B$51,2,FALSE),"")</f>
        <v/>
      </c>
      <c r="F123" s="150" t="str">
        <f>IFERROR(VLOOKUP($A123,EntryList!$A$3:$V$291,22,FALSE),"")</f>
        <v>-</v>
      </c>
      <c r="G123" s="148" t="str">
        <f>IFERROR(VLOOKUP($A123,EntryList!$A$3:$N$291,6,FALSE),"")</f>
        <v>M</v>
      </c>
      <c r="H123" s="145" t="str">
        <f>IFERROR(VLOOKUP($A123,EntryList!$A$3:$N$291,7,FALSE),"")</f>
        <v>Elite Men</v>
      </c>
      <c r="I123" s="56">
        <f t="shared" si="7"/>
        <v>9</v>
      </c>
      <c r="J123" s="57">
        <f>IFERROR(VLOOKUP($A123,SortedDownload!$A$3:$BB$219,31,FALSE)/86400000,"")</f>
        <v>0.38749291666666669</v>
      </c>
      <c r="K123" s="57">
        <f>IFERROR(IF(VLOOKUP($A123,SortedDownload!$A$3:$BB$219,32,FALSE)=0,"-",VLOOKUP($A123,SortedDownload!$A$3:$BB$219,32,FALSE)/86400000),"-")</f>
        <v>0.39191886574074075</v>
      </c>
      <c r="L123" s="57">
        <f>IFERROR(IF(VLOOKUP($A123,SortedDownload!$A$3:$BB$219,33,FALSE)=0,"-",VLOOKUP($A123,SortedDownload!$A$3:$BB$219,33,FALSE)/86400000),"-")</f>
        <v>0.46061483796296299</v>
      </c>
      <c r="M123" s="57">
        <f>IFERROR(IF(VLOOKUP($A123,SortedDownload!$A$3:$BB$219,34,FALSE)=0,"-",VLOOKUP($A123,SortedDownload!$A$3:$BB$219,34,FALSE)/86400000),"-")</f>
        <v>0.46377193287037038</v>
      </c>
      <c r="N123" s="57">
        <f>IFERROR(IF(VLOOKUP($A123,SortedDownload!$A$3:$BB$219,35,FALSE)=0,"-",VLOOKUP($A123,SortedDownload!$A$3:$BB$219,35,FALSE)/86400000),"-")</f>
        <v>0.42316763888888886</v>
      </c>
      <c r="O123" s="57">
        <f>IFERROR(IF(VLOOKUP($A123,SortedDownload!$A$3:$BB$219,36,FALSE)=0,"-",VLOOKUP($A123,SortedDownload!$A$3:$BB$219,36,FALSE)/86400000),"-")</f>
        <v>0.42487657407407409</v>
      </c>
      <c r="P123" s="57">
        <f>IFERROR(IF(VLOOKUP($A123,SortedDownload!$A$3:$BB$219,37,FALSE)=0,"-",VLOOKUP($A123,SortedDownload!$A$3:$BB$219,37,FALSE)/86400000),"-")</f>
        <v>0.52028175925925924</v>
      </c>
      <c r="Q123" s="57">
        <f>IFERROR(IF(VLOOKUP($A123,SortedDownload!$A$3:$BB$219,38,FALSE)=0,"-",VLOOKUP($A123,SortedDownload!$A$3:$BB$219,38,FALSE)/86400000),"-")</f>
        <v>0.52387655092592589</v>
      </c>
      <c r="R123" s="57">
        <f>IFERROR(IF(VLOOKUP($A123,SortedDownload!$A$3:$BB$219,39,FALSE)=0,"-",VLOOKUP($A123,SortedDownload!$A$3:$BB$219,39,FALSE)/86400000),"-")</f>
        <v>0.55333819444444443</v>
      </c>
      <c r="S123" s="57">
        <f>IFERROR(IF(VLOOKUP($A123,SortedDownload!$A$3:$BB$219,40,FALSE)=0,"-",VLOOKUP($A123,SortedDownload!$A$3:$BB$219,40,FALSE)/86400000),"-")</f>
        <v>0.557432025462963</v>
      </c>
      <c r="T123" s="57" t="str">
        <f>IFERROR(IF(VLOOKUP($A123,SortedDownload!$A$3:$BB$219,41,FALSE)=0,"-",VLOOKUP($A123,SortedDownload!$A$3:$BB$219,41,FALSE)/86400000),"-")</f>
        <v>-</v>
      </c>
      <c r="U123" s="57" t="str">
        <f>IFERROR(IF(VLOOKUP($A123,SortedDownload!$A$3:$BB$219,42,FALSE)=0,"-",VLOOKUP($A123,SortedDownload!$A$3:$BB$219,42,FALSE)/86400000),"-")</f>
        <v>-</v>
      </c>
      <c r="V123" s="57" t="str">
        <f>IFERROR(IF(VLOOKUP($A123,SortedDownload!$A$3:$BB$219,43,FALSE)=0,"-",VLOOKUP($A123,SortedDownload!$A$3:$BB$219,43,FALSE)/86400000),"-")</f>
        <v>-</v>
      </c>
      <c r="W123" s="57" t="str">
        <f>IFERROR(IF(VLOOKUP($A123,SortedDownload!$A$3:$BB$219,44,FALSE)=0,"-",VLOOKUP($A123,SortedDownload!$A$3:$BB$219,44,FALSE)/86400000),"-")</f>
        <v>-</v>
      </c>
      <c r="X123" s="57" t="str">
        <f>IFERROR(IF(VLOOKUP($A123,SortedDownload!$A$3:$BB$219,45,FALSE)=0,"-",VLOOKUP($A123,SortedDownload!$A$3:$BB$219,45,FALSE)/86400000),"-")</f>
        <v>-</v>
      </c>
      <c r="Y123" s="58">
        <f>IFERROR(VLOOKUP($A123,SortedDownload!$A$3:$BB$219,46,FALSE)/86400000,"")</f>
        <v>0</v>
      </c>
      <c r="Z123" s="58">
        <f>IFERROR(Table932[[#This Row],[End Time]]-Table932[[#This Row],[Start Time]],"")</f>
        <v>-0.38749291666666669</v>
      </c>
      <c r="AA123" s="58"/>
      <c r="AB123" s="170" t="str">
        <f t="shared" si="11"/>
        <v>N/A</v>
      </c>
      <c r="AC123" s="170" t="str">
        <f t="shared" si="10"/>
        <v>28:41</v>
      </c>
    </row>
    <row r="124" spans="1:29">
      <c r="A124" s="53">
        <f>IF(SortedDownload!A119 &lt; 1,"",SortedDownload!A119)</f>
        <v>273</v>
      </c>
      <c r="B124" s="54">
        <f t="shared" si="6"/>
        <v>119</v>
      </c>
      <c r="C124" s="146" t="str">
        <f>IFERROR(VLOOKUP($A124,CategoryResults!$A$3:$X$252,3,FALSE),"")</f>
        <v/>
      </c>
      <c r="D124" s="149" t="str">
        <f>IFERROR(VLOOKUP($A124,EntryList!$A$3:$N$291,2,FALSE),"")</f>
        <v>Marc Ruwiel</v>
      </c>
      <c r="E124" s="146" t="str">
        <f>IFERROR(VLOOKUP(C124,SeriesPoints!$A$2:$B$51,2,FALSE),"")</f>
        <v/>
      </c>
      <c r="F124" s="150" t="str">
        <f>IFERROR(VLOOKUP($A124,EntryList!$A$3:$V$291,22,FALSE),"")</f>
        <v>-</v>
      </c>
      <c r="G124" s="148" t="str">
        <f>IFERROR(VLOOKUP($A124,EntryList!$A$3:$N$291,6,FALSE),"")</f>
        <v>M</v>
      </c>
      <c r="H124" s="145" t="str">
        <f>IFERROR(VLOOKUP($A124,EntryList!$A$3:$N$291,7,FALSE),"")</f>
        <v>Master Men</v>
      </c>
      <c r="I124" s="56">
        <f t="shared" si="7"/>
        <v>9</v>
      </c>
      <c r="J124" s="57">
        <f>IFERROR(VLOOKUP($A124,SortedDownload!$A$3:$BB$219,31,FALSE)/86400000,"")</f>
        <v>0.43279046296296297</v>
      </c>
      <c r="K124" s="57">
        <f>IFERROR(IF(VLOOKUP($A124,SortedDownload!$A$3:$BB$219,32,FALSE)=0,"-",VLOOKUP($A124,SortedDownload!$A$3:$BB$219,32,FALSE)/86400000),"-")</f>
        <v>0.43673300925925929</v>
      </c>
      <c r="L124" s="57">
        <f>IFERROR(IF(VLOOKUP($A124,SortedDownload!$A$3:$BB$219,33,FALSE)=0,"-",VLOOKUP($A124,SortedDownload!$A$3:$BB$219,33,FALSE)/86400000),"-")</f>
        <v>0.38679670138888889</v>
      </c>
      <c r="M124" s="57">
        <f>IFERROR(IF(VLOOKUP($A124,SortedDownload!$A$3:$BB$219,34,FALSE)=0,"-",VLOOKUP($A124,SortedDownload!$A$3:$BB$219,34,FALSE)/86400000),"-")</f>
        <v>0.39000881944444443</v>
      </c>
      <c r="N124" s="57">
        <f>IFERROR(IF(VLOOKUP($A124,SortedDownload!$A$3:$BB$219,35,FALSE)=0,"-",VLOOKUP($A124,SortedDownload!$A$3:$BB$219,35,FALSE)/86400000),"-")</f>
        <v>0.46748439814814813</v>
      </c>
      <c r="O124" s="57">
        <f>IFERROR(IF(VLOOKUP($A124,SortedDownload!$A$3:$BB$219,36,FALSE)=0,"-",VLOOKUP($A124,SortedDownload!$A$3:$BB$219,36,FALSE)/86400000),"-")</f>
        <v>0.46947842592592592</v>
      </c>
      <c r="P124" s="57">
        <f>IFERROR(IF(VLOOKUP($A124,SortedDownload!$A$3:$BB$219,37,FALSE)=0,"-",VLOOKUP($A124,SortedDownload!$A$3:$BB$219,37,FALSE)/86400000),"-")</f>
        <v>0.50773737268518515</v>
      </c>
      <c r="Q124" s="57">
        <f>IFERROR(IF(VLOOKUP($A124,SortedDownload!$A$3:$BB$219,38,FALSE)=0,"-",VLOOKUP($A124,SortedDownload!$A$3:$BB$219,38,FALSE)/86400000),"-")</f>
        <v>0.51153387731481481</v>
      </c>
      <c r="R124" s="57">
        <f>IFERROR(IF(VLOOKUP($A124,SortedDownload!$A$3:$BB$219,39,FALSE)=0,"-",VLOOKUP($A124,SortedDownload!$A$3:$BB$219,39,FALSE)/86400000),"-")</f>
        <v>0.5418568055555556</v>
      </c>
      <c r="S124" s="57">
        <f>IFERROR(IF(VLOOKUP($A124,SortedDownload!$A$3:$BB$219,40,FALSE)=0,"-",VLOOKUP($A124,SortedDownload!$A$3:$BB$219,40,FALSE)/86400000),"-")</f>
        <v>0.5460046643518518</v>
      </c>
      <c r="T124" s="57" t="str">
        <f>IFERROR(IF(VLOOKUP($A124,SortedDownload!$A$3:$BB$219,41,FALSE)=0,"-",VLOOKUP($A124,SortedDownload!$A$3:$BB$219,41,FALSE)/86400000),"-")</f>
        <v>-</v>
      </c>
      <c r="U124" s="57" t="str">
        <f>IFERROR(IF(VLOOKUP($A124,SortedDownload!$A$3:$BB$219,42,FALSE)=0,"-",VLOOKUP($A124,SortedDownload!$A$3:$BB$219,42,FALSE)/86400000),"-")</f>
        <v>-</v>
      </c>
      <c r="V124" s="57" t="str">
        <f>IFERROR(IF(VLOOKUP($A124,SortedDownload!$A$3:$BB$219,43,FALSE)=0,"-",VLOOKUP($A124,SortedDownload!$A$3:$BB$219,43,FALSE)/86400000),"-")</f>
        <v>-</v>
      </c>
      <c r="W124" s="57" t="str">
        <f>IFERROR(IF(VLOOKUP($A124,SortedDownload!$A$3:$BB$219,44,FALSE)=0,"-",VLOOKUP($A124,SortedDownload!$A$3:$BB$219,44,FALSE)/86400000),"-")</f>
        <v>-</v>
      </c>
      <c r="X124" s="57" t="str">
        <f>IFERROR(IF(VLOOKUP($A124,SortedDownload!$A$3:$BB$219,45,FALSE)=0,"-",VLOOKUP($A124,SortedDownload!$A$3:$BB$219,45,FALSE)/86400000),"-")</f>
        <v>-</v>
      </c>
      <c r="Y124" s="58">
        <f>IFERROR(VLOOKUP($A124,SortedDownload!$A$3:$BB$219,46,FALSE)/86400000,"")</f>
        <v>0</v>
      </c>
      <c r="Z124" s="58">
        <f>IFERROR(Table932[[#This Row],[End Time]]-Table932[[#This Row],[Start Time]],"")</f>
        <v>-0.43279046296296297</v>
      </c>
      <c r="AA124" s="58"/>
      <c r="AB124" s="170" t="str">
        <f t="shared" si="11"/>
        <v>N/A</v>
      </c>
      <c r="AC124" s="170" t="str">
        <f t="shared" si="10"/>
        <v>N/A</v>
      </c>
    </row>
    <row r="125" spans="1:29">
      <c r="A125" s="53">
        <f>IF(SortedDownload!A120 &lt; 1,"",SortedDownload!A120)</f>
        <v>174</v>
      </c>
      <c r="B125" s="54">
        <f t="shared" si="6"/>
        <v>120</v>
      </c>
      <c r="C125" s="146" t="str">
        <f>IFERROR(VLOOKUP($A125,CategoryResults!$A$3:$X$252,3,FALSE),"")</f>
        <v/>
      </c>
      <c r="D125" s="149" t="str">
        <f>IFERROR(VLOOKUP($A125,EntryList!$A$3:$N$291,2,FALSE),"")</f>
        <v>Chris Kistner</v>
      </c>
      <c r="E125" s="146" t="str">
        <f>IFERROR(VLOOKUP(C125,SeriesPoints!$A$2:$B$51,2,FALSE),"")</f>
        <v/>
      </c>
      <c r="F125" s="150" t="str">
        <f>IFERROR(VLOOKUP($A125,EntryList!$A$3:$V$291,22,FALSE),"")</f>
        <v>-</v>
      </c>
      <c r="G125" s="148" t="str">
        <f>IFERROR(VLOOKUP($A125,EntryList!$A$3:$N$291,6,FALSE),"")</f>
        <v>M</v>
      </c>
      <c r="H125" s="145" t="str">
        <f>IFERROR(VLOOKUP($A125,EntryList!$A$3:$N$291,7,FALSE),"")</f>
        <v>Master Men</v>
      </c>
      <c r="I125" s="56">
        <f t="shared" si="7"/>
        <v>9</v>
      </c>
      <c r="J125" s="57">
        <f>IFERROR(VLOOKUP($A125,SortedDownload!$A$3:$BB$219,31,FALSE)/86400000,"")</f>
        <v>0.37635796296296298</v>
      </c>
      <c r="K125" s="57">
        <f>IFERROR(IF(VLOOKUP($A125,SortedDownload!$A$3:$BB$219,32,FALSE)=0,"-",VLOOKUP($A125,SortedDownload!$A$3:$BB$219,32,FALSE)/86400000),"-")</f>
        <v>0.38051281250000002</v>
      </c>
      <c r="L125" s="57">
        <f>IFERROR(IF(VLOOKUP($A125,SortedDownload!$A$3:$BB$219,33,FALSE)=0,"-",VLOOKUP($A125,SortedDownload!$A$3:$BB$219,33,FALSE)/86400000),"-")</f>
        <v>0.44463315972222223</v>
      </c>
      <c r="M125" s="57">
        <f>IFERROR(IF(VLOOKUP($A125,SortedDownload!$A$3:$BB$219,34,FALSE)=0,"-",VLOOKUP($A125,SortedDownload!$A$3:$BB$219,34,FALSE)/86400000),"-")</f>
        <v>0.4477643634259259</v>
      </c>
      <c r="N125" s="57">
        <f>IFERROR(IF(VLOOKUP($A125,SortedDownload!$A$3:$BB$219,35,FALSE)=0,"-",VLOOKUP($A125,SortedDownload!$A$3:$BB$219,35,FALSE)/86400000),"-")</f>
        <v>0.40756508101851852</v>
      </c>
      <c r="O125" s="57">
        <f>IFERROR(IF(VLOOKUP($A125,SortedDownload!$A$3:$BB$219,36,FALSE)=0,"-",VLOOKUP($A125,SortedDownload!$A$3:$BB$219,36,FALSE)/86400000),"-")</f>
        <v>0.40941307870370369</v>
      </c>
      <c r="P125" s="57">
        <f>IFERROR(IF(VLOOKUP($A125,SortedDownload!$A$3:$BB$219,37,FALSE)=0,"-",VLOOKUP($A125,SortedDownload!$A$3:$BB$219,37,FALSE)/86400000),"-")</f>
        <v>0.48793846064814816</v>
      </c>
      <c r="Q125" s="57">
        <f>IFERROR(IF(VLOOKUP($A125,SortedDownload!$A$3:$BB$219,38,FALSE)=0,"-",VLOOKUP($A125,SortedDownload!$A$3:$BB$219,38,FALSE)/86400000),"-")</f>
        <v>0.49163986111111113</v>
      </c>
      <c r="R125" s="57">
        <f>IFERROR(IF(VLOOKUP($A125,SortedDownload!$A$3:$BB$219,39,FALSE)=0,"-",VLOOKUP($A125,SortedDownload!$A$3:$BB$219,39,FALSE)/86400000),"-")</f>
        <v>0.51916416666666665</v>
      </c>
      <c r="S125" s="57">
        <f>IFERROR(IF(VLOOKUP($A125,SortedDownload!$A$3:$BB$219,40,FALSE)=0,"-",VLOOKUP($A125,SortedDownload!$A$3:$BB$219,40,FALSE)/86400000),"-")</f>
        <v>0.52344201388888889</v>
      </c>
      <c r="T125" s="57" t="str">
        <f>IFERROR(IF(VLOOKUP($A125,SortedDownload!$A$3:$BB$219,41,FALSE)=0,"-",VLOOKUP($A125,SortedDownload!$A$3:$BB$219,41,FALSE)/86400000),"-")</f>
        <v>-</v>
      </c>
      <c r="U125" s="57" t="str">
        <f>IFERROR(IF(VLOOKUP($A125,SortedDownload!$A$3:$BB$219,42,FALSE)=0,"-",VLOOKUP($A125,SortedDownload!$A$3:$BB$219,42,FALSE)/86400000),"-")</f>
        <v>-</v>
      </c>
      <c r="V125" s="57" t="str">
        <f>IFERROR(IF(VLOOKUP($A125,SortedDownload!$A$3:$BB$219,43,FALSE)=0,"-",VLOOKUP($A125,SortedDownload!$A$3:$BB$219,43,FALSE)/86400000),"-")</f>
        <v>-</v>
      </c>
      <c r="W125" s="57" t="str">
        <f>IFERROR(IF(VLOOKUP($A125,SortedDownload!$A$3:$BB$219,44,FALSE)=0,"-",VLOOKUP($A125,SortedDownload!$A$3:$BB$219,44,FALSE)/86400000),"-")</f>
        <v>-</v>
      </c>
      <c r="X125" s="57" t="str">
        <f>IFERROR(IF(VLOOKUP($A125,SortedDownload!$A$3:$BB$219,45,FALSE)=0,"-",VLOOKUP($A125,SortedDownload!$A$3:$BB$219,45,FALSE)/86400000),"-")</f>
        <v>-</v>
      </c>
      <c r="Y125" s="58">
        <f>IFERROR(VLOOKUP($A125,SortedDownload!$A$3:$BB$219,46,FALSE)/86400000,"")</f>
        <v>0</v>
      </c>
      <c r="Z125" s="58">
        <f>IFERROR(Table932[[#This Row],[End Time]]-Table932[[#This Row],[Start Time]],"")</f>
        <v>-0.37635796296296298</v>
      </c>
      <c r="AA125" s="58"/>
      <c r="AB125" s="170" t="str">
        <f t="shared" si="11"/>
        <v>21:16</v>
      </c>
      <c r="AC125" s="170" t="str">
        <f t="shared" si="10"/>
        <v>44:43</v>
      </c>
    </row>
    <row r="126" spans="1:29">
      <c r="A126" s="53">
        <f>IF(SortedDownload!A121 &lt; 1,"",SortedDownload!A121)</f>
        <v>45</v>
      </c>
      <c r="B126" s="54">
        <f t="shared" si="6"/>
        <v>121</v>
      </c>
      <c r="C126" s="146" t="str">
        <f>IFERROR(VLOOKUP($A126,CategoryResults!$A$3:$X$252,3,FALSE),"")</f>
        <v/>
      </c>
      <c r="D126" s="149" t="str">
        <f>IFERROR(VLOOKUP($A126,EntryList!$A$3:$N$291,2,FALSE),"")</f>
        <v>Rory Butler</v>
      </c>
      <c r="E126" s="146" t="str">
        <f>IFERROR(VLOOKUP(C126,SeriesPoints!$A$2:$B$51,2,FALSE),"")</f>
        <v/>
      </c>
      <c r="F126" s="150" t="str">
        <f>IFERROR(VLOOKUP($A126,EntryList!$A$3:$V$291,22,FALSE),"")</f>
        <v>-</v>
      </c>
      <c r="G126" s="148" t="str">
        <f>IFERROR(VLOOKUP($A126,EntryList!$A$3:$N$291,6,FALSE),"")</f>
        <v>M</v>
      </c>
      <c r="H126" s="145" t="str">
        <f>IFERROR(VLOOKUP($A126,EntryList!$A$3:$N$291,7,FALSE),"")</f>
        <v>Elite Men</v>
      </c>
      <c r="I126" s="56">
        <f t="shared" si="7"/>
        <v>9</v>
      </c>
      <c r="J126" s="57">
        <f>IFERROR(VLOOKUP($A126,SortedDownload!$A$3:$BB$219,31,FALSE)/86400000,"")</f>
        <v>0.43482524305555553</v>
      </c>
      <c r="K126" s="57">
        <f>IFERROR(IF(VLOOKUP($A126,SortedDownload!$A$3:$BB$219,32,FALSE)=0,"-",VLOOKUP($A126,SortedDownload!$A$3:$BB$219,32,FALSE)/86400000),"-")</f>
        <v>0.43844086805555554</v>
      </c>
      <c r="L126" s="57">
        <f>IFERROR(IF(VLOOKUP($A126,SortedDownload!$A$3:$BB$219,33,FALSE)=0,"-",VLOOKUP($A126,SortedDownload!$A$3:$BB$219,33,FALSE)/86400000),"-")</f>
        <v>0.38706939814814817</v>
      </c>
      <c r="M126" s="57">
        <f>IFERROR(IF(VLOOKUP($A126,SortedDownload!$A$3:$BB$219,34,FALSE)=0,"-",VLOOKUP($A126,SortedDownload!$A$3:$BB$219,34,FALSE)/86400000),"-")</f>
        <v>0.39041846064814817</v>
      </c>
      <c r="N126" s="57">
        <f>IFERROR(IF(VLOOKUP($A126,SortedDownload!$A$3:$BB$219,35,FALSE)=0,"-",VLOOKUP($A126,SortedDownload!$A$3:$BB$219,35,FALSE)/86400000),"-")</f>
        <v>0.47537115740740743</v>
      </c>
      <c r="O126" s="57">
        <f>IFERROR(IF(VLOOKUP($A126,SortedDownload!$A$3:$BB$219,36,FALSE)=0,"-",VLOOKUP($A126,SortedDownload!$A$3:$BB$219,36,FALSE)/86400000),"-")</f>
        <v>0.47724206018518517</v>
      </c>
      <c r="P126" s="57">
        <f>IFERROR(IF(VLOOKUP($A126,SortedDownload!$A$3:$BB$219,37,FALSE)=0,"-",VLOOKUP($A126,SortedDownload!$A$3:$BB$219,37,FALSE)/86400000),"-")</f>
        <v>0.52604760416666663</v>
      </c>
      <c r="Q126" s="57">
        <f>IFERROR(IF(VLOOKUP($A126,SortedDownload!$A$3:$BB$219,38,FALSE)=0,"-",VLOOKUP($A126,SortedDownload!$A$3:$BB$219,38,FALSE)/86400000),"-")</f>
        <v>0.52994023148148151</v>
      </c>
      <c r="R126" s="57">
        <f>IFERROR(IF(VLOOKUP($A126,SortedDownload!$A$3:$BB$219,39,FALSE)=0,"-",VLOOKUP($A126,SortedDownload!$A$3:$BB$219,39,FALSE)/86400000),"-")</f>
        <v>0.56533152777777773</v>
      </c>
      <c r="S126" s="57">
        <f>IFERROR(IF(VLOOKUP($A126,SortedDownload!$A$3:$BB$219,40,FALSE)=0,"-",VLOOKUP($A126,SortedDownload!$A$3:$BB$219,40,FALSE)/86400000),"-")</f>
        <v>0.56979680555555556</v>
      </c>
      <c r="T126" s="57" t="str">
        <f>IFERROR(IF(VLOOKUP($A126,SortedDownload!$A$3:$BB$219,41,FALSE)=0,"-",VLOOKUP($A126,SortedDownload!$A$3:$BB$219,41,FALSE)/86400000),"-")</f>
        <v>-</v>
      </c>
      <c r="U126" s="57" t="str">
        <f>IFERROR(IF(VLOOKUP($A126,SortedDownload!$A$3:$BB$219,42,FALSE)=0,"-",VLOOKUP($A126,SortedDownload!$A$3:$BB$219,42,FALSE)/86400000),"-")</f>
        <v>-</v>
      </c>
      <c r="V126" s="57" t="str">
        <f>IFERROR(IF(VLOOKUP($A126,SortedDownload!$A$3:$BB$219,43,FALSE)=0,"-",VLOOKUP($A126,SortedDownload!$A$3:$BB$219,43,FALSE)/86400000),"-")</f>
        <v>-</v>
      </c>
      <c r="W126" s="57" t="str">
        <f>IFERROR(IF(VLOOKUP($A126,SortedDownload!$A$3:$BB$219,44,FALSE)=0,"-",VLOOKUP($A126,SortedDownload!$A$3:$BB$219,44,FALSE)/86400000),"-")</f>
        <v>-</v>
      </c>
      <c r="X126" s="57" t="str">
        <f>IFERROR(IF(VLOOKUP($A126,SortedDownload!$A$3:$BB$219,45,FALSE)=0,"-",VLOOKUP($A126,SortedDownload!$A$3:$BB$219,45,FALSE)/86400000),"-")</f>
        <v>-</v>
      </c>
      <c r="Y126" s="58">
        <f>IFERROR(VLOOKUP($A126,SortedDownload!$A$3:$BB$219,46,FALSE)/86400000,"")</f>
        <v>0</v>
      </c>
      <c r="Z126" s="58">
        <f>IFERROR(Table932[[#This Row],[End Time]]-Table932[[#This Row],[Start Time]],"")</f>
        <v>-0.43482524305555553</v>
      </c>
      <c r="AA126" s="58"/>
      <c r="AB126" s="170" t="str">
        <f t="shared" si="11"/>
        <v>N/A</v>
      </c>
      <c r="AC126" s="170" t="str">
        <f t="shared" si="10"/>
        <v>N/A</v>
      </c>
    </row>
    <row r="127" spans="1:29">
      <c r="A127" s="53">
        <f>IF(SortedDownload!A122 &lt; 1,"",SortedDownload!A122)</f>
        <v>295</v>
      </c>
      <c r="B127" s="54">
        <f t="shared" si="6"/>
        <v>122</v>
      </c>
      <c r="C127" s="146" t="str">
        <f>IFERROR(VLOOKUP($A127,CategoryResults!$A$3:$X$252,3,FALSE),"")</f>
        <v/>
      </c>
      <c r="D127" s="149" t="str">
        <f>IFERROR(VLOOKUP($A127,EntryList!$A$3:$N$291,2,FALSE),"")</f>
        <v>Andrew Henwood</v>
      </c>
      <c r="E127" s="146" t="str">
        <f>IFERROR(VLOOKUP(C127,SeriesPoints!$A$2:$B$51,2,FALSE),"")</f>
        <v/>
      </c>
      <c r="F127" s="150" t="str">
        <f>IFERROR(VLOOKUP($A127,EntryList!$A$3:$V$291,22,FALSE),"")</f>
        <v>-</v>
      </c>
      <c r="G127" s="148" t="str">
        <f>IFERROR(VLOOKUP($A127,EntryList!$A$3:$N$291,6,FALSE),"")</f>
        <v>M</v>
      </c>
      <c r="H127" s="145" t="str">
        <f>IFERROR(VLOOKUP($A127,EntryList!$A$3:$N$291,7,FALSE),"")</f>
        <v>Master Men</v>
      </c>
      <c r="I127" s="56">
        <f t="shared" si="7"/>
        <v>9</v>
      </c>
      <c r="J127" s="57">
        <f>IFERROR(VLOOKUP($A127,SortedDownload!$A$3:$BB$219,31,FALSE)/86400000,"")</f>
        <v>0.41421921296296299</v>
      </c>
      <c r="K127" s="57">
        <f>IFERROR(IF(VLOOKUP($A127,SortedDownload!$A$3:$BB$219,32,FALSE)=0,"-",VLOOKUP($A127,SortedDownload!$A$3:$BB$219,32,FALSE)/86400000),"-")</f>
        <v>0.41844570601851849</v>
      </c>
      <c r="L127" s="57">
        <f>IFERROR(IF(VLOOKUP($A127,SortedDownload!$A$3:$BB$219,33,FALSE)=0,"-",VLOOKUP($A127,SortedDownload!$A$3:$BB$219,33,FALSE)/86400000),"-")</f>
        <v>0.37617317129629629</v>
      </c>
      <c r="M127" s="57">
        <f>IFERROR(IF(VLOOKUP($A127,SortedDownload!$A$3:$BB$219,34,FALSE)=0,"-",VLOOKUP($A127,SortedDownload!$A$3:$BB$219,34,FALSE)/86400000),"-")</f>
        <v>0.3796822685185185</v>
      </c>
      <c r="N127" s="57">
        <f>IFERROR(IF(VLOOKUP($A127,SortedDownload!$A$3:$BB$219,35,FALSE)=0,"-",VLOOKUP($A127,SortedDownload!$A$3:$BB$219,35,FALSE)/86400000),"-")</f>
        <v>0.45353252314814813</v>
      </c>
      <c r="O127" s="57">
        <f>IFERROR(IF(VLOOKUP($A127,SortedDownload!$A$3:$BB$219,36,FALSE)=0,"-",VLOOKUP($A127,SortedDownload!$A$3:$BB$219,36,FALSE)/86400000),"-")</f>
        <v>0.45554749999999999</v>
      </c>
      <c r="P127" s="57">
        <f>IFERROR(IF(VLOOKUP($A127,SortedDownload!$A$3:$BB$219,37,FALSE)=0,"-",VLOOKUP($A127,SortedDownload!$A$3:$BB$219,37,FALSE)/86400000),"-")</f>
        <v>0.49522363425925925</v>
      </c>
      <c r="Q127" s="57">
        <f>IFERROR(IF(VLOOKUP($A127,SortedDownload!$A$3:$BB$219,38,FALSE)=0,"-",VLOOKUP($A127,SortedDownload!$A$3:$BB$219,38,FALSE)/86400000),"-")</f>
        <v>0.4990809259259259</v>
      </c>
      <c r="R127" s="57">
        <f>IFERROR(IF(VLOOKUP($A127,SortedDownload!$A$3:$BB$219,39,FALSE)=0,"-",VLOOKUP($A127,SortedDownload!$A$3:$BB$219,39,FALSE)/86400000),"-")</f>
        <v>0.52542425925925929</v>
      </c>
      <c r="S127" s="57">
        <f>IFERROR(IF(VLOOKUP($A127,SortedDownload!$A$3:$BB$219,40,FALSE)=0,"-",VLOOKUP($A127,SortedDownload!$A$3:$BB$219,40,FALSE)/86400000),"-")</f>
        <v>0.52977434027777781</v>
      </c>
      <c r="T127" s="57" t="str">
        <f>IFERROR(IF(VLOOKUP($A127,SortedDownload!$A$3:$BB$219,41,FALSE)=0,"-",VLOOKUP($A127,SortedDownload!$A$3:$BB$219,41,FALSE)/86400000),"-")</f>
        <v>-</v>
      </c>
      <c r="U127" s="57" t="str">
        <f>IFERROR(IF(VLOOKUP($A127,SortedDownload!$A$3:$BB$219,42,FALSE)=0,"-",VLOOKUP($A127,SortedDownload!$A$3:$BB$219,42,FALSE)/86400000),"-")</f>
        <v>-</v>
      </c>
      <c r="V127" s="57" t="str">
        <f>IFERROR(IF(VLOOKUP($A127,SortedDownload!$A$3:$BB$219,43,FALSE)=0,"-",VLOOKUP($A127,SortedDownload!$A$3:$BB$219,43,FALSE)/86400000),"-")</f>
        <v>-</v>
      </c>
      <c r="W127" s="57" t="str">
        <f>IFERROR(IF(VLOOKUP($A127,SortedDownload!$A$3:$BB$219,44,FALSE)=0,"-",VLOOKUP($A127,SortedDownload!$A$3:$BB$219,44,FALSE)/86400000),"-")</f>
        <v>-</v>
      </c>
      <c r="X127" s="57" t="str">
        <f>IFERROR(IF(VLOOKUP($A127,SortedDownload!$A$3:$BB$219,45,FALSE)=0,"-",VLOOKUP($A127,SortedDownload!$A$3:$BB$219,45,FALSE)/86400000),"-")</f>
        <v>-</v>
      </c>
      <c r="Y127" s="58">
        <f>IFERROR(VLOOKUP($A127,SortedDownload!$A$3:$BB$219,46,FALSE)/86400000,"")</f>
        <v>0</v>
      </c>
      <c r="Z127" s="58">
        <f>IFERROR(Table932[[#This Row],[End Time]]-Table932[[#This Row],[Start Time]],"")</f>
        <v>-0.41421921296296299</v>
      </c>
      <c r="AA127" s="58"/>
      <c r="AB127" s="170" t="str">
        <f t="shared" si="11"/>
        <v>29:40</v>
      </c>
      <c r="AC127" s="170" t="str">
        <f t="shared" si="10"/>
        <v>N/A</v>
      </c>
    </row>
    <row r="128" spans="1:29">
      <c r="A128" s="53">
        <f>IF(SortedDownload!A123 &lt; 1,"",SortedDownload!A123)</f>
        <v>90</v>
      </c>
      <c r="B128" s="54">
        <f t="shared" si="6"/>
        <v>123</v>
      </c>
      <c r="C128" s="146" t="str">
        <f>IFERROR(VLOOKUP($A128,CategoryResults!$A$3:$X$252,3,FALSE),"")</f>
        <v/>
      </c>
      <c r="D128" s="149" t="str">
        <f>IFERROR(VLOOKUP($A128,EntryList!$A$3:$N$291,2,FALSE),"")</f>
        <v>Jedri Visser</v>
      </c>
      <c r="E128" s="146" t="str">
        <f>IFERROR(VLOOKUP(C128,SeriesPoints!$A$2:$B$51,2,FALSE),"")</f>
        <v/>
      </c>
      <c r="F128" s="150" t="str">
        <f>IFERROR(VLOOKUP($A128,EntryList!$A$3:$V$291,22,FALSE),"")</f>
        <v>-</v>
      </c>
      <c r="G128" s="148" t="str">
        <f>IFERROR(VLOOKUP($A128,EntryList!$A$3:$N$291,6,FALSE),"")</f>
        <v>M</v>
      </c>
      <c r="H128" s="145" t="str">
        <f>IFERROR(VLOOKUP($A128,EntryList!$A$3:$N$291,7,FALSE),"")</f>
        <v>Master Men</v>
      </c>
      <c r="I128" s="56">
        <f t="shared" si="7"/>
        <v>9</v>
      </c>
      <c r="J128" s="57">
        <f>IFERROR(VLOOKUP($A128,SortedDownload!$A$3:$BB$219,31,FALSE)/86400000,"")</f>
        <v>0.3809271759259259</v>
      </c>
      <c r="K128" s="57">
        <f>IFERROR(IF(VLOOKUP($A128,SortedDownload!$A$3:$BB$219,32,FALSE)=0,"-",VLOOKUP($A128,SortedDownload!$A$3:$BB$219,32,FALSE)/86400000),"-")</f>
        <v>0.38493559027777779</v>
      </c>
      <c r="L128" s="57">
        <f>IFERROR(IF(VLOOKUP($A128,SortedDownload!$A$3:$BB$219,33,FALSE)=0,"-",VLOOKUP($A128,SortedDownload!$A$3:$BB$219,33,FALSE)/86400000),"-")</f>
        <v>0.43507751157407409</v>
      </c>
      <c r="M128" s="57">
        <f>IFERROR(IF(VLOOKUP($A128,SortedDownload!$A$3:$BB$219,34,FALSE)=0,"-",VLOOKUP($A128,SortedDownload!$A$3:$BB$219,34,FALSE)/86400000),"-")</f>
        <v>0.43868100694444445</v>
      </c>
      <c r="N128" s="57">
        <f>IFERROR(IF(VLOOKUP($A128,SortedDownload!$A$3:$BB$219,35,FALSE)=0,"-",VLOOKUP($A128,SortedDownload!$A$3:$BB$219,35,FALSE)/86400000),"-")</f>
        <v>0.47854124999999997</v>
      </c>
      <c r="O128" s="57">
        <f>IFERROR(IF(VLOOKUP($A128,SortedDownload!$A$3:$BB$219,36,FALSE)=0,"-",VLOOKUP($A128,SortedDownload!$A$3:$BB$219,36,FALSE)/86400000),"-")</f>
        <v>0.48065750000000002</v>
      </c>
      <c r="P128" s="57">
        <f>IFERROR(IF(VLOOKUP($A128,SortedDownload!$A$3:$BB$219,37,FALSE)=0,"-",VLOOKUP($A128,SortedDownload!$A$3:$BB$219,37,FALSE)/86400000),"-")</f>
        <v>0.52472491898148144</v>
      </c>
      <c r="Q128" s="57">
        <f>IFERROR(IF(VLOOKUP($A128,SortedDownload!$A$3:$BB$219,38,FALSE)=0,"-",VLOOKUP($A128,SortedDownload!$A$3:$BB$219,38,FALSE)/86400000),"-")</f>
        <v>0.52859667824074075</v>
      </c>
      <c r="R128" s="57">
        <f>IFERROR(IF(VLOOKUP($A128,SortedDownload!$A$3:$BB$219,39,FALSE)=0,"-",VLOOKUP($A128,SortedDownload!$A$3:$BB$219,39,FALSE)/86400000),"-")</f>
        <v>0.55758900462962968</v>
      </c>
      <c r="S128" s="57">
        <f>IFERROR(IF(VLOOKUP($A128,SortedDownload!$A$3:$BB$219,40,FALSE)=0,"-",VLOOKUP($A128,SortedDownload!$A$3:$BB$219,40,FALSE)/86400000),"-")</f>
        <v>0.56195862268518515</v>
      </c>
      <c r="T128" s="57" t="str">
        <f>IFERROR(IF(VLOOKUP($A128,SortedDownload!$A$3:$BB$219,41,FALSE)=0,"-",VLOOKUP($A128,SortedDownload!$A$3:$BB$219,41,FALSE)/86400000),"-")</f>
        <v>-</v>
      </c>
      <c r="U128" s="57" t="str">
        <f>IFERROR(IF(VLOOKUP($A128,SortedDownload!$A$3:$BB$219,42,FALSE)=0,"-",VLOOKUP($A128,SortedDownload!$A$3:$BB$219,42,FALSE)/86400000),"-")</f>
        <v>-</v>
      </c>
      <c r="V128" s="57" t="str">
        <f>IFERROR(IF(VLOOKUP($A128,SortedDownload!$A$3:$BB$219,43,FALSE)=0,"-",VLOOKUP($A128,SortedDownload!$A$3:$BB$219,43,FALSE)/86400000),"-")</f>
        <v>-</v>
      </c>
      <c r="W128" s="57" t="str">
        <f>IFERROR(IF(VLOOKUP($A128,SortedDownload!$A$3:$BB$219,44,FALSE)=0,"-",VLOOKUP($A128,SortedDownload!$A$3:$BB$219,44,FALSE)/86400000),"-")</f>
        <v>-</v>
      </c>
      <c r="X128" s="57" t="str">
        <f>IFERROR(IF(VLOOKUP($A128,SortedDownload!$A$3:$BB$219,45,FALSE)=0,"-",VLOOKUP($A128,SortedDownload!$A$3:$BB$219,45,FALSE)/86400000),"-")</f>
        <v>-</v>
      </c>
      <c r="Y128" s="58">
        <f>IFERROR(VLOOKUP($A128,SortedDownload!$A$3:$BB$219,46,FALSE)/86400000,"")</f>
        <v>0</v>
      </c>
      <c r="Z128" s="58">
        <f>IFERROR(Table932[[#This Row],[End Time]]-Table932[[#This Row],[Start Time]],"")</f>
        <v>-0.3809271759259259</v>
      </c>
      <c r="AA128" s="58"/>
      <c r="AB128" s="170" t="str">
        <f t="shared" si="11"/>
        <v>47:56</v>
      </c>
      <c r="AC128" s="170" t="str">
        <f t="shared" si="10"/>
        <v>38:08</v>
      </c>
    </row>
    <row r="129" spans="1:29">
      <c r="A129" s="53">
        <f>IF(SortedDownload!A124 &lt; 1,"",SortedDownload!A124)</f>
        <v>10</v>
      </c>
      <c r="B129" s="54">
        <f t="shared" si="6"/>
        <v>124</v>
      </c>
      <c r="C129" s="146" t="str">
        <f>IFERROR(VLOOKUP($A129,CategoryResults!$A$3:$X$252,3,FALSE),"")</f>
        <v/>
      </c>
      <c r="D129" s="149" t="str">
        <f>IFERROR(VLOOKUP($A129,EntryList!$A$3:$N$291,2,FALSE),"")</f>
        <v>Conner Morrison</v>
      </c>
      <c r="E129" s="146" t="str">
        <f>IFERROR(VLOOKUP(C129,SeriesPoints!$A$2:$B$51,2,FALSE),"")</f>
        <v/>
      </c>
      <c r="F129" s="150" t="str">
        <f>IFERROR(VLOOKUP($A129,EntryList!$A$3:$V$291,22,FALSE),"")</f>
        <v>-</v>
      </c>
      <c r="G129" s="148" t="str">
        <f>IFERROR(VLOOKUP($A129,EntryList!$A$3:$N$291,6,FALSE),"")</f>
        <v>M</v>
      </c>
      <c r="H129" s="145" t="str">
        <f>IFERROR(VLOOKUP($A129,EntryList!$A$3:$N$291,7,FALSE),"")</f>
        <v>E-Bike M</v>
      </c>
      <c r="I129" s="56">
        <f t="shared" si="7"/>
        <v>9</v>
      </c>
      <c r="J129" s="57">
        <f>IFERROR(VLOOKUP($A129,SortedDownload!$A$3:$BB$219,31,FALSE)/86400000,"")</f>
        <v>0.36196012731481481</v>
      </c>
      <c r="K129" s="57">
        <f>IFERROR(IF(VLOOKUP($A129,SortedDownload!$A$3:$BB$219,32,FALSE)=0,"-",VLOOKUP($A129,SortedDownload!$A$3:$BB$219,32,FALSE)/86400000),"-")</f>
        <v>0.36752185185185188</v>
      </c>
      <c r="L129" s="57">
        <f>IFERROR(IF(VLOOKUP($A129,SortedDownload!$A$3:$BB$219,33,FALSE)=0,"-",VLOOKUP($A129,SortedDownload!$A$3:$BB$219,33,FALSE)/86400000),"-")</f>
        <v>0.42019543981481483</v>
      </c>
      <c r="M129" s="57">
        <f>IFERROR(IF(VLOOKUP($A129,SortedDownload!$A$3:$BB$219,34,FALSE)=0,"-",VLOOKUP($A129,SortedDownload!$A$3:$BB$219,34,FALSE)/86400000),"-")</f>
        <v>0.4228927662037037</v>
      </c>
      <c r="N129" s="57">
        <f>IFERROR(IF(VLOOKUP($A129,SortedDownload!$A$3:$BB$219,35,FALSE)=0,"-",VLOOKUP($A129,SortedDownload!$A$3:$BB$219,35,FALSE)/86400000),"-")</f>
        <v>0.45713572916666667</v>
      </c>
      <c r="O129" s="57">
        <f>IFERROR(IF(VLOOKUP($A129,SortedDownload!$A$3:$BB$219,36,FALSE)=0,"-",VLOOKUP($A129,SortedDownload!$A$3:$BB$219,36,FALSE)/86400000),"-")</f>
        <v>0.45865564814814813</v>
      </c>
      <c r="P129" s="57">
        <f>IFERROR(IF(VLOOKUP($A129,SortedDownload!$A$3:$BB$219,37,FALSE)=0,"-",VLOOKUP($A129,SortedDownload!$A$3:$BB$219,37,FALSE)/86400000),"-")</f>
        <v>0.51181850694444442</v>
      </c>
      <c r="Q129" s="57">
        <f>IFERROR(IF(VLOOKUP($A129,SortedDownload!$A$3:$BB$219,38,FALSE)=0,"-",VLOOKUP($A129,SortedDownload!$A$3:$BB$219,38,FALSE)/86400000),"-")</f>
        <v>0.51468644675925923</v>
      </c>
      <c r="R129" s="57">
        <f>IFERROR(IF(VLOOKUP($A129,SortedDownload!$A$3:$BB$219,39,FALSE)=0,"-",VLOOKUP($A129,SortedDownload!$A$3:$BB$219,39,FALSE)/86400000),"-")</f>
        <v>0.54591284722222222</v>
      </c>
      <c r="S129" s="57">
        <f>IFERROR(IF(VLOOKUP($A129,SortedDownload!$A$3:$BB$219,40,FALSE)=0,"-",VLOOKUP($A129,SortedDownload!$A$3:$BB$219,40,FALSE)/86400000),"-")</f>
        <v>0.55139674768518521</v>
      </c>
      <c r="T129" s="57" t="str">
        <f>IFERROR(IF(VLOOKUP($A129,SortedDownload!$A$3:$BB$219,41,FALSE)=0,"-",VLOOKUP($A129,SortedDownload!$A$3:$BB$219,41,FALSE)/86400000),"-")</f>
        <v>-</v>
      </c>
      <c r="U129" s="57" t="str">
        <f>IFERROR(IF(VLOOKUP($A129,SortedDownload!$A$3:$BB$219,42,FALSE)=0,"-",VLOOKUP($A129,SortedDownload!$A$3:$BB$219,42,FALSE)/86400000),"-")</f>
        <v>-</v>
      </c>
      <c r="V129" s="57" t="str">
        <f>IFERROR(IF(VLOOKUP($A129,SortedDownload!$A$3:$BB$219,43,FALSE)=0,"-",VLOOKUP($A129,SortedDownload!$A$3:$BB$219,43,FALSE)/86400000),"-")</f>
        <v>-</v>
      </c>
      <c r="W129" s="57" t="str">
        <f>IFERROR(IF(VLOOKUP($A129,SortedDownload!$A$3:$BB$219,44,FALSE)=0,"-",VLOOKUP($A129,SortedDownload!$A$3:$BB$219,44,FALSE)/86400000),"-")</f>
        <v>-</v>
      </c>
      <c r="X129" s="57" t="str">
        <f>IFERROR(IF(VLOOKUP($A129,SortedDownload!$A$3:$BB$219,45,FALSE)=0,"-",VLOOKUP($A129,SortedDownload!$A$3:$BB$219,45,FALSE)/86400000),"-")</f>
        <v>-</v>
      </c>
      <c r="Y129" s="58">
        <f>IFERROR(VLOOKUP($A129,SortedDownload!$A$3:$BB$219,46,FALSE)/86400000,"")</f>
        <v>0</v>
      </c>
      <c r="Z129" s="58">
        <f>IFERROR(Table932[[#This Row],[End Time]]-Table932[[#This Row],[Start Time]],"")</f>
        <v>-0.36196012731481481</v>
      </c>
      <c r="AA129" s="58"/>
      <c r="AB129" s="170" t="str">
        <f t="shared" si="11"/>
        <v>27:19</v>
      </c>
      <c r="AC129" s="170" t="str">
        <f t="shared" si="10"/>
        <v>05:27</v>
      </c>
    </row>
    <row r="130" spans="1:29">
      <c r="A130" s="53">
        <f>IF(SortedDownload!A125 &lt; 1,"",SortedDownload!A125)</f>
        <v>247</v>
      </c>
      <c r="B130" s="54">
        <f t="shared" si="6"/>
        <v>125</v>
      </c>
      <c r="C130" s="146" t="str">
        <f>IFERROR(VLOOKUP($A130,CategoryResults!$A$3:$X$252,3,FALSE),"")</f>
        <v/>
      </c>
      <c r="D130" s="149" t="str">
        <f>IFERROR(VLOOKUP($A130,EntryList!$A$3:$N$291,2,FALSE),"")</f>
        <v>Pieter Venter Snr</v>
      </c>
      <c r="E130" s="146" t="str">
        <f>IFERROR(VLOOKUP(C130,SeriesPoints!$A$2:$B$51,2,FALSE),"")</f>
        <v/>
      </c>
      <c r="F130" s="150" t="str">
        <f>IFERROR(VLOOKUP($A130,EntryList!$A$3:$V$291,22,FALSE),"")</f>
        <v>-</v>
      </c>
      <c r="G130" s="148" t="str">
        <f>IFERROR(VLOOKUP($A130,EntryList!$A$3:$N$291,6,FALSE),"")</f>
        <v>M</v>
      </c>
      <c r="H130" s="145" t="str">
        <f>IFERROR(VLOOKUP($A130,EntryList!$A$3:$N$291,7,FALSE),"")</f>
        <v>E-Bike M</v>
      </c>
      <c r="I130" s="56">
        <f t="shared" si="7"/>
        <v>9</v>
      </c>
      <c r="J130" s="57">
        <f>IFERROR(VLOOKUP($A130,SortedDownload!$A$3:$BB$219,31,FALSE)/86400000,"")</f>
        <v>0.37223557870370372</v>
      </c>
      <c r="K130" s="57">
        <f>IFERROR(IF(VLOOKUP($A130,SortedDownload!$A$3:$BB$219,32,FALSE)=0,"-",VLOOKUP($A130,SortedDownload!$A$3:$BB$219,32,FALSE)/86400000),"-")</f>
        <v>0.37774288194444444</v>
      </c>
      <c r="L130" s="57">
        <f>IFERROR(IF(VLOOKUP($A130,SortedDownload!$A$3:$BB$219,33,FALSE)=0,"-",VLOOKUP($A130,SortedDownload!$A$3:$BB$219,33,FALSE)/86400000),"-")</f>
        <v>0.34762369212962962</v>
      </c>
      <c r="M130" s="57">
        <f>IFERROR(IF(VLOOKUP($A130,SortedDownload!$A$3:$BB$219,34,FALSE)=0,"-",VLOOKUP($A130,SortedDownload!$A$3:$BB$219,34,FALSE)/86400000),"-")</f>
        <v>0.35072333333333333</v>
      </c>
      <c r="N130" s="57">
        <f>IFERROR(IF(VLOOKUP($A130,SortedDownload!$A$3:$BB$219,35,FALSE)=0,"-",VLOOKUP($A130,SortedDownload!$A$3:$BB$219,35,FALSE)/86400000),"-")</f>
        <v>0.41072608796296295</v>
      </c>
      <c r="O130" s="57">
        <f>IFERROR(IF(VLOOKUP($A130,SortedDownload!$A$3:$BB$219,36,FALSE)=0,"-",VLOOKUP($A130,SortedDownload!$A$3:$BB$219,36,FALSE)/86400000),"-")</f>
        <v>0.41267709490740739</v>
      </c>
      <c r="P130" s="57">
        <f>IFERROR(IF(VLOOKUP($A130,SortedDownload!$A$3:$BB$219,37,FALSE)=0,"-",VLOOKUP($A130,SortedDownload!$A$3:$BB$219,37,FALSE)/86400000),"-")</f>
        <v>0.45401802083333331</v>
      </c>
      <c r="Q130" s="57">
        <f>IFERROR(IF(VLOOKUP($A130,SortedDownload!$A$3:$BB$219,38,FALSE)=0,"-",VLOOKUP($A130,SortedDownload!$A$3:$BB$219,38,FALSE)/86400000),"-")</f>
        <v>0.4575665625</v>
      </c>
      <c r="R130" s="57">
        <f>IFERROR(IF(VLOOKUP($A130,SortedDownload!$A$3:$BB$219,39,FALSE)=0,"-",VLOOKUP($A130,SortedDownload!$A$3:$BB$219,39,FALSE)/86400000),"-")</f>
        <v>0.50021083333333338</v>
      </c>
      <c r="S130" s="57">
        <f>IFERROR(IF(VLOOKUP($A130,SortedDownload!$A$3:$BB$219,40,FALSE)=0,"-",VLOOKUP($A130,SortedDownload!$A$3:$BB$219,40,FALSE)/86400000),"-")</f>
        <v>0.50428349537037032</v>
      </c>
      <c r="T130" s="57" t="str">
        <f>IFERROR(IF(VLOOKUP($A130,SortedDownload!$A$3:$BB$219,41,FALSE)=0,"-",VLOOKUP($A130,SortedDownload!$A$3:$BB$219,41,FALSE)/86400000),"-")</f>
        <v>-</v>
      </c>
      <c r="U130" s="57" t="str">
        <f>IFERROR(IF(VLOOKUP($A130,SortedDownload!$A$3:$BB$219,42,FALSE)=0,"-",VLOOKUP($A130,SortedDownload!$A$3:$BB$219,42,FALSE)/86400000),"-")</f>
        <v>-</v>
      </c>
      <c r="V130" s="57" t="str">
        <f>IFERROR(IF(VLOOKUP($A130,SortedDownload!$A$3:$BB$219,43,FALSE)=0,"-",VLOOKUP($A130,SortedDownload!$A$3:$BB$219,43,FALSE)/86400000),"-")</f>
        <v>-</v>
      </c>
      <c r="W130" s="57" t="str">
        <f>IFERROR(IF(VLOOKUP($A130,SortedDownload!$A$3:$BB$219,44,FALSE)=0,"-",VLOOKUP($A130,SortedDownload!$A$3:$BB$219,44,FALSE)/86400000),"-")</f>
        <v>-</v>
      </c>
      <c r="X130" s="57" t="str">
        <f>IFERROR(IF(VLOOKUP($A130,SortedDownload!$A$3:$BB$219,45,FALSE)=0,"-",VLOOKUP($A130,SortedDownload!$A$3:$BB$219,45,FALSE)/86400000),"-")</f>
        <v>-</v>
      </c>
      <c r="Y130" s="58">
        <f>IFERROR(VLOOKUP($A130,SortedDownload!$A$3:$BB$219,46,FALSE)/86400000,"")</f>
        <v>0</v>
      </c>
      <c r="Z130" s="58">
        <f>IFERROR(Table932[[#This Row],[End Time]]-Table932[[#This Row],[Start Time]],"")</f>
        <v>-0.37223557870370372</v>
      </c>
      <c r="AA130" s="58"/>
      <c r="AB130" s="170" t="str">
        <f t="shared" si="11"/>
        <v>N/A</v>
      </c>
      <c r="AC130" s="170" t="str">
        <f t="shared" si="10"/>
        <v>50:39</v>
      </c>
    </row>
    <row r="131" spans="1:29">
      <c r="A131" s="53">
        <f>IF(SortedDownload!A126 &lt; 1,"",SortedDownload!A126)</f>
        <v>145</v>
      </c>
      <c r="B131" s="54">
        <f t="shared" si="6"/>
        <v>126</v>
      </c>
      <c r="C131" s="146" t="str">
        <f>IFERROR(VLOOKUP($A131,CategoryResults!$A$3:$X$252,3,FALSE),"")</f>
        <v/>
      </c>
      <c r="D131" s="149" t="str">
        <f>IFERROR(VLOOKUP($A131,EntryList!$A$3:$N$291,2,FALSE),"")</f>
        <v>Tristan Harley</v>
      </c>
      <c r="E131" s="146" t="str">
        <f>IFERROR(VLOOKUP(C131,SeriesPoints!$A$2:$B$51,2,FALSE),"")</f>
        <v/>
      </c>
      <c r="F131" s="150" t="str">
        <f>IFERROR(VLOOKUP($A131,EntryList!$A$3:$V$291,22,FALSE),"")</f>
        <v>-</v>
      </c>
      <c r="G131" s="148" t="str">
        <f>IFERROR(VLOOKUP($A131,EntryList!$A$3:$N$291,6,FALSE),"")</f>
        <v>M</v>
      </c>
      <c r="H131" s="145" t="str">
        <f>IFERROR(VLOOKUP($A131,EntryList!$A$3:$N$291,7,FALSE),"")</f>
        <v>Youth Men</v>
      </c>
      <c r="I131" s="56">
        <f t="shared" si="7"/>
        <v>9</v>
      </c>
      <c r="J131" s="57">
        <f>IFERROR(VLOOKUP($A131,SortedDownload!$A$3:$BB$219,31,FALSE)/86400000,"")</f>
        <v>0.47832381944444446</v>
      </c>
      <c r="K131" s="57">
        <f>IFERROR(IF(VLOOKUP($A131,SortedDownload!$A$3:$BB$219,32,FALSE)=0,"-",VLOOKUP($A131,SortedDownload!$A$3:$BB$219,32,FALSE)/86400000),"-")</f>
        <v>0.48312396990740741</v>
      </c>
      <c r="L131" s="57">
        <f>IFERROR(IF(VLOOKUP($A131,SortedDownload!$A$3:$BB$219,33,FALSE)=0,"-",VLOOKUP($A131,SortedDownload!$A$3:$BB$219,33,FALSE)/86400000),"-")</f>
        <v>0.40653434027777779</v>
      </c>
      <c r="M131" s="57">
        <f>IFERROR(IF(VLOOKUP($A131,SortedDownload!$A$3:$BB$219,34,FALSE)=0,"-",VLOOKUP($A131,SortedDownload!$A$3:$BB$219,34,FALSE)/86400000),"-")</f>
        <v>0.40970035879629629</v>
      </c>
      <c r="N131" s="57">
        <f>IFERROR(IF(VLOOKUP($A131,SortedDownload!$A$3:$BB$219,35,FALSE)=0,"-",VLOOKUP($A131,SortedDownload!$A$3:$BB$219,35,FALSE)/86400000),"-")</f>
        <v>0.4513303935185185</v>
      </c>
      <c r="O131" s="57">
        <f>IFERROR(IF(VLOOKUP($A131,SortedDownload!$A$3:$BB$219,36,FALSE)=0,"-",VLOOKUP($A131,SortedDownload!$A$3:$BB$219,36,FALSE)/86400000),"-")</f>
        <v>0.45329525462962961</v>
      </c>
      <c r="P131" s="57">
        <f>IFERROR(IF(VLOOKUP($A131,SortedDownload!$A$3:$BB$219,37,FALSE)=0,"-",VLOOKUP($A131,SortedDownload!$A$3:$BB$219,37,FALSE)/86400000),"-")</f>
        <v>0.53308112268518515</v>
      </c>
      <c r="Q131" s="57">
        <f>IFERROR(IF(VLOOKUP($A131,SortedDownload!$A$3:$BB$219,38,FALSE)=0,"-",VLOOKUP($A131,SortedDownload!$A$3:$BB$219,38,FALSE)/86400000),"-")</f>
        <v>0.53715484953703707</v>
      </c>
      <c r="R131" s="57">
        <f>IFERROR(IF(VLOOKUP($A131,SortedDownload!$A$3:$BB$219,39,FALSE)=0,"-",VLOOKUP($A131,SortedDownload!$A$3:$BB$219,39,FALSE)/86400000),"-")</f>
        <v>0.56627407407407404</v>
      </c>
      <c r="S131" s="57">
        <f>IFERROR(IF(VLOOKUP($A131,SortedDownload!$A$3:$BB$219,40,FALSE)=0,"-",VLOOKUP($A131,SortedDownload!$A$3:$BB$219,40,FALSE)/86400000),"-")</f>
        <v>0.57056702546296301</v>
      </c>
      <c r="T131" s="57" t="str">
        <f>IFERROR(IF(VLOOKUP($A131,SortedDownload!$A$3:$BB$219,41,FALSE)=0,"-",VLOOKUP($A131,SortedDownload!$A$3:$BB$219,41,FALSE)/86400000),"-")</f>
        <v>-</v>
      </c>
      <c r="U131" s="57" t="str">
        <f>IFERROR(IF(VLOOKUP($A131,SortedDownload!$A$3:$BB$219,42,FALSE)=0,"-",VLOOKUP($A131,SortedDownload!$A$3:$BB$219,42,FALSE)/86400000),"-")</f>
        <v>-</v>
      </c>
      <c r="V131" s="57" t="str">
        <f>IFERROR(IF(VLOOKUP($A131,SortedDownload!$A$3:$BB$219,43,FALSE)=0,"-",VLOOKUP($A131,SortedDownload!$A$3:$BB$219,43,FALSE)/86400000),"-")</f>
        <v>-</v>
      </c>
      <c r="W131" s="57" t="str">
        <f>IFERROR(IF(VLOOKUP($A131,SortedDownload!$A$3:$BB$219,44,FALSE)=0,"-",VLOOKUP($A131,SortedDownload!$A$3:$BB$219,44,FALSE)/86400000),"-")</f>
        <v>-</v>
      </c>
      <c r="X131" s="57" t="str">
        <f>IFERROR(IF(VLOOKUP($A131,SortedDownload!$A$3:$BB$219,45,FALSE)=0,"-",VLOOKUP($A131,SortedDownload!$A$3:$BB$219,45,FALSE)/86400000),"-")</f>
        <v>-</v>
      </c>
      <c r="Y131" s="58">
        <f>IFERROR(VLOOKUP($A131,SortedDownload!$A$3:$BB$219,46,FALSE)/86400000,"")</f>
        <v>0</v>
      </c>
      <c r="Z131" s="58">
        <f>IFERROR(Table932[[#This Row],[End Time]]-Table932[[#This Row],[Start Time]],"")</f>
        <v>-0.47832381944444446</v>
      </c>
      <c r="AA131" s="58"/>
      <c r="AB131" s="170" t="str">
        <f t="shared" si="11"/>
        <v>N/A</v>
      </c>
      <c r="AC131" s="170" t="str">
        <f t="shared" si="10"/>
        <v>N/A</v>
      </c>
    </row>
    <row r="132" spans="1:29">
      <c r="A132" s="53">
        <f>IF(SortedDownload!A127 &lt; 1,"",SortedDownload!A127)</f>
        <v>127</v>
      </c>
      <c r="B132" s="54">
        <f t="shared" si="6"/>
        <v>127</v>
      </c>
      <c r="C132" s="146" t="str">
        <f>IFERROR(VLOOKUP($A132,CategoryResults!$A$3:$X$252,3,FALSE),"")</f>
        <v/>
      </c>
      <c r="D132" s="149" t="str">
        <f>IFERROR(VLOOKUP($A132,EntryList!$A$3:$N$291,2,FALSE),"")</f>
        <v>Max Sullivan</v>
      </c>
      <c r="E132" s="146" t="str">
        <f>IFERROR(VLOOKUP(C132,SeriesPoints!$A$2:$B$51,2,FALSE),"")</f>
        <v/>
      </c>
      <c r="F132" s="150" t="str">
        <f>IFERROR(VLOOKUP($A132,EntryList!$A$3:$V$291,22,FALSE),"")</f>
        <v>-</v>
      </c>
      <c r="G132" s="148" t="str">
        <f>IFERROR(VLOOKUP($A132,EntryList!$A$3:$N$291,6,FALSE),"")</f>
        <v>M</v>
      </c>
      <c r="H132" s="145" t="str">
        <f>IFERROR(VLOOKUP($A132,EntryList!$A$3:$N$291,7,FALSE),"")</f>
        <v>E-Bike M</v>
      </c>
      <c r="I132" s="56">
        <f t="shared" si="7"/>
        <v>9</v>
      </c>
      <c r="J132" s="57">
        <f>IFERROR(VLOOKUP($A132,SortedDownload!$A$3:$BB$219,31,FALSE)/86400000,"")</f>
        <v>0.36928851851851852</v>
      </c>
      <c r="K132" s="57">
        <f>IFERROR(IF(VLOOKUP($A132,SortedDownload!$A$3:$BB$219,32,FALSE)=0,"-",VLOOKUP($A132,SortedDownload!$A$3:$BB$219,32,FALSE)/86400000),"-")</f>
        <v>0.37764628472222223</v>
      </c>
      <c r="L132" s="57">
        <f>IFERROR(IF(VLOOKUP($A132,SortedDownload!$A$3:$BB$219,33,FALSE)=0,"-",VLOOKUP($A132,SortedDownload!$A$3:$BB$219,33,FALSE)/86400000),"-")</f>
        <v>0.35062996527777779</v>
      </c>
      <c r="M132" s="57">
        <f>IFERROR(IF(VLOOKUP($A132,SortedDownload!$A$3:$BB$219,34,FALSE)=0,"-",VLOOKUP($A132,SortedDownload!$A$3:$BB$219,34,FALSE)/86400000),"-")</f>
        <v>0.35309056712962961</v>
      </c>
      <c r="N132" s="57">
        <f>IFERROR(IF(VLOOKUP($A132,SortedDownload!$A$3:$BB$219,35,FALSE)=0,"-",VLOOKUP($A132,SortedDownload!$A$3:$BB$219,35,FALSE)/86400000),"-")</f>
        <v>0.40844180555555554</v>
      </c>
      <c r="O132" s="57">
        <f>IFERROR(IF(VLOOKUP($A132,SortedDownload!$A$3:$BB$219,36,FALSE)=0,"-",VLOOKUP($A132,SortedDownload!$A$3:$BB$219,36,FALSE)/86400000),"-")</f>
        <v>0.40978202546296294</v>
      </c>
      <c r="P132" s="57">
        <f>IFERROR(IF(VLOOKUP($A132,SortedDownload!$A$3:$BB$219,37,FALSE)=0,"-",VLOOKUP($A132,SortedDownload!$A$3:$BB$219,37,FALSE)/86400000),"-")</f>
        <v>0.44123062499999999</v>
      </c>
      <c r="Q132" s="57">
        <f>IFERROR(IF(VLOOKUP($A132,SortedDownload!$A$3:$BB$219,38,FALSE)=0,"-",VLOOKUP($A132,SortedDownload!$A$3:$BB$219,38,FALSE)/86400000),"-")</f>
        <v>0.44385069444444447</v>
      </c>
      <c r="R132" s="57">
        <f>IFERROR(IF(VLOOKUP($A132,SortedDownload!$A$3:$BB$219,39,FALSE)=0,"-",VLOOKUP($A132,SortedDownload!$A$3:$BB$219,39,FALSE)/86400000),"-")</f>
        <v>0.46108483796296296</v>
      </c>
      <c r="S132" s="57">
        <f>IFERROR(IF(VLOOKUP($A132,SortedDownload!$A$3:$BB$219,40,FALSE)=0,"-",VLOOKUP($A132,SortedDownload!$A$3:$BB$219,40,FALSE)/86400000),"-")</f>
        <v>0.46466258101851854</v>
      </c>
      <c r="T132" s="57" t="str">
        <f>IFERROR(IF(VLOOKUP($A132,SortedDownload!$A$3:$BB$219,41,FALSE)=0,"-",VLOOKUP($A132,SortedDownload!$A$3:$BB$219,41,FALSE)/86400000),"-")</f>
        <v>-</v>
      </c>
      <c r="U132" s="57" t="str">
        <f>IFERROR(IF(VLOOKUP($A132,SortedDownload!$A$3:$BB$219,42,FALSE)=0,"-",VLOOKUP($A132,SortedDownload!$A$3:$BB$219,42,FALSE)/86400000),"-")</f>
        <v>-</v>
      </c>
      <c r="V132" s="57" t="str">
        <f>IFERROR(IF(VLOOKUP($A132,SortedDownload!$A$3:$BB$219,43,FALSE)=0,"-",VLOOKUP($A132,SortedDownload!$A$3:$BB$219,43,FALSE)/86400000),"-")</f>
        <v>-</v>
      </c>
      <c r="W132" s="57" t="str">
        <f>IFERROR(IF(VLOOKUP($A132,SortedDownload!$A$3:$BB$219,44,FALSE)=0,"-",VLOOKUP($A132,SortedDownload!$A$3:$BB$219,44,FALSE)/86400000),"-")</f>
        <v>-</v>
      </c>
      <c r="X132" s="57" t="str">
        <f>IFERROR(IF(VLOOKUP($A132,SortedDownload!$A$3:$BB$219,45,FALSE)=0,"-",VLOOKUP($A132,SortedDownload!$A$3:$BB$219,45,FALSE)/86400000),"-")</f>
        <v>-</v>
      </c>
      <c r="Y132" s="58">
        <f>IFERROR(VLOOKUP($A132,SortedDownload!$A$3:$BB$219,46,FALSE)/86400000,"")</f>
        <v>0</v>
      </c>
      <c r="Z132" s="58">
        <f>IFERROR(Table932[[#This Row],[End Time]]-Table932[[#This Row],[Start Time]],"")</f>
        <v>-0.36928851851851852</v>
      </c>
      <c r="AA132" s="58"/>
      <c r="AB132" s="170" t="str">
        <f t="shared" si="11"/>
        <v>37:01</v>
      </c>
      <c r="AC132" s="170" t="str">
        <f t="shared" si="10"/>
        <v>54:54</v>
      </c>
    </row>
    <row r="133" spans="1:29">
      <c r="A133" s="53">
        <f>IF(SortedDownload!A126 &lt; 1,"",SortedDownload!A126)</f>
        <v>145</v>
      </c>
      <c r="B133" s="54">
        <f t="shared" si="6"/>
        <v>128</v>
      </c>
      <c r="C133" s="146" t="str">
        <f>IFERROR(VLOOKUP($A133,CategoryResults!$A$3:$X$252,3,FALSE),"")</f>
        <v/>
      </c>
      <c r="D133" s="149" t="str">
        <f>IFERROR(VLOOKUP($A133,EntryList!$A$3:$N$291,2,FALSE),"")</f>
        <v>Tristan Harley</v>
      </c>
      <c r="E133" s="146" t="str">
        <f>IFERROR(VLOOKUP(C133,SeriesPoints!$A$2:$B$51,2,FALSE),"")</f>
        <v/>
      </c>
      <c r="F133" s="150" t="str">
        <f>IFERROR(VLOOKUP($A133,EntryList!$A$3:$V$291,22,FALSE),"")</f>
        <v>-</v>
      </c>
      <c r="G133" s="148" t="str">
        <f>IFERROR(VLOOKUP($A133,EntryList!$A$3:$N$291,6,FALSE),"")</f>
        <v>M</v>
      </c>
      <c r="H133" s="145" t="str">
        <f>IFERROR(VLOOKUP($A133,EntryList!$A$3:$N$291,7,FALSE),"")</f>
        <v>Youth Men</v>
      </c>
      <c r="I133" s="56">
        <f t="shared" si="7"/>
        <v>9</v>
      </c>
      <c r="J133" s="57">
        <f>IFERROR(VLOOKUP($A133,SortedDownload!$A$3:$BB$219,31,FALSE)/86400000,"")</f>
        <v>0.47832381944444446</v>
      </c>
      <c r="K133" s="57">
        <f>IFERROR(IF(VLOOKUP($A133,SortedDownload!$A$3:$BB$219,32,FALSE)=0,"-",VLOOKUP($A133,SortedDownload!$A$3:$BB$219,32,FALSE)/86400000),"-")</f>
        <v>0.48312396990740741</v>
      </c>
      <c r="L133" s="57">
        <f>IFERROR(IF(VLOOKUP($A133,SortedDownload!$A$3:$BB$219,33,FALSE)=0,"-",VLOOKUP($A133,SortedDownload!$A$3:$BB$219,33,FALSE)/86400000),"-")</f>
        <v>0.40653434027777779</v>
      </c>
      <c r="M133" s="57">
        <f>IFERROR(IF(VLOOKUP($A133,SortedDownload!$A$3:$BB$219,34,FALSE)=0,"-",VLOOKUP($A133,SortedDownload!$A$3:$BB$219,34,FALSE)/86400000),"-")</f>
        <v>0.40970035879629629</v>
      </c>
      <c r="N133" s="57">
        <f>IFERROR(IF(VLOOKUP($A133,SortedDownload!$A$3:$BB$219,35,FALSE)=0,"-",VLOOKUP($A133,SortedDownload!$A$3:$BB$219,35,FALSE)/86400000),"-")</f>
        <v>0.4513303935185185</v>
      </c>
      <c r="O133" s="57">
        <f>IFERROR(IF(VLOOKUP($A133,SortedDownload!$A$3:$BB$219,36,FALSE)=0,"-",VLOOKUP($A133,SortedDownload!$A$3:$BB$219,36,FALSE)/86400000),"-")</f>
        <v>0.45329525462962961</v>
      </c>
      <c r="P133" s="57">
        <f>IFERROR(IF(VLOOKUP($A133,SortedDownload!$A$3:$BB$219,37,FALSE)=0,"-",VLOOKUP($A133,SortedDownload!$A$3:$BB$219,37,FALSE)/86400000),"-")</f>
        <v>0.53308112268518515</v>
      </c>
      <c r="Q133" s="57">
        <f>IFERROR(IF(VLOOKUP($A133,SortedDownload!$A$3:$BB$219,38,FALSE)=0,"-",VLOOKUP($A133,SortedDownload!$A$3:$BB$219,38,FALSE)/86400000),"-")</f>
        <v>0.53715484953703707</v>
      </c>
      <c r="R133" s="57">
        <f>IFERROR(IF(VLOOKUP($A133,SortedDownload!$A$3:$BB$219,39,FALSE)=0,"-",VLOOKUP($A133,SortedDownload!$A$3:$BB$219,39,FALSE)/86400000),"-")</f>
        <v>0.56627407407407404</v>
      </c>
      <c r="S133" s="57">
        <f>IFERROR(IF(VLOOKUP($A133,SortedDownload!$A$3:$BB$219,40,FALSE)=0,"-",VLOOKUP($A133,SortedDownload!$A$3:$BB$219,40,FALSE)/86400000),"-")</f>
        <v>0.57056702546296301</v>
      </c>
      <c r="T133" s="57" t="str">
        <f>IFERROR(IF(VLOOKUP($A133,SortedDownload!$A$3:$BB$219,41,FALSE)=0,"-",VLOOKUP($A133,SortedDownload!$A$3:$BB$219,41,FALSE)/86400000),"-")</f>
        <v>-</v>
      </c>
      <c r="U133" s="57" t="str">
        <f>IFERROR(IF(VLOOKUP($A133,SortedDownload!$A$3:$BB$219,42,FALSE)=0,"-",VLOOKUP($A133,SortedDownload!$A$3:$BB$219,42,FALSE)/86400000),"-")</f>
        <v>-</v>
      </c>
      <c r="V133" s="57" t="str">
        <f>IFERROR(IF(VLOOKUP($A133,SortedDownload!$A$3:$BB$219,43,FALSE)=0,"-",VLOOKUP($A133,SortedDownload!$A$3:$BB$219,43,FALSE)/86400000),"-")</f>
        <v>-</v>
      </c>
      <c r="W133" s="57" t="str">
        <f>IFERROR(IF(VLOOKUP($A133,SortedDownload!$A$3:$BB$219,44,FALSE)=0,"-",VLOOKUP($A133,SortedDownload!$A$3:$BB$219,44,FALSE)/86400000),"-")</f>
        <v>-</v>
      </c>
      <c r="X133" s="57" t="str">
        <f>IFERROR(IF(VLOOKUP($A133,SortedDownload!$A$3:$BB$219,45,FALSE)=0,"-",VLOOKUP($A133,SortedDownload!$A$3:$BB$219,45,FALSE)/86400000),"-")</f>
        <v>-</v>
      </c>
      <c r="Y133" s="58">
        <f>IFERROR(VLOOKUP($A133,SortedDownload!$A$3:$BB$219,46,FALSE)/86400000,"")</f>
        <v>0</v>
      </c>
      <c r="Z133" s="58">
        <f>IFERROR(Table932[[#This Row],[End Time]]-Table932[[#This Row],[Start Time]],"")</f>
        <v>-0.47832381944444446</v>
      </c>
      <c r="AA133" s="58"/>
      <c r="AB133" s="170" t="str">
        <f t="shared" si="11"/>
        <v>N/A</v>
      </c>
      <c r="AC133" s="170" t="str">
        <f t="shared" si="10"/>
        <v>N/A</v>
      </c>
    </row>
    <row r="134" spans="1:29">
      <c r="A134" s="53">
        <f>IF(SortedDownload!A127 &lt; 1,"",SortedDownload!A127)</f>
        <v>127</v>
      </c>
      <c r="B134" s="54">
        <f t="shared" ref="B134:B196" si="12">IF(A134="","",ROW()-5)</f>
        <v>129</v>
      </c>
      <c r="C134" s="146" t="str">
        <f>IFERROR(VLOOKUP($A134,CategoryResults!$A$3:$X$252,3,FALSE),"")</f>
        <v/>
      </c>
      <c r="D134" s="149" t="str">
        <f>IFERROR(VLOOKUP($A134,EntryList!$A$3:$N$291,2,FALSE),"")</f>
        <v>Max Sullivan</v>
      </c>
      <c r="E134" s="146" t="str">
        <f>IFERROR(VLOOKUP(C134,SeriesPoints!$A$2:$B$51,2,FALSE),"")</f>
        <v/>
      </c>
      <c r="F134" s="150" t="str">
        <f>IFERROR(VLOOKUP($A134,EntryList!$A$3:$V$291,22,FALSE),"")</f>
        <v>-</v>
      </c>
      <c r="G134" s="148" t="str">
        <f>IFERROR(VLOOKUP($A134,EntryList!$A$3:$N$291,6,FALSE),"")</f>
        <v>M</v>
      </c>
      <c r="H134" s="145" t="str">
        <f>IFERROR(VLOOKUP($A134,EntryList!$A$3:$N$291,7,FALSE),"")</f>
        <v>E-Bike M</v>
      </c>
      <c r="I134" s="56">
        <f t="shared" ref="I134:I196" si="13">COUNTIF(K134:X134,"&lt;&gt;"&amp;"-")</f>
        <v>9</v>
      </c>
      <c r="J134" s="57">
        <f>IFERROR(VLOOKUP($A134,SortedDownload!$A$3:$BB$219,31,FALSE)/86400000,"")</f>
        <v>0.36928851851851852</v>
      </c>
      <c r="K134" s="57">
        <f>IFERROR(IF(VLOOKUP($A134,SortedDownload!$A$3:$BB$219,32,FALSE)=0,"-",VLOOKUP($A134,SortedDownload!$A$3:$BB$219,32,FALSE)/86400000),"-")</f>
        <v>0.37764628472222223</v>
      </c>
      <c r="L134" s="57">
        <f>IFERROR(IF(VLOOKUP($A134,SortedDownload!$A$3:$BB$219,33,FALSE)=0,"-",VLOOKUP($A134,SortedDownload!$A$3:$BB$219,33,FALSE)/86400000),"-")</f>
        <v>0.35062996527777779</v>
      </c>
      <c r="M134" s="57">
        <f>IFERROR(IF(VLOOKUP($A134,SortedDownload!$A$3:$BB$219,34,FALSE)=0,"-",VLOOKUP($A134,SortedDownload!$A$3:$BB$219,34,FALSE)/86400000),"-")</f>
        <v>0.35309056712962961</v>
      </c>
      <c r="N134" s="57">
        <f>IFERROR(IF(VLOOKUP($A134,SortedDownload!$A$3:$BB$219,35,FALSE)=0,"-",VLOOKUP($A134,SortedDownload!$A$3:$BB$219,35,FALSE)/86400000),"-")</f>
        <v>0.40844180555555554</v>
      </c>
      <c r="O134" s="57">
        <f>IFERROR(IF(VLOOKUP($A134,SortedDownload!$A$3:$BB$219,36,FALSE)=0,"-",VLOOKUP($A134,SortedDownload!$A$3:$BB$219,36,FALSE)/86400000),"-")</f>
        <v>0.40978202546296294</v>
      </c>
      <c r="P134" s="57">
        <f>IFERROR(IF(VLOOKUP($A134,SortedDownload!$A$3:$BB$219,37,FALSE)=0,"-",VLOOKUP($A134,SortedDownload!$A$3:$BB$219,37,FALSE)/86400000),"-")</f>
        <v>0.44123062499999999</v>
      </c>
      <c r="Q134" s="57">
        <f>IFERROR(IF(VLOOKUP($A134,SortedDownload!$A$3:$BB$219,38,FALSE)=0,"-",VLOOKUP($A134,SortedDownload!$A$3:$BB$219,38,FALSE)/86400000),"-")</f>
        <v>0.44385069444444447</v>
      </c>
      <c r="R134" s="57">
        <f>IFERROR(IF(VLOOKUP($A134,SortedDownload!$A$3:$BB$219,39,FALSE)=0,"-",VLOOKUP($A134,SortedDownload!$A$3:$BB$219,39,FALSE)/86400000),"-")</f>
        <v>0.46108483796296296</v>
      </c>
      <c r="S134" s="57">
        <f>IFERROR(IF(VLOOKUP($A134,SortedDownload!$A$3:$BB$219,40,FALSE)=0,"-",VLOOKUP($A134,SortedDownload!$A$3:$BB$219,40,FALSE)/86400000),"-")</f>
        <v>0.46466258101851854</v>
      </c>
      <c r="T134" s="57" t="str">
        <f>IFERROR(IF(VLOOKUP($A134,SortedDownload!$A$3:$BB$219,41,FALSE)=0,"-",VLOOKUP($A134,SortedDownload!$A$3:$BB$219,41,FALSE)/86400000),"-")</f>
        <v>-</v>
      </c>
      <c r="U134" s="57" t="str">
        <f>IFERROR(IF(VLOOKUP($A134,SortedDownload!$A$3:$BB$219,42,FALSE)=0,"-",VLOOKUP($A134,SortedDownload!$A$3:$BB$219,42,FALSE)/86400000),"-")</f>
        <v>-</v>
      </c>
      <c r="V134" s="57" t="str">
        <f>IFERROR(IF(VLOOKUP($A134,SortedDownload!$A$3:$BB$219,43,FALSE)=0,"-",VLOOKUP($A134,SortedDownload!$A$3:$BB$219,43,FALSE)/86400000),"-")</f>
        <v>-</v>
      </c>
      <c r="W134" s="57" t="str">
        <f>IFERROR(IF(VLOOKUP($A134,SortedDownload!$A$3:$BB$219,44,FALSE)=0,"-",VLOOKUP($A134,SortedDownload!$A$3:$BB$219,44,FALSE)/86400000),"-")</f>
        <v>-</v>
      </c>
      <c r="X134" s="57" t="str">
        <f>IFERROR(IF(VLOOKUP($A134,SortedDownload!$A$3:$BB$219,45,FALSE)=0,"-",VLOOKUP($A134,SortedDownload!$A$3:$BB$219,45,FALSE)/86400000),"-")</f>
        <v>-</v>
      </c>
      <c r="Y134" s="58">
        <f>IFERROR(VLOOKUP($A134,SortedDownload!$A$3:$BB$219,46,FALSE)/86400000,"")</f>
        <v>0</v>
      </c>
      <c r="Z134" s="58">
        <f>IFERROR(Table932[[#This Row],[End Time]]-Table932[[#This Row],[Start Time]],"")</f>
        <v>-0.36928851851851852</v>
      </c>
      <c r="AA134" s="58"/>
      <c r="AB134" s="170" t="str">
        <f t="shared" si="11"/>
        <v>37:01</v>
      </c>
      <c r="AC134" s="170" t="str">
        <f t="shared" ref="AC134:AC153" si="14">IF($I134-$I$6&lt;0,"N/A",IFERROR(TEXT(($Z134-$Z$6),"mm:ss"),"N/A"))</f>
        <v>54:54</v>
      </c>
    </row>
    <row r="135" spans="1:29">
      <c r="A135" s="53">
        <f>IF(SortedDownload!A128 &lt; 1,"",SortedDownload!A128)</f>
        <v>243</v>
      </c>
      <c r="B135" s="54">
        <f t="shared" si="12"/>
        <v>130</v>
      </c>
      <c r="C135" s="146" t="str">
        <f>IFERROR(VLOOKUP($A135,CategoryResults!$A$3:$X$252,3,FALSE),"")</f>
        <v/>
      </c>
      <c r="D135" s="149" t="str">
        <f>IFERROR(VLOOKUP($A135,EntryList!$A$3:$N$291,2,FALSE),"")</f>
        <v>Marc Van Der Meer</v>
      </c>
      <c r="E135" s="146" t="str">
        <f>IFERROR(VLOOKUP(C135,SeriesPoints!$A$2:$B$51,2,FALSE),"")</f>
        <v/>
      </c>
      <c r="F135" s="150" t="str">
        <f>IFERROR(VLOOKUP($A135,EntryList!$A$3:$V$291,22,FALSE),"")</f>
        <v>-</v>
      </c>
      <c r="G135" s="148" t="str">
        <f>IFERROR(VLOOKUP($A135,EntryList!$A$3:$N$291,6,FALSE),"")</f>
        <v>M</v>
      </c>
      <c r="H135" s="145" t="str">
        <f>IFERROR(VLOOKUP($A135,EntryList!$A$3:$N$291,7,FALSE),"")</f>
        <v>Elite Men</v>
      </c>
      <c r="I135" s="56">
        <f t="shared" si="13"/>
        <v>9</v>
      </c>
      <c r="J135" s="57">
        <f>IFERROR(VLOOKUP($A135,SortedDownload!$A$3:$BB$219,31,FALSE)/86400000,"")</f>
        <v>0.43344237268518521</v>
      </c>
      <c r="K135" s="57">
        <f>IFERROR(IF(VLOOKUP($A135,SortedDownload!$A$3:$BB$219,32,FALSE)=0,"-",VLOOKUP($A135,SortedDownload!$A$3:$BB$219,32,FALSE)/86400000),"-")</f>
        <v>0.43815560185185187</v>
      </c>
      <c r="L135" s="57">
        <f>IFERROR(IF(VLOOKUP($A135,SortedDownload!$A$3:$BB$219,33,FALSE)=0,"-",VLOOKUP($A135,SortedDownload!$A$3:$BB$219,33,FALSE)/86400000),"-")</f>
        <v>0.38334193287037038</v>
      </c>
      <c r="M135" s="57">
        <f>IFERROR(IF(VLOOKUP($A135,SortedDownload!$A$3:$BB$219,34,FALSE)=0,"-",VLOOKUP($A135,SortedDownload!$A$3:$BB$219,34,FALSE)/86400000),"-")</f>
        <v>0.38677451388888889</v>
      </c>
      <c r="N135" s="57">
        <f>IFERROR(IF(VLOOKUP($A135,SortedDownload!$A$3:$BB$219,35,FALSE)=0,"-",VLOOKUP($A135,SortedDownload!$A$3:$BB$219,35,FALSE)/86400000),"-")</f>
        <v>0.47280967592592593</v>
      </c>
      <c r="O135" s="57">
        <f>IFERROR(IF(VLOOKUP($A135,SortedDownload!$A$3:$BB$219,36,FALSE)=0,"-",VLOOKUP($A135,SortedDownload!$A$3:$BB$219,36,FALSE)/86400000),"-")</f>
        <v>0.47470800925925927</v>
      </c>
      <c r="P135" s="57">
        <f>IFERROR(IF(VLOOKUP($A135,SortedDownload!$A$3:$BB$219,37,FALSE)=0,"-",VLOOKUP($A135,SortedDownload!$A$3:$BB$219,37,FALSE)/86400000),"-")</f>
        <v>0.53147753472222226</v>
      </c>
      <c r="Q135" s="57">
        <f>IFERROR(IF(VLOOKUP($A135,SortedDownload!$A$3:$BB$219,38,FALSE)=0,"-",VLOOKUP($A135,SortedDownload!$A$3:$BB$219,38,FALSE)/86400000),"-")</f>
        <v>0.53553556712962957</v>
      </c>
      <c r="R135" s="57">
        <f>IFERROR(IF(VLOOKUP($A135,SortedDownload!$A$3:$BB$219,39,FALSE)=0,"-",VLOOKUP($A135,SortedDownload!$A$3:$BB$219,39,FALSE)/86400000),"-")</f>
        <v>0.56996481481481487</v>
      </c>
      <c r="S135" s="57">
        <f>IFERROR(IF(VLOOKUP($A135,SortedDownload!$A$3:$BB$219,40,FALSE)=0,"-",VLOOKUP($A135,SortedDownload!$A$3:$BB$219,40,FALSE)/86400000),"-")</f>
        <v>0.57463424768518523</v>
      </c>
      <c r="T135" s="57" t="str">
        <f>IFERROR(IF(VLOOKUP($A135,SortedDownload!$A$3:$BB$219,41,FALSE)=0,"-",VLOOKUP($A135,SortedDownload!$A$3:$BB$219,41,FALSE)/86400000),"-")</f>
        <v>-</v>
      </c>
      <c r="U135" s="57" t="str">
        <f>IFERROR(IF(VLOOKUP($A135,SortedDownload!$A$3:$BB$219,42,FALSE)=0,"-",VLOOKUP($A135,SortedDownload!$A$3:$BB$219,42,FALSE)/86400000),"-")</f>
        <v>-</v>
      </c>
      <c r="V135" s="57" t="str">
        <f>IFERROR(IF(VLOOKUP($A135,SortedDownload!$A$3:$BB$219,43,FALSE)=0,"-",VLOOKUP($A135,SortedDownload!$A$3:$BB$219,43,FALSE)/86400000),"-")</f>
        <v>-</v>
      </c>
      <c r="W135" s="57" t="str">
        <f>IFERROR(IF(VLOOKUP($A135,SortedDownload!$A$3:$BB$219,44,FALSE)=0,"-",VLOOKUP($A135,SortedDownload!$A$3:$BB$219,44,FALSE)/86400000),"-")</f>
        <v>-</v>
      </c>
      <c r="X135" s="57" t="str">
        <f>IFERROR(IF(VLOOKUP($A135,SortedDownload!$A$3:$BB$219,45,FALSE)=0,"-",VLOOKUP($A135,SortedDownload!$A$3:$BB$219,45,FALSE)/86400000),"-")</f>
        <v>-</v>
      </c>
      <c r="Y135" s="58">
        <f>IFERROR(VLOOKUP($A135,SortedDownload!$A$3:$BB$219,46,FALSE)/86400000,"")</f>
        <v>0</v>
      </c>
      <c r="Z135" s="58">
        <f>IFERROR(Table932[[#This Row],[End Time]]-Table932[[#This Row],[Start Time]],"")</f>
        <v>-0.43344237268518521</v>
      </c>
      <c r="AA135" s="58"/>
      <c r="AB135" s="170" t="str">
        <f t="shared" si="11"/>
        <v>N/A</v>
      </c>
      <c r="AC135" s="170" t="str">
        <f t="shared" si="14"/>
        <v>N/A</v>
      </c>
    </row>
    <row r="136" spans="1:29">
      <c r="A136" s="53">
        <f>IF(SortedDownload!A129 &lt; 1,"",SortedDownload!A129)</f>
        <v>89</v>
      </c>
      <c r="B136" s="54">
        <f t="shared" si="12"/>
        <v>131</v>
      </c>
      <c r="C136" s="146" t="str">
        <f>IFERROR(VLOOKUP($A136,CategoryResults!$A$3:$X$252,3,FALSE),"")</f>
        <v/>
      </c>
      <c r="D136" s="149" t="str">
        <f>IFERROR(VLOOKUP($A136,EntryList!$A$3:$N$291,2,FALSE),"")</f>
        <v>Nicholas Thompson</v>
      </c>
      <c r="E136" s="146" t="str">
        <f>IFERROR(VLOOKUP(C136,SeriesPoints!$A$2:$B$51,2,FALSE),"")</f>
        <v/>
      </c>
      <c r="F136" s="150" t="str">
        <f>IFERROR(VLOOKUP($A136,EntryList!$A$3:$V$291,22,FALSE),"")</f>
        <v>-</v>
      </c>
      <c r="G136" s="148" t="str">
        <f>IFERROR(VLOOKUP($A136,EntryList!$A$3:$N$291,6,FALSE),"")</f>
        <v>M</v>
      </c>
      <c r="H136" s="145" t="str">
        <f>IFERROR(VLOOKUP($A136,EntryList!$A$3:$N$291,7,FALSE),"")</f>
        <v>Master Men</v>
      </c>
      <c r="I136" s="56">
        <f t="shared" si="13"/>
        <v>9</v>
      </c>
      <c r="J136" s="57">
        <f>IFERROR(VLOOKUP($A136,SortedDownload!$A$3:$BB$219,31,FALSE)/86400000,"")</f>
        <v>0.38121984953703703</v>
      </c>
      <c r="K136" s="57">
        <f>IFERROR(IF(VLOOKUP($A136,SortedDownload!$A$3:$BB$219,32,FALSE)=0,"-",VLOOKUP($A136,SortedDownload!$A$3:$BB$219,32,FALSE)/86400000),"-")</f>
        <v>0.38558780092592593</v>
      </c>
      <c r="L136" s="57">
        <f>IFERROR(IF(VLOOKUP($A136,SortedDownload!$A$3:$BB$219,33,FALSE)=0,"-",VLOOKUP($A136,SortedDownload!$A$3:$BB$219,33,FALSE)/86400000),"-")</f>
        <v>0.43526124999999999</v>
      </c>
      <c r="M136" s="57">
        <f>IFERROR(IF(VLOOKUP($A136,SortedDownload!$A$3:$BB$219,34,FALSE)=0,"-",VLOOKUP($A136,SortedDownload!$A$3:$BB$219,34,FALSE)/86400000),"-")</f>
        <v>0.43865583333333336</v>
      </c>
      <c r="N136" s="57">
        <f>IFERROR(IF(VLOOKUP($A136,SortedDownload!$A$3:$BB$219,35,FALSE)=0,"-",VLOOKUP($A136,SortedDownload!$A$3:$BB$219,35,FALSE)/86400000),"-")</f>
        <v>0.4787504398148148</v>
      </c>
      <c r="O136" s="57">
        <f>IFERROR(IF(VLOOKUP($A136,SortedDownload!$A$3:$BB$219,36,FALSE)=0,"-",VLOOKUP($A136,SortedDownload!$A$3:$BB$219,36,FALSE)/86400000),"-")</f>
        <v>0.48093604166666665</v>
      </c>
      <c r="P136" s="57">
        <f>IFERROR(IF(VLOOKUP($A136,SortedDownload!$A$3:$BB$219,37,FALSE)=0,"-",VLOOKUP($A136,SortedDownload!$A$3:$BB$219,37,FALSE)/86400000),"-")</f>
        <v>0.5335226851851852</v>
      </c>
      <c r="Q136" s="57">
        <f>IFERROR(IF(VLOOKUP($A136,SortedDownload!$A$3:$BB$219,38,FALSE)=0,"-",VLOOKUP($A136,SortedDownload!$A$3:$BB$219,38,FALSE)/86400000),"-")</f>
        <v>0.53794494212962962</v>
      </c>
      <c r="R136" s="57">
        <f>IFERROR(IF(VLOOKUP($A136,SortedDownload!$A$3:$BB$219,39,FALSE)=0,"-",VLOOKUP($A136,SortedDownload!$A$3:$BB$219,39,FALSE)/86400000),"-")</f>
        <v>0.56775731481481484</v>
      </c>
      <c r="S136" s="57">
        <f>IFERROR(IF(VLOOKUP($A136,SortedDownload!$A$3:$BB$219,40,FALSE)=0,"-",VLOOKUP($A136,SortedDownload!$A$3:$BB$219,40,FALSE)/86400000),"-")</f>
        <v>0.57248748842592589</v>
      </c>
      <c r="T136" s="57" t="str">
        <f>IFERROR(IF(VLOOKUP($A136,SortedDownload!$A$3:$BB$219,41,FALSE)=0,"-",VLOOKUP($A136,SortedDownload!$A$3:$BB$219,41,FALSE)/86400000),"-")</f>
        <v>-</v>
      </c>
      <c r="U136" s="57" t="str">
        <f>IFERROR(IF(VLOOKUP($A136,SortedDownload!$A$3:$BB$219,42,FALSE)=0,"-",VLOOKUP($A136,SortedDownload!$A$3:$BB$219,42,FALSE)/86400000),"-")</f>
        <v>-</v>
      </c>
      <c r="V136" s="57" t="str">
        <f>IFERROR(IF(VLOOKUP($A136,SortedDownload!$A$3:$BB$219,43,FALSE)=0,"-",VLOOKUP($A136,SortedDownload!$A$3:$BB$219,43,FALSE)/86400000),"-")</f>
        <v>-</v>
      </c>
      <c r="W136" s="57" t="str">
        <f>IFERROR(IF(VLOOKUP($A136,SortedDownload!$A$3:$BB$219,44,FALSE)=0,"-",VLOOKUP($A136,SortedDownload!$A$3:$BB$219,44,FALSE)/86400000),"-")</f>
        <v>-</v>
      </c>
      <c r="X136" s="57" t="str">
        <f>IFERROR(IF(VLOOKUP($A136,SortedDownload!$A$3:$BB$219,45,FALSE)=0,"-",VLOOKUP($A136,SortedDownload!$A$3:$BB$219,45,FALSE)/86400000),"-")</f>
        <v>-</v>
      </c>
      <c r="Y136" s="58">
        <f>IFERROR(VLOOKUP($A136,SortedDownload!$A$3:$BB$219,46,FALSE)/86400000,"")</f>
        <v>0</v>
      </c>
      <c r="Z136" s="58">
        <f>IFERROR(Table932[[#This Row],[End Time]]-Table932[[#This Row],[Start Time]],"")</f>
        <v>-0.38121984953703703</v>
      </c>
      <c r="AA136" s="58"/>
      <c r="AB136" s="170" t="str">
        <f t="shared" si="11"/>
        <v>15:12</v>
      </c>
      <c r="AC136" s="170" t="str">
        <f t="shared" si="14"/>
        <v>37:43</v>
      </c>
    </row>
    <row r="137" spans="1:29">
      <c r="A137" s="53">
        <f>IF(SortedDownload!A130 &lt; 1,"",SortedDownload!A130)</f>
        <v>100</v>
      </c>
      <c r="B137" s="54">
        <f t="shared" si="12"/>
        <v>132</v>
      </c>
      <c r="C137" s="146" t="str">
        <f>IFERROR(VLOOKUP($A137,CategoryResults!$A$3:$X$252,3,FALSE),"")</f>
        <v/>
      </c>
      <c r="D137" s="149" t="str">
        <f>IFERROR(VLOOKUP($A137,EntryList!$A$3:$N$291,2,FALSE),"")</f>
        <v>Jan Cilliers</v>
      </c>
      <c r="E137" s="146" t="str">
        <f>IFERROR(VLOOKUP(C137,SeriesPoints!$A$2:$B$51,2,FALSE),"")</f>
        <v/>
      </c>
      <c r="F137" s="150" t="str">
        <f>IFERROR(VLOOKUP($A137,EntryList!$A$3:$V$291,22,FALSE),"")</f>
        <v>-</v>
      </c>
      <c r="G137" s="148" t="str">
        <f>IFERROR(VLOOKUP($A137,EntryList!$A$3:$N$291,6,FALSE),"")</f>
        <v>M</v>
      </c>
      <c r="H137" s="145" t="str">
        <f>IFERROR(VLOOKUP($A137,EntryList!$A$3:$N$291,7,FALSE),"")</f>
        <v>Youth Men</v>
      </c>
      <c r="I137" s="56">
        <f t="shared" si="13"/>
        <v>9</v>
      </c>
      <c r="J137" s="57">
        <f>IFERROR(VLOOKUP($A137,SortedDownload!$A$3:$BB$219,31,FALSE)/86400000,"")</f>
        <v>0.43052307870370371</v>
      </c>
      <c r="K137" s="57">
        <f>IFERROR(IF(VLOOKUP($A137,SortedDownload!$A$3:$BB$219,32,FALSE)=0,"-",VLOOKUP($A137,SortedDownload!$A$3:$BB$219,32,FALSE)/86400000),"-")</f>
        <v>0.43495479166666667</v>
      </c>
      <c r="L137" s="57">
        <f>IFERROR(IF(VLOOKUP($A137,SortedDownload!$A$3:$BB$219,33,FALSE)=0,"-",VLOOKUP($A137,SortedDownload!$A$3:$BB$219,33,FALSE)/86400000),"-")</f>
        <v>0.47162134259259259</v>
      </c>
      <c r="M137" s="57">
        <f>IFERROR(IF(VLOOKUP($A137,SortedDownload!$A$3:$BB$219,34,FALSE)=0,"-",VLOOKUP($A137,SortedDownload!$A$3:$BB$219,34,FALSE)/86400000),"-")</f>
        <v>0.47538401620370369</v>
      </c>
      <c r="N137" s="57">
        <f>IFERROR(IF(VLOOKUP($A137,SortedDownload!$A$3:$BB$219,35,FALSE)=0,"-",VLOOKUP($A137,SortedDownload!$A$3:$BB$219,35,FALSE)/86400000),"-")</f>
        <v>0.37710079861111112</v>
      </c>
      <c r="O137" s="57">
        <f>IFERROR(IF(VLOOKUP($A137,SortedDownload!$A$3:$BB$219,36,FALSE)=0,"-",VLOOKUP($A137,SortedDownload!$A$3:$BB$219,36,FALSE)/86400000),"-")</f>
        <v>0.37917761574074071</v>
      </c>
      <c r="P137" s="57">
        <f>IFERROR(IF(VLOOKUP($A137,SortedDownload!$A$3:$BB$219,37,FALSE)=0,"-",VLOOKUP($A137,SortedDownload!$A$3:$BB$219,37,FALSE)/86400000),"-")</f>
        <v>0.52334307870370367</v>
      </c>
      <c r="Q137" s="57">
        <f>IFERROR(IF(VLOOKUP($A137,SortedDownload!$A$3:$BB$219,38,FALSE)=0,"-",VLOOKUP($A137,SortedDownload!$A$3:$BB$219,38,FALSE)/86400000),"-")</f>
        <v>0.52771574074074079</v>
      </c>
      <c r="R137" s="57">
        <f>IFERROR(IF(VLOOKUP($A137,SortedDownload!$A$3:$BB$219,39,FALSE)=0,"-",VLOOKUP($A137,SortedDownload!$A$3:$BB$219,39,FALSE)/86400000),"-")</f>
        <v>0.56346194444444442</v>
      </c>
      <c r="S137" s="57">
        <f>IFERROR(IF(VLOOKUP($A137,SortedDownload!$A$3:$BB$219,40,FALSE)=0,"-",VLOOKUP($A137,SortedDownload!$A$3:$BB$219,40,FALSE)/86400000),"-")</f>
        <v>0.56859975694444442</v>
      </c>
      <c r="T137" s="57" t="str">
        <f>IFERROR(IF(VLOOKUP($A137,SortedDownload!$A$3:$BB$219,41,FALSE)=0,"-",VLOOKUP($A137,SortedDownload!$A$3:$BB$219,41,FALSE)/86400000),"-")</f>
        <v>-</v>
      </c>
      <c r="U137" s="57" t="str">
        <f>IFERROR(IF(VLOOKUP($A137,SortedDownload!$A$3:$BB$219,42,FALSE)=0,"-",VLOOKUP($A137,SortedDownload!$A$3:$BB$219,42,FALSE)/86400000),"-")</f>
        <v>-</v>
      </c>
      <c r="V137" s="57" t="str">
        <f>IFERROR(IF(VLOOKUP($A137,SortedDownload!$A$3:$BB$219,43,FALSE)=0,"-",VLOOKUP($A137,SortedDownload!$A$3:$BB$219,43,FALSE)/86400000),"-")</f>
        <v>-</v>
      </c>
      <c r="W137" s="57" t="str">
        <f>IFERROR(IF(VLOOKUP($A137,SortedDownload!$A$3:$BB$219,44,FALSE)=0,"-",VLOOKUP($A137,SortedDownload!$A$3:$BB$219,44,FALSE)/86400000),"-")</f>
        <v>-</v>
      </c>
      <c r="X137" s="57" t="str">
        <f>IFERROR(IF(VLOOKUP($A137,SortedDownload!$A$3:$BB$219,45,FALSE)=0,"-",VLOOKUP($A137,SortedDownload!$A$3:$BB$219,45,FALSE)/86400000),"-")</f>
        <v>-</v>
      </c>
      <c r="Y137" s="58">
        <f>IFERROR(VLOOKUP($A137,SortedDownload!$A$3:$BB$219,46,FALSE)/86400000,"")</f>
        <v>0</v>
      </c>
      <c r="Z137" s="58">
        <f>IFERROR(Table932[[#This Row],[End Time]]-Table932[[#This Row],[Start Time]],"")</f>
        <v>-0.43052307870370371</v>
      </c>
      <c r="AA137" s="58"/>
      <c r="AB137" s="170" t="str">
        <f t="shared" si="11"/>
        <v>N/A</v>
      </c>
      <c r="AC137" s="170" t="str">
        <f t="shared" si="14"/>
        <v>N/A</v>
      </c>
    </row>
    <row r="138" spans="1:29">
      <c r="A138" s="53">
        <f>IF(SortedDownload!A131 &lt; 1,"",SortedDownload!A131)</f>
        <v>234</v>
      </c>
      <c r="B138" s="54">
        <f t="shared" si="12"/>
        <v>133</v>
      </c>
      <c r="C138" s="146" t="str">
        <f>IFERROR(VLOOKUP($A138,CategoryResults!$A$3:$X$252,3,FALSE),"")</f>
        <v/>
      </c>
      <c r="D138" s="149" t="str">
        <f>IFERROR(VLOOKUP($A138,EntryList!$A$3:$N$291,2,FALSE),"")</f>
        <v>Devon Coombe</v>
      </c>
      <c r="E138" s="146" t="str">
        <f>IFERROR(VLOOKUP(C138,SeriesPoints!$A$2:$B$51,2,FALSE),"")</f>
        <v/>
      </c>
      <c r="F138" s="150" t="str">
        <f>IFERROR(VLOOKUP($A138,EntryList!$A$3:$V$291,22,FALSE),"")</f>
        <v>-</v>
      </c>
      <c r="G138" s="148" t="str">
        <f>IFERROR(VLOOKUP($A138,EntryList!$A$3:$N$291,6,FALSE),"")</f>
        <v>M</v>
      </c>
      <c r="H138" s="145" t="str">
        <f>IFERROR(VLOOKUP($A138,EntryList!$A$3:$N$291,7,FALSE),"")</f>
        <v>Elite Men</v>
      </c>
      <c r="I138" s="56">
        <f t="shared" si="13"/>
        <v>9</v>
      </c>
      <c r="J138" s="57">
        <f>IFERROR(VLOOKUP($A138,SortedDownload!$A$3:$BB$219,31,FALSE)/86400000,"")</f>
        <v>0.44064878472222224</v>
      </c>
      <c r="K138" s="57">
        <f>IFERROR(IF(VLOOKUP($A138,SortedDownload!$A$3:$BB$219,32,FALSE)=0,"-",VLOOKUP($A138,SortedDownload!$A$3:$BB$219,32,FALSE)/86400000),"-")</f>
        <v>0.44875460648148147</v>
      </c>
      <c r="L138" s="57">
        <f>IFERROR(IF(VLOOKUP($A138,SortedDownload!$A$3:$BB$219,33,FALSE)=0,"-",VLOOKUP($A138,SortedDownload!$A$3:$BB$219,33,FALSE)/86400000),"-")</f>
        <v>0.3985478009259259</v>
      </c>
      <c r="M138" s="57">
        <f>IFERROR(IF(VLOOKUP($A138,SortedDownload!$A$3:$BB$219,34,FALSE)=0,"-",VLOOKUP($A138,SortedDownload!$A$3:$BB$219,34,FALSE)/86400000),"-")</f>
        <v>0.4018655439814815</v>
      </c>
      <c r="N138" s="57">
        <f>IFERROR(IF(VLOOKUP($A138,SortedDownload!$A$3:$BB$219,35,FALSE)=0,"-",VLOOKUP($A138,SortedDownload!$A$3:$BB$219,35,FALSE)/86400000),"-")</f>
        <v>0.48211375000000001</v>
      </c>
      <c r="O138" s="57">
        <f>IFERROR(IF(VLOOKUP($A138,SortedDownload!$A$3:$BB$219,36,FALSE)=0,"-",VLOOKUP($A138,SortedDownload!$A$3:$BB$219,36,FALSE)/86400000),"-")</f>
        <v>0.48438298611111114</v>
      </c>
      <c r="P138" s="57">
        <f>IFERROR(IF(VLOOKUP($A138,SortedDownload!$A$3:$BB$219,37,FALSE)=0,"-",VLOOKUP($A138,SortedDownload!$A$3:$BB$219,37,FALSE)/86400000),"-")</f>
        <v>0.53811049768518515</v>
      </c>
      <c r="Q138" s="57">
        <f>IFERROR(IF(VLOOKUP($A138,SortedDownload!$A$3:$BB$219,38,FALSE)=0,"-",VLOOKUP($A138,SortedDownload!$A$3:$BB$219,38,FALSE)/86400000),"-")</f>
        <v>0.54228918981481478</v>
      </c>
      <c r="R138" s="57">
        <f>IFERROR(IF(VLOOKUP($A138,SortedDownload!$A$3:$BB$219,39,FALSE)=0,"-",VLOOKUP($A138,SortedDownload!$A$3:$BB$219,39,FALSE)/86400000),"-")</f>
        <v>0.56806106481481478</v>
      </c>
      <c r="S138" s="57">
        <f>IFERROR(IF(VLOOKUP($A138,SortedDownload!$A$3:$BB$219,40,FALSE)=0,"-",VLOOKUP($A138,SortedDownload!$A$3:$BB$219,40,FALSE)/86400000),"-")</f>
        <v>0.57251568287037036</v>
      </c>
      <c r="T138" s="57" t="str">
        <f>IFERROR(IF(VLOOKUP($A138,SortedDownload!$A$3:$BB$219,41,FALSE)=0,"-",VLOOKUP($A138,SortedDownload!$A$3:$BB$219,41,FALSE)/86400000),"-")</f>
        <v>-</v>
      </c>
      <c r="U138" s="57" t="str">
        <f>IFERROR(IF(VLOOKUP($A138,SortedDownload!$A$3:$BB$219,42,FALSE)=0,"-",VLOOKUP($A138,SortedDownload!$A$3:$BB$219,42,FALSE)/86400000),"-")</f>
        <v>-</v>
      </c>
      <c r="V138" s="57" t="str">
        <f>IFERROR(IF(VLOOKUP($A138,SortedDownload!$A$3:$BB$219,43,FALSE)=0,"-",VLOOKUP($A138,SortedDownload!$A$3:$BB$219,43,FALSE)/86400000),"-")</f>
        <v>-</v>
      </c>
      <c r="W138" s="57" t="str">
        <f>IFERROR(IF(VLOOKUP($A138,SortedDownload!$A$3:$BB$219,44,FALSE)=0,"-",VLOOKUP($A138,SortedDownload!$A$3:$BB$219,44,FALSE)/86400000),"-")</f>
        <v>-</v>
      </c>
      <c r="X138" s="57" t="str">
        <f>IFERROR(IF(VLOOKUP($A138,SortedDownload!$A$3:$BB$219,45,FALSE)=0,"-",VLOOKUP($A138,SortedDownload!$A$3:$BB$219,45,FALSE)/86400000),"-")</f>
        <v>-</v>
      </c>
      <c r="Y138" s="58">
        <f>IFERROR(VLOOKUP($A138,SortedDownload!$A$3:$BB$219,46,FALSE)/86400000,"")</f>
        <v>0</v>
      </c>
      <c r="Z138" s="58">
        <f>IFERROR(Table932[[#This Row],[End Time]]-Table932[[#This Row],[Start Time]],"")</f>
        <v>-0.44064878472222224</v>
      </c>
      <c r="AA138" s="58"/>
      <c r="AB138" s="170" t="str">
        <f t="shared" si="11"/>
        <v>N/A</v>
      </c>
      <c r="AC138" s="170" t="str">
        <f t="shared" si="14"/>
        <v>N/A</v>
      </c>
    </row>
    <row r="139" spans="1:29">
      <c r="A139" s="53">
        <f>IF(SortedDownload!A132 &lt; 1,"",SortedDownload!A132)</f>
        <v>262</v>
      </c>
      <c r="B139" s="54">
        <f t="shared" si="12"/>
        <v>134</v>
      </c>
      <c r="C139" s="146" t="str">
        <f>IFERROR(VLOOKUP($A139,CategoryResults!$A$3:$X$252,3,FALSE),"")</f>
        <v/>
      </c>
      <c r="D139" s="149" t="str">
        <f>IFERROR(VLOOKUP($A139,EntryList!$A$3:$N$291,2,FALSE),"")</f>
        <v>Julian Peter Oosthuizen</v>
      </c>
      <c r="E139" s="146" t="str">
        <f>IFERROR(VLOOKUP(C139,SeriesPoints!$A$2:$B$51,2,FALSE),"")</f>
        <v/>
      </c>
      <c r="F139" s="150" t="str">
        <f>IFERROR(VLOOKUP($A139,EntryList!$A$3:$V$291,22,FALSE),"")</f>
        <v>-</v>
      </c>
      <c r="G139" s="148" t="str">
        <f>IFERROR(VLOOKUP($A139,EntryList!$A$3:$N$291,6,FALSE),"")</f>
        <v>M</v>
      </c>
      <c r="H139" s="145" t="str">
        <f>IFERROR(VLOOKUP($A139,EntryList!$A$3:$N$291,7,FALSE),"")</f>
        <v>Master Men</v>
      </c>
      <c r="I139" s="56">
        <f t="shared" si="13"/>
        <v>9</v>
      </c>
      <c r="J139" s="57">
        <f>IFERROR(VLOOKUP($A139,SortedDownload!$A$3:$BB$219,31,FALSE)/86400000,"")</f>
        <v>0.42773611111111109</v>
      </c>
      <c r="K139" s="57">
        <f>IFERROR(IF(VLOOKUP($A139,SortedDownload!$A$3:$BB$219,32,FALSE)=0,"-",VLOOKUP($A139,SortedDownload!$A$3:$BB$219,32,FALSE)/86400000),"-")</f>
        <v>0.43375277777777776</v>
      </c>
      <c r="L139" s="57">
        <f>IFERROR(IF(VLOOKUP($A139,SortedDownload!$A$3:$BB$219,33,FALSE)=0,"-",VLOOKUP($A139,SortedDownload!$A$3:$BB$219,33,FALSE)/86400000),"-")</f>
        <v>0.37904653935185184</v>
      </c>
      <c r="M139" s="57">
        <f>IFERROR(IF(VLOOKUP($A139,SortedDownload!$A$3:$BB$219,34,FALSE)=0,"-",VLOOKUP($A139,SortedDownload!$A$3:$BB$219,34,FALSE)/86400000),"-")</f>
        <v>0.38290997685185185</v>
      </c>
      <c r="N139" s="57">
        <f>IFERROR(IF(VLOOKUP($A139,SortedDownload!$A$3:$BB$219,35,FALSE)=0,"-",VLOOKUP($A139,SortedDownload!$A$3:$BB$219,35,FALSE)/86400000),"-")</f>
        <v>0.47178439814814815</v>
      </c>
      <c r="O139" s="57">
        <f>IFERROR(IF(VLOOKUP($A139,SortedDownload!$A$3:$BB$219,36,FALSE)=0,"-",VLOOKUP($A139,SortedDownload!$A$3:$BB$219,36,FALSE)/86400000),"-")</f>
        <v>0.47420879629629631</v>
      </c>
      <c r="P139" s="57">
        <f>IFERROR(IF(VLOOKUP($A139,SortedDownload!$A$3:$BB$219,37,FALSE)=0,"-",VLOOKUP($A139,SortedDownload!$A$3:$BB$219,37,FALSE)/86400000),"-")</f>
        <v>0.53204842592592594</v>
      </c>
      <c r="Q139" s="57">
        <f>IFERROR(IF(VLOOKUP($A139,SortedDownload!$A$3:$BB$219,38,FALSE)=0,"-",VLOOKUP($A139,SortedDownload!$A$3:$BB$219,38,FALSE)/86400000),"-")</f>
        <v>0.53761313657407406</v>
      </c>
      <c r="R139" s="57">
        <f>IFERROR(IF(VLOOKUP($A139,SortedDownload!$A$3:$BB$219,39,FALSE)=0,"-",VLOOKUP($A139,SortedDownload!$A$3:$BB$219,39,FALSE)/86400000),"-")</f>
        <v>0.56592662037037034</v>
      </c>
      <c r="S139" s="57">
        <f>IFERROR(IF(VLOOKUP($A139,SortedDownload!$A$3:$BB$219,40,FALSE)=0,"-",VLOOKUP($A139,SortedDownload!$A$3:$BB$219,40,FALSE)/86400000),"-")</f>
        <v>0.57137875000000005</v>
      </c>
      <c r="T139" s="57" t="str">
        <f>IFERROR(IF(VLOOKUP($A139,SortedDownload!$A$3:$BB$219,41,FALSE)=0,"-",VLOOKUP($A139,SortedDownload!$A$3:$BB$219,41,FALSE)/86400000),"-")</f>
        <v>-</v>
      </c>
      <c r="U139" s="57" t="str">
        <f>IFERROR(IF(VLOOKUP($A139,SortedDownload!$A$3:$BB$219,42,FALSE)=0,"-",VLOOKUP($A139,SortedDownload!$A$3:$BB$219,42,FALSE)/86400000),"-")</f>
        <v>-</v>
      </c>
      <c r="V139" s="57" t="str">
        <f>IFERROR(IF(VLOOKUP($A139,SortedDownload!$A$3:$BB$219,43,FALSE)=0,"-",VLOOKUP($A139,SortedDownload!$A$3:$BB$219,43,FALSE)/86400000),"-")</f>
        <v>-</v>
      </c>
      <c r="W139" s="57" t="str">
        <f>IFERROR(IF(VLOOKUP($A139,SortedDownload!$A$3:$BB$219,44,FALSE)=0,"-",VLOOKUP($A139,SortedDownload!$A$3:$BB$219,44,FALSE)/86400000),"-")</f>
        <v>-</v>
      </c>
      <c r="X139" s="57" t="str">
        <f>IFERROR(IF(VLOOKUP($A139,SortedDownload!$A$3:$BB$219,45,FALSE)=0,"-",VLOOKUP($A139,SortedDownload!$A$3:$BB$219,45,FALSE)/86400000),"-")</f>
        <v>-</v>
      </c>
      <c r="Y139" s="58">
        <f>IFERROR(VLOOKUP($A139,SortedDownload!$A$3:$BB$219,46,FALSE)/86400000,"")</f>
        <v>0</v>
      </c>
      <c r="Z139" s="58">
        <f>IFERROR(Table932[[#This Row],[End Time]]-Table932[[#This Row],[Start Time]],"")</f>
        <v>-0.42773611111111109</v>
      </c>
      <c r="AA139" s="58"/>
      <c r="AB139" s="170" t="str">
        <f t="shared" si="11"/>
        <v>18:36</v>
      </c>
      <c r="AC139" s="170" t="str">
        <f t="shared" si="14"/>
        <v>N/A</v>
      </c>
    </row>
    <row r="140" spans="1:29">
      <c r="A140" s="53">
        <f>IF(SortedDownload!A133 &lt; 1,"",SortedDownload!A133)</f>
        <v>77</v>
      </c>
      <c r="B140" s="54">
        <f t="shared" si="12"/>
        <v>135</v>
      </c>
      <c r="C140" s="146" t="str">
        <f>IFERROR(VLOOKUP($A140,CategoryResults!$A$3:$X$252,3,FALSE),"")</f>
        <v/>
      </c>
      <c r="D140" s="149" t="str">
        <f>IFERROR(VLOOKUP($A140,EntryList!$A$3:$N$291,2,FALSE),"")</f>
        <v>Pieter Berner</v>
      </c>
      <c r="E140" s="146" t="str">
        <f>IFERROR(VLOOKUP(C140,SeriesPoints!$A$2:$B$51,2,FALSE),"")</f>
        <v/>
      </c>
      <c r="F140" s="150" t="str">
        <f>IFERROR(VLOOKUP($A140,EntryList!$A$3:$V$291,22,FALSE),"")</f>
        <v>-</v>
      </c>
      <c r="G140" s="148" t="str">
        <f>IFERROR(VLOOKUP($A140,EntryList!$A$3:$N$291,6,FALSE),"")</f>
        <v>M</v>
      </c>
      <c r="H140" s="145" t="str">
        <f>IFERROR(VLOOKUP($A140,EntryList!$A$3:$N$291,7,FALSE),"")</f>
        <v>Master Men</v>
      </c>
      <c r="I140" s="56">
        <f t="shared" si="13"/>
        <v>7</v>
      </c>
      <c r="J140" s="57">
        <f>IFERROR(VLOOKUP($A140,SortedDownload!$A$3:$BB$219,31,FALSE)/86400000,"")</f>
        <v>0.419354375</v>
      </c>
      <c r="K140" s="57">
        <f>IFERROR(IF(VLOOKUP($A140,SortedDownload!$A$3:$BB$219,32,FALSE)=0,"-",VLOOKUP($A140,SortedDownload!$A$3:$BB$219,32,FALSE)/86400000),"-")</f>
        <v>0.42302416666666665</v>
      </c>
      <c r="L140" s="57">
        <f>IFERROR(IF(VLOOKUP($A140,SortedDownload!$A$3:$BB$219,33,FALSE)=0,"-",VLOOKUP($A140,SortedDownload!$A$3:$BB$219,33,FALSE)/86400000),"-")</f>
        <v>0.3738565509259259</v>
      </c>
      <c r="M140" s="57">
        <f>IFERROR(IF(VLOOKUP($A140,SortedDownload!$A$3:$BB$219,34,FALSE)=0,"-",VLOOKUP($A140,SortedDownload!$A$3:$BB$219,34,FALSE)/86400000),"-")</f>
        <v>0.37702371527777778</v>
      </c>
      <c r="N140" s="57">
        <f>IFERROR(IF(VLOOKUP($A140,SortedDownload!$A$3:$BB$219,35,FALSE)=0,"-",VLOOKUP($A140,SortedDownload!$A$3:$BB$219,35,FALSE)/86400000),"-")</f>
        <v>0.46013594907407407</v>
      </c>
      <c r="O140" s="57">
        <f>IFERROR(IF(VLOOKUP($A140,SortedDownload!$A$3:$BB$219,36,FALSE)=0,"-",VLOOKUP($A140,SortedDownload!$A$3:$BB$219,36,FALSE)/86400000),"-")</f>
        <v>0.46189891203703703</v>
      </c>
      <c r="P140" s="57" t="str">
        <f>IFERROR(IF(VLOOKUP($A140,SortedDownload!$A$3:$BB$219,37,FALSE)=0,"-",VLOOKUP($A140,SortedDownload!$A$3:$BB$219,37,FALSE)/86400000),"-")</f>
        <v>-</v>
      </c>
      <c r="Q140" s="57" t="str">
        <f>IFERROR(IF(VLOOKUP($A140,SortedDownload!$A$3:$BB$219,38,FALSE)=0,"-",VLOOKUP($A140,SortedDownload!$A$3:$BB$219,38,FALSE)/86400000),"-")</f>
        <v>-</v>
      </c>
      <c r="R140" s="57">
        <f>IFERROR(IF(VLOOKUP($A140,SortedDownload!$A$3:$BB$219,39,FALSE)=0,"-",VLOOKUP($A140,SortedDownload!$A$3:$BB$219,39,FALSE)/86400000),"-")</f>
        <v>0.50457481481481481</v>
      </c>
      <c r="S140" s="57">
        <f>IFERROR(IF(VLOOKUP($A140,SortedDownload!$A$3:$BB$219,40,FALSE)=0,"-",VLOOKUP($A140,SortedDownload!$A$3:$BB$219,40,FALSE)/86400000),"-")</f>
        <v>0.50868202546296293</v>
      </c>
      <c r="T140" s="57" t="str">
        <f>IFERROR(IF(VLOOKUP($A140,SortedDownload!$A$3:$BB$219,41,FALSE)=0,"-",VLOOKUP($A140,SortedDownload!$A$3:$BB$219,41,FALSE)/86400000),"-")</f>
        <v>-</v>
      </c>
      <c r="U140" s="57" t="str">
        <f>IFERROR(IF(VLOOKUP($A140,SortedDownload!$A$3:$BB$219,42,FALSE)=0,"-",VLOOKUP($A140,SortedDownload!$A$3:$BB$219,42,FALSE)/86400000),"-")</f>
        <v>-</v>
      </c>
      <c r="V140" s="57" t="str">
        <f>IFERROR(IF(VLOOKUP($A140,SortedDownload!$A$3:$BB$219,43,FALSE)=0,"-",VLOOKUP($A140,SortedDownload!$A$3:$BB$219,43,FALSE)/86400000),"-")</f>
        <v>-</v>
      </c>
      <c r="W140" s="57" t="str">
        <f>IFERROR(IF(VLOOKUP($A140,SortedDownload!$A$3:$BB$219,44,FALSE)=0,"-",VLOOKUP($A140,SortedDownload!$A$3:$BB$219,44,FALSE)/86400000),"-")</f>
        <v>-</v>
      </c>
      <c r="X140" s="57" t="str">
        <f>IFERROR(IF(VLOOKUP($A140,SortedDownload!$A$3:$BB$219,45,FALSE)=0,"-",VLOOKUP($A140,SortedDownload!$A$3:$BB$219,45,FALSE)/86400000),"-")</f>
        <v>-</v>
      </c>
      <c r="Y140" s="58">
        <f>IFERROR(VLOOKUP($A140,SortedDownload!$A$3:$BB$219,46,FALSE)/86400000,"")</f>
        <v>0</v>
      </c>
      <c r="Z140" s="58">
        <f>IFERROR(Table932[[#This Row],[End Time]]-Table932[[#This Row],[Start Time]],"")</f>
        <v>-0.419354375</v>
      </c>
      <c r="AA140" s="58"/>
      <c r="AB140" s="170" t="str">
        <f t="shared" ref="AB140:AB153" si="15">IFERROR(TEXT(($Z140-$Z139),"mm:ss"),"N/A")</f>
        <v>12:04</v>
      </c>
      <c r="AC140" s="170" t="str">
        <f t="shared" si="14"/>
        <v>N/A</v>
      </c>
    </row>
    <row r="141" spans="1:29">
      <c r="A141" s="53">
        <f>IF(SortedDownload!A134 &lt; 1,"",SortedDownload!A134)</f>
        <v>157</v>
      </c>
      <c r="B141" s="54">
        <f t="shared" si="12"/>
        <v>136</v>
      </c>
      <c r="C141" s="146" t="str">
        <f>IFERROR(VLOOKUP($A141,CategoryResults!$A$3:$X$252,3,FALSE),"")</f>
        <v/>
      </c>
      <c r="D141" s="149" t="str">
        <f>IFERROR(VLOOKUP($A141,EntryList!$A$3:$N$291,2,FALSE),"")</f>
        <v>Xander De Bruyn</v>
      </c>
      <c r="E141" s="146" t="str">
        <f>IFERROR(VLOOKUP(C141,SeriesPoints!$A$2:$B$51,2,FALSE),"")</f>
        <v/>
      </c>
      <c r="F141" s="150" t="str">
        <f>IFERROR(VLOOKUP($A141,EntryList!$A$3:$V$291,22,FALSE),"")</f>
        <v>-</v>
      </c>
      <c r="G141" s="148" t="str">
        <f>IFERROR(VLOOKUP($A141,EntryList!$A$3:$N$291,6,FALSE),"")</f>
        <v>M</v>
      </c>
      <c r="H141" s="145" t="str">
        <f>IFERROR(VLOOKUP($A141,EntryList!$A$3:$N$291,7,FALSE),"")</f>
        <v>Elite Men</v>
      </c>
      <c r="I141" s="56">
        <f t="shared" si="13"/>
        <v>8</v>
      </c>
      <c r="J141" s="57">
        <f>IFERROR(VLOOKUP($A141,SortedDownload!$A$3:$BB$219,31,FALSE)/86400000,"")</f>
        <v>0</v>
      </c>
      <c r="K141" s="57" t="str">
        <f>IFERROR(IF(VLOOKUP($A141,SortedDownload!$A$3:$BB$219,32,FALSE)=0,"-",VLOOKUP($A141,SortedDownload!$A$3:$BB$219,32,FALSE)/86400000),"-")</f>
        <v>-</v>
      </c>
      <c r="L141" s="57">
        <f>IFERROR(IF(VLOOKUP($A141,SortedDownload!$A$3:$BB$219,33,FALSE)=0,"-",VLOOKUP($A141,SortedDownload!$A$3:$BB$219,33,FALSE)/86400000),"-")</f>
        <v>0.46442800925925926</v>
      </c>
      <c r="M141" s="57">
        <f>IFERROR(IF(VLOOKUP($A141,SortedDownload!$A$3:$BB$219,34,FALSE)=0,"-",VLOOKUP($A141,SortedDownload!$A$3:$BB$219,34,FALSE)/86400000),"-")</f>
        <v>0.46753795138888887</v>
      </c>
      <c r="N141" s="57">
        <f>IFERROR(IF(VLOOKUP($A141,SortedDownload!$A$3:$BB$219,35,FALSE)=0,"-",VLOOKUP($A141,SortedDownload!$A$3:$BB$219,35,FALSE)/86400000),"-")</f>
        <v>0.37851306712962962</v>
      </c>
      <c r="O141" s="57">
        <f>IFERROR(IF(VLOOKUP($A141,SortedDownload!$A$3:$BB$219,36,FALSE)=0,"-",VLOOKUP($A141,SortedDownload!$A$3:$BB$219,36,FALSE)/86400000),"-")</f>
        <v>0.3802961689814815</v>
      </c>
      <c r="P141" s="57">
        <f>IFERROR(IF(VLOOKUP($A141,SortedDownload!$A$3:$BB$219,37,FALSE)=0,"-",VLOOKUP($A141,SortedDownload!$A$3:$BB$219,37,FALSE)/86400000),"-")</f>
        <v>0.51544202546296292</v>
      </c>
      <c r="Q141" s="57">
        <f>IFERROR(IF(VLOOKUP($A141,SortedDownload!$A$3:$BB$219,38,FALSE)=0,"-",VLOOKUP($A141,SortedDownload!$A$3:$BB$219,38,FALSE)/86400000),"-")</f>
        <v>0.51927616898148143</v>
      </c>
      <c r="R141" s="57">
        <f>IFERROR(IF(VLOOKUP($A141,SortedDownload!$A$3:$BB$219,39,FALSE)=0,"-",VLOOKUP($A141,SortedDownload!$A$3:$BB$219,39,FALSE)/86400000),"-")</f>
        <v>0.55991861111111108</v>
      </c>
      <c r="S141" s="57">
        <f>IFERROR(IF(VLOOKUP($A141,SortedDownload!$A$3:$BB$219,40,FALSE)=0,"-",VLOOKUP($A141,SortedDownload!$A$3:$BB$219,40,FALSE)/86400000),"-")</f>
        <v>0.56408612268518521</v>
      </c>
      <c r="T141" s="57" t="str">
        <f>IFERROR(IF(VLOOKUP($A141,SortedDownload!$A$3:$BB$219,41,FALSE)=0,"-",VLOOKUP($A141,SortedDownload!$A$3:$BB$219,41,FALSE)/86400000),"-")</f>
        <v>-</v>
      </c>
      <c r="U141" s="57" t="str">
        <f>IFERROR(IF(VLOOKUP($A141,SortedDownload!$A$3:$BB$219,42,FALSE)=0,"-",VLOOKUP($A141,SortedDownload!$A$3:$BB$219,42,FALSE)/86400000),"-")</f>
        <v>-</v>
      </c>
      <c r="V141" s="57" t="str">
        <f>IFERROR(IF(VLOOKUP($A141,SortedDownload!$A$3:$BB$219,43,FALSE)=0,"-",VLOOKUP($A141,SortedDownload!$A$3:$BB$219,43,FALSE)/86400000),"-")</f>
        <v>-</v>
      </c>
      <c r="W141" s="57" t="str">
        <f>IFERROR(IF(VLOOKUP($A141,SortedDownload!$A$3:$BB$219,44,FALSE)=0,"-",VLOOKUP($A141,SortedDownload!$A$3:$BB$219,44,FALSE)/86400000),"-")</f>
        <v>-</v>
      </c>
      <c r="X141" s="57" t="str">
        <f>IFERROR(IF(VLOOKUP($A141,SortedDownload!$A$3:$BB$219,45,FALSE)=0,"-",VLOOKUP($A141,SortedDownload!$A$3:$BB$219,45,FALSE)/86400000),"-")</f>
        <v>-</v>
      </c>
      <c r="Y141" s="58">
        <f>IFERROR(VLOOKUP($A141,SortedDownload!$A$3:$BB$219,46,FALSE)/86400000,"")</f>
        <v>0</v>
      </c>
      <c r="Z141" s="58">
        <f>IFERROR(Table932[[#This Row],[End Time]]-Table932[[#This Row],[Start Time]],"")</f>
        <v>0</v>
      </c>
      <c r="AA141" s="58"/>
      <c r="AB141" s="170" t="str">
        <f t="shared" si="15"/>
        <v>03:52</v>
      </c>
      <c r="AC141" s="170" t="str">
        <f t="shared" si="14"/>
        <v>N/A</v>
      </c>
    </row>
    <row r="142" spans="1:29">
      <c r="A142" s="53">
        <f>IF(SortedDownload!A135 &lt; 1,"",SortedDownload!A135)</f>
        <v>266</v>
      </c>
      <c r="B142" s="54">
        <f t="shared" si="12"/>
        <v>137</v>
      </c>
      <c r="C142" s="146" t="str">
        <f>IFERROR(VLOOKUP($A142,CategoryResults!$A$3:$X$252,3,FALSE),"")</f>
        <v/>
      </c>
      <c r="D142" s="149" t="str">
        <f>IFERROR(VLOOKUP($A142,EntryList!$A$3:$N$291,2,FALSE),"")</f>
        <v>Philip Van Schalkwyk Snr</v>
      </c>
      <c r="E142" s="146" t="str">
        <f>IFERROR(VLOOKUP(C142,SeriesPoints!$A$2:$B$51,2,FALSE),"")</f>
        <v/>
      </c>
      <c r="F142" s="150" t="str">
        <f>IFERROR(VLOOKUP($A142,EntryList!$A$3:$V$291,22,FALSE),"")</f>
        <v>-</v>
      </c>
      <c r="G142" s="148" t="str">
        <f>IFERROR(VLOOKUP($A142,EntryList!$A$3:$N$291,6,FALSE),"")</f>
        <v>M</v>
      </c>
      <c r="H142" s="145" t="str">
        <f>IFERROR(VLOOKUP($A142,EntryList!$A$3:$N$291,7,FALSE),"")</f>
        <v>Master Men</v>
      </c>
      <c r="I142" s="56">
        <f t="shared" si="13"/>
        <v>8</v>
      </c>
      <c r="J142" s="57">
        <f>IFERROR(VLOOKUP($A142,SortedDownload!$A$3:$BB$219,31,FALSE)/86400000,"")</f>
        <v>0</v>
      </c>
      <c r="K142" s="57" t="str">
        <f>IFERROR(IF(VLOOKUP($A142,SortedDownload!$A$3:$BB$219,32,FALSE)=0,"-",VLOOKUP($A142,SortedDownload!$A$3:$BB$219,32,FALSE)/86400000),"-")</f>
        <v>-</v>
      </c>
      <c r="L142" s="57">
        <f>IFERROR(IF(VLOOKUP($A142,SortedDownload!$A$3:$BB$219,33,FALSE)=0,"-",VLOOKUP($A142,SortedDownload!$A$3:$BB$219,33,FALSE)/86400000),"-")</f>
        <v>0.34765668981481479</v>
      </c>
      <c r="M142" s="57">
        <f>IFERROR(IF(VLOOKUP($A142,SortedDownload!$A$3:$BB$219,34,FALSE)=0,"-",VLOOKUP($A142,SortedDownload!$A$3:$BB$219,34,FALSE)/86400000),"-")</f>
        <v>0.35089185185185184</v>
      </c>
      <c r="N142" s="57">
        <f>IFERROR(IF(VLOOKUP($A142,SortedDownload!$A$3:$BB$219,35,FALSE)=0,"-",VLOOKUP($A142,SortedDownload!$A$3:$BB$219,35,FALSE)/86400000),"-")</f>
        <v>0.41076565972222223</v>
      </c>
      <c r="O142" s="57">
        <f>IFERROR(IF(VLOOKUP($A142,SortedDownload!$A$3:$BB$219,36,FALSE)=0,"-",VLOOKUP($A142,SortedDownload!$A$3:$BB$219,36,FALSE)/86400000),"-")</f>
        <v>0.41272894675925925</v>
      </c>
      <c r="P142" s="57">
        <f>IFERROR(IF(VLOOKUP($A142,SortedDownload!$A$3:$BB$219,37,FALSE)=0,"-",VLOOKUP($A142,SortedDownload!$A$3:$BB$219,37,FALSE)/86400000),"-")</f>
        <v>0.4540708449074074</v>
      </c>
      <c r="Q142" s="57">
        <f>IFERROR(IF(VLOOKUP($A142,SortedDownload!$A$3:$BB$219,38,FALSE)=0,"-",VLOOKUP($A142,SortedDownload!$A$3:$BB$219,38,FALSE)/86400000),"-")</f>
        <v>0.45783744212962962</v>
      </c>
      <c r="R142" s="57">
        <f>IFERROR(IF(VLOOKUP($A142,SortedDownload!$A$3:$BB$219,39,FALSE)=0,"-",VLOOKUP($A142,SortedDownload!$A$3:$BB$219,39,FALSE)/86400000),"-")</f>
        <v>0.50024671296296297</v>
      </c>
      <c r="S142" s="57">
        <f>IFERROR(IF(VLOOKUP($A142,SortedDownload!$A$3:$BB$219,40,FALSE)=0,"-",VLOOKUP($A142,SortedDownload!$A$3:$BB$219,40,FALSE)/86400000),"-")</f>
        <v>0.50447743055555561</v>
      </c>
      <c r="T142" s="57" t="str">
        <f>IFERROR(IF(VLOOKUP($A142,SortedDownload!$A$3:$BB$219,41,FALSE)=0,"-",VLOOKUP($A142,SortedDownload!$A$3:$BB$219,41,FALSE)/86400000),"-")</f>
        <v>-</v>
      </c>
      <c r="U142" s="57" t="str">
        <f>IFERROR(IF(VLOOKUP($A142,SortedDownload!$A$3:$BB$219,42,FALSE)=0,"-",VLOOKUP($A142,SortedDownload!$A$3:$BB$219,42,FALSE)/86400000),"-")</f>
        <v>-</v>
      </c>
      <c r="V142" s="57" t="str">
        <f>IFERROR(IF(VLOOKUP($A142,SortedDownload!$A$3:$BB$219,43,FALSE)=0,"-",VLOOKUP($A142,SortedDownload!$A$3:$BB$219,43,FALSE)/86400000),"-")</f>
        <v>-</v>
      </c>
      <c r="W142" s="57" t="str">
        <f>IFERROR(IF(VLOOKUP($A142,SortedDownload!$A$3:$BB$219,44,FALSE)=0,"-",VLOOKUP($A142,SortedDownload!$A$3:$BB$219,44,FALSE)/86400000),"-")</f>
        <v>-</v>
      </c>
      <c r="X142" s="57" t="str">
        <f>IFERROR(IF(VLOOKUP($A142,SortedDownload!$A$3:$BB$219,45,FALSE)=0,"-",VLOOKUP($A142,SortedDownload!$A$3:$BB$219,45,FALSE)/86400000),"-")</f>
        <v>-</v>
      </c>
      <c r="Y142" s="58">
        <f>IFERROR(VLOOKUP($A142,SortedDownload!$A$3:$BB$219,46,FALSE)/86400000,"")</f>
        <v>0</v>
      </c>
      <c r="Z142" s="58">
        <f>IFERROR(Table932[[#This Row],[End Time]]-Table932[[#This Row],[Start Time]],"")</f>
        <v>0</v>
      </c>
      <c r="AA142" s="58"/>
      <c r="AB142" s="170" t="str">
        <f t="shared" si="15"/>
        <v>00:00</v>
      </c>
      <c r="AC142" s="170" t="str">
        <f t="shared" si="14"/>
        <v>N/A</v>
      </c>
    </row>
    <row r="143" spans="1:29">
      <c r="A143" s="53">
        <f>IF(SortedDownload!A136 &lt; 1,"",SortedDownload!A136)</f>
        <v>230</v>
      </c>
      <c r="B143" s="54">
        <f t="shared" si="12"/>
        <v>138</v>
      </c>
      <c r="C143" s="146" t="str">
        <f>IFERROR(VLOOKUP($A143,CategoryResults!$A$3:$X$252,3,FALSE),"")</f>
        <v/>
      </c>
      <c r="D143" s="149" t="str">
        <f>IFERROR(VLOOKUP($A143,EntryList!$A$3:$N$291,2,FALSE),"")</f>
        <v>Christo Van Eeden</v>
      </c>
      <c r="E143" s="146" t="str">
        <f>IFERROR(VLOOKUP(C143,SeriesPoints!$A$2:$B$51,2,FALSE),"")</f>
        <v/>
      </c>
      <c r="F143" s="150" t="str">
        <f>IFERROR(VLOOKUP($A143,EntryList!$A$3:$V$291,22,FALSE),"")</f>
        <v>-</v>
      </c>
      <c r="G143" s="148" t="str">
        <f>IFERROR(VLOOKUP($A143,EntryList!$A$3:$N$291,6,FALSE),"")</f>
        <v>M</v>
      </c>
      <c r="H143" s="145" t="str">
        <f>IFERROR(VLOOKUP($A143,EntryList!$A$3:$N$291,7,FALSE),"")</f>
        <v>E-Bike M</v>
      </c>
      <c r="I143" s="56">
        <f t="shared" si="13"/>
        <v>8</v>
      </c>
      <c r="J143" s="57">
        <f>IFERROR(VLOOKUP($A143,SortedDownload!$A$3:$BB$219,31,FALSE)/86400000,"")</f>
        <v>0</v>
      </c>
      <c r="K143" s="57" t="str">
        <f>IFERROR(IF(VLOOKUP($A143,SortedDownload!$A$3:$BB$219,32,FALSE)=0,"-",VLOOKUP($A143,SortedDownload!$A$3:$BB$219,32,FALSE)/86400000),"-")</f>
        <v>-</v>
      </c>
      <c r="L143" s="57">
        <f>IFERROR(IF(VLOOKUP($A143,SortedDownload!$A$3:$BB$219,33,FALSE)=0,"-",VLOOKUP($A143,SortedDownload!$A$3:$BB$219,33,FALSE)/86400000),"-")</f>
        <v>0.36702499999999999</v>
      </c>
      <c r="M143" s="57">
        <f>IFERROR(IF(VLOOKUP($A143,SortedDownload!$A$3:$BB$219,34,FALSE)=0,"-",VLOOKUP($A143,SortedDownload!$A$3:$BB$219,34,FALSE)/86400000),"-")</f>
        <v>0.37026288194444446</v>
      </c>
      <c r="N143" s="57">
        <f>IFERROR(IF(VLOOKUP($A143,SortedDownload!$A$3:$BB$219,35,FALSE)=0,"-",VLOOKUP($A143,SortedDownload!$A$3:$BB$219,35,FALSE)/86400000),"-")</f>
        <v>0.39767185185185183</v>
      </c>
      <c r="O143" s="57">
        <f>IFERROR(IF(VLOOKUP($A143,SortedDownload!$A$3:$BB$219,36,FALSE)=0,"-",VLOOKUP($A143,SortedDownload!$A$3:$BB$219,36,FALSE)/86400000),"-")</f>
        <v>0.39957950231481482</v>
      </c>
      <c r="P143" s="57">
        <f>IFERROR(IF(VLOOKUP($A143,SortedDownload!$A$3:$BB$219,37,FALSE)=0,"-",VLOOKUP($A143,SortedDownload!$A$3:$BB$219,37,FALSE)/86400000),"-")</f>
        <v>0.44361486111111109</v>
      </c>
      <c r="Q143" s="57">
        <f>IFERROR(IF(VLOOKUP($A143,SortedDownload!$A$3:$BB$219,38,FALSE)=0,"-",VLOOKUP($A143,SortedDownload!$A$3:$BB$219,38,FALSE)/86400000),"-")</f>
        <v>0.44873306712962963</v>
      </c>
      <c r="R143" s="57">
        <f>IFERROR(IF(VLOOKUP($A143,SortedDownload!$A$3:$BB$219,39,FALSE)=0,"-",VLOOKUP($A143,SortedDownload!$A$3:$BB$219,39,FALSE)/86400000),"-")</f>
        <v>0.4829512962962963</v>
      </c>
      <c r="S143" s="57">
        <f>IFERROR(IF(VLOOKUP($A143,SortedDownload!$A$3:$BB$219,40,FALSE)=0,"-",VLOOKUP($A143,SortedDownload!$A$3:$BB$219,40,FALSE)/86400000),"-")</f>
        <v>0.48749292824074075</v>
      </c>
      <c r="T143" s="57" t="str">
        <f>IFERROR(IF(VLOOKUP($A143,SortedDownload!$A$3:$BB$219,41,FALSE)=0,"-",VLOOKUP($A143,SortedDownload!$A$3:$BB$219,41,FALSE)/86400000),"-")</f>
        <v>-</v>
      </c>
      <c r="U143" s="57" t="str">
        <f>IFERROR(IF(VLOOKUP($A143,SortedDownload!$A$3:$BB$219,42,FALSE)=0,"-",VLOOKUP($A143,SortedDownload!$A$3:$BB$219,42,FALSE)/86400000),"-")</f>
        <v>-</v>
      </c>
      <c r="V143" s="57" t="str">
        <f>IFERROR(IF(VLOOKUP($A143,SortedDownload!$A$3:$BB$219,43,FALSE)=0,"-",VLOOKUP($A143,SortedDownload!$A$3:$BB$219,43,FALSE)/86400000),"-")</f>
        <v>-</v>
      </c>
      <c r="W143" s="57" t="str">
        <f>IFERROR(IF(VLOOKUP($A143,SortedDownload!$A$3:$BB$219,44,FALSE)=0,"-",VLOOKUP($A143,SortedDownload!$A$3:$BB$219,44,FALSE)/86400000),"-")</f>
        <v>-</v>
      </c>
      <c r="X143" s="57" t="str">
        <f>IFERROR(IF(VLOOKUP($A143,SortedDownload!$A$3:$BB$219,45,FALSE)=0,"-",VLOOKUP($A143,SortedDownload!$A$3:$BB$219,45,FALSE)/86400000),"-")</f>
        <v>-</v>
      </c>
      <c r="Y143" s="58">
        <f>IFERROR(VLOOKUP($A143,SortedDownload!$A$3:$BB$219,46,FALSE)/86400000,"")</f>
        <v>0</v>
      </c>
      <c r="Z143" s="58">
        <f>IFERROR(Table932[[#This Row],[End Time]]-Table932[[#This Row],[Start Time]],"")</f>
        <v>0</v>
      </c>
      <c r="AA143" s="58"/>
      <c r="AB143" s="170" t="str">
        <f t="shared" si="15"/>
        <v>00:00</v>
      </c>
      <c r="AC143" s="170" t="str">
        <f t="shared" si="14"/>
        <v>N/A</v>
      </c>
    </row>
    <row r="144" spans="1:29">
      <c r="A144" s="53">
        <f>IF(SortedDownload!A137 &lt; 1,"",SortedDownload!A137)</f>
        <v>132</v>
      </c>
      <c r="B144" s="54">
        <f t="shared" si="12"/>
        <v>139</v>
      </c>
      <c r="C144" s="146" t="str">
        <f>IFERROR(VLOOKUP($A144,CategoryResults!$A$3:$X$252,3,FALSE),"")</f>
        <v/>
      </c>
      <c r="D144" s="149" t="str">
        <f>IFERROR(VLOOKUP($A144,EntryList!$A$3:$N$291,2,FALSE),"")</f>
        <v>Warwick Davison</v>
      </c>
      <c r="E144" s="146" t="str">
        <f>IFERROR(VLOOKUP(C144,SeriesPoints!$A$2:$B$51,2,FALSE),"")</f>
        <v/>
      </c>
      <c r="F144" s="150" t="str">
        <f>IFERROR(VLOOKUP($A144,EntryList!$A$3:$V$291,22,FALSE),"")</f>
        <v>-</v>
      </c>
      <c r="G144" s="148" t="str">
        <f>IFERROR(VLOOKUP($A144,EntryList!$A$3:$N$291,6,FALSE),"")</f>
        <v>M</v>
      </c>
      <c r="H144" s="145" t="str">
        <f>IFERROR(VLOOKUP($A144,EntryList!$A$3:$N$291,7,FALSE),"")</f>
        <v>Master Men</v>
      </c>
      <c r="I144" s="56">
        <f t="shared" si="13"/>
        <v>8</v>
      </c>
      <c r="J144" s="57">
        <f>IFERROR(VLOOKUP($A144,SortedDownload!$A$3:$BB$219,31,FALSE)/86400000,"")</f>
        <v>0</v>
      </c>
      <c r="K144" s="57" t="str">
        <f>IFERROR(IF(VLOOKUP($A144,SortedDownload!$A$3:$BB$219,32,FALSE)=0,"-",VLOOKUP($A144,SortedDownload!$A$3:$BB$219,32,FALSE)/86400000),"-")</f>
        <v>-</v>
      </c>
      <c r="L144" s="57">
        <f>IFERROR(IF(VLOOKUP($A144,SortedDownload!$A$3:$BB$219,33,FALSE)=0,"-",VLOOKUP($A144,SortedDownload!$A$3:$BB$219,33,FALSE)/86400000),"-")</f>
        <v>0.40037613425925928</v>
      </c>
      <c r="M144" s="57">
        <f>IFERROR(IF(VLOOKUP($A144,SortedDownload!$A$3:$BB$219,34,FALSE)=0,"-",VLOOKUP($A144,SortedDownload!$A$3:$BB$219,34,FALSE)/86400000),"-")</f>
        <v>0.40411268518518517</v>
      </c>
      <c r="N144" s="57">
        <f>IFERROR(IF(VLOOKUP($A144,SortedDownload!$A$3:$BB$219,35,FALSE)=0,"-",VLOOKUP($A144,SortedDownload!$A$3:$BB$219,35,FALSE)/86400000),"-")</f>
        <v>0.4327503240740741</v>
      </c>
      <c r="O144" s="57">
        <f>IFERROR(IF(VLOOKUP($A144,SortedDownload!$A$3:$BB$219,36,FALSE)=0,"-",VLOOKUP($A144,SortedDownload!$A$3:$BB$219,36,FALSE)/86400000),"-")</f>
        <v>0.43545255787037035</v>
      </c>
      <c r="P144" s="57">
        <f>IFERROR(IF(VLOOKUP($A144,SortedDownload!$A$3:$BB$219,37,FALSE)=0,"-",VLOOKUP($A144,SortedDownload!$A$3:$BB$219,37,FALSE)/86400000),"-")</f>
        <v>0.49160850694444447</v>
      </c>
      <c r="Q144" s="57">
        <f>IFERROR(IF(VLOOKUP($A144,SortedDownload!$A$3:$BB$219,38,FALSE)=0,"-",VLOOKUP($A144,SortedDownload!$A$3:$BB$219,38,FALSE)/86400000),"-")</f>
        <v>0.49626907407407406</v>
      </c>
      <c r="R144" s="57">
        <f>IFERROR(IF(VLOOKUP($A144,SortedDownload!$A$3:$BB$219,39,FALSE)=0,"-",VLOOKUP($A144,SortedDownload!$A$3:$BB$219,39,FALSE)/86400000),"-")</f>
        <v>0.53142513888888887</v>
      </c>
      <c r="S144" s="57">
        <f>IFERROR(IF(VLOOKUP($A144,SortedDownload!$A$3:$BB$219,40,FALSE)=0,"-",VLOOKUP($A144,SortedDownload!$A$3:$BB$219,40,FALSE)/86400000),"-")</f>
        <v>0.53633336805555554</v>
      </c>
      <c r="T144" s="57" t="str">
        <f>IFERROR(IF(VLOOKUP($A144,SortedDownload!$A$3:$BB$219,41,FALSE)=0,"-",VLOOKUP($A144,SortedDownload!$A$3:$BB$219,41,FALSE)/86400000),"-")</f>
        <v>-</v>
      </c>
      <c r="U144" s="57" t="str">
        <f>IFERROR(IF(VLOOKUP($A144,SortedDownload!$A$3:$BB$219,42,FALSE)=0,"-",VLOOKUP($A144,SortedDownload!$A$3:$BB$219,42,FALSE)/86400000),"-")</f>
        <v>-</v>
      </c>
      <c r="V144" s="57" t="str">
        <f>IFERROR(IF(VLOOKUP($A144,SortedDownload!$A$3:$BB$219,43,FALSE)=0,"-",VLOOKUP($A144,SortedDownload!$A$3:$BB$219,43,FALSE)/86400000),"-")</f>
        <v>-</v>
      </c>
      <c r="W144" s="57" t="str">
        <f>IFERROR(IF(VLOOKUP($A144,SortedDownload!$A$3:$BB$219,44,FALSE)=0,"-",VLOOKUP($A144,SortedDownload!$A$3:$BB$219,44,FALSE)/86400000),"-")</f>
        <v>-</v>
      </c>
      <c r="X144" s="57" t="str">
        <f>IFERROR(IF(VLOOKUP($A144,SortedDownload!$A$3:$BB$219,45,FALSE)=0,"-",VLOOKUP($A144,SortedDownload!$A$3:$BB$219,45,FALSE)/86400000),"-")</f>
        <v>-</v>
      </c>
      <c r="Y144" s="58">
        <f>IFERROR(VLOOKUP($A144,SortedDownload!$A$3:$BB$219,46,FALSE)/86400000,"")</f>
        <v>0</v>
      </c>
      <c r="Z144" s="58">
        <f>IFERROR(Table932[[#This Row],[End Time]]-Table932[[#This Row],[Start Time]],"")</f>
        <v>0</v>
      </c>
      <c r="AA144" s="58"/>
      <c r="AB144" s="170" t="str">
        <f t="shared" si="15"/>
        <v>00:00</v>
      </c>
      <c r="AC144" s="170" t="str">
        <f t="shared" si="14"/>
        <v>N/A</v>
      </c>
    </row>
    <row r="145" spans="1:29">
      <c r="A145" s="53">
        <f>IF(SortedDownload!A138 &lt; 1,"",SortedDownload!A138)</f>
        <v>229</v>
      </c>
      <c r="B145" s="54">
        <f t="shared" si="12"/>
        <v>140</v>
      </c>
      <c r="C145" s="146" t="str">
        <f>IFERROR(VLOOKUP($A145,CategoryResults!$A$3:$X$252,3,FALSE),"")</f>
        <v/>
      </c>
      <c r="D145" s="149" t="str">
        <f>IFERROR(VLOOKUP($A145,EntryList!$A$3:$N$291,2,FALSE),"")</f>
        <v>Mark Minter</v>
      </c>
      <c r="E145" s="146" t="str">
        <f>IFERROR(VLOOKUP(C145,SeriesPoints!$A$2:$B$51,2,FALSE),"")</f>
        <v/>
      </c>
      <c r="F145" s="150" t="str">
        <f>IFERROR(VLOOKUP($A145,EntryList!$A$3:$V$291,22,FALSE),"")</f>
        <v>-</v>
      </c>
      <c r="G145" s="148" t="str">
        <f>IFERROR(VLOOKUP($A145,EntryList!$A$3:$N$291,6,FALSE),"")</f>
        <v>M</v>
      </c>
      <c r="H145" s="145" t="str">
        <f>IFERROR(VLOOKUP($A145,EntryList!$A$3:$N$291,7,FALSE),"")</f>
        <v>Master Men</v>
      </c>
      <c r="I145" s="56">
        <f t="shared" si="13"/>
        <v>8</v>
      </c>
      <c r="J145" s="57">
        <f>IFERROR(VLOOKUP($A145,SortedDownload!$A$3:$BB$219,31,FALSE)/86400000,"")</f>
        <v>0</v>
      </c>
      <c r="K145" s="57" t="str">
        <f>IFERROR(IF(VLOOKUP($A145,SortedDownload!$A$3:$BB$219,32,FALSE)=0,"-",VLOOKUP($A145,SortedDownload!$A$3:$BB$219,32,FALSE)/86400000),"-")</f>
        <v>-</v>
      </c>
      <c r="L145" s="57">
        <f>IFERROR(IF(VLOOKUP($A145,SortedDownload!$A$3:$BB$219,33,FALSE)=0,"-",VLOOKUP($A145,SortedDownload!$A$3:$BB$219,33,FALSE)/86400000),"-")</f>
        <v>0.36708719907407406</v>
      </c>
      <c r="M145" s="57">
        <f>IFERROR(IF(VLOOKUP($A145,SortedDownload!$A$3:$BB$219,34,FALSE)=0,"-",VLOOKUP($A145,SortedDownload!$A$3:$BB$219,34,FALSE)/86400000),"-")</f>
        <v>0.37089924768518517</v>
      </c>
      <c r="N145" s="57">
        <f>IFERROR(IF(VLOOKUP($A145,SortedDownload!$A$3:$BB$219,35,FALSE)=0,"-",VLOOKUP($A145,SortedDownload!$A$3:$BB$219,35,FALSE)/86400000),"-")</f>
        <v>0.39772883101851852</v>
      </c>
      <c r="O145" s="57">
        <f>IFERROR(IF(VLOOKUP($A145,SortedDownload!$A$3:$BB$219,36,FALSE)=0,"-",VLOOKUP($A145,SortedDownload!$A$3:$BB$219,36,FALSE)/86400000),"-")</f>
        <v>0.39999221064814816</v>
      </c>
      <c r="P145" s="57">
        <f>IFERROR(IF(VLOOKUP($A145,SortedDownload!$A$3:$BB$219,37,FALSE)=0,"-",VLOOKUP($A145,SortedDownload!$A$3:$BB$219,37,FALSE)/86400000),"-")</f>
        <v>0.44370181712962964</v>
      </c>
      <c r="Q145" s="57">
        <f>IFERROR(IF(VLOOKUP($A145,SortedDownload!$A$3:$BB$219,38,FALSE)=0,"-",VLOOKUP($A145,SortedDownload!$A$3:$BB$219,38,FALSE)/86400000),"-")</f>
        <v>0.44908020833333334</v>
      </c>
      <c r="R145" s="57">
        <f>IFERROR(IF(VLOOKUP($A145,SortedDownload!$A$3:$BB$219,39,FALSE)=0,"-",VLOOKUP($A145,SortedDownload!$A$3:$BB$219,39,FALSE)/86400000),"-")</f>
        <v>0.48299386574074071</v>
      </c>
      <c r="S145" s="57">
        <f>IFERROR(IF(VLOOKUP($A145,SortedDownload!$A$3:$BB$219,40,FALSE)=0,"-",VLOOKUP($A145,SortedDownload!$A$3:$BB$219,40,FALSE)/86400000),"-")</f>
        <v>0.48776277777777777</v>
      </c>
      <c r="T145" s="57" t="str">
        <f>IFERROR(IF(VLOOKUP($A145,SortedDownload!$A$3:$BB$219,41,FALSE)=0,"-",VLOOKUP($A145,SortedDownload!$A$3:$BB$219,41,FALSE)/86400000),"-")</f>
        <v>-</v>
      </c>
      <c r="U145" s="57" t="str">
        <f>IFERROR(IF(VLOOKUP($A145,SortedDownload!$A$3:$BB$219,42,FALSE)=0,"-",VLOOKUP($A145,SortedDownload!$A$3:$BB$219,42,FALSE)/86400000),"-")</f>
        <v>-</v>
      </c>
      <c r="V145" s="57" t="str">
        <f>IFERROR(IF(VLOOKUP($A145,SortedDownload!$A$3:$BB$219,43,FALSE)=0,"-",VLOOKUP($A145,SortedDownload!$A$3:$BB$219,43,FALSE)/86400000),"-")</f>
        <v>-</v>
      </c>
      <c r="W145" s="57" t="str">
        <f>IFERROR(IF(VLOOKUP($A145,SortedDownload!$A$3:$BB$219,44,FALSE)=0,"-",VLOOKUP($A145,SortedDownload!$A$3:$BB$219,44,FALSE)/86400000),"-")</f>
        <v>-</v>
      </c>
      <c r="X145" s="57" t="str">
        <f>IFERROR(IF(VLOOKUP($A145,SortedDownload!$A$3:$BB$219,45,FALSE)=0,"-",VLOOKUP($A145,SortedDownload!$A$3:$BB$219,45,FALSE)/86400000),"-")</f>
        <v>-</v>
      </c>
      <c r="Y145" s="58">
        <f>IFERROR(VLOOKUP($A145,SortedDownload!$A$3:$BB$219,46,FALSE)/86400000,"")</f>
        <v>0</v>
      </c>
      <c r="Z145" s="58">
        <f>IFERROR(Table932[[#This Row],[End Time]]-Table932[[#This Row],[Start Time]],"")</f>
        <v>0</v>
      </c>
      <c r="AA145" s="58"/>
      <c r="AB145" s="170" t="str">
        <f t="shared" si="15"/>
        <v>00:00</v>
      </c>
      <c r="AC145" s="170" t="str">
        <f t="shared" si="14"/>
        <v>N/A</v>
      </c>
    </row>
    <row r="146" spans="1:29">
      <c r="A146" s="53">
        <f>IF(SortedDownload!A139 &lt; 1,"",SortedDownload!A139)</f>
        <v>244</v>
      </c>
      <c r="B146" s="54">
        <f t="shared" si="12"/>
        <v>141</v>
      </c>
      <c r="C146" s="146" t="str">
        <f>IFERROR(VLOOKUP($A146,CategoryResults!$A$3:$X$252,3,FALSE),"")</f>
        <v/>
      </c>
      <c r="D146" s="149" t="str">
        <f>IFERROR(VLOOKUP($A146,EntryList!$A$3:$N$291,2,FALSE),"")</f>
        <v>Devon Van Straten</v>
      </c>
      <c r="E146" s="146" t="str">
        <f>IFERROR(VLOOKUP(C146,SeriesPoints!$A$2:$B$51,2,FALSE),"")</f>
        <v/>
      </c>
      <c r="F146" s="150" t="str">
        <f>IFERROR(VLOOKUP($A146,EntryList!$A$3:$V$291,22,FALSE),"")</f>
        <v>-</v>
      </c>
      <c r="G146" s="148" t="str">
        <f>IFERROR(VLOOKUP($A146,EntryList!$A$3:$N$291,6,FALSE),"")</f>
        <v>M</v>
      </c>
      <c r="H146" s="145" t="str">
        <f>IFERROR(VLOOKUP($A146,EntryList!$A$3:$N$291,7,FALSE),"")</f>
        <v>Elite Men</v>
      </c>
      <c r="I146" s="56">
        <f t="shared" si="13"/>
        <v>8</v>
      </c>
      <c r="J146" s="57">
        <f>IFERROR(VLOOKUP($A146,SortedDownload!$A$3:$BB$219,31,FALSE)/86400000,"")</f>
        <v>0</v>
      </c>
      <c r="K146" s="57" t="str">
        <f>IFERROR(IF(VLOOKUP($A146,SortedDownload!$A$3:$BB$219,32,FALSE)=0,"-",VLOOKUP($A146,SortedDownload!$A$3:$BB$219,32,FALSE)/86400000),"-")</f>
        <v>-</v>
      </c>
      <c r="L146" s="57">
        <f>IFERROR(IF(VLOOKUP($A146,SortedDownload!$A$3:$BB$219,33,FALSE)=0,"-",VLOOKUP($A146,SortedDownload!$A$3:$BB$219,33,FALSE)/86400000),"-")</f>
        <v>0.38348043981481483</v>
      </c>
      <c r="M146" s="57">
        <f>IFERROR(IF(VLOOKUP($A146,SortedDownload!$A$3:$BB$219,34,FALSE)=0,"-",VLOOKUP($A146,SortedDownload!$A$3:$BB$219,34,FALSE)/86400000),"-")</f>
        <v>0.38859836805555553</v>
      </c>
      <c r="N146" s="57">
        <f>IFERROR(IF(VLOOKUP($A146,SortedDownload!$A$3:$BB$219,35,FALSE)=0,"-",VLOOKUP($A146,SortedDownload!$A$3:$BB$219,35,FALSE)/86400000),"-")</f>
        <v>0.47297064814814815</v>
      </c>
      <c r="O146" s="57">
        <f>IFERROR(IF(VLOOKUP($A146,SortedDownload!$A$3:$BB$219,36,FALSE)=0,"-",VLOOKUP($A146,SortedDownload!$A$3:$BB$219,36,FALSE)/86400000),"-")</f>
        <v>0.47612331018518517</v>
      </c>
      <c r="P146" s="57">
        <f>IFERROR(IF(VLOOKUP($A146,SortedDownload!$A$3:$BB$219,37,FALSE)=0,"-",VLOOKUP($A146,SortedDownload!$A$3:$BB$219,37,FALSE)/86400000),"-")</f>
        <v>0.53397324074074071</v>
      </c>
      <c r="Q146" s="57">
        <f>IFERROR(IF(VLOOKUP($A146,SortedDownload!$A$3:$BB$219,38,FALSE)=0,"-",VLOOKUP($A146,SortedDownload!$A$3:$BB$219,38,FALSE)/86400000),"-")</f>
        <v>0.54197123842592587</v>
      </c>
      <c r="R146" s="57">
        <f>IFERROR(IF(VLOOKUP($A146,SortedDownload!$A$3:$BB$219,39,FALSE)=0,"-",VLOOKUP($A146,SortedDownload!$A$3:$BB$219,39,FALSE)/86400000),"-")</f>
        <v>0.5703749768518519</v>
      </c>
      <c r="S146" s="57">
        <f>IFERROR(IF(VLOOKUP($A146,SortedDownload!$A$3:$BB$219,40,FALSE)=0,"-",VLOOKUP($A146,SortedDownload!$A$3:$BB$219,40,FALSE)/86400000),"-")</f>
        <v>0.57667726851851853</v>
      </c>
      <c r="T146" s="57" t="str">
        <f>IFERROR(IF(VLOOKUP($A146,SortedDownload!$A$3:$BB$219,41,FALSE)=0,"-",VLOOKUP($A146,SortedDownload!$A$3:$BB$219,41,FALSE)/86400000),"-")</f>
        <v>-</v>
      </c>
      <c r="U146" s="57" t="str">
        <f>IFERROR(IF(VLOOKUP($A146,SortedDownload!$A$3:$BB$219,42,FALSE)=0,"-",VLOOKUP($A146,SortedDownload!$A$3:$BB$219,42,FALSE)/86400000),"-")</f>
        <v>-</v>
      </c>
      <c r="V146" s="57" t="str">
        <f>IFERROR(IF(VLOOKUP($A146,SortedDownload!$A$3:$BB$219,43,FALSE)=0,"-",VLOOKUP($A146,SortedDownload!$A$3:$BB$219,43,FALSE)/86400000),"-")</f>
        <v>-</v>
      </c>
      <c r="W146" s="57" t="str">
        <f>IFERROR(IF(VLOOKUP($A146,SortedDownload!$A$3:$BB$219,44,FALSE)=0,"-",VLOOKUP($A146,SortedDownload!$A$3:$BB$219,44,FALSE)/86400000),"-")</f>
        <v>-</v>
      </c>
      <c r="X146" s="57" t="str">
        <f>IFERROR(IF(VLOOKUP($A146,SortedDownload!$A$3:$BB$219,45,FALSE)=0,"-",VLOOKUP($A146,SortedDownload!$A$3:$BB$219,45,FALSE)/86400000),"-")</f>
        <v>-</v>
      </c>
      <c r="Y146" s="58">
        <f>IFERROR(VLOOKUP($A146,SortedDownload!$A$3:$BB$219,46,FALSE)/86400000,"")</f>
        <v>0</v>
      </c>
      <c r="Z146" s="58">
        <f>IFERROR(Table932[[#This Row],[End Time]]-Table932[[#This Row],[Start Time]],"")</f>
        <v>0</v>
      </c>
      <c r="AA146" s="58"/>
      <c r="AB146" s="170" t="str">
        <f t="shared" si="15"/>
        <v>00:00</v>
      </c>
      <c r="AC146" s="170" t="str">
        <f t="shared" si="14"/>
        <v>N/A</v>
      </c>
    </row>
    <row r="147" spans="1:29">
      <c r="A147" s="53">
        <f>IF(SortedDownload!A140 &lt; 1,"",SortedDownload!A140)</f>
        <v>74</v>
      </c>
      <c r="B147" s="54">
        <f t="shared" si="12"/>
        <v>142</v>
      </c>
      <c r="C147" s="146" t="str">
        <f>IFERROR(VLOOKUP($A147,CategoryResults!$A$3:$X$252,3,FALSE),"")</f>
        <v/>
      </c>
      <c r="D147" s="149" t="str">
        <f>IFERROR(VLOOKUP($A147,EntryList!$A$3:$N$291,2,FALSE),"")</f>
        <v>Franco Pretorius</v>
      </c>
      <c r="E147" s="146" t="str">
        <f>IFERROR(VLOOKUP(C147,SeriesPoints!$A$2:$B$51,2,FALSE),"")</f>
        <v/>
      </c>
      <c r="F147" s="150" t="str">
        <f>IFERROR(VLOOKUP($A147,EntryList!$A$3:$V$291,22,FALSE),"")</f>
        <v>-</v>
      </c>
      <c r="G147" s="148" t="str">
        <f>IFERROR(VLOOKUP($A147,EntryList!$A$3:$N$291,6,FALSE),"")</f>
        <v>M</v>
      </c>
      <c r="H147" s="145" t="str">
        <f>IFERROR(VLOOKUP($A147,EntryList!$A$3:$N$291,7,FALSE),"")</f>
        <v>Elite Men</v>
      </c>
      <c r="I147" s="56">
        <f t="shared" si="13"/>
        <v>7</v>
      </c>
      <c r="J147" s="57">
        <f>IFERROR(VLOOKUP($A147,SortedDownload!$A$3:$BB$219,31,FALSE)/86400000,"")</f>
        <v>0.38583018518518519</v>
      </c>
      <c r="K147" s="57">
        <f>IFERROR(IF(VLOOKUP($A147,SortedDownload!$A$3:$BB$219,32,FALSE)=0,"-",VLOOKUP($A147,SortedDownload!$A$3:$BB$219,32,FALSE)/86400000),"-")</f>
        <v>0.38843</v>
      </c>
      <c r="L147" s="57">
        <f>IFERROR(IF(VLOOKUP($A147,SortedDownload!$A$3:$BB$219,33,FALSE)=0,"-",VLOOKUP($A147,SortedDownload!$A$3:$BB$219,33,FALSE)/86400000),"-")</f>
        <v>0.42766243055555553</v>
      </c>
      <c r="M147" s="57">
        <f>IFERROR(IF(VLOOKUP($A147,SortedDownload!$A$3:$BB$219,34,FALSE)=0,"-",VLOOKUP($A147,SortedDownload!$A$3:$BB$219,34,FALSE)/86400000),"-")</f>
        <v>0.43038101851851851</v>
      </c>
      <c r="N147" s="57">
        <f>IFERROR(IF(VLOOKUP($A147,SortedDownload!$A$3:$BB$219,35,FALSE)=0,"-",VLOOKUP($A147,SortedDownload!$A$3:$BB$219,35,FALSE)/86400000),"-")</f>
        <v>0.3579553240740741</v>
      </c>
      <c r="O147" s="57">
        <f>IFERROR(IF(VLOOKUP($A147,SortedDownload!$A$3:$BB$219,36,FALSE)=0,"-",VLOOKUP($A147,SortedDownload!$A$3:$BB$219,36,FALSE)/86400000),"-")</f>
        <v>0.35937701388888887</v>
      </c>
      <c r="P147" s="57">
        <f>IFERROR(IF(VLOOKUP($A147,SortedDownload!$A$3:$BB$219,37,FALSE)=0,"-",VLOOKUP($A147,SortedDownload!$A$3:$BB$219,37,FALSE)/86400000),"-")</f>
        <v>0.47101616898148146</v>
      </c>
      <c r="Q147" s="57">
        <f>IFERROR(IF(VLOOKUP($A147,SortedDownload!$A$3:$BB$219,38,FALSE)=0,"-",VLOOKUP($A147,SortedDownload!$A$3:$BB$219,38,FALSE)/86400000),"-")</f>
        <v>0.4904075</v>
      </c>
      <c r="R147" s="57" t="str">
        <f>IFERROR(IF(VLOOKUP($A147,SortedDownload!$A$3:$BB$219,39,FALSE)=0,"-",VLOOKUP($A147,SortedDownload!$A$3:$BB$219,39,FALSE)/86400000),"-")</f>
        <v>-</v>
      </c>
      <c r="S147" s="57" t="str">
        <f>IFERROR(IF(VLOOKUP($A147,SortedDownload!$A$3:$BB$219,40,FALSE)=0,"-",VLOOKUP($A147,SortedDownload!$A$3:$BB$219,40,FALSE)/86400000),"-")</f>
        <v>-</v>
      </c>
      <c r="T147" s="57" t="str">
        <f>IFERROR(IF(VLOOKUP($A147,SortedDownload!$A$3:$BB$219,41,FALSE)=0,"-",VLOOKUP($A147,SortedDownload!$A$3:$BB$219,41,FALSE)/86400000),"-")</f>
        <v>-</v>
      </c>
      <c r="U147" s="57" t="str">
        <f>IFERROR(IF(VLOOKUP($A147,SortedDownload!$A$3:$BB$219,42,FALSE)=0,"-",VLOOKUP($A147,SortedDownload!$A$3:$BB$219,42,FALSE)/86400000),"-")</f>
        <v>-</v>
      </c>
      <c r="V147" s="57" t="str">
        <f>IFERROR(IF(VLOOKUP($A147,SortedDownload!$A$3:$BB$219,43,FALSE)=0,"-",VLOOKUP($A147,SortedDownload!$A$3:$BB$219,43,FALSE)/86400000),"-")</f>
        <v>-</v>
      </c>
      <c r="W147" s="57" t="str">
        <f>IFERROR(IF(VLOOKUP($A147,SortedDownload!$A$3:$BB$219,44,FALSE)=0,"-",VLOOKUP($A147,SortedDownload!$A$3:$BB$219,44,FALSE)/86400000),"-")</f>
        <v>-</v>
      </c>
      <c r="X147" s="57" t="str">
        <f>IFERROR(IF(VLOOKUP($A147,SortedDownload!$A$3:$BB$219,45,FALSE)=0,"-",VLOOKUP($A147,SortedDownload!$A$3:$BB$219,45,FALSE)/86400000),"-")</f>
        <v>-</v>
      </c>
      <c r="Y147" s="58">
        <f>IFERROR(VLOOKUP($A147,SortedDownload!$A$3:$BB$219,46,FALSE)/86400000,"")</f>
        <v>0</v>
      </c>
      <c r="Z147" s="58">
        <f>IFERROR(Table932[[#This Row],[End Time]]-Table932[[#This Row],[Start Time]],"")</f>
        <v>-0.38583018518518519</v>
      </c>
      <c r="AA147" s="58"/>
      <c r="AB147" s="170" t="str">
        <f t="shared" si="15"/>
        <v>N/A</v>
      </c>
      <c r="AC147" s="170" t="str">
        <f t="shared" si="14"/>
        <v>N/A</v>
      </c>
    </row>
    <row r="148" spans="1:29">
      <c r="A148" s="53">
        <f>IF(SortedDownload!A141 &lt; 1,"",SortedDownload!A141)</f>
        <v>220</v>
      </c>
      <c r="B148" s="54">
        <f t="shared" si="12"/>
        <v>143</v>
      </c>
      <c r="C148" s="146" t="str">
        <f>IFERROR(VLOOKUP($A148,CategoryResults!$A$3:$X$252,3,FALSE),"")</f>
        <v/>
      </c>
      <c r="D148" s="149" t="str">
        <f>IFERROR(VLOOKUP($A148,EntryList!$A$3:$N$291,2,FALSE),"")</f>
        <v>Mackinley Daly</v>
      </c>
      <c r="E148" s="146" t="str">
        <f>IFERROR(VLOOKUP(C148,SeriesPoints!$A$2:$B$51,2,FALSE),"")</f>
        <v/>
      </c>
      <c r="F148" s="150" t="str">
        <f>IFERROR(VLOOKUP($A148,EntryList!$A$3:$V$291,22,FALSE),"")</f>
        <v>-</v>
      </c>
      <c r="G148" s="148" t="str">
        <f>IFERROR(VLOOKUP($A148,EntryList!$A$3:$N$291,6,FALSE),"")</f>
        <v>M</v>
      </c>
      <c r="H148" s="145" t="str">
        <f>IFERROR(VLOOKUP($A148,EntryList!$A$3:$N$291,7,FALSE),"")</f>
        <v>Elite Men</v>
      </c>
      <c r="I148" s="56">
        <f t="shared" si="13"/>
        <v>5</v>
      </c>
      <c r="J148" s="57">
        <f>IFERROR(VLOOKUP($A148,SortedDownload!$A$3:$BB$219,31,FALSE)/86400000,"")</f>
        <v>0.36170019675925924</v>
      </c>
      <c r="K148" s="57">
        <f>IFERROR(IF(VLOOKUP($A148,SortedDownload!$A$3:$BB$219,32,FALSE)=0,"-",VLOOKUP($A148,SortedDownload!$A$3:$BB$219,32,FALSE)/86400000),"-")</f>
        <v>0.36402561342592593</v>
      </c>
      <c r="L148" s="57">
        <f>IFERROR(IF(VLOOKUP($A148,SortedDownload!$A$3:$BB$219,33,FALSE)=0,"-",VLOOKUP($A148,SortedDownload!$A$3:$BB$219,33,FALSE)/86400000),"-")</f>
        <v>0.42754630787037035</v>
      </c>
      <c r="M148" s="57">
        <f>IFERROR(IF(VLOOKUP($A148,SortedDownload!$A$3:$BB$219,34,FALSE)=0,"-",VLOOKUP($A148,SortedDownload!$A$3:$BB$219,34,FALSE)/86400000),"-")</f>
        <v>0.43022765046296296</v>
      </c>
      <c r="N148" s="57">
        <f>IFERROR(IF(VLOOKUP($A148,SortedDownload!$A$3:$BB$219,35,FALSE)=0,"-",VLOOKUP($A148,SortedDownload!$A$3:$BB$219,35,FALSE)/86400000),"-")</f>
        <v>0.46367604166666665</v>
      </c>
      <c r="O148" s="57">
        <f>IFERROR(IF(VLOOKUP($A148,SortedDownload!$A$3:$BB$219,36,FALSE)=0,"-",VLOOKUP($A148,SortedDownload!$A$3:$BB$219,36,FALSE)/86400000),"-")</f>
        <v>0.46510333333333331</v>
      </c>
      <c r="P148" s="57" t="str">
        <f>IFERROR(IF(VLOOKUP($A148,SortedDownload!$A$3:$BB$219,37,FALSE)=0,"-",VLOOKUP($A148,SortedDownload!$A$3:$BB$219,37,FALSE)/86400000),"-")</f>
        <v>-</v>
      </c>
      <c r="Q148" s="57" t="str">
        <f>IFERROR(IF(VLOOKUP($A148,SortedDownload!$A$3:$BB$219,38,FALSE)=0,"-",VLOOKUP($A148,SortedDownload!$A$3:$BB$219,38,FALSE)/86400000),"-")</f>
        <v>-</v>
      </c>
      <c r="R148" s="57" t="str">
        <f>IFERROR(IF(VLOOKUP($A148,SortedDownload!$A$3:$BB$219,39,FALSE)=0,"-",VLOOKUP($A148,SortedDownload!$A$3:$BB$219,39,FALSE)/86400000),"-")</f>
        <v>-</v>
      </c>
      <c r="S148" s="57" t="str">
        <f>IFERROR(IF(VLOOKUP($A148,SortedDownload!$A$3:$BB$219,40,FALSE)=0,"-",VLOOKUP($A148,SortedDownload!$A$3:$BB$219,40,FALSE)/86400000),"-")</f>
        <v>-</v>
      </c>
      <c r="T148" s="57" t="str">
        <f>IFERROR(IF(VLOOKUP($A148,SortedDownload!$A$3:$BB$219,41,FALSE)=0,"-",VLOOKUP($A148,SortedDownload!$A$3:$BB$219,41,FALSE)/86400000),"-")</f>
        <v>-</v>
      </c>
      <c r="U148" s="57" t="str">
        <f>IFERROR(IF(VLOOKUP($A148,SortedDownload!$A$3:$BB$219,42,FALSE)=0,"-",VLOOKUP($A148,SortedDownload!$A$3:$BB$219,42,FALSE)/86400000),"-")</f>
        <v>-</v>
      </c>
      <c r="V148" s="57" t="str">
        <f>IFERROR(IF(VLOOKUP($A148,SortedDownload!$A$3:$BB$219,43,FALSE)=0,"-",VLOOKUP($A148,SortedDownload!$A$3:$BB$219,43,FALSE)/86400000),"-")</f>
        <v>-</v>
      </c>
      <c r="W148" s="57" t="str">
        <f>IFERROR(IF(VLOOKUP($A148,SortedDownload!$A$3:$BB$219,44,FALSE)=0,"-",VLOOKUP($A148,SortedDownload!$A$3:$BB$219,44,FALSE)/86400000),"-")</f>
        <v>-</v>
      </c>
      <c r="X148" s="57" t="str">
        <f>IFERROR(IF(VLOOKUP($A148,SortedDownload!$A$3:$BB$219,45,FALSE)=0,"-",VLOOKUP($A148,SortedDownload!$A$3:$BB$219,45,FALSE)/86400000),"-")</f>
        <v>-</v>
      </c>
      <c r="Y148" s="58">
        <f>IFERROR(VLOOKUP($A148,SortedDownload!$A$3:$BB$219,46,FALSE)/86400000,"")</f>
        <v>0</v>
      </c>
      <c r="Z148" s="58">
        <f>IFERROR(Table932[[#This Row],[End Time]]-Table932[[#This Row],[Start Time]],"")</f>
        <v>-0.36170019675925924</v>
      </c>
      <c r="AA148" s="58"/>
      <c r="AB148" s="170" t="str">
        <f t="shared" si="15"/>
        <v>34:45</v>
      </c>
      <c r="AC148" s="170" t="str">
        <f t="shared" si="14"/>
        <v>N/A</v>
      </c>
    </row>
    <row r="149" spans="1:29">
      <c r="A149" s="53">
        <f>IF(SortedDownload!A142 &lt; 1,"",SortedDownload!A142)</f>
        <v>238</v>
      </c>
      <c r="B149" s="54">
        <f t="shared" si="12"/>
        <v>144</v>
      </c>
      <c r="C149" s="146" t="str">
        <f>IFERROR(VLOOKUP($A149,CategoryResults!$A$3:$X$252,3,FALSE),"")</f>
        <v/>
      </c>
      <c r="D149" s="149" t="str">
        <f>IFERROR(VLOOKUP($A149,EntryList!$A$3:$N$291,2,FALSE),"")</f>
        <v>Louis Van Der Walt</v>
      </c>
      <c r="E149" s="146" t="str">
        <f>IFERROR(VLOOKUP(C149,SeriesPoints!$A$2:$B$51,2,FALSE),"")</f>
        <v/>
      </c>
      <c r="F149" s="150" t="str">
        <f>IFERROR(VLOOKUP($A149,EntryList!$A$3:$V$291,22,FALSE),"")</f>
        <v>-</v>
      </c>
      <c r="G149" s="148" t="str">
        <f>IFERROR(VLOOKUP($A149,EntryList!$A$3:$N$291,6,FALSE),"")</f>
        <v>M</v>
      </c>
      <c r="H149" s="145" t="str">
        <f>IFERROR(VLOOKUP($A149,EntryList!$A$3:$N$291,7,FALSE),"")</f>
        <v>Lite M</v>
      </c>
      <c r="I149" s="56">
        <f t="shared" si="13"/>
        <v>6</v>
      </c>
      <c r="J149" s="57">
        <f>IFERROR(VLOOKUP($A149,SortedDownload!$A$3:$BB$219,31,FALSE)/86400000,"")</f>
        <v>0</v>
      </c>
      <c r="K149" s="57" t="str">
        <f>IFERROR(IF(VLOOKUP($A149,SortedDownload!$A$3:$BB$219,32,FALSE)=0,"-",VLOOKUP($A149,SortedDownload!$A$3:$BB$219,32,FALSE)/86400000),"-")</f>
        <v>-</v>
      </c>
      <c r="L149" s="57">
        <f>IFERROR(IF(VLOOKUP($A149,SortedDownload!$A$3:$BB$219,33,FALSE)=0,"-",VLOOKUP($A149,SortedDownload!$A$3:$BB$219,33,FALSE)/86400000),"-")</f>
        <v>0.3812848148148148</v>
      </c>
      <c r="M149" s="57">
        <f>IFERROR(IF(VLOOKUP($A149,SortedDownload!$A$3:$BB$219,34,FALSE)=0,"-",VLOOKUP($A149,SortedDownload!$A$3:$BB$219,34,FALSE)/86400000),"-")</f>
        <v>0.38396927083333332</v>
      </c>
      <c r="N149" s="57">
        <f>IFERROR(IF(VLOOKUP($A149,SortedDownload!$A$3:$BB$219,35,FALSE)=0,"-",VLOOKUP($A149,SortedDownload!$A$3:$BB$219,35,FALSE)/86400000),"-")</f>
        <v>0.40890474537037036</v>
      </c>
      <c r="O149" s="57">
        <f>IFERROR(IF(VLOOKUP($A149,SortedDownload!$A$3:$BB$219,36,FALSE)=0,"-",VLOOKUP($A149,SortedDownload!$A$3:$BB$219,36,FALSE)/86400000),"-")</f>
        <v>0.41036722222222222</v>
      </c>
      <c r="P149" s="57" t="str">
        <f>IFERROR(IF(VLOOKUP($A149,SortedDownload!$A$3:$BB$219,37,FALSE)=0,"-",VLOOKUP($A149,SortedDownload!$A$3:$BB$219,37,FALSE)/86400000),"-")</f>
        <v>-</v>
      </c>
      <c r="Q149" s="57" t="str">
        <f>IFERROR(IF(VLOOKUP($A149,SortedDownload!$A$3:$BB$219,38,FALSE)=0,"-",VLOOKUP($A149,SortedDownload!$A$3:$BB$219,38,FALSE)/86400000),"-")</f>
        <v>-</v>
      </c>
      <c r="R149" s="57">
        <f>IFERROR(IF(VLOOKUP($A149,SortedDownload!$A$3:$BB$219,39,FALSE)=0,"-",VLOOKUP($A149,SortedDownload!$A$3:$BB$219,39,FALSE)/86400000),"-")</f>
        <v>0.44329952546296297</v>
      </c>
      <c r="S149" s="57">
        <f>IFERROR(IF(VLOOKUP($A149,SortedDownload!$A$3:$BB$219,40,FALSE)=0,"-",VLOOKUP($A149,SortedDownload!$A$3:$BB$219,40,FALSE)/86400000),"-")</f>
        <v>0.44690864583333334</v>
      </c>
      <c r="T149" s="57" t="str">
        <f>IFERROR(IF(VLOOKUP($A149,SortedDownload!$A$3:$BB$219,41,FALSE)=0,"-",VLOOKUP($A149,SortedDownload!$A$3:$BB$219,41,FALSE)/86400000),"-")</f>
        <v>-</v>
      </c>
      <c r="U149" s="57" t="str">
        <f>IFERROR(IF(VLOOKUP($A149,SortedDownload!$A$3:$BB$219,42,FALSE)=0,"-",VLOOKUP($A149,SortedDownload!$A$3:$BB$219,42,FALSE)/86400000),"-")</f>
        <v>-</v>
      </c>
      <c r="V149" s="57" t="str">
        <f>IFERROR(IF(VLOOKUP($A149,SortedDownload!$A$3:$BB$219,43,FALSE)=0,"-",VLOOKUP($A149,SortedDownload!$A$3:$BB$219,43,FALSE)/86400000),"-")</f>
        <v>-</v>
      </c>
      <c r="W149" s="57" t="str">
        <f>IFERROR(IF(VLOOKUP($A149,SortedDownload!$A$3:$BB$219,44,FALSE)=0,"-",VLOOKUP($A149,SortedDownload!$A$3:$BB$219,44,FALSE)/86400000),"-")</f>
        <v>-</v>
      </c>
      <c r="X149" s="57" t="str">
        <f>IFERROR(IF(VLOOKUP($A149,SortedDownload!$A$3:$BB$219,45,FALSE)=0,"-",VLOOKUP($A149,SortedDownload!$A$3:$BB$219,45,FALSE)/86400000),"-")</f>
        <v>-</v>
      </c>
      <c r="Y149" s="58">
        <f>IFERROR(VLOOKUP($A149,SortedDownload!$A$3:$BB$219,46,FALSE)/86400000,"")</f>
        <v>0</v>
      </c>
      <c r="Z149" s="58">
        <f>IFERROR(Table932[[#This Row],[End Time]]-Table932[[#This Row],[Start Time]],"")</f>
        <v>0</v>
      </c>
      <c r="AA149" s="58"/>
      <c r="AB149" s="170" t="str">
        <f t="shared" si="15"/>
        <v>40:51</v>
      </c>
      <c r="AC149" s="170" t="str">
        <f t="shared" si="14"/>
        <v>N/A</v>
      </c>
    </row>
    <row r="150" spans="1:29">
      <c r="A150" s="53">
        <f>IF(SortedDownload!A143 &lt; 1,"",SortedDownload!A143)</f>
        <v>134</v>
      </c>
      <c r="B150" s="54">
        <f t="shared" si="12"/>
        <v>145</v>
      </c>
      <c r="C150" s="146" t="str">
        <f>IFERROR(VLOOKUP($A150,CategoryResults!$A$3:$X$252,3,FALSE),"")</f>
        <v/>
      </c>
      <c r="D150" s="149" t="str">
        <f>IFERROR(VLOOKUP($A150,EntryList!$A$3:$N$291,2,FALSE),"")</f>
        <v>Christiaan De Villiers</v>
      </c>
      <c r="E150" s="146" t="str">
        <f>IFERROR(VLOOKUP(C150,SeriesPoints!$A$2:$B$51,2,FALSE),"")</f>
        <v/>
      </c>
      <c r="F150" s="150" t="str">
        <f>IFERROR(VLOOKUP($A150,EntryList!$A$3:$V$291,22,FALSE),"")</f>
        <v>-</v>
      </c>
      <c r="G150" s="148" t="str">
        <f>IFERROR(VLOOKUP($A150,EntryList!$A$3:$N$291,6,FALSE),"")</f>
        <v>M</v>
      </c>
      <c r="H150" s="145" t="str">
        <f>IFERROR(VLOOKUP($A150,EntryList!$A$3:$N$291,7,FALSE),"")</f>
        <v>Sub Junior Boys</v>
      </c>
      <c r="I150" s="56">
        <f t="shared" si="13"/>
        <v>6</v>
      </c>
      <c r="J150" s="57">
        <f>IFERROR(VLOOKUP($A150,SortedDownload!$A$3:$BB$219,31,FALSE)/86400000,"")</f>
        <v>0</v>
      </c>
      <c r="K150" s="57" t="str">
        <f>IFERROR(IF(VLOOKUP($A150,SortedDownload!$A$3:$BB$219,32,FALSE)=0,"-",VLOOKUP($A150,SortedDownload!$A$3:$BB$219,32,FALSE)/86400000),"-")</f>
        <v>-</v>
      </c>
      <c r="L150" s="57">
        <f>IFERROR(IF(VLOOKUP($A150,SortedDownload!$A$3:$BB$219,33,FALSE)=0,"-",VLOOKUP($A150,SortedDownload!$A$3:$BB$219,33,FALSE)/86400000),"-")</f>
        <v>0.40787832175925925</v>
      </c>
      <c r="M150" s="57">
        <f>IFERROR(IF(VLOOKUP($A150,SortedDownload!$A$3:$BB$219,34,FALSE)=0,"-",VLOOKUP($A150,SortedDownload!$A$3:$BB$219,34,FALSE)/86400000),"-")</f>
        <v>0.41059873842592592</v>
      </c>
      <c r="N150" s="57">
        <f>IFERROR(IF(VLOOKUP($A150,SortedDownload!$A$3:$BB$219,35,FALSE)=0,"-",VLOOKUP($A150,SortedDownload!$A$3:$BB$219,35,FALSE)/86400000),"-")</f>
        <v>0.44920126157407408</v>
      </c>
      <c r="O150" s="57">
        <f>IFERROR(IF(VLOOKUP($A150,SortedDownload!$A$3:$BB$219,36,FALSE)=0,"-",VLOOKUP($A150,SortedDownload!$A$3:$BB$219,36,FALSE)/86400000),"-")</f>
        <v>0.45066211805555556</v>
      </c>
      <c r="P150" s="57" t="str">
        <f>IFERROR(IF(VLOOKUP($A150,SortedDownload!$A$3:$BB$219,37,FALSE)=0,"-",VLOOKUP($A150,SortedDownload!$A$3:$BB$219,37,FALSE)/86400000),"-")</f>
        <v>-</v>
      </c>
      <c r="Q150" s="57" t="str">
        <f>IFERROR(IF(VLOOKUP($A150,SortedDownload!$A$3:$BB$219,38,FALSE)=0,"-",VLOOKUP($A150,SortedDownload!$A$3:$BB$219,38,FALSE)/86400000),"-")</f>
        <v>-</v>
      </c>
      <c r="R150" s="57">
        <f>IFERROR(IF(VLOOKUP($A150,SortedDownload!$A$3:$BB$219,39,FALSE)=0,"-",VLOOKUP($A150,SortedDownload!$A$3:$BB$219,39,FALSE)/86400000),"-")</f>
        <v>0.49165249999999999</v>
      </c>
      <c r="S150" s="57">
        <f>IFERROR(IF(VLOOKUP($A150,SortedDownload!$A$3:$BB$219,40,FALSE)=0,"-",VLOOKUP($A150,SortedDownload!$A$3:$BB$219,40,FALSE)/86400000),"-")</f>
        <v>0.4952464236111111</v>
      </c>
      <c r="T150" s="57" t="str">
        <f>IFERROR(IF(VLOOKUP($A150,SortedDownload!$A$3:$BB$219,41,FALSE)=0,"-",VLOOKUP($A150,SortedDownload!$A$3:$BB$219,41,FALSE)/86400000),"-")</f>
        <v>-</v>
      </c>
      <c r="U150" s="57" t="str">
        <f>IFERROR(IF(VLOOKUP($A150,SortedDownload!$A$3:$BB$219,42,FALSE)=0,"-",VLOOKUP($A150,SortedDownload!$A$3:$BB$219,42,FALSE)/86400000),"-")</f>
        <v>-</v>
      </c>
      <c r="V150" s="57" t="str">
        <f>IFERROR(IF(VLOOKUP($A150,SortedDownload!$A$3:$BB$219,43,FALSE)=0,"-",VLOOKUP($A150,SortedDownload!$A$3:$BB$219,43,FALSE)/86400000),"-")</f>
        <v>-</v>
      </c>
      <c r="W150" s="57" t="str">
        <f>IFERROR(IF(VLOOKUP($A150,SortedDownload!$A$3:$BB$219,44,FALSE)=0,"-",VLOOKUP($A150,SortedDownload!$A$3:$BB$219,44,FALSE)/86400000),"-")</f>
        <v>-</v>
      </c>
      <c r="X150" s="57" t="str">
        <f>IFERROR(IF(VLOOKUP($A150,SortedDownload!$A$3:$BB$219,45,FALSE)=0,"-",VLOOKUP($A150,SortedDownload!$A$3:$BB$219,45,FALSE)/86400000),"-")</f>
        <v>-</v>
      </c>
      <c r="Y150" s="58">
        <f>IFERROR(VLOOKUP($A150,SortedDownload!$A$3:$BB$219,46,FALSE)/86400000,"")</f>
        <v>0</v>
      </c>
      <c r="Z150" s="58">
        <f>IFERROR(Table932[[#This Row],[End Time]]-Table932[[#This Row],[Start Time]],"")</f>
        <v>0</v>
      </c>
      <c r="AA150" s="58"/>
      <c r="AB150" s="170" t="str">
        <f t="shared" si="15"/>
        <v>00:00</v>
      </c>
      <c r="AC150" s="170" t="str">
        <f t="shared" si="14"/>
        <v>N/A</v>
      </c>
    </row>
    <row r="151" spans="1:29">
      <c r="A151" s="53">
        <f>IF(SortedDownload!A144 &lt; 1,"",SortedDownload!A144)</f>
        <v>96</v>
      </c>
      <c r="B151" s="54">
        <f t="shared" si="12"/>
        <v>146</v>
      </c>
      <c r="C151" s="146" t="str">
        <f>IFERROR(VLOOKUP($A151,CategoryResults!$A$3:$X$252,3,FALSE),"")</f>
        <v/>
      </c>
      <c r="D151" s="149" t="str">
        <f>IFERROR(VLOOKUP($A151,EntryList!$A$3:$N$291,2,FALSE),"")</f>
        <v>Sven Etsebeth</v>
      </c>
      <c r="E151" s="146" t="str">
        <f>IFERROR(VLOOKUP(C151,SeriesPoints!$A$2:$B$51,2,FALSE),"")</f>
        <v/>
      </c>
      <c r="F151" s="150" t="str">
        <f>IFERROR(VLOOKUP($A151,EntryList!$A$3:$V$291,22,FALSE),"")</f>
        <v>-</v>
      </c>
      <c r="G151" s="148" t="str">
        <f>IFERROR(VLOOKUP($A151,EntryList!$A$3:$N$291,6,FALSE),"")</f>
        <v>M</v>
      </c>
      <c r="H151" s="145" t="str">
        <f>IFERROR(VLOOKUP($A151,EntryList!$A$3:$N$291,7,FALSE),"")</f>
        <v>Sprog Boys</v>
      </c>
      <c r="I151" s="56">
        <f t="shared" si="13"/>
        <v>6</v>
      </c>
      <c r="J151" s="57">
        <f>IFERROR(VLOOKUP($A151,SortedDownload!$A$3:$BB$219,31,FALSE)/86400000,"")</f>
        <v>0</v>
      </c>
      <c r="K151" s="57" t="str">
        <f>IFERROR(IF(VLOOKUP($A151,SortedDownload!$A$3:$BB$219,32,FALSE)=0,"-",VLOOKUP($A151,SortedDownload!$A$3:$BB$219,32,FALSE)/86400000),"-")</f>
        <v>-</v>
      </c>
      <c r="L151" s="57">
        <f>IFERROR(IF(VLOOKUP($A151,SortedDownload!$A$3:$BB$219,33,FALSE)=0,"-",VLOOKUP($A151,SortedDownload!$A$3:$BB$219,33,FALSE)/86400000),"-")</f>
        <v>0.41819620370370369</v>
      </c>
      <c r="M151" s="57">
        <f>IFERROR(IF(VLOOKUP($A151,SortedDownload!$A$3:$BB$219,34,FALSE)=0,"-",VLOOKUP($A151,SortedDownload!$A$3:$BB$219,34,FALSE)/86400000),"-")</f>
        <v>0.42095408564814812</v>
      </c>
      <c r="N151" s="57">
        <f>IFERROR(IF(VLOOKUP($A151,SortedDownload!$A$3:$BB$219,35,FALSE)=0,"-",VLOOKUP($A151,SortedDownload!$A$3:$BB$219,35,FALSE)/86400000),"-")</f>
        <v>0.46928280092592595</v>
      </c>
      <c r="O151" s="57">
        <f>IFERROR(IF(VLOOKUP($A151,SortedDownload!$A$3:$BB$219,36,FALSE)=0,"-",VLOOKUP($A151,SortedDownload!$A$3:$BB$219,36,FALSE)/86400000),"-")</f>
        <v>0.47084502314814813</v>
      </c>
      <c r="P151" s="57" t="str">
        <f>IFERROR(IF(VLOOKUP($A151,SortedDownload!$A$3:$BB$219,37,FALSE)=0,"-",VLOOKUP($A151,SortedDownload!$A$3:$BB$219,37,FALSE)/86400000),"-")</f>
        <v>-</v>
      </c>
      <c r="Q151" s="57" t="str">
        <f>IFERROR(IF(VLOOKUP($A151,SortedDownload!$A$3:$BB$219,38,FALSE)=0,"-",VLOOKUP($A151,SortedDownload!$A$3:$BB$219,38,FALSE)/86400000),"-")</f>
        <v>-</v>
      </c>
      <c r="R151" s="57">
        <f>IFERROR(IF(VLOOKUP($A151,SortedDownload!$A$3:$BB$219,39,FALSE)=0,"-",VLOOKUP($A151,SortedDownload!$A$3:$BB$219,39,FALSE)/86400000),"-")</f>
        <v>0.5303957407407407</v>
      </c>
      <c r="S151" s="57">
        <f>IFERROR(IF(VLOOKUP($A151,SortedDownload!$A$3:$BB$219,40,FALSE)=0,"-",VLOOKUP($A151,SortedDownload!$A$3:$BB$219,40,FALSE)/86400000),"-")</f>
        <v>0.53401247685185183</v>
      </c>
      <c r="T151" s="57" t="str">
        <f>IFERROR(IF(VLOOKUP($A151,SortedDownload!$A$3:$BB$219,41,FALSE)=0,"-",VLOOKUP($A151,SortedDownload!$A$3:$BB$219,41,FALSE)/86400000),"-")</f>
        <v>-</v>
      </c>
      <c r="U151" s="57" t="str">
        <f>IFERROR(IF(VLOOKUP($A151,SortedDownload!$A$3:$BB$219,42,FALSE)=0,"-",VLOOKUP($A151,SortedDownload!$A$3:$BB$219,42,FALSE)/86400000),"-")</f>
        <v>-</v>
      </c>
      <c r="V151" s="57" t="str">
        <f>IFERROR(IF(VLOOKUP($A151,SortedDownload!$A$3:$BB$219,43,FALSE)=0,"-",VLOOKUP($A151,SortedDownload!$A$3:$BB$219,43,FALSE)/86400000),"-")</f>
        <v>-</v>
      </c>
      <c r="W151" s="57" t="str">
        <f>IFERROR(IF(VLOOKUP($A151,SortedDownload!$A$3:$BB$219,44,FALSE)=0,"-",VLOOKUP($A151,SortedDownload!$A$3:$BB$219,44,FALSE)/86400000),"-")</f>
        <v>-</v>
      </c>
      <c r="X151" s="57" t="str">
        <f>IFERROR(IF(VLOOKUP($A151,SortedDownload!$A$3:$BB$219,45,FALSE)=0,"-",VLOOKUP($A151,SortedDownload!$A$3:$BB$219,45,FALSE)/86400000),"-")</f>
        <v>-</v>
      </c>
      <c r="Y151" s="58">
        <f>IFERROR(VLOOKUP($A151,SortedDownload!$A$3:$BB$219,46,FALSE)/86400000,"")</f>
        <v>0</v>
      </c>
      <c r="Z151" s="58">
        <f>IFERROR(Table932[[#This Row],[End Time]]-Table932[[#This Row],[Start Time]],"")</f>
        <v>0</v>
      </c>
      <c r="AA151" s="58"/>
      <c r="AB151" s="170" t="str">
        <f t="shared" si="15"/>
        <v>00:00</v>
      </c>
      <c r="AC151" s="170" t="str">
        <f t="shared" si="14"/>
        <v>N/A</v>
      </c>
    </row>
    <row r="152" spans="1:29">
      <c r="A152" s="53">
        <f>IF(SortedDownload!A145 &lt; 1,"",SortedDownload!A145)</f>
        <v>58</v>
      </c>
      <c r="B152" s="54">
        <f t="shared" si="12"/>
        <v>147</v>
      </c>
      <c r="C152" s="146" t="str">
        <f>IFERROR(VLOOKUP($A152,CategoryResults!$A$3:$X$252,3,FALSE),"")</f>
        <v/>
      </c>
      <c r="D152" s="149" t="str">
        <f>IFERROR(VLOOKUP($A152,EntryList!$A$3:$N$291,2,FALSE),"")</f>
        <v>Craig Fussell</v>
      </c>
      <c r="E152" s="146" t="str">
        <f>IFERROR(VLOOKUP(C152,SeriesPoints!$A$2:$B$51,2,FALSE),"")</f>
        <v/>
      </c>
      <c r="F152" s="150" t="str">
        <f>IFERROR(VLOOKUP($A152,EntryList!$A$3:$V$291,22,FALSE),"")</f>
        <v>-</v>
      </c>
      <c r="G152" s="148" t="str">
        <f>IFERROR(VLOOKUP($A152,EntryList!$A$3:$N$291,6,FALSE),"")</f>
        <v>M</v>
      </c>
      <c r="H152" s="145" t="str">
        <f>IFERROR(VLOOKUP($A152,EntryList!$A$3:$N$291,7,FALSE),"")</f>
        <v>Master Men</v>
      </c>
      <c r="I152" s="56">
        <f t="shared" si="13"/>
        <v>6</v>
      </c>
      <c r="J152" s="57">
        <f>IFERROR(VLOOKUP($A152,SortedDownload!$A$3:$BB$219,31,FALSE)/86400000,"")</f>
        <v>0.39156680555555556</v>
      </c>
      <c r="K152" s="57">
        <f>IFERROR(IF(VLOOKUP($A152,SortedDownload!$A$3:$BB$219,32,FALSE)=0,"-",VLOOKUP($A152,SortedDownload!$A$3:$BB$219,32,FALSE)/86400000),"-")</f>
        <v>0.39478846064814815</v>
      </c>
      <c r="L152" s="57">
        <f>IFERROR(IF(VLOOKUP($A152,SortedDownload!$A$3:$BB$219,33,FALSE)=0,"-",VLOOKUP($A152,SortedDownload!$A$3:$BB$219,33,FALSE)/86400000),"-")</f>
        <v>0.35973062500000003</v>
      </c>
      <c r="M152" s="57">
        <f>IFERROR(IF(VLOOKUP($A152,SortedDownload!$A$3:$BB$219,34,FALSE)=0,"-",VLOOKUP($A152,SortedDownload!$A$3:$BB$219,34,FALSE)/86400000),"-")</f>
        <v>0.36273043981481484</v>
      </c>
      <c r="N152" s="57">
        <f>IFERROR(IF(VLOOKUP($A152,SortedDownload!$A$3:$BB$219,35,FALSE)=0,"-",VLOOKUP($A152,SortedDownload!$A$3:$BB$219,35,FALSE)/86400000),"-")</f>
        <v>0.4197177777777778</v>
      </c>
      <c r="O152" s="57">
        <f>IFERROR(IF(VLOOKUP($A152,SortedDownload!$A$3:$BB$219,36,FALSE)=0,"-",VLOOKUP($A152,SortedDownload!$A$3:$BB$219,36,FALSE)/86400000),"-")</f>
        <v>0.42150780092592594</v>
      </c>
      <c r="P152" s="57">
        <f>IFERROR(IF(VLOOKUP($A152,SortedDownload!$A$3:$BB$219,37,FALSE)=0,"-",VLOOKUP($A152,SortedDownload!$A$3:$BB$219,37,FALSE)/86400000),"-")</f>
        <v>0.46108643518518516</v>
      </c>
      <c r="Q152" s="57" t="str">
        <f>IFERROR(IF(VLOOKUP($A152,SortedDownload!$A$3:$BB$219,38,FALSE)=0,"-",VLOOKUP($A152,SortedDownload!$A$3:$BB$219,38,FALSE)/86400000),"-")</f>
        <v>-</v>
      </c>
      <c r="R152" s="57" t="str">
        <f>IFERROR(IF(VLOOKUP($A152,SortedDownload!$A$3:$BB$219,39,FALSE)=0,"-",VLOOKUP($A152,SortedDownload!$A$3:$BB$219,39,FALSE)/86400000),"-")</f>
        <v>-</v>
      </c>
      <c r="S152" s="57" t="str">
        <f>IFERROR(IF(VLOOKUP($A152,SortedDownload!$A$3:$BB$219,40,FALSE)=0,"-",VLOOKUP($A152,SortedDownload!$A$3:$BB$219,40,FALSE)/86400000),"-")</f>
        <v>-</v>
      </c>
      <c r="T152" s="57" t="str">
        <f>IFERROR(IF(VLOOKUP($A152,SortedDownload!$A$3:$BB$219,41,FALSE)=0,"-",VLOOKUP($A152,SortedDownload!$A$3:$BB$219,41,FALSE)/86400000),"-")</f>
        <v>-</v>
      </c>
      <c r="U152" s="57" t="str">
        <f>IFERROR(IF(VLOOKUP($A152,SortedDownload!$A$3:$BB$219,42,FALSE)=0,"-",VLOOKUP($A152,SortedDownload!$A$3:$BB$219,42,FALSE)/86400000),"-")</f>
        <v>-</v>
      </c>
      <c r="V152" s="57" t="str">
        <f>IFERROR(IF(VLOOKUP($A152,SortedDownload!$A$3:$BB$219,43,FALSE)=0,"-",VLOOKUP($A152,SortedDownload!$A$3:$BB$219,43,FALSE)/86400000),"-")</f>
        <v>-</v>
      </c>
      <c r="W152" s="57" t="str">
        <f>IFERROR(IF(VLOOKUP($A152,SortedDownload!$A$3:$BB$219,44,FALSE)=0,"-",VLOOKUP($A152,SortedDownload!$A$3:$BB$219,44,FALSE)/86400000),"-")</f>
        <v>-</v>
      </c>
      <c r="X152" s="57" t="str">
        <f>IFERROR(IF(VLOOKUP($A152,SortedDownload!$A$3:$BB$219,45,FALSE)=0,"-",VLOOKUP($A152,SortedDownload!$A$3:$BB$219,45,FALSE)/86400000),"-")</f>
        <v>-</v>
      </c>
      <c r="Y152" s="58">
        <f>IFERROR(VLOOKUP($A152,SortedDownload!$A$3:$BB$219,46,FALSE)/86400000,"")</f>
        <v>0</v>
      </c>
      <c r="Z152" s="58">
        <f>IFERROR(Table932[[#This Row],[End Time]]-Table932[[#This Row],[Start Time]],"")</f>
        <v>-0.39156680555555556</v>
      </c>
      <c r="AA152" s="58"/>
      <c r="AB152" s="170" t="str">
        <f t="shared" si="15"/>
        <v>N/A</v>
      </c>
      <c r="AC152" s="170" t="str">
        <f t="shared" si="14"/>
        <v>N/A</v>
      </c>
    </row>
    <row r="153" spans="1:29">
      <c r="A153" s="53">
        <f>IF(SortedDownload!A146 &lt; 1,"",SortedDownload!A146)</f>
        <v>191</v>
      </c>
      <c r="B153" s="54">
        <f t="shared" si="12"/>
        <v>148</v>
      </c>
      <c r="C153" s="146" t="str">
        <f>IFERROR(VLOOKUP($A153,CategoryResults!$A$3:$X$252,3,FALSE),"")</f>
        <v/>
      </c>
      <c r="D153" s="149" t="str">
        <f>IFERROR(VLOOKUP($A153,EntryList!$A$3:$N$291,2,FALSE),"")</f>
        <v>Pieter Heyns</v>
      </c>
      <c r="E153" s="146" t="str">
        <f>IFERROR(VLOOKUP(C153,SeriesPoints!$A$2:$B$51,2,FALSE),"")</f>
        <v/>
      </c>
      <c r="F153" s="150" t="str">
        <f>IFERROR(VLOOKUP($A153,EntryList!$A$3:$V$291,22,FALSE),"")</f>
        <v>-</v>
      </c>
      <c r="G153" s="148" t="str">
        <f>IFERROR(VLOOKUP($A153,EntryList!$A$3:$N$291,6,FALSE),"")</f>
        <v>M</v>
      </c>
      <c r="H153" s="145" t="str">
        <f>IFERROR(VLOOKUP($A153,EntryList!$A$3:$N$291,7,FALSE),"")</f>
        <v>Lite M</v>
      </c>
      <c r="I153" s="56">
        <f t="shared" si="13"/>
        <v>6</v>
      </c>
      <c r="J153" s="57">
        <f>IFERROR(VLOOKUP($A153,SortedDownload!$A$3:$BB$219,31,FALSE)/86400000,"")</f>
        <v>0</v>
      </c>
      <c r="K153" s="57" t="str">
        <f>IFERROR(IF(VLOOKUP($A153,SortedDownload!$A$3:$BB$219,32,FALSE)=0,"-",VLOOKUP($A153,SortedDownload!$A$3:$BB$219,32,FALSE)/86400000),"-")</f>
        <v>-</v>
      </c>
      <c r="L153" s="57">
        <f>IFERROR(IF(VLOOKUP($A153,SortedDownload!$A$3:$BB$219,33,FALSE)=0,"-",VLOOKUP($A153,SortedDownload!$A$3:$BB$219,33,FALSE)/86400000),"-")</f>
        <v>0.4203045138888889</v>
      </c>
      <c r="M153" s="57">
        <f>IFERROR(IF(VLOOKUP($A153,SortedDownload!$A$3:$BB$219,34,FALSE)=0,"-",VLOOKUP($A153,SortedDownload!$A$3:$BB$219,34,FALSE)/86400000),"-")</f>
        <v>0.42306626157407407</v>
      </c>
      <c r="N153" s="57">
        <f>IFERROR(IF(VLOOKUP($A153,SortedDownload!$A$3:$BB$219,35,FALSE)=0,"-",VLOOKUP($A153,SortedDownload!$A$3:$BB$219,35,FALSE)/86400000),"-")</f>
        <v>0.46862874999999998</v>
      </c>
      <c r="O153" s="57">
        <f>IFERROR(IF(VLOOKUP($A153,SortedDownload!$A$3:$BB$219,36,FALSE)=0,"-",VLOOKUP($A153,SortedDownload!$A$3:$BB$219,36,FALSE)/86400000),"-")</f>
        <v>0.47013106481481481</v>
      </c>
      <c r="P153" s="57" t="str">
        <f>IFERROR(IF(VLOOKUP($A153,SortedDownload!$A$3:$BB$219,37,FALSE)=0,"-",VLOOKUP($A153,SortedDownload!$A$3:$BB$219,37,FALSE)/86400000),"-")</f>
        <v>-</v>
      </c>
      <c r="Q153" s="57" t="str">
        <f>IFERROR(IF(VLOOKUP($A153,SortedDownload!$A$3:$BB$219,38,FALSE)=0,"-",VLOOKUP($A153,SortedDownload!$A$3:$BB$219,38,FALSE)/86400000),"-")</f>
        <v>-</v>
      </c>
      <c r="R153" s="57">
        <f>IFERROR(IF(VLOOKUP($A153,SortedDownload!$A$3:$BB$219,39,FALSE)=0,"-",VLOOKUP($A153,SortedDownload!$A$3:$BB$219,39,FALSE)/86400000),"-")</f>
        <v>0.51715280092592597</v>
      </c>
      <c r="S153" s="57">
        <f>IFERROR(IF(VLOOKUP($A153,SortedDownload!$A$3:$BB$219,40,FALSE)=0,"-",VLOOKUP($A153,SortedDownload!$A$3:$BB$219,40,FALSE)/86400000),"-")</f>
        <v>0.52091126157407408</v>
      </c>
      <c r="T153" s="57" t="str">
        <f>IFERROR(IF(VLOOKUP($A153,SortedDownload!$A$3:$BB$219,41,FALSE)=0,"-",VLOOKUP($A153,SortedDownload!$A$3:$BB$219,41,FALSE)/86400000),"-")</f>
        <v>-</v>
      </c>
      <c r="U153" s="57" t="str">
        <f>IFERROR(IF(VLOOKUP($A153,SortedDownload!$A$3:$BB$219,42,FALSE)=0,"-",VLOOKUP($A153,SortedDownload!$A$3:$BB$219,42,FALSE)/86400000),"-")</f>
        <v>-</v>
      </c>
      <c r="V153" s="57" t="str">
        <f>IFERROR(IF(VLOOKUP($A153,SortedDownload!$A$3:$BB$219,43,FALSE)=0,"-",VLOOKUP($A153,SortedDownload!$A$3:$BB$219,43,FALSE)/86400000),"-")</f>
        <v>-</v>
      </c>
      <c r="W153" s="57" t="str">
        <f>IFERROR(IF(VLOOKUP($A153,SortedDownload!$A$3:$BB$219,44,FALSE)=0,"-",VLOOKUP($A153,SortedDownload!$A$3:$BB$219,44,FALSE)/86400000),"-")</f>
        <v>-</v>
      </c>
      <c r="X153" s="57" t="str">
        <f>IFERROR(IF(VLOOKUP($A153,SortedDownload!$A$3:$BB$219,45,FALSE)=0,"-",VLOOKUP($A153,SortedDownload!$A$3:$BB$219,45,FALSE)/86400000),"-")</f>
        <v>-</v>
      </c>
      <c r="Y153" s="58">
        <f>IFERROR(VLOOKUP($A153,SortedDownload!$A$3:$BB$219,46,FALSE)/86400000,"")</f>
        <v>0</v>
      </c>
      <c r="Z153" s="58">
        <f>IFERROR(Table932[[#This Row],[End Time]]-Table932[[#This Row],[Start Time]],"")</f>
        <v>0</v>
      </c>
      <c r="AA153" s="58"/>
      <c r="AB153" s="170" t="str">
        <f t="shared" si="15"/>
        <v>23:51</v>
      </c>
      <c r="AC153" s="170" t="str">
        <f t="shared" si="14"/>
        <v>N/A</v>
      </c>
    </row>
    <row r="154" spans="1:29">
      <c r="A154" s="53">
        <f>IF(SortedDownload!A147 &lt; 1,"",SortedDownload!A147)</f>
        <v>293</v>
      </c>
      <c r="B154" s="146">
        <f t="shared" si="12"/>
        <v>149</v>
      </c>
      <c r="C154" s="146" t="str">
        <f>IFERROR(VLOOKUP($A154,CategoryResults!$A$3:$X$252,3,FALSE),"")</f>
        <v/>
      </c>
      <c r="D154" s="149" t="str">
        <f>IFERROR(VLOOKUP($A154,EntryList!$A$3:$N$291,2,FALSE),"")</f>
        <v>Wynand Mostert</v>
      </c>
      <c r="E154" s="146" t="str">
        <f>IFERROR(VLOOKUP(C154,SeriesPoints!$A$2:$B$51,2,FALSE),"")</f>
        <v/>
      </c>
      <c r="F154" s="150" t="str">
        <f>IFERROR(VLOOKUP($A154,EntryList!$A$3:$V$291,22,FALSE),"")</f>
        <v>-</v>
      </c>
      <c r="G154" s="148" t="str">
        <f>IFERROR(VLOOKUP($A154,EntryList!$A$3:$N$291,6,FALSE),"")</f>
        <v>M</v>
      </c>
      <c r="H154" s="226" t="str">
        <f>IFERROR(VLOOKUP($A154,EntryList!$A$3:$N$291,7,FALSE),"")</f>
        <v>Lite M</v>
      </c>
      <c r="I154" s="220">
        <f t="shared" si="13"/>
        <v>6</v>
      </c>
      <c r="J154" s="58">
        <f>IFERROR(VLOOKUP($A154,SortedDownload!$A$3:$BB$219,31,FALSE)/86400000,"")</f>
        <v>0</v>
      </c>
      <c r="K154" s="58" t="str">
        <f>IFERROR(IF(VLOOKUP($A154,SortedDownload!$A$3:$BB$219,32,FALSE)=0,"-",VLOOKUP($A154,SortedDownload!$A$3:$BB$219,32,FALSE)/86400000),"-")</f>
        <v>-</v>
      </c>
      <c r="L154" s="58">
        <f>IFERROR(IF(VLOOKUP($A154,SortedDownload!$A$3:$BB$219,33,FALSE)=0,"-",VLOOKUP($A154,SortedDownload!$A$3:$BB$219,33,FALSE)/86400000),"-")</f>
        <v>0.40270716435185183</v>
      </c>
      <c r="M154" s="58">
        <f>IFERROR(IF(VLOOKUP($A154,SortedDownload!$A$3:$BB$219,34,FALSE)=0,"-",VLOOKUP($A154,SortedDownload!$A$3:$BB$219,34,FALSE)/86400000),"-")</f>
        <v>0.40543810185185186</v>
      </c>
      <c r="N154" s="58">
        <f>IFERROR(IF(VLOOKUP($A154,SortedDownload!$A$3:$BB$219,35,FALSE)=0,"-",VLOOKUP($A154,SortedDownload!$A$3:$BB$219,35,FALSE)/86400000),"-")</f>
        <v>0.43976655092592593</v>
      </c>
      <c r="O154" s="58">
        <f>IFERROR(IF(VLOOKUP($A154,SortedDownload!$A$3:$BB$219,36,FALSE)=0,"-",VLOOKUP($A154,SortedDownload!$A$3:$BB$219,36,FALSE)/86400000),"-")</f>
        <v>0.44132314814814816</v>
      </c>
      <c r="P154" s="58" t="str">
        <f>IFERROR(IF(VLOOKUP($A154,SortedDownload!$A$3:$BB$219,37,FALSE)=0,"-",VLOOKUP($A154,SortedDownload!$A$3:$BB$219,37,FALSE)/86400000),"-")</f>
        <v>-</v>
      </c>
      <c r="Q154" s="58" t="str">
        <f>IFERROR(IF(VLOOKUP($A154,SortedDownload!$A$3:$BB$219,38,FALSE)=0,"-",VLOOKUP($A154,SortedDownload!$A$3:$BB$219,38,FALSE)/86400000),"-")</f>
        <v>-</v>
      </c>
      <c r="R154" s="58">
        <f>IFERROR(IF(VLOOKUP($A154,SortedDownload!$A$3:$BB$219,39,FALSE)=0,"-",VLOOKUP($A154,SortedDownload!$A$3:$BB$219,39,FALSE)/86400000),"-")</f>
        <v>0.48918687500000002</v>
      </c>
      <c r="S154" s="58">
        <f>IFERROR(IF(VLOOKUP($A154,SortedDownload!$A$3:$BB$219,40,FALSE)=0,"-",VLOOKUP($A154,SortedDownload!$A$3:$BB$219,40,FALSE)/86400000),"-")</f>
        <v>0.49295707175925924</v>
      </c>
      <c r="T154" s="58" t="str">
        <f>IFERROR(IF(VLOOKUP($A154,SortedDownload!$A$3:$BB$219,41,FALSE)=0,"-",VLOOKUP($A154,SortedDownload!$A$3:$BB$219,41,FALSE)/86400000),"-")</f>
        <v>-</v>
      </c>
      <c r="U154" s="58" t="str">
        <f>IFERROR(IF(VLOOKUP($A154,SortedDownload!$A$3:$BB$219,42,FALSE)=0,"-",VLOOKUP($A154,SortedDownload!$A$3:$BB$219,42,FALSE)/86400000),"-")</f>
        <v>-</v>
      </c>
      <c r="V154" s="58" t="str">
        <f>IFERROR(IF(VLOOKUP($A154,SortedDownload!$A$3:$BB$219,43,FALSE)=0,"-",VLOOKUP($A154,SortedDownload!$A$3:$BB$219,43,FALSE)/86400000),"-")</f>
        <v>-</v>
      </c>
      <c r="W154" s="58" t="str">
        <f>IFERROR(IF(VLOOKUP($A154,SortedDownload!$A$3:$BB$219,44,FALSE)=0,"-",VLOOKUP($A154,SortedDownload!$A$3:$BB$219,44,FALSE)/86400000),"-")</f>
        <v>-</v>
      </c>
      <c r="X154" s="58" t="str">
        <f>IFERROR(IF(VLOOKUP($A154,SortedDownload!$A$3:$BB$219,45,FALSE)=0,"-",VLOOKUP($A154,SortedDownload!$A$3:$BB$219,45,FALSE)/86400000),"-")</f>
        <v>-</v>
      </c>
      <c r="Y154" s="58">
        <f>IFERROR(VLOOKUP($A154,SortedDownload!$A$3:$BB$219,46,FALSE)/86400000,"")</f>
        <v>0</v>
      </c>
      <c r="Z154" s="58">
        <f>IFERROR(Table932[[#This Row],[End Time]]-Table932[[#This Row],[Start Time]],"")</f>
        <v>0</v>
      </c>
      <c r="AA154" s="58"/>
      <c r="AB154" s="170">
        <f t="shared" ref="AB154:AB184" si="16">Z154-Z153</f>
        <v>0</v>
      </c>
      <c r="AC154" s="170">
        <f t="shared" ref="AC154:AC184" si="17">Z154-Z$6</f>
        <v>0.40741215277777776</v>
      </c>
    </row>
    <row r="155" spans="1:29">
      <c r="A155" s="53">
        <f>IF(SortedDownload!A148 &lt; 1,"",SortedDownload!A148)</f>
        <v>215</v>
      </c>
      <c r="B155" s="146">
        <f t="shared" si="12"/>
        <v>150</v>
      </c>
      <c r="C155" s="146" t="str">
        <f>IFERROR(VLOOKUP($A155,CategoryResults!$A$3:$X$252,3,FALSE),"")</f>
        <v/>
      </c>
      <c r="D155" s="149" t="str">
        <f>IFERROR(VLOOKUP($A155,EntryList!$A$3:$N$291,2,FALSE),"")</f>
        <v>Benjamin Fourie</v>
      </c>
      <c r="E155" s="146" t="str">
        <f>IFERROR(VLOOKUP(C155,SeriesPoints!$A$2:$B$51,2,FALSE),"")</f>
        <v/>
      </c>
      <c r="F155" s="150" t="str">
        <f>IFERROR(VLOOKUP($A155,EntryList!$A$3:$V$291,22,FALSE),"")</f>
        <v>-</v>
      </c>
      <c r="G155" s="148" t="str">
        <f>IFERROR(VLOOKUP($A155,EntryList!$A$3:$N$291,6,FALSE),"")</f>
        <v>M</v>
      </c>
      <c r="H155" s="226" t="str">
        <f>IFERROR(VLOOKUP($A155,EntryList!$A$3:$N$291,7,FALSE),"")</f>
        <v>Sub Junior Boys</v>
      </c>
      <c r="I155" s="220">
        <f t="shared" si="13"/>
        <v>6</v>
      </c>
      <c r="J155" s="58">
        <f>IFERROR(VLOOKUP($A155,SortedDownload!$A$3:$BB$219,31,FALSE)/86400000,"")</f>
        <v>0</v>
      </c>
      <c r="K155" s="58" t="str">
        <f>IFERROR(IF(VLOOKUP($A155,SortedDownload!$A$3:$BB$219,32,FALSE)=0,"-",VLOOKUP($A155,SortedDownload!$A$3:$BB$219,32,FALSE)/86400000),"-")</f>
        <v>-</v>
      </c>
      <c r="L155" s="58">
        <f>IFERROR(IF(VLOOKUP($A155,SortedDownload!$A$3:$BB$219,33,FALSE)=0,"-",VLOOKUP($A155,SortedDownload!$A$3:$BB$219,33,FALSE)/86400000),"-")</f>
        <v>0.3932878125</v>
      </c>
      <c r="M155" s="58">
        <f>IFERROR(IF(VLOOKUP($A155,SortedDownload!$A$3:$BB$219,34,FALSE)=0,"-",VLOOKUP($A155,SortedDownload!$A$3:$BB$219,34,FALSE)/86400000),"-")</f>
        <v>0.39614401620370371</v>
      </c>
      <c r="N155" s="58">
        <f>IFERROR(IF(VLOOKUP($A155,SortedDownload!$A$3:$BB$219,35,FALSE)=0,"-",VLOOKUP($A155,SortedDownload!$A$3:$BB$219,35,FALSE)/86400000),"-")</f>
        <v>0.42623775462962965</v>
      </c>
      <c r="O155" s="58">
        <f>IFERROR(IF(VLOOKUP($A155,SortedDownload!$A$3:$BB$219,36,FALSE)=0,"-",VLOOKUP($A155,SortedDownload!$A$3:$BB$219,36,FALSE)/86400000),"-")</f>
        <v>0.42783304398148148</v>
      </c>
      <c r="P155" s="58" t="str">
        <f>IFERROR(IF(VLOOKUP($A155,SortedDownload!$A$3:$BB$219,37,FALSE)=0,"-",VLOOKUP($A155,SortedDownload!$A$3:$BB$219,37,FALSE)/86400000),"-")</f>
        <v>-</v>
      </c>
      <c r="Q155" s="58" t="str">
        <f>IFERROR(IF(VLOOKUP($A155,SortedDownload!$A$3:$BB$219,38,FALSE)=0,"-",VLOOKUP($A155,SortedDownload!$A$3:$BB$219,38,FALSE)/86400000),"-")</f>
        <v>-</v>
      </c>
      <c r="R155" s="58">
        <f>IFERROR(IF(VLOOKUP($A155,SortedDownload!$A$3:$BB$219,39,FALSE)=0,"-",VLOOKUP($A155,SortedDownload!$A$3:$BB$219,39,FALSE)/86400000),"-")</f>
        <v>0.47036430555555553</v>
      </c>
      <c r="S155" s="58">
        <f>IFERROR(IF(VLOOKUP($A155,SortedDownload!$A$3:$BB$219,40,FALSE)=0,"-",VLOOKUP($A155,SortedDownload!$A$3:$BB$219,40,FALSE)/86400000),"-")</f>
        <v>0.47400947916666669</v>
      </c>
      <c r="T155" s="58" t="str">
        <f>IFERROR(IF(VLOOKUP($A155,SortedDownload!$A$3:$BB$219,41,FALSE)=0,"-",VLOOKUP($A155,SortedDownload!$A$3:$BB$219,41,FALSE)/86400000),"-")</f>
        <v>-</v>
      </c>
      <c r="U155" s="58" t="str">
        <f>IFERROR(IF(VLOOKUP($A155,SortedDownload!$A$3:$BB$219,42,FALSE)=0,"-",VLOOKUP($A155,SortedDownload!$A$3:$BB$219,42,FALSE)/86400000),"-")</f>
        <v>-</v>
      </c>
      <c r="V155" s="58" t="str">
        <f>IFERROR(IF(VLOOKUP($A155,SortedDownload!$A$3:$BB$219,43,FALSE)=0,"-",VLOOKUP($A155,SortedDownload!$A$3:$BB$219,43,FALSE)/86400000),"-")</f>
        <v>-</v>
      </c>
      <c r="W155" s="58" t="str">
        <f>IFERROR(IF(VLOOKUP($A155,SortedDownload!$A$3:$BB$219,44,FALSE)=0,"-",VLOOKUP($A155,SortedDownload!$A$3:$BB$219,44,FALSE)/86400000),"-")</f>
        <v>-</v>
      </c>
      <c r="X155" s="58" t="str">
        <f>IFERROR(IF(VLOOKUP($A155,SortedDownload!$A$3:$BB$219,45,FALSE)=0,"-",VLOOKUP($A155,SortedDownload!$A$3:$BB$219,45,FALSE)/86400000),"-")</f>
        <v>-</v>
      </c>
      <c r="Y155" s="58">
        <f>IFERROR(VLOOKUP($A155,SortedDownload!$A$3:$BB$219,46,FALSE)/86400000,"")</f>
        <v>0</v>
      </c>
      <c r="Z155" s="58">
        <f>IFERROR(Table932[[#This Row],[End Time]]-Table932[[#This Row],[Start Time]],"")</f>
        <v>0</v>
      </c>
      <c r="AA155" s="58"/>
      <c r="AB155" s="170">
        <f t="shared" si="16"/>
        <v>0</v>
      </c>
      <c r="AC155" s="170">
        <f t="shared" si="17"/>
        <v>0.40741215277777776</v>
      </c>
    </row>
    <row r="156" spans="1:29">
      <c r="A156" s="53">
        <f>IF(SortedDownload!A149 &lt; 1,"",SortedDownload!A149)</f>
        <v>205</v>
      </c>
      <c r="B156" s="146">
        <f t="shared" si="12"/>
        <v>151</v>
      </c>
      <c r="C156" s="146" t="str">
        <f>IFERROR(VLOOKUP($A156,CategoryResults!$A$3:$X$252,3,FALSE),"")</f>
        <v/>
      </c>
      <c r="D156" s="149" t="str">
        <f>IFERROR(VLOOKUP($A156,EntryList!$A$3:$N$291,2,FALSE),"")</f>
        <v>Johmar Loubser</v>
      </c>
      <c r="E156" s="146" t="str">
        <f>IFERROR(VLOOKUP(C156,SeriesPoints!$A$2:$B$51,2,FALSE),"")</f>
        <v/>
      </c>
      <c r="F156" s="150" t="str">
        <f>IFERROR(VLOOKUP($A156,EntryList!$A$3:$V$291,22,FALSE),"")</f>
        <v>-</v>
      </c>
      <c r="G156" s="148" t="str">
        <f>IFERROR(VLOOKUP($A156,EntryList!$A$3:$N$291,6,FALSE),"")</f>
        <v>M</v>
      </c>
      <c r="H156" s="226" t="str">
        <f>IFERROR(VLOOKUP($A156,EntryList!$A$3:$N$291,7,FALSE),"")</f>
        <v>Lite M</v>
      </c>
      <c r="I156" s="220">
        <f t="shared" si="13"/>
        <v>6</v>
      </c>
      <c r="J156" s="58">
        <f>IFERROR(VLOOKUP($A156,SortedDownload!$A$3:$BB$219,31,FALSE)/86400000,"")</f>
        <v>0</v>
      </c>
      <c r="K156" s="58" t="str">
        <f>IFERROR(IF(VLOOKUP($A156,SortedDownload!$A$3:$BB$219,32,FALSE)=0,"-",VLOOKUP($A156,SortedDownload!$A$3:$BB$219,32,FALSE)/86400000),"-")</f>
        <v>-</v>
      </c>
      <c r="L156" s="58">
        <f>IFERROR(IF(VLOOKUP($A156,SortedDownload!$A$3:$BB$219,33,FALSE)=0,"-",VLOOKUP($A156,SortedDownload!$A$3:$BB$219,33,FALSE)/86400000),"-")</f>
        <v>0.40218923611111113</v>
      </c>
      <c r="M156" s="58">
        <f>IFERROR(IF(VLOOKUP($A156,SortedDownload!$A$3:$BB$219,34,FALSE)=0,"-",VLOOKUP($A156,SortedDownload!$A$3:$BB$219,34,FALSE)/86400000),"-")</f>
        <v>0.4050224652777778</v>
      </c>
      <c r="N156" s="58">
        <f>IFERROR(IF(VLOOKUP($A156,SortedDownload!$A$3:$BB$219,35,FALSE)=0,"-",VLOOKUP($A156,SortedDownload!$A$3:$BB$219,35,FALSE)/86400000),"-")</f>
        <v>0.43939916666666667</v>
      </c>
      <c r="O156" s="58">
        <f>IFERROR(IF(VLOOKUP($A156,SortedDownload!$A$3:$BB$219,36,FALSE)=0,"-",VLOOKUP($A156,SortedDownload!$A$3:$BB$219,36,FALSE)/86400000),"-")</f>
        <v>0.44098065972222222</v>
      </c>
      <c r="P156" s="58" t="str">
        <f>IFERROR(IF(VLOOKUP($A156,SortedDownload!$A$3:$BB$219,37,FALSE)=0,"-",VLOOKUP($A156,SortedDownload!$A$3:$BB$219,37,FALSE)/86400000),"-")</f>
        <v>-</v>
      </c>
      <c r="Q156" s="58" t="str">
        <f>IFERROR(IF(VLOOKUP($A156,SortedDownload!$A$3:$BB$219,38,FALSE)=0,"-",VLOOKUP($A156,SortedDownload!$A$3:$BB$219,38,FALSE)/86400000),"-")</f>
        <v>-</v>
      </c>
      <c r="R156" s="58">
        <f>IFERROR(IF(VLOOKUP($A156,SortedDownload!$A$3:$BB$219,39,FALSE)=0,"-",VLOOKUP($A156,SortedDownload!$A$3:$BB$219,39,FALSE)/86400000),"-")</f>
        <v>0.48841652777777778</v>
      </c>
      <c r="S156" s="58">
        <f>IFERROR(IF(VLOOKUP($A156,SortedDownload!$A$3:$BB$219,40,FALSE)=0,"-",VLOOKUP($A156,SortedDownload!$A$3:$BB$219,40,FALSE)/86400000),"-")</f>
        <v>0.49210920138888886</v>
      </c>
      <c r="T156" s="58" t="str">
        <f>IFERROR(IF(VLOOKUP($A156,SortedDownload!$A$3:$BB$219,41,FALSE)=0,"-",VLOOKUP($A156,SortedDownload!$A$3:$BB$219,41,FALSE)/86400000),"-")</f>
        <v>-</v>
      </c>
      <c r="U156" s="58" t="str">
        <f>IFERROR(IF(VLOOKUP($A156,SortedDownload!$A$3:$BB$219,42,FALSE)=0,"-",VLOOKUP($A156,SortedDownload!$A$3:$BB$219,42,FALSE)/86400000),"-")</f>
        <v>-</v>
      </c>
      <c r="V156" s="58" t="str">
        <f>IFERROR(IF(VLOOKUP($A156,SortedDownload!$A$3:$BB$219,43,FALSE)=0,"-",VLOOKUP($A156,SortedDownload!$A$3:$BB$219,43,FALSE)/86400000),"-")</f>
        <v>-</v>
      </c>
      <c r="W156" s="58" t="str">
        <f>IFERROR(IF(VLOOKUP($A156,SortedDownload!$A$3:$BB$219,44,FALSE)=0,"-",VLOOKUP($A156,SortedDownload!$A$3:$BB$219,44,FALSE)/86400000),"-")</f>
        <v>-</v>
      </c>
      <c r="X156" s="58" t="str">
        <f>IFERROR(IF(VLOOKUP($A156,SortedDownload!$A$3:$BB$219,45,FALSE)=0,"-",VLOOKUP($A156,SortedDownload!$A$3:$BB$219,45,FALSE)/86400000),"-")</f>
        <v>-</v>
      </c>
      <c r="Y156" s="58">
        <f>IFERROR(VLOOKUP($A156,SortedDownload!$A$3:$BB$219,46,FALSE)/86400000,"")</f>
        <v>0</v>
      </c>
      <c r="Z156" s="58">
        <f>IFERROR(Table932[[#This Row],[End Time]]-Table932[[#This Row],[Start Time]],"")</f>
        <v>0</v>
      </c>
      <c r="AA156" s="58"/>
      <c r="AB156" s="170">
        <f t="shared" si="16"/>
        <v>0</v>
      </c>
      <c r="AC156" s="170">
        <f t="shared" si="17"/>
        <v>0.40741215277777776</v>
      </c>
    </row>
    <row r="157" spans="1:29">
      <c r="A157" s="53">
        <f>IF(SortedDownload!A150 &lt; 1,"",SortedDownload!A150)</f>
        <v>139</v>
      </c>
      <c r="B157" s="146">
        <f t="shared" si="12"/>
        <v>152</v>
      </c>
      <c r="C157" s="146" t="str">
        <f>IFERROR(VLOOKUP($A157,CategoryResults!$A$3:$X$252,3,FALSE),"")</f>
        <v/>
      </c>
      <c r="D157" s="149" t="str">
        <f>IFERROR(VLOOKUP($A157,EntryList!$A$3:$N$291,2,FALSE),"")</f>
        <v>Heinrich Vreken</v>
      </c>
      <c r="E157" s="146" t="str">
        <f>IFERROR(VLOOKUP(C157,SeriesPoints!$A$2:$B$51,2,FALSE),"")</f>
        <v/>
      </c>
      <c r="F157" s="150" t="str">
        <f>IFERROR(VLOOKUP($A157,EntryList!$A$3:$V$291,22,FALSE),"")</f>
        <v>-</v>
      </c>
      <c r="G157" s="148" t="str">
        <f>IFERROR(VLOOKUP($A157,EntryList!$A$3:$N$291,6,FALSE),"")</f>
        <v>M</v>
      </c>
      <c r="H157" s="226" t="str">
        <f>IFERROR(VLOOKUP($A157,EntryList!$A$3:$N$291,7,FALSE),"")</f>
        <v>Lite M</v>
      </c>
      <c r="I157" s="220">
        <f t="shared" si="13"/>
        <v>6</v>
      </c>
      <c r="J157" s="58">
        <f>IFERROR(VLOOKUP($A157,SortedDownload!$A$3:$BB$219,31,FALSE)/86400000,"")</f>
        <v>0</v>
      </c>
      <c r="K157" s="58" t="str">
        <f>IFERROR(IF(VLOOKUP($A157,SortedDownload!$A$3:$BB$219,32,FALSE)=0,"-",VLOOKUP($A157,SortedDownload!$A$3:$BB$219,32,FALSE)/86400000),"-")</f>
        <v>-</v>
      </c>
      <c r="L157" s="58">
        <f>IFERROR(IF(VLOOKUP($A157,SortedDownload!$A$3:$BB$219,33,FALSE)=0,"-",VLOOKUP($A157,SortedDownload!$A$3:$BB$219,33,FALSE)/86400000),"-")</f>
        <v>0.39438896990740741</v>
      </c>
      <c r="M157" s="58">
        <f>IFERROR(IF(VLOOKUP($A157,SortedDownload!$A$3:$BB$219,34,FALSE)=0,"-",VLOOKUP($A157,SortedDownload!$A$3:$BB$219,34,FALSE)/86400000),"-")</f>
        <v>0.39727138888888891</v>
      </c>
      <c r="N157" s="58">
        <f>IFERROR(IF(VLOOKUP($A157,SortedDownload!$A$3:$BB$219,35,FALSE)=0,"-",VLOOKUP($A157,SortedDownload!$A$3:$BB$219,35,FALSE)/86400000),"-")</f>
        <v>0.42745505787037036</v>
      </c>
      <c r="O157" s="58">
        <f>IFERROR(IF(VLOOKUP($A157,SortedDownload!$A$3:$BB$219,36,FALSE)=0,"-",VLOOKUP($A157,SortedDownload!$A$3:$BB$219,36,FALSE)/86400000),"-")</f>
        <v>0.42904325231481483</v>
      </c>
      <c r="P157" s="58" t="str">
        <f>IFERROR(IF(VLOOKUP($A157,SortedDownload!$A$3:$BB$219,37,FALSE)=0,"-",VLOOKUP($A157,SortedDownload!$A$3:$BB$219,37,FALSE)/86400000),"-")</f>
        <v>-</v>
      </c>
      <c r="Q157" s="58" t="str">
        <f>IFERROR(IF(VLOOKUP($A157,SortedDownload!$A$3:$BB$219,38,FALSE)=0,"-",VLOOKUP($A157,SortedDownload!$A$3:$BB$219,38,FALSE)/86400000),"-")</f>
        <v>-</v>
      </c>
      <c r="R157" s="58">
        <f>IFERROR(IF(VLOOKUP($A157,SortedDownload!$A$3:$BB$219,39,FALSE)=0,"-",VLOOKUP($A157,SortedDownload!$A$3:$BB$219,39,FALSE)/86400000),"-")</f>
        <v>0.47107756944444446</v>
      </c>
      <c r="S157" s="58">
        <f>IFERROR(IF(VLOOKUP($A157,SortedDownload!$A$3:$BB$219,40,FALSE)=0,"-",VLOOKUP($A157,SortedDownload!$A$3:$BB$219,40,FALSE)/86400000),"-")</f>
        <v>0.47492483796296298</v>
      </c>
      <c r="T157" s="58" t="str">
        <f>IFERROR(IF(VLOOKUP($A157,SortedDownload!$A$3:$BB$219,41,FALSE)=0,"-",VLOOKUP($A157,SortedDownload!$A$3:$BB$219,41,FALSE)/86400000),"-")</f>
        <v>-</v>
      </c>
      <c r="U157" s="58" t="str">
        <f>IFERROR(IF(VLOOKUP($A157,SortedDownload!$A$3:$BB$219,42,FALSE)=0,"-",VLOOKUP($A157,SortedDownload!$A$3:$BB$219,42,FALSE)/86400000),"-")</f>
        <v>-</v>
      </c>
      <c r="V157" s="58" t="str">
        <f>IFERROR(IF(VLOOKUP($A157,SortedDownload!$A$3:$BB$219,43,FALSE)=0,"-",VLOOKUP($A157,SortedDownload!$A$3:$BB$219,43,FALSE)/86400000),"-")</f>
        <v>-</v>
      </c>
      <c r="W157" s="58" t="str">
        <f>IFERROR(IF(VLOOKUP($A157,SortedDownload!$A$3:$BB$219,44,FALSE)=0,"-",VLOOKUP($A157,SortedDownload!$A$3:$BB$219,44,FALSE)/86400000),"-")</f>
        <v>-</v>
      </c>
      <c r="X157" s="58" t="str">
        <f>IFERROR(IF(VLOOKUP($A157,SortedDownload!$A$3:$BB$219,45,FALSE)=0,"-",VLOOKUP($A157,SortedDownload!$A$3:$BB$219,45,FALSE)/86400000),"-")</f>
        <v>-</v>
      </c>
      <c r="Y157" s="58">
        <f>IFERROR(VLOOKUP($A157,SortedDownload!$A$3:$BB$219,46,FALSE)/86400000,"")</f>
        <v>0</v>
      </c>
      <c r="Z157" s="58">
        <f>IFERROR(Table932[[#This Row],[End Time]]-Table932[[#This Row],[Start Time]],"")</f>
        <v>0</v>
      </c>
      <c r="AA157" s="58"/>
      <c r="AB157" s="170">
        <f t="shared" si="16"/>
        <v>0</v>
      </c>
      <c r="AC157" s="170">
        <f t="shared" si="17"/>
        <v>0.40741215277777776</v>
      </c>
    </row>
    <row r="158" spans="1:29">
      <c r="A158" s="53">
        <f>IF(SortedDownload!A151 &lt; 1,"",SortedDownload!A151)</f>
        <v>265</v>
      </c>
      <c r="B158" s="146">
        <f t="shared" si="12"/>
        <v>153</v>
      </c>
      <c r="C158" s="146" t="str">
        <f>IFERROR(VLOOKUP($A158,CategoryResults!$A$3:$X$252,3,FALSE),"")</f>
        <v/>
      </c>
      <c r="D158" s="149" t="str">
        <f>IFERROR(VLOOKUP($A158,EntryList!$A$3:$N$291,2,FALSE),"")</f>
        <v>Phil Hulse</v>
      </c>
      <c r="E158" s="146" t="str">
        <f>IFERROR(VLOOKUP(C158,SeriesPoints!$A$2:$B$51,2,FALSE),"")</f>
        <v/>
      </c>
      <c r="F158" s="150" t="str">
        <f>IFERROR(VLOOKUP($A158,EntryList!$A$3:$V$291,22,FALSE),"")</f>
        <v>-</v>
      </c>
      <c r="G158" s="148" t="str">
        <f>IFERROR(VLOOKUP($A158,EntryList!$A$3:$N$291,6,FALSE),"")</f>
        <v>M</v>
      </c>
      <c r="H158" s="226" t="str">
        <f>IFERROR(VLOOKUP($A158,EntryList!$A$3:$N$291,7,FALSE),"")</f>
        <v>E-Bike Lite M</v>
      </c>
      <c r="I158" s="220">
        <f t="shared" si="13"/>
        <v>6</v>
      </c>
      <c r="J158" s="58">
        <f>IFERROR(VLOOKUP($A158,SortedDownload!$A$3:$BB$219,31,FALSE)/86400000,"")</f>
        <v>0</v>
      </c>
      <c r="K158" s="58" t="str">
        <f>IFERROR(IF(VLOOKUP($A158,SortedDownload!$A$3:$BB$219,32,FALSE)=0,"-",VLOOKUP($A158,SortedDownload!$A$3:$BB$219,32,FALSE)/86400000),"-")</f>
        <v>-</v>
      </c>
      <c r="L158" s="58">
        <f>IFERROR(IF(VLOOKUP($A158,SortedDownload!$A$3:$BB$219,33,FALSE)=0,"-",VLOOKUP($A158,SortedDownload!$A$3:$BB$219,33,FALSE)/86400000),"-")</f>
        <v>0.39074708333333336</v>
      </c>
      <c r="M158" s="58">
        <f>IFERROR(IF(VLOOKUP($A158,SortedDownload!$A$3:$BB$219,34,FALSE)=0,"-",VLOOKUP($A158,SortedDownload!$A$3:$BB$219,34,FALSE)/86400000),"-")</f>
        <v>0.39361481481481481</v>
      </c>
      <c r="N158" s="58">
        <f>IFERROR(IF(VLOOKUP($A158,SortedDownload!$A$3:$BB$219,35,FALSE)=0,"-",VLOOKUP($A158,SortedDownload!$A$3:$BB$219,35,FALSE)/86400000),"-")</f>
        <v>0.43032629629629632</v>
      </c>
      <c r="O158" s="58">
        <f>IFERROR(IF(VLOOKUP($A158,SortedDownload!$A$3:$BB$219,36,FALSE)=0,"-",VLOOKUP($A158,SortedDownload!$A$3:$BB$219,36,FALSE)/86400000),"-")</f>
        <v>0.43191964120370369</v>
      </c>
      <c r="P158" s="58" t="str">
        <f>IFERROR(IF(VLOOKUP($A158,SortedDownload!$A$3:$BB$219,37,FALSE)=0,"-",VLOOKUP($A158,SortedDownload!$A$3:$BB$219,37,FALSE)/86400000),"-")</f>
        <v>-</v>
      </c>
      <c r="Q158" s="58" t="str">
        <f>IFERROR(IF(VLOOKUP($A158,SortedDownload!$A$3:$BB$219,38,FALSE)=0,"-",VLOOKUP($A158,SortedDownload!$A$3:$BB$219,38,FALSE)/86400000),"-")</f>
        <v>-</v>
      </c>
      <c r="R158" s="58">
        <f>IFERROR(IF(VLOOKUP($A158,SortedDownload!$A$3:$BB$219,39,FALSE)=0,"-",VLOOKUP($A158,SortedDownload!$A$3:$BB$219,39,FALSE)/86400000),"-")</f>
        <v>0.48617282407407408</v>
      </c>
      <c r="S158" s="58">
        <f>IFERROR(IF(VLOOKUP($A158,SortedDownload!$A$3:$BB$219,40,FALSE)=0,"-",VLOOKUP($A158,SortedDownload!$A$3:$BB$219,40,FALSE)/86400000),"-")</f>
        <v>0.49003835648148147</v>
      </c>
      <c r="T158" s="58" t="str">
        <f>IFERROR(IF(VLOOKUP($A158,SortedDownload!$A$3:$BB$219,41,FALSE)=0,"-",VLOOKUP($A158,SortedDownload!$A$3:$BB$219,41,FALSE)/86400000),"-")</f>
        <v>-</v>
      </c>
      <c r="U158" s="58" t="str">
        <f>IFERROR(IF(VLOOKUP($A158,SortedDownload!$A$3:$BB$219,42,FALSE)=0,"-",VLOOKUP($A158,SortedDownload!$A$3:$BB$219,42,FALSE)/86400000),"-")</f>
        <v>-</v>
      </c>
      <c r="V158" s="58" t="str">
        <f>IFERROR(IF(VLOOKUP($A158,SortedDownload!$A$3:$BB$219,43,FALSE)=0,"-",VLOOKUP($A158,SortedDownload!$A$3:$BB$219,43,FALSE)/86400000),"-")</f>
        <v>-</v>
      </c>
      <c r="W158" s="58" t="str">
        <f>IFERROR(IF(VLOOKUP($A158,SortedDownload!$A$3:$BB$219,44,FALSE)=0,"-",VLOOKUP($A158,SortedDownload!$A$3:$BB$219,44,FALSE)/86400000),"-")</f>
        <v>-</v>
      </c>
      <c r="X158" s="58" t="str">
        <f>IFERROR(IF(VLOOKUP($A158,SortedDownload!$A$3:$BB$219,45,FALSE)=0,"-",VLOOKUP($A158,SortedDownload!$A$3:$BB$219,45,FALSE)/86400000),"-")</f>
        <v>-</v>
      </c>
      <c r="Y158" s="58">
        <f>IFERROR(VLOOKUP($A158,SortedDownload!$A$3:$BB$219,46,FALSE)/86400000,"")</f>
        <v>0</v>
      </c>
      <c r="Z158" s="58">
        <f>IFERROR(Table932[[#This Row],[End Time]]-Table932[[#This Row],[Start Time]],"")</f>
        <v>0</v>
      </c>
      <c r="AA158" s="58"/>
      <c r="AB158" s="170">
        <f t="shared" si="16"/>
        <v>0</v>
      </c>
      <c r="AC158" s="170">
        <f t="shared" si="17"/>
        <v>0.40741215277777776</v>
      </c>
    </row>
    <row r="159" spans="1:29">
      <c r="A159" s="53">
        <f>IF(SortedDownload!A152 &lt; 1,"",SortedDownload!A152)</f>
        <v>53</v>
      </c>
      <c r="B159" s="146">
        <f t="shared" si="12"/>
        <v>154</v>
      </c>
      <c r="C159" s="146" t="str">
        <f>IFERROR(VLOOKUP($A159,CategoryResults!$A$3:$X$252,3,FALSE),"")</f>
        <v/>
      </c>
      <c r="D159" s="149" t="str">
        <f>IFERROR(VLOOKUP($A159,EntryList!$A$3:$N$291,2,FALSE),"")</f>
        <v>Paul Combrinck</v>
      </c>
      <c r="E159" s="146" t="str">
        <f>IFERROR(VLOOKUP(C159,SeriesPoints!$A$2:$B$51,2,FALSE),"")</f>
        <v/>
      </c>
      <c r="F159" s="150" t="str">
        <f>IFERROR(VLOOKUP($A159,EntryList!$A$3:$V$291,22,FALSE),"")</f>
        <v>-</v>
      </c>
      <c r="G159" s="148" t="str">
        <f>IFERROR(VLOOKUP($A159,EntryList!$A$3:$N$291,6,FALSE),"")</f>
        <v>M</v>
      </c>
      <c r="H159" s="226" t="str">
        <f>IFERROR(VLOOKUP($A159,EntryList!$A$3:$N$291,7,FALSE),"")</f>
        <v>E-Bike Lite M</v>
      </c>
      <c r="I159" s="220">
        <f t="shared" si="13"/>
        <v>6</v>
      </c>
      <c r="J159" s="58">
        <f>IFERROR(VLOOKUP($A159,SortedDownload!$A$3:$BB$219,31,FALSE)/86400000,"")</f>
        <v>0</v>
      </c>
      <c r="K159" s="58" t="str">
        <f>IFERROR(IF(VLOOKUP($A159,SortedDownload!$A$3:$BB$219,32,FALSE)=0,"-",VLOOKUP($A159,SortedDownload!$A$3:$BB$219,32,FALSE)/86400000),"-")</f>
        <v>-</v>
      </c>
      <c r="L159" s="58">
        <f>IFERROR(IF(VLOOKUP($A159,SortedDownload!$A$3:$BB$219,33,FALSE)=0,"-",VLOOKUP($A159,SortedDownload!$A$3:$BB$219,33,FALSE)/86400000),"-")</f>
        <v>0.35401035879629628</v>
      </c>
      <c r="M159" s="58">
        <f>IFERROR(IF(VLOOKUP($A159,SortedDownload!$A$3:$BB$219,34,FALSE)=0,"-",VLOOKUP($A159,SortedDownload!$A$3:$BB$219,34,FALSE)/86400000),"-")</f>
        <v>0.35689031249999997</v>
      </c>
      <c r="N159" s="58">
        <f>IFERROR(IF(VLOOKUP($A159,SortedDownload!$A$3:$BB$219,35,FALSE)=0,"-",VLOOKUP($A159,SortedDownload!$A$3:$BB$219,35,FALSE)/86400000),"-")</f>
        <v>0.38194519675925925</v>
      </c>
      <c r="O159" s="58">
        <f>IFERROR(IF(VLOOKUP($A159,SortedDownload!$A$3:$BB$219,36,FALSE)=0,"-",VLOOKUP($A159,SortedDownload!$A$3:$BB$219,36,FALSE)/86400000),"-")</f>
        <v>0.38369655092592592</v>
      </c>
      <c r="P159" s="58" t="str">
        <f>IFERROR(IF(VLOOKUP($A159,SortedDownload!$A$3:$BB$219,37,FALSE)=0,"-",VLOOKUP($A159,SortedDownload!$A$3:$BB$219,37,FALSE)/86400000),"-")</f>
        <v>-</v>
      </c>
      <c r="Q159" s="58" t="str">
        <f>IFERROR(IF(VLOOKUP($A159,SortedDownload!$A$3:$BB$219,38,FALSE)=0,"-",VLOOKUP($A159,SortedDownload!$A$3:$BB$219,38,FALSE)/86400000),"-")</f>
        <v>-</v>
      </c>
      <c r="R159" s="58">
        <f>IFERROR(IF(VLOOKUP($A159,SortedDownload!$A$3:$BB$219,39,FALSE)=0,"-",VLOOKUP($A159,SortedDownload!$A$3:$BB$219,39,FALSE)/86400000),"-")</f>
        <v>0.42515819444444447</v>
      </c>
      <c r="S159" s="58">
        <f>IFERROR(IF(VLOOKUP($A159,SortedDownload!$A$3:$BB$219,40,FALSE)=0,"-",VLOOKUP($A159,SortedDownload!$A$3:$BB$219,40,FALSE)/86400000),"-")</f>
        <v>0.42905929398148146</v>
      </c>
      <c r="T159" s="58" t="str">
        <f>IFERROR(IF(VLOOKUP($A159,SortedDownload!$A$3:$BB$219,41,FALSE)=0,"-",VLOOKUP($A159,SortedDownload!$A$3:$BB$219,41,FALSE)/86400000),"-")</f>
        <v>-</v>
      </c>
      <c r="U159" s="58" t="str">
        <f>IFERROR(IF(VLOOKUP($A159,SortedDownload!$A$3:$BB$219,42,FALSE)=0,"-",VLOOKUP($A159,SortedDownload!$A$3:$BB$219,42,FALSE)/86400000),"-")</f>
        <v>-</v>
      </c>
      <c r="V159" s="58" t="str">
        <f>IFERROR(IF(VLOOKUP($A159,SortedDownload!$A$3:$BB$219,43,FALSE)=0,"-",VLOOKUP($A159,SortedDownload!$A$3:$BB$219,43,FALSE)/86400000),"-")</f>
        <v>-</v>
      </c>
      <c r="W159" s="58" t="str">
        <f>IFERROR(IF(VLOOKUP($A159,SortedDownload!$A$3:$BB$219,44,FALSE)=0,"-",VLOOKUP($A159,SortedDownload!$A$3:$BB$219,44,FALSE)/86400000),"-")</f>
        <v>-</v>
      </c>
      <c r="X159" s="58" t="str">
        <f>IFERROR(IF(VLOOKUP($A159,SortedDownload!$A$3:$BB$219,45,FALSE)=0,"-",VLOOKUP($A159,SortedDownload!$A$3:$BB$219,45,FALSE)/86400000),"-")</f>
        <v>-</v>
      </c>
      <c r="Y159" s="58">
        <f>IFERROR(VLOOKUP($A159,SortedDownload!$A$3:$BB$219,46,FALSE)/86400000,"")</f>
        <v>0</v>
      </c>
      <c r="Z159" s="58">
        <f>IFERROR(Table932[[#This Row],[End Time]]-Table932[[#This Row],[Start Time]],"")</f>
        <v>0</v>
      </c>
      <c r="AA159" s="58"/>
      <c r="AB159" s="170">
        <f t="shared" si="16"/>
        <v>0</v>
      </c>
      <c r="AC159" s="170">
        <f t="shared" si="17"/>
        <v>0.40741215277777776</v>
      </c>
    </row>
    <row r="160" spans="1:29">
      <c r="A160" s="53">
        <f>IF(SortedDownload!A153 &lt; 1,"",SortedDownload!A153)</f>
        <v>154</v>
      </c>
      <c r="B160" s="146">
        <f t="shared" si="12"/>
        <v>155</v>
      </c>
      <c r="C160" s="146" t="str">
        <f>IFERROR(VLOOKUP($A160,CategoryResults!$A$3:$X$252,3,FALSE),"")</f>
        <v/>
      </c>
      <c r="D160" s="149" t="str">
        <f>IFERROR(VLOOKUP($A160,EntryList!$A$3:$N$291,2,FALSE),"")</f>
        <v>Philip Viljoen</v>
      </c>
      <c r="E160" s="146" t="str">
        <f>IFERROR(VLOOKUP(C160,SeriesPoints!$A$2:$B$51,2,FALSE),"")</f>
        <v/>
      </c>
      <c r="F160" s="150" t="str">
        <f>IFERROR(VLOOKUP($A160,EntryList!$A$3:$V$291,22,FALSE),"")</f>
        <v>-</v>
      </c>
      <c r="G160" s="148" t="str">
        <f>IFERROR(VLOOKUP($A160,EntryList!$A$3:$N$291,6,FALSE),"")</f>
        <v>M</v>
      </c>
      <c r="H160" s="226" t="str">
        <f>IFERROR(VLOOKUP($A160,EntryList!$A$3:$N$291,7,FALSE),"")</f>
        <v>Master Men</v>
      </c>
      <c r="I160" s="220">
        <f t="shared" si="13"/>
        <v>6</v>
      </c>
      <c r="J160" s="58">
        <f>IFERROR(VLOOKUP($A160,SortedDownload!$A$3:$BB$219,31,FALSE)/86400000,"")</f>
        <v>0.32564594907407407</v>
      </c>
      <c r="K160" s="58">
        <f>IFERROR(IF(VLOOKUP($A160,SortedDownload!$A$3:$BB$219,32,FALSE)=0,"-",VLOOKUP($A160,SortedDownload!$A$3:$BB$219,32,FALSE)/86400000),"-")</f>
        <v>0.3285924652777778</v>
      </c>
      <c r="L160" s="58" t="str">
        <f>IFERROR(IF(VLOOKUP($A160,SortedDownload!$A$3:$BB$219,33,FALSE)=0,"-",VLOOKUP($A160,SortedDownload!$A$3:$BB$219,33,FALSE)/86400000),"-")</f>
        <v>-</v>
      </c>
      <c r="M160" s="58" t="str">
        <f>IFERROR(IF(VLOOKUP($A160,SortedDownload!$A$3:$BB$219,34,FALSE)=0,"-",VLOOKUP($A160,SortedDownload!$A$3:$BB$219,34,FALSE)/86400000),"-")</f>
        <v>-</v>
      </c>
      <c r="N160" s="58">
        <f>IFERROR(IF(VLOOKUP($A160,SortedDownload!$A$3:$BB$219,35,FALSE)=0,"-",VLOOKUP($A160,SortedDownload!$A$3:$BB$219,35,FALSE)/86400000),"-")</f>
        <v>0.35394442129629627</v>
      </c>
      <c r="O160" s="58">
        <f>IFERROR(IF(VLOOKUP($A160,SortedDownload!$A$3:$BB$219,36,FALSE)=0,"-",VLOOKUP($A160,SortedDownload!$A$3:$BB$219,36,FALSE)/86400000),"-")</f>
        <v>0.35581248842592594</v>
      </c>
      <c r="P160" s="58" t="str">
        <f>IFERROR(IF(VLOOKUP($A160,SortedDownload!$A$3:$BB$219,37,FALSE)=0,"-",VLOOKUP($A160,SortedDownload!$A$3:$BB$219,37,FALSE)/86400000),"-")</f>
        <v>-</v>
      </c>
      <c r="Q160" s="58">
        <f>IFERROR(IF(VLOOKUP($A160,SortedDownload!$A$3:$BB$219,38,FALSE)=0,"-",VLOOKUP($A160,SortedDownload!$A$3:$BB$219,38,FALSE)/86400000),"-")</f>
        <v>0.37118844907407406</v>
      </c>
      <c r="R160" s="58">
        <f>IFERROR(IF(VLOOKUP($A160,SortedDownload!$A$3:$BB$219,39,FALSE)=0,"-",VLOOKUP($A160,SortedDownload!$A$3:$BB$219,39,FALSE)/86400000),"-")</f>
        <v>0.41965010416666665</v>
      </c>
      <c r="S160" s="58">
        <f>IFERROR(IF(VLOOKUP($A160,SortedDownload!$A$3:$BB$219,40,FALSE)=0,"-",VLOOKUP($A160,SortedDownload!$A$3:$BB$219,40,FALSE)/86400000),"-")</f>
        <v>0.42347024305555553</v>
      </c>
      <c r="T160" s="58" t="str">
        <f>IFERROR(IF(VLOOKUP($A160,SortedDownload!$A$3:$BB$219,41,FALSE)=0,"-",VLOOKUP($A160,SortedDownload!$A$3:$BB$219,41,FALSE)/86400000),"-")</f>
        <v>-</v>
      </c>
      <c r="U160" s="58" t="str">
        <f>IFERROR(IF(VLOOKUP($A160,SortedDownload!$A$3:$BB$219,42,FALSE)=0,"-",VLOOKUP($A160,SortedDownload!$A$3:$BB$219,42,FALSE)/86400000),"-")</f>
        <v>-</v>
      </c>
      <c r="V160" s="58" t="str">
        <f>IFERROR(IF(VLOOKUP($A160,SortedDownload!$A$3:$BB$219,43,FALSE)=0,"-",VLOOKUP($A160,SortedDownload!$A$3:$BB$219,43,FALSE)/86400000),"-")</f>
        <v>-</v>
      </c>
      <c r="W160" s="58" t="str">
        <f>IFERROR(IF(VLOOKUP($A160,SortedDownload!$A$3:$BB$219,44,FALSE)=0,"-",VLOOKUP($A160,SortedDownload!$A$3:$BB$219,44,FALSE)/86400000),"-")</f>
        <v>-</v>
      </c>
      <c r="X160" s="58" t="str">
        <f>IFERROR(IF(VLOOKUP($A160,SortedDownload!$A$3:$BB$219,45,FALSE)=0,"-",VLOOKUP($A160,SortedDownload!$A$3:$BB$219,45,FALSE)/86400000),"-")</f>
        <v>-</v>
      </c>
      <c r="Y160" s="58">
        <f>IFERROR(VLOOKUP($A160,SortedDownload!$A$3:$BB$219,46,FALSE)/86400000,"")</f>
        <v>0</v>
      </c>
      <c r="Z160" s="58">
        <f>IFERROR(Table932[[#This Row],[End Time]]-Table932[[#This Row],[Start Time]],"")</f>
        <v>-0.32564594907407407</v>
      </c>
      <c r="AA160" s="58"/>
      <c r="AB160" s="170">
        <f t="shared" si="16"/>
        <v>-0.32564594907407407</v>
      </c>
      <c r="AC160" s="170">
        <f t="shared" si="17"/>
        <v>8.1766203703703688E-2</v>
      </c>
    </row>
    <row r="161" spans="1:29">
      <c r="A161" s="53">
        <f>IF(SortedDownload!A154 &lt; 1,"",SortedDownload!A154)</f>
        <v>209</v>
      </c>
      <c r="B161" s="146">
        <f t="shared" si="12"/>
        <v>156</v>
      </c>
      <c r="C161" s="146" t="str">
        <f>IFERROR(VLOOKUP($A161,CategoryResults!$A$3:$X$252,3,FALSE),"")</f>
        <v/>
      </c>
      <c r="D161" s="149" t="str">
        <f>IFERROR(VLOOKUP($A161,EntryList!$A$3:$N$291,2,FALSE),"")</f>
        <v>Jack Goosen</v>
      </c>
      <c r="E161" s="146" t="str">
        <f>IFERROR(VLOOKUP(C161,SeriesPoints!$A$2:$B$51,2,FALSE),"")</f>
        <v/>
      </c>
      <c r="F161" s="150" t="str">
        <f>IFERROR(VLOOKUP($A161,EntryList!$A$3:$V$291,22,FALSE),"")</f>
        <v>-</v>
      </c>
      <c r="G161" s="148" t="str">
        <f>IFERROR(VLOOKUP($A161,EntryList!$A$3:$N$291,6,FALSE),"")</f>
        <v>M</v>
      </c>
      <c r="H161" s="226" t="str">
        <f>IFERROR(VLOOKUP($A161,EntryList!$A$3:$N$291,7,FALSE),"")</f>
        <v>Sub Junior Boys</v>
      </c>
      <c r="I161" s="220">
        <f t="shared" si="13"/>
        <v>6</v>
      </c>
      <c r="J161" s="58">
        <f>IFERROR(VLOOKUP($A161,SortedDownload!$A$3:$BB$219,31,FALSE)/86400000,"")</f>
        <v>0</v>
      </c>
      <c r="K161" s="58" t="str">
        <f>IFERROR(IF(VLOOKUP($A161,SortedDownload!$A$3:$BB$219,32,FALSE)=0,"-",VLOOKUP($A161,SortedDownload!$A$3:$BB$219,32,FALSE)/86400000),"-")</f>
        <v>-</v>
      </c>
      <c r="L161" s="58">
        <f>IFERROR(IF(VLOOKUP($A161,SortedDownload!$A$3:$BB$219,33,FALSE)=0,"-",VLOOKUP($A161,SortedDownload!$A$3:$BB$219,33,FALSE)/86400000),"-")</f>
        <v>0.37984125000000002</v>
      </c>
      <c r="M161" s="58">
        <f>IFERROR(IF(VLOOKUP($A161,SortedDownload!$A$3:$BB$219,34,FALSE)=0,"-",VLOOKUP($A161,SortedDownload!$A$3:$BB$219,34,FALSE)/86400000),"-")</f>
        <v>0.38292743055555556</v>
      </c>
      <c r="N161" s="58">
        <f>IFERROR(IF(VLOOKUP($A161,SortedDownload!$A$3:$BB$219,35,FALSE)=0,"-",VLOOKUP($A161,SortedDownload!$A$3:$BB$219,35,FALSE)/86400000),"-")</f>
        <v>0.41696299768518519</v>
      </c>
      <c r="O161" s="58">
        <f>IFERROR(IF(VLOOKUP($A161,SortedDownload!$A$3:$BB$219,36,FALSE)=0,"-",VLOOKUP($A161,SortedDownload!$A$3:$BB$219,36,FALSE)/86400000),"-")</f>
        <v>0.41861784722222223</v>
      </c>
      <c r="P161" s="58" t="str">
        <f>IFERROR(IF(VLOOKUP($A161,SortedDownload!$A$3:$BB$219,37,FALSE)=0,"-",VLOOKUP($A161,SortedDownload!$A$3:$BB$219,37,FALSE)/86400000),"-")</f>
        <v>-</v>
      </c>
      <c r="Q161" s="58" t="str">
        <f>IFERROR(IF(VLOOKUP($A161,SortedDownload!$A$3:$BB$219,38,FALSE)=0,"-",VLOOKUP($A161,SortedDownload!$A$3:$BB$219,38,FALSE)/86400000),"-")</f>
        <v>-</v>
      </c>
      <c r="R161" s="58">
        <f>IFERROR(IF(VLOOKUP($A161,SortedDownload!$A$3:$BB$219,39,FALSE)=0,"-",VLOOKUP($A161,SortedDownload!$A$3:$BB$219,39,FALSE)/86400000),"-")</f>
        <v>0.47175708333333333</v>
      </c>
      <c r="S161" s="58">
        <f>IFERROR(IF(VLOOKUP($A161,SortedDownload!$A$3:$BB$219,40,FALSE)=0,"-",VLOOKUP($A161,SortedDownload!$A$3:$BB$219,40,FALSE)/86400000),"-")</f>
        <v>0.4756591550925926</v>
      </c>
      <c r="T161" s="58" t="str">
        <f>IFERROR(IF(VLOOKUP($A161,SortedDownload!$A$3:$BB$219,41,FALSE)=0,"-",VLOOKUP($A161,SortedDownload!$A$3:$BB$219,41,FALSE)/86400000),"-")</f>
        <v>-</v>
      </c>
      <c r="U161" s="58" t="str">
        <f>IFERROR(IF(VLOOKUP($A161,SortedDownload!$A$3:$BB$219,42,FALSE)=0,"-",VLOOKUP($A161,SortedDownload!$A$3:$BB$219,42,FALSE)/86400000),"-")</f>
        <v>-</v>
      </c>
      <c r="V161" s="58" t="str">
        <f>IFERROR(IF(VLOOKUP($A161,SortedDownload!$A$3:$BB$219,43,FALSE)=0,"-",VLOOKUP($A161,SortedDownload!$A$3:$BB$219,43,FALSE)/86400000),"-")</f>
        <v>-</v>
      </c>
      <c r="W161" s="58" t="str">
        <f>IFERROR(IF(VLOOKUP($A161,SortedDownload!$A$3:$BB$219,44,FALSE)=0,"-",VLOOKUP($A161,SortedDownload!$A$3:$BB$219,44,FALSE)/86400000),"-")</f>
        <v>-</v>
      </c>
      <c r="X161" s="58" t="str">
        <f>IFERROR(IF(VLOOKUP($A161,SortedDownload!$A$3:$BB$219,45,FALSE)=0,"-",VLOOKUP($A161,SortedDownload!$A$3:$BB$219,45,FALSE)/86400000),"-")</f>
        <v>-</v>
      </c>
      <c r="Y161" s="58">
        <f>IFERROR(VLOOKUP($A161,SortedDownload!$A$3:$BB$219,46,FALSE)/86400000,"")</f>
        <v>0</v>
      </c>
      <c r="Z161" s="58">
        <f>IFERROR(Table932[[#This Row],[End Time]]-Table932[[#This Row],[Start Time]],"")</f>
        <v>0</v>
      </c>
      <c r="AA161" s="58"/>
      <c r="AB161" s="170">
        <f t="shared" si="16"/>
        <v>0.32564594907407407</v>
      </c>
      <c r="AC161" s="170">
        <f t="shared" si="17"/>
        <v>0.40741215277777776</v>
      </c>
    </row>
    <row r="162" spans="1:29">
      <c r="A162" s="53">
        <f>IF(SortedDownload!A155 &lt; 1,"",SortedDownload!A155)</f>
        <v>211</v>
      </c>
      <c r="B162" s="146">
        <f t="shared" si="12"/>
        <v>157</v>
      </c>
      <c r="C162" s="146" t="str">
        <f>IFERROR(VLOOKUP($A162,CategoryResults!$A$3:$X$252,3,FALSE),"")</f>
        <v/>
      </c>
      <c r="D162" s="149" t="str">
        <f>IFERROR(VLOOKUP($A162,EntryList!$A$3:$N$291,2,FALSE),"")</f>
        <v>Jonathan Dunkley</v>
      </c>
      <c r="E162" s="146" t="str">
        <f>IFERROR(VLOOKUP(C162,SeriesPoints!$A$2:$B$51,2,FALSE),"")</f>
        <v/>
      </c>
      <c r="F162" s="150" t="str">
        <f>IFERROR(VLOOKUP($A162,EntryList!$A$3:$V$291,22,FALSE),"")</f>
        <v>-</v>
      </c>
      <c r="G162" s="148" t="str">
        <f>IFERROR(VLOOKUP($A162,EntryList!$A$3:$N$291,6,FALSE),"")</f>
        <v>M</v>
      </c>
      <c r="H162" s="226" t="str">
        <f>IFERROR(VLOOKUP($A162,EntryList!$A$3:$N$291,7,FALSE),"")</f>
        <v>Sub Junior Boys</v>
      </c>
      <c r="I162" s="220">
        <f t="shared" si="13"/>
        <v>6</v>
      </c>
      <c r="J162" s="58">
        <f>IFERROR(VLOOKUP($A162,SortedDownload!$A$3:$BB$219,31,FALSE)/86400000,"")</f>
        <v>0</v>
      </c>
      <c r="K162" s="58" t="str">
        <f>IFERROR(IF(VLOOKUP($A162,SortedDownload!$A$3:$BB$219,32,FALSE)=0,"-",VLOOKUP($A162,SortedDownload!$A$3:$BB$219,32,FALSE)/86400000),"-")</f>
        <v>-</v>
      </c>
      <c r="L162" s="58">
        <f>IFERROR(IF(VLOOKUP($A162,SortedDownload!$A$3:$BB$219,33,FALSE)=0,"-",VLOOKUP($A162,SortedDownload!$A$3:$BB$219,33,FALSE)/86400000),"-")</f>
        <v>0.41879282407407409</v>
      </c>
      <c r="M162" s="58">
        <f>IFERROR(IF(VLOOKUP($A162,SortedDownload!$A$3:$BB$219,34,FALSE)=0,"-",VLOOKUP($A162,SortedDownload!$A$3:$BB$219,34,FALSE)/86400000),"-")</f>
        <v>0.42171569444444446</v>
      </c>
      <c r="N162" s="58">
        <f>IFERROR(IF(VLOOKUP($A162,SortedDownload!$A$3:$BB$219,35,FALSE)=0,"-",VLOOKUP($A162,SortedDownload!$A$3:$BB$219,35,FALSE)/86400000),"-")</f>
        <v>0.46975662037037036</v>
      </c>
      <c r="O162" s="58">
        <f>IFERROR(IF(VLOOKUP($A162,SortedDownload!$A$3:$BB$219,36,FALSE)=0,"-",VLOOKUP($A162,SortedDownload!$A$3:$BB$219,36,FALSE)/86400000),"-")</f>
        <v>0.47151435185185187</v>
      </c>
      <c r="P162" s="58" t="str">
        <f>IFERROR(IF(VLOOKUP($A162,SortedDownload!$A$3:$BB$219,37,FALSE)=0,"-",VLOOKUP($A162,SortedDownload!$A$3:$BB$219,37,FALSE)/86400000),"-")</f>
        <v>-</v>
      </c>
      <c r="Q162" s="58" t="str">
        <f>IFERROR(IF(VLOOKUP($A162,SortedDownload!$A$3:$BB$219,38,FALSE)=0,"-",VLOOKUP($A162,SortedDownload!$A$3:$BB$219,38,FALSE)/86400000),"-")</f>
        <v>-</v>
      </c>
      <c r="R162" s="58">
        <f>IFERROR(IF(VLOOKUP($A162,SortedDownload!$A$3:$BB$219,39,FALSE)=0,"-",VLOOKUP($A162,SortedDownload!$A$3:$BB$219,39,FALSE)/86400000),"-")</f>
        <v>0.53092694444444444</v>
      </c>
      <c r="S162" s="58">
        <f>IFERROR(IF(VLOOKUP($A162,SortedDownload!$A$3:$BB$219,40,FALSE)=0,"-",VLOOKUP($A162,SortedDownload!$A$3:$BB$219,40,FALSE)/86400000),"-")</f>
        <v>0.53490652777777781</v>
      </c>
      <c r="T162" s="58" t="str">
        <f>IFERROR(IF(VLOOKUP($A162,SortedDownload!$A$3:$BB$219,41,FALSE)=0,"-",VLOOKUP($A162,SortedDownload!$A$3:$BB$219,41,FALSE)/86400000),"-")</f>
        <v>-</v>
      </c>
      <c r="U162" s="58" t="str">
        <f>IFERROR(IF(VLOOKUP($A162,SortedDownload!$A$3:$BB$219,42,FALSE)=0,"-",VLOOKUP($A162,SortedDownload!$A$3:$BB$219,42,FALSE)/86400000),"-")</f>
        <v>-</v>
      </c>
      <c r="V162" s="58" t="str">
        <f>IFERROR(IF(VLOOKUP($A162,SortedDownload!$A$3:$BB$219,43,FALSE)=0,"-",VLOOKUP($A162,SortedDownload!$A$3:$BB$219,43,FALSE)/86400000),"-")</f>
        <v>-</v>
      </c>
      <c r="W162" s="58" t="str">
        <f>IFERROR(IF(VLOOKUP($A162,SortedDownload!$A$3:$BB$219,44,FALSE)=0,"-",VLOOKUP($A162,SortedDownload!$A$3:$BB$219,44,FALSE)/86400000),"-")</f>
        <v>-</v>
      </c>
      <c r="X162" s="58" t="str">
        <f>IFERROR(IF(VLOOKUP($A162,SortedDownload!$A$3:$BB$219,45,FALSE)=0,"-",VLOOKUP($A162,SortedDownload!$A$3:$BB$219,45,FALSE)/86400000),"-")</f>
        <v>-</v>
      </c>
      <c r="Y162" s="58">
        <f>IFERROR(VLOOKUP($A162,SortedDownload!$A$3:$BB$219,46,FALSE)/86400000,"")</f>
        <v>0</v>
      </c>
      <c r="Z162" s="58">
        <f>IFERROR(Table932[[#This Row],[End Time]]-Table932[[#This Row],[Start Time]],"")</f>
        <v>0</v>
      </c>
      <c r="AA162" s="58"/>
      <c r="AB162" s="170">
        <f t="shared" si="16"/>
        <v>0</v>
      </c>
      <c r="AC162" s="170">
        <f t="shared" si="17"/>
        <v>0.40741215277777776</v>
      </c>
    </row>
    <row r="163" spans="1:29">
      <c r="A163" s="53">
        <f>IF(SortedDownload!A156 &lt; 1,"",SortedDownload!A156)</f>
        <v>182</v>
      </c>
      <c r="B163" s="146">
        <f t="shared" si="12"/>
        <v>158</v>
      </c>
      <c r="C163" s="146" t="str">
        <f>IFERROR(VLOOKUP($A163,CategoryResults!$A$3:$X$252,3,FALSE),"")</f>
        <v/>
      </c>
      <c r="D163" s="149" t="str">
        <f>IFERROR(VLOOKUP($A163,EntryList!$A$3:$N$291,2,FALSE),"")</f>
        <v>Aaron Budke</v>
      </c>
      <c r="E163" s="146" t="str">
        <f>IFERROR(VLOOKUP(C163,SeriesPoints!$A$2:$B$51,2,FALSE),"")</f>
        <v/>
      </c>
      <c r="F163" s="150" t="str">
        <f>IFERROR(VLOOKUP($A163,EntryList!$A$3:$V$291,22,FALSE),"")</f>
        <v>-</v>
      </c>
      <c r="G163" s="148" t="str">
        <f>IFERROR(VLOOKUP($A163,EntryList!$A$3:$N$291,6,FALSE),"")</f>
        <v>M</v>
      </c>
      <c r="H163" s="226" t="str">
        <f>IFERROR(VLOOKUP($A163,EntryList!$A$3:$N$291,7,FALSE),"")</f>
        <v>Lite M</v>
      </c>
      <c r="I163" s="220">
        <f t="shared" si="13"/>
        <v>6</v>
      </c>
      <c r="J163" s="58">
        <f>IFERROR(VLOOKUP($A163,SortedDownload!$A$3:$BB$219,31,FALSE)/86400000,"")</f>
        <v>0</v>
      </c>
      <c r="K163" s="58" t="str">
        <f>IFERROR(IF(VLOOKUP($A163,SortedDownload!$A$3:$BB$219,32,FALSE)=0,"-",VLOOKUP($A163,SortedDownload!$A$3:$BB$219,32,FALSE)/86400000),"-")</f>
        <v>-</v>
      </c>
      <c r="L163" s="58">
        <f>IFERROR(IF(VLOOKUP($A163,SortedDownload!$A$3:$BB$219,33,FALSE)=0,"-",VLOOKUP($A163,SortedDownload!$A$3:$BB$219,33,FALSE)/86400000),"-")</f>
        <v>0.42884504629629627</v>
      </c>
      <c r="M163" s="58">
        <f>IFERROR(IF(VLOOKUP($A163,SortedDownload!$A$3:$BB$219,34,FALSE)=0,"-",VLOOKUP($A163,SortedDownload!$A$3:$BB$219,34,FALSE)/86400000),"-")</f>
        <v>0.43192603009259262</v>
      </c>
      <c r="N163" s="58">
        <f>IFERROR(IF(VLOOKUP($A163,SortedDownload!$A$3:$BB$219,35,FALSE)=0,"-",VLOOKUP($A163,SortedDownload!$A$3:$BB$219,35,FALSE)/86400000),"-")</f>
        <v>0.38060085648148151</v>
      </c>
      <c r="O163" s="58">
        <f>IFERROR(IF(VLOOKUP($A163,SortedDownload!$A$3:$BB$219,36,FALSE)=0,"-",VLOOKUP($A163,SortedDownload!$A$3:$BB$219,36,FALSE)/86400000),"-")</f>
        <v>0.38232519675925924</v>
      </c>
      <c r="P163" s="58" t="str">
        <f>IFERROR(IF(VLOOKUP($A163,SortedDownload!$A$3:$BB$219,37,FALSE)=0,"-",VLOOKUP($A163,SortedDownload!$A$3:$BB$219,37,FALSE)/86400000),"-")</f>
        <v>-</v>
      </c>
      <c r="Q163" s="58" t="str">
        <f>IFERROR(IF(VLOOKUP($A163,SortedDownload!$A$3:$BB$219,38,FALSE)=0,"-",VLOOKUP($A163,SortedDownload!$A$3:$BB$219,38,FALSE)/86400000),"-")</f>
        <v>-</v>
      </c>
      <c r="R163" s="58">
        <f>IFERROR(IF(VLOOKUP($A163,SortedDownload!$A$3:$BB$219,39,FALSE)=0,"-",VLOOKUP($A163,SortedDownload!$A$3:$BB$219,39,FALSE)/86400000),"-")</f>
        <v>0.46562159722222224</v>
      </c>
      <c r="S163" s="58">
        <f>IFERROR(IF(VLOOKUP($A163,SortedDownload!$A$3:$BB$219,40,FALSE)=0,"-",VLOOKUP($A163,SortedDownload!$A$3:$BB$219,40,FALSE)/86400000),"-")</f>
        <v>0.46949130787037036</v>
      </c>
      <c r="T163" s="58" t="str">
        <f>IFERROR(IF(VLOOKUP($A163,SortedDownload!$A$3:$BB$219,41,FALSE)=0,"-",VLOOKUP($A163,SortedDownload!$A$3:$BB$219,41,FALSE)/86400000),"-")</f>
        <v>-</v>
      </c>
      <c r="U163" s="58" t="str">
        <f>IFERROR(IF(VLOOKUP($A163,SortedDownload!$A$3:$BB$219,42,FALSE)=0,"-",VLOOKUP($A163,SortedDownload!$A$3:$BB$219,42,FALSE)/86400000),"-")</f>
        <v>-</v>
      </c>
      <c r="V163" s="58" t="str">
        <f>IFERROR(IF(VLOOKUP($A163,SortedDownload!$A$3:$BB$219,43,FALSE)=0,"-",VLOOKUP($A163,SortedDownload!$A$3:$BB$219,43,FALSE)/86400000),"-")</f>
        <v>-</v>
      </c>
      <c r="W163" s="58" t="str">
        <f>IFERROR(IF(VLOOKUP($A163,SortedDownload!$A$3:$BB$219,44,FALSE)=0,"-",VLOOKUP($A163,SortedDownload!$A$3:$BB$219,44,FALSE)/86400000),"-")</f>
        <v>-</v>
      </c>
      <c r="X163" s="58" t="str">
        <f>IFERROR(IF(VLOOKUP($A163,SortedDownload!$A$3:$BB$219,45,FALSE)=0,"-",VLOOKUP($A163,SortedDownload!$A$3:$BB$219,45,FALSE)/86400000),"-")</f>
        <v>-</v>
      </c>
      <c r="Y163" s="58">
        <f>IFERROR(VLOOKUP($A163,SortedDownload!$A$3:$BB$219,46,FALSE)/86400000,"")</f>
        <v>0</v>
      </c>
      <c r="Z163" s="58">
        <f>IFERROR(Table932[[#This Row],[End Time]]-Table932[[#This Row],[Start Time]],"")</f>
        <v>0</v>
      </c>
      <c r="AA163" s="58"/>
      <c r="AB163" s="170">
        <f t="shared" si="16"/>
        <v>0</v>
      </c>
      <c r="AC163" s="170">
        <f t="shared" si="17"/>
        <v>0.40741215277777776</v>
      </c>
    </row>
    <row r="164" spans="1:29">
      <c r="A164" s="53">
        <f>IF(SortedDownload!A157 &lt; 1,"",SortedDownload!A157)</f>
        <v>99</v>
      </c>
      <c r="B164" s="146">
        <f t="shared" si="12"/>
        <v>159</v>
      </c>
      <c r="C164" s="146" t="str">
        <f>IFERROR(VLOOKUP($A164,CategoryResults!$A$3:$X$252,3,FALSE),"")</f>
        <v/>
      </c>
      <c r="D164" s="149" t="str">
        <f>IFERROR(VLOOKUP($A164,EntryList!$A$3:$N$291,2,FALSE),"")</f>
        <v>Lian De Jager</v>
      </c>
      <c r="E164" s="146" t="str">
        <f>IFERROR(VLOOKUP(C164,SeriesPoints!$A$2:$B$51,2,FALSE),"")</f>
        <v/>
      </c>
      <c r="F164" s="150" t="str">
        <f>IFERROR(VLOOKUP($A164,EntryList!$A$3:$V$291,22,FALSE),"")</f>
        <v>-</v>
      </c>
      <c r="G164" s="148" t="str">
        <f>IFERROR(VLOOKUP($A164,EntryList!$A$3:$N$291,6,FALSE),"")</f>
        <v>M</v>
      </c>
      <c r="H164" s="226" t="str">
        <f>IFERROR(VLOOKUP($A164,EntryList!$A$3:$N$291,7,FALSE),"")</f>
        <v>Sprog Boys</v>
      </c>
      <c r="I164" s="220">
        <f t="shared" si="13"/>
        <v>6</v>
      </c>
      <c r="J164" s="58">
        <f>IFERROR(VLOOKUP($A164,SortedDownload!$A$3:$BB$219,31,FALSE)/86400000,"")</f>
        <v>0</v>
      </c>
      <c r="K164" s="58" t="str">
        <f>IFERROR(IF(VLOOKUP($A164,SortedDownload!$A$3:$BB$219,32,FALSE)=0,"-",VLOOKUP($A164,SortedDownload!$A$3:$BB$219,32,FALSE)/86400000),"-")</f>
        <v>-</v>
      </c>
      <c r="L164" s="58">
        <f>IFERROR(IF(VLOOKUP($A164,SortedDownload!$A$3:$BB$219,33,FALSE)=0,"-",VLOOKUP($A164,SortedDownload!$A$3:$BB$219,33,FALSE)/86400000),"-")</f>
        <v>0.42186467592592591</v>
      </c>
      <c r="M164" s="58">
        <f>IFERROR(IF(VLOOKUP($A164,SortedDownload!$A$3:$BB$219,34,FALSE)=0,"-",VLOOKUP($A164,SortedDownload!$A$3:$BB$219,34,FALSE)/86400000),"-")</f>
        <v>0.42504671296296298</v>
      </c>
      <c r="N164" s="58">
        <f>IFERROR(IF(VLOOKUP($A164,SortedDownload!$A$3:$BB$219,35,FALSE)=0,"-",VLOOKUP($A164,SortedDownload!$A$3:$BB$219,35,FALSE)/86400000),"-")</f>
        <v>0.46454472222222221</v>
      </c>
      <c r="O164" s="58">
        <f>IFERROR(IF(VLOOKUP($A164,SortedDownload!$A$3:$BB$219,36,FALSE)=0,"-",VLOOKUP($A164,SortedDownload!$A$3:$BB$219,36,FALSE)/86400000),"-")</f>
        <v>0.4661855787037037</v>
      </c>
      <c r="P164" s="58" t="str">
        <f>IFERROR(IF(VLOOKUP($A164,SortedDownload!$A$3:$BB$219,37,FALSE)=0,"-",VLOOKUP($A164,SortedDownload!$A$3:$BB$219,37,FALSE)/86400000),"-")</f>
        <v>-</v>
      </c>
      <c r="Q164" s="58" t="str">
        <f>IFERROR(IF(VLOOKUP($A164,SortedDownload!$A$3:$BB$219,38,FALSE)=0,"-",VLOOKUP($A164,SortedDownload!$A$3:$BB$219,38,FALSE)/86400000),"-")</f>
        <v>-</v>
      </c>
      <c r="R164" s="58">
        <f>IFERROR(IF(VLOOKUP($A164,SortedDownload!$A$3:$BB$219,39,FALSE)=0,"-",VLOOKUP($A164,SortedDownload!$A$3:$BB$219,39,FALSE)/86400000),"-")</f>
        <v>0.50488969907407411</v>
      </c>
      <c r="S164" s="58">
        <f>IFERROR(IF(VLOOKUP($A164,SortedDownload!$A$3:$BB$219,40,FALSE)=0,"-",VLOOKUP($A164,SortedDownload!$A$3:$BB$219,40,FALSE)/86400000),"-")</f>
        <v>0.50878778935185187</v>
      </c>
      <c r="T164" s="58" t="str">
        <f>IFERROR(IF(VLOOKUP($A164,SortedDownload!$A$3:$BB$219,41,FALSE)=0,"-",VLOOKUP($A164,SortedDownload!$A$3:$BB$219,41,FALSE)/86400000),"-")</f>
        <v>-</v>
      </c>
      <c r="U164" s="58" t="str">
        <f>IFERROR(IF(VLOOKUP($A164,SortedDownload!$A$3:$BB$219,42,FALSE)=0,"-",VLOOKUP($A164,SortedDownload!$A$3:$BB$219,42,FALSE)/86400000),"-")</f>
        <v>-</v>
      </c>
      <c r="V164" s="58" t="str">
        <f>IFERROR(IF(VLOOKUP($A164,SortedDownload!$A$3:$BB$219,43,FALSE)=0,"-",VLOOKUP($A164,SortedDownload!$A$3:$BB$219,43,FALSE)/86400000),"-")</f>
        <v>-</v>
      </c>
      <c r="W164" s="58" t="str">
        <f>IFERROR(IF(VLOOKUP($A164,SortedDownload!$A$3:$BB$219,44,FALSE)=0,"-",VLOOKUP($A164,SortedDownload!$A$3:$BB$219,44,FALSE)/86400000),"-")</f>
        <v>-</v>
      </c>
      <c r="X164" s="58" t="str">
        <f>IFERROR(IF(VLOOKUP($A164,SortedDownload!$A$3:$BB$219,45,FALSE)=0,"-",VLOOKUP($A164,SortedDownload!$A$3:$BB$219,45,FALSE)/86400000),"-")</f>
        <v>-</v>
      </c>
      <c r="Y164" s="58">
        <f>IFERROR(VLOOKUP($A164,SortedDownload!$A$3:$BB$219,46,FALSE)/86400000,"")</f>
        <v>0</v>
      </c>
      <c r="Z164" s="58">
        <f>IFERROR(Table932[[#This Row],[End Time]]-Table932[[#This Row],[Start Time]],"")</f>
        <v>0</v>
      </c>
      <c r="AA164" s="58"/>
      <c r="AB164" s="170">
        <f t="shared" si="16"/>
        <v>0</v>
      </c>
      <c r="AC164" s="170">
        <f t="shared" si="17"/>
        <v>0.40741215277777776</v>
      </c>
    </row>
    <row r="165" spans="1:29">
      <c r="A165" s="53">
        <f>IF(SortedDownload!A158 &lt; 1,"",SortedDownload!A158)</f>
        <v>267</v>
      </c>
      <c r="B165" s="146">
        <f t="shared" si="12"/>
        <v>160</v>
      </c>
      <c r="C165" s="146" t="str">
        <f>IFERROR(VLOOKUP($A165,CategoryResults!$A$3:$X$252,3,FALSE),"")</f>
        <v/>
      </c>
      <c r="D165" s="149" t="str">
        <f>IFERROR(VLOOKUP($A165,EntryList!$A$3:$N$291,2,FALSE),"")</f>
        <v>Calum Marriott</v>
      </c>
      <c r="E165" s="146" t="str">
        <f>IFERROR(VLOOKUP(C165,SeriesPoints!$A$2:$B$51,2,FALSE),"")</f>
        <v/>
      </c>
      <c r="F165" s="150" t="str">
        <f>IFERROR(VLOOKUP($A165,EntryList!$A$3:$V$291,22,FALSE),"")</f>
        <v>-</v>
      </c>
      <c r="G165" s="148" t="str">
        <f>IFERROR(VLOOKUP($A165,EntryList!$A$3:$N$291,6,FALSE),"")</f>
        <v>M</v>
      </c>
      <c r="H165" s="226" t="str">
        <f>IFERROR(VLOOKUP($A165,EntryList!$A$3:$N$291,7,FALSE),"")</f>
        <v>Lite M</v>
      </c>
      <c r="I165" s="220">
        <f t="shared" si="13"/>
        <v>6</v>
      </c>
      <c r="J165" s="58">
        <f>IFERROR(VLOOKUP($A165,SortedDownload!$A$3:$BB$219,31,FALSE)/86400000,"")</f>
        <v>0</v>
      </c>
      <c r="K165" s="58" t="str">
        <f>IFERROR(IF(VLOOKUP($A165,SortedDownload!$A$3:$BB$219,32,FALSE)=0,"-",VLOOKUP($A165,SortedDownload!$A$3:$BB$219,32,FALSE)/86400000),"-")</f>
        <v>-</v>
      </c>
      <c r="L165" s="58">
        <f>IFERROR(IF(VLOOKUP($A165,SortedDownload!$A$3:$BB$219,33,FALSE)=0,"-",VLOOKUP($A165,SortedDownload!$A$3:$BB$219,33,FALSE)/86400000),"-")</f>
        <v>0.42034057870370373</v>
      </c>
      <c r="M165" s="58">
        <f>IFERROR(IF(VLOOKUP($A165,SortedDownload!$A$3:$BB$219,34,FALSE)=0,"-",VLOOKUP($A165,SortedDownload!$A$3:$BB$219,34,FALSE)/86400000),"-")</f>
        <v>0.42332697916666667</v>
      </c>
      <c r="N165" s="58">
        <f>IFERROR(IF(VLOOKUP($A165,SortedDownload!$A$3:$BB$219,35,FALSE)=0,"-",VLOOKUP($A165,SortedDownload!$A$3:$BB$219,35,FALSE)/86400000),"-")</f>
        <v>0.46871687499999998</v>
      </c>
      <c r="O165" s="58">
        <f>IFERROR(IF(VLOOKUP($A165,SortedDownload!$A$3:$BB$219,36,FALSE)=0,"-",VLOOKUP($A165,SortedDownload!$A$3:$BB$219,36,FALSE)/86400000),"-")</f>
        <v>0.47041087962962963</v>
      </c>
      <c r="P165" s="58" t="str">
        <f>IFERROR(IF(VLOOKUP($A165,SortedDownload!$A$3:$BB$219,37,FALSE)=0,"-",VLOOKUP($A165,SortedDownload!$A$3:$BB$219,37,FALSE)/86400000),"-")</f>
        <v>-</v>
      </c>
      <c r="Q165" s="58" t="str">
        <f>IFERROR(IF(VLOOKUP($A165,SortedDownload!$A$3:$BB$219,38,FALSE)=0,"-",VLOOKUP($A165,SortedDownload!$A$3:$BB$219,38,FALSE)/86400000),"-")</f>
        <v>-</v>
      </c>
      <c r="R165" s="58">
        <f>IFERROR(IF(VLOOKUP($A165,SortedDownload!$A$3:$BB$219,39,FALSE)=0,"-",VLOOKUP($A165,SortedDownload!$A$3:$BB$219,39,FALSE)/86400000),"-")</f>
        <v>0.51728310185185189</v>
      </c>
      <c r="S165" s="58">
        <f>IFERROR(IF(VLOOKUP($A165,SortedDownload!$A$3:$BB$219,40,FALSE)=0,"-",VLOOKUP($A165,SortedDownload!$A$3:$BB$219,40,FALSE)/86400000),"-")</f>
        <v>0.52133396990740744</v>
      </c>
      <c r="T165" s="58" t="str">
        <f>IFERROR(IF(VLOOKUP($A165,SortedDownload!$A$3:$BB$219,41,FALSE)=0,"-",VLOOKUP($A165,SortedDownload!$A$3:$BB$219,41,FALSE)/86400000),"-")</f>
        <v>-</v>
      </c>
      <c r="U165" s="58" t="str">
        <f>IFERROR(IF(VLOOKUP($A165,SortedDownload!$A$3:$BB$219,42,FALSE)=0,"-",VLOOKUP($A165,SortedDownload!$A$3:$BB$219,42,FALSE)/86400000),"-")</f>
        <v>-</v>
      </c>
      <c r="V165" s="58" t="str">
        <f>IFERROR(IF(VLOOKUP($A165,SortedDownload!$A$3:$BB$219,43,FALSE)=0,"-",VLOOKUP($A165,SortedDownload!$A$3:$BB$219,43,FALSE)/86400000),"-")</f>
        <v>-</v>
      </c>
      <c r="W165" s="58" t="str">
        <f>IFERROR(IF(VLOOKUP($A165,SortedDownload!$A$3:$BB$219,44,FALSE)=0,"-",VLOOKUP($A165,SortedDownload!$A$3:$BB$219,44,FALSE)/86400000),"-")</f>
        <v>-</v>
      </c>
      <c r="X165" s="58" t="str">
        <f>IFERROR(IF(VLOOKUP($A165,SortedDownload!$A$3:$BB$219,45,FALSE)=0,"-",VLOOKUP($A165,SortedDownload!$A$3:$BB$219,45,FALSE)/86400000),"-")</f>
        <v>-</v>
      </c>
      <c r="Y165" s="58">
        <f>IFERROR(VLOOKUP($A165,SortedDownload!$A$3:$BB$219,46,FALSE)/86400000,"")</f>
        <v>0</v>
      </c>
      <c r="Z165" s="58">
        <f>IFERROR(Table932[[#This Row],[End Time]]-Table932[[#This Row],[Start Time]],"")</f>
        <v>0</v>
      </c>
      <c r="AA165" s="58"/>
      <c r="AB165" s="170">
        <f t="shared" si="16"/>
        <v>0</v>
      </c>
      <c r="AC165" s="170">
        <f t="shared" si="17"/>
        <v>0.40741215277777776</v>
      </c>
    </row>
    <row r="166" spans="1:29">
      <c r="A166" s="53">
        <f>IF(SortedDownload!A159 &lt; 1,"",SortedDownload!A159)</f>
        <v>278</v>
      </c>
      <c r="B166" s="146">
        <f t="shared" si="12"/>
        <v>161</v>
      </c>
      <c r="C166" s="146" t="str">
        <f>IFERROR(VLOOKUP($A166,CategoryResults!$A$3:$X$252,3,FALSE),"")</f>
        <v/>
      </c>
      <c r="D166" s="149" t="str">
        <f>IFERROR(VLOOKUP($A166,EntryList!$A$3:$N$291,2,FALSE),"")</f>
        <v>Thomas Dawson</v>
      </c>
      <c r="E166" s="146" t="str">
        <f>IFERROR(VLOOKUP(C166,SeriesPoints!$A$2:$B$51,2,FALSE),"")</f>
        <v/>
      </c>
      <c r="F166" s="150" t="str">
        <f>IFERROR(VLOOKUP($A166,EntryList!$A$3:$V$291,22,FALSE),"")</f>
        <v>-</v>
      </c>
      <c r="G166" s="148" t="str">
        <f>IFERROR(VLOOKUP($A166,EntryList!$A$3:$N$291,6,FALSE),"")</f>
        <v>M</v>
      </c>
      <c r="H166" s="226" t="str">
        <f>IFERROR(VLOOKUP($A166,EntryList!$A$3:$N$291,7,FALSE),"")</f>
        <v>Lite M</v>
      </c>
      <c r="I166" s="220">
        <f t="shared" si="13"/>
        <v>6</v>
      </c>
      <c r="J166" s="58">
        <f>IFERROR(VLOOKUP($A166,SortedDownload!$A$3:$BB$219,31,FALSE)/86400000,"")</f>
        <v>0</v>
      </c>
      <c r="K166" s="58" t="str">
        <f>IFERROR(IF(VLOOKUP($A166,SortedDownload!$A$3:$BB$219,32,FALSE)=0,"-",VLOOKUP($A166,SortedDownload!$A$3:$BB$219,32,FALSE)/86400000),"-")</f>
        <v>-</v>
      </c>
      <c r="L166" s="58">
        <f>IFERROR(IF(VLOOKUP($A166,SortedDownload!$A$3:$BB$219,33,FALSE)=0,"-",VLOOKUP($A166,SortedDownload!$A$3:$BB$219,33,FALSE)/86400000),"-")</f>
        <v>0.44133649305555556</v>
      </c>
      <c r="M166" s="58">
        <f>IFERROR(IF(VLOOKUP($A166,SortedDownload!$A$3:$BB$219,34,FALSE)=0,"-",VLOOKUP($A166,SortedDownload!$A$3:$BB$219,34,FALSE)/86400000),"-")</f>
        <v>0.44430273148148147</v>
      </c>
      <c r="N166" s="58">
        <f>IFERROR(IF(VLOOKUP($A166,SortedDownload!$A$3:$BB$219,35,FALSE)=0,"-",VLOOKUP($A166,SortedDownload!$A$3:$BB$219,35,FALSE)/86400000),"-")</f>
        <v>0.39342651620370372</v>
      </c>
      <c r="O166" s="58">
        <f>IFERROR(IF(VLOOKUP($A166,SortedDownload!$A$3:$BB$219,36,FALSE)=0,"-",VLOOKUP($A166,SortedDownload!$A$3:$BB$219,36,FALSE)/86400000),"-")</f>
        <v>0.39512449074074074</v>
      </c>
      <c r="P166" s="58" t="str">
        <f>IFERROR(IF(VLOOKUP($A166,SortedDownload!$A$3:$BB$219,37,FALSE)=0,"-",VLOOKUP($A166,SortedDownload!$A$3:$BB$219,37,FALSE)/86400000),"-")</f>
        <v>-</v>
      </c>
      <c r="Q166" s="58" t="str">
        <f>IFERROR(IF(VLOOKUP($A166,SortedDownload!$A$3:$BB$219,38,FALSE)=0,"-",VLOOKUP($A166,SortedDownload!$A$3:$BB$219,38,FALSE)/86400000),"-")</f>
        <v>-</v>
      </c>
      <c r="R166" s="58">
        <f>IFERROR(IF(VLOOKUP($A166,SortedDownload!$A$3:$BB$219,39,FALSE)=0,"-",VLOOKUP($A166,SortedDownload!$A$3:$BB$219,39,FALSE)/86400000),"-")</f>
        <v>0.49419958333333336</v>
      </c>
      <c r="S166" s="58">
        <f>IFERROR(IF(VLOOKUP($A166,SortedDownload!$A$3:$BB$219,40,FALSE)=0,"-",VLOOKUP($A166,SortedDownload!$A$3:$BB$219,40,FALSE)/86400000),"-")</f>
        <v>0.49827222222222223</v>
      </c>
      <c r="T166" s="58" t="str">
        <f>IFERROR(IF(VLOOKUP($A166,SortedDownload!$A$3:$BB$219,41,FALSE)=0,"-",VLOOKUP($A166,SortedDownload!$A$3:$BB$219,41,FALSE)/86400000),"-")</f>
        <v>-</v>
      </c>
      <c r="U166" s="58" t="str">
        <f>IFERROR(IF(VLOOKUP($A166,SortedDownload!$A$3:$BB$219,42,FALSE)=0,"-",VLOOKUP($A166,SortedDownload!$A$3:$BB$219,42,FALSE)/86400000),"-")</f>
        <v>-</v>
      </c>
      <c r="V166" s="58" t="str">
        <f>IFERROR(IF(VLOOKUP($A166,SortedDownload!$A$3:$BB$219,43,FALSE)=0,"-",VLOOKUP($A166,SortedDownload!$A$3:$BB$219,43,FALSE)/86400000),"-")</f>
        <v>-</v>
      </c>
      <c r="W166" s="58" t="str">
        <f>IFERROR(IF(VLOOKUP($A166,SortedDownload!$A$3:$BB$219,44,FALSE)=0,"-",VLOOKUP($A166,SortedDownload!$A$3:$BB$219,44,FALSE)/86400000),"-")</f>
        <v>-</v>
      </c>
      <c r="X166" s="58" t="str">
        <f>IFERROR(IF(VLOOKUP($A166,SortedDownload!$A$3:$BB$219,45,FALSE)=0,"-",VLOOKUP($A166,SortedDownload!$A$3:$BB$219,45,FALSE)/86400000),"-")</f>
        <v>-</v>
      </c>
      <c r="Y166" s="58">
        <f>IFERROR(VLOOKUP($A166,SortedDownload!$A$3:$BB$219,46,FALSE)/86400000,"")</f>
        <v>0</v>
      </c>
      <c r="Z166" s="58">
        <f>IFERROR(Table932[[#This Row],[End Time]]-Table932[[#This Row],[Start Time]],"")</f>
        <v>0</v>
      </c>
      <c r="AA166" s="58"/>
      <c r="AB166" s="170">
        <f t="shared" si="16"/>
        <v>0</v>
      </c>
      <c r="AC166" s="170">
        <f t="shared" si="17"/>
        <v>0.40741215277777776</v>
      </c>
    </row>
    <row r="167" spans="1:29">
      <c r="A167" s="53">
        <f>IF(SortedDownload!A160 &lt; 1,"",SortedDownload!A160)</f>
        <v>109</v>
      </c>
      <c r="B167" s="146">
        <f t="shared" si="12"/>
        <v>162</v>
      </c>
      <c r="C167" s="146" t="str">
        <f>IFERROR(VLOOKUP($A167,CategoryResults!$A$3:$X$252,3,FALSE),"")</f>
        <v/>
      </c>
      <c r="D167" s="149" t="str">
        <f>IFERROR(VLOOKUP($A167,EntryList!$A$3:$N$291,2,FALSE),"")</f>
        <v>Sean Stephens</v>
      </c>
      <c r="E167" s="146" t="str">
        <f>IFERROR(VLOOKUP(C167,SeriesPoints!$A$2:$B$51,2,FALSE),"")</f>
        <v/>
      </c>
      <c r="F167" s="150" t="str">
        <f>IFERROR(VLOOKUP($A167,EntryList!$A$3:$V$291,22,FALSE),"")</f>
        <v>-</v>
      </c>
      <c r="G167" s="148" t="str">
        <f>IFERROR(VLOOKUP($A167,EntryList!$A$3:$N$291,6,FALSE),"")</f>
        <v>M</v>
      </c>
      <c r="H167" s="226" t="str">
        <f>IFERROR(VLOOKUP($A167,EntryList!$A$3:$N$291,7,FALSE),"")</f>
        <v>Lite M</v>
      </c>
      <c r="I167" s="220">
        <f t="shared" si="13"/>
        <v>6</v>
      </c>
      <c r="J167" s="58">
        <f>IFERROR(VLOOKUP($A167,SortedDownload!$A$3:$BB$219,31,FALSE)/86400000,"")</f>
        <v>0</v>
      </c>
      <c r="K167" s="58" t="str">
        <f>IFERROR(IF(VLOOKUP($A167,SortedDownload!$A$3:$BB$219,32,FALSE)=0,"-",VLOOKUP($A167,SortedDownload!$A$3:$BB$219,32,FALSE)/86400000),"-")</f>
        <v>-</v>
      </c>
      <c r="L167" s="58">
        <f>IFERROR(IF(VLOOKUP($A167,SortedDownload!$A$3:$BB$219,33,FALSE)=0,"-",VLOOKUP($A167,SortedDownload!$A$3:$BB$219,33,FALSE)/86400000),"-")</f>
        <v>0.43166805555555554</v>
      </c>
      <c r="M167" s="58">
        <f>IFERROR(IF(VLOOKUP($A167,SortedDownload!$A$3:$BB$219,34,FALSE)=0,"-",VLOOKUP($A167,SortedDownload!$A$3:$BB$219,34,FALSE)/86400000),"-")</f>
        <v>0.43465271990740739</v>
      </c>
      <c r="N167" s="58">
        <f>IFERROR(IF(VLOOKUP($A167,SortedDownload!$A$3:$BB$219,35,FALSE)=0,"-",VLOOKUP($A167,SortedDownload!$A$3:$BB$219,35,FALSE)/86400000),"-")</f>
        <v>0.48353564814814814</v>
      </c>
      <c r="O167" s="58">
        <f>IFERROR(IF(VLOOKUP($A167,SortedDownload!$A$3:$BB$219,36,FALSE)=0,"-",VLOOKUP($A167,SortedDownload!$A$3:$BB$219,36,FALSE)/86400000),"-")</f>
        <v>0.48526884259259262</v>
      </c>
      <c r="P167" s="58" t="str">
        <f>IFERROR(IF(VLOOKUP($A167,SortedDownload!$A$3:$BB$219,37,FALSE)=0,"-",VLOOKUP($A167,SortedDownload!$A$3:$BB$219,37,FALSE)/86400000),"-")</f>
        <v>-</v>
      </c>
      <c r="Q167" s="58" t="str">
        <f>IFERROR(IF(VLOOKUP($A167,SortedDownload!$A$3:$BB$219,38,FALSE)=0,"-",VLOOKUP($A167,SortedDownload!$A$3:$BB$219,38,FALSE)/86400000),"-")</f>
        <v>-</v>
      </c>
      <c r="R167" s="58">
        <f>IFERROR(IF(VLOOKUP($A167,SortedDownload!$A$3:$BB$219,39,FALSE)=0,"-",VLOOKUP($A167,SortedDownload!$A$3:$BB$219,39,FALSE)/86400000),"-")</f>
        <v>0.56022365740740743</v>
      </c>
      <c r="S167" s="58">
        <f>IFERROR(IF(VLOOKUP($A167,SortedDownload!$A$3:$BB$219,40,FALSE)=0,"-",VLOOKUP($A167,SortedDownload!$A$3:$BB$219,40,FALSE)/86400000),"-")</f>
        <v>0.56429403935185185</v>
      </c>
      <c r="T167" s="58" t="str">
        <f>IFERROR(IF(VLOOKUP($A167,SortedDownload!$A$3:$BB$219,41,FALSE)=0,"-",VLOOKUP($A167,SortedDownload!$A$3:$BB$219,41,FALSE)/86400000),"-")</f>
        <v>-</v>
      </c>
      <c r="U167" s="58" t="str">
        <f>IFERROR(IF(VLOOKUP($A167,SortedDownload!$A$3:$BB$219,42,FALSE)=0,"-",VLOOKUP($A167,SortedDownload!$A$3:$BB$219,42,FALSE)/86400000),"-")</f>
        <v>-</v>
      </c>
      <c r="V167" s="58" t="str">
        <f>IFERROR(IF(VLOOKUP($A167,SortedDownload!$A$3:$BB$219,43,FALSE)=0,"-",VLOOKUP($A167,SortedDownload!$A$3:$BB$219,43,FALSE)/86400000),"-")</f>
        <v>-</v>
      </c>
      <c r="W167" s="58" t="str">
        <f>IFERROR(IF(VLOOKUP($A167,SortedDownload!$A$3:$BB$219,44,FALSE)=0,"-",VLOOKUP($A167,SortedDownload!$A$3:$BB$219,44,FALSE)/86400000),"-")</f>
        <v>-</v>
      </c>
      <c r="X167" s="58" t="str">
        <f>IFERROR(IF(VLOOKUP($A167,SortedDownload!$A$3:$BB$219,45,FALSE)=0,"-",VLOOKUP($A167,SortedDownload!$A$3:$BB$219,45,FALSE)/86400000),"-")</f>
        <v>-</v>
      </c>
      <c r="Y167" s="58">
        <f>IFERROR(VLOOKUP($A167,SortedDownload!$A$3:$BB$219,46,FALSE)/86400000,"")</f>
        <v>0</v>
      </c>
      <c r="Z167" s="58">
        <f>IFERROR(Table932[[#This Row],[End Time]]-Table932[[#This Row],[Start Time]],"")</f>
        <v>0</v>
      </c>
      <c r="AA167" s="58"/>
      <c r="AB167" s="170">
        <f t="shared" si="16"/>
        <v>0</v>
      </c>
      <c r="AC167" s="170">
        <f t="shared" si="17"/>
        <v>0.40741215277777776</v>
      </c>
    </row>
    <row r="168" spans="1:29">
      <c r="A168" s="53">
        <f>IF(SortedDownload!A161 &lt; 1,"",SortedDownload!A161)</f>
        <v>133</v>
      </c>
      <c r="B168" s="146">
        <f t="shared" si="12"/>
        <v>163</v>
      </c>
      <c r="C168" s="146" t="str">
        <f>IFERROR(VLOOKUP($A168,CategoryResults!$A$3:$X$252,3,FALSE),"")</f>
        <v/>
      </c>
      <c r="D168" s="149" t="str">
        <f>IFERROR(VLOOKUP($A168,EntryList!$A$3:$N$291,2,FALSE),"")</f>
        <v>Christiaan De Villiers Snr</v>
      </c>
      <c r="E168" s="146" t="str">
        <f>IFERROR(VLOOKUP(C168,SeriesPoints!$A$2:$B$51,2,FALSE),"")</f>
        <v/>
      </c>
      <c r="F168" s="150" t="str">
        <f>IFERROR(VLOOKUP($A168,EntryList!$A$3:$V$291,22,FALSE),"")</f>
        <v>-</v>
      </c>
      <c r="G168" s="148" t="str">
        <f>IFERROR(VLOOKUP($A168,EntryList!$A$3:$N$291,6,FALSE),"")</f>
        <v>M</v>
      </c>
      <c r="H168" s="226" t="str">
        <f>IFERROR(VLOOKUP($A168,EntryList!$A$3:$N$291,7,FALSE),"")</f>
        <v>Lite M</v>
      </c>
      <c r="I168" s="220">
        <f t="shared" si="13"/>
        <v>6</v>
      </c>
      <c r="J168" s="58">
        <f>IFERROR(VLOOKUP($A168,SortedDownload!$A$3:$BB$219,31,FALSE)/86400000,"")</f>
        <v>0</v>
      </c>
      <c r="K168" s="58" t="str">
        <f>IFERROR(IF(VLOOKUP($A168,SortedDownload!$A$3:$BB$219,32,FALSE)=0,"-",VLOOKUP($A168,SortedDownload!$A$3:$BB$219,32,FALSE)/86400000),"-")</f>
        <v>-</v>
      </c>
      <c r="L168" s="58">
        <f>IFERROR(IF(VLOOKUP($A168,SortedDownload!$A$3:$BB$219,33,FALSE)=0,"-",VLOOKUP($A168,SortedDownload!$A$3:$BB$219,33,FALSE)/86400000),"-")</f>
        <v>0.40797682870370372</v>
      </c>
      <c r="M168" s="58">
        <f>IFERROR(IF(VLOOKUP($A168,SortedDownload!$A$3:$BB$219,34,FALSE)=0,"-",VLOOKUP($A168,SortedDownload!$A$3:$BB$219,34,FALSE)/86400000),"-")</f>
        <v>0.41097834490740742</v>
      </c>
      <c r="N168" s="58">
        <f>IFERROR(IF(VLOOKUP($A168,SortedDownload!$A$3:$BB$219,35,FALSE)=0,"-",VLOOKUP($A168,SortedDownload!$A$3:$BB$219,35,FALSE)/86400000),"-")</f>
        <v>0.44928667824074076</v>
      </c>
      <c r="O168" s="58">
        <f>IFERROR(IF(VLOOKUP($A168,SortedDownload!$A$3:$BB$219,36,FALSE)=0,"-",VLOOKUP($A168,SortedDownload!$A$3:$BB$219,36,FALSE)/86400000),"-")</f>
        <v>0.45114059027777775</v>
      </c>
      <c r="P168" s="58" t="str">
        <f>IFERROR(IF(VLOOKUP($A168,SortedDownload!$A$3:$BB$219,37,FALSE)=0,"-",VLOOKUP($A168,SortedDownload!$A$3:$BB$219,37,FALSE)/86400000),"-")</f>
        <v>-</v>
      </c>
      <c r="Q168" s="58" t="str">
        <f>IFERROR(IF(VLOOKUP($A168,SortedDownload!$A$3:$BB$219,38,FALSE)=0,"-",VLOOKUP($A168,SortedDownload!$A$3:$BB$219,38,FALSE)/86400000),"-")</f>
        <v>-</v>
      </c>
      <c r="R168" s="58">
        <f>IFERROR(IF(VLOOKUP($A168,SortedDownload!$A$3:$BB$219,39,FALSE)=0,"-",VLOOKUP($A168,SortedDownload!$A$3:$BB$219,39,FALSE)/86400000),"-")</f>
        <v>0.49170685185185187</v>
      </c>
      <c r="S168" s="58">
        <f>IFERROR(IF(VLOOKUP($A168,SortedDownload!$A$3:$BB$219,40,FALSE)=0,"-",VLOOKUP($A168,SortedDownload!$A$3:$BB$219,40,FALSE)/86400000),"-")</f>
        <v>0.49564171296296294</v>
      </c>
      <c r="T168" s="58" t="str">
        <f>IFERROR(IF(VLOOKUP($A168,SortedDownload!$A$3:$BB$219,41,FALSE)=0,"-",VLOOKUP($A168,SortedDownload!$A$3:$BB$219,41,FALSE)/86400000),"-")</f>
        <v>-</v>
      </c>
      <c r="U168" s="58" t="str">
        <f>IFERROR(IF(VLOOKUP($A168,SortedDownload!$A$3:$BB$219,42,FALSE)=0,"-",VLOOKUP($A168,SortedDownload!$A$3:$BB$219,42,FALSE)/86400000),"-")</f>
        <v>-</v>
      </c>
      <c r="V168" s="58" t="str">
        <f>IFERROR(IF(VLOOKUP($A168,SortedDownload!$A$3:$BB$219,43,FALSE)=0,"-",VLOOKUP($A168,SortedDownload!$A$3:$BB$219,43,FALSE)/86400000),"-")</f>
        <v>-</v>
      </c>
      <c r="W168" s="58" t="str">
        <f>IFERROR(IF(VLOOKUP($A168,SortedDownload!$A$3:$BB$219,44,FALSE)=0,"-",VLOOKUP($A168,SortedDownload!$A$3:$BB$219,44,FALSE)/86400000),"-")</f>
        <v>-</v>
      </c>
      <c r="X168" s="58" t="str">
        <f>IFERROR(IF(VLOOKUP($A168,SortedDownload!$A$3:$BB$219,45,FALSE)=0,"-",VLOOKUP($A168,SortedDownload!$A$3:$BB$219,45,FALSE)/86400000),"-")</f>
        <v>-</v>
      </c>
      <c r="Y168" s="58">
        <f>IFERROR(VLOOKUP($A168,SortedDownload!$A$3:$BB$219,46,FALSE)/86400000,"")</f>
        <v>0</v>
      </c>
      <c r="Z168" s="58">
        <f>IFERROR(Table932[[#This Row],[End Time]]-Table932[[#This Row],[Start Time]],"")</f>
        <v>0</v>
      </c>
      <c r="AA168" s="58"/>
      <c r="AB168" s="170">
        <f t="shared" si="16"/>
        <v>0</v>
      </c>
      <c r="AC168" s="170">
        <f t="shared" si="17"/>
        <v>0.40741215277777776</v>
      </c>
    </row>
    <row r="169" spans="1:29">
      <c r="A169" s="53">
        <f>IF(SortedDownload!A162 &lt; 1,"",SortedDownload!A162)</f>
        <v>189</v>
      </c>
      <c r="B169" s="146">
        <f t="shared" si="12"/>
        <v>164</v>
      </c>
      <c r="C169" s="146" t="str">
        <f>IFERROR(VLOOKUP($A169,CategoryResults!$A$3:$X$252,3,FALSE),"")</f>
        <v/>
      </c>
      <c r="D169" s="149" t="str">
        <f>IFERROR(VLOOKUP($A169,EntryList!$A$3:$N$291,2,FALSE),"")</f>
        <v>Duncan Sephton</v>
      </c>
      <c r="E169" s="146" t="str">
        <f>IFERROR(VLOOKUP(C169,SeriesPoints!$A$2:$B$51,2,FALSE),"")</f>
        <v/>
      </c>
      <c r="F169" s="150" t="str">
        <f>IFERROR(VLOOKUP($A169,EntryList!$A$3:$V$291,22,FALSE),"")</f>
        <v>-</v>
      </c>
      <c r="G169" s="148" t="str">
        <f>IFERROR(VLOOKUP($A169,EntryList!$A$3:$N$291,6,FALSE),"")</f>
        <v>M</v>
      </c>
      <c r="H169" s="226" t="str">
        <f>IFERROR(VLOOKUP($A169,EntryList!$A$3:$N$291,7,FALSE),"")</f>
        <v>Lite M</v>
      </c>
      <c r="I169" s="220">
        <f t="shared" si="13"/>
        <v>6</v>
      </c>
      <c r="J169" s="58">
        <f>IFERROR(VLOOKUP($A169,SortedDownload!$A$3:$BB$219,31,FALSE)/86400000,"")</f>
        <v>0</v>
      </c>
      <c r="K169" s="58" t="str">
        <f>IFERROR(IF(VLOOKUP($A169,SortedDownload!$A$3:$BB$219,32,FALSE)=0,"-",VLOOKUP($A169,SortedDownload!$A$3:$BB$219,32,FALSE)/86400000),"-")</f>
        <v>-</v>
      </c>
      <c r="L169" s="58">
        <f>IFERROR(IF(VLOOKUP($A169,SortedDownload!$A$3:$BB$219,33,FALSE)=0,"-",VLOOKUP($A169,SortedDownload!$A$3:$BB$219,33,FALSE)/86400000),"-")</f>
        <v>0.42901157407407409</v>
      </c>
      <c r="M169" s="58">
        <f>IFERROR(IF(VLOOKUP($A169,SortedDownload!$A$3:$BB$219,34,FALSE)=0,"-",VLOOKUP($A169,SortedDownload!$A$3:$BB$219,34,FALSE)/86400000),"-")</f>
        <v>0.43201054398148148</v>
      </c>
      <c r="N169" s="58">
        <f>IFERROR(IF(VLOOKUP($A169,SortedDownload!$A$3:$BB$219,35,FALSE)=0,"-",VLOOKUP($A169,SortedDownload!$A$3:$BB$219,35,FALSE)/86400000),"-")</f>
        <v>0.3802742013888889</v>
      </c>
      <c r="O169" s="58">
        <f>IFERROR(IF(VLOOKUP($A169,SortedDownload!$A$3:$BB$219,36,FALSE)=0,"-",VLOOKUP($A169,SortedDownload!$A$3:$BB$219,36,FALSE)/86400000),"-")</f>
        <v>0.38213417824074075</v>
      </c>
      <c r="P169" s="58" t="str">
        <f>IFERROR(IF(VLOOKUP($A169,SortedDownload!$A$3:$BB$219,37,FALSE)=0,"-",VLOOKUP($A169,SortedDownload!$A$3:$BB$219,37,FALSE)/86400000),"-")</f>
        <v>-</v>
      </c>
      <c r="Q169" s="58" t="str">
        <f>IFERROR(IF(VLOOKUP($A169,SortedDownload!$A$3:$BB$219,38,FALSE)=0,"-",VLOOKUP($A169,SortedDownload!$A$3:$BB$219,38,FALSE)/86400000),"-")</f>
        <v>-</v>
      </c>
      <c r="R169" s="58">
        <f>IFERROR(IF(VLOOKUP($A169,SortedDownload!$A$3:$BB$219,39,FALSE)=0,"-",VLOOKUP($A169,SortedDownload!$A$3:$BB$219,39,FALSE)/86400000),"-")</f>
        <v>0.46576988425925925</v>
      </c>
      <c r="S169" s="58">
        <f>IFERROR(IF(VLOOKUP($A169,SortedDownload!$A$3:$BB$219,40,FALSE)=0,"-",VLOOKUP($A169,SortedDownload!$A$3:$BB$219,40,FALSE)/86400000),"-")</f>
        <v>0.46974206018518516</v>
      </c>
      <c r="T169" s="58" t="str">
        <f>IFERROR(IF(VLOOKUP($A169,SortedDownload!$A$3:$BB$219,41,FALSE)=0,"-",VLOOKUP($A169,SortedDownload!$A$3:$BB$219,41,FALSE)/86400000),"-")</f>
        <v>-</v>
      </c>
      <c r="U169" s="58" t="str">
        <f>IFERROR(IF(VLOOKUP($A169,SortedDownload!$A$3:$BB$219,42,FALSE)=0,"-",VLOOKUP($A169,SortedDownload!$A$3:$BB$219,42,FALSE)/86400000),"-")</f>
        <v>-</v>
      </c>
      <c r="V169" s="58" t="str">
        <f>IFERROR(IF(VLOOKUP($A169,SortedDownload!$A$3:$BB$219,43,FALSE)=0,"-",VLOOKUP($A169,SortedDownload!$A$3:$BB$219,43,FALSE)/86400000),"-")</f>
        <v>-</v>
      </c>
      <c r="W169" s="58" t="str">
        <f>IFERROR(IF(VLOOKUP($A169,SortedDownload!$A$3:$BB$219,44,FALSE)=0,"-",VLOOKUP($A169,SortedDownload!$A$3:$BB$219,44,FALSE)/86400000),"-")</f>
        <v>-</v>
      </c>
      <c r="X169" s="58" t="str">
        <f>IFERROR(IF(VLOOKUP($A169,SortedDownload!$A$3:$BB$219,45,FALSE)=0,"-",VLOOKUP($A169,SortedDownload!$A$3:$BB$219,45,FALSE)/86400000),"-")</f>
        <v>-</v>
      </c>
      <c r="Y169" s="58">
        <f>IFERROR(VLOOKUP($A169,SortedDownload!$A$3:$BB$219,46,FALSE)/86400000,"")</f>
        <v>0</v>
      </c>
      <c r="Z169" s="58">
        <f>IFERROR(Table932[[#This Row],[End Time]]-Table932[[#This Row],[Start Time]],"")</f>
        <v>0</v>
      </c>
      <c r="AA169" s="58"/>
      <c r="AB169" s="170">
        <f t="shared" si="16"/>
        <v>0</v>
      </c>
      <c r="AC169" s="170">
        <f t="shared" si="17"/>
        <v>0.40741215277777776</v>
      </c>
    </row>
    <row r="170" spans="1:29">
      <c r="A170" s="53">
        <f>IF(SortedDownload!A163 &lt; 1,"",SortedDownload!A163)</f>
        <v>159</v>
      </c>
      <c r="B170" s="146">
        <f t="shared" si="12"/>
        <v>165</v>
      </c>
      <c r="C170" s="146" t="str">
        <f>IFERROR(VLOOKUP($A170,CategoryResults!$A$3:$X$252,3,FALSE),"")</f>
        <v/>
      </c>
      <c r="D170" s="149" t="str">
        <f>IFERROR(VLOOKUP($A170,EntryList!$A$3:$N$291,2,FALSE),"")</f>
        <v>Ridha Davids</v>
      </c>
      <c r="E170" s="146" t="str">
        <f>IFERROR(VLOOKUP(C170,SeriesPoints!$A$2:$B$51,2,FALSE),"")</f>
        <v/>
      </c>
      <c r="F170" s="150" t="str">
        <f>IFERROR(VLOOKUP($A170,EntryList!$A$3:$V$291,22,FALSE),"")</f>
        <v>-</v>
      </c>
      <c r="G170" s="148" t="str">
        <f>IFERROR(VLOOKUP($A170,EntryList!$A$3:$N$291,6,FALSE),"")</f>
        <v>M</v>
      </c>
      <c r="H170" s="226" t="str">
        <f>IFERROR(VLOOKUP($A170,EntryList!$A$3:$N$291,7,FALSE),"")</f>
        <v>Lite M</v>
      </c>
      <c r="I170" s="220">
        <f t="shared" si="13"/>
        <v>6</v>
      </c>
      <c r="J170" s="58">
        <f>IFERROR(VLOOKUP($A170,SortedDownload!$A$3:$BB$219,31,FALSE)/86400000,"")</f>
        <v>0</v>
      </c>
      <c r="K170" s="58" t="str">
        <f>IFERROR(IF(VLOOKUP($A170,SortedDownload!$A$3:$BB$219,32,FALSE)=0,"-",VLOOKUP($A170,SortedDownload!$A$3:$BB$219,32,FALSE)/86400000),"-")</f>
        <v>-</v>
      </c>
      <c r="L170" s="58">
        <f>IFERROR(IF(VLOOKUP($A170,SortedDownload!$A$3:$BB$219,33,FALSE)=0,"-",VLOOKUP($A170,SortedDownload!$A$3:$BB$219,33,FALSE)/86400000),"-")</f>
        <v>0.41177584490740743</v>
      </c>
      <c r="M170" s="58">
        <f>IFERROR(IF(VLOOKUP($A170,SortedDownload!$A$3:$BB$219,34,FALSE)=0,"-",VLOOKUP($A170,SortedDownload!$A$3:$BB$219,34,FALSE)/86400000),"-")</f>
        <v>0.41488283564814815</v>
      </c>
      <c r="N170" s="58">
        <f>IFERROR(IF(VLOOKUP($A170,SortedDownload!$A$3:$BB$219,35,FALSE)=0,"-",VLOOKUP($A170,SortedDownload!$A$3:$BB$219,35,FALSE)/86400000),"-")</f>
        <v>0.45823581018518517</v>
      </c>
      <c r="O170" s="58">
        <f>IFERROR(IF(VLOOKUP($A170,SortedDownload!$A$3:$BB$219,36,FALSE)=0,"-",VLOOKUP($A170,SortedDownload!$A$3:$BB$219,36,FALSE)/86400000),"-")</f>
        <v>0.45999217592592595</v>
      </c>
      <c r="P170" s="58" t="str">
        <f>IFERROR(IF(VLOOKUP($A170,SortedDownload!$A$3:$BB$219,37,FALSE)=0,"-",VLOOKUP($A170,SortedDownload!$A$3:$BB$219,37,FALSE)/86400000),"-")</f>
        <v>-</v>
      </c>
      <c r="Q170" s="58" t="str">
        <f>IFERROR(IF(VLOOKUP($A170,SortedDownload!$A$3:$BB$219,38,FALSE)=0,"-",VLOOKUP($A170,SortedDownload!$A$3:$BB$219,38,FALSE)/86400000),"-")</f>
        <v>-</v>
      </c>
      <c r="R170" s="58">
        <f>IFERROR(IF(VLOOKUP($A170,SortedDownload!$A$3:$BB$219,39,FALSE)=0,"-",VLOOKUP($A170,SortedDownload!$A$3:$BB$219,39,FALSE)/86400000),"-")</f>
        <v>0.50113118055555561</v>
      </c>
      <c r="S170" s="58">
        <f>IFERROR(IF(VLOOKUP($A170,SortedDownload!$A$3:$BB$219,40,FALSE)=0,"-",VLOOKUP($A170,SortedDownload!$A$3:$BB$219,40,FALSE)/86400000),"-")</f>
        <v>0.50515652777777775</v>
      </c>
      <c r="T170" s="58" t="str">
        <f>IFERROR(IF(VLOOKUP($A170,SortedDownload!$A$3:$BB$219,41,FALSE)=0,"-",VLOOKUP($A170,SortedDownload!$A$3:$BB$219,41,FALSE)/86400000),"-")</f>
        <v>-</v>
      </c>
      <c r="U170" s="58" t="str">
        <f>IFERROR(IF(VLOOKUP($A170,SortedDownload!$A$3:$BB$219,42,FALSE)=0,"-",VLOOKUP($A170,SortedDownload!$A$3:$BB$219,42,FALSE)/86400000),"-")</f>
        <v>-</v>
      </c>
      <c r="V170" s="58" t="str">
        <f>IFERROR(IF(VLOOKUP($A170,SortedDownload!$A$3:$BB$219,43,FALSE)=0,"-",VLOOKUP($A170,SortedDownload!$A$3:$BB$219,43,FALSE)/86400000),"-")</f>
        <v>-</v>
      </c>
      <c r="W170" s="58" t="str">
        <f>IFERROR(IF(VLOOKUP($A170,SortedDownload!$A$3:$BB$219,44,FALSE)=0,"-",VLOOKUP($A170,SortedDownload!$A$3:$BB$219,44,FALSE)/86400000),"-")</f>
        <v>-</v>
      </c>
      <c r="X170" s="58" t="str">
        <f>IFERROR(IF(VLOOKUP($A170,SortedDownload!$A$3:$BB$219,45,FALSE)=0,"-",VLOOKUP($A170,SortedDownload!$A$3:$BB$219,45,FALSE)/86400000),"-")</f>
        <v>-</v>
      </c>
      <c r="Y170" s="58">
        <f>IFERROR(VLOOKUP($A170,SortedDownload!$A$3:$BB$219,46,FALSE)/86400000,"")</f>
        <v>0</v>
      </c>
      <c r="Z170" s="58">
        <f>IFERROR(Table932[[#This Row],[End Time]]-Table932[[#This Row],[Start Time]],"")</f>
        <v>0</v>
      </c>
      <c r="AA170" s="58"/>
      <c r="AB170" s="170" t="e">
        <f>Z170-#REF!</f>
        <v>#REF!</v>
      </c>
      <c r="AC170" s="170">
        <f t="shared" si="17"/>
        <v>0.40741215277777776</v>
      </c>
    </row>
    <row r="171" spans="1:29">
      <c r="A171" s="53">
        <f>IF(SortedDownload!A164 &lt; 1,"",SortedDownload!A164)</f>
        <v>148</v>
      </c>
      <c r="B171" s="146">
        <f t="shared" si="12"/>
        <v>166</v>
      </c>
      <c r="C171" s="146" t="str">
        <f>IFERROR(VLOOKUP($A171,CategoryResults!$A$3:$X$252,3,FALSE),"")</f>
        <v/>
      </c>
      <c r="D171" s="149" t="str">
        <f>IFERROR(VLOOKUP($A171,EntryList!$A$3:$N$291,2,FALSE),"")</f>
        <v>Thomas Kabalin</v>
      </c>
      <c r="E171" s="146" t="str">
        <f>IFERROR(VLOOKUP(C171,SeriesPoints!$A$2:$B$51,2,FALSE),"")</f>
        <v/>
      </c>
      <c r="F171" s="150" t="str">
        <f>IFERROR(VLOOKUP($A171,EntryList!$A$3:$V$291,22,FALSE),"")</f>
        <v>-</v>
      </c>
      <c r="G171" s="148" t="str">
        <f>IFERROR(VLOOKUP($A171,EntryList!$A$3:$N$291,6,FALSE),"")</f>
        <v>M</v>
      </c>
      <c r="H171" s="226" t="str">
        <f>IFERROR(VLOOKUP($A171,EntryList!$A$3:$N$291,7,FALSE),"")</f>
        <v>Lite M</v>
      </c>
      <c r="I171" s="220">
        <f t="shared" si="13"/>
        <v>6</v>
      </c>
      <c r="J171" s="58">
        <f>IFERROR(VLOOKUP($A171,SortedDownload!$A$3:$BB$219,31,FALSE)/86400000,"")</f>
        <v>0</v>
      </c>
      <c r="K171" s="58" t="str">
        <f>IFERROR(IF(VLOOKUP($A171,SortedDownload!$A$3:$BB$219,32,FALSE)=0,"-",VLOOKUP($A171,SortedDownload!$A$3:$BB$219,32,FALSE)/86400000),"-")</f>
        <v>-</v>
      </c>
      <c r="L171" s="58">
        <f>IFERROR(IF(VLOOKUP($A171,SortedDownload!$A$3:$BB$219,33,FALSE)=0,"-",VLOOKUP($A171,SortedDownload!$A$3:$BB$219,33,FALSE)/86400000),"-")</f>
        <v>0.39628228009259259</v>
      </c>
      <c r="M171" s="58">
        <f>IFERROR(IF(VLOOKUP($A171,SortedDownload!$A$3:$BB$219,34,FALSE)=0,"-",VLOOKUP($A171,SortedDownload!$A$3:$BB$219,34,FALSE)/86400000),"-")</f>
        <v>0.3993227777777778</v>
      </c>
      <c r="N171" s="58">
        <f>IFERROR(IF(VLOOKUP($A171,SortedDownload!$A$3:$BB$219,35,FALSE)=0,"-",VLOOKUP($A171,SortedDownload!$A$3:$BB$219,35,FALSE)/86400000),"-")</f>
        <v>0.43597313657407405</v>
      </c>
      <c r="O171" s="58">
        <f>IFERROR(IF(VLOOKUP($A171,SortedDownload!$A$3:$BB$219,36,FALSE)=0,"-",VLOOKUP($A171,SortedDownload!$A$3:$BB$219,36,FALSE)/86400000),"-")</f>
        <v>0.43772143518518519</v>
      </c>
      <c r="P171" s="58" t="str">
        <f>IFERROR(IF(VLOOKUP($A171,SortedDownload!$A$3:$BB$219,37,FALSE)=0,"-",VLOOKUP($A171,SortedDownload!$A$3:$BB$219,37,FALSE)/86400000),"-")</f>
        <v>-</v>
      </c>
      <c r="Q171" s="58" t="str">
        <f>IFERROR(IF(VLOOKUP($A171,SortedDownload!$A$3:$BB$219,38,FALSE)=0,"-",VLOOKUP($A171,SortedDownload!$A$3:$BB$219,38,FALSE)/86400000),"-")</f>
        <v>-</v>
      </c>
      <c r="R171" s="58">
        <f>IFERROR(IF(VLOOKUP($A171,SortedDownload!$A$3:$BB$219,39,FALSE)=0,"-",VLOOKUP($A171,SortedDownload!$A$3:$BB$219,39,FALSE)/86400000),"-")</f>
        <v>0.47767157407407407</v>
      </c>
      <c r="S171" s="58">
        <f>IFERROR(IF(VLOOKUP($A171,SortedDownload!$A$3:$BB$219,40,FALSE)=0,"-",VLOOKUP($A171,SortedDownload!$A$3:$BB$219,40,FALSE)/86400000),"-")</f>
        <v>0.48177598379629627</v>
      </c>
      <c r="T171" s="58" t="str">
        <f>IFERROR(IF(VLOOKUP($A171,SortedDownload!$A$3:$BB$219,41,FALSE)=0,"-",VLOOKUP($A171,SortedDownload!$A$3:$BB$219,41,FALSE)/86400000),"-")</f>
        <v>-</v>
      </c>
      <c r="U171" s="58" t="str">
        <f>IFERROR(IF(VLOOKUP($A171,SortedDownload!$A$3:$BB$219,42,FALSE)=0,"-",VLOOKUP($A171,SortedDownload!$A$3:$BB$219,42,FALSE)/86400000),"-")</f>
        <v>-</v>
      </c>
      <c r="V171" s="58" t="str">
        <f>IFERROR(IF(VLOOKUP($A171,SortedDownload!$A$3:$BB$219,43,FALSE)=0,"-",VLOOKUP($A171,SortedDownload!$A$3:$BB$219,43,FALSE)/86400000),"-")</f>
        <v>-</v>
      </c>
      <c r="W171" s="58" t="str">
        <f>IFERROR(IF(VLOOKUP($A171,SortedDownload!$A$3:$BB$219,44,FALSE)=0,"-",VLOOKUP($A171,SortedDownload!$A$3:$BB$219,44,FALSE)/86400000),"-")</f>
        <v>-</v>
      </c>
      <c r="X171" s="58" t="str">
        <f>IFERROR(IF(VLOOKUP($A171,SortedDownload!$A$3:$BB$219,45,FALSE)=0,"-",VLOOKUP($A171,SortedDownload!$A$3:$BB$219,45,FALSE)/86400000),"-")</f>
        <v>-</v>
      </c>
      <c r="Y171" s="58">
        <f>IFERROR(VLOOKUP($A171,SortedDownload!$A$3:$BB$219,46,FALSE)/86400000,"")</f>
        <v>0</v>
      </c>
      <c r="Z171" s="58">
        <f>IFERROR(Table932[[#This Row],[End Time]]-Table932[[#This Row],[Start Time]],"")</f>
        <v>0</v>
      </c>
      <c r="AA171" s="58"/>
      <c r="AB171" s="170">
        <f t="shared" si="16"/>
        <v>0</v>
      </c>
      <c r="AC171" s="170">
        <f t="shared" si="17"/>
        <v>0.40741215277777776</v>
      </c>
    </row>
    <row r="172" spans="1:29">
      <c r="A172" s="53">
        <f>IF(SortedDownload!A165 &lt; 1,"",SortedDownload!A165)</f>
        <v>63</v>
      </c>
      <c r="B172" s="146">
        <f t="shared" si="12"/>
        <v>167</v>
      </c>
      <c r="C172" s="146" t="str">
        <f>IFERROR(VLOOKUP($A172,CategoryResults!$A$3:$X$252,3,FALSE),"")</f>
        <v/>
      </c>
      <c r="D172" s="149" t="str">
        <f>IFERROR(VLOOKUP($A172,EntryList!$A$3:$N$291,2,FALSE),"")</f>
        <v>Joshua Baptie</v>
      </c>
      <c r="E172" s="146" t="str">
        <f>IFERROR(VLOOKUP(C172,SeriesPoints!$A$2:$B$51,2,FALSE),"")</f>
        <v/>
      </c>
      <c r="F172" s="150" t="str">
        <f>IFERROR(VLOOKUP($A172,EntryList!$A$3:$V$291,22,FALSE),"")</f>
        <v>-</v>
      </c>
      <c r="G172" s="148" t="str">
        <f>IFERROR(VLOOKUP($A172,EntryList!$A$3:$N$291,6,FALSE),"")</f>
        <v>M</v>
      </c>
      <c r="H172" s="226" t="str">
        <f>IFERROR(VLOOKUP($A172,EntryList!$A$3:$N$291,7,FALSE),"")</f>
        <v>Lite M</v>
      </c>
      <c r="I172" s="220">
        <f t="shared" si="13"/>
        <v>6</v>
      </c>
      <c r="J172" s="58">
        <f>IFERROR(VLOOKUP($A172,SortedDownload!$A$3:$BB$219,31,FALSE)/86400000,"")</f>
        <v>0</v>
      </c>
      <c r="K172" s="58" t="str">
        <f>IFERROR(IF(VLOOKUP($A172,SortedDownload!$A$3:$BB$219,32,FALSE)=0,"-",VLOOKUP($A172,SortedDownload!$A$3:$BB$219,32,FALSE)/86400000),"-")</f>
        <v>-</v>
      </c>
      <c r="L172" s="58">
        <f>IFERROR(IF(VLOOKUP($A172,SortedDownload!$A$3:$BB$219,33,FALSE)=0,"-",VLOOKUP($A172,SortedDownload!$A$3:$BB$219,33,FALSE)/86400000),"-")</f>
        <v>0.4246567824074074</v>
      </c>
      <c r="M172" s="58">
        <f>IFERROR(IF(VLOOKUP($A172,SortedDownload!$A$3:$BB$219,34,FALSE)=0,"-",VLOOKUP($A172,SortedDownload!$A$3:$BB$219,34,FALSE)/86400000),"-")</f>
        <v>0.42768315972222221</v>
      </c>
      <c r="N172" s="58">
        <f>IFERROR(IF(VLOOKUP($A172,SortedDownload!$A$3:$BB$219,35,FALSE)=0,"-",VLOOKUP($A172,SortedDownload!$A$3:$BB$219,35,FALSE)/86400000),"-")</f>
        <v>0.47906881944444446</v>
      </c>
      <c r="O172" s="58">
        <f>IFERROR(IF(VLOOKUP($A172,SortedDownload!$A$3:$BB$219,36,FALSE)=0,"-",VLOOKUP($A172,SortedDownload!$A$3:$BB$219,36,FALSE)/86400000),"-")</f>
        <v>0.48076247685185186</v>
      </c>
      <c r="P172" s="58" t="str">
        <f>IFERROR(IF(VLOOKUP($A172,SortedDownload!$A$3:$BB$219,37,FALSE)=0,"-",VLOOKUP($A172,SortedDownload!$A$3:$BB$219,37,FALSE)/86400000),"-")</f>
        <v>-</v>
      </c>
      <c r="Q172" s="58" t="str">
        <f>IFERROR(IF(VLOOKUP($A172,SortedDownload!$A$3:$BB$219,38,FALSE)=0,"-",VLOOKUP($A172,SortedDownload!$A$3:$BB$219,38,FALSE)/86400000),"-")</f>
        <v>-</v>
      </c>
      <c r="R172" s="58">
        <f>IFERROR(IF(VLOOKUP($A172,SortedDownload!$A$3:$BB$219,39,FALSE)=0,"-",VLOOKUP($A172,SortedDownload!$A$3:$BB$219,39,FALSE)/86400000),"-")</f>
        <v>0.55340768518518524</v>
      </c>
      <c r="S172" s="58">
        <f>IFERROR(IF(VLOOKUP($A172,SortedDownload!$A$3:$BB$219,40,FALSE)=0,"-",VLOOKUP($A172,SortedDownload!$A$3:$BB$219,40,FALSE)/86400000),"-")</f>
        <v>0.55763303240740736</v>
      </c>
      <c r="T172" s="58" t="str">
        <f>IFERROR(IF(VLOOKUP($A172,SortedDownload!$A$3:$BB$219,41,FALSE)=0,"-",VLOOKUP($A172,SortedDownload!$A$3:$BB$219,41,FALSE)/86400000),"-")</f>
        <v>-</v>
      </c>
      <c r="U172" s="58" t="str">
        <f>IFERROR(IF(VLOOKUP($A172,SortedDownload!$A$3:$BB$219,42,FALSE)=0,"-",VLOOKUP($A172,SortedDownload!$A$3:$BB$219,42,FALSE)/86400000),"-")</f>
        <v>-</v>
      </c>
      <c r="V172" s="58" t="str">
        <f>IFERROR(IF(VLOOKUP($A172,SortedDownload!$A$3:$BB$219,43,FALSE)=0,"-",VLOOKUP($A172,SortedDownload!$A$3:$BB$219,43,FALSE)/86400000),"-")</f>
        <v>-</v>
      </c>
      <c r="W172" s="58" t="str">
        <f>IFERROR(IF(VLOOKUP($A172,SortedDownload!$A$3:$BB$219,44,FALSE)=0,"-",VLOOKUP($A172,SortedDownload!$A$3:$BB$219,44,FALSE)/86400000),"-")</f>
        <v>-</v>
      </c>
      <c r="X172" s="58" t="str">
        <f>IFERROR(IF(VLOOKUP($A172,SortedDownload!$A$3:$BB$219,45,FALSE)=0,"-",VLOOKUP($A172,SortedDownload!$A$3:$BB$219,45,FALSE)/86400000),"-")</f>
        <v>-</v>
      </c>
      <c r="Y172" s="58">
        <f>IFERROR(VLOOKUP($A172,SortedDownload!$A$3:$BB$219,46,FALSE)/86400000,"")</f>
        <v>0</v>
      </c>
      <c r="Z172" s="58">
        <f>IFERROR(Table932[[#This Row],[End Time]]-Table932[[#This Row],[Start Time]],"")</f>
        <v>0</v>
      </c>
      <c r="AA172" s="58"/>
      <c r="AB172" s="170">
        <f t="shared" si="16"/>
        <v>0</v>
      </c>
      <c r="AC172" s="170">
        <f t="shared" si="17"/>
        <v>0.40741215277777776</v>
      </c>
    </row>
    <row r="173" spans="1:29">
      <c r="A173" s="53">
        <f>IF(SortedDownload!A166 &lt; 1,"",SortedDownload!A166)</f>
        <v>82</v>
      </c>
      <c r="B173" s="146">
        <f t="shared" si="12"/>
        <v>168</v>
      </c>
      <c r="C173" s="146" t="str">
        <f>IFERROR(VLOOKUP($A173,CategoryResults!$A$3:$X$252,3,FALSE),"")</f>
        <v/>
      </c>
      <c r="D173" s="149" t="str">
        <f>IFERROR(VLOOKUP($A173,EntryList!$A$3:$N$291,2,FALSE),"")</f>
        <v>Michael Collins</v>
      </c>
      <c r="E173" s="146" t="str">
        <f>IFERROR(VLOOKUP(C173,SeriesPoints!$A$2:$B$51,2,FALSE),"")</f>
        <v/>
      </c>
      <c r="F173" s="150" t="str">
        <f>IFERROR(VLOOKUP($A173,EntryList!$A$3:$V$291,22,FALSE),"")</f>
        <v>-</v>
      </c>
      <c r="G173" s="148" t="str">
        <f>IFERROR(VLOOKUP($A173,EntryList!$A$3:$N$291,6,FALSE),"")</f>
        <v>M</v>
      </c>
      <c r="H173" s="226" t="str">
        <f>IFERROR(VLOOKUP($A173,EntryList!$A$3:$N$291,7,FALSE),"")</f>
        <v>Lite M</v>
      </c>
      <c r="I173" s="220">
        <f t="shared" si="13"/>
        <v>6</v>
      </c>
      <c r="J173" s="58">
        <f>IFERROR(VLOOKUP($A173,SortedDownload!$A$3:$BB$219,31,FALSE)/86400000,"")</f>
        <v>0</v>
      </c>
      <c r="K173" s="58" t="str">
        <f>IFERROR(IF(VLOOKUP($A173,SortedDownload!$A$3:$BB$219,32,FALSE)=0,"-",VLOOKUP($A173,SortedDownload!$A$3:$BB$219,32,FALSE)/86400000),"-")</f>
        <v>-</v>
      </c>
      <c r="L173" s="58">
        <f>IFERROR(IF(VLOOKUP($A173,SortedDownload!$A$3:$BB$219,33,FALSE)=0,"-",VLOOKUP($A173,SortedDownload!$A$3:$BB$219,33,FALSE)/86400000),"-")</f>
        <v>0.39887730324074072</v>
      </c>
      <c r="M173" s="58">
        <f>IFERROR(IF(VLOOKUP($A173,SortedDownload!$A$3:$BB$219,34,FALSE)=0,"-",VLOOKUP($A173,SortedDownload!$A$3:$BB$219,34,FALSE)/86400000),"-")</f>
        <v>0.40195118055555557</v>
      </c>
      <c r="N173" s="58">
        <f>IFERROR(IF(VLOOKUP($A173,SortedDownload!$A$3:$BB$219,35,FALSE)=0,"-",VLOOKUP($A173,SortedDownload!$A$3:$BB$219,35,FALSE)/86400000),"-")</f>
        <v>0.4363371064814815</v>
      </c>
      <c r="O173" s="58">
        <f>IFERROR(IF(VLOOKUP($A173,SortedDownload!$A$3:$BB$219,36,FALSE)=0,"-",VLOOKUP($A173,SortedDownload!$A$3:$BB$219,36,FALSE)/86400000),"-")</f>
        <v>0.43826204861111112</v>
      </c>
      <c r="P173" s="58" t="str">
        <f>IFERROR(IF(VLOOKUP($A173,SortedDownload!$A$3:$BB$219,37,FALSE)=0,"-",VLOOKUP($A173,SortedDownload!$A$3:$BB$219,37,FALSE)/86400000),"-")</f>
        <v>-</v>
      </c>
      <c r="Q173" s="58" t="str">
        <f>IFERROR(IF(VLOOKUP($A173,SortedDownload!$A$3:$BB$219,38,FALSE)=0,"-",VLOOKUP($A173,SortedDownload!$A$3:$BB$219,38,FALSE)/86400000),"-")</f>
        <v>-</v>
      </c>
      <c r="R173" s="58">
        <f>IFERROR(IF(VLOOKUP($A173,SortedDownload!$A$3:$BB$219,39,FALSE)=0,"-",VLOOKUP($A173,SortedDownload!$A$3:$BB$219,39,FALSE)/86400000),"-")</f>
        <v>0.47240458333333335</v>
      </c>
      <c r="S173" s="58">
        <f>IFERROR(IF(VLOOKUP($A173,SortedDownload!$A$3:$BB$219,40,FALSE)=0,"-",VLOOKUP($A173,SortedDownload!$A$3:$BB$219,40,FALSE)/86400000),"-")</f>
        <v>0.47637524305555556</v>
      </c>
      <c r="T173" s="58" t="str">
        <f>IFERROR(IF(VLOOKUP($A173,SortedDownload!$A$3:$BB$219,41,FALSE)=0,"-",VLOOKUP($A173,SortedDownload!$A$3:$BB$219,41,FALSE)/86400000),"-")</f>
        <v>-</v>
      </c>
      <c r="U173" s="58" t="str">
        <f>IFERROR(IF(VLOOKUP($A173,SortedDownload!$A$3:$BB$219,42,FALSE)=0,"-",VLOOKUP($A173,SortedDownload!$A$3:$BB$219,42,FALSE)/86400000),"-")</f>
        <v>-</v>
      </c>
      <c r="V173" s="58" t="str">
        <f>IFERROR(IF(VLOOKUP($A173,SortedDownload!$A$3:$BB$219,43,FALSE)=0,"-",VLOOKUP($A173,SortedDownload!$A$3:$BB$219,43,FALSE)/86400000),"-")</f>
        <v>-</v>
      </c>
      <c r="W173" s="58" t="str">
        <f>IFERROR(IF(VLOOKUP($A173,SortedDownload!$A$3:$BB$219,44,FALSE)=0,"-",VLOOKUP($A173,SortedDownload!$A$3:$BB$219,44,FALSE)/86400000),"-")</f>
        <v>-</v>
      </c>
      <c r="X173" s="58" t="str">
        <f>IFERROR(IF(VLOOKUP($A173,SortedDownload!$A$3:$BB$219,45,FALSE)=0,"-",VLOOKUP($A173,SortedDownload!$A$3:$BB$219,45,FALSE)/86400000),"-")</f>
        <v>-</v>
      </c>
      <c r="Y173" s="58">
        <f>IFERROR(VLOOKUP($A173,SortedDownload!$A$3:$BB$219,46,FALSE)/86400000,"")</f>
        <v>0</v>
      </c>
      <c r="Z173" s="58">
        <f>IFERROR(Table932[[#This Row],[End Time]]-Table932[[#This Row],[Start Time]],"")</f>
        <v>0</v>
      </c>
      <c r="AA173" s="58"/>
      <c r="AB173" s="170">
        <f t="shared" si="16"/>
        <v>0</v>
      </c>
      <c r="AC173" s="170">
        <f t="shared" si="17"/>
        <v>0.40741215277777776</v>
      </c>
    </row>
    <row r="174" spans="1:29">
      <c r="A174" s="53">
        <f>IF(SortedDownload!A167 &lt; 1,"",SortedDownload!A167)</f>
        <v>110</v>
      </c>
      <c r="B174" s="146">
        <f t="shared" si="12"/>
        <v>169</v>
      </c>
      <c r="C174" s="146" t="str">
        <f>IFERROR(VLOOKUP($A174,CategoryResults!$A$3:$X$252,3,FALSE),"")</f>
        <v/>
      </c>
      <c r="D174" s="149" t="str">
        <f>IFERROR(VLOOKUP($A174,EntryList!$A$3:$N$291,2,FALSE),"")</f>
        <v>Carlo Stephens</v>
      </c>
      <c r="E174" s="146" t="str">
        <f>IFERROR(VLOOKUP(C174,SeriesPoints!$A$2:$B$51,2,FALSE),"")</f>
        <v/>
      </c>
      <c r="F174" s="150" t="str">
        <f>IFERROR(VLOOKUP($A174,EntryList!$A$3:$V$291,22,FALSE),"")</f>
        <v>-</v>
      </c>
      <c r="G174" s="148" t="str">
        <f>IFERROR(VLOOKUP($A174,EntryList!$A$3:$N$291,6,FALSE),"")</f>
        <v>M</v>
      </c>
      <c r="H174" s="226" t="str">
        <f>IFERROR(VLOOKUP($A174,EntryList!$A$3:$N$291,7,FALSE),"")</f>
        <v>Lite M</v>
      </c>
      <c r="I174" s="220">
        <f t="shared" si="13"/>
        <v>6</v>
      </c>
      <c r="J174" s="58">
        <f>IFERROR(VLOOKUP($A174,SortedDownload!$A$3:$BB$219,31,FALSE)/86400000,"")</f>
        <v>0</v>
      </c>
      <c r="K174" s="58" t="str">
        <f>IFERROR(IF(VLOOKUP($A174,SortedDownload!$A$3:$BB$219,32,FALSE)=0,"-",VLOOKUP($A174,SortedDownload!$A$3:$BB$219,32,FALSE)/86400000),"-")</f>
        <v>-</v>
      </c>
      <c r="L174" s="58">
        <f>IFERROR(IF(VLOOKUP($A174,SortedDownload!$A$3:$BB$219,33,FALSE)=0,"-",VLOOKUP($A174,SortedDownload!$A$3:$BB$219,33,FALSE)/86400000),"-")</f>
        <v>0.43170681712962961</v>
      </c>
      <c r="M174" s="58">
        <f>IFERROR(IF(VLOOKUP($A174,SortedDownload!$A$3:$BB$219,34,FALSE)=0,"-",VLOOKUP($A174,SortedDownload!$A$3:$BB$219,34,FALSE)/86400000),"-")</f>
        <v>0.43481806712962962</v>
      </c>
      <c r="N174" s="58">
        <f>IFERROR(IF(VLOOKUP($A174,SortedDownload!$A$3:$BB$219,35,FALSE)=0,"-",VLOOKUP($A174,SortedDownload!$A$3:$BB$219,35,FALSE)/86400000),"-")</f>
        <v>0.48359124999999997</v>
      </c>
      <c r="O174" s="58">
        <f>IFERROR(IF(VLOOKUP($A174,SortedDownload!$A$3:$BB$219,36,FALSE)=0,"-",VLOOKUP($A174,SortedDownload!$A$3:$BB$219,36,FALSE)/86400000),"-")</f>
        <v>0.48545247685185183</v>
      </c>
      <c r="P174" s="58" t="str">
        <f>IFERROR(IF(VLOOKUP($A174,SortedDownload!$A$3:$BB$219,37,FALSE)=0,"-",VLOOKUP($A174,SortedDownload!$A$3:$BB$219,37,FALSE)/86400000),"-")</f>
        <v>-</v>
      </c>
      <c r="Q174" s="58" t="str">
        <f>IFERROR(IF(VLOOKUP($A174,SortedDownload!$A$3:$BB$219,38,FALSE)=0,"-",VLOOKUP($A174,SortedDownload!$A$3:$BB$219,38,FALSE)/86400000),"-")</f>
        <v>-</v>
      </c>
      <c r="R174" s="58">
        <f>IFERROR(IF(VLOOKUP($A174,SortedDownload!$A$3:$BB$219,39,FALSE)=0,"-",VLOOKUP($A174,SortedDownload!$A$3:$BB$219,39,FALSE)/86400000),"-")</f>
        <v>0.56027578703703707</v>
      </c>
      <c r="S174" s="58">
        <f>IFERROR(IF(VLOOKUP($A174,SortedDownload!$A$3:$BB$219,40,FALSE)=0,"-",VLOOKUP($A174,SortedDownload!$A$3:$BB$219,40,FALSE)/86400000),"-")</f>
        <v>0.56431333333333333</v>
      </c>
      <c r="T174" s="58" t="str">
        <f>IFERROR(IF(VLOOKUP($A174,SortedDownload!$A$3:$BB$219,41,FALSE)=0,"-",VLOOKUP($A174,SortedDownload!$A$3:$BB$219,41,FALSE)/86400000),"-")</f>
        <v>-</v>
      </c>
      <c r="U174" s="58" t="str">
        <f>IFERROR(IF(VLOOKUP($A174,SortedDownload!$A$3:$BB$219,42,FALSE)=0,"-",VLOOKUP($A174,SortedDownload!$A$3:$BB$219,42,FALSE)/86400000),"-")</f>
        <v>-</v>
      </c>
      <c r="V174" s="58" t="str">
        <f>IFERROR(IF(VLOOKUP($A174,SortedDownload!$A$3:$BB$219,43,FALSE)=0,"-",VLOOKUP($A174,SortedDownload!$A$3:$BB$219,43,FALSE)/86400000),"-")</f>
        <v>-</v>
      </c>
      <c r="W174" s="58" t="str">
        <f>IFERROR(IF(VLOOKUP($A174,SortedDownload!$A$3:$BB$219,44,FALSE)=0,"-",VLOOKUP($A174,SortedDownload!$A$3:$BB$219,44,FALSE)/86400000),"-")</f>
        <v>-</v>
      </c>
      <c r="X174" s="58" t="str">
        <f>IFERROR(IF(VLOOKUP($A174,SortedDownload!$A$3:$BB$219,45,FALSE)=0,"-",VLOOKUP($A174,SortedDownload!$A$3:$BB$219,45,FALSE)/86400000),"-")</f>
        <v>-</v>
      </c>
      <c r="Y174" s="58">
        <f>IFERROR(VLOOKUP($A174,SortedDownload!$A$3:$BB$219,46,FALSE)/86400000,"")</f>
        <v>0</v>
      </c>
      <c r="Z174" s="58">
        <f>IFERROR(Table932[[#This Row],[End Time]]-Table932[[#This Row],[Start Time]],"")</f>
        <v>0</v>
      </c>
      <c r="AA174" s="58"/>
      <c r="AB174" s="170">
        <f t="shared" si="16"/>
        <v>0</v>
      </c>
      <c r="AC174" s="170">
        <f t="shared" si="17"/>
        <v>0.40741215277777776</v>
      </c>
    </row>
    <row r="175" spans="1:29">
      <c r="A175" s="53">
        <f>IF(SortedDownload!A168 &lt; 1,"",SortedDownload!A168)</f>
        <v>79</v>
      </c>
      <c r="B175" s="146">
        <f t="shared" si="12"/>
        <v>170</v>
      </c>
      <c r="C175" s="146" t="str">
        <f>IFERROR(VLOOKUP($A175,CategoryResults!$A$3:$X$252,3,FALSE),"")</f>
        <v/>
      </c>
      <c r="D175" s="149" t="str">
        <f>IFERROR(VLOOKUP($A175,EntryList!$A$3:$N$291,2,FALSE),"")</f>
        <v>Nico De Nysschen</v>
      </c>
      <c r="E175" s="146" t="str">
        <f>IFERROR(VLOOKUP(C175,SeriesPoints!$A$2:$B$51,2,FALSE),"")</f>
        <v/>
      </c>
      <c r="F175" s="150" t="str">
        <f>IFERROR(VLOOKUP($A175,EntryList!$A$3:$V$291,22,FALSE),"")</f>
        <v>-</v>
      </c>
      <c r="G175" s="148" t="str">
        <f>IFERROR(VLOOKUP($A175,EntryList!$A$3:$N$291,6,FALSE),"")</f>
        <v>M</v>
      </c>
      <c r="H175" s="226" t="str">
        <f>IFERROR(VLOOKUP($A175,EntryList!$A$3:$N$291,7,FALSE),"")</f>
        <v>Sub Junior Boys</v>
      </c>
      <c r="I175" s="220">
        <f t="shared" si="13"/>
        <v>6</v>
      </c>
      <c r="J175" s="58">
        <f>IFERROR(VLOOKUP($A175,SortedDownload!$A$3:$BB$219,31,FALSE)/86400000,"")</f>
        <v>0</v>
      </c>
      <c r="K175" s="58" t="str">
        <f>IFERROR(IF(VLOOKUP($A175,SortedDownload!$A$3:$BB$219,32,FALSE)=0,"-",VLOOKUP($A175,SortedDownload!$A$3:$BB$219,32,FALSE)/86400000),"-")</f>
        <v>-</v>
      </c>
      <c r="L175" s="58">
        <f>IFERROR(IF(VLOOKUP($A175,SortedDownload!$A$3:$BB$219,33,FALSE)=0,"-",VLOOKUP($A175,SortedDownload!$A$3:$BB$219,33,FALSE)/86400000),"-")</f>
        <v>0.42212795138888887</v>
      </c>
      <c r="M175" s="58">
        <f>IFERROR(IF(VLOOKUP($A175,SortedDownload!$A$3:$BB$219,34,FALSE)=0,"-",VLOOKUP($A175,SortedDownload!$A$3:$BB$219,34,FALSE)/86400000),"-")</f>
        <v>0.42532383101851851</v>
      </c>
      <c r="N175" s="58">
        <f>IFERROR(IF(VLOOKUP($A175,SortedDownload!$A$3:$BB$219,35,FALSE)=0,"-",VLOOKUP($A175,SortedDownload!$A$3:$BB$219,35,FALSE)/86400000),"-")</f>
        <v>0.46464715277777779</v>
      </c>
      <c r="O175" s="58">
        <f>IFERROR(IF(VLOOKUP($A175,SortedDownload!$A$3:$BB$219,36,FALSE)=0,"-",VLOOKUP($A175,SortedDownload!$A$3:$BB$219,36,FALSE)/86400000),"-")</f>
        <v>0.46644083333333336</v>
      </c>
      <c r="P175" s="58" t="str">
        <f>IFERROR(IF(VLOOKUP($A175,SortedDownload!$A$3:$BB$219,37,FALSE)=0,"-",VLOOKUP($A175,SortedDownload!$A$3:$BB$219,37,FALSE)/86400000),"-")</f>
        <v>-</v>
      </c>
      <c r="Q175" s="58" t="str">
        <f>IFERROR(IF(VLOOKUP($A175,SortedDownload!$A$3:$BB$219,38,FALSE)=0,"-",VLOOKUP($A175,SortedDownload!$A$3:$BB$219,38,FALSE)/86400000),"-")</f>
        <v>-</v>
      </c>
      <c r="R175" s="58">
        <f>IFERROR(IF(VLOOKUP($A175,SortedDownload!$A$3:$BB$219,39,FALSE)=0,"-",VLOOKUP($A175,SortedDownload!$A$3:$BB$219,39,FALSE)/86400000),"-")</f>
        <v>0.50508662037037033</v>
      </c>
      <c r="S175" s="58">
        <f>IFERROR(IF(VLOOKUP($A175,SortedDownload!$A$3:$BB$219,40,FALSE)=0,"-",VLOOKUP($A175,SortedDownload!$A$3:$BB$219,40,FALSE)/86400000),"-")</f>
        <v>0.5091228356481482</v>
      </c>
      <c r="T175" s="58" t="str">
        <f>IFERROR(IF(VLOOKUP($A175,SortedDownload!$A$3:$BB$219,41,FALSE)=0,"-",VLOOKUP($A175,SortedDownload!$A$3:$BB$219,41,FALSE)/86400000),"-")</f>
        <v>-</v>
      </c>
      <c r="U175" s="58" t="str">
        <f>IFERROR(IF(VLOOKUP($A175,SortedDownload!$A$3:$BB$219,42,FALSE)=0,"-",VLOOKUP($A175,SortedDownload!$A$3:$BB$219,42,FALSE)/86400000),"-")</f>
        <v>-</v>
      </c>
      <c r="V175" s="58" t="str">
        <f>IFERROR(IF(VLOOKUP($A175,SortedDownload!$A$3:$BB$219,43,FALSE)=0,"-",VLOOKUP($A175,SortedDownload!$A$3:$BB$219,43,FALSE)/86400000),"-")</f>
        <v>-</v>
      </c>
      <c r="W175" s="58" t="str">
        <f>IFERROR(IF(VLOOKUP($A175,SortedDownload!$A$3:$BB$219,44,FALSE)=0,"-",VLOOKUP($A175,SortedDownload!$A$3:$BB$219,44,FALSE)/86400000),"-")</f>
        <v>-</v>
      </c>
      <c r="X175" s="58" t="str">
        <f>IFERROR(IF(VLOOKUP($A175,SortedDownload!$A$3:$BB$219,45,FALSE)=0,"-",VLOOKUP($A175,SortedDownload!$A$3:$BB$219,45,FALSE)/86400000),"-")</f>
        <v>-</v>
      </c>
      <c r="Y175" s="58">
        <f>IFERROR(VLOOKUP($A175,SortedDownload!$A$3:$BB$219,46,FALSE)/86400000,"")</f>
        <v>0</v>
      </c>
      <c r="Z175" s="58">
        <f>IFERROR(Table932[[#This Row],[End Time]]-Table932[[#This Row],[Start Time]],"")</f>
        <v>0</v>
      </c>
      <c r="AA175" s="58"/>
      <c r="AB175" s="170">
        <f t="shared" si="16"/>
        <v>0</v>
      </c>
      <c r="AC175" s="170">
        <f t="shared" si="17"/>
        <v>0.40741215277777776</v>
      </c>
    </row>
    <row r="176" spans="1:29">
      <c r="A176" s="53">
        <f>IF(SortedDownload!A169 &lt; 1,"",SortedDownload!A169)</f>
        <v>156</v>
      </c>
      <c r="B176" s="146">
        <f t="shared" si="12"/>
        <v>171</v>
      </c>
      <c r="C176" s="146" t="str">
        <f>IFERROR(VLOOKUP($A176,CategoryResults!$A$3:$X$252,3,FALSE),"")</f>
        <v/>
      </c>
      <c r="D176" s="149" t="str">
        <f>IFERROR(VLOOKUP($A176,EntryList!$A$3:$N$291,2,FALSE),"")</f>
        <v>Gary Kroukamp</v>
      </c>
      <c r="E176" s="146" t="str">
        <f>IFERROR(VLOOKUP(C176,SeriesPoints!$A$2:$B$51,2,FALSE),"")</f>
        <v/>
      </c>
      <c r="F176" s="150" t="str">
        <f>IFERROR(VLOOKUP($A176,EntryList!$A$3:$V$291,22,FALSE),"")</f>
        <v>-</v>
      </c>
      <c r="G176" s="148" t="str">
        <f>IFERROR(VLOOKUP($A176,EntryList!$A$3:$N$291,6,FALSE),"")</f>
        <v>M</v>
      </c>
      <c r="H176" s="226" t="str">
        <f>IFERROR(VLOOKUP($A176,EntryList!$A$3:$N$291,7,FALSE),"")</f>
        <v>Lite M</v>
      </c>
      <c r="I176" s="220">
        <f t="shared" si="13"/>
        <v>6</v>
      </c>
      <c r="J176" s="58">
        <f>IFERROR(VLOOKUP($A176,SortedDownload!$A$3:$BB$219,31,FALSE)/86400000,"")</f>
        <v>0</v>
      </c>
      <c r="K176" s="58" t="str">
        <f>IFERROR(IF(VLOOKUP($A176,SortedDownload!$A$3:$BB$219,32,FALSE)=0,"-",VLOOKUP($A176,SortedDownload!$A$3:$BB$219,32,FALSE)/86400000),"-")</f>
        <v>-</v>
      </c>
      <c r="L176" s="58">
        <f>IFERROR(IF(VLOOKUP($A176,SortedDownload!$A$3:$BB$219,33,FALSE)=0,"-",VLOOKUP($A176,SortedDownload!$A$3:$BB$219,33,FALSE)/86400000),"-")</f>
        <v>0.40718751157407407</v>
      </c>
      <c r="M176" s="58">
        <f>IFERROR(IF(VLOOKUP($A176,SortedDownload!$A$3:$BB$219,34,FALSE)=0,"-",VLOOKUP($A176,SortedDownload!$A$3:$BB$219,34,FALSE)/86400000),"-")</f>
        <v>0.41034291666666667</v>
      </c>
      <c r="N176" s="58">
        <f>IFERROR(IF(VLOOKUP($A176,SortedDownload!$A$3:$BB$219,35,FALSE)=0,"-",VLOOKUP($A176,SortedDownload!$A$3:$BB$219,35,FALSE)/86400000),"-")</f>
        <v>0.45041175925925925</v>
      </c>
      <c r="O176" s="58">
        <f>IFERROR(IF(VLOOKUP($A176,SortedDownload!$A$3:$BB$219,36,FALSE)=0,"-",VLOOKUP($A176,SortedDownload!$A$3:$BB$219,36,FALSE)/86400000),"-")</f>
        <v>0.45219315972222224</v>
      </c>
      <c r="P176" s="58" t="str">
        <f>IFERROR(IF(VLOOKUP($A176,SortedDownload!$A$3:$BB$219,37,FALSE)=0,"-",VLOOKUP($A176,SortedDownload!$A$3:$BB$219,37,FALSE)/86400000),"-")</f>
        <v>-</v>
      </c>
      <c r="Q176" s="58" t="str">
        <f>IFERROR(IF(VLOOKUP($A176,SortedDownload!$A$3:$BB$219,38,FALSE)=0,"-",VLOOKUP($A176,SortedDownload!$A$3:$BB$219,38,FALSE)/86400000),"-")</f>
        <v>-</v>
      </c>
      <c r="R176" s="58">
        <f>IFERROR(IF(VLOOKUP($A176,SortedDownload!$A$3:$BB$219,39,FALSE)=0,"-",VLOOKUP($A176,SortedDownload!$A$3:$BB$219,39,FALSE)/86400000),"-")</f>
        <v>0.49555074074074074</v>
      </c>
      <c r="S176" s="58">
        <f>IFERROR(IF(VLOOKUP($A176,SortedDownload!$A$3:$BB$219,40,FALSE)=0,"-",VLOOKUP($A176,SortedDownload!$A$3:$BB$219,40,FALSE)/86400000),"-")</f>
        <v>0.49969501157407409</v>
      </c>
      <c r="T176" s="58" t="str">
        <f>IFERROR(IF(VLOOKUP($A176,SortedDownload!$A$3:$BB$219,41,FALSE)=0,"-",VLOOKUP($A176,SortedDownload!$A$3:$BB$219,41,FALSE)/86400000),"-")</f>
        <v>-</v>
      </c>
      <c r="U176" s="58" t="str">
        <f>IFERROR(IF(VLOOKUP($A176,SortedDownload!$A$3:$BB$219,42,FALSE)=0,"-",VLOOKUP($A176,SortedDownload!$A$3:$BB$219,42,FALSE)/86400000),"-")</f>
        <v>-</v>
      </c>
      <c r="V176" s="58" t="str">
        <f>IFERROR(IF(VLOOKUP($A176,SortedDownload!$A$3:$BB$219,43,FALSE)=0,"-",VLOOKUP($A176,SortedDownload!$A$3:$BB$219,43,FALSE)/86400000),"-")</f>
        <v>-</v>
      </c>
      <c r="W176" s="58" t="str">
        <f>IFERROR(IF(VLOOKUP($A176,SortedDownload!$A$3:$BB$219,44,FALSE)=0,"-",VLOOKUP($A176,SortedDownload!$A$3:$BB$219,44,FALSE)/86400000),"-")</f>
        <v>-</v>
      </c>
      <c r="X176" s="58" t="str">
        <f>IFERROR(IF(VLOOKUP($A176,SortedDownload!$A$3:$BB$219,45,FALSE)=0,"-",VLOOKUP($A176,SortedDownload!$A$3:$BB$219,45,FALSE)/86400000),"-")</f>
        <v>-</v>
      </c>
      <c r="Y176" s="58">
        <f>IFERROR(VLOOKUP($A176,SortedDownload!$A$3:$BB$219,46,FALSE)/86400000,"")</f>
        <v>0</v>
      </c>
      <c r="Z176" s="58">
        <f>IFERROR(Table932[[#This Row],[End Time]]-Table932[[#This Row],[Start Time]],"")</f>
        <v>0</v>
      </c>
      <c r="AA176" s="58"/>
      <c r="AB176" s="170">
        <f t="shared" si="16"/>
        <v>0</v>
      </c>
      <c r="AC176" s="170">
        <f t="shared" si="17"/>
        <v>0.40741215277777776</v>
      </c>
    </row>
    <row r="177" spans="1:29">
      <c r="A177" s="53">
        <f>IF(SortedDownload!A170 &lt; 1,"",SortedDownload!A170)</f>
        <v>271</v>
      </c>
      <c r="B177" s="146">
        <f t="shared" si="12"/>
        <v>172</v>
      </c>
      <c r="C177" s="146" t="str">
        <f>IFERROR(VLOOKUP($A177,CategoryResults!$A$3:$X$252,3,FALSE),"")</f>
        <v/>
      </c>
      <c r="D177" s="149" t="str">
        <f>IFERROR(VLOOKUP($A177,EntryList!$A$3:$N$291,2,FALSE),"")</f>
        <v>Kylie Hanekom</v>
      </c>
      <c r="E177" s="146" t="str">
        <f>IFERROR(VLOOKUP(C177,SeriesPoints!$A$2:$B$51,2,FALSE),"")</f>
        <v/>
      </c>
      <c r="F177" s="150" t="str">
        <f>IFERROR(VLOOKUP($A177,EntryList!$A$3:$V$291,22,FALSE),"")</f>
        <v>-</v>
      </c>
      <c r="G177" s="148" t="str">
        <f>IFERROR(VLOOKUP($A177,EntryList!$A$3:$N$291,6,FALSE),"")</f>
        <v>F</v>
      </c>
      <c r="H177" s="226" t="str">
        <f>IFERROR(VLOOKUP($A177,EntryList!$A$3:$N$291,7,FALSE),"")</f>
        <v>Lite F</v>
      </c>
      <c r="I177" s="220">
        <f t="shared" si="13"/>
        <v>6</v>
      </c>
      <c r="J177" s="58">
        <f>IFERROR(VLOOKUP($A177,SortedDownload!$A$3:$BB$219,31,FALSE)/86400000,"")</f>
        <v>0</v>
      </c>
      <c r="K177" s="58" t="str">
        <f>IFERROR(IF(VLOOKUP($A177,SortedDownload!$A$3:$BB$219,32,FALSE)=0,"-",VLOOKUP($A177,SortedDownload!$A$3:$BB$219,32,FALSE)/86400000),"-")</f>
        <v>-</v>
      </c>
      <c r="L177" s="58">
        <f>IFERROR(IF(VLOOKUP($A177,SortedDownload!$A$3:$BB$219,33,FALSE)=0,"-",VLOOKUP($A177,SortedDownload!$A$3:$BB$219,33,FALSE)/86400000),"-")</f>
        <v>0.36621410879629629</v>
      </c>
      <c r="M177" s="58">
        <f>IFERROR(IF(VLOOKUP($A177,SortedDownload!$A$3:$BB$219,34,FALSE)=0,"-",VLOOKUP($A177,SortedDownload!$A$3:$BB$219,34,FALSE)/86400000),"-")</f>
        <v>0.3692581134259259</v>
      </c>
      <c r="N177" s="58">
        <f>IFERROR(IF(VLOOKUP($A177,SortedDownload!$A$3:$BB$219,35,FALSE)=0,"-",VLOOKUP($A177,SortedDownload!$A$3:$BB$219,35,FALSE)/86400000),"-")</f>
        <v>0.39411277777777776</v>
      </c>
      <c r="O177" s="58">
        <f>IFERROR(IF(VLOOKUP($A177,SortedDownload!$A$3:$BB$219,36,FALSE)=0,"-",VLOOKUP($A177,SortedDownload!$A$3:$BB$219,36,FALSE)/86400000),"-")</f>
        <v>0.39592076388888892</v>
      </c>
      <c r="P177" s="58" t="str">
        <f>IFERROR(IF(VLOOKUP($A177,SortedDownload!$A$3:$BB$219,37,FALSE)=0,"-",VLOOKUP($A177,SortedDownload!$A$3:$BB$219,37,FALSE)/86400000),"-")</f>
        <v>-</v>
      </c>
      <c r="Q177" s="58" t="str">
        <f>IFERROR(IF(VLOOKUP($A177,SortedDownload!$A$3:$BB$219,38,FALSE)=0,"-",VLOOKUP($A177,SortedDownload!$A$3:$BB$219,38,FALSE)/86400000),"-")</f>
        <v>-</v>
      </c>
      <c r="R177" s="58">
        <f>IFERROR(IF(VLOOKUP($A177,SortedDownload!$A$3:$BB$219,39,FALSE)=0,"-",VLOOKUP($A177,SortedDownload!$A$3:$BB$219,39,FALSE)/86400000),"-")</f>
        <v>0.42548359953703702</v>
      </c>
      <c r="S177" s="58">
        <f>IFERROR(IF(VLOOKUP($A177,SortedDownload!$A$3:$BB$219,40,FALSE)=0,"-",VLOOKUP($A177,SortedDownload!$A$3:$BB$219,40,FALSE)/86400000),"-")</f>
        <v>0.42975443287037035</v>
      </c>
      <c r="T177" s="58" t="str">
        <f>IFERROR(IF(VLOOKUP($A177,SortedDownload!$A$3:$BB$219,41,FALSE)=0,"-",VLOOKUP($A177,SortedDownload!$A$3:$BB$219,41,FALSE)/86400000),"-")</f>
        <v>-</v>
      </c>
      <c r="U177" s="58" t="str">
        <f>IFERROR(IF(VLOOKUP($A177,SortedDownload!$A$3:$BB$219,42,FALSE)=0,"-",VLOOKUP($A177,SortedDownload!$A$3:$BB$219,42,FALSE)/86400000),"-")</f>
        <v>-</v>
      </c>
      <c r="V177" s="58" t="str">
        <f>IFERROR(IF(VLOOKUP($A177,SortedDownload!$A$3:$BB$219,43,FALSE)=0,"-",VLOOKUP($A177,SortedDownload!$A$3:$BB$219,43,FALSE)/86400000),"-")</f>
        <v>-</v>
      </c>
      <c r="W177" s="58" t="str">
        <f>IFERROR(IF(VLOOKUP($A177,SortedDownload!$A$3:$BB$219,44,FALSE)=0,"-",VLOOKUP($A177,SortedDownload!$A$3:$BB$219,44,FALSE)/86400000),"-")</f>
        <v>-</v>
      </c>
      <c r="X177" s="58" t="str">
        <f>IFERROR(IF(VLOOKUP($A177,SortedDownload!$A$3:$BB$219,45,FALSE)=0,"-",VLOOKUP($A177,SortedDownload!$A$3:$BB$219,45,FALSE)/86400000),"-")</f>
        <v>-</v>
      </c>
      <c r="Y177" s="58">
        <f>IFERROR(VLOOKUP($A177,SortedDownload!$A$3:$BB$219,46,FALSE)/86400000,"")</f>
        <v>0</v>
      </c>
      <c r="Z177" s="58">
        <f>IFERROR(Table932[[#This Row],[End Time]]-Table932[[#This Row],[Start Time]],"")</f>
        <v>0</v>
      </c>
      <c r="AA177" s="58"/>
      <c r="AB177" s="170">
        <f t="shared" si="16"/>
        <v>0</v>
      </c>
      <c r="AC177" s="170">
        <f t="shared" si="17"/>
        <v>0.40741215277777776</v>
      </c>
    </row>
    <row r="178" spans="1:29">
      <c r="A178" s="53">
        <f>IF(SortedDownload!A171 &lt; 1,"",SortedDownload!A171)</f>
        <v>98</v>
      </c>
      <c r="B178" s="146">
        <f t="shared" si="12"/>
        <v>173</v>
      </c>
      <c r="C178" s="146" t="str">
        <f>IFERROR(VLOOKUP($A178,CategoryResults!$A$3:$X$252,3,FALSE),"")</f>
        <v/>
      </c>
      <c r="D178" s="149" t="str">
        <f>IFERROR(VLOOKUP($A178,EntryList!$A$3:$N$291,2,FALSE),"")</f>
        <v>Chrisman De Jager</v>
      </c>
      <c r="E178" s="146" t="str">
        <f>IFERROR(VLOOKUP(C178,SeriesPoints!$A$2:$B$51,2,FALSE),"")</f>
        <v/>
      </c>
      <c r="F178" s="150" t="str">
        <f>IFERROR(VLOOKUP($A178,EntryList!$A$3:$V$291,22,FALSE),"")</f>
        <v>-</v>
      </c>
      <c r="G178" s="148" t="str">
        <f>IFERROR(VLOOKUP($A178,EntryList!$A$3:$N$291,6,FALSE),"")</f>
        <v>M</v>
      </c>
      <c r="H178" s="226" t="str">
        <f>IFERROR(VLOOKUP($A178,EntryList!$A$3:$N$291,7,FALSE),"")</f>
        <v>Lite M</v>
      </c>
      <c r="I178" s="220">
        <f t="shared" si="13"/>
        <v>6</v>
      </c>
      <c r="J178" s="58">
        <f>IFERROR(VLOOKUP($A178,SortedDownload!$A$3:$BB$219,31,FALSE)/86400000,"")</f>
        <v>0</v>
      </c>
      <c r="K178" s="58" t="str">
        <f>IFERROR(IF(VLOOKUP($A178,SortedDownload!$A$3:$BB$219,32,FALSE)=0,"-",VLOOKUP($A178,SortedDownload!$A$3:$BB$219,32,FALSE)/86400000),"-")</f>
        <v>-</v>
      </c>
      <c r="L178" s="58">
        <f>IFERROR(IF(VLOOKUP($A178,SortedDownload!$A$3:$BB$219,33,FALSE)=0,"-",VLOOKUP($A178,SortedDownload!$A$3:$BB$219,33,FALSE)/86400000),"-")</f>
        <v>0.42164391203703705</v>
      </c>
      <c r="M178" s="58">
        <f>IFERROR(IF(VLOOKUP($A178,SortedDownload!$A$3:$BB$219,34,FALSE)=0,"-",VLOOKUP($A178,SortedDownload!$A$3:$BB$219,34,FALSE)/86400000),"-")</f>
        <v>0.42479501157407407</v>
      </c>
      <c r="N178" s="58">
        <f>IFERROR(IF(VLOOKUP($A178,SortedDownload!$A$3:$BB$219,35,FALSE)=0,"-",VLOOKUP($A178,SortedDownload!$A$3:$BB$219,35,FALSE)/86400000),"-")</f>
        <v>0.46479333333333334</v>
      </c>
      <c r="O178" s="58">
        <f>IFERROR(IF(VLOOKUP($A178,SortedDownload!$A$3:$BB$219,36,FALSE)=0,"-",VLOOKUP($A178,SortedDownload!$A$3:$BB$219,36,FALSE)/86400000),"-")</f>
        <v>0.46664067129629627</v>
      </c>
      <c r="P178" s="58" t="str">
        <f>IFERROR(IF(VLOOKUP($A178,SortedDownload!$A$3:$BB$219,37,FALSE)=0,"-",VLOOKUP($A178,SortedDownload!$A$3:$BB$219,37,FALSE)/86400000),"-")</f>
        <v>-</v>
      </c>
      <c r="Q178" s="58" t="str">
        <f>IFERROR(IF(VLOOKUP($A178,SortedDownload!$A$3:$BB$219,38,FALSE)=0,"-",VLOOKUP($A178,SortedDownload!$A$3:$BB$219,38,FALSE)/86400000),"-")</f>
        <v>-</v>
      </c>
      <c r="R178" s="58">
        <f>IFERROR(IF(VLOOKUP($A178,SortedDownload!$A$3:$BB$219,39,FALSE)=0,"-",VLOOKUP($A178,SortedDownload!$A$3:$BB$219,39,FALSE)/86400000),"-")</f>
        <v>0.50528252314814814</v>
      </c>
      <c r="S178" s="58">
        <f>IFERROR(IF(VLOOKUP($A178,SortedDownload!$A$3:$BB$219,40,FALSE)=0,"-",VLOOKUP($A178,SortedDownload!$A$3:$BB$219,40,FALSE)/86400000),"-")</f>
        <v>0.50940791666666663</v>
      </c>
      <c r="T178" s="58" t="str">
        <f>IFERROR(IF(VLOOKUP($A178,SortedDownload!$A$3:$BB$219,41,FALSE)=0,"-",VLOOKUP($A178,SortedDownload!$A$3:$BB$219,41,FALSE)/86400000),"-")</f>
        <v>-</v>
      </c>
      <c r="U178" s="58" t="str">
        <f>IFERROR(IF(VLOOKUP($A178,SortedDownload!$A$3:$BB$219,42,FALSE)=0,"-",VLOOKUP($A178,SortedDownload!$A$3:$BB$219,42,FALSE)/86400000),"-")</f>
        <v>-</v>
      </c>
      <c r="V178" s="58" t="str">
        <f>IFERROR(IF(VLOOKUP($A178,SortedDownload!$A$3:$BB$219,43,FALSE)=0,"-",VLOOKUP($A178,SortedDownload!$A$3:$BB$219,43,FALSE)/86400000),"-")</f>
        <v>-</v>
      </c>
      <c r="W178" s="58" t="str">
        <f>IFERROR(IF(VLOOKUP($A178,SortedDownload!$A$3:$BB$219,44,FALSE)=0,"-",VLOOKUP($A178,SortedDownload!$A$3:$BB$219,44,FALSE)/86400000),"-")</f>
        <v>-</v>
      </c>
      <c r="X178" s="58" t="str">
        <f>IFERROR(IF(VLOOKUP($A178,SortedDownload!$A$3:$BB$219,45,FALSE)=0,"-",VLOOKUP($A178,SortedDownload!$A$3:$BB$219,45,FALSE)/86400000),"-")</f>
        <v>-</v>
      </c>
      <c r="Y178" s="58">
        <f>IFERROR(VLOOKUP($A178,SortedDownload!$A$3:$BB$219,46,FALSE)/86400000,"")</f>
        <v>0</v>
      </c>
      <c r="Z178" s="58">
        <f>IFERROR(Table932[[#This Row],[End Time]]-Table932[[#This Row],[Start Time]],"")</f>
        <v>0</v>
      </c>
      <c r="AA178" s="58"/>
      <c r="AB178" s="170">
        <f t="shared" si="16"/>
        <v>0</v>
      </c>
      <c r="AC178" s="170">
        <f t="shared" si="17"/>
        <v>0.40741215277777776</v>
      </c>
    </row>
    <row r="179" spans="1:29">
      <c r="A179" s="53">
        <f>IF(SortedDownload!A172 &lt; 1,"",SortedDownload!A172)</f>
        <v>255</v>
      </c>
      <c r="B179" s="146">
        <f t="shared" si="12"/>
        <v>174</v>
      </c>
      <c r="C179" s="146" t="str">
        <f>IFERROR(VLOOKUP($A179,CategoryResults!$A$3:$X$252,3,FALSE),"")</f>
        <v/>
      </c>
      <c r="D179" s="149" t="str">
        <f>IFERROR(VLOOKUP($A179,EntryList!$A$3:$N$291,2,FALSE),"")</f>
        <v>Jadon Hunter</v>
      </c>
      <c r="E179" s="146" t="str">
        <f>IFERROR(VLOOKUP(C179,SeriesPoints!$A$2:$B$51,2,FALSE),"")</f>
        <v/>
      </c>
      <c r="F179" s="150" t="str">
        <f>IFERROR(VLOOKUP($A179,EntryList!$A$3:$V$291,22,FALSE),"")</f>
        <v>-</v>
      </c>
      <c r="G179" s="148" t="str">
        <f>IFERROR(VLOOKUP($A179,EntryList!$A$3:$N$291,6,FALSE),"")</f>
        <v>M</v>
      </c>
      <c r="H179" s="226" t="str">
        <f>IFERROR(VLOOKUP($A179,EntryList!$A$3:$N$291,7,FALSE),"")</f>
        <v>Sub Junior Boys</v>
      </c>
      <c r="I179" s="220">
        <f t="shared" si="13"/>
        <v>6</v>
      </c>
      <c r="J179" s="58">
        <f>IFERROR(VLOOKUP($A179,SortedDownload!$A$3:$BB$219,31,FALSE)/86400000,"")</f>
        <v>0</v>
      </c>
      <c r="K179" s="58" t="str">
        <f>IFERROR(IF(VLOOKUP($A179,SortedDownload!$A$3:$BB$219,32,FALSE)=0,"-",VLOOKUP($A179,SortedDownload!$A$3:$BB$219,32,FALSE)/86400000),"-")</f>
        <v>-</v>
      </c>
      <c r="L179" s="58">
        <f>IFERROR(IF(VLOOKUP($A179,SortedDownload!$A$3:$BB$219,33,FALSE)=0,"-",VLOOKUP($A179,SortedDownload!$A$3:$BB$219,33,FALSE)/86400000),"-")</f>
        <v>0.39693418981481482</v>
      </c>
      <c r="M179" s="58">
        <f>IFERROR(IF(VLOOKUP($A179,SortedDownload!$A$3:$BB$219,34,FALSE)=0,"-",VLOOKUP($A179,SortedDownload!$A$3:$BB$219,34,FALSE)/86400000),"-")</f>
        <v>0.40009629629629628</v>
      </c>
      <c r="N179" s="58">
        <f>IFERROR(IF(VLOOKUP($A179,SortedDownload!$A$3:$BB$219,35,FALSE)=0,"-",VLOOKUP($A179,SortedDownload!$A$3:$BB$219,35,FALSE)/86400000),"-")</f>
        <v>0.43129976851851853</v>
      </c>
      <c r="O179" s="58">
        <f>IFERROR(IF(VLOOKUP($A179,SortedDownload!$A$3:$BB$219,36,FALSE)=0,"-",VLOOKUP($A179,SortedDownload!$A$3:$BB$219,36,FALSE)/86400000),"-")</f>
        <v>0.43308667824074076</v>
      </c>
      <c r="P179" s="58" t="str">
        <f>IFERROR(IF(VLOOKUP($A179,SortedDownload!$A$3:$BB$219,37,FALSE)=0,"-",VLOOKUP($A179,SortedDownload!$A$3:$BB$219,37,FALSE)/86400000),"-")</f>
        <v>-</v>
      </c>
      <c r="Q179" s="58" t="str">
        <f>IFERROR(IF(VLOOKUP($A179,SortedDownload!$A$3:$BB$219,38,FALSE)=0,"-",VLOOKUP($A179,SortedDownload!$A$3:$BB$219,38,FALSE)/86400000),"-")</f>
        <v>-</v>
      </c>
      <c r="R179" s="58">
        <f>IFERROR(IF(VLOOKUP($A179,SortedDownload!$A$3:$BB$219,39,FALSE)=0,"-",VLOOKUP($A179,SortedDownload!$A$3:$BB$219,39,FALSE)/86400000),"-")</f>
        <v>0.46276171296296298</v>
      </c>
      <c r="S179" s="58">
        <f>IFERROR(IF(VLOOKUP($A179,SortedDownload!$A$3:$BB$219,40,FALSE)=0,"-",VLOOKUP($A179,SortedDownload!$A$3:$BB$219,40,FALSE)/86400000),"-")</f>
        <v>0.46694210648148149</v>
      </c>
      <c r="T179" s="58" t="str">
        <f>IFERROR(IF(VLOOKUP($A179,SortedDownload!$A$3:$BB$219,41,FALSE)=0,"-",VLOOKUP($A179,SortedDownload!$A$3:$BB$219,41,FALSE)/86400000),"-")</f>
        <v>-</v>
      </c>
      <c r="U179" s="58" t="str">
        <f>IFERROR(IF(VLOOKUP($A179,SortedDownload!$A$3:$BB$219,42,FALSE)=0,"-",VLOOKUP($A179,SortedDownload!$A$3:$BB$219,42,FALSE)/86400000),"-")</f>
        <v>-</v>
      </c>
      <c r="V179" s="58" t="str">
        <f>IFERROR(IF(VLOOKUP($A179,SortedDownload!$A$3:$BB$219,43,FALSE)=0,"-",VLOOKUP($A179,SortedDownload!$A$3:$BB$219,43,FALSE)/86400000),"-")</f>
        <v>-</v>
      </c>
      <c r="W179" s="58" t="str">
        <f>IFERROR(IF(VLOOKUP($A179,SortedDownload!$A$3:$BB$219,44,FALSE)=0,"-",VLOOKUP($A179,SortedDownload!$A$3:$BB$219,44,FALSE)/86400000),"-")</f>
        <v>-</v>
      </c>
      <c r="X179" s="58" t="str">
        <f>IFERROR(IF(VLOOKUP($A179,SortedDownload!$A$3:$BB$219,45,FALSE)=0,"-",VLOOKUP($A179,SortedDownload!$A$3:$BB$219,45,FALSE)/86400000),"-")</f>
        <v>-</v>
      </c>
      <c r="Y179" s="58">
        <f>IFERROR(VLOOKUP($A179,SortedDownload!$A$3:$BB$219,46,FALSE)/86400000,"")</f>
        <v>0</v>
      </c>
      <c r="Z179" s="58">
        <f>IFERROR(Table932[[#This Row],[End Time]]-Table932[[#This Row],[Start Time]],"")</f>
        <v>0</v>
      </c>
      <c r="AA179" s="58"/>
      <c r="AB179" s="170">
        <f t="shared" si="16"/>
        <v>0</v>
      </c>
      <c r="AC179" s="170">
        <f t="shared" si="17"/>
        <v>0.40741215277777776</v>
      </c>
    </row>
    <row r="180" spans="1:29">
      <c r="A180" s="53">
        <f>IF(SortedDownload!A173 &lt; 1,"",SortedDownload!A173)</f>
        <v>171</v>
      </c>
      <c r="B180" s="146">
        <f t="shared" si="12"/>
        <v>175</v>
      </c>
      <c r="C180" s="146" t="str">
        <f>IFERROR(VLOOKUP($A180,CategoryResults!$A$3:$X$252,3,FALSE),"")</f>
        <v/>
      </c>
      <c r="D180" s="149" t="str">
        <f>IFERROR(VLOOKUP($A180,EntryList!$A$3:$N$291,2,FALSE),"")</f>
        <v>Ezra Evans</v>
      </c>
      <c r="E180" s="146" t="str">
        <f>IFERROR(VLOOKUP(C180,SeriesPoints!$A$2:$B$51,2,FALSE),"")</f>
        <v/>
      </c>
      <c r="F180" s="150" t="str">
        <f>IFERROR(VLOOKUP($A180,EntryList!$A$3:$V$291,22,FALSE),"")</f>
        <v>-</v>
      </c>
      <c r="G180" s="148" t="str">
        <f>IFERROR(VLOOKUP($A180,EntryList!$A$3:$N$291,6,FALSE),"")</f>
        <v>M</v>
      </c>
      <c r="H180" s="226" t="str">
        <f>IFERROR(VLOOKUP($A180,EntryList!$A$3:$N$291,7,FALSE),"")</f>
        <v>Lite M</v>
      </c>
      <c r="I180" s="220">
        <f t="shared" si="13"/>
        <v>6</v>
      </c>
      <c r="J180" s="58">
        <f>IFERROR(VLOOKUP($A180,SortedDownload!$A$3:$BB$219,31,FALSE)/86400000,"")</f>
        <v>0</v>
      </c>
      <c r="K180" s="58" t="str">
        <f>IFERROR(IF(VLOOKUP($A180,SortedDownload!$A$3:$BB$219,32,FALSE)=0,"-",VLOOKUP($A180,SortedDownload!$A$3:$BB$219,32,FALSE)/86400000),"-")</f>
        <v>-</v>
      </c>
      <c r="L180" s="58">
        <f>IFERROR(IF(VLOOKUP($A180,SortedDownload!$A$3:$BB$219,33,FALSE)=0,"-",VLOOKUP($A180,SortedDownload!$A$3:$BB$219,33,FALSE)/86400000),"-")</f>
        <v>0.40635877314814817</v>
      </c>
      <c r="M180" s="58">
        <f>IFERROR(IF(VLOOKUP($A180,SortedDownload!$A$3:$BB$219,34,FALSE)=0,"-",VLOOKUP($A180,SortedDownload!$A$3:$BB$219,34,FALSE)/86400000),"-")</f>
        <v>0.40951952546296294</v>
      </c>
      <c r="N180" s="58">
        <f>IFERROR(IF(VLOOKUP($A180,SortedDownload!$A$3:$BB$219,35,FALSE)=0,"-",VLOOKUP($A180,SortedDownload!$A$3:$BB$219,35,FALSE)/86400000),"-")</f>
        <v>0.45012405092592594</v>
      </c>
      <c r="O180" s="58">
        <f>IFERROR(IF(VLOOKUP($A180,SortedDownload!$A$3:$BB$219,36,FALSE)=0,"-",VLOOKUP($A180,SortedDownload!$A$3:$BB$219,36,FALSE)/86400000),"-")</f>
        <v>0.45188134259259261</v>
      </c>
      <c r="P180" s="58" t="str">
        <f>IFERROR(IF(VLOOKUP($A180,SortedDownload!$A$3:$BB$219,37,FALSE)=0,"-",VLOOKUP($A180,SortedDownload!$A$3:$BB$219,37,FALSE)/86400000),"-")</f>
        <v>-</v>
      </c>
      <c r="Q180" s="58" t="str">
        <f>IFERROR(IF(VLOOKUP($A180,SortedDownload!$A$3:$BB$219,38,FALSE)=0,"-",VLOOKUP($A180,SortedDownload!$A$3:$BB$219,38,FALSE)/86400000),"-")</f>
        <v>-</v>
      </c>
      <c r="R180" s="58">
        <f>IFERROR(IF(VLOOKUP($A180,SortedDownload!$A$3:$BB$219,39,FALSE)=0,"-",VLOOKUP($A180,SortedDownload!$A$3:$BB$219,39,FALSE)/86400000),"-")</f>
        <v>0.49521375000000001</v>
      </c>
      <c r="S180" s="58">
        <f>IFERROR(IF(VLOOKUP($A180,SortedDownload!$A$3:$BB$219,40,FALSE)=0,"-",VLOOKUP($A180,SortedDownload!$A$3:$BB$219,40,FALSE)/86400000),"-")</f>
        <v>0.49943568287037038</v>
      </c>
      <c r="T180" s="58" t="str">
        <f>IFERROR(IF(VLOOKUP($A180,SortedDownload!$A$3:$BB$219,41,FALSE)=0,"-",VLOOKUP($A180,SortedDownload!$A$3:$BB$219,41,FALSE)/86400000),"-")</f>
        <v>-</v>
      </c>
      <c r="U180" s="58" t="str">
        <f>IFERROR(IF(VLOOKUP($A180,SortedDownload!$A$3:$BB$219,42,FALSE)=0,"-",VLOOKUP($A180,SortedDownload!$A$3:$BB$219,42,FALSE)/86400000),"-")</f>
        <v>-</v>
      </c>
      <c r="V180" s="58" t="str">
        <f>IFERROR(IF(VLOOKUP($A180,SortedDownload!$A$3:$BB$219,43,FALSE)=0,"-",VLOOKUP($A180,SortedDownload!$A$3:$BB$219,43,FALSE)/86400000),"-")</f>
        <v>-</v>
      </c>
      <c r="W180" s="58" t="str">
        <f>IFERROR(IF(VLOOKUP($A180,SortedDownload!$A$3:$BB$219,44,FALSE)=0,"-",VLOOKUP($A180,SortedDownload!$A$3:$BB$219,44,FALSE)/86400000),"-")</f>
        <v>-</v>
      </c>
      <c r="X180" s="58" t="str">
        <f>IFERROR(IF(VLOOKUP($A180,SortedDownload!$A$3:$BB$219,45,FALSE)=0,"-",VLOOKUP($A180,SortedDownload!$A$3:$BB$219,45,FALSE)/86400000),"-")</f>
        <v>-</v>
      </c>
      <c r="Y180" s="58">
        <f>IFERROR(VLOOKUP($A180,SortedDownload!$A$3:$BB$219,46,FALSE)/86400000,"")</f>
        <v>0</v>
      </c>
      <c r="Z180" s="58">
        <f>IFERROR(Table932[[#This Row],[End Time]]-Table932[[#This Row],[Start Time]],"")</f>
        <v>0</v>
      </c>
      <c r="AA180" s="58"/>
      <c r="AB180" s="170">
        <f t="shared" si="16"/>
        <v>0</v>
      </c>
      <c r="AC180" s="170">
        <f t="shared" si="17"/>
        <v>0.40741215277777776</v>
      </c>
    </row>
    <row r="181" spans="1:29">
      <c r="A181" s="53">
        <f>IF(SortedDownload!A174 &lt; 1,"",SortedDownload!A174)</f>
        <v>70</v>
      </c>
      <c r="B181" s="146">
        <f t="shared" si="12"/>
        <v>176</v>
      </c>
      <c r="C181" s="146" t="str">
        <f>IFERROR(VLOOKUP($A181,CategoryResults!$A$3:$X$252,3,FALSE),"")</f>
        <v/>
      </c>
      <c r="D181" s="149" t="str">
        <f>IFERROR(VLOOKUP($A181,EntryList!$A$3:$N$291,2,FALSE),"")</f>
        <v>Adam Dawson</v>
      </c>
      <c r="E181" s="146" t="str">
        <f>IFERROR(VLOOKUP(C181,SeriesPoints!$A$2:$B$51,2,FALSE),"")</f>
        <v/>
      </c>
      <c r="F181" s="150" t="str">
        <f>IFERROR(VLOOKUP($A181,EntryList!$A$3:$V$291,22,FALSE),"")</f>
        <v>-</v>
      </c>
      <c r="G181" s="148" t="str">
        <f>IFERROR(VLOOKUP($A181,EntryList!$A$3:$N$291,6,FALSE),"")</f>
        <v>M</v>
      </c>
      <c r="H181" s="226" t="str">
        <f>IFERROR(VLOOKUP($A181,EntryList!$A$3:$N$291,7,FALSE),"")</f>
        <v>Sub Junior Boys</v>
      </c>
      <c r="I181" s="220">
        <f t="shared" si="13"/>
        <v>6</v>
      </c>
      <c r="J181" s="58">
        <f>IFERROR(VLOOKUP($A181,SortedDownload!$A$3:$BB$219,31,FALSE)/86400000,"")</f>
        <v>0</v>
      </c>
      <c r="K181" s="58" t="str">
        <f>IFERROR(IF(VLOOKUP($A181,SortedDownload!$A$3:$BB$219,32,FALSE)=0,"-",VLOOKUP($A181,SortedDownload!$A$3:$BB$219,32,FALSE)/86400000),"-")</f>
        <v>-</v>
      </c>
      <c r="L181" s="58">
        <f>IFERROR(IF(VLOOKUP($A181,SortedDownload!$A$3:$BB$219,33,FALSE)=0,"-",VLOOKUP($A181,SortedDownload!$A$3:$BB$219,33,FALSE)/86400000),"-")</f>
        <v>0.44171037037037036</v>
      </c>
      <c r="M181" s="58">
        <f>IFERROR(IF(VLOOKUP($A181,SortedDownload!$A$3:$BB$219,34,FALSE)=0,"-",VLOOKUP($A181,SortedDownload!$A$3:$BB$219,34,FALSE)/86400000),"-")</f>
        <v>0.44490249999999998</v>
      </c>
      <c r="N181" s="58">
        <f>IFERROR(IF(VLOOKUP($A181,SortedDownload!$A$3:$BB$219,35,FALSE)=0,"-",VLOOKUP($A181,SortedDownload!$A$3:$BB$219,35,FALSE)/86400000),"-")</f>
        <v>0.3930030902777778</v>
      </c>
      <c r="O181" s="58">
        <f>IFERROR(IF(VLOOKUP($A181,SortedDownload!$A$3:$BB$219,36,FALSE)=0,"-",VLOOKUP($A181,SortedDownload!$A$3:$BB$219,36,FALSE)/86400000),"-")</f>
        <v>0.39488861111111112</v>
      </c>
      <c r="P181" s="58" t="str">
        <f>IFERROR(IF(VLOOKUP($A181,SortedDownload!$A$3:$BB$219,37,FALSE)=0,"-",VLOOKUP($A181,SortedDownload!$A$3:$BB$219,37,FALSE)/86400000),"-")</f>
        <v>-</v>
      </c>
      <c r="Q181" s="58" t="str">
        <f>IFERROR(IF(VLOOKUP($A181,SortedDownload!$A$3:$BB$219,38,FALSE)=0,"-",VLOOKUP($A181,SortedDownload!$A$3:$BB$219,38,FALSE)/86400000),"-")</f>
        <v>-</v>
      </c>
      <c r="R181" s="58">
        <f>IFERROR(IF(VLOOKUP($A181,SortedDownload!$A$3:$BB$219,39,FALSE)=0,"-",VLOOKUP($A181,SortedDownload!$A$3:$BB$219,39,FALSE)/86400000),"-")</f>
        <v>0.49444930555555555</v>
      </c>
      <c r="S181" s="58">
        <f>IFERROR(IF(VLOOKUP($A181,SortedDownload!$A$3:$BB$219,40,FALSE)=0,"-",VLOOKUP($A181,SortedDownload!$A$3:$BB$219,40,FALSE)/86400000),"-")</f>
        <v>0.49852739583333333</v>
      </c>
      <c r="T181" s="58" t="str">
        <f>IFERROR(IF(VLOOKUP($A181,SortedDownload!$A$3:$BB$219,41,FALSE)=0,"-",VLOOKUP($A181,SortedDownload!$A$3:$BB$219,41,FALSE)/86400000),"-")</f>
        <v>-</v>
      </c>
      <c r="U181" s="58" t="str">
        <f>IFERROR(IF(VLOOKUP($A181,SortedDownload!$A$3:$BB$219,42,FALSE)=0,"-",VLOOKUP($A181,SortedDownload!$A$3:$BB$219,42,FALSE)/86400000),"-")</f>
        <v>-</v>
      </c>
      <c r="V181" s="58" t="str">
        <f>IFERROR(IF(VLOOKUP($A181,SortedDownload!$A$3:$BB$219,43,FALSE)=0,"-",VLOOKUP($A181,SortedDownload!$A$3:$BB$219,43,FALSE)/86400000),"-")</f>
        <v>-</v>
      </c>
      <c r="W181" s="58" t="str">
        <f>IFERROR(IF(VLOOKUP($A181,SortedDownload!$A$3:$BB$219,44,FALSE)=0,"-",VLOOKUP($A181,SortedDownload!$A$3:$BB$219,44,FALSE)/86400000),"-")</f>
        <v>-</v>
      </c>
      <c r="X181" s="58" t="str">
        <f>IFERROR(IF(VLOOKUP($A181,SortedDownload!$A$3:$BB$219,45,FALSE)=0,"-",VLOOKUP($A181,SortedDownload!$A$3:$BB$219,45,FALSE)/86400000),"-")</f>
        <v>-</v>
      </c>
      <c r="Y181" s="58">
        <f>IFERROR(VLOOKUP($A181,SortedDownload!$A$3:$BB$219,46,FALSE)/86400000,"")</f>
        <v>0</v>
      </c>
      <c r="Z181" s="58">
        <f>IFERROR(Table932[[#This Row],[End Time]]-Table932[[#This Row],[Start Time]],"")</f>
        <v>0</v>
      </c>
      <c r="AA181" s="58"/>
      <c r="AB181" s="170">
        <f t="shared" si="16"/>
        <v>0</v>
      </c>
      <c r="AC181" s="170">
        <f t="shared" si="17"/>
        <v>0.40741215277777776</v>
      </c>
    </row>
    <row r="182" spans="1:29">
      <c r="A182" s="53">
        <f>IF(SortedDownload!A175 &lt; 1,"",SortedDownload!A175)</f>
        <v>7</v>
      </c>
      <c r="B182" s="146">
        <f t="shared" si="12"/>
        <v>177</v>
      </c>
      <c r="C182" s="146" t="str">
        <f>IFERROR(VLOOKUP($A182,CategoryResults!$A$3:$X$252,3,FALSE),"")</f>
        <v/>
      </c>
      <c r="D182" s="149" t="str">
        <f>IFERROR(VLOOKUP($A182,EntryList!$A$3:$N$291,2,FALSE),"")</f>
        <v>Stéphen Du Toit</v>
      </c>
      <c r="E182" s="146" t="str">
        <f>IFERROR(VLOOKUP(C182,SeriesPoints!$A$2:$B$51,2,FALSE),"")</f>
        <v/>
      </c>
      <c r="F182" s="150" t="str">
        <f>IFERROR(VLOOKUP($A182,EntryList!$A$3:$V$291,22,FALSE),"")</f>
        <v>-</v>
      </c>
      <c r="G182" s="148" t="str">
        <f>IFERROR(VLOOKUP($A182,EntryList!$A$3:$N$291,6,FALSE),"")</f>
        <v>M</v>
      </c>
      <c r="H182" s="226" t="str">
        <f>IFERROR(VLOOKUP($A182,EntryList!$A$3:$N$291,7,FALSE),"")</f>
        <v>Lite M</v>
      </c>
      <c r="I182" s="220">
        <f t="shared" si="13"/>
        <v>6</v>
      </c>
      <c r="J182" s="58">
        <f>IFERROR(VLOOKUP($A182,SortedDownload!$A$3:$BB$219,31,FALSE)/86400000,"")</f>
        <v>0</v>
      </c>
      <c r="K182" s="58" t="str">
        <f>IFERROR(IF(VLOOKUP($A182,SortedDownload!$A$3:$BB$219,32,FALSE)=0,"-",VLOOKUP($A182,SortedDownload!$A$3:$BB$219,32,FALSE)/86400000),"-")</f>
        <v>-</v>
      </c>
      <c r="L182" s="58">
        <f>IFERROR(IF(VLOOKUP($A182,SortedDownload!$A$3:$BB$219,33,FALSE)=0,"-",VLOOKUP($A182,SortedDownload!$A$3:$BB$219,33,FALSE)/86400000),"-")</f>
        <v>0.39372601851851852</v>
      </c>
      <c r="M182" s="58">
        <f>IFERROR(IF(VLOOKUP($A182,SortedDownload!$A$3:$BB$219,34,FALSE)=0,"-",VLOOKUP($A182,SortedDownload!$A$3:$BB$219,34,FALSE)/86400000),"-")</f>
        <v>0.39689186342592592</v>
      </c>
      <c r="N182" s="58">
        <f>IFERROR(IF(VLOOKUP($A182,SortedDownload!$A$3:$BB$219,35,FALSE)=0,"-",VLOOKUP($A182,SortedDownload!$A$3:$BB$219,35,FALSE)/86400000),"-")</f>
        <v>0.4268328009259259</v>
      </c>
      <c r="O182" s="58">
        <f>IFERROR(IF(VLOOKUP($A182,SortedDownload!$A$3:$BB$219,36,FALSE)=0,"-",VLOOKUP($A182,SortedDownload!$A$3:$BB$219,36,FALSE)/86400000),"-")</f>
        <v>0.42868813657407406</v>
      </c>
      <c r="P182" s="58" t="str">
        <f>IFERROR(IF(VLOOKUP($A182,SortedDownload!$A$3:$BB$219,37,FALSE)=0,"-",VLOOKUP($A182,SortedDownload!$A$3:$BB$219,37,FALSE)/86400000),"-")</f>
        <v>-</v>
      </c>
      <c r="Q182" s="58" t="str">
        <f>IFERROR(IF(VLOOKUP($A182,SortedDownload!$A$3:$BB$219,38,FALSE)=0,"-",VLOOKUP($A182,SortedDownload!$A$3:$BB$219,38,FALSE)/86400000),"-")</f>
        <v>-</v>
      </c>
      <c r="R182" s="58">
        <f>IFERROR(IF(VLOOKUP($A182,SortedDownload!$A$3:$BB$219,39,FALSE)=0,"-",VLOOKUP($A182,SortedDownload!$A$3:$BB$219,39,FALSE)/86400000),"-")</f>
        <v>0.47147291666666669</v>
      </c>
      <c r="S182" s="58">
        <f>IFERROR(IF(VLOOKUP($A182,SortedDownload!$A$3:$BB$219,40,FALSE)=0,"-",VLOOKUP($A182,SortedDownload!$A$3:$BB$219,40,FALSE)/86400000),"-")</f>
        <v>0.47563381944444444</v>
      </c>
      <c r="T182" s="58" t="str">
        <f>IFERROR(IF(VLOOKUP($A182,SortedDownload!$A$3:$BB$219,41,FALSE)=0,"-",VLOOKUP($A182,SortedDownload!$A$3:$BB$219,41,FALSE)/86400000),"-")</f>
        <v>-</v>
      </c>
      <c r="U182" s="58" t="str">
        <f>IFERROR(IF(VLOOKUP($A182,SortedDownload!$A$3:$BB$219,42,FALSE)=0,"-",VLOOKUP($A182,SortedDownload!$A$3:$BB$219,42,FALSE)/86400000),"-")</f>
        <v>-</v>
      </c>
      <c r="V182" s="58" t="str">
        <f>IFERROR(IF(VLOOKUP($A182,SortedDownload!$A$3:$BB$219,43,FALSE)=0,"-",VLOOKUP($A182,SortedDownload!$A$3:$BB$219,43,FALSE)/86400000),"-")</f>
        <v>-</v>
      </c>
      <c r="W182" s="58" t="str">
        <f>IFERROR(IF(VLOOKUP($A182,SortedDownload!$A$3:$BB$219,44,FALSE)=0,"-",VLOOKUP($A182,SortedDownload!$A$3:$BB$219,44,FALSE)/86400000),"-")</f>
        <v>-</v>
      </c>
      <c r="X182" s="58" t="str">
        <f>IFERROR(IF(VLOOKUP($A182,SortedDownload!$A$3:$BB$219,45,FALSE)=0,"-",VLOOKUP($A182,SortedDownload!$A$3:$BB$219,45,FALSE)/86400000),"-")</f>
        <v>-</v>
      </c>
      <c r="Y182" s="58">
        <f>IFERROR(VLOOKUP($A182,SortedDownload!$A$3:$BB$219,46,FALSE)/86400000,"")</f>
        <v>0</v>
      </c>
      <c r="Z182" s="58">
        <f>IFERROR(Table932[[#This Row],[End Time]]-Table932[[#This Row],[Start Time]],"")</f>
        <v>0</v>
      </c>
      <c r="AA182" s="58"/>
      <c r="AB182" s="170">
        <f t="shared" si="16"/>
        <v>0</v>
      </c>
      <c r="AC182" s="170">
        <f t="shared" si="17"/>
        <v>0.40741215277777776</v>
      </c>
    </row>
    <row r="183" spans="1:29">
      <c r="A183" s="53">
        <f>IF(SortedDownload!A176 &lt; 1,"",SortedDownload!A176)</f>
        <v>75</v>
      </c>
      <c r="B183" s="146">
        <f t="shared" si="12"/>
        <v>178</v>
      </c>
      <c r="C183" s="146" t="str">
        <f>IFERROR(VLOOKUP($A183,CategoryResults!$A$3:$X$252,3,FALSE),"")</f>
        <v/>
      </c>
      <c r="D183" s="149" t="str">
        <f>IFERROR(VLOOKUP($A183,EntryList!$A$3:$N$291,2,FALSE),"")</f>
        <v>Michelle George</v>
      </c>
      <c r="E183" s="146" t="str">
        <f>IFERROR(VLOOKUP(C183,SeriesPoints!$A$2:$B$51,2,FALSE),"")</f>
        <v/>
      </c>
      <c r="F183" s="150" t="str">
        <f>IFERROR(VLOOKUP($A183,EntryList!$A$3:$V$291,22,FALSE),"")</f>
        <v>-</v>
      </c>
      <c r="G183" s="148" t="str">
        <f>IFERROR(VLOOKUP($A183,EntryList!$A$3:$N$291,6,FALSE),"")</f>
        <v>F</v>
      </c>
      <c r="H183" s="226" t="str">
        <f>IFERROR(VLOOKUP($A183,EntryList!$A$3:$N$291,7,FALSE),"")</f>
        <v>Lite F</v>
      </c>
      <c r="I183" s="220">
        <f t="shared" si="13"/>
        <v>6</v>
      </c>
      <c r="J183" s="58">
        <f>IFERROR(VLOOKUP($A183,SortedDownload!$A$3:$BB$219,31,FALSE)/86400000,"")</f>
        <v>0</v>
      </c>
      <c r="K183" s="58" t="str">
        <f>IFERROR(IF(VLOOKUP($A183,SortedDownload!$A$3:$BB$219,32,FALSE)=0,"-",VLOOKUP($A183,SortedDownload!$A$3:$BB$219,32,FALSE)/86400000),"-")</f>
        <v>-</v>
      </c>
      <c r="L183" s="58">
        <f>IFERROR(IF(VLOOKUP($A183,SortedDownload!$A$3:$BB$219,33,FALSE)=0,"-",VLOOKUP($A183,SortedDownload!$A$3:$BB$219,33,FALSE)/86400000),"-")</f>
        <v>0.39006540509259258</v>
      </c>
      <c r="M183" s="58">
        <f>IFERROR(IF(VLOOKUP($A183,SortedDownload!$A$3:$BB$219,34,FALSE)=0,"-",VLOOKUP($A183,SortedDownload!$A$3:$BB$219,34,FALSE)/86400000),"-")</f>
        <v>0.39323123842592594</v>
      </c>
      <c r="N183" s="58">
        <f>IFERROR(IF(VLOOKUP($A183,SortedDownload!$A$3:$BB$219,35,FALSE)=0,"-",VLOOKUP($A183,SortedDownload!$A$3:$BB$219,35,FALSE)/86400000),"-")</f>
        <v>0.42904760416666665</v>
      </c>
      <c r="O183" s="58">
        <f>IFERROR(IF(VLOOKUP($A183,SortedDownload!$A$3:$BB$219,36,FALSE)=0,"-",VLOOKUP($A183,SortedDownload!$A$3:$BB$219,36,FALSE)/86400000),"-")</f>
        <v>0.43094162037037037</v>
      </c>
      <c r="P183" s="58" t="str">
        <f>IFERROR(IF(VLOOKUP($A183,SortedDownload!$A$3:$BB$219,37,FALSE)=0,"-",VLOOKUP($A183,SortedDownload!$A$3:$BB$219,37,FALSE)/86400000),"-")</f>
        <v>-</v>
      </c>
      <c r="Q183" s="58" t="str">
        <f>IFERROR(IF(VLOOKUP($A183,SortedDownload!$A$3:$BB$219,38,FALSE)=0,"-",VLOOKUP($A183,SortedDownload!$A$3:$BB$219,38,FALSE)/86400000),"-")</f>
        <v>-</v>
      </c>
      <c r="R183" s="58">
        <f>IFERROR(IF(VLOOKUP($A183,SortedDownload!$A$3:$BB$219,39,FALSE)=0,"-",VLOOKUP($A183,SortedDownload!$A$3:$BB$219,39,FALSE)/86400000),"-")</f>
        <v>0.48490791666666666</v>
      </c>
      <c r="S183" s="58">
        <f>IFERROR(IF(VLOOKUP($A183,SortedDownload!$A$3:$BB$219,40,FALSE)=0,"-",VLOOKUP($A183,SortedDownload!$A$3:$BB$219,40,FALSE)/86400000),"-")</f>
        <v>0.48907033564814817</v>
      </c>
      <c r="T183" s="58" t="str">
        <f>IFERROR(IF(VLOOKUP($A183,SortedDownload!$A$3:$BB$219,41,FALSE)=0,"-",VLOOKUP($A183,SortedDownload!$A$3:$BB$219,41,FALSE)/86400000),"-")</f>
        <v>-</v>
      </c>
      <c r="U183" s="58" t="str">
        <f>IFERROR(IF(VLOOKUP($A183,SortedDownload!$A$3:$BB$219,42,FALSE)=0,"-",VLOOKUP($A183,SortedDownload!$A$3:$BB$219,42,FALSE)/86400000),"-")</f>
        <v>-</v>
      </c>
      <c r="V183" s="58" t="str">
        <f>IFERROR(IF(VLOOKUP($A183,SortedDownload!$A$3:$BB$219,43,FALSE)=0,"-",VLOOKUP($A183,SortedDownload!$A$3:$BB$219,43,FALSE)/86400000),"-")</f>
        <v>-</v>
      </c>
      <c r="W183" s="58" t="str">
        <f>IFERROR(IF(VLOOKUP($A183,SortedDownload!$A$3:$BB$219,44,FALSE)=0,"-",VLOOKUP($A183,SortedDownload!$A$3:$BB$219,44,FALSE)/86400000),"-")</f>
        <v>-</v>
      </c>
      <c r="X183" s="58" t="str">
        <f>IFERROR(IF(VLOOKUP($A183,SortedDownload!$A$3:$BB$219,45,FALSE)=0,"-",VLOOKUP($A183,SortedDownload!$A$3:$BB$219,45,FALSE)/86400000),"-")</f>
        <v>-</v>
      </c>
      <c r="Y183" s="58">
        <f>IFERROR(VLOOKUP($A183,SortedDownload!$A$3:$BB$219,46,FALSE)/86400000,"")</f>
        <v>0</v>
      </c>
      <c r="Z183" s="58">
        <f>IFERROR(Table932[[#This Row],[End Time]]-Table932[[#This Row],[Start Time]],"")</f>
        <v>0</v>
      </c>
      <c r="AA183" s="58"/>
      <c r="AB183" s="170">
        <f t="shared" si="16"/>
        <v>0</v>
      </c>
      <c r="AC183" s="170">
        <f t="shared" si="17"/>
        <v>0.40741215277777776</v>
      </c>
    </row>
    <row r="184" spans="1:29">
      <c r="A184" s="53">
        <f>IF(SortedDownload!A177 &lt; 1,"",SortedDownload!A177)</f>
        <v>228</v>
      </c>
      <c r="B184" s="146">
        <f t="shared" si="12"/>
        <v>179</v>
      </c>
      <c r="C184" s="146" t="str">
        <f>IFERROR(VLOOKUP($A184,CategoryResults!$A$3:$X$252,3,FALSE),"")</f>
        <v/>
      </c>
      <c r="D184" s="149" t="str">
        <f>IFERROR(VLOOKUP($A184,EntryList!$A$3:$N$291,2,FALSE),"")</f>
        <v>Fred Lowe</v>
      </c>
      <c r="E184" s="146" t="str">
        <f>IFERROR(VLOOKUP(C184,SeriesPoints!$A$2:$B$51,2,FALSE),"")</f>
        <v/>
      </c>
      <c r="F184" s="150" t="str">
        <f>IFERROR(VLOOKUP($A184,EntryList!$A$3:$V$291,22,FALSE),"")</f>
        <v>-</v>
      </c>
      <c r="G184" s="148" t="str">
        <f>IFERROR(VLOOKUP($A184,EntryList!$A$3:$N$291,6,FALSE),"")</f>
        <v>M</v>
      </c>
      <c r="H184" s="226" t="str">
        <f>IFERROR(VLOOKUP($A184,EntryList!$A$3:$N$291,7,FALSE),"")</f>
        <v>Lite M</v>
      </c>
      <c r="I184" s="220">
        <f t="shared" si="13"/>
        <v>6</v>
      </c>
      <c r="J184" s="58">
        <f>IFERROR(VLOOKUP($A184,SortedDownload!$A$3:$BB$219,31,FALSE)/86400000,"")</f>
        <v>0</v>
      </c>
      <c r="K184" s="58" t="str">
        <f>IFERROR(IF(VLOOKUP($A184,SortedDownload!$A$3:$BB$219,32,FALSE)=0,"-",VLOOKUP($A184,SortedDownload!$A$3:$BB$219,32,FALSE)/86400000),"-")</f>
        <v>-</v>
      </c>
      <c r="L184" s="58">
        <f>IFERROR(IF(VLOOKUP($A184,SortedDownload!$A$3:$BB$219,33,FALSE)=0,"-",VLOOKUP($A184,SortedDownload!$A$3:$BB$219,33,FALSE)/86400000),"-")</f>
        <v>0.39154229166666665</v>
      </c>
      <c r="M184" s="58">
        <f>IFERROR(IF(VLOOKUP($A184,SortedDownload!$A$3:$BB$219,34,FALSE)=0,"-",VLOOKUP($A184,SortedDownload!$A$3:$BB$219,34,FALSE)/86400000),"-")</f>
        <v>0.3948350810185185</v>
      </c>
      <c r="N184" s="58">
        <f>IFERROR(IF(VLOOKUP($A184,SortedDownload!$A$3:$BB$219,35,FALSE)=0,"-",VLOOKUP($A184,SortedDownload!$A$3:$BB$219,35,FALSE)/86400000),"-")</f>
        <v>0.42383025462962964</v>
      </c>
      <c r="O184" s="58">
        <f>IFERROR(IF(VLOOKUP($A184,SortedDownload!$A$3:$BB$219,36,FALSE)=0,"-",VLOOKUP($A184,SortedDownload!$A$3:$BB$219,36,FALSE)/86400000),"-")</f>
        <v>0.42570267361111114</v>
      </c>
      <c r="P184" s="58" t="str">
        <f>IFERROR(IF(VLOOKUP($A184,SortedDownload!$A$3:$BB$219,37,FALSE)=0,"-",VLOOKUP($A184,SortedDownload!$A$3:$BB$219,37,FALSE)/86400000),"-")</f>
        <v>-</v>
      </c>
      <c r="Q184" s="58" t="str">
        <f>IFERROR(IF(VLOOKUP($A184,SortedDownload!$A$3:$BB$219,38,FALSE)=0,"-",VLOOKUP($A184,SortedDownload!$A$3:$BB$219,38,FALSE)/86400000),"-")</f>
        <v>-</v>
      </c>
      <c r="R184" s="58">
        <f>IFERROR(IF(VLOOKUP($A184,SortedDownload!$A$3:$BB$219,39,FALSE)=0,"-",VLOOKUP($A184,SortedDownload!$A$3:$BB$219,39,FALSE)/86400000),"-")</f>
        <v>0.46180273148148149</v>
      </c>
      <c r="S184" s="58">
        <f>IFERROR(IF(VLOOKUP($A184,SortedDownload!$A$3:$BB$219,40,FALSE)=0,"-",VLOOKUP($A184,SortedDownload!$A$3:$BB$219,40,FALSE)/86400000),"-")</f>
        <v>0.46587663194444445</v>
      </c>
      <c r="T184" s="58" t="str">
        <f>IFERROR(IF(VLOOKUP($A184,SortedDownload!$A$3:$BB$219,41,FALSE)=0,"-",VLOOKUP($A184,SortedDownload!$A$3:$BB$219,41,FALSE)/86400000),"-")</f>
        <v>-</v>
      </c>
      <c r="U184" s="58" t="str">
        <f>IFERROR(IF(VLOOKUP($A184,SortedDownload!$A$3:$BB$219,42,FALSE)=0,"-",VLOOKUP($A184,SortedDownload!$A$3:$BB$219,42,FALSE)/86400000),"-")</f>
        <v>-</v>
      </c>
      <c r="V184" s="58" t="str">
        <f>IFERROR(IF(VLOOKUP($A184,SortedDownload!$A$3:$BB$219,43,FALSE)=0,"-",VLOOKUP($A184,SortedDownload!$A$3:$BB$219,43,FALSE)/86400000),"-")</f>
        <v>-</v>
      </c>
      <c r="W184" s="58" t="str">
        <f>IFERROR(IF(VLOOKUP($A184,SortedDownload!$A$3:$BB$219,44,FALSE)=0,"-",VLOOKUP($A184,SortedDownload!$A$3:$BB$219,44,FALSE)/86400000),"-")</f>
        <v>-</v>
      </c>
      <c r="X184" s="58" t="str">
        <f>IFERROR(IF(VLOOKUP($A184,SortedDownload!$A$3:$BB$219,45,FALSE)=0,"-",VLOOKUP($A184,SortedDownload!$A$3:$BB$219,45,FALSE)/86400000),"-")</f>
        <v>-</v>
      </c>
      <c r="Y184" s="58">
        <f>IFERROR(VLOOKUP($A184,SortedDownload!$A$3:$BB$219,46,FALSE)/86400000,"")</f>
        <v>0</v>
      </c>
      <c r="Z184" s="58">
        <f>IFERROR(Table932[[#This Row],[End Time]]-Table932[[#This Row],[Start Time]],"")</f>
        <v>0</v>
      </c>
      <c r="AA184" s="58"/>
      <c r="AB184" s="170">
        <f t="shared" si="16"/>
        <v>0</v>
      </c>
      <c r="AC184" s="170">
        <f t="shared" si="17"/>
        <v>0.40741215277777776</v>
      </c>
    </row>
    <row r="185" spans="1:29">
      <c r="A185" s="53">
        <f>IF(SortedDownload!A178 &lt; 1,"",SortedDownload!A178)</f>
        <v>60</v>
      </c>
      <c r="B185" s="146">
        <f t="shared" si="12"/>
        <v>180</v>
      </c>
      <c r="C185" s="146" t="str">
        <f>IFERROR(VLOOKUP($A185,CategoryResults!$A$3:$X$252,3,FALSE),"")</f>
        <v/>
      </c>
      <c r="D185" s="149" t="str">
        <f>IFERROR(VLOOKUP($A185,EntryList!$A$3:$N$291,2,FALSE),"")</f>
        <v>Christiaan Steffens</v>
      </c>
      <c r="E185" s="146" t="str">
        <f>IFERROR(VLOOKUP(C185,SeriesPoints!$A$2:$B$51,2,FALSE),"")</f>
        <v/>
      </c>
      <c r="F185" s="150" t="str">
        <f>IFERROR(VLOOKUP($A185,EntryList!$A$3:$V$291,22,FALSE),"")</f>
        <v>-</v>
      </c>
      <c r="G185" s="148" t="str">
        <f>IFERROR(VLOOKUP($A185,EntryList!$A$3:$N$291,6,FALSE),"")</f>
        <v>M</v>
      </c>
      <c r="H185" s="226" t="str">
        <f>IFERROR(VLOOKUP($A185,EntryList!$A$3:$N$291,7,FALSE),"")</f>
        <v>E-Bike Lite M</v>
      </c>
      <c r="I185" s="220">
        <f t="shared" si="13"/>
        <v>6</v>
      </c>
      <c r="J185" s="58">
        <f>IFERROR(VLOOKUP($A185,SortedDownload!$A$3:$BB$219,31,FALSE)/86400000,"")</f>
        <v>0</v>
      </c>
      <c r="K185" s="58" t="str">
        <f>IFERROR(IF(VLOOKUP($A185,SortedDownload!$A$3:$BB$219,32,FALSE)=0,"-",VLOOKUP($A185,SortedDownload!$A$3:$BB$219,32,FALSE)/86400000),"-")</f>
        <v>-</v>
      </c>
      <c r="L185" s="58">
        <f>IFERROR(IF(VLOOKUP($A185,SortedDownload!$A$3:$BB$219,33,FALSE)=0,"-",VLOOKUP($A185,SortedDownload!$A$3:$BB$219,33,FALSE)/86400000),"-")</f>
        <v>0.38158163194444444</v>
      </c>
      <c r="M185" s="58">
        <f>IFERROR(IF(VLOOKUP($A185,SortedDownload!$A$3:$BB$219,34,FALSE)=0,"-",VLOOKUP($A185,SortedDownload!$A$3:$BB$219,34,FALSE)/86400000),"-")</f>
        <v>0.38483133101851852</v>
      </c>
      <c r="N185" s="58">
        <f>IFERROR(IF(VLOOKUP($A185,SortedDownload!$A$3:$BB$219,35,FALSE)=0,"-",VLOOKUP($A185,SortedDownload!$A$3:$BB$219,35,FALSE)/86400000),"-")</f>
        <v>0.40916526620370369</v>
      </c>
      <c r="O185" s="58">
        <f>IFERROR(IF(VLOOKUP($A185,SortedDownload!$A$3:$BB$219,36,FALSE)=0,"-",VLOOKUP($A185,SortedDownload!$A$3:$BB$219,36,FALSE)/86400000),"-")</f>
        <v>0.41103531250000003</v>
      </c>
      <c r="P185" s="58" t="str">
        <f>IFERROR(IF(VLOOKUP($A185,SortedDownload!$A$3:$BB$219,37,FALSE)=0,"-",VLOOKUP($A185,SortedDownload!$A$3:$BB$219,37,FALSE)/86400000),"-")</f>
        <v>-</v>
      </c>
      <c r="Q185" s="58" t="str">
        <f>IFERROR(IF(VLOOKUP($A185,SortedDownload!$A$3:$BB$219,38,FALSE)=0,"-",VLOOKUP($A185,SortedDownload!$A$3:$BB$219,38,FALSE)/86400000),"-")</f>
        <v>-</v>
      </c>
      <c r="R185" s="58">
        <f>IFERROR(IF(VLOOKUP($A185,SortedDownload!$A$3:$BB$219,39,FALSE)=0,"-",VLOOKUP($A185,SortedDownload!$A$3:$BB$219,39,FALSE)/86400000),"-")</f>
        <v>0.44339815972222224</v>
      </c>
      <c r="S185" s="58">
        <f>IFERROR(IF(VLOOKUP($A185,SortedDownload!$A$3:$BB$219,40,FALSE)=0,"-",VLOOKUP($A185,SortedDownload!$A$3:$BB$219,40,FALSE)/86400000),"-")</f>
        <v>0.44752328703703703</v>
      </c>
      <c r="T185" s="58" t="str">
        <f>IFERROR(IF(VLOOKUP($A185,SortedDownload!$A$3:$BB$219,41,FALSE)=0,"-",VLOOKUP($A185,SortedDownload!$A$3:$BB$219,41,FALSE)/86400000),"-")</f>
        <v>-</v>
      </c>
      <c r="U185" s="58" t="str">
        <f>IFERROR(IF(VLOOKUP($A185,SortedDownload!$A$3:$BB$219,42,FALSE)=0,"-",VLOOKUP($A185,SortedDownload!$A$3:$BB$219,42,FALSE)/86400000),"-")</f>
        <v>-</v>
      </c>
      <c r="V185" s="58" t="str">
        <f>IFERROR(IF(VLOOKUP($A185,SortedDownload!$A$3:$BB$219,43,FALSE)=0,"-",VLOOKUP($A185,SortedDownload!$A$3:$BB$219,43,FALSE)/86400000),"-")</f>
        <v>-</v>
      </c>
      <c r="W185" s="58" t="str">
        <f>IFERROR(IF(VLOOKUP($A185,SortedDownload!$A$3:$BB$219,44,FALSE)=0,"-",VLOOKUP($A185,SortedDownload!$A$3:$BB$219,44,FALSE)/86400000),"-")</f>
        <v>-</v>
      </c>
      <c r="X185" s="58" t="str">
        <f>IFERROR(IF(VLOOKUP($A185,SortedDownload!$A$3:$BB$219,45,FALSE)=0,"-",VLOOKUP($A185,SortedDownload!$A$3:$BB$219,45,FALSE)/86400000),"-")</f>
        <v>-</v>
      </c>
      <c r="Y185" s="58">
        <f>IFERROR(VLOOKUP($A185,SortedDownload!$A$3:$BB$219,46,FALSE)/86400000,"")</f>
        <v>0</v>
      </c>
      <c r="Z185" s="58">
        <f>IFERROR(Table932[[#This Row],[End Time]]-Table932[[#This Row],[Start Time]],"")</f>
        <v>0</v>
      </c>
      <c r="AA185" s="58"/>
      <c r="AB185" s="170">
        <f t="shared" ref="AB185:AB215" si="18">Z185-Z184</f>
        <v>0</v>
      </c>
      <c r="AC185" s="170">
        <f t="shared" ref="AC185:AC215" si="19">Z185-Z$6</f>
        <v>0.40741215277777776</v>
      </c>
    </row>
    <row r="186" spans="1:29">
      <c r="A186" s="53">
        <f>IF(SortedDownload!A179 &lt; 1,"",SortedDownload!A179)</f>
        <v>275</v>
      </c>
      <c r="B186" s="146">
        <f t="shared" si="12"/>
        <v>181</v>
      </c>
      <c r="C186" s="146" t="str">
        <f>IFERROR(VLOOKUP($A186,CategoryResults!$A$3:$X$252,3,FALSE),"")</f>
        <v/>
      </c>
      <c r="D186" s="149" t="str">
        <f>IFERROR(VLOOKUP($A186,EntryList!$A$3:$N$291,2,FALSE),"")</f>
        <v>Joshua Ord</v>
      </c>
      <c r="E186" s="146" t="str">
        <f>IFERROR(VLOOKUP(C186,SeriesPoints!$A$2:$B$51,2,FALSE),"")</f>
        <v/>
      </c>
      <c r="F186" s="150" t="str">
        <f>IFERROR(VLOOKUP($A186,EntryList!$A$3:$V$291,22,FALSE),"")</f>
        <v>-</v>
      </c>
      <c r="G186" s="148" t="str">
        <f>IFERROR(VLOOKUP($A186,EntryList!$A$3:$N$291,6,FALSE),"")</f>
        <v>M</v>
      </c>
      <c r="H186" s="226" t="str">
        <f>IFERROR(VLOOKUP($A186,EntryList!$A$3:$N$291,7,FALSE),"")</f>
        <v>Sub Junior Boys</v>
      </c>
      <c r="I186" s="220">
        <f t="shared" si="13"/>
        <v>6</v>
      </c>
      <c r="J186" s="58">
        <f>IFERROR(VLOOKUP($A186,SortedDownload!$A$3:$BB$219,31,FALSE)/86400000,"")</f>
        <v>0</v>
      </c>
      <c r="K186" s="58" t="str">
        <f>IFERROR(IF(VLOOKUP($A186,SortedDownload!$A$3:$BB$219,32,FALSE)=0,"-",VLOOKUP($A186,SortedDownload!$A$3:$BB$219,32,FALSE)/86400000),"-")</f>
        <v>-</v>
      </c>
      <c r="L186" s="58">
        <f>IFERROR(IF(VLOOKUP($A186,SortedDownload!$A$3:$BB$219,33,FALSE)=0,"-",VLOOKUP($A186,SortedDownload!$A$3:$BB$219,33,FALSE)/86400000),"-")</f>
        <v>0.38016672453703704</v>
      </c>
      <c r="M186" s="58">
        <f>IFERROR(IF(VLOOKUP($A186,SortedDownload!$A$3:$BB$219,34,FALSE)=0,"-",VLOOKUP($A186,SortedDownload!$A$3:$BB$219,34,FALSE)/86400000),"-")</f>
        <v>0.38343898148148148</v>
      </c>
      <c r="N186" s="58">
        <f>IFERROR(IF(VLOOKUP($A186,SortedDownload!$A$3:$BB$219,35,FALSE)=0,"-",VLOOKUP($A186,SortedDownload!$A$3:$BB$219,35,FALSE)/86400000),"-")</f>
        <v>0.41756693287037039</v>
      </c>
      <c r="O186" s="58">
        <f>IFERROR(IF(VLOOKUP($A186,SortedDownload!$A$3:$BB$219,36,FALSE)=0,"-",VLOOKUP($A186,SortedDownload!$A$3:$BB$219,36,FALSE)/86400000),"-")</f>
        <v>0.41941646990740739</v>
      </c>
      <c r="P186" s="58" t="str">
        <f>IFERROR(IF(VLOOKUP($A186,SortedDownload!$A$3:$BB$219,37,FALSE)=0,"-",VLOOKUP($A186,SortedDownload!$A$3:$BB$219,37,FALSE)/86400000),"-")</f>
        <v>-</v>
      </c>
      <c r="Q186" s="58" t="str">
        <f>IFERROR(IF(VLOOKUP($A186,SortedDownload!$A$3:$BB$219,38,FALSE)=0,"-",VLOOKUP($A186,SortedDownload!$A$3:$BB$219,38,FALSE)/86400000),"-")</f>
        <v>-</v>
      </c>
      <c r="R186" s="58">
        <f>IFERROR(IF(VLOOKUP($A186,SortedDownload!$A$3:$BB$219,39,FALSE)=0,"-",VLOOKUP($A186,SortedDownload!$A$3:$BB$219,39,FALSE)/86400000),"-")</f>
        <v>0.46340701388888889</v>
      </c>
      <c r="S186" s="58">
        <f>IFERROR(IF(VLOOKUP($A186,SortedDownload!$A$3:$BB$219,40,FALSE)=0,"-",VLOOKUP($A186,SortedDownload!$A$3:$BB$219,40,FALSE)/86400000),"-")</f>
        <v>0.46760143518518521</v>
      </c>
      <c r="T186" s="58" t="str">
        <f>IFERROR(IF(VLOOKUP($A186,SortedDownload!$A$3:$BB$219,41,FALSE)=0,"-",VLOOKUP($A186,SortedDownload!$A$3:$BB$219,41,FALSE)/86400000),"-")</f>
        <v>-</v>
      </c>
      <c r="U186" s="58" t="str">
        <f>IFERROR(IF(VLOOKUP($A186,SortedDownload!$A$3:$BB$219,42,FALSE)=0,"-",VLOOKUP($A186,SortedDownload!$A$3:$BB$219,42,FALSE)/86400000),"-")</f>
        <v>-</v>
      </c>
      <c r="V186" s="58" t="str">
        <f>IFERROR(IF(VLOOKUP($A186,SortedDownload!$A$3:$BB$219,43,FALSE)=0,"-",VLOOKUP($A186,SortedDownload!$A$3:$BB$219,43,FALSE)/86400000),"-")</f>
        <v>-</v>
      </c>
      <c r="W186" s="58" t="str">
        <f>IFERROR(IF(VLOOKUP($A186,SortedDownload!$A$3:$BB$219,44,FALSE)=0,"-",VLOOKUP($A186,SortedDownload!$A$3:$BB$219,44,FALSE)/86400000),"-")</f>
        <v>-</v>
      </c>
      <c r="X186" s="58" t="str">
        <f>IFERROR(IF(VLOOKUP($A186,SortedDownload!$A$3:$BB$219,45,FALSE)=0,"-",VLOOKUP($A186,SortedDownload!$A$3:$BB$219,45,FALSE)/86400000),"-")</f>
        <v>-</v>
      </c>
      <c r="Y186" s="58">
        <f>IFERROR(VLOOKUP($A186,SortedDownload!$A$3:$BB$219,46,FALSE)/86400000,"")</f>
        <v>0</v>
      </c>
      <c r="Z186" s="58">
        <f>IFERROR(Table932[[#This Row],[End Time]]-Table932[[#This Row],[Start Time]],"")</f>
        <v>0</v>
      </c>
      <c r="AA186" s="58"/>
      <c r="AB186" s="170">
        <f t="shared" si="18"/>
        <v>0</v>
      </c>
      <c r="AC186" s="170">
        <f t="shared" si="19"/>
        <v>0.40741215277777776</v>
      </c>
    </row>
    <row r="187" spans="1:29">
      <c r="A187" s="53">
        <f>IF(SortedDownload!A180 &lt; 1,"",SortedDownload!A180)</f>
        <v>240</v>
      </c>
      <c r="B187" s="146">
        <f t="shared" si="12"/>
        <v>182</v>
      </c>
      <c r="C187" s="146" t="str">
        <f>IFERROR(VLOOKUP($A187,CategoryResults!$A$3:$X$252,3,FALSE),"")</f>
        <v/>
      </c>
      <c r="D187" s="149" t="str">
        <f>IFERROR(VLOOKUP($A187,EntryList!$A$3:$N$291,2,FALSE),"")</f>
        <v>Robert Du Preez</v>
      </c>
      <c r="E187" s="146" t="str">
        <f>IFERROR(VLOOKUP(C187,SeriesPoints!$A$2:$B$51,2,FALSE),"")</f>
        <v/>
      </c>
      <c r="F187" s="150" t="str">
        <f>IFERROR(VLOOKUP($A187,EntryList!$A$3:$V$291,22,FALSE),"")</f>
        <v>-</v>
      </c>
      <c r="G187" s="148" t="str">
        <f>IFERROR(VLOOKUP($A187,EntryList!$A$3:$N$291,6,FALSE),"")</f>
        <v>M</v>
      </c>
      <c r="H187" s="226" t="str">
        <f>IFERROR(VLOOKUP($A187,EntryList!$A$3:$N$291,7,FALSE),"")</f>
        <v>E-Bike Lite M</v>
      </c>
      <c r="I187" s="220">
        <f t="shared" si="13"/>
        <v>6</v>
      </c>
      <c r="J187" s="58">
        <f>IFERROR(VLOOKUP($A187,SortedDownload!$A$3:$BB$219,31,FALSE)/86400000,"")</f>
        <v>0</v>
      </c>
      <c r="K187" s="58" t="str">
        <f>IFERROR(IF(VLOOKUP($A187,SortedDownload!$A$3:$BB$219,32,FALSE)=0,"-",VLOOKUP($A187,SortedDownload!$A$3:$BB$219,32,FALSE)/86400000),"-")</f>
        <v>-</v>
      </c>
      <c r="L187" s="58">
        <f>IFERROR(IF(VLOOKUP($A187,SortedDownload!$A$3:$BB$219,33,FALSE)=0,"-",VLOOKUP($A187,SortedDownload!$A$3:$BB$219,33,FALSE)/86400000),"-")</f>
        <v>0.42359364583333331</v>
      </c>
      <c r="M187" s="58">
        <f>IFERROR(IF(VLOOKUP($A187,SortedDownload!$A$3:$BB$219,34,FALSE)=0,"-",VLOOKUP($A187,SortedDownload!$A$3:$BB$219,34,FALSE)/86400000),"-")</f>
        <v>0.42668185185185187</v>
      </c>
      <c r="N187" s="58">
        <f>IFERROR(IF(VLOOKUP($A187,SortedDownload!$A$3:$BB$219,35,FALSE)=0,"-",VLOOKUP($A187,SortedDownload!$A$3:$BB$219,35,FALSE)/86400000),"-")</f>
        <v>0.47339046296296294</v>
      </c>
      <c r="O187" s="58">
        <f>IFERROR(IF(VLOOKUP($A187,SortedDownload!$A$3:$BB$219,36,FALSE)=0,"-",VLOOKUP($A187,SortedDownload!$A$3:$BB$219,36,FALSE)/86400000),"-")</f>
        <v>0.47530053240740738</v>
      </c>
      <c r="P187" s="58" t="str">
        <f>IFERROR(IF(VLOOKUP($A187,SortedDownload!$A$3:$BB$219,37,FALSE)=0,"-",VLOOKUP($A187,SortedDownload!$A$3:$BB$219,37,FALSE)/86400000),"-")</f>
        <v>-</v>
      </c>
      <c r="Q187" s="58" t="str">
        <f>IFERROR(IF(VLOOKUP($A187,SortedDownload!$A$3:$BB$219,38,FALSE)=0,"-",VLOOKUP($A187,SortedDownload!$A$3:$BB$219,38,FALSE)/86400000),"-")</f>
        <v>-</v>
      </c>
      <c r="R187" s="58">
        <f>IFERROR(IF(VLOOKUP($A187,SortedDownload!$A$3:$BB$219,39,FALSE)=0,"-",VLOOKUP($A187,SortedDownload!$A$3:$BB$219,39,FALSE)/86400000),"-")</f>
        <v>0.51857421296296291</v>
      </c>
      <c r="S187" s="58">
        <f>IFERROR(IF(VLOOKUP($A187,SortedDownload!$A$3:$BB$219,40,FALSE)=0,"-",VLOOKUP($A187,SortedDownload!$A$3:$BB$219,40,FALSE)/86400000),"-")</f>
        <v>0.52289700231481484</v>
      </c>
      <c r="T187" s="58" t="str">
        <f>IFERROR(IF(VLOOKUP($A187,SortedDownload!$A$3:$BB$219,41,FALSE)=0,"-",VLOOKUP($A187,SortedDownload!$A$3:$BB$219,41,FALSE)/86400000),"-")</f>
        <v>-</v>
      </c>
      <c r="U187" s="58" t="str">
        <f>IFERROR(IF(VLOOKUP($A187,SortedDownload!$A$3:$BB$219,42,FALSE)=0,"-",VLOOKUP($A187,SortedDownload!$A$3:$BB$219,42,FALSE)/86400000),"-")</f>
        <v>-</v>
      </c>
      <c r="V187" s="58" t="str">
        <f>IFERROR(IF(VLOOKUP($A187,SortedDownload!$A$3:$BB$219,43,FALSE)=0,"-",VLOOKUP($A187,SortedDownload!$A$3:$BB$219,43,FALSE)/86400000),"-")</f>
        <v>-</v>
      </c>
      <c r="W187" s="58" t="str">
        <f>IFERROR(IF(VLOOKUP($A187,SortedDownload!$A$3:$BB$219,44,FALSE)=0,"-",VLOOKUP($A187,SortedDownload!$A$3:$BB$219,44,FALSE)/86400000),"-")</f>
        <v>-</v>
      </c>
      <c r="X187" s="58" t="str">
        <f>IFERROR(IF(VLOOKUP($A187,SortedDownload!$A$3:$BB$219,45,FALSE)=0,"-",VLOOKUP($A187,SortedDownload!$A$3:$BB$219,45,FALSE)/86400000),"-")</f>
        <v>-</v>
      </c>
      <c r="Y187" s="58">
        <f>IFERROR(VLOOKUP($A187,SortedDownload!$A$3:$BB$219,46,FALSE)/86400000,"")</f>
        <v>0</v>
      </c>
      <c r="Z187" s="58">
        <f>IFERROR(Table932[[#This Row],[End Time]]-Table932[[#This Row],[Start Time]],"")</f>
        <v>0</v>
      </c>
      <c r="AA187" s="58"/>
      <c r="AB187" s="170">
        <f t="shared" si="18"/>
        <v>0</v>
      </c>
      <c r="AC187" s="170">
        <f t="shared" si="19"/>
        <v>0.40741215277777776</v>
      </c>
    </row>
    <row r="188" spans="1:29">
      <c r="A188" s="53">
        <f>IF(SortedDownload!A181 &lt; 1,"",SortedDownload!A181)</f>
        <v>97</v>
      </c>
      <c r="B188" s="146">
        <f t="shared" si="12"/>
        <v>183</v>
      </c>
      <c r="C188" s="146" t="str">
        <f>IFERROR(VLOOKUP($A188,CategoryResults!$A$3:$X$252,3,FALSE),"")</f>
        <v/>
      </c>
      <c r="D188" s="149" t="str">
        <f>IFERROR(VLOOKUP($A188,EntryList!$A$3:$N$291,2,FALSE),"")</f>
        <v>Amy Burton</v>
      </c>
      <c r="E188" s="146" t="str">
        <f>IFERROR(VLOOKUP(C188,SeriesPoints!$A$2:$B$51,2,FALSE),"")</f>
        <v/>
      </c>
      <c r="F188" s="150" t="str">
        <f>IFERROR(VLOOKUP($A188,EntryList!$A$3:$V$291,22,FALSE),"")</f>
        <v>-</v>
      </c>
      <c r="G188" s="148" t="str">
        <f>IFERROR(VLOOKUP($A188,EntryList!$A$3:$N$291,6,FALSE),"")</f>
        <v>F</v>
      </c>
      <c r="H188" s="226" t="str">
        <f>IFERROR(VLOOKUP($A188,EntryList!$A$3:$N$291,7,FALSE),"")</f>
        <v>Lite F</v>
      </c>
      <c r="I188" s="220">
        <f t="shared" si="13"/>
        <v>6</v>
      </c>
      <c r="J188" s="58">
        <f>IFERROR(VLOOKUP($A188,SortedDownload!$A$3:$BB$219,31,FALSE)/86400000,"")</f>
        <v>0</v>
      </c>
      <c r="K188" s="58" t="str">
        <f>IFERROR(IF(VLOOKUP($A188,SortedDownload!$A$3:$BB$219,32,FALSE)=0,"-",VLOOKUP($A188,SortedDownload!$A$3:$BB$219,32,FALSE)/86400000),"-")</f>
        <v>-</v>
      </c>
      <c r="L188" s="58">
        <f>IFERROR(IF(VLOOKUP($A188,SortedDownload!$A$3:$BB$219,33,FALSE)=0,"-",VLOOKUP($A188,SortedDownload!$A$3:$BB$219,33,FALSE)/86400000),"-")</f>
        <v>0.39032918981481479</v>
      </c>
      <c r="M188" s="58">
        <f>IFERROR(IF(VLOOKUP($A188,SortedDownload!$A$3:$BB$219,34,FALSE)=0,"-",VLOOKUP($A188,SortedDownload!$A$3:$BB$219,34,FALSE)/86400000),"-")</f>
        <v>0.39358400462962961</v>
      </c>
      <c r="N188" s="58">
        <f>IFERROR(IF(VLOOKUP($A188,SortedDownload!$A$3:$BB$219,35,FALSE)=0,"-",VLOOKUP($A188,SortedDownload!$A$3:$BB$219,35,FALSE)/86400000),"-")</f>
        <v>0.42951523148148146</v>
      </c>
      <c r="O188" s="58">
        <f>IFERROR(IF(VLOOKUP($A188,SortedDownload!$A$3:$BB$219,36,FALSE)=0,"-",VLOOKUP($A188,SortedDownload!$A$3:$BB$219,36,FALSE)/86400000),"-")</f>
        <v>0.43141244212962965</v>
      </c>
      <c r="P188" s="58" t="str">
        <f>IFERROR(IF(VLOOKUP($A188,SortedDownload!$A$3:$BB$219,37,FALSE)=0,"-",VLOOKUP($A188,SortedDownload!$A$3:$BB$219,37,FALSE)/86400000),"-")</f>
        <v>-</v>
      </c>
      <c r="Q188" s="58" t="str">
        <f>IFERROR(IF(VLOOKUP($A188,SortedDownload!$A$3:$BB$219,38,FALSE)=0,"-",VLOOKUP($A188,SortedDownload!$A$3:$BB$219,38,FALSE)/86400000),"-")</f>
        <v>-</v>
      </c>
      <c r="R188" s="58">
        <f>IFERROR(IF(VLOOKUP($A188,SortedDownload!$A$3:$BB$219,39,FALSE)=0,"-",VLOOKUP($A188,SortedDownload!$A$3:$BB$219,39,FALSE)/86400000),"-")</f>
        <v>0.48504560185185186</v>
      </c>
      <c r="S188" s="58">
        <f>IFERROR(IF(VLOOKUP($A188,SortedDownload!$A$3:$BB$219,40,FALSE)=0,"-",VLOOKUP($A188,SortedDownload!$A$3:$BB$219,40,FALSE)/86400000),"-")</f>
        <v>0.48921940972222222</v>
      </c>
      <c r="T188" s="58" t="str">
        <f>IFERROR(IF(VLOOKUP($A188,SortedDownload!$A$3:$BB$219,41,FALSE)=0,"-",VLOOKUP($A188,SortedDownload!$A$3:$BB$219,41,FALSE)/86400000),"-")</f>
        <v>-</v>
      </c>
      <c r="U188" s="58" t="str">
        <f>IFERROR(IF(VLOOKUP($A188,SortedDownload!$A$3:$BB$219,42,FALSE)=0,"-",VLOOKUP($A188,SortedDownload!$A$3:$BB$219,42,FALSE)/86400000),"-")</f>
        <v>-</v>
      </c>
      <c r="V188" s="58" t="str">
        <f>IFERROR(IF(VLOOKUP($A188,SortedDownload!$A$3:$BB$219,43,FALSE)=0,"-",VLOOKUP($A188,SortedDownload!$A$3:$BB$219,43,FALSE)/86400000),"-")</f>
        <v>-</v>
      </c>
      <c r="W188" s="58" t="str">
        <f>IFERROR(IF(VLOOKUP($A188,SortedDownload!$A$3:$BB$219,44,FALSE)=0,"-",VLOOKUP($A188,SortedDownload!$A$3:$BB$219,44,FALSE)/86400000),"-")</f>
        <v>-</v>
      </c>
      <c r="X188" s="58" t="str">
        <f>IFERROR(IF(VLOOKUP($A188,SortedDownload!$A$3:$BB$219,45,FALSE)=0,"-",VLOOKUP($A188,SortedDownload!$A$3:$BB$219,45,FALSE)/86400000),"-")</f>
        <v>-</v>
      </c>
      <c r="Y188" s="58">
        <f>IFERROR(VLOOKUP($A188,SortedDownload!$A$3:$BB$219,46,FALSE)/86400000,"")</f>
        <v>0</v>
      </c>
      <c r="Z188" s="58">
        <f>IFERROR(Table932[[#This Row],[End Time]]-Table932[[#This Row],[Start Time]],"")</f>
        <v>0</v>
      </c>
      <c r="AA188" s="58"/>
      <c r="AB188" s="170">
        <f t="shared" si="18"/>
        <v>0</v>
      </c>
      <c r="AC188" s="170">
        <f t="shared" si="19"/>
        <v>0.40741215277777776</v>
      </c>
    </row>
    <row r="189" spans="1:29">
      <c r="A189" s="53">
        <f>IF(SortedDownload!A182 &lt; 1,"",SortedDownload!A182)</f>
        <v>223</v>
      </c>
      <c r="B189" s="146">
        <f t="shared" si="12"/>
        <v>184</v>
      </c>
      <c r="C189" s="146" t="str">
        <f>IFERROR(VLOOKUP($A189,CategoryResults!$A$3:$X$252,3,FALSE),"")</f>
        <v/>
      </c>
      <c r="D189" s="149" t="str">
        <f>IFERROR(VLOOKUP($A189,EntryList!$A$3:$N$291,2,FALSE),"")</f>
        <v>Megan Van Der Helm</v>
      </c>
      <c r="E189" s="146" t="str">
        <f>IFERROR(VLOOKUP(C189,SeriesPoints!$A$2:$B$51,2,FALSE),"")</f>
        <v/>
      </c>
      <c r="F189" s="150" t="str">
        <f>IFERROR(VLOOKUP($A189,EntryList!$A$3:$V$291,22,FALSE),"")</f>
        <v>-</v>
      </c>
      <c r="G189" s="148" t="str">
        <f>IFERROR(VLOOKUP($A189,EntryList!$A$3:$N$291,6,FALSE),"")</f>
        <v>F</v>
      </c>
      <c r="H189" s="226" t="str">
        <f>IFERROR(VLOOKUP($A189,EntryList!$A$3:$N$291,7,FALSE),"")</f>
        <v>Lite F</v>
      </c>
      <c r="I189" s="220">
        <f t="shared" si="13"/>
        <v>6</v>
      </c>
      <c r="J189" s="58">
        <f>IFERROR(VLOOKUP($A189,SortedDownload!$A$3:$BB$219,31,FALSE)/86400000,"")</f>
        <v>0</v>
      </c>
      <c r="K189" s="58" t="str">
        <f>IFERROR(IF(VLOOKUP($A189,SortedDownload!$A$3:$BB$219,32,FALSE)=0,"-",VLOOKUP($A189,SortedDownload!$A$3:$BB$219,32,FALSE)/86400000),"-")</f>
        <v>-</v>
      </c>
      <c r="L189" s="58">
        <f>IFERROR(IF(VLOOKUP($A189,SortedDownload!$A$3:$BB$219,33,FALSE)=0,"-",VLOOKUP($A189,SortedDownload!$A$3:$BB$219,33,FALSE)/86400000),"-")</f>
        <v>0.43950453703703701</v>
      </c>
      <c r="M189" s="58">
        <f>IFERROR(IF(VLOOKUP($A189,SortedDownload!$A$3:$BB$219,34,FALSE)=0,"-",VLOOKUP($A189,SortedDownload!$A$3:$BB$219,34,FALSE)/86400000),"-")</f>
        <v>0.44274877314814814</v>
      </c>
      <c r="N189" s="58">
        <f>IFERROR(IF(VLOOKUP($A189,SortedDownload!$A$3:$BB$219,35,FALSE)=0,"-",VLOOKUP($A189,SortedDownload!$A$3:$BB$219,35,FALSE)/86400000),"-")</f>
        <v>0.38833248842592594</v>
      </c>
      <c r="O189" s="58">
        <f>IFERROR(IF(VLOOKUP($A189,SortedDownload!$A$3:$BB$219,36,FALSE)=0,"-",VLOOKUP($A189,SortedDownload!$A$3:$BB$219,36,FALSE)/86400000),"-")</f>
        <v>0.39017745370370371</v>
      </c>
      <c r="P189" s="58" t="str">
        <f>IFERROR(IF(VLOOKUP($A189,SortedDownload!$A$3:$BB$219,37,FALSE)=0,"-",VLOOKUP($A189,SortedDownload!$A$3:$BB$219,37,FALSE)/86400000),"-")</f>
        <v>-</v>
      </c>
      <c r="Q189" s="58" t="str">
        <f>IFERROR(IF(VLOOKUP($A189,SortedDownload!$A$3:$BB$219,38,FALSE)=0,"-",VLOOKUP($A189,SortedDownload!$A$3:$BB$219,38,FALSE)/86400000),"-")</f>
        <v>-</v>
      </c>
      <c r="R189" s="58">
        <f>IFERROR(IF(VLOOKUP($A189,SortedDownload!$A$3:$BB$219,39,FALSE)=0,"-",VLOOKUP($A189,SortedDownload!$A$3:$BB$219,39,FALSE)/86400000),"-")</f>
        <v>0.48251395833333333</v>
      </c>
      <c r="S189" s="58">
        <f>IFERROR(IF(VLOOKUP($A189,SortedDownload!$A$3:$BB$219,40,FALSE)=0,"-",VLOOKUP($A189,SortedDownload!$A$3:$BB$219,40,FALSE)/86400000),"-")</f>
        <v>0.48676956018518519</v>
      </c>
      <c r="T189" s="58" t="str">
        <f>IFERROR(IF(VLOOKUP($A189,SortedDownload!$A$3:$BB$219,41,FALSE)=0,"-",VLOOKUP($A189,SortedDownload!$A$3:$BB$219,41,FALSE)/86400000),"-")</f>
        <v>-</v>
      </c>
      <c r="U189" s="58" t="str">
        <f>IFERROR(IF(VLOOKUP($A189,SortedDownload!$A$3:$BB$219,42,FALSE)=0,"-",VLOOKUP($A189,SortedDownload!$A$3:$BB$219,42,FALSE)/86400000),"-")</f>
        <v>-</v>
      </c>
      <c r="V189" s="58" t="str">
        <f>IFERROR(IF(VLOOKUP($A189,SortedDownload!$A$3:$BB$219,43,FALSE)=0,"-",VLOOKUP($A189,SortedDownload!$A$3:$BB$219,43,FALSE)/86400000),"-")</f>
        <v>-</v>
      </c>
      <c r="W189" s="58" t="str">
        <f>IFERROR(IF(VLOOKUP($A189,SortedDownload!$A$3:$BB$219,44,FALSE)=0,"-",VLOOKUP($A189,SortedDownload!$A$3:$BB$219,44,FALSE)/86400000),"-")</f>
        <v>-</v>
      </c>
      <c r="X189" s="58" t="str">
        <f>IFERROR(IF(VLOOKUP($A189,SortedDownload!$A$3:$BB$219,45,FALSE)=0,"-",VLOOKUP($A189,SortedDownload!$A$3:$BB$219,45,FALSE)/86400000),"-")</f>
        <v>-</v>
      </c>
      <c r="Y189" s="58">
        <f>IFERROR(VLOOKUP($A189,SortedDownload!$A$3:$BB$219,46,FALSE)/86400000,"")</f>
        <v>0</v>
      </c>
      <c r="Z189" s="58">
        <f>IFERROR(Table932[[#This Row],[End Time]]-Table932[[#This Row],[Start Time]],"")</f>
        <v>0</v>
      </c>
      <c r="AA189" s="58"/>
      <c r="AB189" s="170">
        <f t="shared" si="18"/>
        <v>0</v>
      </c>
      <c r="AC189" s="170">
        <f t="shared" si="19"/>
        <v>0.40741215277777776</v>
      </c>
    </row>
    <row r="190" spans="1:29">
      <c r="A190" s="53">
        <f>IF(SortedDownload!A183 &lt; 1,"",SortedDownload!A183)</f>
        <v>34</v>
      </c>
      <c r="B190" s="146">
        <f t="shared" si="12"/>
        <v>185</v>
      </c>
      <c r="C190" s="146" t="str">
        <f>IFERROR(VLOOKUP($A190,CategoryResults!$A$3:$X$252,3,FALSE),"")</f>
        <v/>
      </c>
      <c r="D190" s="149" t="str">
        <f>IFERROR(VLOOKUP($A190,EntryList!$A$3:$N$291,2,FALSE),"")</f>
        <v>Luc Riley Rossouw</v>
      </c>
      <c r="E190" s="146" t="str">
        <f>IFERROR(VLOOKUP(C190,SeriesPoints!$A$2:$B$51,2,FALSE),"")</f>
        <v/>
      </c>
      <c r="F190" s="150" t="str">
        <f>IFERROR(VLOOKUP($A190,EntryList!$A$3:$V$291,22,FALSE),"")</f>
        <v>-</v>
      </c>
      <c r="G190" s="148" t="str">
        <f>IFERROR(VLOOKUP($A190,EntryList!$A$3:$N$291,6,FALSE),"")</f>
        <v>M</v>
      </c>
      <c r="H190" s="226" t="str">
        <f>IFERROR(VLOOKUP($A190,EntryList!$A$3:$N$291,7,FALSE),"")</f>
        <v>Sprog Boys</v>
      </c>
      <c r="I190" s="220">
        <f t="shared" si="13"/>
        <v>6</v>
      </c>
      <c r="J190" s="58">
        <f>IFERROR(VLOOKUP($A190,SortedDownload!$A$3:$BB$219,31,FALSE)/86400000,"")</f>
        <v>0</v>
      </c>
      <c r="K190" s="58" t="str">
        <f>IFERROR(IF(VLOOKUP($A190,SortedDownload!$A$3:$BB$219,32,FALSE)=0,"-",VLOOKUP($A190,SortedDownload!$A$3:$BB$219,32,FALSE)/86400000),"-")</f>
        <v>-</v>
      </c>
      <c r="L190" s="58">
        <f>IFERROR(IF(VLOOKUP($A190,SortedDownload!$A$3:$BB$219,33,FALSE)=0,"-",VLOOKUP($A190,SortedDownload!$A$3:$BB$219,33,FALSE)/86400000),"-")</f>
        <v>0.44197249999999999</v>
      </c>
      <c r="M190" s="58">
        <f>IFERROR(IF(VLOOKUP($A190,SortedDownload!$A$3:$BB$219,34,FALSE)=0,"-",VLOOKUP($A190,SortedDownload!$A$3:$BB$219,34,FALSE)/86400000),"-")</f>
        <v>0.44522125000000001</v>
      </c>
      <c r="N190" s="58">
        <f>IFERROR(IF(VLOOKUP($A190,SortedDownload!$A$3:$BB$219,35,FALSE)=0,"-",VLOOKUP($A190,SortedDownload!$A$3:$BB$219,35,FALSE)/86400000),"-")</f>
        <v>0.39255725694444443</v>
      </c>
      <c r="O190" s="58">
        <f>IFERROR(IF(VLOOKUP($A190,SortedDownload!$A$3:$BB$219,36,FALSE)=0,"-",VLOOKUP($A190,SortedDownload!$A$3:$BB$219,36,FALSE)/86400000),"-")</f>
        <v>0.39436429398148148</v>
      </c>
      <c r="P190" s="58" t="str">
        <f>IFERROR(IF(VLOOKUP($A190,SortedDownload!$A$3:$BB$219,37,FALSE)=0,"-",VLOOKUP($A190,SortedDownload!$A$3:$BB$219,37,FALSE)/86400000),"-")</f>
        <v>-</v>
      </c>
      <c r="Q190" s="58" t="str">
        <f>IFERROR(IF(VLOOKUP($A190,SortedDownload!$A$3:$BB$219,38,FALSE)=0,"-",VLOOKUP($A190,SortedDownload!$A$3:$BB$219,38,FALSE)/86400000),"-")</f>
        <v>-</v>
      </c>
      <c r="R190" s="58">
        <f>IFERROR(IF(VLOOKUP($A190,SortedDownload!$A$3:$BB$219,39,FALSE)=0,"-",VLOOKUP($A190,SortedDownload!$A$3:$BB$219,39,FALSE)/86400000),"-")</f>
        <v>0.49459208333333332</v>
      </c>
      <c r="S190" s="58">
        <f>IFERROR(IF(VLOOKUP($A190,SortedDownload!$A$3:$BB$219,40,FALSE)=0,"-",VLOOKUP($A190,SortedDownload!$A$3:$BB$219,40,FALSE)/86400000),"-")</f>
        <v>0.49889637731481479</v>
      </c>
      <c r="T190" s="58" t="str">
        <f>IFERROR(IF(VLOOKUP($A190,SortedDownload!$A$3:$BB$219,41,FALSE)=0,"-",VLOOKUP($A190,SortedDownload!$A$3:$BB$219,41,FALSE)/86400000),"-")</f>
        <v>-</v>
      </c>
      <c r="U190" s="58" t="str">
        <f>IFERROR(IF(VLOOKUP($A190,SortedDownload!$A$3:$BB$219,42,FALSE)=0,"-",VLOOKUP($A190,SortedDownload!$A$3:$BB$219,42,FALSE)/86400000),"-")</f>
        <v>-</v>
      </c>
      <c r="V190" s="58" t="str">
        <f>IFERROR(IF(VLOOKUP($A190,SortedDownload!$A$3:$BB$219,43,FALSE)=0,"-",VLOOKUP($A190,SortedDownload!$A$3:$BB$219,43,FALSE)/86400000),"-")</f>
        <v>-</v>
      </c>
      <c r="W190" s="58" t="str">
        <f>IFERROR(IF(VLOOKUP($A190,SortedDownload!$A$3:$BB$219,44,FALSE)=0,"-",VLOOKUP($A190,SortedDownload!$A$3:$BB$219,44,FALSE)/86400000),"-")</f>
        <v>-</v>
      </c>
      <c r="X190" s="58" t="str">
        <f>IFERROR(IF(VLOOKUP($A190,SortedDownload!$A$3:$BB$219,45,FALSE)=0,"-",VLOOKUP($A190,SortedDownload!$A$3:$BB$219,45,FALSE)/86400000),"-")</f>
        <v>-</v>
      </c>
      <c r="Y190" s="58">
        <f>IFERROR(VLOOKUP($A190,SortedDownload!$A$3:$BB$219,46,FALSE)/86400000,"")</f>
        <v>0</v>
      </c>
      <c r="Z190" s="58">
        <f>IFERROR(Table932[[#This Row],[End Time]]-Table932[[#This Row],[Start Time]],"")</f>
        <v>0</v>
      </c>
      <c r="AA190" s="58"/>
      <c r="AB190" s="170">
        <f t="shared" si="18"/>
        <v>0</v>
      </c>
      <c r="AC190" s="170">
        <f t="shared" si="19"/>
        <v>0.40741215277777776</v>
      </c>
    </row>
    <row r="191" spans="1:29">
      <c r="A191" s="53">
        <f>IF(SortedDownload!A184 &lt; 1,"",SortedDownload!A184)</f>
        <v>164</v>
      </c>
      <c r="B191" s="146">
        <f t="shared" si="12"/>
        <v>186</v>
      </c>
      <c r="C191" s="146" t="str">
        <f>IFERROR(VLOOKUP($A191,CategoryResults!$A$3:$X$252,3,FALSE),"")</f>
        <v/>
      </c>
      <c r="D191" s="149" t="str">
        <f>IFERROR(VLOOKUP($A191,EntryList!$A$3:$N$291,2,FALSE),"")</f>
        <v>Joffre Venter</v>
      </c>
      <c r="E191" s="146" t="str">
        <f>IFERROR(VLOOKUP(C191,SeriesPoints!$A$2:$B$51,2,FALSE),"")</f>
        <v/>
      </c>
      <c r="F191" s="150" t="str">
        <f>IFERROR(VLOOKUP($A191,EntryList!$A$3:$V$291,22,FALSE),"")</f>
        <v>-</v>
      </c>
      <c r="G191" s="148" t="str">
        <f>IFERROR(VLOOKUP($A191,EntryList!$A$3:$N$291,6,FALSE),"")</f>
        <v>M</v>
      </c>
      <c r="H191" s="226" t="str">
        <f>IFERROR(VLOOKUP($A191,EntryList!$A$3:$N$291,7,FALSE),"")</f>
        <v>Lite M</v>
      </c>
      <c r="I191" s="220">
        <f t="shared" si="13"/>
        <v>6</v>
      </c>
      <c r="J191" s="58">
        <f>IFERROR(VLOOKUP($A191,SortedDownload!$A$3:$BB$219,31,FALSE)/86400000,"")</f>
        <v>0</v>
      </c>
      <c r="K191" s="58" t="str">
        <f>IFERROR(IF(VLOOKUP($A191,SortedDownload!$A$3:$BB$219,32,FALSE)=0,"-",VLOOKUP($A191,SortedDownload!$A$3:$BB$219,32,FALSE)/86400000),"-")</f>
        <v>-</v>
      </c>
      <c r="L191" s="58">
        <f>IFERROR(IF(VLOOKUP($A191,SortedDownload!$A$3:$BB$219,33,FALSE)=0,"-",VLOOKUP($A191,SortedDownload!$A$3:$BB$219,33,FALSE)/86400000),"-")</f>
        <v>0.40142556712962962</v>
      </c>
      <c r="M191" s="58">
        <f>IFERROR(IF(VLOOKUP($A191,SortedDownload!$A$3:$BB$219,34,FALSE)=0,"-",VLOOKUP($A191,SortedDownload!$A$3:$BB$219,34,FALSE)/86400000),"-")</f>
        <v>0.40465241898148147</v>
      </c>
      <c r="N191" s="58">
        <f>IFERROR(IF(VLOOKUP($A191,SortedDownload!$A$3:$BB$219,35,FALSE)=0,"-",VLOOKUP($A191,SortedDownload!$A$3:$BB$219,35,FALSE)/86400000),"-")</f>
        <v>0.44143216435185184</v>
      </c>
      <c r="O191" s="58">
        <f>IFERROR(IF(VLOOKUP($A191,SortedDownload!$A$3:$BB$219,36,FALSE)=0,"-",VLOOKUP($A191,SortedDownload!$A$3:$BB$219,36,FALSE)/86400000),"-")</f>
        <v>0.44345730324074073</v>
      </c>
      <c r="P191" s="58" t="str">
        <f>IFERROR(IF(VLOOKUP($A191,SortedDownload!$A$3:$BB$219,37,FALSE)=0,"-",VLOOKUP($A191,SortedDownload!$A$3:$BB$219,37,FALSE)/86400000),"-")</f>
        <v>-</v>
      </c>
      <c r="Q191" s="58" t="str">
        <f>IFERROR(IF(VLOOKUP($A191,SortedDownload!$A$3:$BB$219,38,FALSE)=0,"-",VLOOKUP($A191,SortedDownload!$A$3:$BB$219,38,FALSE)/86400000),"-")</f>
        <v>-</v>
      </c>
      <c r="R191" s="58">
        <f>IFERROR(IF(VLOOKUP($A191,SortedDownload!$A$3:$BB$219,39,FALSE)=0,"-",VLOOKUP($A191,SortedDownload!$A$3:$BB$219,39,FALSE)/86400000),"-")</f>
        <v>0.49712175925925928</v>
      </c>
      <c r="S191" s="58">
        <f>IFERROR(IF(VLOOKUP($A191,SortedDownload!$A$3:$BB$219,40,FALSE)=0,"-",VLOOKUP($A191,SortedDownload!$A$3:$BB$219,40,FALSE)/86400000),"-")</f>
        <v>0.50128173611111115</v>
      </c>
      <c r="T191" s="58" t="str">
        <f>IFERROR(IF(VLOOKUP($A191,SortedDownload!$A$3:$BB$219,41,FALSE)=0,"-",VLOOKUP($A191,SortedDownload!$A$3:$BB$219,41,FALSE)/86400000),"-")</f>
        <v>-</v>
      </c>
      <c r="U191" s="58" t="str">
        <f>IFERROR(IF(VLOOKUP($A191,SortedDownload!$A$3:$BB$219,42,FALSE)=0,"-",VLOOKUP($A191,SortedDownload!$A$3:$BB$219,42,FALSE)/86400000),"-")</f>
        <v>-</v>
      </c>
      <c r="V191" s="58" t="str">
        <f>IFERROR(IF(VLOOKUP($A191,SortedDownload!$A$3:$BB$219,43,FALSE)=0,"-",VLOOKUP($A191,SortedDownload!$A$3:$BB$219,43,FALSE)/86400000),"-")</f>
        <v>-</v>
      </c>
      <c r="W191" s="58" t="str">
        <f>IFERROR(IF(VLOOKUP($A191,SortedDownload!$A$3:$BB$219,44,FALSE)=0,"-",VLOOKUP($A191,SortedDownload!$A$3:$BB$219,44,FALSE)/86400000),"-")</f>
        <v>-</v>
      </c>
      <c r="X191" s="58" t="str">
        <f>IFERROR(IF(VLOOKUP($A191,SortedDownload!$A$3:$BB$219,45,FALSE)=0,"-",VLOOKUP($A191,SortedDownload!$A$3:$BB$219,45,FALSE)/86400000),"-")</f>
        <v>-</v>
      </c>
      <c r="Y191" s="58">
        <f>IFERROR(VLOOKUP($A191,SortedDownload!$A$3:$BB$219,46,FALSE)/86400000,"")</f>
        <v>0</v>
      </c>
      <c r="Z191" s="58">
        <f>IFERROR(Table932[[#This Row],[End Time]]-Table932[[#This Row],[Start Time]],"")</f>
        <v>0</v>
      </c>
      <c r="AA191" s="58"/>
      <c r="AB191" s="170">
        <f t="shared" si="18"/>
        <v>0</v>
      </c>
      <c r="AC191" s="170">
        <f t="shared" si="19"/>
        <v>0.40741215277777776</v>
      </c>
    </row>
    <row r="192" spans="1:29">
      <c r="A192" s="53">
        <f>IF(SortedDownload!A185 &lt; 1,"",SortedDownload!A185)</f>
        <v>67</v>
      </c>
      <c r="B192" s="146">
        <f t="shared" si="12"/>
        <v>187</v>
      </c>
      <c r="C192" s="146" t="str">
        <f>IFERROR(VLOOKUP($A192,CategoryResults!$A$3:$X$252,3,FALSE),"")</f>
        <v/>
      </c>
      <c r="D192" s="149" t="str">
        <f>IFERROR(VLOOKUP($A192,EntryList!$A$3:$N$291,2,FALSE),"")</f>
        <v>Ebrahiem Van Der Schyff</v>
      </c>
      <c r="E192" s="146" t="str">
        <f>IFERROR(VLOOKUP(C192,SeriesPoints!$A$2:$B$51,2,FALSE),"")</f>
        <v/>
      </c>
      <c r="F192" s="150" t="str">
        <f>IFERROR(VLOOKUP($A192,EntryList!$A$3:$V$291,22,FALSE),"")</f>
        <v>-</v>
      </c>
      <c r="G192" s="148" t="str">
        <f>IFERROR(VLOOKUP($A192,EntryList!$A$3:$N$291,6,FALSE),"")</f>
        <v>M</v>
      </c>
      <c r="H192" s="226" t="str">
        <f>IFERROR(VLOOKUP($A192,EntryList!$A$3:$N$291,7,FALSE),"")</f>
        <v>Lite M</v>
      </c>
      <c r="I192" s="220">
        <f t="shared" si="13"/>
        <v>6</v>
      </c>
      <c r="J192" s="58">
        <f>IFERROR(VLOOKUP($A192,SortedDownload!$A$3:$BB$219,31,FALSE)/86400000,"")</f>
        <v>0</v>
      </c>
      <c r="K192" s="58" t="str">
        <f>IFERROR(IF(VLOOKUP($A192,SortedDownload!$A$3:$BB$219,32,FALSE)=0,"-",VLOOKUP($A192,SortedDownload!$A$3:$BB$219,32,FALSE)/86400000),"-")</f>
        <v>-</v>
      </c>
      <c r="L192" s="58">
        <f>IFERROR(IF(VLOOKUP($A192,SortedDownload!$A$3:$BB$219,33,FALSE)=0,"-",VLOOKUP($A192,SortedDownload!$A$3:$BB$219,33,FALSE)/86400000),"-")</f>
        <v>0.41143961805555557</v>
      </c>
      <c r="M192" s="58">
        <f>IFERROR(IF(VLOOKUP($A192,SortedDownload!$A$3:$BB$219,34,FALSE)=0,"-",VLOOKUP($A192,SortedDownload!$A$3:$BB$219,34,FALSE)/86400000),"-")</f>
        <v>0.41468788194444445</v>
      </c>
      <c r="N192" s="58">
        <f>IFERROR(IF(VLOOKUP($A192,SortedDownload!$A$3:$BB$219,35,FALSE)=0,"-",VLOOKUP($A192,SortedDownload!$A$3:$BB$219,35,FALSE)/86400000),"-")</f>
        <v>0.45803995370370371</v>
      </c>
      <c r="O192" s="58">
        <f>IFERROR(IF(VLOOKUP($A192,SortedDownload!$A$3:$BB$219,36,FALSE)=0,"-",VLOOKUP($A192,SortedDownload!$A$3:$BB$219,36,FALSE)/86400000),"-")</f>
        <v>0.46002164351851854</v>
      </c>
      <c r="P192" s="58" t="str">
        <f>IFERROR(IF(VLOOKUP($A192,SortedDownload!$A$3:$BB$219,37,FALSE)=0,"-",VLOOKUP($A192,SortedDownload!$A$3:$BB$219,37,FALSE)/86400000),"-")</f>
        <v>-</v>
      </c>
      <c r="Q192" s="58" t="str">
        <f>IFERROR(IF(VLOOKUP($A192,SortedDownload!$A$3:$BB$219,38,FALSE)=0,"-",VLOOKUP($A192,SortedDownload!$A$3:$BB$219,38,FALSE)/86400000),"-")</f>
        <v>-</v>
      </c>
      <c r="R192" s="58">
        <f>IFERROR(IF(VLOOKUP($A192,SortedDownload!$A$3:$BB$219,39,FALSE)=0,"-",VLOOKUP($A192,SortedDownload!$A$3:$BB$219,39,FALSE)/86400000),"-")</f>
        <v>0.50118682870370368</v>
      </c>
      <c r="S192" s="58">
        <f>IFERROR(IF(VLOOKUP($A192,SortedDownload!$A$3:$BB$219,40,FALSE)=0,"-",VLOOKUP($A192,SortedDownload!$A$3:$BB$219,40,FALSE)/86400000),"-")</f>
        <v>0.5054037384259259</v>
      </c>
      <c r="T192" s="58" t="str">
        <f>IFERROR(IF(VLOOKUP($A192,SortedDownload!$A$3:$BB$219,41,FALSE)=0,"-",VLOOKUP($A192,SortedDownload!$A$3:$BB$219,41,FALSE)/86400000),"-")</f>
        <v>-</v>
      </c>
      <c r="U192" s="58" t="str">
        <f>IFERROR(IF(VLOOKUP($A192,SortedDownload!$A$3:$BB$219,42,FALSE)=0,"-",VLOOKUP($A192,SortedDownload!$A$3:$BB$219,42,FALSE)/86400000),"-")</f>
        <v>-</v>
      </c>
      <c r="V192" s="58" t="str">
        <f>IFERROR(IF(VLOOKUP($A192,SortedDownload!$A$3:$BB$219,43,FALSE)=0,"-",VLOOKUP($A192,SortedDownload!$A$3:$BB$219,43,FALSE)/86400000),"-")</f>
        <v>-</v>
      </c>
      <c r="W192" s="58" t="str">
        <f>IFERROR(IF(VLOOKUP($A192,SortedDownload!$A$3:$BB$219,44,FALSE)=0,"-",VLOOKUP($A192,SortedDownload!$A$3:$BB$219,44,FALSE)/86400000),"-")</f>
        <v>-</v>
      </c>
      <c r="X192" s="58" t="str">
        <f>IFERROR(IF(VLOOKUP($A192,SortedDownload!$A$3:$BB$219,45,FALSE)=0,"-",VLOOKUP($A192,SortedDownload!$A$3:$BB$219,45,FALSE)/86400000),"-")</f>
        <v>-</v>
      </c>
      <c r="Y192" s="58">
        <f>IFERROR(VLOOKUP($A192,SortedDownload!$A$3:$BB$219,46,FALSE)/86400000,"")</f>
        <v>0</v>
      </c>
      <c r="Z192" s="58">
        <f>IFERROR(Table932[[#This Row],[End Time]]-Table932[[#This Row],[Start Time]],"")</f>
        <v>0</v>
      </c>
      <c r="AA192" s="58"/>
      <c r="AB192" s="170">
        <f t="shared" si="18"/>
        <v>0</v>
      </c>
      <c r="AC192" s="170">
        <f t="shared" si="19"/>
        <v>0.40741215277777776</v>
      </c>
    </row>
    <row r="193" spans="1:29">
      <c r="A193" s="53">
        <f>IF(SortedDownload!A186 &lt; 1,"",SortedDownload!A186)</f>
        <v>251</v>
      </c>
      <c r="B193" s="146">
        <f t="shared" si="12"/>
        <v>188</v>
      </c>
      <c r="C193" s="146" t="str">
        <f>IFERROR(VLOOKUP($A193,CategoryResults!$A$3:$X$252,3,FALSE),"")</f>
        <v/>
      </c>
      <c r="D193" s="149" t="str">
        <f>IFERROR(VLOOKUP($A193,EntryList!$A$3:$N$291,2,FALSE),"")</f>
        <v>Lineke Groenewald</v>
      </c>
      <c r="E193" s="146" t="str">
        <f>IFERROR(VLOOKUP(C193,SeriesPoints!$A$2:$B$51,2,FALSE),"")</f>
        <v/>
      </c>
      <c r="F193" s="150" t="str">
        <f>IFERROR(VLOOKUP($A193,EntryList!$A$3:$V$291,22,FALSE),"")</f>
        <v>-</v>
      </c>
      <c r="G193" s="148" t="str">
        <f>IFERROR(VLOOKUP($A193,EntryList!$A$3:$N$291,6,FALSE),"")</f>
        <v>F</v>
      </c>
      <c r="H193" s="226" t="str">
        <f>IFERROR(VLOOKUP($A193,EntryList!$A$3:$N$291,7,FALSE),"")</f>
        <v>Lite F</v>
      </c>
      <c r="I193" s="220">
        <f t="shared" si="13"/>
        <v>6</v>
      </c>
      <c r="J193" s="58">
        <f>IFERROR(VLOOKUP($A193,SortedDownload!$A$3:$BB$219,31,FALSE)/86400000,"")</f>
        <v>0</v>
      </c>
      <c r="K193" s="58" t="str">
        <f>IFERROR(IF(VLOOKUP($A193,SortedDownload!$A$3:$BB$219,32,FALSE)=0,"-",VLOOKUP($A193,SortedDownload!$A$3:$BB$219,32,FALSE)/86400000),"-")</f>
        <v>-</v>
      </c>
      <c r="L193" s="58">
        <f>IFERROR(IF(VLOOKUP($A193,SortedDownload!$A$3:$BB$219,33,FALSE)=0,"-",VLOOKUP($A193,SortedDownload!$A$3:$BB$219,33,FALSE)/86400000),"-")</f>
        <v>0.40372618055555554</v>
      </c>
      <c r="M193" s="58">
        <f>IFERROR(IF(VLOOKUP($A193,SortedDownload!$A$3:$BB$219,34,FALSE)=0,"-",VLOOKUP($A193,SortedDownload!$A$3:$BB$219,34,FALSE)/86400000),"-")</f>
        <v>0.40708512731481483</v>
      </c>
      <c r="N193" s="58">
        <f>IFERROR(IF(VLOOKUP($A193,SortedDownload!$A$3:$BB$219,35,FALSE)=0,"-",VLOOKUP($A193,SortedDownload!$A$3:$BB$219,35,FALSE)/86400000),"-")</f>
        <v>0.44074797453703701</v>
      </c>
      <c r="O193" s="58">
        <f>IFERROR(IF(VLOOKUP($A193,SortedDownload!$A$3:$BB$219,36,FALSE)=0,"-",VLOOKUP($A193,SortedDownload!$A$3:$BB$219,36,FALSE)/86400000),"-")</f>
        <v>0.44264013888888887</v>
      </c>
      <c r="P193" s="58" t="str">
        <f>IFERROR(IF(VLOOKUP($A193,SortedDownload!$A$3:$BB$219,37,FALSE)=0,"-",VLOOKUP($A193,SortedDownload!$A$3:$BB$219,37,FALSE)/86400000),"-")</f>
        <v>-</v>
      </c>
      <c r="Q193" s="58" t="str">
        <f>IFERROR(IF(VLOOKUP($A193,SortedDownload!$A$3:$BB$219,38,FALSE)=0,"-",VLOOKUP($A193,SortedDownload!$A$3:$BB$219,38,FALSE)/86400000),"-")</f>
        <v>-</v>
      </c>
      <c r="R193" s="58">
        <f>IFERROR(IF(VLOOKUP($A193,SortedDownload!$A$3:$BB$219,39,FALSE)=0,"-",VLOOKUP($A193,SortedDownload!$A$3:$BB$219,39,FALSE)/86400000),"-")</f>
        <v>0.48968766203703706</v>
      </c>
      <c r="S193" s="58">
        <f>IFERROR(IF(VLOOKUP($A193,SortedDownload!$A$3:$BB$219,40,FALSE)=0,"-",VLOOKUP($A193,SortedDownload!$A$3:$BB$219,40,FALSE)/86400000),"-")</f>
        <v>0.49392708333333335</v>
      </c>
      <c r="T193" s="58" t="str">
        <f>IFERROR(IF(VLOOKUP($A193,SortedDownload!$A$3:$BB$219,41,FALSE)=0,"-",VLOOKUP($A193,SortedDownload!$A$3:$BB$219,41,FALSE)/86400000),"-")</f>
        <v>-</v>
      </c>
      <c r="U193" s="58" t="str">
        <f>IFERROR(IF(VLOOKUP($A193,SortedDownload!$A$3:$BB$219,42,FALSE)=0,"-",VLOOKUP($A193,SortedDownload!$A$3:$BB$219,42,FALSE)/86400000),"-")</f>
        <v>-</v>
      </c>
      <c r="V193" s="58" t="str">
        <f>IFERROR(IF(VLOOKUP($A193,SortedDownload!$A$3:$BB$219,43,FALSE)=0,"-",VLOOKUP($A193,SortedDownload!$A$3:$BB$219,43,FALSE)/86400000),"-")</f>
        <v>-</v>
      </c>
      <c r="W193" s="58" t="str">
        <f>IFERROR(IF(VLOOKUP($A193,SortedDownload!$A$3:$BB$219,44,FALSE)=0,"-",VLOOKUP($A193,SortedDownload!$A$3:$BB$219,44,FALSE)/86400000),"-")</f>
        <v>-</v>
      </c>
      <c r="X193" s="58" t="str">
        <f>IFERROR(IF(VLOOKUP($A193,SortedDownload!$A$3:$BB$219,45,FALSE)=0,"-",VLOOKUP($A193,SortedDownload!$A$3:$BB$219,45,FALSE)/86400000),"-")</f>
        <v>-</v>
      </c>
      <c r="Y193" s="58">
        <f>IFERROR(VLOOKUP($A193,SortedDownload!$A$3:$BB$219,46,FALSE)/86400000,"")</f>
        <v>0</v>
      </c>
      <c r="Z193" s="58">
        <f>IFERROR(Table932[[#This Row],[End Time]]-Table932[[#This Row],[Start Time]],"")</f>
        <v>0</v>
      </c>
      <c r="AA193" s="58"/>
      <c r="AB193" s="170">
        <f t="shared" si="18"/>
        <v>0</v>
      </c>
      <c r="AC193" s="170">
        <f t="shared" si="19"/>
        <v>0.40741215277777776</v>
      </c>
    </row>
    <row r="194" spans="1:29">
      <c r="A194" s="53">
        <f>IF(SortedDownload!A187 &lt; 1,"",SortedDownload!A187)</f>
        <v>5</v>
      </c>
      <c r="B194" s="146">
        <f t="shared" si="12"/>
        <v>189</v>
      </c>
      <c r="C194" s="146" t="str">
        <f>IFERROR(VLOOKUP($A194,CategoryResults!$A$3:$X$252,3,FALSE),"")</f>
        <v/>
      </c>
      <c r="D194" s="149" t="str">
        <f>IFERROR(VLOOKUP($A194,EntryList!$A$3:$N$291,2,FALSE),"")</f>
        <v>Charl Du Plessis</v>
      </c>
      <c r="E194" s="146" t="str">
        <f>IFERROR(VLOOKUP(C194,SeriesPoints!$A$2:$B$51,2,FALSE),"")</f>
        <v/>
      </c>
      <c r="F194" s="150" t="str">
        <f>IFERROR(VLOOKUP($A194,EntryList!$A$3:$V$291,22,FALSE),"")</f>
        <v>-</v>
      </c>
      <c r="G194" s="148" t="str">
        <f>IFERROR(VLOOKUP($A194,EntryList!$A$3:$N$291,6,FALSE),"")</f>
        <v>M</v>
      </c>
      <c r="H194" s="226" t="str">
        <f>IFERROR(VLOOKUP($A194,EntryList!$A$3:$N$291,7,FALSE),"")</f>
        <v>E-Bike Lite M</v>
      </c>
      <c r="I194" s="220">
        <f t="shared" si="13"/>
        <v>6</v>
      </c>
      <c r="J194" s="58">
        <f>IFERROR(VLOOKUP($A194,SortedDownload!$A$3:$BB$219,31,FALSE)/86400000,"")</f>
        <v>0</v>
      </c>
      <c r="K194" s="58" t="str">
        <f>IFERROR(IF(VLOOKUP($A194,SortedDownload!$A$3:$BB$219,32,FALSE)=0,"-",VLOOKUP($A194,SortedDownload!$A$3:$BB$219,32,FALSE)/86400000),"-")</f>
        <v>-</v>
      </c>
      <c r="L194" s="58">
        <f>IFERROR(IF(VLOOKUP($A194,SortedDownload!$A$3:$BB$219,33,FALSE)=0,"-",VLOOKUP($A194,SortedDownload!$A$3:$BB$219,33,FALSE)/86400000),"-")</f>
        <v>0.38183193287037037</v>
      </c>
      <c r="M194" s="58">
        <f>IFERROR(IF(VLOOKUP($A194,SortedDownload!$A$3:$BB$219,34,FALSE)=0,"-",VLOOKUP($A194,SortedDownload!$A$3:$BB$219,34,FALSE)/86400000),"-")</f>
        <v>0.38504636574074075</v>
      </c>
      <c r="N194" s="58">
        <f>IFERROR(IF(VLOOKUP($A194,SortedDownload!$A$3:$BB$219,35,FALSE)=0,"-",VLOOKUP($A194,SortedDownload!$A$3:$BB$219,35,FALSE)/86400000),"-")</f>
        <v>0.4096444212962963</v>
      </c>
      <c r="O194" s="58">
        <f>IFERROR(IF(VLOOKUP($A194,SortedDownload!$A$3:$BB$219,36,FALSE)=0,"-",VLOOKUP($A194,SortedDownload!$A$3:$BB$219,36,FALSE)/86400000),"-")</f>
        <v>0.41159980324074075</v>
      </c>
      <c r="P194" s="58" t="str">
        <f>IFERROR(IF(VLOOKUP($A194,SortedDownload!$A$3:$BB$219,37,FALSE)=0,"-",VLOOKUP($A194,SortedDownload!$A$3:$BB$219,37,FALSE)/86400000),"-")</f>
        <v>-</v>
      </c>
      <c r="Q194" s="58" t="str">
        <f>IFERROR(IF(VLOOKUP($A194,SortedDownload!$A$3:$BB$219,38,FALSE)=0,"-",VLOOKUP($A194,SortedDownload!$A$3:$BB$219,38,FALSE)/86400000),"-")</f>
        <v>-</v>
      </c>
      <c r="R194" s="58">
        <f>IFERROR(IF(VLOOKUP($A194,SortedDownload!$A$3:$BB$219,39,FALSE)=0,"-",VLOOKUP($A194,SortedDownload!$A$3:$BB$219,39,FALSE)/86400000),"-")</f>
        <v>0.44405990740740742</v>
      </c>
      <c r="S194" s="58">
        <f>IFERROR(IF(VLOOKUP($A194,SortedDownload!$A$3:$BB$219,40,FALSE)=0,"-",VLOOKUP($A194,SortedDownload!$A$3:$BB$219,40,FALSE)/86400000),"-")</f>
        <v>0.44839905092592591</v>
      </c>
      <c r="T194" s="58" t="str">
        <f>IFERROR(IF(VLOOKUP($A194,SortedDownload!$A$3:$BB$219,41,FALSE)=0,"-",VLOOKUP($A194,SortedDownload!$A$3:$BB$219,41,FALSE)/86400000),"-")</f>
        <v>-</v>
      </c>
      <c r="U194" s="58" t="str">
        <f>IFERROR(IF(VLOOKUP($A194,SortedDownload!$A$3:$BB$219,42,FALSE)=0,"-",VLOOKUP($A194,SortedDownload!$A$3:$BB$219,42,FALSE)/86400000),"-")</f>
        <v>-</v>
      </c>
      <c r="V194" s="58" t="str">
        <f>IFERROR(IF(VLOOKUP($A194,SortedDownload!$A$3:$BB$219,43,FALSE)=0,"-",VLOOKUP($A194,SortedDownload!$A$3:$BB$219,43,FALSE)/86400000),"-")</f>
        <v>-</v>
      </c>
      <c r="W194" s="58" t="str">
        <f>IFERROR(IF(VLOOKUP($A194,SortedDownload!$A$3:$BB$219,44,FALSE)=0,"-",VLOOKUP($A194,SortedDownload!$A$3:$BB$219,44,FALSE)/86400000),"-")</f>
        <v>-</v>
      </c>
      <c r="X194" s="58" t="str">
        <f>IFERROR(IF(VLOOKUP($A194,SortedDownload!$A$3:$BB$219,45,FALSE)=0,"-",VLOOKUP($A194,SortedDownload!$A$3:$BB$219,45,FALSE)/86400000),"-")</f>
        <v>-</v>
      </c>
      <c r="Y194" s="58">
        <f>IFERROR(VLOOKUP($A194,SortedDownload!$A$3:$BB$219,46,FALSE)/86400000,"")</f>
        <v>0</v>
      </c>
      <c r="Z194" s="58">
        <f>IFERROR(Table932[[#This Row],[End Time]]-Table932[[#This Row],[Start Time]],"")</f>
        <v>0</v>
      </c>
      <c r="AA194" s="58"/>
      <c r="AB194" s="170">
        <f t="shared" si="18"/>
        <v>0</v>
      </c>
      <c r="AC194" s="170">
        <f t="shared" si="19"/>
        <v>0.40741215277777776</v>
      </c>
    </row>
    <row r="195" spans="1:29">
      <c r="A195" s="53">
        <f>IF(SortedDownload!A188 &lt; 1,"",SortedDownload!A188)</f>
        <v>194</v>
      </c>
      <c r="B195" s="146">
        <f t="shared" si="12"/>
        <v>190</v>
      </c>
      <c r="C195" s="146" t="str">
        <f>IFERROR(VLOOKUP($A195,CategoryResults!$A$3:$X$252,3,FALSE),"")</f>
        <v/>
      </c>
      <c r="D195" s="149" t="str">
        <f>IFERROR(VLOOKUP($A195,EntryList!$A$3:$N$291,2,FALSE),"")</f>
        <v>Hanru Van Heyningen</v>
      </c>
      <c r="E195" s="146" t="str">
        <f>IFERROR(VLOOKUP(C195,SeriesPoints!$A$2:$B$51,2,FALSE),"")</f>
        <v/>
      </c>
      <c r="F195" s="150" t="str">
        <f>IFERROR(VLOOKUP($A195,EntryList!$A$3:$V$291,22,FALSE),"")</f>
        <v>-</v>
      </c>
      <c r="G195" s="148" t="str">
        <f>IFERROR(VLOOKUP($A195,EntryList!$A$3:$N$291,6,FALSE),"")</f>
        <v>M</v>
      </c>
      <c r="H195" s="226" t="str">
        <f>IFERROR(VLOOKUP($A195,EntryList!$A$3:$N$291,7,FALSE),"")</f>
        <v>Sub Junior Boys</v>
      </c>
      <c r="I195" s="220">
        <f t="shared" si="13"/>
        <v>6</v>
      </c>
      <c r="J195" s="58">
        <f>IFERROR(VLOOKUP($A195,SortedDownload!$A$3:$BB$219,31,FALSE)/86400000,"")</f>
        <v>0</v>
      </c>
      <c r="K195" s="58" t="str">
        <f>IFERROR(IF(VLOOKUP($A195,SortedDownload!$A$3:$BB$219,32,FALSE)=0,"-",VLOOKUP($A195,SortedDownload!$A$3:$BB$219,32,FALSE)/86400000),"-")</f>
        <v>-</v>
      </c>
      <c r="L195" s="58">
        <f>IFERROR(IF(VLOOKUP($A195,SortedDownload!$A$3:$BB$219,33,FALSE)=0,"-",VLOOKUP($A195,SortedDownload!$A$3:$BB$219,33,FALSE)/86400000),"-")</f>
        <v>0.40816303240740742</v>
      </c>
      <c r="M195" s="58">
        <f>IFERROR(IF(VLOOKUP($A195,SortedDownload!$A$3:$BB$219,34,FALSE)=0,"-",VLOOKUP($A195,SortedDownload!$A$3:$BB$219,34,FALSE)/86400000),"-")</f>
        <v>0.41156609953703704</v>
      </c>
      <c r="N195" s="58">
        <f>IFERROR(IF(VLOOKUP($A195,SortedDownload!$A$3:$BB$219,35,FALSE)=0,"-",VLOOKUP($A195,SortedDownload!$A$3:$BB$219,35,FALSE)/86400000),"-")</f>
        <v>0.44953834490740741</v>
      </c>
      <c r="O195" s="58">
        <f>IFERROR(IF(VLOOKUP($A195,SortedDownload!$A$3:$BB$219,36,FALSE)=0,"-",VLOOKUP($A195,SortedDownload!$A$3:$BB$219,36,FALSE)/86400000),"-")</f>
        <v>0.45141354166666664</v>
      </c>
      <c r="P195" s="58" t="str">
        <f>IFERROR(IF(VLOOKUP($A195,SortedDownload!$A$3:$BB$219,37,FALSE)=0,"-",VLOOKUP($A195,SortedDownload!$A$3:$BB$219,37,FALSE)/86400000),"-")</f>
        <v>-</v>
      </c>
      <c r="Q195" s="58" t="str">
        <f>IFERROR(IF(VLOOKUP($A195,SortedDownload!$A$3:$BB$219,38,FALSE)=0,"-",VLOOKUP($A195,SortedDownload!$A$3:$BB$219,38,FALSE)/86400000),"-")</f>
        <v>-</v>
      </c>
      <c r="R195" s="58">
        <f>IFERROR(IF(VLOOKUP($A195,SortedDownload!$A$3:$BB$219,39,FALSE)=0,"-",VLOOKUP($A195,SortedDownload!$A$3:$BB$219,39,FALSE)/86400000),"-")</f>
        <v>0.49185365740740739</v>
      </c>
      <c r="S195" s="58">
        <f>IFERROR(IF(VLOOKUP($A195,SortedDownload!$A$3:$BB$219,40,FALSE)=0,"-",VLOOKUP($A195,SortedDownload!$A$3:$BB$219,40,FALSE)/86400000),"-")</f>
        <v>0.49614781250000001</v>
      </c>
      <c r="T195" s="58" t="str">
        <f>IFERROR(IF(VLOOKUP($A195,SortedDownload!$A$3:$BB$219,41,FALSE)=0,"-",VLOOKUP($A195,SortedDownload!$A$3:$BB$219,41,FALSE)/86400000),"-")</f>
        <v>-</v>
      </c>
      <c r="U195" s="58" t="str">
        <f>IFERROR(IF(VLOOKUP($A195,SortedDownload!$A$3:$BB$219,42,FALSE)=0,"-",VLOOKUP($A195,SortedDownload!$A$3:$BB$219,42,FALSE)/86400000),"-")</f>
        <v>-</v>
      </c>
      <c r="V195" s="58" t="str">
        <f>IFERROR(IF(VLOOKUP($A195,SortedDownload!$A$3:$BB$219,43,FALSE)=0,"-",VLOOKUP($A195,SortedDownload!$A$3:$BB$219,43,FALSE)/86400000),"-")</f>
        <v>-</v>
      </c>
      <c r="W195" s="58" t="str">
        <f>IFERROR(IF(VLOOKUP($A195,SortedDownload!$A$3:$BB$219,44,FALSE)=0,"-",VLOOKUP($A195,SortedDownload!$A$3:$BB$219,44,FALSE)/86400000),"-")</f>
        <v>-</v>
      </c>
      <c r="X195" s="58" t="str">
        <f>IFERROR(IF(VLOOKUP($A195,SortedDownload!$A$3:$BB$219,45,FALSE)=0,"-",VLOOKUP($A195,SortedDownload!$A$3:$BB$219,45,FALSE)/86400000),"-")</f>
        <v>-</v>
      </c>
      <c r="Y195" s="58">
        <f>IFERROR(VLOOKUP($A195,SortedDownload!$A$3:$BB$219,46,FALSE)/86400000,"")</f>
        <v>0</v>
      </c>
      <c r="Z195" s="58">
        <f>IFERROR(Table932[[#This Row],[End Time]]-Table932[[#This Row],[Start Time]],"")</f>
        <v>0</v>
      </c>
      <c r="AA195" s="58"/>
      <c r="AB195" s="170">
        <f t="shared" si="18"/>
        <v>0</v>
      </c>
      <c r="AC195" s="170">
        <f t="shared" si="19"/>
        <v>0.40741215277777776</v>
      </c>
    </row>
    <row r="196" spans="1:29">
      <c r="A196" s="53">
        <f>IF(SortedDownload!A189 &lt; 1,"",SortedDownload!A189)</f>
        <v>207</v>
      </c>
      <c r="B196" s="146">
        <f t="shared" si="12"/>
        <v>191</v>
      </c>
      <c r="C196" s="146" t="str">
        <f>IFERROR(VLOOKUP($A196,CategoryResults!$A$3:$X$252,3,FALSE),"")</f>
        <v/>
      </c>
      <c r="D196" s="149" t="str">
        <f>IFERROR(VLOOKUP($A196,EntryList!$A$3:$N$291,2,FALSE),"")</f>
        <v>Roxy Baynes</v>
      </c>
      <c r="E196" s="146" t="str">
        <f>IFERROR(VLOOKUP(C196,SeriesPoints!$A$2:$B$51,2,FALSE),"")</f>
        <v/>
      </c>
      <c r="F196" s="150" t="str">
        <f>IFERROR(VLOOKUP($A196,EntryList!$A$3:$V$291,22,FALSE),"")</f>
        <v>-</v>
      </c>
      <c r="G196" s="148" t="str">
        <f>IFERROR(VLOOKUP($A196,EntryList!$A$3:$N$291,6,FALSE),"")</f>
        <v>F</v>
      </c>
      <c r="H196" s="226" t="str">
        <f>IFERROR(VLOOKUP($A196,EntryList!$A$3:$N$291,7,FALSE),"")</f>
        <v>Master Women</v>
      </c>
      <c r="I196" s="220">
        <f t="shared" si="13"/>
        <v>6</v>
      </c>
      <c r="J196" s="58">
        <f>IFERROR(VLOOKUP($A196,SortedDownload!$A$3:$BB$219,31,FALSE)/86400000,"")</f>
        <v>0</v>
      </c>
      <c r="K196" s="58" t="str">
        <f>IFERROR(IF(VLOOKUP($A196,SortedDownload!$A$3:$BB$219,32,FALSE)=0,"-",VLOOKUP($A196,SortedDownload!$A$3:$BB$219,32,FALSE)/86400000),"-")</f>
        <v>-</v>
      </c>
      <c r="L196" s="58">
        <f>IFERROR(IF(VLOOKUP($A196,SortedDownload!$A$3:$BB$219,33,FALSE)=0,"-",VLOOKUP($A196,SortedDownload!$A$3:$BB$219,33,FALSE)/86400000),"-")</f>
        <v>0.43868377314814816</v>
      </c>
      <c r="M196" s="58">
        <f>IFERROR(IF(VLOOKUP($A196,SortedDownload!$A$3:$BB$219,34,FALSE)=0,"-",VLOOKUP($A196,SortedDownload!$A$3:$BB$219,34,FALSE)/86400000),"-")</f>
        <v>0.4418976273148148</v>
      </c>
      <c r="N196" s="58">
        <f>IFERROR(IF(VLOOKUP($A196,SortedDownload!$A$3:$BB$219,35,FALSE)=0,"-",VLOOKUP($A196,SortedDownload!$A$3:$BB$219,35,FALSE)/86400000),"-")</f>
        <v>0.3887718171296296</v>
      </c>
      <c r="O196" s="58">
        <f>IFERROR(IF(VLOOKUP($A196,SortedDownload!$A$3:$BB$219,36,FALSE)=0,"-",VLOOKUP($A196,SortedDownload!$A$3:$BB$219,36,FALSE)/86400000),"-")</f>
        <v>0.39062432870370373</v>
      </c>
      <c r="P196" s="58" t="str">
        <f>IFERROR(IF(VLOOKUP($A196,SortedDownload!$A$3:$BB$219,37,FALSE)=0,"-",VLOOKUP($A196,SortedDownload!$A$3:$BB$219,37,FALSE)/86400000),"-")</f>
        <v>-</v>
      </c>
      <c r="Q196" s="58" t="str">
        <f>IFERROR(IF(VLOOKUP($A196,SortedDownload!$A$3:$BB$219,38,FALSE)=0,"-",VLOOKUP($A196,SortedDownload!$A$3:$BB$219,38,FALSE)/86400000),"-")</f>
        <v>-</v>
      </c>
      <c r="R196" s="58">
        <f>IFERROR(IF(VLOOKUP($A196,SortedDownload!$A$3:$BB$219,39,FALSE)=0,"-",VLOOKUP($A196,SortedDownload!$A$3:$BB$219,39,FALSE)/86400000),"-")</f>
        <v>0.48208687500000003</v>
      </c>
      <c r="S196" s="58">
        <f>IFERROR(IF(VLOOKUP($A196,SortedDownload!$A$3:$BB$219,40,FALSE)=0,"-",VLOOKUP($A196,SortedDownload!$A$3:$BB$219,40,FALSE)/86400000),"-")</f>
        <v>0.48659392361111109</v>
      </c>
      <c r="T196" s="58" t="str">
        <f>IFERROR(IF(VLOOKUP($A196,SortedDownload!$A$3:$BB$219,41,FALSE)=0,"-",VLOOKUP($A196,SortedDownload!$A$3:$BB$219,41,FALSE)/86400000),"-")</f>
        <v>-</v>
      </c>
      <c r="U196" s="58" t="str">
        <f>IFERROR(IF(VLOOKUP($A196,SortedDownload!$A$3:$BB$219,42,FALSE)=0,"-",VLOOKUP($A196,SortedDownload!$A$3:$BB$219,42,FALSE)/86400000),"-")</f>
        <v>-</v>
      </c>
      <c r="V196" s="58" t="str">
        <f>IFERROR(IF(VLOOKUP($A196,SortedDownload!$A$3:$BB$219,43,FALSE)=0,"-",VLOOKUP($A196,SortedDownload!$A$3:$BB$219,43,FALSE)/86400000),"-")</f>
        <v>-</v>
      </c>
      <c r="W196" s="58" t="str">
        <f>IFERROR(IF(VLOOKUP($A196,SortedDownload!$A$3:$BB$219,44,FALSE)=0,"-",VLOOKUP($A196,SortedDownload!$A$3:$BB$219,44,FALSE)/86400000),"-")</f>
        <v>-</v>
      </c>
      <c r="X196" s="58" t="str">
        <f>IFERROR(IF(VLOOKUP($A196,SortedDownload!$A$3:$BB$219,45,FALSE)=0,"-",VLOOKUP($A196,SortedDownload!$A$3:$BB$219,45,FALSE)/86400000),"-")</f>
        <v>-</v>
      </c>
      <c r="Y196" s="58">
        <f>IFERROR(VLOOKUP($A196,SortedDownload!$A$3:$BB$219,46,FALSE)/86400000,"")</f>
        <v>0</v>
      </c>
      <c r="Z196" s="58">
        <f>IFERROR(Table932[[#This Row],[End Time]]-Table932[[#This Row],[Start Time]],"")</f>
        <v>0</v>
      </c>
      <c r="AA196" s="58"/>
      <c r="AB196" s="170">
        <f t="shared" si="18"/>
        <v>0</v>
      </c>
      <c r="AC196" s="170">
        <f t="shared" si="19"/>
        <v>0.40741215277777776</v>
      </c>
    </row>
    <row r="197" spans="1:29">
      <c r="A197" s="53">
        <f>IF(SortedDownload!A190 &lt; 1,"",SortedDownload!A190)</f>
        <v>268</v>
      </c>
      <c r="B197" s="146">
        <f t="shared" ref="B197:B259" si="20">IF(A197="","",ROW()-5)</f>
        <v>192</v>
      </c>
      <c r="C197" s="146" t="str">
        <f>IFERROR(VLOOKUP($A197,CategoryResults!$A$3:$X$252,3,FALSE),"")</f>
        <v/>
      </c>
      <c r="D197" s="149" t="str">
        <f>IFERROR(VLOOKUP($A197,EntryList!$A$3:$N$291,2,FALSE),"")</f>
        <v>Boetie Van Niekerk</v>
      </c>
      <c r="E197" s="146" t="str">
        <f>IFERROR(VLOOKUP(C197,SeriesPoints!$A$2:$B$51,2,FALSE),"")</f>
        <v/>
      </c>
      <c r="F197" s="150" t="str">
        <f>IFERROR(VLOOKUP($A197,EntryList!$A$3:$V$291,22,FALSE),"")</f>
        <v>-</v>
      </c>
      <c r="G197" s="148" t="str">
        <f>IFERROR(VLOOKUP($A197,EntryList!$A$3:$N$291,6,FALSE),"")</f>
        <v>M</v>
      </c>
      <c r="H197" s="226" t="str">
        <f>IFERROR(VLOOKUP($A197,EntryList!$A$3:$N$291,7,FALSE),"")</f>
        <v>Master Men</v>
      </c>
      <c r="I197" s="220">
        <f t="shared" ref="I197:I259" si="21">COUNTIF(K197:X197,"&lt;&gt;"&amp;"-")</f>
        <v>6</v>
      </c>
      <c r="J197" s="58">
        <f>IFERROR(VLOOKUP($A197,SortedDownload!$A$3:$BB$219,31,FALSE)/86400000,"")</f>
        <v>0</v>
      </c>
      <c r="K197" s="58" t="str">
        <f>IFERROR(IF(VLOOKUP($A197,SortedDownload!$A$3:$BB$219,32,FALSE)=0,"-",VLOOKUP($A197,SortedDownload!$A$3:$BB$219,32,FALSE)/86400000),"-")</f>
        <v>-</v>
      </c>
      <c r="L197" s="58">
        <f>IFERROR(IF(VLOOKUP($A197,SortedDownload!$A$3:$BB$219,33,FALSE)=0,"-",VLOOKUP($A197,SortedDownload!$A$3:$BB$219,33,FALSE)/86400000),"-")</f>
        <v>0.42049229166666668</v>
      </c>
      <c r="M197" s="58">
        <f>IFERROR(IF(VLOOKUP($A197,SortedDownload!$A$3:$BB$219,34,FALSE)=0,"-",VLOOKUP($A197,SortedDownload!$A$3:$BB$219,34,FALSE)/86400000),"-")</f>
        <v>0.42377883101851854</v>
      </c>
      <c r="N197" s="58">
        <f>IFERROR(IF(VLOOKUP($A197,SortedDownload!$A$3:$BB$219,35,FALSE)=0,"-",VLOOKUP($A197,SortedDownload!$A$3:$BB$219,35,FALSE)/86400000),"-")</f>
        <v>0.47367263888888889</v>
      </c>
      <c r="O197" s="58">
        <f>IFERROR(IF(VLOOKUP($A197,SortedDownload!$A$3:$BB$219,36,FALSE)=0,"-",VLOOKUP($A197,SortedDownload!$A$3:$BB$219,36,FALSE)/86400000),"-")</f>
        <v>0.4755935185185185</v>
      </c>
      <c r="P197" s="58" t="str">
        <f>IFERROR(IF(VLOOKUP($A197,SortedDownload!$A$3:$BB$219,37,FALSE)=0,"-",VLOOKUP($A197,SortedDownload!$A$3:$BB$219,37,FALSE)/86400000),"-")</f>
        <v>-</v>
      </c>
      <c r="Q197" s="58" t="str">
        <f>IFERROR(IF(VLOOKUP($A197,SortedDownload!$A$3:$BB$219,38,FALSE)=0,"-",VLOOKUP($A197,SortedDownload!$A$3:$BB$219,38,FALSE)/86400000),"-")</f>
        <v>-</v>
      </c>
      <c r="R197" s="58">
        <f>IFERROR(IF(VLOOKUP($A197,SortedDownload!$A$3:$BB$219,39,FALSE)=0,"-",VLOOKUP($A197,SortedDownload!$A$3:$BB$219,39,FALSE)/86400000),"-")</f>
        <v>0.52174511574074078</v>
      </c>
      <c r="S197" s="58">
        <f>IFERROR(IF(VLOOKUP($A197,SortedDownload!$A$3:$BB$219,40,FALSE)=0,"-",VLOOKUP($A197,SortedDownload!$A$3:$BB$219,40,FALSE)/86400000),"-")</f>
        <v>0.52616637731481486</v>
      </c>
      <c r="T197" s="58" t="str">
        <f>IFERROR(IF(VLOOKUP($A197,SortedDownload!$A$3:$BB$219,41,FALSE)=0,"-",VLOOKUP($A197,SortedDownload!$A$3:$BB$219,41,FALSE)/86400000),"-")</f>
        <v>-</v>
      </c>
      <c r="U197" s="58" t="str">
        <f>IFERROR(IF(VLOOKUP($A197,SortedDownload!$A$3:$BB$219,42,FALSE)=0,"-",VLOOKUP($A197,SortedDownload!$A$3:$BB$219,42,FALSE)/86400000),"-")</f>
        <v>-</v>
      </c>
      <c r="V197" s="58" t="str">
        <f>IFERROR(IF(VLOOKUP($A197,SortedDownload!$A$3:$BB$219,43,FALSE)=0,"-",VLOOKUP($A197,SortedDownload!$A$3:$BB$219,43,FALSE)/86400000),"-")</f>
        <v>-</v>
      </c>
      <c r="W197" s="58" t="str">
        <f>IFERROR(IF(VLOOKUP($A197,SortedDownload!$A$3:$BB$219,44,FALSE)=0,"-",VLOOKUP($A197,SortedDownload!$A$3:$BB$219,44,FALSE)/86400000),"-")</f>
        <v>-</v>
      </c>
      <c r="X197" s="58" t="str">
        <f>IFERROR(IF(VLOOKUP($A197,SortedDownload!$A$3:$BB$219,45,FALSE)=0,"-",VLOOKUP($A197,SortedDownload!$A$3:$BB$219,45,FALSE)/86400000),"-")</f>
        <v>-</v>
      </c>
      <c r="Y197" s="58">
        <f>IFERROR(VLOOKUP($A197,SortedDownload!$A$3:$BB$219,46,FALSE)/86400000,"")</f>
        <v>0</v>
      </c>
      <c r="Z197" s="58">
        <f>IFERROR(Table932[[#This Row],[End Time]]-Table932[[#This Row],[Start Time]],"")</f>
        <v>0</v>
      </c>
      <c r="AA197" s="58"/>
      <c r="AB197" s="170">
        <f t="shared" si="18"/>
        <v>0</v>
      </c>
      <c r="AC197" s="170">
        <f t="shared" si="19"/>
        <v>0.40741215277777776</v>
      </c>
    </row>
    <row r="198" spans="1:29">
      <c r="A198" s="53">
        <f>IF(SortedDownload!A191 &lt; 1,"",SortedDownload!A191)</f>
        <v>254</v>
      </c>
      <c r="B198" s="146">
        <f t="shared" si="20"/>
        <v>193</v>
      </c>
      <c r="C198" s="146" t="str">
        <f>IFERROR(VLOOKUP($A198,CategoryResults!$A$3:$X$252,3,FALSE),"")</f>
        <v/>
      </c>
      <c r="D198" s="149" t="str">
        <f>IFERROR(VLOOKUP($A198,EntryList!$A$3:$N$291,2,FALSE),"")</f>
        <v>Andrew Hunter</v>
      </c>
      <c r="E198" s="146" t="str">
        <f>IFERROR(VLOOKUP(C198,SeriesPoints!$A$2:$B$51,2,FALSE),"")</f>
        <v/>
      </c>
      <c r="F198" s="150" t="str">
        <f>IFERROR(VLOOKUP($A198,EntryList!$A$3:$V$291,22,FALSE),"")</f>
        <v>-</v>
      </c>
      <c r="G198" s="148" t="str">
        <f>IFERROR(VLOOKUP($A198,EntryList!$A$3:$N$291,6,FALSE),"")</f>
        <v>M</v>
      </c>
      <c r="H198" s="226" t="str">
        <f>IFERROR(VLOOKUP($A198,EntryList!$A$3:$N$291,7,FALSE),"")</f>
        <v>Lite M</v>
      </c>
      <c r="I198" s="220">
        <f t="shared" si="21"/>
        <v>6</v>
      </c>
      <c r="J198" s="58">
        <f>IFERROR(VLOOKUP($A198,SortedDownload!$A$3:$BB$219,31,FALSE)/86400000,"")</f>
        <v>0</v>
      </c>
      <c r="K198" s="58" t="str">
        <f>IFERROR(IF(VLOOKUP($A198,SortedDownload!$A$3:$BB$219,32,FALSE)=0,"-",VLOOKUP($A198,SortedDownload!$A$3:$BB$219,32,FALSE)/86400000),"-")</f>
        <v>-</v>
      </c>
      <c r="L198" s="58">
        <f>IFERROR(IF(VLOOKUP($A198,SortedDownload!$A$3:$BB$219,33,FALSE)=0,"-",VLOOKUP($A198,SortedDownload!$A$3:$BB$219,33,FALSE)/86400000),"-")</f>
        <v>0.39711241898148147</v>
      </c>
      <c r="M198" s="58">
        <f>IFERROR(IF(VLOOKUP($A198,SortedDownload!$A$3:$BB$219,34,FALSE)=0,"-",VLOOKUP($A198,SortedDownload!$A$3:$BB$219,34,FALSE)/86400000),"-")</f>
        <v>0.40045728009259257</v>
      </c>
      <c r="N198" s="58">
        <f>IFERROR(IF(VLOOKUP($A198,SortedDownload!$A$3:$BB$219,35,FALSE)=0,"-",VLOOKUP($A198,SortedDownload!$A$3:$BB$219,35,FALSE)/86400000),"-")</f>
        <v>0.43140731481481481</v>
      </c>
      <c r="O198" s="58">
        <f>IFERROR(IF(VLOOKUP($A198,SortedDownload!$A$3:$BB$219,36,FALSE)=0,"-",VLOOKUP($A198,SortedDownload!$A$3:$BB$219,36,FALSE)/86400000),"-")</f>
        <v>0.43338922453703704</v>
      </c>
      <c r="P198" s="58" t="str">
        <f>IFERROR(IF(VLOOKUP($A198,SortedDownload!$A$3:$BB$219,37,FALSE)=0,"-",VLOOKUP($A198,SortedDownload!$A$3:$BB$219,37,FALSE)/86400000),"-")</f>
        <v>-</v>
      </c>
      <c r="Q198" s="58" t="str">
        <f>IFERROR(IF(VLOOKUP($A198,SortedDownload!$A$3:$BB$219,38,FALSE)=0,"-",VLOOKUP($A198,SortedDownload!$A$3:$BB$219,38,FALSE)/86400000),"-")</f>
        <v>-</v>
      </c>
      <c r="R198" s="58">
        <f>IFERROR(IF(VLOOKUP($A198,SortedDownload!$A$3:$BB$219,39,FALSE)=0,"-",VLOOKUP($A198,SortedDownload!$A$3:$BB$219,39,FALSE)/86400000),"-")</f>
        <v>0.46283715277777776</v>
      </c>
      <c r="S198" s="58">
        <f>IFERROR(IF(VLOOKUP($A198,SortedDownload!$A$3:$BB$219,40,FALSE)=0,"-",VLOOKUP($A198,SortedDownload!$A$3:$BB$219,40,FALSE)/86400000),"-")</f>
        <v>0.46716657407407408</v>
      </c>
      <c r="T198" s="58" t="str">
        <f>IFERROR(IF(VLOOKUP($A198,SortedDownload!$A$3:$BB$219,41,FALSE)=0,"-",VLOOKUP($A198,SortedDownload!$A$3:$BB$219,41,FALSE)/86400000),"-")</f>
        <v>-</v>
      </c>
      <c r="U198" s="58" t="str">
        <f>IFERROR(IF(VLOOKUP($A198,SortedDownload!$A$3:$BB$219,42,FALSE)=0,"-",VLOOKUP($A198,SortedDownload!$A$3:$BB$219,42,FALSE)/86400000),"-")</f>
        <v>-</v>
      </c>
      <c r="V198" s="58" t="str">
        <f>IFERROR(IF(VLOOKUP($A198,SortedDownload!$A$3:$BB$219,43,FALSE)=0,"-",VLOOKUP($A198,SortedDownload!$A$3:$BB$219,43,FALSE)/86400000),"-")</f>
        <v>-</v>
      </c>
      <c r="W198" s="58" t="str">
        <f>IFERROR(IF(VLOOKUP($A198,SortedDownload!$A$3:$BB$219,44,FALSE)=0,"-",VLOOKUP($A198,SortedDownload!$A$3:$BB$219,44,FALSE)/86400000),"-")</f>
        <v>-</v>
      </c>
      <c r="X198" s="58" t="str">
        <f>IFERROR(IF(VLOOKUP($A198,SortedDownload!$A$3:$BB$219,45,FALSE)=0,"-",VLOOKUP($A198,SortedDownload!$A$3:$BB$219,45,FALSE)/86400000),"-")</f>
        <v>-</v>
      </c>
      <c r="Y198" s="58">
        <f>IFERROR(VLOOKUP($A198,SortedDownload!$A$3:$BB$219,46,FALSE)/86400000,"")</f>
        <v>0</v>
      </c>
      <c r="Z198" s="58">
        <f>IFERROR(Table932[[#This Row],[End Time]]-Table932[[#This Row],[Start Time]],"")</f>
        <v>0</v>
      </c>
      <c r="AA198" s="58"/>
      <c r="AB198" s="170">
        <f t="shared" si="18"/>
        <v>0</v>
      </c>
      <c r="AC198" s="170">
        <f t="shared" si="19"/>
        <v>0.40741215277777776</v>
      </c>
    </row>
    <row r="199" spans="1:29">
      <c r="A199" s="53">
        <f>IF(SortedDownload!A192 &lt; 1,"",SortedDownload!A192)</f>
        <v>38</v>
      </c>
      <c r="B199" s="146">
        <f t="shared" si="20"/>
        <v>194</v>
      </c>
      <c r="C199" s="146" t="str">
        <f>IFERROR(VLOOKUP($A199,CategoryResults!$A$3:$X$252,3,FALSE),"")</f>
        <v/>
      </c>
      <c r="D199" s="149" t="str">
        <f>IFERROR(VLOOKUP($A199,EntryList!$A$3:$N$291,2,FALSE),"")</f>
        <v>James Marais</v>
      </c>
      <c r="E199" s="146" t="str">
        <f>IFERROR(VLOOKUP(C199,SeriesPoints!$A$2:$B$51,2,FALSE),"")</f>
        <v/>
      </c>
      <c r="F199" s="150" t="str">
        <f>IFERROR(VLOOKUP($A199,EntryList!$A$3:$V$291,22,FALSE),"")</f>
        <v>-</v>
      </c>
      <c r="G199" s="148" t="str">
        <f>IFERROR(VLOOKUP($A199,EntryList!$A$3:$N$291,6,FALSE),"")</f>
        <v>M</v>
      </c>
      <c r="H199" s="226" t="str">
        <f>IFERROR(VLOOKUP($A199,EntryList!$A$3:$N$291,7,FALSE),"")</f>
        <v>Nipper Boys</v>
      </c>
      <c r="I199" s="220">
        <f t="shared" si="21"/>
        <v>6</v>
      </c>
      <c r="J199" s="58">
        <f>IFERROR(VLOOKUP($A199,SortedDownload!$A$3:$BB$219,31,FALSE)/86400000,"")</f>
        <v>0</v>
      </c>
      <c r="K199" s="58" t="str">
        <f>IFERROR(IF(VLOOKUP($A199,SortedDownload!$A$3:$BB$219,32,FALSE)=0,"-",VLOOKUP($A199,SortedDownload!$A$3:$BB$219,32,FALSE)/86400000),"-")</f>
        <v>-</v>
      </c>
      <c r="L199" s="58">
        <f>IFERROR(IF(VLOOKUP($A199,SortedDownload!$A$3:$BB$219,33,FALSE)=0,"-",VLOOKUP($A199,SortedDownload!$A$3:$BB$219,33,FALSE)/86400000),"-")</f>
        <v>0.42083387731481481</v>
      </c>
      <c r="M199" s="58">
        <f>IFERROR(IF(VLOOKUP($A199,SortedDownload!$A$3:$BB$219,34,FALSE)=0,"-",VLOOKUP($A199,SortedDownload!$A$3:$BB$219,34,FALSE)/86400000),"-")</f>
        <v>0.42403863425925925</v>
      </c>
      <c r="N199" s="58">
        <f>IFERROR(IF(VLOOKUP($A199,SortedDownload!$A$3:$BB$219,35,FALSE)=0,"-",VLOOKUP($A199,SortedDownload!$A$3:$BB$219,35,FALSE)/86400000),"-")</f>
        <v>0.47604333333333332</v>
      </c>
      <c r="O199" s="58">
        <f>IFERROR(IF(VLOOKUP($A199,SortedDownload!$A$3:$BB$219,36,FALSE)=0,"-",VLOOKUP($A199,SortedDownload!$A$3:$BB$219,36,FALSE)/86400000),"-")</f>
        <v>0.47807696759259261</v>
      </c>
      <c r="P199" s="58" t="str">
        <f>IFERROR(IF(VLOOKUP($A199,SortedDownload!$A$3:$BB$219,37,FALSE)=0,"-",VLOOKUP($A199,SortedDownload!$A$3:$BB$219,37,FALSE)/86400000),"-")</f>
        <v>-</v>
      </c>
      <c r="Q199" s="58" t="str">
        <f>IFERROR(IF(VLOOKUP($A199,SortedDownload!$A$3:$BB$219,38,FALSE)=0,"-",VLOOKUP($A199,SortedDownload!$A$3:$BB$219,38,FALSE)/86400000),"-")</f>
        <v>-</v>
      </c>
      <c r="R199" s="58">
        <f>IFERROR(IF(VLOOKUP($A199,SortedDownload!$A$3:$BB$219,39,FALSE)=0,"-",VLOOKUP($A199,SortedDownload!$A$3:$BB$219,39,FALSE)/86400000),"-")</f>
        <v>0.52228333333333332</v>
      </c>
      <c r="S199" s="58">
        <f>IFERROR(IF(VLOOKUP($A199,SortedDownload!$A$3:$BB$219,40,FALSE)=0,"-",VLOOKUP($A199,SortedDownload!$A$3:$BB$219,40,FALSE)/86400000),"-")</f>
        <v>0.52670921296296291</v>
      </c>
      <c r="T199" s="58" t="str">
        <f>IFERROR(IF(VLOOKUP($A199,SortedDownload!$A$3:$BB$219,41,FALSE)=0,"-",VLOOKUP($A199,SortedDownload!$A$3:$BB$219,41,FALSE)/86400000),"-")</f>
        <v>-</v>
      </c>
      <c r="U199" s="58" t="str">
        <f>IFERROR(IF(VLOOKUP($A199,SortedDownload!$A$3:$BB$219,42,FALSE)=0,"-",VLOOKUP($A199,SortedDownload!$A$3:$BB$219,42,FALSE)/86400000),"-")</f>
        <v>-</v>
      </c>
      <c r="V199" s="58" t="str">
        <f>IFERROR(IF(VLOOKUP($A199,SortedDownload!$A$3:$BB$219,43,FALSE)=0,"-",VLOOKUP($A199,SortedDownload!$A$3:$BB$219,43,FALSE)/86400000),"-")</f>
        <v>-</v>
      </c>
      <c r="W199" s="58" t="str">
        <f>IFERROR(IF(VLOOKUP($A199,SortedDownload!$A$3:$BB$219,44,FALSE)=0,"-",VLOOKUP($A199,SortedDownload!$A$3:$BB$219,44,FALSE)/86400000),"-")</f>
        <v>-</v>
      </c>
      <c r="X199" s="58" t="str">
        <f>IFERROR(IF(VLOOKUP($A199,SortedDownload!$A$3:$BB$219,45,FALSE)=0,"-",VLOOKUP($A199,SortedDownload!$A$3:$BB$219,45,FALSE)/86400000),"-")</f>
        <v>-</v>
      </c>
      <c r="Y199" s="58">
        <f>IFERROR(VLOOKUP($A199,SortedDownload!$A$3:$BB$219,46,FALSE)/86400000,"")</f>
        <v>0</v>
      </c>
      <c r="Z199" s="58">
        <f>IFERROR(Table932[[#This Row],[End Time]]-Table932[[#This Row],[Start Time]],"")</f>
        <v>0</v>
      </c>
      <c r="AA199" s="58"/>
      <c r="AB199" s="170">
        <f t="shared" si="18"/>
        <v>0</v>
      </c>
      <c r="AC199" s="170">
        <f t="shared" si="19"/>
        <v>0.40741215277777776</v>
      </c>
    </row>
    <row r="200" spans="1:29">
      <c r="A200" s="53">
        <f>IF(SortedDownload!A193 &lt; 1,"",SortedDownload!A193)</f>
        <v>71</v>
      </c>
      <c r="B200" s="146">
        <f t="shared" si="20"/>
        <v>195</v>
      </c>
      <c r="C200" s="146" t="str">
        <f>IFERROR(VLOOKUP($A200,CategoryResults!$A$3:$X$252,3,FALSE),"")</f>
        <v/>
      </c>
      <c r="D200" s="149" t="str">
        <f>IFERROR(VLOOKUP($A200,EntryList!$A$3:$N$291,2,FALSE),"")</f>
        <v>Marc Dawson</v>
      </c>
      <c r="E200" s="146" t="str">
        <f>IFERROR(VLOOKUP(C200,SeriesPoints!$A$2:$B$51,2,FALSE),"")</f>
        <v/>
      </c>
      <c r="F200" s="150" t="str">
        <f>IFERROR(VLOOKUP($A200,EntryList!$A$3:$V$291,22,FALSE),"")</f>
        <v>-</v>
      </c>
      <c r="G200" s="148" t="str">
        <f>IFERROR(VLOOKUP($A200,EntryList!$A$3:$N$291,6,FALSE),"")</f>
        <v>M</v>
      </c>
      <c r="H200" s="226" t="str">
        <f>IFERROR(VLOOKUP($A200,EntryList!$A$3:$N$291,7,FALSE),"")</f>
        <v>Lite M</v>
      </c>
      <c r="I200" s="220">
        <f t="shared" si="21"/>
        <v>6</v>
      </c>
      <c r="J200" s="58">
        <f>IFERROR(VLOOKUP($A200,SortedDownload!$A$3:$BB$219,31,FALSE)/86400000,"")</f>
        <v>0</v>
      </c>
      <c r="K200" s="58" t="str">
        <f>IFERROR(IF(VLOOKUP($A200,SortedDownload!$A$3:$BB$219,32,FALSE)=0,"-",VLOOKUP($A200,SortedDownload!$A$3:$BB$219,32,FALSE)/86400000),"-")</f>
        <v>-</v>
      </c>
      <c r="L200" s="58">
        <f>IFERROR(IF(VLOOKUP($A200,SortedDownload!$A$3:$BB$219,33,FALSE)=0,"-",VLOOKUP($A200,SortedDownload!$A$3:$BB$219,33,FALSE)/86400000),"-")</f>
        <v>0.44251526620370368</v>
      </c>
      <c r="M200" s="58">
        <f>IFERROR(IF(VLOOKUP($A200,SortedDownload!$A$3:$BB$219,34,FALSE)=0,"-",VLOOKUP($A200,SortedDownload!$A$3:$BB$219,34,FALSE)/86400000),"-")</f>
        <v>0.44580709490740739</v>
      </c>
      <c r="N200" s="58">
        <f>IFERROR(IF(VLOOKUP($A200,SortedDownload!$A$3:$BB$219,35,FALSE)=0,"-",VLOOKUP($A200,SortedDownload!$A$3:$BB$219,35,FALSE)/86400000),"-")</f>
        <v>0.39356521990740739</v>
      </c>
      <c r="O200" s="58">
        <f>IFERROR(IF(VLOOKUP($A200,SortedDownload!$A$3:$BB$219,36,FALSE)=0,"-",VLOOKUP($A200,SortedDownload!$A$3:$BB$219,36,FALSE)/86400000),"-")</f>
        <v>0.39561423611111113</v>
      </c>
      <c r="P200" s="58" t="str">
        <f>IFERROR(IF(VLOOKUP($A200,SortedDownload!$A$3:$BB$219,37,FALSE)=0,"-",VLOOKUP($A200,SortedDownload!$A$3:$BB$219,37,FALSE)/86400000),"-")</f>
        <v>-</v>
      </c>
      <c r="Q200" s="58" t="str">
        <f>IFERROR(IF(VLOOKUP($A200,SortedDownload!$A$3:$BB$219,38,FALSE)=0,"-",VLOOKUP($A200,SortedDownload!$A$3:$BB$219,38,FALSE)/86400000),"-")</f>
        <v>-</v>
      </c>
      <c r="R200" s="58">
        <f>IFERROR(IF(VLOOKUP($A200,SortedDownload!$A$3:$BB$219,39,FALSE)=0,"-",VLOOKUP($A200,SortedDownload!$A$3:$BB$219,39,FALSE)/86400000),"-")</f>
        <v>0.49881851851851849</v>
      </c>
      <c r="S200" s="58">
        <f>IFERROR(IF(VLOOKUP($A200,SortedDownload!$A$3:$BB$219,40,FALSE)=0,"-",VLOOKUP($A200,SortedDownload!$A$3:$BB$219,40,FALSE)/86400000),"-")</f>
        <v>0.50319148148148152</v>
      </c>
      <c r="T200" s="58" t="str">
        <f>IFERROR(IF(VLOOKUP($A200,SortedDownload!$A$3:$BB$219,41,FALSE)=0,"-",VLOOKUP($A200,SortedDownload!$A$3:$BB$219,41,FALSE)/86400000),"-")</f>
        <v>-</v>
      </c>
      <c r="U200" s="58" t="str">
        <f>IFERROR(IF(VLOOKUP($A200,SortedDownload!$A$3:$BB$219,42,FALSE)=0,"-",VLOOKUP($A200,SortedDownload!$A$3:$BB$219,42,FALSE)/86400000),"-")</f>
        <v>-</v>
      </c>
      <c r="V200" s="58" t="str">
        <f>IFERROR(IF(VLOOKUP($A200,SortedDownload!$A$3:$BB$219,43,FALSE)=0,"-",VLOOKUP($A200,SortedDownload!$A$3:$BB$219,43,FALSE)/86400000),"-")</f>
        <v>-</v>
      </c>
      <c r="W200" s="58" t="str">
        <f>IFERROR(IF(VLOOKUP($A200,SortedDownload!$A$3:$BB$219,44,FALSE)=0,"-",VLOOKUP($A200,SortedDownload!$A$3:$BB$219,44,FALSE)/86400000),"-")</f>
        <v>-</v>
      </c>
      <c r="X200" s="58" t="str">
        <f>IFERROR(IF(VLOOKUP($A200,SortedDownload!$A$3:$BB$219,45,FALSE)=0,"-",VLOOKUP($A200,SortedDownload!$A$3:$BB$219,45,FALSE)/86400000),"-")</f>
        <v>-</v>
      </c>
      <c r="Y200" s="58">
        <f>IFERROR(VLOOKUP($A200,SortedDownload!$A$3:$BB$219,46,FALSE)/86400000,"")</f>
        <v>0</v>
      </c>
      <c r="Z200" s="58">
        <f>IFERROR(Table932[[#This Row],[End Time]]-Table932[[#This Row],[Start Time]],"")</f>
        <v>0</v>
      </c>
      <c r="AA200" s="58"/>
      <c r="AB200" s="170">
        <f t="shared" si="18"/>
        <v>0</v>
      </c>
      <c r="AC200" s="170">
        <f t="shared" si="19"/>
        <v>0.40741215277777776</v>
      </c>
    </row>
    <row r="201" spans="1:29">
      <c r="A201" s="53">
        <f>IF(SortedDownload!A194 &lt; 1,"",SortedDownload!A194)</f>
        <v>106</v>
      </c>
      <c r="B201" s="146">
        <f t="shared" si="20"/>
        <v>196</v>
      </c>
      <c r="C201" s="146" t="str">
        <f>IFERROR(VLOOKUP($A201,CategoryResults!$A$3:$X$252,3,FALSE),"")</f>
        <v/>
      </c>
      <c r="D201" s="149" t="str">
        <f>IFERROR(VLOOKUP($A201,EntryList!$A$3:$N$291,2,FALSE),"")</f>
        <v>Rezah Levy</v>
      </c>
      <c r="E201" s="146" t="str">
        <f>IFERROR(VLOOKUP(C201,SeriesPoints!$A$2:$B$51,2,FALSE),"")</f>
        <v/>
      </c>
      <c r="F201" s="150" t="str">
        <f>IFERROR(VLOOKUP($A201,EntryList!$A$3:$V$291,22,FALSE),"")</f>
        <v>-</v>
      </c>
      <c r="G201" s="148" t="str">
        <f>IFERROR(VLOOKUP($A201,EntryList!$A$3:$N$291,6,FALSE),"")</f>
        <v>M</v>
      </c>
      <c r="H201" s="226" t="str">
        <f>IFERROR(VLOOKUP($A201,EntryList!$A$3:$N$291,7,FALSE),"")</f>
        <v>Lite M</v>
      </c>
      <c r="I201" s="220">
        <f t="shared" si="21"/>
        <v>6</v>
      </c>
      <c r="J201" s="58">
        <f>IFERROR(VLOOKUP($A201,SortedDownload!$A$3:$BB$219,31,FALSE)/86400000,"")</f>
        <v>0</v>
      </c>
      <c r="K201" s="58" t="str">
        <f>IFERROR(IF(VLOOKUP($A201,SortedDownload!$A$3:$BB$219,32,FALSE)=0,"-",VLOOKUP($A201,SortedDownload!$A$3:$BB$219,32,FALSE)/86400000),"-")</f>
        <v>-</v>
      </c>
      <c r="L201" s="58">
        <f>IFERROR(IF(VLOOKUP($A201,SortedDownload!$A$3:$BB$219,33,FALSE)=0,"-",VLOOKUP($A201,SortedDownload!$A$3:$BB$219,33,FALSE)/86400000),"-")</f>
        <v>0.43176554398148148</v>
      </c>
      <c r="M201" s="58">
        <f>IFERROR(IF(VLOOKUP($A201,SortedDownload!$A$3:$BB$219,34,FALSE)=0,"-",VLOOKUP($A201,SortedDownload!$A$3:$BB$219,34,FALSE)/86400000),"-")</f>
        <v>0.43507078703703705</v>
      </c>
      <c r="N201" s="58">
        <f>IFERROR(IF(VLOOKUP($A201,SortedDownload!$A$3:$BB$219,35,FALSE)=0,"-",VLOOKUP($A201,SortedDownload!$A$3:$BB$219,35,FALSE)/86400000),"-")</f>
        <v>0.4836770138888889</v>
      </c>
      <c r="O201" s="58">
        <f>IFERROR(IF(VLOOKUP($A201,SortedDownload!$A$3:$BB$219,36,FALSE)=0,"-",VLOOKUP($A201,SortedDownload!$A$3:$BB$219,36,FALSE)/86400000),"-")</f>
        <v>0.48562395833333333</v>
      </c>
      <c r="P201" s="58" t="str">
        <f>IFERROR(IF(VLOOKUP($A201,SortedDownload!$A$3:$BB$219,37,FALSE)=0,"-",VLOOKUP($A201,SortedDownload!$A$3:$BB$219,37,FALSE)/86400000),"-")</f>
        <v>-</v>
      </c>
      <c r="Q201" s="58" t="str">
        <f>IFERROR(IF(VLOOKUP($A201,SortedDownload!$A$3:$BB$219,38,FALSE)=0,"-",VLOOKUP($A201,SortedDownload!$A$3:$BB$219,38,FALSE)/86400000),"-")</f>
        <v>-</v>
      </c>
      <c r="R201" s="58">
        <f>IFERROR(IF(VLOOKUP($A201,SortedDownload!$A$3:$BB$219,39,FALSE)=0,"-",VLOOKUP($A201,SortedDownload!$A$3:$BB$219,39,FALSE)/86400000),"-")</f>
        <v>0.56033856481481481</v>
      </c>
      <c r="S201" s="58">
        <f>IFERROR(IF(VLOOKUP($A201,SortedDownload!$A$3:$BB$219,40,FALSE)=0,"-",VLOOKUP($A201,SortedDownload!$A$3:$BB$219,40,FALSE)/86400000),"-")</f>
        <v>0.56483215277777776</v>
      </c>
      <c r="T201" s="58" t="str">
        <f>IFERROR(IF(VLOOKUP($A201,SortedDownload!$A$3:$BB$219,41,FALSE)=0,"-",VLOOKUP($A201,SortedDownload!$A$3:$BB$219,41,FALSE)/86400000),"-")</f>
        <v>-</v>
      </c>
      <c r="U201" s="58" t="str">
        <f>IFERROR(IF(VLOOKUP($A201,SortedDownload!$A$3:$BB$219,42,FALSE)=0,"-",VLOOKUP($A201,SortedDownload!$A$3:$BB$219,42,FALSE)/86400000),"-")</f>
        <v>-</v>
      </c>
      <c r="V201" s="58" t="str">
        <f>IFERROR(IF(VLOOKUP($A201,SortedDownload!$A$3:$BB$219,43,FALSE)=0,"-",VLOOKUP($A201,SortedDownload!$A$3:$BB$219,43,FALSE)/86400000),"-")</f>
        <v>-</v>
      </c>
      <c r="W201" s="58" t="str">
        <f>IFERROR(IF(VLOOKUP($A201,SortedDownload!$A$3:$BB$219,44,FALSE)=0,"-",VLOOKUP($A201,SortedDownload!$A$3:$BB$219,44,FALSE)/86400000),"-")</f>
        <v>-</v>
      </c>
      <c r="X201" s="58" t="str">
        <f>IFERROR(IF(VLOOKUP($A201,SortedDownload!$A$3:$BB$219,45,FALSE)=0,"-",VLOOKUP($A201,SortedDownload!$A$3:$BB$219,45,FALSE)/86400000),"-")</f>
        <v>-</v>
      </c>
      <c r="Y201" s="58">
        <f>IFERROR(VLOOKUP($A201,SortedDownload!$A$3:$BB$219,46,FALSE)/86400000,"")</f>
        <v>0</v>
      </c>
      <c r="Z201" s="58">
        <f>IFERROR(Table932[[#This Row],[End Time]]-Table932[[#This Row],[Start Time]],"")</f>
        <v>0</v>
      </c>
      <c r="AA201" s="58"/>
      <c r="AB201" s="170" t="e">
        <f>Z201-#REF!</f>
        <v>#REF!</v>
      </c>
      <c r="AC201" s="170">
        <f t="shared" si="19"/>
        <v>0.40741215277777776</v>
      </c>
    </row>
    <row r="202" spans="1:29">
      <c r="A202" s="53">
        <f>IF(SortedDownload!A195 &lt; 1,"",SortedDownload!A195)</f>
        <v>161</v>
      </c>
      <c r="B202" s="146">
        <f t="shared" si="20"/>
        <v>197</v>
      </c>
      <c r="C202" s="146" t="str">
        <f>IFERROR(VLOOKUP($A202,CategoryResults!$A$3:$X$252,3,FALSE),"")</f>
        <v/>
      </c>
      <c r="D202" s="149" t="str">
        <f>IFERROR(VLOOKUP($A202,EntryList!$A$3:$N$291,2,FALSE),"")</f>
        <v>Henk De Kock</v>
      </c>
      <c r="E202" s="146" t="str">
        <f>IFERROR(VLOOKUP(C202,SeriesPoints!$A$2:$B$51,2,FALSE),"")</f>
        <v/>
      </c>
      <c r="F202" s="150" t="str">
        <f>IFERROR(VLOOKUP($A202,EntryList!$A$3:$V$291,22,FALSE),"")</f>
        <v>-</v>
      </c>
      <c r="G202" s="148" t="str">
        <f>IFERROR(VLOOKUP($A202,EntryList!$A$3:$N$291,6,FALSE),"")</f>
        <v>M</v>
      </c>
      <c r="H202" s="226" t="str">
        <f>IFERROR(VLOOKUP($A202,EntryList!$A$3:$N$291,7,FALSE),"")</f>
        <v>Lite M</v>
      </c>
      <c r="I202" s="220">
        <f t="shared" si="21"/>
        <v>6</v>
      </c>
      <c r="J202" s="58">
        <f>IFERROR(VLOOKUP($A202,SortedDownload!$A$3:$BB$219,31,FALSE)/86400000,"")</f>
        <v>0</v>
      </c>
      <c r="K202" s="58" t="str">
        <f>IFERROR(IF(VLOOKUP($A202,SortedDownload!$A$3:$BB$219,32,FALSE)=0,"-",VLOOKUP($A202,SortedDownload!$A$3:$BB$219,32,FALSE)/86400000),"-")</f>
        <v>-</v>
      </c>
      <c r="L202" s="58">
        <f>IFERROR(IF(VLOOKUP($A202,SortedDownload!$A$3:$BB$219,33,FALSE)=0,"-",VLOOKUP($A202,SortedDownload!$A$3:$BB$219,33,FALSE)/86400000),"-")</f>
        <v>0.43825408564814816</v>
      </c>
      <c r="M202" s="58">
        <f>IFERROR(IF(VLOOKUP($A202,SortedDownload!$A$3:$BB$219,34,FALSE)=0,"-",VLOOKUP($A202,SortedDownload!$A$3:$BB$219,34,FALSE)/86400000),"-")</f>
        <v>0.44162222222222225</v>
      </c>
      <c r="N202" s="58">
        <f>IFERROR(IF(VLOOKUP($A202,SortedDownload!$A$3:$BB$219,35,FALSE)=0,"-",VLOOKUP($A202,SortedDownload!$A$3:$BB$219,35,FALSE)/86400000),"-")</f>
        <v>0.38466085648148146</v>
      </c>
      <c r="O202" s="58">
        <f>IFERROR(IF(VLOOKUP($A202,SortedDownload!$A$3:$BB$219,36,FALSE)=0,"-",VLOOKUP($A202,SortedDownload!$A$3:$BB$219,36,FALSE)/86400000),"-")</f>
        <v>0.38658465277777776</v>
      </c>
      <c r="P202" s="58" t="str">
        <f>IFERROR(IF(VLOOKUP($A202,SortedDownload!$A$3:$BB$219,37,FALSE)=0,"-",VLOOKUP($A202,SortedDownload!$A$3:$BB$219,37,FALSE)/86400000),"-")</f>
        <v>-</v>
      </c>
      <c r="Q202" s="58" t="str">
        <f>IFERROR(IF(VLOOKUP($A202,SortedDownload!$A$3:$BB$219,38,FALSE)=0,"-",VLOOKUP($A202,SortedDownload!$A$3:$BB$219,38,FALSE)/86400000),"-")</f>
        <v>-</v>
      </c>
      <c r="R202" s="58">
        <f>IFERROR(IF(VLOOKUP($A202,SortedDownload!$A$3:$BB$219,39,FALSE)=0,"-",VLOOKUP($A202,SortedDownload!$A$3:$BB$219,39,FALSE)/86400000),"-")</f>
        <v>0.49073800925925926</v>
      </c>
      <c r="S202" s="58">
        <f>IFERROR(IF(VLOOKUP($A202,SortedDownload!$A$3:$BB$219,40,FALSE)=0,"-",VLOOKUP($A202,SortedDownload!$A$3:$BB$219,40,FALSE)/86400000),"-")</f>
        <v>0.49522790509259257</v>
      </c>
      <c r="T202" s="58" t="str">
        <f>IFERROR(IF(VLOOKUP($A202,SortedDownload!$A$3:$BB$219,41,FALSE)=0,"-",VLOOKUP($A202,SortedDownload!$A$3:$BB$219,41,FALSE)/86400000),"-")</f>
        <v>-</v>
      </c>
      <c r="U202" s="58" t="str">
        <f>IFERROR(IF(VLOOKUP($A202,SortedDownload!$A$3:$BB$219,42,FALSE)=0,"-",VLOOKUP($A202,SortedDownload!$A$3:$BB$219,42,FALSE)/86400000),"-")</f>
        <v>-</v>
      </c>
      <c r="V202" s="58" t="str">
        <f>IFERROR(IF(VLOOKUP($A202,SortedDownload!$A$3:$BB$219,43,FALSE)=0,"-",VLOOKUP($A202,SortedDownload!$A$3:$BB$219,43,FALSE)/86400000),"-")</f>
        <v>-</v>
      </c>
      <c r="W202" s="58" t="str">
        <f>IFERROR(IF(VLOOKUP($A202,SortedDownload!$A$3:$BB$219,44,FALSE)=0,"-",VLOOKUP($A202,SortedDownload!$A$3:$BB$219,44,FALSE)/86400000),"-")</f>
        <v>-</v>
      </c>
      <c r="X202" s="58" t="str">
        <f>IFERROR(IF(VLOOKUP($A202,SortedDownload!$A$3:$BB$219,45,FALSE)=0,"-",VLOOKUP($A202,SortedDownload!$A$3:$BB$219,45,FALSE)/86400000),"-")</f>
        <v>-</v>
      </c>
      <c r="Y202" s="58">
        <f>IFERROR(VLOOKUP($A202,SortedDownload!$A$3:$BB$219,46,FALSE)/86400000,"")</f>
        <v>0</v>
      </c>
      <c r="Z202" s="58">
        <f>IFERROR(Table932[[#This Row],[End Time]]-Table932[[#This Row],[Start Time]],"")</f>
        <v>0</v>
      </c>
      <c r="AA202" s="58"/>
      <c r="AB202" s="170">
        <f t="shared" si="18"/>
        <v>0</v>
      </c>
      <c r="AC202" s="170">
        <f t="shared" si="19"/>
        <v>0.40741215277777776</v>
      </c>
    </row>
    <row r="203" spans="1:29">
      <c r="A203" s="53">
        <f>IF(SortedDownload!A196 &lt; 1,"",SortedDownload!A196)</f>
        <v>83</v>
      </c>
      <c r="B203" s="146">
        <f t="shared" si="20"/>
        <v>198</v>
      </c>
      <c r="C203" s="146" t="str">
        <f>IFERROR(VLOOKUP($A203,CategoryResults!$A$3:$X$252,3,FALSE),"")</f>
        <v/>
      </c>
      <c r="D203" s="149" t="str">
        <f>IFERROR(VLOOKUP($A203,EntryList!$A$3:$N$291,2,FALSE),"")</f>
        <v>Jean Ehlers</v>
      </c>
      <c r="E203" s="146" t="str">
        <f>IFERROR(VLOOKUP(C203,SeriesPoints!$A$2:$B$51,2,FALSE),"")</f>
        <v/>
      </c>
      <c r="F203" s="150" t="str">
        <f>IFERROR(VLOOKUP($A203,EntryList!$A$3:$V$291,22,FALSE),"")</f>
        <v>-</v>
      </c>
      <c r="G203" s="148" t="str">
        <f>IFERROR(VLOOKUP($A203,EntryList!$A$3:$N$291,6,FALSE),"")</f>
        <v>M</v>
      </c>
      <c r="H203" s="226" t="str">
        <f>IFERROR(VLOOKUP($A203,EntryList!$A$3:$N$291,7,FALSE),"")</f>
        <v>Lite M</v>
      </c>
      <c r="I203" s="220">
        <f t="shared" si="21"/>
        <v>6</v>
      </c>
      <c r="J203" s="58">
        <f>IFERROR(VLOOKUP($A203,SortedDownload!$A$3:$BB$219,31,FALSE)/86400000,"")</f>
        <v>0</v>
      </c>
      <c r="K203" s="58" t="str">
        <f>IFERROR(IF(VLOOKUP($A203,SortedDownload!$A$3:$BB$219,32,FALSE)=0,"-",VLOOKUP($A203,SortedDownload!$A$3:$BB$219,32,FALSE)/86400000),"-")</f>
        <v>-</v>
      </c>
      <c r="L203" s="58">
        <f>IFERROR(IF(VLOOKUP($A203,SortedDownload!$A$3:$BB$219,33,FALSE)=0,"-",VLOOKUP($A203,SortedDownload!$A$3:$BB$219,33,FALSE)/86400000),"-")</f>
        <v>0.38904103009259261</v>
      </c>
      <c r="M203" s="58">
        <f>IFERROR(IF(VLOOKUP($A203,SortedDownload!$A$3:$BB$219,34,FALSE)=0,"-",VLOOKUP($A203,SortedDownload!$A$3:$BB$219,34,FALSE)/86400000),"-")</f>
        <v>0.39252872685185186</v>
      </c>
      <c r="N203" s="58">
        <f>IFERROR(IF(VLOOKUP($A203,SortedDownload!$A$3:$BB$219,35,FALSE)=0,"-",VLOOKUP($A203,SortedDownload!$A$3:$BB$219,35,FALSE)/86400000),"-")</f>
        <v>0.41789027777777776</v>
      </c>
      <c r="O203" s="58">
        <f>IFERROR(IF(VLOOKUP($A203,SortedDownload!$A$3:$BB$219,36,FALSE)=0,"-",VLOOKUP($A203,SortedDownload!$A$3:$BB$219,36,FALSE)/86400000),"-")</f>
        <v>0.42013942129629628</v>
      </c>
      <c r="P203" s="58" t="str">
        <f>IFERROR(IF(VLOOKUP($A203,SortedDownload!$A$3:$BB$219,37,FALSE)=0,"-",VLOOKUP($A203,SortedDownload!$A$3:$BB$219,37,FALSE)/86400000),"-")</f>
        <v>-</v>
      </c>
      <c r="Q203" s="58" t="str">
        <f>IFERROR(IF(VLOOKUP($A203,SortedDownload!$A$3:$BB$219,38,FALSE)=0,"-",VLOOKUP($A203,SortedDownload!$A$3:$BB$219,38,FALSE)/86400000),"-")</f>
        <v>-</v>
      </c>
      <c r="R203" s="58">
        <f>IFERROR(IF(VLOOKUP($A203,SortedDownload!$A$3:$BB$219,39,FALSE)=0,"-",VLOOKUP($A203,SortedDownload!$A$3:$BB$219,39,FALSE)/86400000),"-")</f>
        <v>0.44559325231481484</v>
      </c>
      <c r="S203" s="58">
        <f>IFERROR(IF(VLOOKUP($A203,SortedDownload!$A$3:$BB$219,40,FALSE)=0,"-",VLOOKUP($A203,SortedDownload!$A$3:$BB$219,40,FALSE)/86400000),"-")</f>
        <v>0.44965842592592592</v>
      </c>
      <c r="T203" s="58" t="str">
        <f>IFERROR(IF(VLOOKUP($A203,SortedDownload!$A$3:$BB$219,41,FALSE)=0,"-",VLOOKUP($A203,SortedDownload!$A$3:$BB$219,41,FALSE)/86400000),"-")</f>
        <v>-</v>
      </c>
      <c r="U203" s="58" t="str">
        <f>IFERROR(IF(VLOOKUP($A203,SortedDownload!$A$3:$BB$219,42,FALSE)=0,"-",VLOOKUP($A203,SortedDownload!$A$3:$BB$219,42,FALSE)/86400000),"-")</f>
        <v>-</v>
      </c>
      <c r="V203" s="58" t="str">
        <f>IFERROR(IF(VLOOKUP($A203,SortedDownload!$A$3:$BB$219,43,FALSE)=0,"-",VLOOKUP($A203,SortedDownload!$A$3:$BB$219,43,FALSE)/86400000),"-")</f>
        <v>-</v>
      </c>
      <c r="W203" s="58" t="str">
        <f>IFERROR(IF(VLOOKUP($A203,SortedDownload!$A$3:$BB$219,44,FALSE)=0,"-",VLOOKUP($A203,SortedDownload!$A$3:$BB$219,44,FALSE)/86400000),"-")</f>
        <v>-</v>
      </c>
      <c r="X203" s="58" t="str">
        <f>IFERROR(IF(VLOOKUP($A203,SortedDownload!$A$3:$BB$219,45,FALSE)=0,"-",VLOOKUP($A203,SortedDownload!$A$3:$BB$219,45,FALSE)/86400000),"-")</f>
        <v>-</v>
      </c>
      <c r="Y203" s="58">
        <f>IFERROR(VLOOKUP($A203,SortedDownload!$A$3:$BB$219,46,FALSE)/86400000,"")</f>
        <v>0</v>
      </c>
      <c r="Z203" s="58">
        <f>IFERROR(Table932[[#This Row],[End Time]]-Table932[[#This Row],[Start Time]],"")</f>
        <v>0</v>
      </c>
      <c r="AA203" s="58"/>
      <c r="AB203" s="170">
        <f t="shared" si="18"/>
        <v>0</v>
      </c>
      <c r="AC203" s="170">
        <f t="shared" si="19"/>
        <v>0.40741215277777776</v>
      </c>
    </row>
    <row r="204" spans="1:29">
      <c r="A204" s="53">
        <f>IF(SortedDownload!A197 &lt; 1,"",SortedDownload!A197)</f>
        <v>6</v>
      </c>
      <c r="B204" s="146">
        <f t="shared" si="20"/>
        <v>199</v>
      </c>
      <c r="C204" s="146" t="str">
        <f>IFERROR(VLOOKUP($A204,CategoryResults!$A$3:$X$252,3,FALSE),"")</f>
        <v/>
      </c>
      <c r="D204" s="149" t="str">
        <f>IFERROR(VLOOKUP($A204,EntryList!$A$3:$N$291,2,FALSE),"")</f>
        <v>James Collins</v>
      </c>
      <c r="E204" s="146" t="str">
        <f>IFERROR(VLOOKUP(C204,SeriesPoints!$A$2:$B$51,2,FALSE),"")</f>
        <v/>
      </c>
      <c r="F204" s="150" t="str">
        <f>IFERROR(VLOOKUP($A204,EntryList!$A$3:$V$291,22,FALSE),"")</f>
        <v>-</v>
      </c>
      <c r="G204" s="148" t="str">
        <f>IFERROR(VLOOKUP($A204,EntryList!$A$3:$N$291,6,FALSE),"")</f>
        <v>M</v>
      </c>
      <c r="H204" s="226" t="str">
        <f>IFERROR(VLOOKUP($A204,EntryList!$A$3:$N$291,7,FALSE),"")</f>
        <v>Lite M</v>
      </c>
      <c r="I204" s="220">
        <f t="shared" si="21"/>
        <v>6</v>
      </c>
      <c r="J204" s="58">
        <f>IFERROR(VLOOKUP($A204,SortedDownload!$A$3:$BB$219,31,FALSE)/86400000,"")</f>
        <v>0</v>
      </c>
      <c r="K204" s="58" t="str">
        <f>IFERROR(IF(VLOOKUP($A204,SortedDownload!$A$3:$BB$219,32,FALSE)=0,"-",VLOOKUP($A204,SortedDownload!$A$3:$BB$219,32,FALSE)/86400000),"-")</f>
        <v>-</v>
      </c>
      <c r="L204" s="58">
        <f>IFERROR(IF(VLOOKUP($A204,SortedDownload!$A$3:$BB$219,33,FALSE)=0,"-",VLOOKUP($A204,SortedDownload!$A$3:$BB$219,33,FALSE)/86400000),"-")</f>
        <v>0.40627233796296297</v>
      </c>
      <c r="M204" s="58">
        <f>IFERROR(IF(VLOOKUP($A204,SortedDownload!$A$3:$BB$219,34,FALSE)=0,"-",VLOOKUP($A204,SortedDownload!$A$3:$BB$219,34,FALSE)/86400000),"-")</f>
        <v>0.40956660879629631</v>
      </c>
      <c r="N204" s="58">
        <f>IFERROR(IF(VLOOKUP($A204,SortedDownload!$A$3:$BB$219,35,FALSE)=0,"-",VLOOKUP($A204,SortedDownload!$A$3:$BB$219,35,FALSE)/86400000),"-")</f>
        <v>0.45141706018518518</v>
      </c>
      <c r="O204" s="58">
        <f>IFERROR(IF(VLOOKUP($A204,SortedDownload!$A$3:$BB$219,36,FALSE)=0,"-",VLOOKUP($A204,SortedDownload!$A$3:$BB$219,36,FALSE)/86400000),"-")</f>
        <v>0.45327810185185186</v>
      </c>
      <c r="P204" s="58" t="str">
        <f>IFERROR(IF(VLOOKUP($A204,SortedDownload!$A$3:$BB$219,37,FALSE)=0,"-",VLOOKUP($A204,SortedDownload!$A$3:$BB$219,37,FALSE)/86400000),"-")</f>
        <v>-</v>
      </c>
      <c r="Q204" s="58" t="str">
        <f>IFERROR(IF(VLOOKUP($A204,SortedDownload!$A$3:$BB$219,38,FALSE)=0,"-",VLOOKUP($A204,SortedDownload!$A$3:$BB$219,38,FALSE)/86400000),"-")</f>
        <v>-</v>
      </c>
      <c r="R204" s="58">
        <f>IFERROR(IF(VLOOKUP($A204,SortedDownload!$A$3:$BB$219,39,FALSE)=0,"-",VLOOKUP($A204,SortedDownload!$A$3:$BB$219,39,FALSE)/86400000),"-")</f>
        <v>0.49650472222222219</v>
      </c>
      <c r="S204" s="58">
        <f>IFERROR(IF(VLOOKUP($A204,SortedDownload!$A$3:$BB$219,40,FALSE)=0,"-",VLOOKUP($A204,SortedDownload!$A$3:$BB$219,40,FALSE)/86400000),"-")</f>
        <v>0.50118729166666665</v>
      </c>
      <c r="T204" s="58" t="str">
        <f>IFERROR(IF(VLOOKUP($A204,SortedDownload!$A$3:$BB$219,41,FALSE)=0,"-",VLOOKUP($A204,SortedDownload!$A$3:$BB$219,41,FALSE)/86400000),"-")</f>
        <v>-</v>
      </c>
      <c r="U204" s="58" t="str">
        <f>IFERROR(IF(VLOOKUP($A204,SortedDownload!$A$3:$BB$219,42,FALSE)=0,"-",VLOOKUP($A204,SortedDownload!$A$3:$BB$219,42,FALSE)/86400000),"-")</f>
        <v>-</v>
      </c>
      <c r="V204" s="58" t="str">
        <f>IFERROR(IF(VLOOKUP($A204,SortedDownload!$A$3:$BB$219,43,FALSE)=0,"-",VLOOKUP($A204,SortedDownload!$A$3:$BB$219,43,FALSE)/86400000),"-")</f>
        <v>-</v>
      </c>
      <c r="W204" s="58" t="str">
        <f>IFERROR(IF(VLOOKUP($A204,SortedDownload!$A$3:$BB$219,44,FALSE)=0,"-",VLOOKUP($A204,SortedDownload!$A$3:$BB$219,44,FALSE)/86400000),"-")</f>
        <v>-</v>
      </c>
      <c r="X204" s="58" t="str">
        <f>IFERROR(IF(VLOOKUP($A204,SortedDownload!$A$3:$BB$219,45,FALSE)=0,"-",VLOOKUP($A204,SortedDownload!$A$3:$BB$219,45,FALSE)/86400000),"-")</f>
        <v>-</v>
      </c>
      <c r="Y204" s="58">
        <f>IFERROR(VLOOKUP($A204,SortedDownload!$A$3:$BB$219,46,FALSE)/86400000,"")</f>
        <v>0</v>
      </c>
      <c r="Z204" s="58">
        <f>IFERROR(Table932[[#This Row],[End Time]]-Table932[[#This Row],[Start Time]],"")</f>
        <v>0</v>
      </c>
      <c r="AA204" s="58"/>
      <c r="AB204" s="170">
        <f t="shared" si="18"/>
        <v>0</v>
      </c>
      <c r="AC204" s="170">
        <f t="shared" si="19"/>
        <v>0.40741215277777776</v>
      </c>
    </row>
    <row r="205" spans="1:29">
      <c r="A205" s="53">
        <f>IF(SortedDownload!A198 &lt; 1,"",SortedDownload!A198)</f>
        <v>263</v>
      </c>
      <c r="B205" s="146">
        <f t="shared" si="20"/>
        <v>200</v>
      </c>
      <c r="C205" s="146" t="str">
        <f>IFERROR(VLOOKUP($A205,CategoryResults!$A$3:$X$252,3,FALSE),"")</f>
        <v/>
      </c>
      <c r="D205" s="149" t="str">
        <f>IFERROR(VLOOKUP($A205,EntryList!$A$3:$N$291,2,FALSE),"")</f>
        <v>Julian Robin Oosthuizen</v>
      </c>
      <c r="E205" s="146" t="str">
        <f>IFERROR(VLOOKUP(C205,SeriesPoints!$A$2:$B$51,2,FALSE),"")</f>
        <v/>
      </c>
      <c r="F205" s="150" t="str">
        <f>IFERROR(VLOOKUP($A205,EntryList!$A$3:$V$291,22,FALSE),"")</f>
        <v>-</v>
      </c>
      <c r="G205" s="148" t="str">
        <f>IFERROR(VLOOKUP($A205,EntryList!$A$3:$N$291,6,FALSE),"")</f>
        <v>M</v>
      </c>
      <c r="H205" s="226" t="str">
        <f>IFERROR(VLOOKUP($A205,EntryList!$A$3:$N$291,7,FALSE),"")</f>
        <v>Sub Junior Boys</v>
      </c>
      <c r="I205" s="220">
        <f t="shared" si="21"/>
        <v>7</v>
      </c>
      <c r="J205" s="58">
        <f>IFERROR(VLOOKUP($A205,SortedDownload!$A$3:$BB$219,31,FALSE)/86400000,"")</f>
        <v>0</v>
      </c>
      <c r="K205" s="58">
        <f>IFERROR(IF(VLOOKUP($A205,SortedDownload!$A$3:$BB$219,32,FALSE)=0,"-",VLOOKUP($A205,SortedDownload!$A$3:$BB$219,32,FALSE)/86400000),"-")</f>
        <v>0.40515819444444445</v>
      </c>
      <c r="L205" s="58">
        <f>IFERROR(IF(VLOOKUP($A205,SortedDownload!$A$3:$BB$219,33,FALSE)=0,"-",VLOOKUP($A205,SortedDownload!$A$3:$BB$219,33,FALSE)/86400000),"-")</f>
        <v>0.37081756944444444</v>
      </c>
      <c r="M205" s="58">
        <f>IFERROR(IF(VLOOKUP($A205,SortedDownload!$A$3:$BB$219,34,FALSE)=0,"-",VLOOKUP($A205,SortedDownload!$A$3:$BB$219,34,FALSE)/86400000),"-")</f>
        <v>0.37418851851851853</v>
      </c>
      <c r="N205" s="58">
        <f>IFERROR(IF(VLOOKUP($A205,SortedDownload!$A$3:$BB$219,35,FALSE)=0,"-",VLOOKUP($A205,SortedDownload!$A$3:$BB$219,35,FALSE)/86400000),"-")</f>
        <v>0.43165859953703706</v>
      </c>
      <c r="O205" s="58">
        <f>IFERROR(IF(VLOOKUP($A205,SortedDownload!$A$3:$BB$219,36,FALSE)=0,"-",VLOOKUP($A205,SortedDownload!$A$3:$BB$219,36,FALSE)/86400000),"-")</f>
        <v>0.43402636574074072</v>
      </c>
      <c r="P205" s="58">
        <f>IFERROR(IF(VLOOKUP($A205,SortedDownload!$A$3:$BB$219,37,FALSE)=0,"-",VLOOKUP($A205,SortedDownload!$A$3:$BB$219,37,FALSE)/86400000),"-")</f>
        <v>0.48562359953703704</v>
      </c>
      <c r="Q205" s="58">
        <f>IFERROR(IF(VLOOKUP($A205,SortedDownload!$A$3:$BB$219,38,FALSE)=0,"-",VLOOKUP($A205,SortedDownload!$A$3:$BB$219,38,FALSE)/86400000),"-")</f>
        <v>0.48979076388888887</v>
      </c>
      <c r="R205" s="58" t="str">
        <f>IFERROR(IF(VLOOKUP($A205,SortedDownload!$A$3:$BB$219,39,FALSE)=0,"-",VLOOKUP($A205,SortedDownload!$A$3:$BB$219,39,FALSE)/86400000),"-")</f>
        <v>-</v>
      </c>
      <c r="S205" s="58" t="str">
        <f>IFERROR(IF(VLOOKUP($A205,SortedDownload!$A$3:$BB$219,40,FALSE)=0,"-",VLOOKUP($A205,SortedDownload!$A$3:$BB$219,40,FALSE)/86400000),"-")</f>
        <v>-</v>
      </c>
      <c r="T205" s="58" t="str">
        <f>IFERROR(IF(VLOOKUP($A205,SortedDownload!$A$3:$BB$219,41,FALSE)=0,"-",VLOOKUP($A205,SortedDownload!$A$3:$BB$219,41,FALSE)/86400000),"-")</f>
        <v>-</v>
      </c>
      <c r="U205" s="58" t="str">
        <f>IFERROR(IF(VLOOKUP($A205,SortedDownload!$A$3:$BB$219,42,FALSE)=0,"-",VLOOKUP($A205,SortedDownload!$A$3:$BB$219,42,FALSE)/86400000),"-")</f>
        <v>-</v>
      </c>
      <c r="V205" s="58" t="str">
        <f>IFERROR(IF(VLOOKUP($A205,SortedDownload!$A$3:$BB$219,43,FALSE)=0,"-",VLOOKUP($A205,SortedDownload!$A$3:$BB$219,43,FALSE)/86400000),"-")</f>
        <v>-</v>
      </c>
      <c r="W205" s="58" t="str">
        <f>IFERROR(IF(VLOOKUP($A205,SortedDownload!$A$3:$BB$219,44,FALSE)=0,"-",VLOOKUP($A205,SortedDownload!$A$3:$BB$219,44,FALSE)/86400000),"-")</f>
        <v>-</v>
      </c>
      <c r="X205" s="58" t="str">
        <f>IFERROR(IF(VLOOKUP($A205,SortedDownload!$A$3:$BB$219,45,FALSE)=0,"-",VLOOKUP($A205,SortedDownload!$A$3:$BB$219,45,FALSE)/86400000),"-")</f>
        <v>-</v>
      </c>
      <c r="Y205" s="58">
        <f>IFERROR(VLOOKUP($A205,SortedDownload!$A$3:$BB$219,46,FALSE)/86400000,"")</f>
        <v>0</v>
      </c>
      <c r="Z205" s="58">
        <f>IFERROR(Table932[[#This Row],[End Time]]-Table932[[#This Row],[Start Time]],"")</f>
        <v>0</v>
      </c>
      <c r="AA205" s="58"/>
      <c r="AB205" s="170">
        <f t="shared" si="18"/>
        <v>0</v>
      </c>
      <c r="AC205" s="170">
        <f t="shared" si="19"/>
        <v>0.40741215277777776</v>
      </c>
    </row>
    <row r="206" spans="1:29">
      <c r="A206" s="53">
        <f>IF(SortedDownload!A199 &lt; 1,"",SortedDownload!A199)</f>
        <v>269</v>
      </c>
      <c r="B206" s="146">
        <f t="shared" si="20"/>
        <v>201</v>
      </c>
      <c r="C206" s="146" t="str">
        <f>IFERROR(VLOOKUP($A206,CategoryResults!$A$3:$X$252,3,FALSE),"")</f>
        <v/>
      </c>
      <c r="D206" s="149" t="str">
        <f>IFERROR(VLOOKUP($A206,EntryList!$A$3:$N$291,2,FALSE),"")</f>
        <v>Dean Van Niekerk Van Niekerk</v>
      </c>
      <c r="E206" s="146" t="str">
        <f>IFERROR(VLOOKUP(C206,SeriesPoints!$A$2:$B$51,2,FALSE),"")</f>
        <v/>
      </c>
      <c r="F206" s="150" t="str">
        <f>IFERROR(VLOOKUP($A206,EntryList!$A$3:$V$291,22,FALSE),"")</f>
        <v>-</v>
      </c>
      <c r="G206" s="148" t="str">
        <f>IFERROR(VLOOKUP($A206,EntryList!$A$3:$N$291,6,FALSE),"")</f>
        <v>M</v>
      </c>
      <c r="H206" s="226" t="str">
        <f>IFERROR(VLOOKUP($A206,EntryList!$A$3:$N$291,7,FALSE),"")</f>
        <v>Youth Men</v>
      </c>
      <c r="I206" s="220">
        <f t="shared" si="21"/>
        <v>6</v>
      </c>
      <c r="J206" s="58">
        <f>IFERROR(VLOOKUP($A206,SortedDownload!$A$3:$BB$219,31,FALSE)/86400000,"")</f>
        <v>0</v>
      </c>
      <c r="K206" s="58" t="str">
        <f>IFERROR(IF(VLOOKUP($A206,SortedDownload!$A$3:$BB$219,32,FALSE)=0,"-",VLOOKUP($A206,SortedDownload!$A$3:$BB$219,32,FALSE)/86400000),"-")</f>
        <v>-</v>
      </c>
      <c r="L206" s="58">
        <f>IFERROR(IF(VLOOKUP($A206,SortedDownload!$A$3:$BB$219,33,FALSE)=0,"-",VLOOKUP($A206,SortedDownload!$A$3:$BB$219,33,FALSE)/86400000),"-")</f>
        <v>0.42041505787037037</v>
      </c>
      <c r="M206" s="58">
        <f>IFERROR(IF(VLOOKUP($A206,SortedDownload!$A$3:$BB$219,34,FALSE)=0,"-",VLOOKUP($A206,SortedDownload!$A$3:$BB$219,34,FALSE)/86400000),"-")</f>
        <v>0.42386730324074073</v>
      </c>
      <c r="N206" s="58">
        <f>IFERROR(IF(VLOOKUP($A206,SortedDownload!$A$3:$BB$219,35,FALSE)=0,"-",VLOOKUP($A206,SortedDownload!$A$3:$BB$219,35,FALSE)/86400000),"-")</f>
        <v>0.47391085648148146</v>
      </c>
      <c r="O206" s="58">
        <f>IFERROR(IF(VLOOKUP($A206,SortedDownload!$A$3:$BB$219,36,FALSE)=0,"-",VLOOKUP($A206,SortedDownload!$A$3:$BB$219,36,FALSE)/86400000),"-")</f>
        <v>0.47580724537037039</v>
      </c>
      <c r="P206" s="58" t="str">
        <f>IFERROR(IF(VLOOKUP($A206,SortedDownload!$A$3:$BB$219,37,FALSE)=0,"-",VLOOKUP($A206,SortedDownload!$A$3:$BB$219,37,FALSE)/86400000),"-")</f>
        <v>-</v>
      </c>
      <c r="Q206" s="58" t="str">
        <f>IFERROR(IF(VLOOKUP($A206,SortedDownload!$A$3:$BB$219,38,FALSE)=0,"-",VLOOKUP($A206,SortedDownload!$A$3:$BB$219,38,FALSE)/86400000),"-")</f>
        <v>-</v>
      </c>
      <c r="R206" s="58">
        <f>IFERROR(IF(VLOOKUP($A206,SortedDownload!$A$3:$BB$219,39,FALSE)=0,"-",VLOOKUP($A206,SortedDownload!$A$3:$BB$219,39,FALSE)/86400000),"-")</f>
        <v>0.52192907407407407</v>
      </c>
      <c r="S206" s="58">
        <f>IFERROR(IF(VLOOKUP($A206,SortedDownload!$A$3:$BB$219,40,FALSE)=0,"-",VLOOKUP($A206,SortedDownload!$A$3:$BB$219,40,FALSE)/86400000),"-")</f>
        <v>0.52650760416666664</v>
      </c>
      <c r="T206" s="58" t="str">
        <f>IFERROR(IF(VLOOKUP($A206,SortedDownload!$A$3:$BB$219,41,FALSE)=0,"-",VLOOKUP($A206,SortedDownload!$A$3:$BB$219,41,FALSE)/86400000),"-")</f>
        <v>-</v>
      </c>
      <c r="U206" s="58" t="str">
        <f>IFERROR(IF(VLOOKUP($A206,SortedDownload!$A$3:$BB$219,42,FALSE)=0,"-",VLOOKUP($A206,SortedDownload!$A$3:$BB$219,42,FALSE)/86400000),"-")</f>
        <v>-</v>
      </c>
      <c r="V206" s="58" t="str">
        <f>IFERROR(IF(VLOOKUP($A206,SortedDownload!$A$3:$BB$219,43,FALSE)=0,"-",VLOOKUP($A206,SortedDownload!$A$3:$BB$219,43,FALSE)/86400000),"-")</f>
        <v>-</v>
      </c>
      <c r="W206" s="58" t="str">
        <f>IFERROR(IF(VLOOKUP($A206,SortedDownload!$A$3:$BB$219,44,FALSE)=0,"-",VLOOKUP($A206,SortedDownload!$A$3:$BB$219,44,FALSE)/86400000),"-")</f>
        <v>-</v>
      </c>
      <c r="X206" s="58" t="str">
        <f>IFERROR(IF(VLOOKUP($A206,SortedDownload!$A$3:$BB$219,45,FALSE)=0,"-",VLOOKUP($A206,SortedDownload!$A$3:$BB$219,45,FALSE)/86400000),"-")</f>
        <v>-</v>
      </c>
      <c r="Y206" s="58">
        <f>IFERROR(VLOOKUP($A206,SortedDownload!$A$3:$BB$219,46,FALSE)/86400000,"")</f>
        <v>0</v>
      </c>
      <c r="Z206" s="58">
        <f>IFERROR(Table932[[#This Row],[End Time]]-Table932[[#This Row],[Start Time]],"")</f>
        <v>0</v>
      </c>
      <c r="AA206" s="58"/>
      <c r="AB206" s="170">
        <f t="shared" si="18"/>
        <v>0</v>
      </c>
      <c r="AC206" s="170">
        <f t="shared" si="19"/>
        <v>0.40741215277777776</v>
      </c>
    </row>
    <row r="207" spans="1:29">
      <c r="A207" s="53">
        <f>IF(SortedDownload!A200 &lt; 1,"",SortedDownload!A200)</f>
        <v>137</v>
      </c>
      <c r="B207" s="146">
        <f t="shared" si="20"/>
        <v>202</v>
      </c>
      <c r="C207" s="146" t="str">
        <f>IFERROR(VLOOKUP($A207,CategoryResults!$A$3:$X$252,3,FALSE),"")</f>
        <v/>
      </c>
      <c r="D207" s="149" t="str">
        <f>IFERROR(VLOOKUP($A207,EntryList!$A$3:$N$291,2,FALSE),"")</f>
        <v>Lombard Rousseau</v>
      </c>
      <c r="E207" s="146" t="str">
        <f>IFERROR(VLOOKUP(C207,SeriesPoints!$A$2:$B$51,2,FALSE),"")</f>
        <v/>
      </c>
      <c r="F207" s="150" t="str">
        <f>IFERROR(VLOOKUP($A207,EntryList!$A$3:$V$291,22,FALSE),"")</f>
        <v>-</v>
      </c>
      <c r="G207" s="148" t="str">
        <f>IFERROR(VLOOKUP($A207,EntryList!$A$3:$N$291,6,FALSE),"")</f>
        <v>M</v>
      </c>
      <c r="H207" s="226" t="str">
        <f>IFERROR(VLOOKUP($A207,EntryList!$A$3:$N$291,7,FALSE),"")</f>
        <v>Sprog Boys</v>
      </c>
      <c r="I207" s="220">
        <f t="shared" si="21"/>
        <v>6</v>
      </c>
      <c r="J207" s="58">
        <f>IFERROR(VLOOKUP($A207,SortedDownload!$A$3:$BB$219,31,FALSE)/86400000,"")</f>
        <v>0</v>
      </c>
      <c r="K207" s="58" t="str">
        <f>IFERROR(IF(VLOOKUP($A207,SortedDownload!$A$3:$BB$219,32,FALSE)=0,"-",VLOOKUP($A207,SortedDownload!$A$3:$BB$219,32,FALSE)/86400000),"-")</f>
        <v>-</v>
      </c>
      <c r="L207" s="58">
        <f>IFERROR(IF(VLOOKUP($A207,SortedDownload!$A$3:$BB$219,33,FALSE)=0,"-",VLOOKUP($A207,SortedDownload!$A$3:$BB$219,33,FALSE)/86400000),"-")</f>
        <v>0.42321615740740742</v>
      </c>
      <c r="M207" s="58">
        <f>IFERROR(IF(VLOOKUP($A207,SortedDownload!$A$3:$BB$219,34,FALSE)=0,"-",VLOOKUP($A207,SortedDownload!$A$3:$BB$219,34,FALSE)/86400000),"-")</f>
        <v>0.42665627314814814</v>
      </c>
      <c r="N207" s="58">
        <f>IFERROR(IF(VLOOKUP($A207,SortedDownload!$A$3:$BB$219,35,FALSE)=0,"-",VLOOKUP($A207,SortedDownload!$A$3:$BB$219,35,FALSE)/86400000),"-")</f>
        <v>0.47325976851851853</v>
      </c>
      <c r="O207" s="58">
        <f>IFERROR(IF(VLOOKUP($A207,SortedDownload!$A$3:$BB$219,36,FALSE)=0,"-",VLOOKUP($A207,SortedDownload!$A$3:$BB$219,36,FALSE)/86400000),"-")</f>
        <v>0.47518662037037035</v>
      </c>
      <c r="P207" s="58" t="str">
        <f>IFERROR(IF(VLOOKUP($A207,SortedDownload!$A$3:$BB$219,37,FALSE)=0,"-",VLOOKUP($A207,SortedDownload!$A$3:$BB$219,37,FALSE)/86400000),"-")</f>
        <v>-</v>
      </c>
      <c r="Q207" s="58" t="str">
        <f>IFERROR(IF(VLOOKUP($A207,SortedDownload!$A$3:$BB$219,38,FALSE)=0,"-",VLOOKUP($A207,SortedDownload!$A$3:$BB$219,38,FALSE)/86400000),"-")</f>
        <v>-</v>
      </c>
      <c r="R207" s="58">
        <f>IFERROR(IF(VLOOKUP($A207,SortedDownload!$A$3:$BB$219,39,FALSE)=0,"-",VLOOKUP($A207,SortedDownload!$A$3:$BB$219,39,FALSE)/86400000),"-")</f>
        <v>0.51822525462962965</v>
      </c>
      <c r="S207" s="58">
        <f>IFERROR(IF(VLOOKUP($A207,SortedDownload!$A$3:$BB$219,40,FALSE)=0,"-",VLOOKUP($A207,SortedDownload!$A$3:$BB$219,40,FALSE)/86400000),"-")</f>
        <v>0.52288482638888889</v>
      </c>
      <c r="T207" s="58" t="str">
        <f>IFERROR(IF(VLOOKUP($A207,SortedDownload!$A$3:$BB$219,41,FALSE)=0,"-",VLOOKUP($A207,SortedDownload!$A$3:$BB$219,41,FALSE)/86400000),"-")</f>
        <v>-</v>
      </c>
      <c r="U207" s="58" t="str">
        <f>IFERROR(IF(VLOOKUP($A207,SortedDownload!$A$3:$BB$219,42,FALSE)=0,"-",VLOOKUP($A207,SortedDownload!$A$3:$BB$219,42,FALSE)/86400000),"-")</f>
        <v>-</v>
      </c>
      <c r="V207" s="58" t="str">
        <f>IFERROR(IF(VLOOKUP($A207,SortedDownload!$A$3:$BB$219,43,FALSE)=0,"-",VLOOKUP($A207,SortedDownload!$A$3:$BB$219,43,FALSE)/86400000),"-")</f>
        <v>-</v>
      </c>
      <c r="W207" s="58" t="str">
        <f>IFERROR(IF(VLOOKUP($A207,SortedDownload!$A$3:$BB$219,44,FALSE)=0,"-",VLOOKUP($A207,SortedDownload!$A$3:$BB$219,44,FALSE)/86400000),"-")</f>
        <v>-</v>
      </c>
      <c r="X207" s="58" t="str">
        <f>IFERROR(IF(VLOOKUP($A207,SortedDownload!$A$3:$BB$219,45,FALSE)=0,"-",VLOOKUP($A207,SortedDownload!$A$3:$BB$219,45,FALSE)/86400000),"-")</f>
        <v>-</v>
      </c>
      <c r="Y207" s="58">
        <f>IFERROR(VLOOKUP($A207,SortedDownload!$A$3:$BB$219,46,FALSE)/86400000,"")</f>
        <v>0</v>
      </c>
      <c r="Z207" s="58">
        <f>IFERROR(Table932[[#This Row],[End Time]]-Table932[[#This Row],[Start Time]],"")</f>
        <v>0</v>
      </c>
      <c r="AA207" s="58"/>
      <c r="AB207" s="170">
        <f t="shared" si="18"/>
        <v>0</v>
      </c>
      <c r="AC207" s="170">
        <f t="shared" si="19"/>
        <v>0.40741215277777776</v>
      </c>
    </row>
    <row r="208" spans="1:29">
      <c r="A208" s="53">
        <f>IF(SortedDownload!A201 &lt; 1,"",SortedDownload!A201)</f>
        <v>138</v>
      </c>
      <c r="B208" s="146">
        <f t="shared" si="20"/>
        <v>203</v>
      </c>
      <c r="C208" s="146" t="str">
        <f>IFERROR(VLOOKUP($A208,CategoryResults!$A$3:$X$252,3,FALSE),"")</f>
        <v/>
      </c>
      <c r="D208" s="149" t="str">
        <f>IFERROR(VLOOKUP($A208,EntryList!$A$3:$N$291,2,FALSE),"")</f>
        <v>Ben Kroukamp</v>
      </c>
      <c r="E208" s="146" t="str">
        <f>IFERROR(VLOOKUP(C208,SeriesPoints!$A$2:$B$51,2,FALSE),"")</f>
        <v/>
      </c>
      <c r="F208" s="150" t="str">
        <f>IFERROR(VLOOKUP($A208,EntryList!$A$3:$V$291,22,FALSE),"")</f>
        <v>-</v>
      </c>
      <c r="G208" s="148" t="str">
        <f>IFERROR(VLOOKUP($A208,EntryList!$A$3:$N$291,6,FALSE),"")</f>
        <v>M</v>
      </c>
      <c r="H208" s="226" t="str">
        <f>IFERROR(VLOOKUP($A208,EntryList!$A$3:$N$291,7,FALSE),"")</f>
        <v>Sub Junior Boys</v>
      </c>
      <c r="I208" s="220">
        <f t="shared" si="21"/>
        <v>6</v>
      </c>
      <c r="J208" s="58">
        <f>IFERROR(VLOOKUP($A208,SortedDownload!$A$3:$BB$219,31,FALSE)/86400000,"")</f>
        <v>0</v>
      </c>
      <c r="K208" s="58" t="str">
        <f>IFERROR(IF(VLOOKUP($A208,SortedDownload!$A$3:$BB$219,32,FALSE)=0,"-",VLOOKUP($A208,SortedDownload!$A$3:$BB$219,32,FALSE)/86400000),"-")</f>
        <v>-</v>
      </c>
      <c r="L208" s="58">
        <f>IFERROR(IF(VLOOKUP($A208,SortedDownload!$A$3:$BB$219,33,FALSE)=0,"-",VLOOKUP($A208,SortedDownload!$A$3:$BB$219,33,FALSE)/86400000),"-")</f>
        <v>0.40693509259259258</v>
      </c>
      <c r="M208" s="58">
        <f>IFERROR(IF(VLOOKUP($A208,SortedDownload!$A$3:$BB$219,34,FALSE)=0,"-",VLOOKUP($A208,SortedDownload!$A$3:$BB$219,34,FALSE)/86400000),"-")</f>
        <v>0.41050148148148147</v>
      </c>
      <c r="N208" s="58">
        <f>IFERROR(IF(VLOOKUP($A208,SortedDownload!$A$3:$BB$219,35,FALSE)=0,"-",VLOOKUP($A208,SortedDownload!$A$3:$BB$219,35,FALSE)/86400000),"-")</f>
        <v>0.45061827546296296</v>
      </c>
      <c r="O208" s="58">
        <f>IFERROR(IF(VLOOKUP($A208,SortedDownload!$A$3:$BB$219,36,FALSE)=0,"-",VLOOKUP($A208,SortedDownload!$A$3:$BB$219,36,FALSE)/86400000),"-")</f>
        <v>0.45261813657407407</v>
      </c>
      <c r="P208" s="58" t="str">
        <f>IFERROR(IF(VLOOKUP($A208,SortedDownload!$A$3:$BB$219,37,FALSE)=0,"-",VLOOKUP($A208,SortedDownload!$A$3:$BB$219,37,FALSE)/86400000),"-")</f>
        <v>-</v>
      </c>
      <c r="Q208" s="58" t="str">
        <f>IFERROR(IF(VLOOKUP($A208,SortedDownload!$A$3:$BB$219,38,FALSE)=0,"-",VLOOKUP($A208,SortedDownload!$A$3:$BB$219,38,FALSE)/86400000),"-")</f>
        <v>-</v>
      </c>
      <c r="R208" s="58">
        <f>IFERROR(IF(VLOOKUP($A208,SortedDownload!$A$3:$BB$219,39,FALSE)=0,"-",VLOOKUP($A208,SortedDownload!$A$3:$BB$219,39,FALSE)/86400000),"-")</f>
        <v>0.49588356481481483</v>
      </c>
      <c r="S208" s="58">
        <f>IFERROR(IF(VLOOKUP($A208,SortedDownload!$A$3:$BB$219,40,FALSE)=0,"-",VLOOKUP($A208,SortedDownload!$A$3:$BB$219,40,FALSE)/86400000),"-")</f>
        <v>0.50037957175925929</v>
      </c>
      <c r="T208" s="58" t="str">
        <f>IFERROR(IF(VLOOKUP($A208,SortedDownload!$A$3:$BB$219,41,FALSE)=0,"-",VLOOKUP($A208,SortedDownload!$A$3:$BB$219,41,FALSE)/86400000),"-")</f>
        <v>-</v>
      </c>
      <c r="U208" s="58" t="str">
        <f>IFERROR(IF(VLOOKUP($A208,SortedDownload!$A$3:$BB$219,42,FALSE)=0,"-",VLOOKUP($A208,SortedDownload!$A$3:$BB$219,42,FALSE)/86400000),"-")</f>
        <v>-</v>
      </c>
      <c r="V208" s="58" t="str">
        <f>IFERROR(IF(VLOOKUP($A208,SortedDownload!$A$3:$BB$219,43,FALSE)=0,"-",VLOOKUP($A208,SortedDownload!$A$3:$BB$219,43,FALSE)/86400000),"-")</f>
        <v>-</v>
      </c>
      <c r="W208" s="58" t="str">
        <f>IFERROR(IF(VLOOKUP($A208,SortedDownload!$A$3:$BB$219,44,FALSE)=0,"-",VLOOKUP($A208,SortedDownload!$A$3:$BB$219,44,FALSE)/86400000),"-")</f>
        <v>-</v>
      </c>
      <c r="X208" s="58" t="str">
        <f>IFERROR(IF(VLOOKUP($A208,SortedDownload!$A$3:$BB$219,45,FALSE)=0,"-",VLOOKUP($A208,SortedDownload!$A$3:$BB$219,45,FALSE)/86400000),"-")</f>
        <v>-</v>
      </c>
      <c r="Y208" s="58">
        <f>IFERROR(VLOOKUP($A208,SortedDownload!$A$3:$BB$219,46,FALSE)/86400000,"")</f>
        <v>0</v>
      </c>
      <c r="Z208" s="58">
        <f>IFERROR(Table932[[#This Row],[End Time]]-Table932[[#This Row],[Start Time]],"")</f>
        <v>0</v>
      </c>
      <c r="AA208" s="58"/>
      <c r="AB208" s="170">
        <f t="shared" si="18"/>
        <v>0</v>
      </c>
      <c r="AC208" s="170">
        <f t="shared" si="19"/>
        <v>0.40741215277777776</v>
      </c>
    </row>
    <row r="209" spans="1:29">
      <c r="A209" s="53">
        <f>IF(SortedDownload!A202 &lt; 1,"",SortedDownload!A202)</f>
        <v>85</v>
      </c>
      <c r="B209" s="146">
        <f t="shared" si="20"/>
        <v>204</v>
      </c>
      <c r="C209" s="146" t="str">
        <f>IFERROR(VLOOKUP($A209,CategoryResults!$A$3:$X$252,3,FALSE),"")</f>
        <v/>
      </c>
      <c r="D209" s="149" t="str">
        <f>IFERROR(VLOOKUP($A209,EntryList!$A$3:$N$291,2,FALSE),"")</f>
        <v>Alec Retief</v>
      </c>
      <c r="E209" s="146" t="str">
        <f>IFERROR(VLOOKUP(C209,SeriesPoints!$A$2:$B$51,2,FALSE),"")</f>
        <v/>
      </c>
      <c r="F209" s="150" t="str">
        <f>IFERROR(VLOOKUP($A209,EntryList!$A$3:$V$291,22,FALSE),"")</f>
        <v>-</v>
      </c>
      <c r="G209" s="148" t="str">
        <f>IFERROR(VLOOKUP($A209,EntryList!$A$3:$N$291,6,FALSE),"")</f>
        <v>M</v>
      </c>
      <c r="H209" s="226" t="str">
        <f>IFERROR(VLOOKUP($A209,EntryList!$A$3:$N$291,7,FALSE),"")</f>
        <v>Sub Junior Boys</v>
      </c>
      <c r="I209" s="220">
        <f t="shared" si="21"/>
        <v>6</v>
      </c>
      <c r="J209" s="58">
        <f>IFERROR(VLOOKUP($A209,SortedDownload!$A$3:$BB$219,31,FALSE)/86400000,"")</f>
        <v>0</v>
      </c>
      <c r="K209" s="58" t="str">
        <f>IFERROR(IF(VLOOKUP($A209,SortedDownload!$A$3:$BB$219,32,FALSE)=0,"-",VLOOKUP($A209,SortedDownload!$A$3:$BB$219,32,FALSE)/86400000),"-")</f>
        <v>-</v>
      </c>
      <c r="L209" s="58">
        <f>IFERROR(IF(VLOOKUP($A209,SortedDownload!$A$3:$BB$219,33,FALSE)=0,"-",VLOOKUP($A209,SortedDownload!$A$3:$BB$219,33,FALSE)/86400000),"-")</f>
        <v>0.42271108796296297</v>
      </c>
      <c r="M209" s="58">
        <f>IFERROR(IF(VLOOKUP($A209,SortedDownload!$A$3:$BB$219,34,FALSE)=0,"-",VLOOKUP($A209,SortedDownload!$A$3:$BB$219,34,FALSE)/86400000),"-")</f>
        <v>0.42641780092592591</v>
      </c>
      <c r="N209" s="58">
        <f>IFERROR(IF(VLOOKUP($A209,SortedDownload!$A$3:$BB$219,35,FALSE)=0,"-",VLOOKUP($A209,SortedDownload!$A$3:$BB$219,35,FALSE)/86400000),"-")</f>
        <v>0.47079018518518517</v>
      </c>
      <c r="O209" s="58">
        <f>IFERROR(IF(VLOOKUP($A209,SortedDownload!$A$3:$BB$219,36,FALSE)=0,"-",VLOOKUP($A209,SortedDownload!$A$3:$BB$219,36,FALSE)/86400000),"-")</f>
        <v>0.4727001851851852</v>
      </c>
      <c r="P209" s="58" t="str">
        <f>IFERROR(IF(VLOOKUP($A209,SortedDownload!$A$3:$BB$219,37,FALSE)=0,"-",VLOOKUP($A209,SortedDownload!$A$3:$BB$219,37,FALSE)/86400000),"-")</f>
        <v>-</v>
      </c>
      <c r="Q209" s="58" t="str">
        <f>IFERROR(IF(VLOOKUP($A209,SortedDownload!$A$3:$BB$219,38,FALSE)=0,"-",VLOOKUP($A209,SortedDownload!$A$3:$BB$219,38,FALSE)/86400000),"-")</f>
        <v>-</v>
      </c>
      <c r="R209" s="58">
        <f>IFERROR(IF(VLOOKUP($A209,SortedDownload!$A$3:$BB$219,39,FALSE)=0,"-",VLOOKUP($A209,SortedDownload!$A$3:$BB$219,39,FALSE)/86400000),"-")</f>
        <v>0.5174243287037037</v>
      </c>
      <c r="S209" s="58">
        <f>IFERROR(IF(VLOOKUP($A209,SortedDownload!$A$3:$BB$219,40,FALSE)=0,"-",VLOOKUP($A209,SortedDownload!$A$3:$BB$219,40,FALSE)/86400000),"-")</f>
        <v>0.52187751157407403</v>
      </c>
      <c r="T209" s="58" t="str">
        <f>IFERROR(IF(VLOOKUP($A209,SortedDownload!$A$3:$BB$219,41,FALSE)=0,"-",VLOOKUP($A209,SortedDownload!$A$3:$BB$219,41,FALSE)/86400000),"-")</f>
        <v>-</v>
      </c>
      <c r="U209" s="58" t="str">
        <f>IFERROR(IF(VLOOKUP($A209,SortedDownload!$A$3:$BB$219,42,FALSE)=0,"-",VLOOKUP($A209,SortedDownload!$A$3:$BB$219,42,FALSE)/86400000),"-")</f>
        <v>-</v>
      </c>
      <c r="V209" s="58" t="str">
        <f>IFERROR(IF(VLOOKUP($A209,SortedDownload!$A$3:$BB$219,43,FALSE)=0,"-",VLOOKUP($A209,SortedDownload!$A$3:$BB$219,43,FALSE)/86400000),"-")</f>
        <v>-</v>
      </c>
      <c r="W209" s="58" t="str">
        <f>IFERROR(IF(VLOOKUP($A209,SortedDownload!$A$3:$BB$219,44,FALSE)=0,"-",VLOOKUP($A209,SortedDownload!$A$3:$BB$219,44,FALSE)/86400000),"-")</f>
        <v>-</v>
      </c>
      <c r="X209" s="58" t="str">
        <f>IFERROR(IF(VLOOKUP($A209,SortedDownload!$A$3:$BB$219,45,FALSE)=0,"-",VLOOKUP($A209,SortedDownload!$A$3:$BB$219,45,FALSE)/86400000),"-")</f>
        <v>-</v>
      </c>
      <c r="Y209" s="58">
        <f>IFERROR(VLOOKUP($A209,SortedDownload!$A$3:$BB$219,46,FALSE)/86400000,"")</f>
        <v>0</v>
      </c>
      <c r="Z209" s="58">
        <f>IFERROR(Table932[[#This Row],[End Time]]-Table932[[#This Row],[Start Time]],"")</f>
        <v>0</v>
      </c>
      <c r="AA209" s="58"/>
      <c r="AB209" s="170">
        <f t="shared" si="18"/>
        <v>0</v>
      </c>
      <c r="AC209" s="170">
        <f t="shared" si="19"/>
        <v>0.40741215277777776</v>
      </c>
    </row>
    <row r="210" spans="1:29">
      <c r="A210" s="53">
        <f>IF(SortedDownload!A203 &lt; 1,"",SortedDownload!A203)</f>
        <v>270</v>
      </c>
      <c r="B210" s="146">
        <f t="shared" si="20"/>
        <v>205</v>
      </c>
      <c r="C210" s="146" t="str">
        <f>IFERROR(VLOOKUP($A210,CategoryResults!$A$3:$X$252,3,FALSE),"")</f>
        <v/>
      </c>
      <c r="D210" s="149" t="str">
        <f>IFERROR(VLOOKUP($A210,EntryList!$A$3:$N$291,2,FALSE),"")</f>
        <v>Taegan Felton</v>
      </c>
      <c r="E210" s="146" t="str">
        <f>IFERROR(VLOOKUP(C210,SeriesPoints!$A$2:$B$51,2,FALSE),"")</f>
        <v/>
      </c>
      <c r="F210" s="150" t="str">
        <f>IFERROR(VLOOKUP($A210,EntryList!$A$3:$V$291,22,FALSE),"")</f>
        <v>-</v>
      </c>
      <c r="G210" s="148" t="str">
        <f>IFERROR(VLOOKUP($A210,EntryList!$A$3:$N$291,6,FALSE),"")</f>
        <v>M</v>
      </c>
      <c r="H210" s="226" t="str">
        <f>IFERROR(VLOOKUP($A210,EntryList!$A$3:$N$291,7,FALSE),"")</f>
        <v>Lite M</v>
      </c>
      <c r="I210" s="220">
        <f t="shared" si="21"/>
        <v>6</v>
      </c>
      <c r="J210" s="58">
        <f>IFERROR(VLOOKUP($A210,SortedDownload!$A$3:$BB$219,31,FALSE)/86400000,"")</f>
        <v>0</v>
      </c>
      <c r="K210" s="58" t="str">
        <f>IFERROR(IF(VLOOKUP($A210,SortedDownload!$A$3:$BB$219,32,FALSE)=0,"-",VLOOKUP($A210,SortedDownload!$A$3:$BB$219,32,FALSE)/86400000),"-")</f>
        <v>-</v>
      </c>
      <c r="L210" s="58">
        <f>IFERROR(IF(VLOOKUP($A210,SortedDownload!$A$3:$BB$219,33,FALSE)=0,"-",VLOOKUP($A210,SortedDownload!$A$3:$BB$219,33,FALSE)/86400000),"-")</f>
        <v>0.39914429398148149</v>
      </c>
      <c r="M210" s="58">
        <f>IFERROR(IF(VLOOKUP($A210,SortedDownload!$A$3:$BB$219,34,FALSE)=0,"-",VLOOKUP($A210,SortedDownload!$A$3:$BB$219,34,FALSE)/86400000),"-")</f>
        <v>0.40266582175925925</v>
      </c>
      <c r="N210" s="58">
        <f>IFERROR(IF(VLOOKUP($A210,SortedDownload!$A$3:$BB$219,35,FALSE)=0,"-",VLOOKUP($A210,SortedDownload!$A$3:$BB$219,35,FALSE)/86400000),"-")</f>
        <v>0.43657688657407406</v>
      </c>
      <c r="O210" s="58">
        <f>IFERROR(IF(VLOOKUP($A210,SortedDownload!$A$3:$BB$219,36,FALSE)=0,"-",VLOOKUP($A210,SortedDownload!$A$3:$BB$219,36,FALSE)/86400000),"-")</f>
        <v>0.43861451388888889</v>
      </c>
      <c r="P210" s="58" t="str">
        <f>IFERROR(IF(VLOOKUP($A210,SortedDownload!$A$3:$BB$219,37,FALSE)=0,"-",VLOOKUP($A210,SortedDownload!$A$3:$BB$219,37,FALSE)/86400000),"-")</f>
        <v>-</v>
      </c>
      <c r="Q210" s="58" t="str">
        <f>IFERROR(IF(VLOOKUP($A210,SortedDownload!$A$3:$BB$219,38,FALSE)=0,"-",VLOOKUP($A210,SortedDownload!$A$3:$BB$219,38,FALSE)/86400000),"-")</f>
        <v>-</v>
      </c>
      <c r="R210" s="58">
        <f>IFERROR(IF(VLOOKUP($A210,SortedDownload!$A$3:$BB$219,39,FALSE)=0,"-",VLOOKUP($A210,SortedDownload!$A$3:$BB$219,39,FALSE)/86400000),"-")</f>
        <v>0.46591421296296298</v>
      </c>
      <c r="S210" s="58">
        <f>IFERROR(IF(VLOOKUP($A210,SortedDownload!$A$3:$BB$219,40,FALSE)=0,"-",VLOOKUP($A210,SortedDownload!$A$3:$BB$219,40,FALSE)/86400000),"-")</f>
        <v>0.47044395833333336</v>
      </c>
      <c r="T210" s="58" t="str">
        <f>IFERROR(IF(VLOOKUP($A210,SortedDownload!$A$3:$BB$219,41,FALSE)=0,"-",VLOOKUP($A210,SortedDownload!$A$3:$BB$219,41,FALSE)/86400000),"-")</f>
        <v>-</v>
      </c>
      <c r="U210" s="58" t="str">
        <f>IFERROR(IF(VLOOKUP($A210,SortedDownload!$A$3:$BB$219,42,FALSE)=0,"-",VLOOKUP($A210,SortedDownload!$A$3:$BB$219,42,FALSE)/86400000),"-")</f>
        <v>-</v>
      </c>
      <c r="V210" s="58" t="str">
        <f>IFERROR(IF(VLOOKUP($A210,SortedDownload!$A$3:$BB$219,43,FALSE)=0,"-",VLOOKUP($A210,SortedDownload!$A$3:$BB$219,43,FALSE)/86400000),"-")</f>
        <v>-</v>
      </c>
      <c r="W210" s="58" t="str">
        <f>IFERROR(IF(VLOOKUP($A210,SortedDownload!$A$3:$BB$219,44,FALSE)=0,"-",VLOOKUP($A210,SortedDownload!$A$3:$BB$219,44,FALSE)/86400000),"-")</f>
        <v>-</v>
      </c>
      <c r="X210" s="58" t="str">
        <f>IFERROR(IF(VLOOKUP($A210,SortedDownload!$A$3:$BB$219,45,FALSE)=0,"-",VLOOKUP($A210,SortedDownload!$A$3:$BB$219,45,FALSE)/86400000),"-")</f>
        <v>-</v>
      </c>
      <c r="Y210" s="58">
        <f>IFERROR(VLOOKUP($A210,SortedDownload!$A$3:$BB$219,46,FALSE)/86400000,"")</f>
        <v>0</v>
      </c>
      <c r="Z210" s="58">
        <f>IFERROR(Table932[[#This Row],[End Time]]-Table932[[#This Row],[Start Time]],"")</f>
        <v>0</v>
      </c>
      <c r="AA210" s="58"/>
      <c r="AB210" s="170">
        <f t="shared" si="18"/>
        <v>0</v>
      </c>
      <c r="AC210" s="170">
        <f t="shared" si="19"/>
        <v>0.40741215277777776</v>
      </c>
    </row>
    <row r="211" spans="1:29">
      <c r="A211" s="53">
        <f>IF(SortedDownload!A204 &lt; 1,"",SortedDownload!A204)</f>
        <v>175</v>
      </c>
      <c r="B211" s="146">
        <f t="shared" si="20"/>
        <v>206</v>
      </c>
      <c r="C211" s="146" t="str">
        <f>IFERROR(VLOOKUP($A211,CategoryResults!$A$3:$X$252,3,FALSE),"")</f>
        <v/>
      </c>
      <c r="D211" s="149" t="str">
        <f>IFERROR(VLOOKUP($A211,EntryList!$A$3:$N$291,2,FALSE),"")</f>
        <v>Shane Robert</v>
      </c>
      <c r="E211" s="146" t="str">
        <f>IFERROR(VLOOKUP(C211,SeriesPoints!$A$2:$B$51,2,FALSE),"")</f>
        <v/>
      </c>
      <c r="F211" s="150" t="str">
        <f>IFERROR(VLOOKUP($A211,EntryList!$A$3:$V$291,22,FALSE),"")</f>
        <v>-</v>
      </c>
      <c r="G211" s="148" t="str">
        <f>IFERROR(VLOOKUP($A211,EntryList!$A$3:$N$291,6,FALSE),"")</f>
        <v>M</v>
      </c>
      <c r="H211" s="226" t="str">
        <f>IFERROR(VLOOKUP($A211,EntryList!$A$3:$N$291,7,FALSE),"")</f>
        <v>Lite M</v>
      </c>
      <c r="I211" s="220">
        <f t="shared" si="21"/>
        <v>6</v>
      </c>
      <c r="J211" s="58">
        <f>IFERROR(VLOOKUP($A211,SortedDownload!$A$3:$BB$219,31,FALSE)/86400000,"")</f>
        <v>0</v>
      </c>
      <c r="K211" s="58" t="str">
        <f>IFERROR(IF(VLOOKUP($A211,SortedDownload!$A$3:$BB$219,32,FALSE)=0,"-",VLOOKUP($A211,SortedDownload!$A$3:$BB$219,32,FALSE)/86400000),"-")</f>
        <v>-</v>
      </c>
      <c r="L211" s="58">
        <f>IFERROR(IF(VLOOKUP($A211,SortedDownload!$A$3:$BB$219,33,FALSE)=0,"-",VLOOKUP($A211,SortedDownload!$A$3:$BB$219,33,FALSE)/86400000),"-")</f>
        <v>0.40886490740740739</v>
      </c>
      <c r="M211" s="58">
        <f>IFERROR(IF(VLOOKUP($A211,SortedDownload!$A$3:$BB$219,34,FALSE)=0,"-",VLOOKUP($A211,SortedDownload!$A$3:$BB$219,34,FALSE)/86400000),"-")</f>
        <v>0.41228074074074073</v>
      </c>
      <c r="N211" s="58">
        <f>IFERROR(IF(VLOOKUP($A211,SortedDownload!$A$3:$BB$219,35,FALSE)=0,"-",VLOOKUP($A211,SortedDownload!$A$3:$BB$219,35,FALSE)/86400000),"-")</f>
        <v>0.45370572916666668</v>
      </c>
      <c r="O211" s="58">
        <f>IFERROR(IF(VLOOKUP($A211,SortedDownload!$A$3:$BB$219,36,FALSE)=0,"-",VLOOKUP($A211,SortedDownload!$A$3:$BB$219,36,FALSE)/86400000),"-")</f>
        <v>0.45581880787037038</v>
      </c>
      <c r="P211" s="58" t="str">
        <f>IFERROR(IF(VLOOKUP($A211,SortedDownload!$A$3:$BB$219,37,FALSE)=0,"-",VLOOKUP($A211,SortedDownload!$A$3:$BB$219,37,FALSE)/86400000),"-")</f>
        <v>-</v>
      </c>
      <c r="Q211" s="58" t="str">
        <f>IFERROR(IF(VLOOKUP($A211,SortedDownload!$A$3:$BB$219,38,FALSE)=0,"-",VLOOKUP($A211,SortedDownload!$A$3:$BB$219,38,FALSE)/86400000),"-")</f>
        <v>-</v>
      </c>
      <c r="R211" s="58">
        <f>IFERROR(IF(VLOOKUP($A211,SortedDownload!$A$3:$BB$219,39,FALSE)=0,"-",VLOOKUP($A211,SortedDownload!$A$3:$BB$219,39,FALSE)/86400000),"-")</f>
        <v>0.5215532638888889</v>
      </c>
      <c r="S211" s="58">
        <f>IFERROR(IF(VLOOKUP($A211,SortedDownload!$A$3:$BB$219,40,FALSE)=0,"-",VLOOKUP($A211,SortedDownload!$A$3:$BB$219,40,FALSE)/86400000),"-")</f>
        <v>0.52613162037037042</v>
      </c>
      <c r="T211" s="58" t="str">
        <f>IFERROR(IF(VLOOKUP($A211,SortedDownload!$A$3:$BB$219,41,FALSE)=0,"-",VLOOKUP($A211,SortedDownload!$A$3:$BB$219,41,FALSE)/86400000),"-")</f>
        <v>-</v>
      </c>
      <c r="U211" s="58" t="str">
        <f>IFERROR(IF(VLOOKUP($A211,SortedDownload!$A$3:$BB$219,42,FALSE)=0,"-",VLOOKUP($A211,SortedDownload!$A$3:$BB$219,42,FALSE)/86400000),"-")</f>
        <v>-</v>
      </c>
      <c r="V211" s="58" t="str">
        <f>IFERROR(IF(VLOOKUP($A211,SortedDownload!$A$3:$BB$219,43,FALSE)=0,"-",VLOOKUP($A211,SortedDownload!$A$3:$BB$219,43,FALSE)/86400000),"-")</f>
        <v>-</v>
      </c>
      <c r="W211" s="58" t="str">
        <f>IFERROR(IF(VLOOKUP($A211,SortedDownload!$A$3:$BB$219,44,FALSE)=0,"-",VLOOKUP($A211,SortedDownload!$A$3:$BB$219,44,FALSE)/86400000),"-")</f>
        <v>-</v>
      </c>
      <c r="X211" s="58" t="str">
        <f>IFERROR(IF(VLOOKUP($A211,SortedDownload!$A$3:$BB$219,45,FALSE)=0,"-",VLOOKUP($A211,SortedDownload!$A$3:$BB$219,45,FALSE)/86400000),"-")</f>
        <v>-</v>
      </c>
      <c r="Y211" s="58">
        <f>IFERROR(VLOOKUP($A211,SortedDownload!$A$3:$BB$219,46,FALSE)/86400000,"")</f>
        <v>0</v>
      </c>
      <c r="Z211" s="58">
        <f>IFERROR(Table932[[#This Row],[End Time]]-Table932[[#This Row],[Start Time]],"")</f>
        <v>0</v>
      </c>
      <c r="AA211" s="58"/>
      <c r="AB211" s="170">
        <f t="shared" si="18"/>
        <v>0</v>
      </c>
      <c r="AC211" s="170">
        <f t="shared" si="19"/>
        <v>0.40741215277777776</v>
      </c>
    </row>
    <row r="212" spans="1:29">
      <c r="A212" s="53">
        <f>IF(SortedDownload!A205 &lt; 1,"",SortedDownload!A205)</f>
        <v>76</v>
      </c>
      <c r="B212" s="146">
        <f t="shared" si="20"/>
        <v>207</v>
      </c>
      <c r="C212" s="146" t="str">
        <f>IFERROR(VLOOKUP($A212,CategoryResults!$A$3:$X$252,3,FALSE),"")</f>
        <v/>
      </c>
      <c r="D212" s="149" t="str">
        <f>IFERROR(VLOOKUP($A212,EntryList!$A$3:$N$291,2,FALSE),"")</f>
        <v>Carter Spolander</v>
      </c>
      <c r="E212" s="146" t="str">
        <f>IFERROR(VLOOKUP(C212,SeriesPoints!$A$2:$B$51,2,FALSE),"")</f>
        <v/>
      </c>
      <c r="F212" s="150" t="str">
        <f>IFERROR(VLOOKUP($A212,EntryList!$A$3:$V$291,22,FALSE),"")</f>
        <v>-</v>
      </c>
      <c r="G212" s="148" t="str">
        <f>IFERROR(VLOOKUP($A212,EntryList!$A$3:$N$291,6,FALSE),"")</f>
        <v>M</v>
      </c>
      <c r="H212" s="226" t="str">
        <f>IFERROR(VLOOKUP($A212,EntryList!$A$3:$N$291,7,FALSE),"")</f>
        <v>Sub Junior Boys</v>
      </c>
      <c r="I212" s="220">
        <f t="shared" si="21"/>
        <v>6</v>
      </c>
      <c r="J212" s="58">
        <f>IFERROR(VLOOKUP($A212,SortedDownload!$A$3:$BB$219,31,FALSE)/86400000,"")</f>
        <v>0</v>
      </c>
      <c r="K212" s="58" t="str">
        <f>IFERROR(IF(VLOOKUP($A212,SortedDownload!$A$3:$BB$219,32,FALSE)=0,"-",VLOOKUP($A212,SortedDownload!$A$3:$BB$219,32,FALSE)/86400000),"-")</f>
        <v>-</v>
      </c>
      <c r="L212" s="58">
        <f>IFERROR(IF(VLOOKUP($A212,SortedDownload!$A$3:$BB$219,33,FALSE)=0,"-",VLOOKUP($A212,SortedDownload!$A$3:$BB$219,33,FALSE)/86400000),"-")</f>
        <v>0.42296761574074077</v>
      </c>
      <c r="M212" s="58">
        <f>IFERROR(IF(VLOOKUP($A212,SortedDownload!$A$3:$BB$219,34,FALSE)=0,"-",VLOOKUP($A212,SortedDownload!$A$3:$BB$219,34,FALSE)/86400000),"-")</f>
        <v>0.42643802083333332</v>
      </c>
      <c r="N212" s="58">
        <f>IFERROR(IF(VLOOKUP($A212,SortedDownload!$A$3:$BB$219,35,FALSE)=0,"-",VLOOKUP($A212,SortedDownload!$A$3:$BB$219,35,FALSE)/86400000),"-")</f>
        <v>0.47020543981481483</v>
      </c>
      <c r="O212" s="58">
        <f>IFERROR(IF(VLOOKUP($A212,SortedDownload!$A$3:$BB$219,36,FALSE)=0,"-",VLOOKUP($A212,SortedDownload!$A$3:$BB$219,36,FALSE)/86400000),"-")</f>
        <v>0.47222157407407406</v>
      </c>
      <c r="P212" s="58" t="str">
        <f>IFERROR(IF(VLOOKUP($A212,SortedDownload!$A$3:$BB$219,37,FALSE)=0,"-",VLOOKUP($A212,SortedDownload!$A$3:$BB$219,37,FALSE)/86400000),"-")</f>
        <v>-</v>
      </c>
      <c r="Q212" s="58" t="str">
        <f>IFERROR(IF(VLOOKUP($A212,SortedDownload!$A$3:$BB$219,38,FALSE)=0,"-",VLOOKUP($A212,SortedDownload!$A$3:$BB$219,38,FALSE)/86400000),"-")</f>
        <v>-</v>
      </c>
      <c r="R212" s="58">
        <f>IFERROR(IF(VLOOKUP($A212,SortedDownload!$A$3:$BB$219,39,FALSE)=0,"-",VLOOKUP($A212,SortedDownload!$A$3:$BB$219,39,FALSE)/86400000),"-")</f>
        <v>0.51792708333333337</v>
      </c>
      <c r="S212" s="58">
        <f>IFERROR(IF(VLOOKUP($A212,SortedDownload!$A$3:$BB$219,40,FALSE)=0,"-",VLOOKUP($A212,SortedDownload!$A$3:$BB$219,40,FALSE)/86400000),"-")</f>
        <v>0.52257767361111107</v>
      </c>
      <c r="T212" s="58" t="str">
        <f>IFERROR(IF(VLOOKUP($A212,SortedDownload!$A$3:$BB$219,41,FALSE)=0,"-",VLOOKUP($A212,SortedDownload!$A$3:$BB$219,41,FALSE)/86400000),"-")</f>
        <v>-</v>
      </c>
      <c r="U212" s="58" t="str">
        <f>IFERROR(IF(VLOOKUP($A212,SortedDownload!$A$3:$BB$219,42,FALSE)=0,"-",VLOOKUP($A212,SortedDownload!$A$3:$BB$219,42,FALSE)/86400000),"-")</f>
        <v>-</v>
      </c>
      <c r="V212" s="58" t="str">
        <f>IFERROR(IF(VLOOKUP($A212,SortedDownload!$A$3:$BB$219,43,FALSE)=0,"-",VLOOKUP($A212,SortedDownload!$A$3:$BB$219,43,FALSE)/86400000),"-")</f>
        <v>-</v>
      </c>
      <c r="W212" s="58" t="str">
        <f>IFERROR(IF(VLOOKUP($A212,SortedDownload!$A$3:$BB$219,44,FALSE)=0,"-",VLOOKUP($A212,SortedDownload!$A$3:$BB$219,44,FALSE)/86400000),"-")</f>
        <v>-</v>
      </c>
      <c r="X212" s="58" t="str">
        <f>IFERROR(IF(VLOOKUP($A212,SortedDownload!$A$3:$BB$219,45,FALSE)=0,"-",VLOOKUP($A212,SortedDownload!$A$3:$BB$219,45,FALSE)/86400000),"-")</f>
        <v>-</v>
      </c>
      <c r="Y212" s="58">
        <f>IFERROR(VLOOKUP($A212,SortedDownload!$A$3:$BB$219,46,FALSE)/86400000,"")</f>
        <v>0</v>
      </c>
      <c r="Z212" s="58">
        <f>IFERROR(Table932[[#This Row],[End Time]]-Table932[[#This Row],[Start Time]],"")</f>
        <v>0</v>
      </c>
      <c r="AA212" s="58"/>
      <c r="AB212" s="170">
        <f t="shared" si="18"/>
        <v>0</v>
      </c>
      <c r="AC212" s="170">
        <f t="shared" si="19"/>
        <v>0.40741215277777776</v>
      </c>
    </row>
    <row r="213" spans="1:29">
      <c r="A213" s="53">
        <f>IF(SortedDownload!A206 &lt; 1,"",SortedDownload!A206)</f>
        <v>147</v>
      </c>
      <c r="B213" s="146">
        <f t="shared" si="20"/>
        <v>208</v>
      </c>
      <c r="C213" s="146" t="str">
        <f>IFERROR(VLOOKUP($A213,CategoryResults!$A$3:$X$252,3,FALSE),"")</f>
        <v/>
      </c>
      <c r="D213" s="149" t="str">
        <f>IFERROR(VLOOKUP($A213,EntryList!$A$3:$N$291,2,FALSE),"")</f>
        <v>Coenie Van Niekerk</v>
      </c>
      <c r="E213" s="146" t="str">
        <f>IFERROR(VLOOKUP(C213,SeriesPoints!$A$2:$B$51,2,FALSE),"")</f>
        <v/>
      </c>
      <c r="F213" s="150" t="str">
        <f>IFERROR(VLOOKUP($A213,EntryList!$A$3:$V$291,22,FALSE),"")</f>
        <v>-</v>
      </c>
      <c r="G213" s="148" t="str">
        <f>IFERROR(VLOOKUP($A213,EntryList!$A$3:$N$291,6,FALSE),"")</f>
        <v>M</v>
      </c>
      <c r="H213" s="226" t="str">
        <f>IFERROR(VLOOKUP($A213,EntryList!$A$3:$N$291,7,FALSE),"")</f>
        <v>Master Men</v>
      </c>
      <c r="I213" s="220">
        <f t="shared" si="21"/>
        <v>5</v>
      </c>
      <c r="J213" s="58">
        <f>IFERROR(VLOOKUP($A213,SortedDownload!$A$3:$BB$219,31,FALSE)/86400000,"")</f>
        <v>0.32319803240740741</v>
      </c>
      <c r="K213" s="58">
        <f>IFERROR(IF(VLOOKUP($A213,SortedDownload!$A$3:$BB$219,32,FALSE)=0,"-",VLOOKUP($A213,SortedDownload!$A$3:$BB$219,32,FALSE)/86400000),"-")</f>
        <v>0.32625778935185185</v>
      </c>
      <c r="L213" s="58" t="str">
        <f>IFERROR(IF(VLOOKUP($A213,SortedDownload!$A$3:$BB$219,33,FALSE)=0,"-",VLOOKUP($A213,SortedDownload!$A$3:$BB$219,33,FALSE)/86400000),"-")</f>
        <v>-</v>
      </c>
      <c r="M213" s="58" t="str">
        <f>IFERROR(IF(VLOOKUP($A213,SortedDownload!$A$3:$BB$219,34,FALSE)=0,"-",VLOOKUP($A213,SortedDownload!$A$3:$BB$219,34,FALSE)/86400000),"-")</f>
        <v>-</v>
      </c>
      <c r="N213" s="58">
        <f>IFERROR(IF(VLOOKUP($A213,SortedDownload!$A$3:$BB$219,35,FALSE)=0,"-",VLOOKUP($A213,SortedDownload!$A$3:$BB$219,35,FALSE)/86400000),"-")</f>
        <v>0.35391293981481481</v>
      </c>
      <c r="O213" s="58">
        <f>IFERROR(IF(VLOOKUP($A213,SortedDownload!$A$3:$BB$219,36,FALSE)=0,"-",VLOOKUP($A213,SortedDownload!$A$3:$BB$219,36,FALSE)/86400000),"-")</f>
        <v>0.35552834490740742</v>
      </c>
      <c r="P213" s="58">
        <f>IFERROR(IF(VLOOKUP($A213,SortedDownload!$A$3:$BB$219,37,FALSE)=0,"-",VLOOKUP($A213,SortedDownload!$A$3:$BB$219,37,FALSE)/86400000),"-")</f>
        <v>0.42536459490740741</v>
      </c>
      <c r="Q213" s="58">
        <f>IFERROR(IF(VLOOKUP($A213,SortedDownload!$A$3:$BB$219,38,FALSE)=0,"-",VLOOKUP($A213,SortedDownload!$A$3:$BB$219,38,FALSE)/86400000),"-")</f>
        <v>0.43085173611111111</v>
      </c>
      <c r="R213" s="58" t="str">
        <f>IFERROR(IF(VLOOKUP($A213,SortedDownload!$A$3:$BB$219,39,FALSE)=0,"-",VLOOKUP($A213,SortedDownload!$A$3:$BB$219,39,FALSE)/86400000),"-")</f>
        <v>-</v>
      </c>
      <c r="S213" s="58" t="str">
        <f>IFERROR(IF(VLOOKUP($A213,SortedDownload!$A$3:$BB$219,40,FALSE)=0,"-",VLOOKUP($A213,SortedDownload!$A$3:$BB$219,40,FALSE)/86400000),"-")</f>
        <v>-</v>
      </c>
      <c r="T213" s="58" t="str">
        <f>IFERROR(IF(VLOOKUP($A213,SortedDownload!$A$3:$BB$219,41,FALSE)=0,"-",VLOOKUP($A213,SortedDownload!$A$3:$BB$219,41,FALSE)/86400000),"-")</f>
        <v>-</v>
      </c>
      <c r="U213" s="58" t="str">
        <f>IFERROR(IF(VLOOKUP($A213,SortedDownload!$A$3:$BB$219,42,FALSE)=0,"-",VLOOKUP($A213,SortedDownload!$A$3:$BB$219,42,FALSE)/86400000),"-")</f>
        <v>-</v>
      </c>
      <c r="V213" s="58" t="str">
        <f>IFERROR(IF(VLOOKUP($A213,SortedDownload!$A$3:$BB$219,43,FALSE)=0,"-",VLOOKUP($A213,SortedDownload!$A$3:$BB$219,43,FALSE)/86400000),"-")</f>
        <v>-</v>
      </c>
      <c r="W213" s="58" t="str">
        <f>IFERROR(IF(VLOOKUP($A213,SortedDownload!$A$3:$BB$219,44,FALSE)=0,"-",VLOOKUP($A213,SortedDownload!$A$3:$BB$219,44,FALSE)/86400000),"-")</f>
        <v>-</v>
      </c>
      <c r="X213" s="58" t="str">
        <f>IFERROR(IF(VLOOKUP($A213,SortedDownload!$A$3:$BB$219,45,FALSE)=0,"-",VLOOKUP($A213,SortedDownload!$A$3:$BB$219,45,FALSE)/86400000),"-")</f>
        <v>-</v>
      </c>
      <c r="Y213" s="58">
        <f>IFERROR(VLOOKUP($A213,SortedDownload!$A$3:$BB$219,46,FALSE)/86400000,"")</f>
        <v>0</v>
      </c>
      <c r="Z213" s="58">
        <f>IFERROR(Table932[[#This Row],[End Time]]-Table932[[#This Row],[Start Time]],"")</f>
        <v>-0.32319803240740741</v>
      </c>
      <c r="AA213" s="58"/>
      <c r="AB213" s="170">
        <f t="shared" si="18"/>
        <v>-0.32319803240740741</v>
      </c>
      <c r="AC213" s="170">
        <f t="shared" si="19"/>
        <v>8.4214120370370349E-2</v>
      </c>
    </row>
    <row r="214" spans="1:29">
      <c r="A214" s="53">
        <f>IF(SortedDownload!A207 &lt; 1,"",SortedDownload!A207)</f>
        <v>87</v>
      </c>
      <c r="B214" s="146">
        <f t="shared" si="20"/>
        <v>209</v>
      </c>
      <c r="C214" s="146" t="str">
        <f>IFERROR(VLOOKUP($A214,CategoryResults!$A$3:$X$252,3,FALSE),"")</f>
        <v/>
      </c>
      <c r="D214" s="149" t="str">
        <f>IFERROR(VLOOKUP($A214,EntryList!$A$3:$N$291,2,FALSE),"")</f>
        <v>Schalk Duvenage</v>
      </c>
      <c r="E214" s="146" t="str">
        <f>IFERROR(VLOOKUP(C214,SeriesPoints!$A$2:$B$51,2,FALSE),"")</f>
        <v/>
      </c>
      <c r="F214" s="150" t="str">
        <f>IFERROR(VLOOKUP($A214,EntryList!$A$3:$V$291,22,FALSE),"")</f>
        <v>-</v>
      </c>
      <c r="G214" s="148" t="str">
        <f>IFERROR(VLOOKUP($A214,EntryList!$A$3:$N$291,6,FALSE),"")</f>
        <v>M</v>
      </c>
      <c r="H214" s="226" t="str">
        <f>IFERROR(VLOOKUP($A214,EntryList!$A$3:$N$291,7,FALSE),"")</f>
        <v>Lite M</v>
      </c>
      <c r="I214" s="220">
        <f t="shared" si="21"/>
        <v>6</v>
      </c>
      <c r="J214" s="58">
        <f>IFERROR(VLOOKUP($A214,SortedDownload!$A$3:$BB$219,31,FALSE)/86400000,"")</f>
        <v>0</v>
      </c>
      <c r="K214" s="58" t="str">
        <f>IFERROR(IF(VLOOKUP($A214,SortedDownload!$A$3:$BB$219,32,FALSE)=0,"-",VLOOKUP($A214,SortedDownload!$A$3:$BB$219,32,FALSE)/86400000),"-")</f>
        <v>-</v>
      </c>
      <c r="L214" s="58">
        <f>IFERROR(IF(VLOOKUP($A214,SortedDownload!$A$3:$BB$219,33,FALSE)=0,"-",VLOOKUP($A214,SortedDownload!$A$3:$BB$219,33,FALSE)/86400000),"-")</f>
        <v>0.40006975694444447</v>
      </c>
      <c r="M214" s="58">
        <f>IFERROR(IF(VLOOKUP($A214,SortedDownload!$A$3:$BB$219,34,FALSE)=0,"-",VLOOKUP($A214,SortedDownload!$A$3:$BB$219,34,FALSE)/86400000),"-")</f>
        <v>0.40369681712962963</v>
      </c>
      <c r="N214" s="58">
        <f>IFERROR(IF(VLOOKUP($A214,SortedDownload!$A$3:$BB$219,35,FALSE)=0,"-",VLOOKUP($A214,SortedDownload!$A$3:$BB$219,35,FALSE)/86400000),"-")</f>
        <v>0.43240027777777779</v>
      </c>
      <c r="O214" s="58">
        <f>IFERROR(IF(VLOOKUP($A214,SortedDownload!$A$3:$BB$219,36,FALSE)=0,"-",VLOOKUP($A214,SortedDownload!$A$3:$BB$219,36,FALSE)/86400000),"-")</f>
        <v>0.4344322800925926</v>
      </c>
      <c r="P214" s="58" t="str">
        <f>IFERROR(IF(VLOOKUP($A214,SortedDownload!$A$3:$BB$219,37,FALSE)=0,"-",VLOOKUP($A214,SortedDownload!$A$3:$BB$219,37,FALSE)/86400000),"-")</f>
        <v>-</v>
      </c>
      <c r="Q214" s="58" t="str">
        <f>IFERROR(IF(VLOOKUP($A214,SortedDownload!$A$3:$BB$219,38,FALSE)=0,"-",VLOOKUP($A214,SortedDownload!$A$3:$BB$219,38,FALSE)/86400000),"-")</f>
        <v>-</v>
      </c>
      <c r="R214" s="58">
        <f>IFERROR(IF(VLOOKUP($A214,SortedDownload!$A$3:$BB$219,39,FALSE)=0,"-",VLOOKUP($A214,SortedDownload!$A$3:$BB$219,39,FALSE)/86400000),"-")</f>
        <v>0.46388474537037039</v>
      </c>
      <c r="S214" s="58">
        <f>IFERROR(IF(VLOOKUP($A214,SortedDownload!$A$3:$BB$219,40,FALSE)=0,"-",VLOOKUP($A214,SortedDownload!$A$3:$BB$219,40,FALSE)/86400000),"-")</f>
        <v>0.46844687499999998</v>
      </c>
      <c r="T214" s="58" t="str">
        <f>IFERROR(IF(VLOOKUP($A214,SortedDownload!$A$3:$BB$219,41,FALSE)=0,"-",VLOOKUP($A214,SortedDownload!$A$3:$BB$219,41,FALSE)/86400000),"-")</f>
        <v>-</v>
      </c>
      <c r="U214" s="58" t="str">
        <f>IFERROR(IF(VLOOKUP($A214,SortedDownload!$A$3:$BB$219,42,FALSE)=0,"-",VLOOKUP($A214,SortedDownload!$A$3:$BB$219,42,FALSE)/86400000),"-")</f>
        <v>-</v>
      </c>
      <c r="V214" s="58" t="str">
        <f>IFERROR(IF(VLOOKUP($A214,SortedDownload!$A$3:$BB$219,43,FALSE)=0,"-",VLOOKUP($A214,SortedDownload!$A$3:$BB$219,43,FALSE)/86400000),"-")</f>
        <v>-</v>
      </c>
      <c r="W214" s="58" t="str">
        <f>IFERROR(IF(VLOOKUP($A214,SortedDownload!$A$3:$BB$219,44,FALSE)=0,"-",VLOOKUP($A214,SortedDownload!$A$3:$BB$219,44,FALSE)/86400000),"-")</f>
        <v>-</v>
      </c>
      <c r="X214" s="58" t="str">
        <f>IFERROR(IF(VLOOKUP($A214,SortedDownload!$A$3:$BB$219,45,FALSE)=0,"-",VLOOKUP($A214,SortedDownload!$A$3:$BB$219,45,FALSE)/86400000),"-")</f>
        <v>-</v>
      </c>
      <c r="Y214" s="58">
        <f>IFERROR(VLOOKUP($A214,SortedDownload!$A$3:$BB$219,46,FALSE)/86400000,"")</f>
        <v>0</v>
      </c>
      <c r="Z214" s="58">
        <f>IFERROR(Table932[[#This Row],[End Time]]-Table932[[#This Row],[Start Time]],"")</f>
        <v>0</v>
      </c>
      <c r="AA214" s="58"/>
      <c r="AB214" s="170">
        <f t="shared" si="18"/>
        <v>0.32319803240740741</v>
      </c>
      <c r="AC214" s="170">
        <f t="shared" si="19"/>
        <v>0.40741215277777776</v>
      </c>
    </row>
    <row r="215" spans="1:29">
      <c r="A215" s="53">
        <f>IF(SortedDownload!A208 &lt; 1,"",SortedDownload!A208)</f>
        <v>264</v>
      </c>
      <c r="B215" s="146">
        <f t="shared" si="20"/>
        <v>210</v>
      </c>
      <c r="C215" s="146" t="str">
        <f>IFERROR(VLOOKUP($A215,CategoryResults!$A$3:$X$252,3,FALSE),"")</f>
        <v/>
      </c>
      <c r="D215" s="149" t="str">
        <f>IFERROR(VLOOKUP($A215,EntryList!$A$3:$N$291,2,FALSE),"")</f>
        <v>Jeanie De Villiers</v>
      </c>
      <c r="E215" s="146" t="str">
        <f>IFERROR(VLOOKUP(C215,SeriesPoints!$A$2:$B$51,2,FALSE),"")</f>
        <v/>
      </c>
      <c r="F215" s="150" t="str">
        <f>IFERROR(VLOOKUP($A215,EntryList!$A$3:$V$291,22,FALSE),"")</f>
        <v>-</v>
      </c>
      <c r="G215" s="148" t="str">
        <f>IFERROR(VLOOKUP($A215,EntryList!$A$3:$N$291,6,FALSE),"")</f>
        <v>F</v>
      </c>
      <c r="H215" s="226" t="str">
        <f>IFERROR(VLOOKUP($A215,EntryList!$A$3:$N$291,7,FALSE),"")</f>
        <v>Lite F</v>
      </c>
      <c r="I215" s="220">
        <f t="shared" si="21"/>
        <v>6</v>
      </c>
      <c r="J215" s="58">
        <f>IFERROR(VLOOKUP($A215,SortedDownload!$A$3:$BB$219,31,FALSE)/86400000,"")</f>
        <v>0</v>
      </c>
      <c r="K215" s="58" t="str">
        <f>IFERROR(IF(VLOOKUP($A215,SortedDownload!$A$3:$BB$219,32,FALSE)=0,"-",VLOOKUP($A215,SortedDownload!$A$3:$BB$219,32,FALSE)/86400000),"-")</f>
        <v>-</v>
      </c>
      <c r="L215" s="58">
        <f>IFERROR(IF(VLOOKUP($A215,SortedDownload!$A$3:$BB$219,33,FALSE)=0,"-",VLOOKUP($A215,SortedDownload!$A$3:$BB$219,33,FALSE)/86400000),"-")</f>
        <v>0.38868903935185184</v>
      </c>
      <c r="M215" s="58">
        <f>IFERROR(IF(VLOOKUP($A215,SortedDownload!$A$3:$BB$219,34,FALSE)=0,"-",VLOOKUP($A215,SortedDownload!$A$3:$BB$219,34,FALSE)/86400000),"-")</f>
        <v>0.39234156250000002</v>
      </c>
      <c r="N215" s="58">
        <f>IFERROR(IF(VLOOKUP($A215,SortedDownload!$A$3:$BB$219,35,FALSE)=0,"-",VLOOKUP($A215,SortedDownload!$A$3:$BB$219,35,FALSE)/86400000),"-")</f>
        <v>0.4184336574074074</v>
      </c>
      <c r="O215" s="58">
        <f>IFERROR(IF(VLOOKUP($A215,SortedDownload!$A$3:$BB$219,36,FALSE)=0,"-",VLOOKUP($A215,SortedDownload!$A$3:$BB$219,36,FALSE)/86400000),"-")</f>
        <v>0.4204964351851852</v>
      </c>
      <c r="P215" s="58" t="str">
        <f>IFERROR(IF(VLOOKUP($A215,SortedDownload!$A$3:$BB$219,37,FALSE)=0,"-",VLOOKUP($A215,SortedDownload!$A$3:$BB$219,37,FALSE)/86400000),"-")</f>
        <v>-</v>
      </c>
      <c r="Q215" s="58" t="str">
        <f>IFERROR(IF(VLOOKUP($A215,SortedDownload!$A$3:$BB$219,38,FALSE)=0,"-",VLOOKUP($A215,SortedDownload!$A$3:$BB$219,38,FALSE)/86400000),"-")</f>
        <v>-</v>
      </c>
      <c r="R215" s="58">
        <f>IFERROR(IF(VLOOKUP($A215,SortedDownload!$A$3:$BB$219,39,FALSE)=0,"-",VLOOKUP($A215,SortedDownload!$A$3:$BB$219,39,FALSE)/86400000),"-")</f>
        <v>0.45680866898148148</v>
      </c>
      <c r="S215" s="58">
        <f>IFERROR(IF(VLOOKUP($A215,SortedDownload!$A$3:$BB$219,40,FALSE)=0,"-",VLOOKUP($A215,SortedDownload!$A$3:$BB$219,40,FALSE)/86400000),"-")</f>
        <v>0.46131982638888891</v>
      </c>
      <c r="T215" s="58" t="str">
        <f>IFERROR(IF(VLOOKUP($A215,SortedDownload!$A$3:$BB$219,41,FALSE)=0,"-",VLOOKUP($A215,SortedDownload!$A$3:$BB$219,41,FALSE)/86400000),"-")</f>
        <v>-</v>
      </c>
      <c r="U215" s="58" t="str">
        <f>IFERROR(IF(VLOOKUP($A215,SortedDownload!$A$3:$BB$219,42,FALSE)=0,"-",VLOOKUP($A215,SortedDownload!$A$3:$BB$219,42,FALSE)/86400000),"-")</f>
        <v>-</v>
      </c>
      <c r="V215" s="58" t="str">
        <f>IFERROR(IF(VLOOKUP($A215,SortedDownload!$A$3:$BB$219,43,FALSE)=0,"-",VLOOKUP($A215,SortedDownload!$A$3:$BB$219,43,FALSE)/86400000),"-")</f>
        <v>-</v>
      </c>
      <c r="W215" s="58" t="str">
        <f>IFERROR(IF(VLOOKUP($A215,SortedDownload!$A$3:$BB$219,44,FALSE)=0,"-",VLOOKUP($A215,SortedDownload!$A$3:$BB$219,44,FALSE)/86400000),"-")</f>
        <v>-</v>
      </c>
      <c r="X215" s="58" t="str">
        <f>IFERROR(IF(VLOOKUP($A215,SortedDownload!$A$3:$BB$219,45,FALSE)=0,"-",VLOOKUP($A215,SortedDownload!$A$3:$BB$219,45,FALSE)/86400000),"-")</f>
        <v>-</v>
      </c>
      <c r="Y215" s="58">
        <f>IFERROR(VLOOKUP($A215,SortedDownload!$A$3:$BB$219,46,FALSE)/86400000,"")</f>
        <v>0</v>
      </c>
      <c r="Z215" s="58">
        <f>IFERROR(Table932[[#This Row],[End Time]]-Table932[[#This Row],[Start Time]],"")</f>
        <v>0</v>
      </c>
      <c r="AA215" s="58"/>
      <c r="AB215" s="170">
        <f t="shared" si="18"/>
        <v>0</v>
      </c>
      <c r="AC215" s="170">
        <f t="shared" si="19"/>
        <v>0.40741215277777776</v>
      </c>
    </row>
    <row r="216" spans="1:29">
      <c r="A216" s="53">
        <f>IF(SortedDownload!A209 &lt; 1,"",SortedDownload!A209)</f>
        <v>29</v>
      </c>
      <c r="B216" s="146">
        <f t="shared" si="20"/>
        <v>211</v>
      </c>
      <c r="C216" s="146" t="str">
        <f>IFERROR(VLOOKUP($A216,CategoryResults!$A$3:$X$252,3,FALSE),"")</f>
        <v/>
      </c>
      <c r="D216" s="149" t="str">
        <f>IFERROR(VLOOKUP($A216,EntryList!$A$3:$N$291,2,FALSE),"")</f>
        <v>Adeeb Said</v>
      </c>
      <c r="E216" s="146" t="str">
        <f>IFERROR(VLOOKUP(C216,SeriesPoints!$A$2:$B$51,2,FALSE),"")</f>
        <v/>
      </c>
      <c r="F216" s="150" t="str">
        <f>IFERROR(VLOOKUP($A216,EntryList!$A$3:$V$291,22,FALSE),"")</f>
        <v>-</v>
      </c>
      <c r="G216" s="148" t="str">
        <f>IFERROR(VLOOKUP($A216,EntryList!$A$3:$N$291,6,FALSE),"")</f>
        <v>M</v>
      </c>
      <c r="H216" s="226" t="str">
        <f>IFERROR(VLOOKUP($A216,EntryList!$A$3:$N$291,7,FALSE),"")</f>
        <v>Lite M</v>
      </c>
      <c r="I216" s="220">
        <f t="shared" si="21"/>
        <v>6</v>
      </c>
      <c r="J216" s="58">
        <f>IFERROR(VLOOKUP($A216,SortedDownload!$A$3:$BB$219,31,FALSE)/86400000,"")</f>
        <v>0</v>
      </c>
      <c r="K216" s="58" t="str">
        <f>IFERROR(IF(VLOOKUP($A216,SortedDownload!$A$3:$BB$219,32,FALSE)=0,"-",VLOOKUP($A216,SortedDownload!$A$3:$BB$219,32,FALSE)/86400000),"-")</f>
        <v>-</v>
      </c>
      <c r="L216" s="58">
        <f>IFERROR(IF(VLOOKUP($A216,SortedDownload!$A$3:$BB$219,33,FALSE)=0,"-",VLOOKUP($A216,SortedDownload!$A$3:$BB$219,33,FALSE)/86400000),"-")</f>
        <v>0.41247074074074075</v>
      </c>
      <c r="M216" s="58">
        <f>IFERROR(IF(VLOOKUP($A216,SortedDownload!$A$3:$BB$219,34,FALSE)=0,"-",VLOOKUP($A216,SortedDownload!$A$3:$BB$219,34,FALSE)/86400000),"-")</f>
        <v>0.41607422453703702</v>
      </c>
      <c r="N216" s="58">
        <f>IFERROR(IF(VLOOKUP($A216,SortedDownload!$A$3:$BB$219,35,FALSE)=0,"-",VLOOKUP($A216,SortedDownload!$A$3:$BB$219,35,FALSE)/86400000),"-")</f>
        <v>0.46558361111111113</v>
      </c>
      <c r="O216" s="58">
        <f>IFERROR(IF(VLOOKUP($A216,SortedDownload!$A$3:$BB$219,36,FALSE)=0,"-",VLOOKUP($A216,SortedDownload!$A$3:$BB$219,36,FALSE)/86400000),"-")</f>
        <v>0.46758277777777779</v>
      </c>
      <c r="P216" s="58" t="str">
        <f>IFERROR(IF(VLOOKUP($A216,SortedDownload!$A$3:$BB$219,37,FALSE)=0,"-",VLOOKUP($A216,SortedDownload!$A$3:$BB$219,37,FALSE)/86400000),"-")</f>
        <v>-</v>
      </c>
      <c r="Q216" s="58" t="str">
        <f>IFERROR(IF(VLOOKUP($A216,SortedDownload!$A$3:$BB$219,38,FALSE)=0,"-",VLOOKUP($A216,SortedDownload!$A$3:$BB$219,38,FALSE)/86400000),"-")</f>
        <v>-</v>
      </c>
      <c r="R216" s="58">
        <f>IFERROR(IF(VLOOKUP($A216,SortedDownload!$A$3:$BB$219,39,FALSE)=0,"-",VLOOKUP($A216,SortedDownload!$A$3:$BB$219,39,FALSE)/86400000),"-")</f>
        <v>0.51086402777777773</v>
      </c>
      <c r="S216" s="58">
        <f>IFERROR(IF(VLOOKUP($A216,SortedDownload!$A$3:$BB$219,40,FALSE)=0,"-",VLOOKUP($A216,SortedDownload!$A$3:$BB$219,40,FALSE)/86400000),"-")</f>
        <v>0.5155078125</v>
      </c>
      <c r="T216" s="58" t="str">
        <f>IFERROR(IF(VLOOKUP($A216,SortedDownload!$A$3:$BB$219,41,FALSE)=0,"-",VLOOKUP($A216,SortedDownload!$A$3:$BB$219,41,FALSE)/86400000),"-")</f>
        <v>-</v>
      </c>
      <c r="U216" s="58" t="str">
        <f>IFERROR(IF(VLOOKUP($A216,SortedDownload!$A$3:$BB$219,42,FALSE)=0,"-",VLOOKUP($A216,SortedDownload!$A$3:$BB$219,42,FALSE)/86400000),"-")</f>
        <v>-</v>
      </c>
      <c r="V216" s="58" t="str">
        <f>IFERROR(IF(VLOOKUP($A216,SortedDownload!$A$3:$BB$219,43,FALSE)=0,"-",VLOOKUP($A216,SortedDownload!$A$3:$BB$219,43,FALSE)/86400000),"-")</f>
        <v>-</v>
      </c>
      <c r="W216" s="58" t="str">
        <f>IFERROR(IF(VLOOKUP($A216,SortedDownload!$A$3:$BB$219,44,FALSE)=0,"-",VLOOKUP($A216,SortedDownload!$A$3:$BB$219,44,FALSE)/86400000),"-")</f>
        <v>-</v>
      </c>
      <c r="X216" s="58" t="str">
        <f>IFERROR(IF(VLOOKUP($A216,SortedDownload!$A$3:$BB$219,45,FALSE)=0,"-",VLOOKUP($A216,SortedDownload!$A$3:$BB$219,45,FALSE)/86400000),"-")</f>
        <v>-</v>
      </c>
      <c r="Y216" s="58">
        <f>IFERROR(VLOOKUP($A216,SortedDownload!$A$3:$BB$219,46,FALSE)/86400000,"")</f>
        <v>0</v>
      </c>
      <c r="Z216" s="58">
        <f>IFERROR(Table932[[#This Row],[End Time]]-Table932[[#This Row],[Start Time]],"")</f>
        <v>0</v>
      </c>
      <c r="AA216" s="58"/>
      <c r="AB216" s="170">
        <f t="shared" ref="AB216:AB247" si="22">Z216-Z215</f>
        <v>0</v>
      </c>
      <c r="AC216" s="170">
        <f t="shared" ref="AC216:AC247" si="23">Z216-Z$6</f>
        <v>0.40741215277777776</v>
      </c>
    </row>
    <row r="217" spans="1:29">
      <c r="A217" s="53">
        <f>IF(SortedDownload!A210 &lt; 1,"",SortedDownload!A210)</f>
        <v>1</v>
      </c>
      <c r="B217" s="146">
        <f t="shared" si="20"/>
        <v>212</v>
      </c>
      <c r="C217" s="146" t="str">
        <f>IFERROR(VLOOKUP($A217,CategoryResults!$A$3:$X$252,3,FALSE),"")</f>
        <v/>
      </c>
      <c r="D217" s="149" t="str">
        <f>IFERROR(VLOOKUP($A217,EntryList!$A$3:$N$291,2,FALSE),"")</f>
        <v>Warren Lawrence</v>
      </c>
      <c r="E217" s="146" t="str">
        <f>IFERROR(VLOOKUP(C217,SeriesPoints!$A$2:$B$51,2,FALSE),"")</f>
        <v/>
      </c>
      <c r="F217" s="150" t="str">
        <f>IFERROR(VLOOKUP($A217,EntryList!$A$3:$V$291,22,FALSE),"")</f>
        <v>-</v>
      </c>
      <c r="G217" s="148" t="str">
        <f>IFERROR(VLOOKUP($A217,EntryList!$A$3:$N$291,6,FALSE),"")</f>
        <v>M</v>
      </c>
      <c r="H217" s="226" t="str">
        <f>IFERROR(VLOOKUP($A217,EntryList!$A$3:$N$291,7,FALSE),"")</f>
        <v>E-Bike Lite M</v>
      </c>
      <c r="I217" s="220">
        <f t="shared" si="21"/>
        <v>6</v>
      </c>
      <c r="J217" s="58">
        <f>IFERROR(VLOOKUP($A217,SortedDownload!$A$3:$BB$219,31,FALSE)/86400000,"")</f>
        <v>0</v>
      </c>
      <c r="K217" s="58" t="str">
        <f>IFERROR(IF(VLOOKUP($A217,SortedDownload!$A$3:$BB$219,32,FALSE)=0,"-",VLOOKUP($A217,SortedDownload!$A$3:$BB$219,32,FALSE)/86400000),"-")</f>
        <v>-</v>
      </c>
      <c r="L217" s="58">
        <f>IFERROR(IF(VLOOKUP($A217,SortedDownload!$A$3:$BB$219,33,FALSE)=0,"-",VLOOKUP($A217,SortedDownload!$A$3:$BB$219,33,FALSE)/86400000),"-")</f>
        <v>0.38203196759259261</v>
      </c>
      <c r="M217" s="58">
        <f>IFERROR(IF(VLOOKUP($A217,SortedDownload!$A$3:$BB$219,34,FALSE)=0,"-",VLOOKUP($A217,SortedDownload!$A$3:$BB$219,34,FALSE)/86400000),"-")</f>
        <v>0.38553850694444447</v>
      </c>
      <c r="N217" s="58">
        <f>IFERROR(IF(VLOOKUP($A217,SortedDownload!$A$3:$BB$219,35,FALSE)=0,"-",VLOOKUP($A217,SortedDownload!$A$3:$BB$219,35,FALSE)/86400000),"-")</f>
        <v>0.40983549768518518</v>
      </c>
      <c r="O217" s="58">
        <f>IFERROR(IF(VLOOKUP($A217,SortedDownload!$A$3:$BB$219,36,FALSE)=0,"-",VLOOKUP($A217,SortedDownload!$A$3:$BB$219,36,FALSE)/86400000),"-")</f>
        <v>0.41186753472222221</v>
      </c>
      <c r="P217" s="58" t="str">
        <f>IFERROR(IF(VLOOKUP($A217,SortedDownload!$A$3:$BB$219,37,FALSE)=0,"-",VLOOKUP($A217,SortedDownload!$A$3:$BB$219,37,FALSE)/86400000),"-")</f>
        <v>-</v>
      </c>
      <c r="Q217" s="58" t="str">
        <f>IFERROR(IF(VLOOKUP($A217,SortedDownload!$A$3:$BB$219,38,FALSE)=0,"-",VLOOKUP($A217,SortedDownload!$A$3:$BB$219,38,FALSE)/86400000),"-")</f>
        <v>-</v>
      </c>
      <c r="R217" s="58">
        <f>IFERROR(IF(VLOOKUP($A217,SortedDownload!$A$3:$BB$219,39,FALSE)=0,"-",VLOOKUP($A217,SortedDownload!$A$3:$BB$219,39,FALSE)/86400000),"-")</f>
        <v>0.44441086805555557</v>
      </c>
      <c r="S217" s="58">
        <f>IFERROR(IF(VLOOKUP($A217,SortedDownload!$A$3:$BB$219,40,FALSE)=0,"-",VLOOKUP($A217,SortedDownload!$A$3:$BB$219,40,FALSE)/86400000),"-")</f>
        <v>0.44913451388888886</v>
      </c>
      <c r="T217" s="58" t="str">
        <f>IFERROR(IF(VLOOKUP($A217,SortedDownload!$A$3:$BB$219,41,FALSE)=0,"-",VLOOKUP($A217,SortedDownload!$A$3:$BB$219,41,FALSE)/86400000),"-")</f>
        <v>-</v>
      </c>
      <c r="U217" s="58" t="str">
        <f>IFERROR(IF(VLOOKUP($A217,SortedDownload!$A$3:$BB$219,42,FALSE)=0,"-",VLOOKUP($A217,SortedDownload!$A$3:$BB$219,42,FALSE)/86400000),"-")</f>
        <v>-</v>
      </c>
      <c r="V217" s="58" t="str">
        <f>IFERROR(IF(VLOOKUP($A217,SortedDownload!$A$3:$BB$219,43,FALSE)=0,"-",VLOOKUP($A217,SortedDownload!$A$3:$BB$219,43,FALSE)/86400000),"-")</f>
        <v>-</v>
      </c>
      <c r="W217" s="58" t="str">
        <f>IFERROR(IF(VLOOKUP($A217,SortedDownload!$A$3:$BB$219,44,FALSE)=0,"-",VLOOKUP($A217,SortedDownload!$A$3:$BB$219,44,FALSE)/86400000),"-")</f>
        <v>-</v>
      </c>
      <c r="X217" s="58" t="str">
        <f>IFERROR(IF(VLOOKUP($A217,SortedDownload!$A$3:$BB$219,45,FALSE)=0,"-",VLOOKUP($A217,SortedDownload!$A$3:$BB$219,45,FALSE)/86400000),"-")</f>
        <v>-</v>
      </c>
      <c r="Y217" s="58">
        <f>IFERROR(VLOOKUP($A217,SortedDownload!$A$3:$BB$219,46,FALSE)/86400000,"")</f>
        <v>0</v>
      </c>
      <c r="Z217" s="58">
        <f>IFERROR(Table932[[#This Row],[End Time]]-Table932[[#This Row],[Start Time]],"")</f>
        <v>0</v>
      </c>
      <c r="AA217" s="58"/>
      <c r="AB217" s="170">
        <f t="shared" si="22"/>
        <v>0</v>
      </c>
      <c r="AC217" s="170">
        <f t="shared" si="23"/>
        <v>0.40741215277777776</v>
      </c>
    </row>
    <row r="218" spans="1:29">
      <c r="A218" s="53">
        <f>IF(SortedDownload!A211 &lt; 1,"",SortedDownload!A211)</f>
        <v>176</v>
      </c>
      <c r="B218" s="146">
        <f t="shared" si="20"/>
        <v>213</v>
      </c>
      <c r="C218" s="146" t="str">
        <f>IFERROR(VLOOKUP($A218,CategoryResults!$A$3:$X$252,3,FALSE),"")</f>
        <v/>
      </c>
      <c r="D218" s="149" t="str">
        <f>IFERROR(VLOOKUP($A218,EntryList!$A$3:$N$291,2,FALSE),"")</f>
        <v>Mike Fairbrother</v>
      </c>
      <c r="E218" s="146" t="str">
        <f>IFERROR(VLOOKUP(C218,SeriesPoints!$A$2:$B$51,2,FALSE),"")</f>
        <v/>
      </c>
      <c r="F218" s="150" t="str">
        <f>IFERROR(VLOOKUP($A218,EntryList!$A$3:$V$291,22,FALSE),"")</f>
        <v>-</v>
      </c>
      <c r="G218" s="148" t="str">
        <f>IFERROR(VLOOKUP($A218,EntryList!$A$3:$N$291,6,FALSE),"")</f>
        <v>M</v>
      </c>
      <c r="H218" s="226" t="str">
        <f>IFERROR(VLOOKUP($A218,EntryList!$A$3:$N$291,7,FALSE),"")</f>
        <v>Lite M</v>
      </c>
      <c r="I218" s="220">
        <f t="shared" si="21"/>
        <v>6</v>
      </c>
      <c r="J218" s="58">
        <f>IFERROR(VLOOKUP($A218,SortedDownload!$A$3:$BB$219,31,FALSE)/86400000,"")</f>
        <v>0</v>
      </c>
      <c r="K218" s="58" t="str">
        <f>IFERROR(IF(VLOOKUP($A218,SortedDownload!$A$3:$BB$219,32,FALSE)=0,"-",VLOOKUP($A218,SortedDownload!$A$3:$BB$219,32,FALSE)/86400000),"-")</f>
        <v>-</v>
      </c>
      <c r="L218" s="58">
        <f>IFERROR(IF(VLOOKUP($A218,SortedDownload!$A$3:$BB$219,33,FALSE)=0,"-",VLOOKUP($A218,SortedDownload!$A$3:$BB$219,33,FALSE)/86400000),"-")</f>
        <v>0.4336275462962963</v>
      </c>
      <c r="M218" s="58">
        <f>IFERROR(IF(VLOOKUP($A218,SortedDownload!$A$3:$BB$219,34,FALSE)=0,"-",VLOOKUP($A218,SortedDownload!$A$3:$BB$219,34,FALSE)/86400000),"-")</f>
        <v>0.43718678240740738</v>
      </c>
      <c r="N218" s="58">
        <f>IFERROR(IF(VLOOKUP($A218,SortedDownload!$A$3:$BB$219,35,FALSE)=0,"-",VLOOKUP($A218,SortedDownload!$A$3:$BB$219,35,FALSE)/86400000),"-")</f>
        <v>0.38261292824074072</v>
      </c>
      <c r="O218" s="58">
        <f>IFERROR(IF(VLOOKUP($A218,SortedDownload!$A$3:$BB$219,36,FALSE)=0,"-",VLOOKUP($A218,SortedDownload!$A$3:$BB$219,36,FALSE)/86400000),"-")</f>
        <v>0.38482189814814816</v>
      </c>
      <c r="P218" s="58" t="str">
        <f>IFERROR(IF(VLOOKUP($A218,SortedDownload!$A$3:$BB$219,37,FALSE)=0,"-",VLOOKUP($A218,SortedDownload!$A$3:$BB$219,37,FALSE)/86400000),"-")</f>
        <v>-</v>
      </c>
      <c r="Q218" s="58" t="str">
        <f>IFERROR(IF(VLOOKUP($A218,SortedDownload!$A$3:$BB$219,38,FALSE)=0,"-",VLOOKUP($A218,SortedDownload!$A$3:$BB$219,38,FALSE)/86400000),"-")</f>
        <v>-</v>
      </c>
      <c r="R218" s="58">
        <f>IFERROR(IF(VLOOKUP($A218,SortedDownload!$A$3:$BB$219,39,FALSE)=0,"-",VLOOKUP($A218,SortedDownload!$A$3:$BB$219,39,FALSE)/86400000),"-")</f>
        <v>0.47255284722222224</v>
      </c>
      <c r="S218" s="58">
        <f>IFERROR(IF(VLOOKUP($A218,SortedDownload!$A$3:$BB$219,40,FALSE)=0,"-",VLOOKUP($A218,SortedDownload!$A$3:$BB$219,40,FALSE)/86400000),"-")</f>
        <v>0.47709785879629629</v>
      </c>
      <c r="T218" s="58" t="str">
        <f>IFERROR(IF(VLOOKUP($A218,SortedDownload!$A$3:$BB$219,41,FALSE)=0,"-",VLOOKUP($A218,SortedDownload!$A$3:$BB$219,41,FALSE)/86400000),"-")</f>
        <v>-</v>
      </c>
      <c r="U218" s="58" t="str">
        <f>IFERROR(IF(VLOOKUP($A218,SortedDownload!$A$3:$BB$219,42,FALSE)=0,"-",VLOOKUP($A218,SortedDownload!$A$3:$BB$219,42,FALSE)/86400000),"-")</f>
        <v>-</v>
      </c>
      <c r="V218" s="58" t="str">
        <f>IFERROR(IF(VLOOKUP($A218,SortedDownload!$A$3:$BB$219,43,FALSE)=0,"-",VLOOKUP($A218,SortedDownload!$A$3:$BB$219,43,FALSE)/86400000),"-")</f>
        <v>-</v>
      </c>
      <c r="W218" s="58" t="str">
        <f>IFERROR(IF(VLOOKUP($A218,SortedDownload!$A$3:$BB$219,44,FALSE)=0,"-",VLOOKUP($A218,SortedDownload!$A$3:$BB$219,44,FALSE)/86400000),"-")</f>
        <v>-</v>
      </c>
      <c r="X218" s="58" t="str">
        <f>IFERROR(IF(VLOOKUP($A218,SortedDownload!$A$3:$BB$219,45,FALSE)=0,"-",VLOOKUP($A218,SortedDownload!$A$3:$BB$219,45,FALSE)/86400000),"-")</f>
        <v>-</v>
      </c>
      <c r="Y218" s="58">
        <f>IFERROR(VLOOKUP($A218,SortedDownload!$A$3:$BB$219,46,FALSE)/86400000,"")</f>
        <v>0</v>
      </c>
      <c r="Z218" s="58">
        <f>IFERROR(Table932[[#This Row],[End Time]]-Table932[[#This Row],[Start Time]],"")</f>
        <v>0</v>
      </c>
      <c r="AA218" s="58"/>
      <c r="AB218" s="170">
        <f t="shared" si="22"/>
        <v>0</v>
      </c>
      <c r="AC218" s="170">
        <f t="shared" si="23"/>
        <v>0.40741215277777776</v>
      </c>
    </row>
    <row r="219" spans="1:29">
      <c r="A219" s="53">
        <f>IF(SortedDownload!A212 &lt; 1,"",SortedDownload!A212)</f>
        <v>221</v>
      </c>
      <c r="B219" s="146">
        <f t="shared" si="20"/>
        <v>214</v>
      </c>
      <c r="C219" s="146" t="str">
        <f>IFERROR(VLOOKUP($A219,CategoryResults!$A$3:$X$252,3,FALSE),"")</f>
        <v/>
      </c>
      <c r="D219" s="149" t="str">
        <f>IFERROR(VLOOKUP($A219,EntryList!$A$3:$N$291,2,FALSE),"")</f>
        <v>Chris Groeneveld</v>
      </c>
      <c r="E219" s="146" t="str">
        <f>IFERROR(VLOOKUP(C219,SeriesPoints!$A$2:$B$51,2,FALSE),"")</f>
        <v/>
      </c>
      <c r="F219" s="150" t="str">
        <f>IFERROR(VLOOKUP($A219,EntryList!$A$3:$V$291,22,FALSE),"")</f>
        <v>-</v>
      </c>
      <c r="G219" s="148" t="str">
        <f>IFERROR(VLOOKUP($A219,EntryList!$A$3:$N$291,6,FALSE),"")</f>
        <v>M</v>
      </c>
      <c r="H219" s="226" t="str">
        <f>IFERROR(VLOOKUP($A219,EntryList!$A$3:$N$291,7,FALSE),"")</f>
        <v>Sub Junior Boys</v>
      </c>
      <c r="I219" s="220">
        <f t="shared" si="21"/>
        <v>6</v>
      </c>
      <c r="J219" s="58">
        <f>IFERROR(VLOOKUP($A219,SortedDownload!$A$3:$BB$219,31,FALSE)/86400000,"")</f>
        <v>0</v>
      </c>
      <c r="K219" s="58" t="str">
        <f>IFERROR(IF(VLOOKUP($A219,SortedDownload!$A$3:$BB$219,32,FALSE)=0,"-",VLOOKUP($A219,SortedDownload!$A$3:$BB$219,32,FALSE)/86400000),"-")</f>
        <v>-</v>
      </c>
      <c r="L219" s="58">
        <f>IFERROR(IF(VLOOKUP($A219,SortedDownload!$A$3:$BB$219,33,FALSE)=0,"-",VLOOKUP($A219,SortedDownload!$A$3:$BB$219,33,FALSE)/86400000),"-")</f>
        <v>0.39531821759259261</v>
      </c>
      <c r="M219" s="58">
        <f>IFERROR(IF(VLOOKUP($A219,SortedDownload!$A$3:$BB$219,34,FALSE)=0,"-",VLOOKUP($A219,SortedDownload!$A$3:$BB$219,34,FALSE)/86400000),"-")</f>
        <v>0.39905012731481482</v>
      </c>
      <c r="N219" s="58">
        <f>IFERROR(IF(VLOOKUP($A219,SortedDownload!$A$3:$BB$219,35,FALSE)=0,"-",VLOOKUP($A219,SortedDownload!$A$3:$BB$219,35,FALSE)/86400000),"-")</f>
        <v>0.45230679398148149</v>
      </c>
      <c r="O219" s="58">
        <f>IFERROR(IF(VLOOKUP($A219,SortedDownload!$A$3:$BB$219,36,FALSE)=0,"-",VLOOKUP($A219,SortedDownload!$A$3:$BB$219,36,FALSE)/86400000),"-")</f>
        <v>0.45432688657407405</v>
      </c>
      <c r="P219" s="58" t="str">
        <f>IFERROR(IF(VLOOKUP($A219,SortedDownload!$A$3:$BB$219,37,FALSE)=0,"-",VLOOKUP($A219,SortedDownload!$A$3:$BB$219,37,FALSE)/86400000),"-")</f>
        <v>-</v>
      </c>
      <c r="Q219" s="58" t="str">
        <f>IFERROR(IF(VLOOKUP($A219,SortedDownload!$A$3:$BB$219,38,FALSE)=0,"-",VLOOKUP($A219,SortedDownload!$A$3:$BB$219,38,FALSE)/86400000),"-")</f>
        <v>-</v>
      </c>
      <c r="R219" s="58">
        <f>IFERROR(IF(VLOOKUP($A219,SortedDownload!$A$3:$BB$219,39,FALSE)=0,"-",VLOOKUP($A219,SortedDownload!$A$3:$BB$219,39,FALSE)/86400000),"-")</f>
        <v>0.49389668981481483</v>
      </c>
      <c r="S219" s="58">
        <f>IFERROR(IF(VLOOKUP($A219,SortedDownload!$A$3:$BB$219,40,FALSE)=0,"-",VLOOKUP($A219,SortedDownload!$A$3:$BB$219,40,FALSE)/86400000),"-")</f>
        <v>0.49846737268518521</v>
      </c>
      <c r="T219" s="58" t="str">
        <f>IFERROR(IF(VLOOKUP($A219,SortedDownload!$A$3:$BB$219,41,FALSE)=0,"-",VLOOKUP($A219,SortedDownload!$A$3:$BB$219,41,FALSE)/86400000),"-")</f>
        <v>-</v>
      </c>
      <c r="U219" s="58" t="str">
        <f>IFERROR(IF(VLOOKUP($A219,SortedDownload!$A$3:$BB$219,42,FALSE)=0,"-",VLOOKUP($A219,SortedDownload!$A$3:$BB$219,42,FALSE)/86400000),"-")</f>
        <v>-</v>
      </c>
      <c r="V219" s="58" t="str">
        <f>IFERROR(IF(VLOOKUP($A219,SortedDownload!$A$3:$BB$219,43,FALSE)=0,"-",VLOOKUP($A219,SortedDownload!$A$3:$BB$219,43,FALSE)/86400000),"-")</f>
        <v>-</v>
      </c>
      <c r="W219" s="58" t="str">
        <f>IFERROR(IF(VLOOKUP($A219,SortedDownload!$A$3:$BB$219,44,FALSE)=0,"-",VLOOKUP($A219,SortedDownload!$A$3:$BB$219,44,FALSE)/86400000),"-")</f>
        <v>-</v>
      </c>
      <c r="X219" s="58" t="str">
        <f>IFERROR(IF(VLOOKUP($A219,SortedDownload!$A$3:$BB$219,45,FALSE)=0,"-",VLOOKUP($A219,SortedDownload!$A$3:$BB$219,45,FALSE)/86400000),"-")</f>
        <v>-</v>
      </c>
      <c r="Y219" s="58">
        <f>IFERROR(VLOOKUP($A219,SortedDownload!$A$3:$BB$219,46,FALSE)/86400000,"")</f>
        <v>0</v>
      </c>
      <c r="Z219" s="58">
        <f>IFERROR(Table932[[#This Row],[End Time]]-Table932[[#This Row],[Start Time]],"")</f>
        <v>0</v>
      </c>
      <c r="AA219" s="58"/>
      <c r="AB219" s="170">
        <f t="shared" si="22"/>
        <v>0</v>
      </c>
      <c r="AC219" s="170">
        <f t="shared" si="23"/>
        <v>0.40741215277777776</v>
      </c>
    </row>
    <row r="220" spans="1:29">
      <c r="A220" s="53">
        <f>IF(SortedDownload!A213 &lt; 1,"",SortedDownload!A213)</f>
        <v>222</v>
      </c>
      <c r="B220" s="146">
        <f t="shared" si="20"/>
        <v>215</v>
      </c>
      <c r="C220" s="146" t="str">
        <f>IFERROR(VLOOKUP($A220,CategoryResults!$A$3:$X$252,3,FALSE),"")</f>
        <v/>
      </c>
      <c r="D220" s="149" t="str">
        <f>IFERROR(VLOOKUP($A220,EntryList!$A$3:$N$291,2,FALSE),"")</f>
        <v>Shandri Erasmus</v>
      </c>
      <c r="E220" s="146" t="str">
        <f>IFERROR(VLOOKUP(C220,SeriesPoints!$A$2:$B$51,2,FALSE),"")</f>
        <v/>
      </c>
      <c r="F220" s="150" t="str">
        <f>IFERROR(VLOOKUP($A220,EntryList!$A$3:$V$291,22,FALSE),"")</f>
        <v>-</v>
      </c>
      <c r="G220" s="148" t="str">
        <f>IFERROR(VLOOKUP($A220,EntryList!$A$3:$N$291,6,FALSE),"")</f>
        <v>F</v>
      </c>
      <c r="H220" s="226" t="str">
        <f>IFERROR(VLOOKUP($A220,EntryList!$A$3:$N$291,7,FALSE),"")</f>
        <v>Lite F</v>
      </c>
      <c r="I220" s="220">
        <f t="shared" si="21"/>
        <v>6</v>
      </c>
      <c r="J220" s="58">
        <f>IFERROR(VLOOKUP($A220,SortedDownload!$A$3:$BB$219,31,FALSE)/86400000,"")</f>
        <v>0</v>
      </c>
      <c r="K220" s="58" t="str">
        <f>IFERROR(IF(VLOOKUP($A220,SortedDownload!$A$3:$BB$219,32,FALSE)=0,"-",VLOOKUP($A220,SortedDownload!$A$3:$BB$219,32,FALSE)/86400000),"-")</f>
        <v>-</v>
      </c>
      <c r="L220" s="58">
        <f>IFERROR(IF(VLOOKUP($A220,SortedDownload!$A$3:$BB$219,33,FALSE)=0,"-",VLOOKUP($A220,SortedDownload!$A$3:$BB$219,33,FALSE)/86400000),"-")</f>
        <v>0.36636332175925929</v>
      </c>
      <c r="M220" s="58">
        <f>IFERROR(IF(VLOOKUP($A220,SortedDownload!$A$3:$BB$219,34,FALSE)=0,"-",VLOOKUP($A220,SortedDownload!$A$3:$BB$219,34,FALSE)/86400000),"-")</f>
        <v>0.36992222222222221</v>
      </c>
      <c r="N220" s="58">
        <f>IFERROR(IF(VLOOKUP($A220,SortedDownload!$A$3:$BB$219,35,FALSE)=0,"-",VLOOKUP($A220,SortedDownload!$A$3:$BB$219,35,FALSE)/86400000),"-")</f>
        <v>0.39426730324074072</v>
      </c>
      <c r="O220" s="58">
        <f>IFERROR(IF(VLOOKUP($A220,SortedDownload!$A$3:$BB$219,36,FALSE)=0,"-",VLOOKUP($A220,SortedDownload!$A$3:$BB$219,36,FALSE)/86400000),"-")</f>
        <v>0.39653476851851854</v>
      </c>
      <c r="P220" s="58" t="str">
        <f>IFERROR(IF(VLOOKUP($A220,SortedDownload!$A$3:$BB$219,37,FALSE)=0,"-",VLOOKUP($A220,SortedDownload!$A$3:$BB$219,37,FALSE)/86400000),"-")</f>
        <v>-</v>
      </c>
      <c r="Q220" s="58" t="str">
        <f>IFERROR(IF(VLOOKUP($A220,SortedDownload!$A$3:$BB$219,38,FALSE)=0,"-",VLOOKUP($A220,SortedDownload!$A$3:$BB$219,38,FALSE)/86400000),"-")</f>
        <v>-</v>
      </c>
      <c r="R220" s="58">
        <f>IFERROR(IF(VLOOKUP($A220,SortedDownload!$A$3:$BB$219,39,FALSE)=0,"-",VLOOKUP($A220,SortedDownload!$A$3:$BB$219,39,FALSE)/86400000),"-")</f>
        <v>0.42555342592592593</v>
      </c>
      <c r="S220" s="58">
        <f>IFERROR(IF(VLOOKUP($A220,SortedDownload!$A$3:$BB$219,40,FALSE)=0,"-",VLOOKUP($A220,SortedDownload!$A$3:$BB$219,40,FALSE)/86400000),"-")</f>
        <v>0.4300788888888889</v>
      </c>
      <c r="T220" s="58" t="str">
        <f>IFERROR(IF(VLOOKUP($A220,SortedDownload!$A$3:$BB$219,41,FALSE)=0,"-",VLOOKUP($A220,SortedDownload!$A$3:$BB$219,41,FALSE)/86400000),"-")</f>
        <v>-</v>
      </c>
      <c r="U220" s="58" t="str">
        <f>IFERROR(IF(VLOOKUP($A220,SortedDownload!$A$3:$BB$219,42,FALSE)=0,"-",VLOOKUP($A220,SortedDownload!$A$3:$BB$219,42,FALSE)/86400000),"-")</f>
        <v>-</v>
      </c>
      <c r="V220" s="58" t="str">
        <f>IFERROR(IF(VLOOKUP($A220,SortedDownload!$A$3:$BB$219,43,FALSE)=0,"-",VLOOKUP($A220,SortedDownload!$A$3:$BB$219,43,FALSE)/86400000),"-")</f>
        <v>-</v>
      </c>
      <c r="W220" s="58" t="str">
        <f>IFERROR(IF(VLOOKUP($A220,SortedDownload!$A$3:$BB$219,44,FALSE)=0,"-",VLOOKUP($A220,SortedDownload!$A$3:$BB$219,44,FALSE)/86400000),"-")</f>
        <v>-</v>
      </c>
      <c r="X220" s="58" t="str">
        <f>IFERROR(IF(VLOOKUP($A220,SortedDownload!$A$3:$BB$219,45,FALSE)=0,"-",VLOOKUP($A220,SortedDownload!$A$3:$BB$219,45,FALSE)/86400000),"-")</f>
        <v>-</v>
      </c>
      <c r="Y220" s="58">
        <f>IFERROR(VLOOKUP($A220,SortedDownload!$A$3:$BB$219,46,FALSE)/86400000,"")</f>
        <v>0</v>
      </c>
      <c r="Z220" s="58">
        <f>IFERROR(Table932[[#This Row],[End Time]]-Table932[[#This Row],[Start Time]],"")</f>
        <v>0</v>
      </c>
      <c r="AA220" s="58"/>
      <c r="AB220" s="170">
        <f t="shared" si="22"/>
        <v>0</v>
      </c>
      <c r="AC220" s="170">
        <f t="shared" si="23"/>
        <v>0.40741215277777776</v>
      </c>
    </row>
    <row r="221" spans="1:29">
      <c r="A221" s="53">
        <f>IF(SortedDownload!A214 &lt; 1,"",SortedDownload!A214)</f>
        <v>120</v>
      </c>
      <c r="B221" s="146">
        <f t="shared" si="20"/>
        <v>216</v>
      </c>
      <c r="C221" s="146" t="str">
        <f>IFERROR(VLOOKUP($A221,CategoryResults!$A$3:$X$252,3,FALSE),"")</f>
        <v/>
      </c>
      <c r="D221" s="149" t="str">
        <f>IFERROR(VLOOKUP($A221,EntryList!$A$3:$N$291,2,FALSE),"")</f>
        <v>Gregg Blomeyer</v>
      </c>
      <c r="E221" s="146" t="str">
        <f>IFERROR(VLOOKUP(C221,SeriesPoints!$A$2:$B$51,2,FALSE),"")</f>
        <v/>
      </c>
      <c r="F221" s="150" t="str">
        <f>IFERROR(VLOOKUP($A221,EntryList!$A$3:$V$291,22,FALSE),"")</f>
        <v>-</v>
      </c>
      <c r="G221" s="148" t="str">
        <f>IFERROR(VLOOKUP($A221,EntryList!$A$3:$N$291,6,FALSE),"")</f>
        <v>M</v>
      </c>
      <c r="H221" s="226" t="str">
        <f>IFERROR(VLOOKUP($A221,EntryList!$A$3:$N$291,7,FALSE),"")</f>
        <v>Lite M</v>
      </c>
      <c r="I221" s="220">
        <f t="shared" si="21"/>
        <v>6</v>
      </c>
      <c r="J221" s="58">
        <f>IFERROR(VLOOKUP($A221,SortedDownload!$A$3:$BB$219,31,FALSE)/86400000,"")</f>
        <v>0</v>
      </c>
      <c r="K221" s="58" t="str">
        <f>IFERROR(IF(VLOOKUP($A221,SortedDownload!$A$3:$BB$219,32,FALSE)=0,"-",VLOOKUP($A221,SortedDownload!$A$3:$BB$219,32,FALSE)/86400000),"-")</f>
        <v>-</v>
      </c>
      <c r="L221" s="58">
        <f>IFERROR(IF(VLOOKUP($A221,SortedDownload!$A$3:$BB$219,33,FALSE)=0,"-",VLOOKUP($A221,SortedDownload!$A$3:$BB$219,33,FALSE)/86400000),"-")</f>
        <v>0.44000616898148148</v>
      </c>
      <c r="M221" s="58">
        <f>IFERROR(IF(VLOOKUP($A221,SortedDownload!$A$3:$BB$219,34,FALSE)=0,"-",VLOOKUP($A221,SortedDownload!$A$3:$BB$219,34,FALSE)/86400000),"-")</f>
        <v>0.44342758101851854</v>
      </c>
      <c r="N221" s="58">
        <f>IFERROR(IF(VLOOKUP($A221,SortedDownload!$A$3:$BB$219,35,FALSE)=0,"-",VLOOKUP($A221,SortedDownload!$A$3:$BB$219,35,FALSE)/86400000),"-")</f>
        <v>0.38153791666666664</v>
      </c>
      <c r="O221" s="58">
        <f>IFERROR(IF(VLOOKUP($A221,SortedDownload!$A$3:$BB$219,36,FALSE)=0,"-",VLOOKUP($A221,SortedDownload!$A$3:$BB$219,36,FALSE)/86400000),"-")</f>
        <v>0.3836116898148148</v>
      </c>
      <c r="P221" s="58" t="str">
        <f>IFERROR(IF(VLOOKUP($A221,SortedDownload!$A$3:$BB$219,37,FALSE)=0,"-",VLOOKUP($A221,SortedDownload!$A$3:$BB$219,37,FALSE)/86400000),"-")</f>
        <v>-</v>
      </c>
      <c r="Q221" s="58" t="str">
        <f>IFERROR(IF(VLOOKUP($A221,SortedDownload!$A$3:$BB$219,38,FALSE)=0,"-",VLOOKUP($A221,SortedDownload!$A$3:$BB$219,38,FALSE)/86400000),"-")</f>
        <v>-</v>
      </c>
      <c r="R221" s="58">
        <f>IFERROR(IF(VLOOKUP($A221,SortedDownload!$A$3:$BB$219,39,FALSE)=0,"-",VLOOKUP($A221,SortedDownload!$A$3:$BB$219,39,FALSE)/86400000),"-")</f>
        <v>0.50981453703703705</v>
      </c>
      <c r="S221" s="58">
        <f>IFERROR(IF(VLOOKUP($A221,SortedDownload!$A$3:$BB$219,40,FALSE)=0,"-",VLOOKUP($A221,SortedDownload!$A$3:$BB$219,40,FALSE)/86400000),"-")</f>
        <v>0.51468373842592596</v>
      </c>
      <c r="T221" s="58" t="str">
        <f>IFERROR(IF(VLOOKUP($A221,SortedDownload!$A$3:$BB$219,41,FALSE)=0,"-",VLOOKUP($A221,SortedDownload!$A$3:$BB$219,41,FALSE)/86400000),"-")</f>
        <v>-</v>
      </c>
      <c r="U221" s="58" t="str">
        <f>IFERROR(IF(VLOOKUP($A221,SortedDownload!$A$3:$BB$219,42,FALSE)=0,"-",VLOOKUP($A221,SortedDownload!$A$3:$BB$219,42,FALSE)/86400000),"-")</f>
        <v>-</v>
      </c>
      <c r="V221" s="58" t="str">
        <f>IFERROR(IF(VLOOKUP($A221,SortedDownload!$A$3:$BB$219,43,FALSE)=0,"-",VLOOKUP($A221,SortedDownload!$A$3:$BB$219,43,FALSE)/86400000),"-")</f>
        <v>-</v>
      </c>
      <c r="W221" s="58" t="str">
        <f>IFERROR(IF(VLOOKUP($A221,SortedDownload!$A$3:$BB$219,44,FALSE)=0,"-",VLOOKUP($A221,SortedDownload!$A$3:$BB$219,44,FALSE)/86400000),"-")</f>
        <v>-</v>
      </c>
      <c r="X221" s="58" t="str">
        <f>IFERROR(IF(VLOOKUP($A221,SortedDownload!$A$3:$BB$219,45,FALSE)=0,"-",VLOOKUP($A221,SortedDownload!$A$3:$BB$219,45,FALSE)/86400000),"-")</f>
        <v>-</v>
      </c>
      <c r="Y221" s="58">
        <f>IFERROR(VLOOKUP($A221,SortedDownload!$A$3:$BB$219,46,FALSE)/86400000,"")</f>
        <v>0</v>
      </c>
      <c r="Z221" s="58">
        <f>IFERROR(Table932[[#This Row],[End Time]]-Table932[[#This Row],[Start Time]],"")</f>
        <v>0</v>
      </c>
      <c r="AA221" s="58"/>
      <c r="AB221" s="170">
        <f t="shared" si="22"/>
        <v>0</v>
      </c>
      <c r="AC221" s="170">
        <f t="shared" si="23"/>
        <v>0.40741215277777776</v>
      </c>
    </row>
    <row r="222" spans="1:29">
      <c r="A222" s="53">
        <f>IF(SortedDownload!A215 &lt; 1,"",SortedDownload!A215)</f>
        <v>93</v>
      </c>
      <c r="B222" s="146">
        <f t="shared" si="20"/>
        <v>217</v>
      </c>
      <c r="C222" s="146" t="str">
        <f>IFERROR(VLOOKUP($A222,CategoryResults!$A$3:$X$252,3,FALSE),"")</f>
        <v/>
      </c>
      <c r="D222" s="149" t="str">
        <f>IFERROR(VLOOKUP($A222,EntryList!$A$3:$N$291,2,FALSE),"")</f>
        <v>Michael Morgan</v>
      </c>
      <c r="E222" s="146" t="str">
        <f>IFERROR(VLOOKUP(C222,SeriesPoints!$A$2:$B$51,2,FALSE),"")</f>
        <v/>
      </c>
      <c r="F222" s="150" t="str">
        <f>IFERROR(VLOOKUP($A222,EntryList!$A$3:$V$291,22,FALSE),"")</f>
        <v>-</v>
      </c>
      <c r="G222" s="148" t="str">
        <f>IFERROR(VLOOKUP($A222,EntryList!$A$3:$N$291,6,FALSE),"")</f>
        <v>M</v>
      </c>
      <c r="H222" s="226" t="str">
        <f>IFERROR(VLOOKUP($A222,EntryList!$A$3:$N$291,7,FALSE),"")</f>
        <v>Lite M</v>
      </c>
      <c r="I222" s="220">
        <f t="shared" si="21"/>
        <v>6</v>
      </c>
      <c r="J222" s="58">
        <f>IFERROR(VLOOKUP($A222,SortedDownload!$A$3:$BB$219,31,FALSE)/86400000,"")</f>
        <v>0</v>
      </c>
      <c r="K222" s="58" t="str">
        <f>IFERROR(IF(VLOOKUP($A222,SortedDownload!$A$3:$BB$219,32,FALSE)=0,"-",VLOOKUP($A222,SortedDownload!$A$3:$BB$219,32,FALSE)/86400000),"-")</f>
        <v>-</v>
      </c>
      <c r="L222" s="58">
        <f>IFERROR(IF(VLOOKUP($A222,SortedDownload!$A$3:$BB$219,33,FALSE)=0,"-",VLOOKUP($A222,SortedDownload!$A$3:$BB$219,33,FALSE)/86400000),"-")</f>
        <v>0.39110005787037039</v>
      </c>
      <c r="M222" s="58">
        <f>IFERROR(IF(VLOOKUP($A222,SortedDownload!$A$3:$BB$219,34,FALSE)=0,"-",VLOOKUP($A222,SortedDownload!$A$3:$BB$219,34,FALSE)/86400000),"-")</f>
        <v>0.39473015046296295</v>
      </c>
      <c r="N222" s="58">
        <f>IFERROR(IF(VLOOKUP($A222,SortedDownload!$A$3:$BB$219,35,FALSE)=0,"-",VLOOKUP($A222,SortedDownload!$A$3:$BB$219,35,FALSE)/86400000),"-")</f>
        <v>0.43067494212962965</v>
      </c>
      <c r="O222" s="58">
        <f>IFERROR(IF(VLOOKUP($A222,SortedDownload!$A$3:$BB$219,36,FALSE)=0,"-",VLOOKUP($A222,SortedDownload!$A$3:$BB$219,36,FALSE)/86400000),"-")</f>
        <v>0.43277839120370371</v>
      </c>
      <c r="P222" s="58" t="str">
        <f>IFERROR(IF(VLOOKUP($A222,SortedDownload!$A$3:$BB$219,37,FALSE)=0,"-",VLOOKUP($A222,SortedDownload!$A$3:$BB$219,37,FALSE)/86400000),"-")</f>
        <v>-</v>
      </c>
      <c r="Q222" s="58" t="str">
        <f>IFERROR(IF(VLOOKUP($A222,SortedDownload!$A$3:$BB$219,38,FALSE)=0,"-",VLOOKUP($A222,SortedDownload!$A$3:$BB$219,38,FALSE)/86400000),"-")</f>
        <v>-</v>
      </c>
      <c r="R222" s="58">
        <f>IFERROR(IF(VLOOKUP($A222,SortedDownload!$A$3:$BB$219,39,FALSE)=0,"-",VLOOKUP($A222,SortedDownload!$A$3:$BB$219,39,FALSE)/86400000),"-")</f>
        <v>0.48630909722222221</v>
      </c>
      <c r="S222" s="58">
        <f>IFERROR(IF(VLOOKUP($A222,SortedDownload!$A$3:$BB$219,40,FALSE)=0,"-",VLOOKUP($A222,SortedDownload!$A$3:$BB$219,40,FALSE)/86400000),"-")</f>
        <v>0.49101920138888888</v>
      </c>
      <c r="T222" s="58" t="str">
        <f>IFERROR(IF(VLOOKUP($A222,SortedDownload!$A$3:$BB$219,41,FALSE)=0,"-",VLOOKUP($A222,SortedDownload!$A$3:$BB$219,41,FALSE)/86400000),"-")</f>
        <v>-</v>
      </c>
      <c r="U222" s="58" t="str">
        <f>IFERROR(IF(VLOOKUP($A222,SortedDownload!$A$3:$BB$219,42,FALSE)=0,"-",VLOOKUP($A222,SortedDownload!$A$3:$BB$219,42,FALSE)/86400000),"-")</f>
        <v>-</v>
      </c>
      <c r="V222" s="58" t="str">
        <f>IFERROR(IF(VLOOKUP($A222,SortedDownload!$A$3:$BB$219,43,FALSE)=0,"-",VLOOKUP($A222,SortedDownload!$A$3:$BB$219,43,FALSE)/86400000),"-")</f>
        <v>-</v>
      </c>
      <c r="W222" s="58" t="str">
        <f>IFERROR(IF(VLOOKUP($A222,SortedDownload!$A$3:$BB$219,44,FALSE)=0,"-",VLOOKUP($A222,SortedDownload!$A$3:$BB$219,44,FALSE)/86400000),"-")</f>
        <v>-</v>
      </c>
      <c r="X222" s="58" t="str">
        <f>IFERROR(IF(VLOOKUP($A222,SortedDownload!$A$3:$BB$219,45,FALSE)=0,"-",VLOOKUP($A222,SortedDownload!$A$3:$BB$219,45,FALSE)/86400000),"-")</f>
        <v>-</v>
      </c>
      <c r="Y222" s="58">
        <f>IFERROR(VLOOKUP($A222,SortedDownload!$A$3:$BB$219,46,FALSE)/86400000,"")</f>
        <v>0</v>
      </c>
      <c r="Z222" s="58">
        <f>IFERROR(Table932[[#This Row],[End Time]]-Table932[[#This Row],[Start Time]],"")</f>
        <v>0</v>
      </c>
      <c r="AA222" s="58"/>
      <c r="AB222" s="170">
        <f t="shared" si="22"/>
        <v>0</v>
      </c>
      <c r="AC222" s="170">
        <f t="shared" si="23"/>
        <v>0.40741215277777776</v>
      </c>
    </row>
    <row r="223" spans="1:29">
      <c r="A223" s="53">
        <f>IF(SortedDownload!A216 &lt; 1,"",SortedDownload!A216)</f>
        <v>224</v>
      </c>
      <c r="B223" s="146">
        <f t="shared" si="20"/>
        <v>218</v>
      </c>
      <c r="C223" s="146" t="str">
        <f>IFERROR(VLOOKUP($A223,CategoryResults!$A$3:$X$252,3,FALSE),"")</f>
        <v/>
      </c>
      <c r="D223" s="149" t="str">
        <f>IFERROR(VLOOKUP($A223,EntryList!$A$3:$N$291,2,FALSE),"")</f>
        <v>Dj Oosthuizen</v>
      </c>
      <c r="E223" s="146" t="str">
        <f>IFERROR(VLOOKUP(C223,SeriesPoints!$A$2:$B$51,2,FALSE),"")</f>
        <v/>
      </c>
      <c r="F223" s="150" t="str">
        <f>IFERROR(VLOOKUP($A223,EntryList!$A$3:$V$291,22,FALSE),"")</f>
        <v>-</v>
      </c>
      <c r="G223" s="148" t="str">
        <f>IFERROR(VLOOKUP($A223,EntryList!$A$3:$N$291,6,FALSE),"")</f>
        <v>M</v>
      </c>
      <c r="H223" s="226" t="str">
        <f>IFERROR(VLOOKUP($A223,EntryList!$A$3:$N$291,7,FALSE),"")</f>
        <v>Lite M</v>
      </c>
      <c r="I223" s="220">
        <f t="shared" si="21"/>
        <v>6</v>
      </c>
      <c r="J223" s="58">
        <f>IFERROR(VLOOKUP($A223,SortedDownload!$A$3:$BB$219,31,FALSE)/86400000,"")</f>
        <v>0</v>
      </c>
      <c r="K223" s="58" t="str">
        <f>IFERROR(IF(VLOOKUP($A223,SortedDownload!$A$3:$BB$219,32,FALSE)=0,"-",VLOOKUP($A223,SortedDownload!$A$3:$BB$219,32,FALSE)/86400000),"-")</f>
        <v>-</v>
      </c>
      <c r="L223" s="58">
        <f>IFERROR(IF(VLOOKUP($A223,SortedDownload!$A$3:$BB$219,33,FALSE)=0,"-",VLOOKUP($A223,SortedDownload!$A$3:$BB$219,33,FALSE)/86400000),"-")</f>
        <v>0.43990092592592595</v>
      </c>
      <c r="M223" s="58">
        <f>IFERROR(IF(VLOOKUP($A223,SortedDownload!$A$3:$BB$219,34,FALSE)=0,"-",VLOOKUP($A223,SortedDownload!$A$3:$BB$219,34,FALSE)/86400000),"-")</f>
        <v>0.44332850694444442</v>
      </c>
      <c r="N223" s="58">
        <f>IFERROR(IF(VLOOKUP($A223,SortedDownload!$A$3:$BB$219,35,FALSE)=0,"-",VLOOKUP($A223,SortedDownload!$A$3:$BB$219,35,FALSE)/86400000),"-")</f>
        <v>0.38157246527777777</v>
      </c>
      <c r="O223" s="58">
        <f>IFERROR(IF(VLOOKUP($A223,SortedDownload!$A$3:$BB$219,36,FALSE)=0,"-",VLOOKUP($A223,SortedDownload!$A$3:$BB$219,36,FALSE)/86400000),"-")</f>
        <v>0.38365468749999998</v>
      </c>
      <c r="P223" s="58" t="str">
        <f>IFERROR(IF(VLOOKUP($A223,SortedDownload!$A$3:$BB$219,37,FALSE)=0,"-",VLOOKUP($A223,SortedDownload!$A$3:$BB$219,37,FALSE)/86400000),"-")</f>
        <v>-</v>
      </c>
      <c r="Q223" s="58" t="str">
        <f>IFERROR(IF(VLOOKUP($A223,SortedDownload!$A$3:$BB$219,38,FALSE)=0,"-",VLOOKUP($A223,SortedDownload!$A$3:$BB$219,38,FALSE)/86400000),"-")</f>
        <v>-</v>
      </c>
      <c r="R223" s="58">
        <f>IFERROR(IF(VLOOKUP($A223,SortedDownload!$A$3:$BB$219,39,FALSE)=0,"-",VLOOKUP($A223,SortedDownload!$A$3:$BB$219,39,FALSE)/86400000),"-")</f>
        <v>0.50974648148148149</v>
      </c>
      <c r="S223" s="58">
        <f>IFERROR(IF(VLOOKUP($A223,SortedDownload!$A$3:$BB$219,40,FALSE)=0,"-",VLOOKUP($A223,SortedDownload!$A$3:$BB$219,40,FALSE)/86400000),"-")</f>
        <v>0.51472004629629631</v>
      </c>
      <c r="T223" s="58" t="str">
        <f>IFERROR(IF(VLOOKUP($A223,SortedDownload!$A$3:$BB$219,41,FALSE)=0,"-",VLOOKUP($A223,SortedDownload!$A$3:$BB$219,41,FALSE)/86400000),"-")</f>
        <v>-</v>
      </c>
      <c r="U223" s="58" t="str">
        <f>IFERROR(IF(VLOOKUP($A223,SortedDownload!$A$3:$BB$219,42,FALSE)=0,"-",VLOOKUP($A223,SortedDownload!$A$3:$BB$219,42,FALSE)/86400000),"-")</f>
        <v>-</v>
      </c>
      <c r="V223" s="58" t="str">
        <f>IFERROR(IF(VLOOKUP($A223,SortedDownload!$A$3:$BB$219,43,FALSE)=0,"-",VLOOKUP($A223,SortedDownload!$A$3:$BB$219,43,FALSE)/86400000),"-")</f>
        <v>-</v>
      </c>
      <c r="W223" s="58" t="str">
        <f>IFERROR(IF(VLOOKUP($A223,SortedDownload!$A$3:$BB$219,44,FALSE)=0,"-",VLOOKUP($A223,SortedDownload!$A$3:$BB$219,44,FALSE)/86400000),"-")</f>
        <v>-</v>
      </c>
      <c r="X223" s="58" t="str">
        <f>IFERROR(IF(VLOOKUP($A223,SortedDownload!$A$3:$BB$219,45,FALSE)=0,"-",VLOOKUP($A223,SortedDownload!$A$3:$BB$219,45,FALSE)/86400000),"-")</f>
        <v>-</v>
      </c>
      <c r="Y223" s="58">
        <f>IFERROR(VLOOKUP($A223,SortedDownload!$A$3:$BB$219,46,FALSE)/86400000,"")</f>
        <v>0</v>
      </c>
      <c r="Z223" s="58">
        <f>IFERROR(Table932[[#This Row],[End Time]]-Table932[[#This Row],[Start Time]],"")</f>
        <v>0</v>
      </c>
      <c r="AA223" s="58"/>
      <c r="AB223" s="170">
        <f t="shared" si="22"/>
        <v>0</v>
      </c>
      <c r="AC223" s="170">
        <f t="shared" si="23"/>
        <v>0.40741215277777776</v>
      </c>
    </row>
    <row r="224" spans="1:29">
      <c r="A224" s="53">
        <f>IF(SortedDownload!A217 &lt; 1,"",SortedDownload!A217)</f>
        <v>37</v>
      </c>
      <c r="B224" s="146">
        <f t="shared" si="20"/>
        <v>219</v>
      </c>
      <c r="C224" s="146" t="str">
        <f>IFERROR(VLOOKUP($A224,CategoryResults!$A$3:$X$252,3,FALSE),"")</f>
        <v/>
      </c>
      <c r="D224" s="149" t="str">
        <f>IFERROR(VLOOKUP($A224,EntryList!$A$3:$N$291,2,FALSE),"")</f>
        <v>Bradley Stow</v>
      </c>
      <c r="E224" s="146" t="str">
        <f>IFERROR(VLOOKUP(C224,SeriesPoints!$A$2:$B$51,2,FALSE),"")</f>
        <v/>
      </c>
      <c r="F224" s="150" t="str">
        <f>IFERROR(VLOOKUP($A224,EntryList!$A$3:$V$291,22,FALSE),"")</f>
        <v>-</v>
      </c>
      <c r="G224" s="148" t="str">
        <f>IFERROR(VLOOKUP($A224,EntryList!$A$3:$N$291,6,FALSE),"")</f>
        <v>M</v>
      </c>
      <c r="H224" s="226" t="str">
        <f>IFERROR(VLOOKUP($A224,EntryList!$A$3:$N$291,7,FALSE),"")</f>
        <v>Lite M</v>
      </c>
      <c r="I224" s="220">
        <f t="shared" si="21"/>
        <v>6</v>
      </c>
      <c r="J224" s="58">
        <f>IFERROR(VLOOKUP($A224,SortedDownload!$A$3:$BB$219,31,FALSE)/86400000,"")</f>
        <v>0</v>
      </c>
      <c r="K224" s="58" t="str">
        <f>IFERROR(IF(VLOOKUP($A224,SortedDownload!$A$3:$BB$219,32,FALSE)=0,"-",VLOOKUP($A224,SortedDownload!$A$3:$BB$219,32,FALSE)/86400000),"-")</f>
        <v>-</v>
      </c>
      <c r="L224" s="58">
        <f>IFERROR(IF(VLOOKUP($A224,SortedDownload!$A$3:$BB$219,33,FALSE)=0,"-",VLOOKUP($A224,SortedDownload!$A$3:$BB$219,33,FALSE)/86400000),"-")</f>
        <v>0.42100850694444447</v>
      </c>
      <c r="M224" s="58">
        <f>IFERROR(IF(VLOOKUP($A224,SortedDownload!$A$3:$BB$219,34,FALSE)=0,"-",VLOOKUP($A224,SortedDownload!$A$3:$BB$219,34,FALSE)/86400000),"-")</f>
        <v>0.42405885416666667</v>
      </c>
      <c r="N224" s="58">
        <f>IFERROR(IF(VLOOKUP($A224,SortedDownload!$A$3:$BB$219,35,FALSE)=0,"-",VLOOKUP($A224,SortedDownload!$A$3:$BB$219,35,FALSE)/86400000),"-")</f>
        <v>0.47610081018518519</v>
      </c>
      <c r="O224" s="58">
        <f>IFERROR(IF(VLOOKUP($A224,SortedDownload!$A$3:$BB$219,36,FALSE)=0,"-",VLOOKUP($A224,SortedDownload!$A$3:$BB$219,36,FALSE)/86400000),"-")</f>
        <v>0.47811594907407406</v>
      </c>
      <c r="P224" s="58" t="str">
        <f>IFERROR(IF(VLOOKUP($A224,SortedDownload!$A$3:$BB$219,37,FALSE)=0,"-",VLOOKUP($A224,SortedDownload!$A$3:$BB$219,37,FALSE)/86400000),"-")</f>
        <v>-</v>
      </c>
      <c r="Q224" s="58" t="str">
        <f>IFERROR(IF(VLOOKUP($A224,SortedDownload!$A$3:$BB$219,38,FALSE)=0,"-",VLOOKUP($A224,SortedDownload!$A$3:$BB$219,38,FALSE)/86400000),"-")</f>
        <v>-</v>
      </c>
      <c r="R224" s="58">
        <f>IFERROR(IF(VLOOKUP($A224,SortedDownload!$A$3:$BB$219,39,FALSE)=0,"-",VLOOKUP($A224,SortedDownload!$A$3:$BB$219,39,FALSE)/86400000),"-")</f>
        <v>0.52246208333333333</v>
      </c>
      <c r="S224" s="58">
        <f>IFERROR(IF(VLOOKUP($A224,SortedDownload!$A$3:$BB$219,40,FALSE)=0,"-",VLOOKUP($A224,SortedDownload!$A$3:$BB$219,40,FALSE)/86400000),"-")</f>
        <v>0.52794854166666672</v>
      </c>
      <c r="T224" s="58" t="str">
        <f>IFERROR(IF(VLOOKUP($A224,SortedDownload!$A$3:$BB$219,41,FALSE)=0,"-",VLOOKUP($A224,SortedDownload!$A$3:$BB$219,41,FALSE)/86400000),"-")</f>
        <v>-</v>
      </c>
      <c r="U224" s="58" t="str">
        <f>IFERROR(IF(VLOOKUP($A224,SortedDownload!$A$3:$BB$219,42,FALSE)=0,"-",VLOOKUP($A224,SortedDownload!$A$3:$BB$219,42,FALSE)/86400000),"-")</f>
        <v>-</v>
      </c>
      <c r="V224" s="58" t="str">
        <f>IFERROR(IF(VLOOKUP($A224,SortedDownload!$A$3:$BB$219,43,FALSE)=0,"-",VLOOKUP($A224,SortedDownload!$A$3:$BB$219,43,FALSE)/86400000),"-")</f>
        <v>-</v>
      </c>
      <c r="W224" s="58" t="str">
        <f>IFERROR(IF(VLOOKUP($A224,SortedDownload!$A$3:$BB$219,44,FALSE)=0,"-",VLOOKUP($A224,SortedDownload!$A$3:$BB$219,44,FALSE)/86400000),"-")</f>
        <v>-</v>
      </c>
      <c r="X224" s="58" t="str">
        <f>IFERROR(IF(VLOOKUP($A224,SortedDownload!$A$3:$BB$219,45,FALSE)=0,"-",VLOOKUP($A224,SortedDownload!$A$3:$BB$219,45,FALSE)/86400000),"-")</f>
        <v>-</v>
      </c>
      <c r="Y224" s="58">
        <f>IFERROR(VLOOKUP($A224,SortedDownload!$A$3:$BB$219,46,FALSE)/86400000,"")</f>
        <v>0</v>
      </c>
      <c r="Z224" s="58">
        <f>IFERROR(Table932[[#This Row],[End Time]]-Table932[[#This Row],[Start Time]],"")</f>
        <v>0</v>
      </c>
      <c r="AA224" s="58"/>
      <c r="AB224" s="170">
        <f t="shared" si="22"/>
        <v>0</v>
      </c>
      <c r="AC224" s="170">
        <f t="shared" si="23"/>
        <v>0.40741215277777776</v>
      </c>
    </row>
    <row r="225" spans="1:29">
      <c r="A225" s="53">
        <f>IF(SortedDownload!A218 &lt; 1,"",SortedDownload!A218)</f>
        <v>112</v>
      </c>
      <c r="B225" s="146">
        <f t="shared" si="20"/>
        <v>220</v>
      </c>
      <c r="C225" s="146" t="str">
        <f>IFERROR(VLOOKUP($A225,CategoryResults!$A$3:$X$252,3,FALSE),"")</f>
        <v/>
      </c>
      <c r="D225" s="149" t="str">
        <f>IFERROR(VLOOKUP($A225,EntryList!$A$3:$N$291,2,FALSE),"")</f>
        <v>Yaseen Enos</v>
      </c>
      <c r="E225" s="146" t="str">
        <f>IFERROR(VLOOKUP(C225,SeriesPoints!$A$2:$B$51,2,FALSE),"")</f>
        <v/>
      </c>
      <c r="F225" s="150" t="str">
        <f>IFERROR(VLOOKUP($A225,EntryList!$A$3:$V$291,22,FALSE),"")</f>
        <v>-</v>
      </c>
      <c r="G225" s="148" t="str">
        <f>IFERROR(VLOOKUP($A225,EntryList!$A$3:$N$291,6,FALSE),"")</f>
        <v>M</v>
      </c>
      <c r="H225" s="226" t="str">
        <f>IFERROR(VLOOKUP($A225,EntryList!$A$3:$N$291,7,FALSE),"")</f>
        <v>Lite M</v>
      </c>
      <c r="I225" s="220">
        <f t="shared" si="21"/>
        <v>6</v>
      </c>
      <c r="J225" s="58">
        <f>IFERROR(VLOOKUP($A225,SortedDownload!$A$3:$BB$219,31,FALSE)/86400000,"")</f>
        <v>0</v>
      </c>
      <c r="K225" s="58" t="str">
        <f>IFERROR(IF(VLOOKUP($A225,SortedDownload!$A$3:$BB$219,32,FALSE)=0,"-",VLOOKUP($A225,SortedDownload!$A$3:$BB$219,32,FALSE)/86400000),"-")</f>
        <v>-</v>
      </c>
      <c r="L225" s="58">
        <f>IFERROR(IF(VLOOKUP($A225,SortedDownload!$A$3:$BB$219,33,FALSE)=0,"-",VLOOKUP($A225,SortedDownload!$A$3:$BB$219,33,FALSE)/86400000),"-")</f>
        <v>0.38757928240740741</v>
      </c>
      <c r="M225" s="58">
        <f>IFERROR(IF(VLOOKUP($A225,SortedDownload!$A$3:$BB$219,34,FALSE)=0,"-",VLOOKUP($A225,SortedDownload!$A$3:$BB$219,34,FALSE)/86400000),"-")</f>
        <v>0.39140587962962964</v>
      </c>
      <c r="N225" s="58">
        <f>IFERROR(IF(VLOOKUP($A225,SortedDownload!$A$3:$BB$219,35,FALSE)=0,"-",VLOOKUP($A225,SortedDownload!$A$3:$BB$219,35,FALSE)/86400000),"-")</f>
        <v>0.41575458333333332</v>
      </c>
      <c r="O225" s="58">
        <f>IFERROR(IF(VLOOKUP($A225,SortedDownload!$A$3:$BB$219,36,FALSE)=0,"-",VLOOKUP($A225,SortedDownload!$A$3:$BB$219,36,FALSE)/86400000),"-")</f>
        <v>0.41787774305555553</v>
      </c>
      <c r="P225" s="58" t="str">
        <f>IFERROR(IF(VLOOKUP($A225,SortedDownload!$A$3:$BB$219,37,FALSE)=0,"-",VLOOKUP($A225,SortedDownload!$A$3:$BB$219,37,FALSE)/86400000),"-")</f>
        <v>-</v>
      </c>
      <c r="Q225" s="58" t="str">
        <f>IFERROR(IF(VLOOKUP($A225,SortedDownload!$A$3:$BB$219,38,FALSE)=0,"-",VLOOKUP($A225,SortedDownload!$A$3:$BB$219,38,FALSE)/86400000),"-")</f>
        <v>-</v>
      </c>
      <c r="R225" s="58">
        <f>IFERROR(IF(VLOOKUP($A225,SortedDownload!$A$3:$BB$219,39,FALSE)=0,"-",VLOOKUP($A225,SortedDownload!$A$3:$BB$219,39,FALSE)/86400000),"-")</f>
        <v>0.44480586805555555</v>
      </c>
      <c r="S225" s="58">
        <f>IFERROR(IF(VLOOKUP($A225,SortedDownload!$A$3:$BB$219,40,FALSE)=0,"-",VLOOKUP($A225,SortedDownload!$A$3:$BB$219,40,FALSE)/86400000),"-")</f>
        <v>0.44941185185185184</v>
      </c>
      <c r="T225" s="58" t="str">
        <f>IFERROR(IF(VLOOKUP($A225,SortedDownload!$A$3:$BB$219,41,FALSE)=0,"-",VLOOKUP($A225,SortedDownload!$A$3:$BB$219,41,FALSE)/86400000),"-")</f>
        <v>-</v>
      </c>
      <c r="U225" s="58" t="str">
        <f>IFERROR(IF(VLOOKUP($A225,SortedDownload!$A$3:$BB$219,42,FALSE)=0,"-",VLOOKUP($A225,SortedDownload!$A$3:$BB$219,42,FALSE)/86400000),"-")</f>
        <v>-</v>
      </c>
      <c r="V225" s="58" t="str">
        <f>IFERROR(IF(VLOOKUP($A225,SortedDownload!$A$3:$BB$219,43,FALSE)=0,"-",VLOOKUP($A225,SortedDownload!$A$3:$BB$219,43,FALSE)/86400000),"-")</f>
        <v>-</v>
      </c>
      <c r="W225" s="58" t="str">
        <f>IFERROR(IF(VLOOKUP($A225,SortedDownload!$A$3:$BB$219,44,FALSE)=0,"-",VLOOKUP($A225,SortedDownload!$A$3:$BB$219,44,FALSE)/86400000),"-")</f>
        <v>-</v>
      </c>
      <c r="X225" s="58" t="str">
        <f>IFERROR(IF(VLOOKUP($A225,SortedDownload!$A$3:$BB$219,45,FALSE)=0,"-",VLOOKUP($A225,SortedDownload!$A$3:$BB$219,45,FALSE)/86400000),"-")</f>
        <v>-</v>
      </c>
      <c r="Y225" s="58">
        <f>IFERROR(VLOOKUP($A225,SortedDownload!$A$3:$BB$219,46,FALSE)/86400000,"")</f>
        <v>0</v>
      </c>
      <c r="Z225" s="58">
        <f>IFERROR(Table932[[#This Row],[End Time]]-Table932[[#This Row],[Start Time]],"")</f>
        <v>0</v>
      </c>
      <c r="AA225" s="58"/>
      <c r="AB225" s="170">
        <f t="shared" si="22"/>
        <v>0</v>
      </c>
      <c r="AC225" s="170">
        <f t="shared" si="23"/>
        <v>0.40741215277777776</v>
      </c>
    </row>
    <row r="226" spans="1:29">
      <c r="A226" s="53">
        <f>IF(SortedDownload!A219 &lt; 1,"",SortedDownload!A219)</f>
        <v>65</v>
      </c>
      <c r="B226" s="146">
        <f t="shared" si="20"/>
        <v>221</v>
      </c>
      <c r="C226" s="146" t="str">
        <f>IFERROR(VLOOKUP($A226,CategoryResults!$A$3:$X$252,3,FALSE),"")</f>
        <v/>
      </c>
      <c r="D226" s="149" t="str">
        <f>IFERROR(VLOOKUP($A226,EntryList!$A$3:$N$291,2,FALSE),"")</f>
        <v>Matt Nicholson</v>
      </c>
      <c r="E226" s="146" t="str">
        <f>IFERROR(VLOOKUP(C226,SeriesPoints!$A$2:$B$51,2,FALSE),"")</f>
        <v/>
      </c>
      <c r="F226" s="150" t="str">
        <f>IFERROR(VLOOKUP($A226,EntryList!$A$3:$V$291,22,FALSE),"")</f>
        <v>-</v>
      </c>
      <c r="G226" s="148" t="str">
        <f>IFERROR(VLOOKUP($A226,EntryList!$A$3:$N$291,6,FALSE),"")</f>
        <v>M</v>
      </c>
      <c r="H226" s="226" t="str">
        <f>IFERROR(VLOOKUP($A226,EntryList!$A$3:$N$291,7,FALSE),"")</f>
        <v>E-Bike Lite M</v>
      </c>
      <c r="I226" s="220">
        <f t="shared" si="21"/>
        <v>6</v>
      </c>
      <c r="J226" s="58">
        <f>IFERROR(VLOOKUP($A226,SortedDownload!$A$3:$BB$219,31,FALSE)/86400000,"")</f>
        <v>0</v>
      </c>
      <c r="K226" s="58" t="str">
        <f>IFERROR(IF(VLOOKUP($A226,SortedDownload!$A$3:$BB$219,32,FALSE)=0,"-",VLOOKUP($A226,SortedDownload!$A$3:$BB$219,32,FALSE)/86400000),"-")</f>
        <v>-</v>
      </c>
      <c r="L226" s="58">
        <f>IFERROR(IF(VLOOKUP($A226,SortedDownload!$A$3:$BB$219,33,FALSE)=0,"-",VLOOKUP($A226,SortedDownload!$A$3:$BB$219,33,FALSE)/86400000),"-")</f>
        <v>0.38148003472222225</v>
      </c>
      <c r="M226" s="58">
        <f>IFERROR(IF(VLOOKUP($A226,SortedDownload!$A$3:$BB$219,34,FALSE)=0,"-",VLOOKUP($A226,SortedDownload!$A$3:$BB$219,34,FALSE)/86400000),"-")</f>
        <v>0.38533032407407408</v>
      </c>
      <c r="N226" s="58">
        <f>IFERROR(IF(VLOOKUP($A226,SortedDownload!$A$3:$BB$219,35,FALSE)=0,"-",VLOOKUP($A226,SortedDownload!$A$3:$BB$219,35,FALSE)/86400000),"-")</f>
        <v>0.4093395949074074</v>
      </c>
      <c r="O226" s="58">
        <f>IFERROR(IF(VLOOKUP($A226,SortedDownload!$A$3:$BB$219,36,FALSE)=0,"-",VLOOKUP($A226,SortedDownload!$A$3:$BB$219,36,FALSE)/86400000),"-")</f>
        <v>0.41150534722222221</v>
      </c>
      <c r="P226" s="58" t="str">
        <f>IFERROR(IF(VLOOKUP($A226,SortedDownload!$A$3:$BB$219,37,FALSE)=0,"-",VLOOKUP($A226,SortedDownload!$A$3:$BB$219,37,FALSE)/86400000),"-")</f>
        <v>-</v>
      </c>
      <c r="Q226" s="58" t="str">
        <f>IFERROR(IF(VLOOKUP($A226,SortedDownload!$A$3:$BB$219,38,FALSE)=0,"-",VLOOKUP($A226,SortedDownload!$A$3:$BB$219,38,FALSE)/86400000),"-")</f>
        <v>-</v>
      </c>
      <c r="R226" s="58">
        <f>IFERROR(IF(VLOOKUP($A226,SortedDownload!$A$3:$BB$219,39,FALSE)=0,"-",VLOOKUP($A226,SortedDownload!$A$3:$BB$219,39,FALSE)/86400000),"-")</f>
        <v>0.44354997685185188</v>
      </c>
      <c r="S226" s="58">
        <f>IFERROR(IF(VLOOKUP($A226,SortedDownload!$A$3:$BB$219,40,FALSE)=0,"-",VLOOKUP($A226,SortedDownload!$A$3:$BB$219,40,FALSE)/86400000),"-")</f>
        <v>0.44809291666666667</v>
      </c>
      <c r="T226" s="58" t="str">
        <f>IFERROR(IF(VLOOKUP($A226,SortedDownload!$A$3:$BB$219,41,FALSE)=0,"-",VLOOKUP($A226,SortedDownload!$A$3:$BB$219,41,FALSE)/86400000),"-")</f>
        <v>-</v>
      </c>
      <c r="U226" s="58" t="str">
        <f>IFERROR(IF(VLOOKUP($A226,SortedDownload!$A$3:$BB$219,42,FALSE)=0,"-",VLOOKUP($A226,SortedDownload!$A$3:$BB$219,42,FALSE)/86400000),"-")</f>
        <v>-</v>
      </c>
      <c r="V226" s="58" t="str">
        <f>IFERROR(IF(VLOOKUP($A226,SortedDownload!$A$3:$BB$219,43,FALSE)=0,"-",VLOOKUP($A226,SortedDownload!$A$3:$BB$219,43,FALSE)/86400000),"-")</f>
        <v>-</v>
      </c>
      <c r="W226" s="58" t="str">
        <f>IFERROR(IF(VLOOKUP($A226,SortedDownload!$A$3:$BB$219,44,FALSE)=0,"-",VLOOKUP($A226,SortedDownload!$A$3:$BB$219,44,FALSE)/86400000),"-")</f>
        <v>-</v>
      </c>
      <c r="X226" s="58" t="str">
        <f>IFERROR(IF(VLOOKUP($A226,SortedDownload!$A$3:$BB$219,45,FALSE)=0,"-",VLOOKUP($A226,SortedDownload!$A$3:$BB$219,45,FALSE)/86400000),"-")</f>
        <v>-</v>
      </c>
      <c r="Y226" s="58">
        <f>IFERROR(VLOOKUP($A226,SortedDownload!$A$3:$BB$219,46,FALSE)/86400000,"")</f>
        <v>0</v>
      </c>
      <c r="Z226" s="58">
        <f>IFERROR(Table932[[#This Row],[End Time]]-Table932[[#This Row],[Start Time]],"")</f>
        <v>0</v>
      </c>
      <c r="AA226" s="58"/>
      <c r="AB226" s="170">
        <f t="shared" si="22"/>
        <v>0</v>
      </c>
      <c r="AC226" s="170">
        <f t="shared" si="23"/>
        <v>0.40741215277777776</v>
      </c>
    </row>
    <row r="227" spans="1:29">
      <c r="A227" s="53">
        <f>IF(SortedDownload!A220 &lt; 1,"",SortedDownload!A220)</f>
        <v>12</v>
      </c>
      <c r="B227" s="146">
        <f t="shared" si="20"/>
        <v>222</v>
      </c>
      <c r="C227" s="146" t="str">
        <f>IFERROR(VLOOKUP($A227,CategoryResults!$A$3:$X$252,3,FALSE),"")</f>
        <v/>
      </c>
      <c r="D227" s="149" t="str">
        <f>IFERROR(VLOOKUP($A227,EntryList!$A$3:$N$291,2,FALSE),"")</f>
        <v>Dylan Wiggill</v>
      </c>
      <c r="E227" s="146" t="str">
        <f>IFERROR(VLOOKUP(C227,SeriesPoints!$A$2:$B$51,2,FALSE),"")</f>
        <v/>
      </c>
      <c r="F227" s="150" t="str">
        <f>IFERROR(VLOOKUP($A227,EntryList!$A$3:$V$291,22,FALSE),"")</f>
        <v>-</v>
      </c>
      <c r="G227" s="148" t="str">
        <f>IFERROR(VLOOKUP($A227,EntryList!$A$3:$N$291,6,FALSE),"")</f>
        <v>M</v>
      </c>
      <c r="H227" s="226" t="str">
        <f>IFERROR(VLOOKUP($A227,EntryList!$A$3:$N$291,7,FALSE),"")</f>
        <v>Sprog Boys</v>
      </c>
      <c r="I227" s="220">
        <f t="shared" si="21"/>
        <v>0</v>
      </c>
      <c r="J227" s="58" t="str">
        <f>IFERROR(VLOOKUP($A227,SortedDownload!$A$3:$BB$219,31,FALSE)/86400000,"")</f>
        <v/>
      </c>
      <c r="K227" s="58" t="str">
        <f>IFERROR(IF(VLOOKUP($A227,SortedDownload!$A$3:$BB$219,32,FALSE)=0,"-",VLOOKUP($A227,SortedDownload!$A$3:$BB$219,32,FALSE)/86400000),"-")</f>
        <v>-</v>
      </c>
      <c r="L227" s="58" t="str">
        <f>IFERROR(IF(VLOOKUP($A227,SortedDownload!$A$3:$BB$219,33,FALSE)=0,"-",VLOOKUP($A227,SortedDownload!$A$3:$BB$219,33,FALSE)/86400000),"-")</f>
        <v>-</v>
      </c>
      <c r="M227" s="58" t="str">
        <f>IFERROR(IF(VLOOKUP($A227,SortedDownload!$A$3:$BB$219,34,FALSE)=0,"-",VLOOKUP($A227,SortedDownload!$A$3:$BB$219,34,FALSE)/86400000),"-")</f>
        <v>-</v>
      </c>
      <c r="N227" s="58" t="str">
        <f>IFERROR(IF(VLOOKUP($A227,SortedDownload!$A$3:$BB$219,35,FALSE)=0,"-",VLOOKUP($A227,SortedDownload!$A$3:$BB$219,35,FALSE)/86400000),"-")</f>
        <v>-</v>
      </c>
      <c r="O227" s="58" t="str">
        <f>IFERROR(IF(VLOOKUP($A227,SortedDownload!$A$3:$BB$219,36,FALSE)=0,"-",VLOOKUP($A227,SortedDownload!$A$3:$BB$219,36,FALSE)/86400000),"-")</f>
        <v>-</v>
      </c>
      <c r="P227" s="58" t="str">
        <f>IFERROR(IF(VLOOKUP($A227,SortedDownload!$A$3:$BB$219,37,FALSE)=0,"-",VLOOKUP($A227,SortedDownload!$A$3:$BB$219,37,FALSE)/86400000),"-")</f>
        <v>-</v>
      </c>
      <c r="Q227" s="58" t="str">
        <f>IFERROR(IF(VLOOKUP($A227,SortedDownload!$A$3:$BB$219,38,FALSE)=0,"-",VLOOKUP($A227,SortedDownload!$A$3:$BB$219,38,FALSE)/86400000),"-")</f>
        <v>-</v>
      </c>
      <c r="R227" s="58" t="str">
        <f>IFERROR(IF(VLOOKUP($A227,SortedDownload!$A$3:$BB$219,39,FALSE)=0,"-",VLOOKUP($A227,SortedDownload!$A$3:$BB$219,39,FALSE)/86400000),"-")</f>
        <v>-</v>
      </c>
      <c r="S227" s="58" t="str">
        <f>IFERROR(IF(VLOOKUP($A227,SortedDownload!$A$3:$BB$219,40,FALSE)=0,"-",VLOOKUP($A227,SortedDownload!$A$3:$BB$219,40,FALSE)/86400000),"-")</f>
        <v>-</v>
      </c>
      <c r="T227" s="58" t="str">
        <f>IFERROR(IF(VLOOKUP($A227,SortedDownload!$A$3:$BB$219,41,FALSE)=0,"-",VLOOKUP($A227,SortedDownload!$A$3:$BB$219,41,FALSE)/86400000),"-")</f>
        <v>-</v>
      </c>
      <c r="U227" s="58" t="str">
        <f>IFERROR(IF(VLOOKUP($A227,SortedDownload!$A$3:$BB$219,42,FALSE)=0,"-",VLOOKUP($A227,SortedDownload!$A$3:$BB$219,42,FALSE)/86400000),"-")</f>
        <v>-</v>
      </c>
      <c r="V227" s="58" t="str">
        <f>IFERROR(IF(VLOOKUP($A227,SortedDownload!$A$3:$BB$219,43,FALSE)=0,"-",VLOOKUP($A227,SortedDownload!$A$3:$BB$219,43,FALSE)/86400000),"-")</f>
        <v>-</v>
      </c>
      <c r="W227" s="58" t="str">
        <f>IFERROR(IF(VLOOKUP($A227,SortedDownload!$A$3:$BB$219,44,FALSE)=0,"-",VLOOKUP($A227,SortedDownload!$A$3:$BB$219,44,FALSE)/86400000),"-")</f>
        <v>-</v>
      </c>
      <c r="X227" s="58" t="str">
        <f>IFERROR(IF(VLOOKUP($A227,SortedDownload!$A$3:$BB$219,45,FALSE)=0,"-",VLOOKUP($A227,SortedDownload!$A$3:$BB$219,45,FALSE)/86400000),"-")</f>
        <v>-</v>
      </c>
      <c r="Y227" s="58" t="str">
        <f>IFERROR(VLOOKUP($A227,SortedDownload!$A$3:$BB$219,46,FALSE)/86400000,"")</f>
        <v/>
      </c>
      <c r="Z227" s="58" t="str">
        <f>IFERROR(Table932[[#This Row],[End Time]]-Table932[[#This Row],[Start Time]],"")</f>
        <v/>
      </c>
      <c r="AA227" s="58"/>
      <c r="AB227" s="170" t="e">
        <f t="shared" si="22"/>
        <v>#VALUE!</v>
      </c>
      <c r="AC227" s="170" t="e">
        <f t="shared" si="23"/>
        <v>#VALUE!</v>
      </c>
    </row>
    <row r="228" spans="1:29">
      <c r="A228" s="53">
        <f>IF(SortedDownload!A218 &lt; 1,"",SortedDownload!A218)</f>
        <v>112</v>
      </c>
      <c r="B228" s="146">
        <f t="shared" si="20"/>
        <v>223</v>
      </c>
      <c r="C228" s="146" t="str">
        <f>IFERROR(VLOOKUP($A228,CategoryResults!$A$3:$X$252,3,FALSE),"")</f>
        <v/>
      </c>
      <c r="D228" s="149" t="str">
        <f>IFERROR(VLOOKUP($A228,EntryList!$A$3:$N$291,2,FALSE),"")</f>
        <v>Yaseen Enos</v>
      </c>
      <c r="E228" s="146" t="str">
        <f>IFERROR(VLOOKUP(C228,SeriesPoints!$A$2:$B$51,2,FALSE),"")</f>
        <v/>
      </c>
      <c r="F228" s="150" t="str">
        <f>IFERROR(VLOOKUP($A228,EntryList!$A$3:$V$291,22,FALSE),"")</f>
        <v>-</v>
      </c>
      <c r="G228" s="148" t="str">
        <f>IFERROR(VLOOKUP($A228,EntryList!$A$3:$N$291,6,FALSE),"")</f>
        <v>M</v>
      </c>
      <c r="H228" s="226" t="str">
        <f>IFERROR(VLOOKUP($A228,EntryList!$A$3:$N$291,7,FALSE),"")</f>
        <v>Lite M</v>
      </c>
      <c r="I228" s="220">
        <f t="shared" si="21"/>
        <v>6</v>
      </c>
      <c r="J228" s="58">
        <f>IFERROR(VLOOKUP($A228,SortedDownload!$A$3:$BB$219,31,FALSE)/86400000,"")</f>
        <v>0</v>
      </c>
      <c r="K228" s="58" t="str">
        <f>IFERROR(IF(VLOOKUP($A228,SortedDownload!$A$3:$BB$219,32,FALSE)=0,"-",VLOOKUP($A228,SortedDownload!$A$3:$BB$219,32,FALSE)/86400000),"-")</f>
        <v>-</v>
      </c>
      <c r="L228" s="58">
        <f>IFERROR(IF(VLOOKUP($A228,SortedDownload!$A$3:$BB$219,33,FALSE)=0,"-",VLOOKUP($A228,SortedDownload!$A$3:$BB$219,33,FALSE)/86400000),"-")</f>
        <v>0.38757928240740741</v>
      </c>
      <c r="M228" s="58">
        <f>IFERROR(IF(VLOOKUP($A228,SortedDownload!$A$3:$BB$219,34,FALSE)=0,"-",VLOOKUP($A228,SortedDownload!$A$3:$BB$219,34,FALSE)/86400000),"-")</f>
        <v>0.39140587962962964</v>
      </c>
      <c r="N228" s="58">
        <f>IFERROR(IF(VLOOKUP($A228,SortedDownload!$A$3:$BB$219,35,FALSE)=0,"-",VLOOKUP($A228,SortedDownload!$A$3:$BB$219,35,FALSE)/86400000),"-")</f>
        <v>0.41575458333333332</v>
      </c>
      <c r="O228" s="58">
        <f>IFERROR(IF(VLOOKUP($A228,SortedDownload!$A$3:$BB$219,36,FALSE)=0,"-",VLOOKUP($A228,SortedDownload!$A$3:$BB$219,36,FALSE)/86400000),"-")</f>
        <v>0.41787774305555553</v>
      </c>
      <c r="P228" s="58" t="str">
        <f>IFERROR(IF(VLOOKUP($A228,SortedDownload!$A$3:$BB$219,37,FALSE)=0,"-",VLOOKUP($A228,SortedDownload!$A$3:$BB$219,37,FALSE)/86400000),"-")</f>
        <v>-</v>
      </c>
      <c r="Q228" s="58" t="str">
        <f>IFERROR(IF(VLOOKUP($A228,SortedDownload!$A$3:$BB$219,38,FALSE)=0,"-",VLOOKUP($A228,SortedDownload!$A$3:$BB$219,38,FALSE)/86400000),"-")</f>
        <v>-</v>
      </c>
      <c r="R228" s="58">
        <f>IFERROR(IF(VLOOKUP($A228,SortedDownload!$A$3:$BB$219,39,FALSE)=0,"-",VLOOKUP($A228,SortedDownload!$A$3:$BB$219,39,FALSE)/86400000),"-")</f>
        <v>0.44480586805555555</v>
      </c>
      <c r="S228" s="58">
        <f>IFERROR(IF(VLOOKUP($A228,SortedDownload!$A$3:$BB$219,40,FALSE)=0,"-",VLOOKUP($A228,SortedDownload!$A$3:$BB$219,40,FALSE)/86400000),"-")</f>
        <v>0.44941185185185184</v>
      </c>
      <c r="T228" s="58" t="str">
        <f>IFERROR(IF(VLOOKUP($A228,SortedDownload!$A$3:$BB$219,41,FALSE)=0,"-",VLOOKUP($A228,SortedDownload!$A$3:$BB$219,41,FALSE)/86400000),"-")</f>
        <v>-</v>
      </c>
      <c r="U228" s="58" t="str">
        <f>IFERROR(IF(VLOOKUP($A228,SortedDownload!$A$3:$BB$219,42,FALSE)=0,"-",VLOOKUP($A228,SortedDownload!$A$3:$BB$219,42,FALSE)/86400000),"-")</f>
        <v>-</v>
      </c>
      <c r="V228" s="58" t="str">
        <f>IFERROR(IF(VLOOKUP($A228,SortedDownload!$A$3:$BB$219,43,FALSE)=0,"-",VLOOKUP($A228,SortedDownload!$A$3:$BB$219,43,FALSE)/86400000),"-")</f>
        <v>-</v>
      </c>
      <c r="W228" s="58" t="str">
        <f>IFERROR(IF(VLOOKUP($A228,SortedDownload!$A$3:$BB$219,44,FALSE)=0,"-",VLOOKUP($A228,SortedDownload!$A$3:$BB$219,44,FALSE)/86400000),"-")</f>
        <v>-</v>
      </c>
      <c r="X228" s="58" t="str">
        <f>IFERROR(IF(VLOOKUP($A228,SortedDownload!$A$3:$BB$219,45,FALSE)=0,"-",VLOOKUP($A228,SortedDownload!$A$3:$BB$219,45,FALSE)/86400000),"-")</f>
        <v>-</v>
      </c>
      <c r="Y228" s="58">
        <f>IFERROR(VLOOKUP($A228,SortedDownload!$A$3:$BB$219,46,FALSE)/86400000,"")</f>
        <v>0</v>
      </c>
      <c r="Z228" s="58">
        <f>IFERROR(Table932[[#This Row],[End Time]]-Table932[[#This Row],[Start Time]],"")</f>
        <v>0</v>
      </c>
      <c r="AA228" s="58"/>
      <c r="AB228" s="170" t="e">
        <f t="shared" si="22"/>
        <v>#VALUE!</v>
      </c>
      <c r="AC228" s="170">
        <f t="shared" si="23"/>
        <v>0.40741215277777776</v>
      </c>
    </row>
    <row r="229" spans="1:29">
      <c r="A229" s="53">
        <f>IF(SortedDownload!A219 &lt; 1,"",SortedDownload!A219)</f>
        <v>65</v>
      </c>
      <c r="B229" s="146">
        <f t="shared" si="20"/>
        <v>224</v>
      </c>
      <c r="C229" s="146" t="str">
        <f>IFERROR(VLOOKUP($A229,CategoryResults!$A$3:$X$252,3,FALSE),"")</f>
        <v/>
      </c>
      <c r="D229" s="149" t="str">
        <f>IFERROR(VLOOKUP($A229,EntryList!$A$3:$N$291,2,FALSE),"")</f>
        <v>Matt Nicholson</v>
      </c>
      <c r="E229" s="146" t="str">
        <f>IFERROR(VLOOKUP(C229,SeriesPoints!$A$2:$B$51,2,FALSE),"")</f>
        <v/>
      </c>
      <c r="F229" s="150" t="str">
        <f>IFERROR(VLOOKUP($A229,EntryList!$A$3:$V$291,22,FALSE),"")</f>
        <v>-</v>
      </c>
      <c r="G229" s="148" t="str">
        <f>IFERROR(VLOOKUP($A229,EntryList!$A$3:$N$291,6,FALSE),"")</f>
        <v>M</v>
      </c>
      <c r="H229" s="226" t="str">
        <f>IFERROR(VLOOKUP($A229,EntryList!$A$3:$N$291,7,FALSE),"")</f>
        <v>E-Bike Lite M</v>
      </c>
      <c r="I229" s="220">
        <f t="shared" si="21"/>
        <v>6</v>
      </c>
      <c r="J229" s="58">
        <f>IFERROR(VLOOKUP($A229,SortedDownload!$A$3:$BB$219,31,FALSE)/86400000,"")</f>
        <v>0</v>
      </c>
      <c r="K229" s="58" t="str">
        <f>IFERROR(IF(VLOOKUP($A229,SortedDownload!$A$3:$BB$219,32,FALSE)=0,"-",VLOOKUP($A229,SortedDownload!$A$3:$BB$219,32,FALSE)/86400000),"-")</f>
        <v>-</v>
      </c>
      <c r="L229" s="58">
        <f>IFERROR(IF(VLOOKUP($A229,SortedDownload!$A$3:$BB$219,33,FALSE)=0,"-",VLOOKUP($A229,SortedDownload!$A$3:$BB$219,33,FALSE)/86400000),"-")</f>
        <v>0.38148003472222225</v>
      </c>
      <c r="M229" s="58">
        <f>IFERROR(IF(VLOOKUP($A229,SortedDownload!$A$3:$BB$219,34,FALSE)=0,"-",VLOOKUP($A229,SortedDownload!$A$3:$BB$219,34,FALSE)/86400000),"-")</f>
        <v>0.38533032407407408</v>
      </c>
      <c r="N229" s="58">
        <f>IFERROR(IF(VLOOKUP($A229,SortedDownload!$A$3:$BB$219,35,FALSE)=0,"-",VLOOKUP($A229,SortedDownload!$A$3:$BB$219,35,FALSE)/86400000),"-")</f>
        <v>0.4093395949074074</v>
      </c>
      <c r="O229" s="58">
        <f>IFERROR(IF(VLOOKUP($A229,SortedDownload!$A$3:$BB$219,36,FALSE)=0,"-",VLOOKUP($A229,SortedDownload!$A$3:$BB$219,36,FALSE)/86400000),"-")</f>
        <v>0.41150534722222221</v>
      </c>
      <c r="P229" s="58" t="str">
        <f>IFERROR(IF(VLOOKUP($A229,SortedDownload!$A$3:$BB$219,37,FALSE)=0,"-",VLOOKUP($A229,SortedDownload!$A$3:$BB$219,37,FALSE)/86400000),"-")</f>
        <v>-</v>
      </c>
      <c r="Q229" s="58" t="str">
        <f>IFERROR(IF(VLOOKUP($A229,SortedDownload!$A$3:$BB$219,38,FALSE)=0,"-",VLOOKUP($A229,SortedDownload!$A$3:$BB$219,38,FALSE)/86400000),"-")</f>
        <v>-</v>
      </c>
      <c r="R229" s="58">
        <f>IFERROR(IF(VLOOKUP($A229,SortedDownload!$A$3:$BB$219,39,FALSE)=0,"-",VLOOKUP($A229,SortedDownload!$A$3:$BB$219,39,FALSE)/86400000),"-")</f>
        <v>0.44354997685185188</v>
      </c>
      <c r="S229" s="58">
        <f>IFERROR(IF(VLOOKUP($A229,SortedDownload!$A$3:$BB$219,40,FALSE)=0,"-",VLOOKUP($A229,SortedDownload!$A$3:$BB$219,40,FALSE)/86400000),"-")</f>
        <v>0.44809291666666667</v>
      </c>
      <c r="T229" s="58" t="str">
        <f>IFERROR(IF(VLOOKUP($A229,SortedDownload!$A$3:$BB$219,41,FALSE)=0,"-",VLOOKUP($A229,SortedDownload!$A$3:$BB$219,41,FALSE)/86400000),"-")</f>
        <v>-</v>
      </c>
      <c r="U229" s="58" t="str">
        <f>IFERROR(IF(VLOOKUP($A229,SortedDownload!$A$3:$BB$219,42,FALSE)=0,"-",VLOOKUP($A229,SortedDownload!$A$3:$BB$219,42,FALSE)/86400000),"-")</f>
        <v>-</v>
      </c>
      <c r="V229" s="58" t="str">
        <f>IFERROR(IF(VLOOKUP($A229,SortedDownload!$A$3:$BB$219,43,FALSE)=0,"-",VLOOKUP($A229,SortedDownload!$A$3:$BB$219,43,FALSE)/86400000),"-")</f>
        <v>-</v>
      </c>
      <c r="W229" s="58" t="str">
        <f>IFERROR(IF(VLOOKUP($A229,SortedDownload!$A$3:$BB$219,44,FALSE)=0,"-",VLOOKUP($A229,SortedDownload!$A$3:$BB$219,44,FALSE)/86400000),"-")</f>
        <v>-</v>
      </c>
      <c r="X229" s="58" t="str">
        <f>IFERROR(IF(VLOOKUP($A229,SortedDownload!$A$3:$BB$219,45,FALSE)=0,"-",VLOOKUP($A229,SortedDownload!$A$3:$BB$219,45,FALSE)/86400000),"-")</f>
        <v>-</v>
      </c>
      <c r="Y229" s="58">
        <f>IFERROR(VLOOKUP($A229,SortedDownload!$A$3:$BB$219,46,FALSE)/86400000,"")</f>
        <v>0</v>
      </c>
      <c r="Z229" s="58">
        <f>IFERROR(Table932[[#This Row],[End Time]]-Table932[[#This Row],[Start Time]],"")</f>
        <v>0</v>
      </c>
      <c r="AA229" s="58"/>
      <c r="AB229" s="170">
        <f t="shared" si="22"/>
        <v>0</v>
      </c>
      <c r="AC229" s="170">
        <f t="shared" si="23"/>
        <v>0.40741215277777776</v>
      </c>
    </row>
    <row r="230" spans="1:29">
      <c r="A230" s="53">
        <f>IF(SortedDownload!A220 &lt; 1,"",SortedDownload!A220)</f>
        <v>12</v>
      </c>
      <c r="B230" s="146">
        <f t="shared" si="20"/>
        <v>225</v>
      </c>
      <c r="C230" s="146" t="str">
        <f>IFERROR(VLOOKUP($A230,CategoryResults!$A$3:$X$252,3,FALSE),"")</f>
        <v/>
      </c>
      <c r="D230" s="149" t="str">
        <f>IFERROR(VLOOKUP($A230,EntryList!$A$3:$N$291,2,FALSE),"")</f>
        <v>Dylan Wiggill</v>
      </c>
      <c r="E230" s="146" t="str">
        <f>IFERROR(VLOOKUP(C230,SeriesPoints!$A$2:$B$51,2,FALSE),"")</f>
        <v/>
      </c>
      <c r="F230" s="150" t="str">
        <f>IFERROR(VLOOKUP($A230,EntryList!$A$3:$V$291,22,FALSE),"")</f>
        <v>-</v>
      </c>
      <c r="G230" s="148" t="str">
        <f>IFERROR(VLOOKUP($A230,EntryList!$A$3:$N$291,6,FALSE),"")</f>
        <v>M</v>
      </c>
      <c r="H230" s="226" t="str">
        <f>IFERROR(VLOOKUP($A230,EntryList!$A$3:$N$291,7,FALSE),"")</f>
        <v>Sprog Boys</v>
      </c>
      <c r="I230" s="220">
        <f t="shared" si="21"/>
        <v>0</v>
      </c>
      <c r="J230" s="58" t="str">
        <f>IFERROR(VLOOKUP($A230,SortedDownload!$A$3:$BB$219,31,FALSE)/86400000,"")</f>
        <v/>
      </c>
      <c r="K230" s="58" t="str">
        <f>IFERROR(IF(VLOOKUP($A230,SortedDownload!$A$3:$BB$219,32,FALSE)=0,"-",VLOOKUP($A230,SortedDownload!$A$3:$BB$219,32,FALSE)/86400000),"-")</f>
        <v>-</v>
      </c>
      <c r="L230" s="58" t="str">
        <f>IFERROR(IF(VLOOKUP($A230,SortedDownload!$A$3:$BB$219,33,FALSE)=0,"-",VLOOKUP($A230,SortedDownload!$A$3:$BB$219,33,FALSE)/86400000),"-")</f>
        <v>-</v>
      </c>
      <c r="M230" s="58" t="str">
        <f>IFERROR(IF(VLOOKUP($A230,SortedDownload!$A$3:$BB$219,34,FALSE)=0,"-",VLOOKUP($A230,SortedDownload!$A$3:$BB$219,34,FALSE)/86400000),"-")</f>
        <v>-</v>
      </c>
      <c r="N230" s="58" t="str">
        <f>IFERROR(IF(VLOOKUP($A230,SortedDownload!$A$3:$BB$219,35,FALSE)=0,"-",VLOOKUP($A230,SortedDownload!$A$3:$BB$219,35,FALSE)/86400000),"-")</f>
        <v>-</v>
      </c>
      <c r="O230" s="58" t="str">
        <f>IFERROR(IF(VLOOKUP($A230,SortedDownload!$A$3:$BB$219,36,FALSE)=0,"-",VLOOKUP($A230,SortedDownload!$A$3:$BB$219,36,FALSE)/86400000),"-")</f>
        <v>-</v>
      </c>
      <c r="P230" s="58" t="str">
        <f>IFERROR(IF(VLOOKUP($A230,SortedDownload!$A$3:$BB$219,37,FALSE)=0,"-",VLOOKUP($A230,SortedDownload!$A$3:$BB$219,37,FALSE)/86400000),"-")</f>
        <v>-</v>
      </c>
      <c r="Q230" s="58" t="str">
        <f>IFERROR(IF(VLOOKUP($A230,SortedDownload!$A$3:$BB$219,38,FALSE)=0,"-",VLOOKUP($A230,SortedDownload!$A$3:$BB$219,38,FALSE)/86400000),"-")</f>
        <v>-</v>
      </c>
      <c r="R230" s="58" t="str">
        <f>IFERROR(IF(VLOOKUP($A230,SortedDownload!$A$3:$BB$219,39,FALSE)=0,"-",VLOOKUP($A230,SortedDownload!$A$3:$BB$219,39,FALSE)/86400000),"-")</f>
        <v>-</v>
      </c>
      <c r="S230" s="58" t="str">
        <f>IFERROR(IF(VLOOKUP($A230,SortedDownload!$A$3:$BB$219,40,FALSE)=0,"-",VLOOKUP($A230,SortedDownload!$A$3:$BB$219,40,FALSE)/86400000),"-")</f>
        <v>-</v>
      </c>
      <c r="T230" s="58" t="str">
        <f>IFERROR(IF(VLOOKUP($A230,SortedDownload!$A$3:$BB$219,41,FALSE)=0,"-",VLOOKUP($A230,SortedDownload!$A$3:$BB$219,41,FALSE)/86400000),"-")</f>
        <v>-</v>
      </c>
      <c r="U230" s="58" t="str">
        <f>IFERROR(IF(VLOOKUP($A230,SortedDownload!$A$3:$BB$219,42,FALSE)=0,"-",VLOOKUP($A230,SortedDownload!$A$3:$BB$219,42,FALSE)/86400000),"-")</f>
        <v>-</v>
      </c>
      <c r="V230" s="58" t="str">
        <f>IFERROR(IF(VLOOKUP($A230,SortedDownload!$A$3:$BB$219,43,FALSE)=0,"-",VLOOKUP($A230,SortedDownload!$A$3:$BB$219,43,FALSE)/86400000),"-")</f>
        <v>-</v>
      </c>
      <c r="W230" s="58" t="str">
        <f>IFERROR(IF(VLOOKUP($A230,SortedDownload!$A$3:$BB$219,44,FALSE)=0,"-",VLOOKUP($A230,SortedDownload!$A$3:$BB$219,44,FALSE)/86400000),"-")</f>
        <v>-</v>
      </c>
      <c r="X230" s="58" t="str">
        <f>IFERROR(IF(VLOOKUP($A230,SortedDownload!$A$3:$BB$219,45,FALSE)=0,"-",VLOOKUP($A230,SortedDownload!$A$3:$BB$219,45,FALSE)/86400000),"-")</f>
        <v>-</v>
      </c>
      <c r="Y230" s="58" t="str">
        <f>IFERROR(VLOOKUP($A230,SortedDownload!$A$3:$BB$219,46,FALSE)/86400000,"")</f>
        <v/>
      </c>
      <c r="Z230" s="58" t="str">
        <f>IFERROR(Table932[[#This Row],[End Time]]-Table932[[#This Row],[Start Time]],"")</f>
        <v/>
      </c>
      <c r="AA230" s="58"/>
      <c r="AB230" s="170" t="e">
        <f t="shared" si="22"/>
        <v>#VALUE!</v>
      </c>
      <c r="AC230" s="170" t="e">
        <f t="shared" si="23"/>
        <v>#VALUE!</v>
      </c>
    </row>
    <row r="231" spans="1:29">
      <c r="A231" s="53">
        <f>IF(SortedDownload!A221 &lt; 1,"",SortedDownload!A221)</f>
        <v>217</v>
      </c>
      <c r="B231" s="146">
        <f t="shared" si="20"/>
        <v>226</v>
      </c>
      <c r="C231" s="146" t="str">
        <f>IFERROR(VLOOKUP($A231,CategoryResults!$A$3:$X$252,3,FALSE),"")</f>
        <v/>
      </c>
      <c r="D231" s="149" t="str">
        <f>IFERROR(VLOOKUP($A231,EntryList!$A$3:$N$291,2,FALSE),"")</f>
        <v>Frans Smit</v>
      </c>
      <c r="E231" s="146" t="str">
        <f>IFERROR(VLOOKUP(C231,SeriesPoints!$A$2:$B$51,2,FALSE),"")</f>
        <v/>
      </c>
      <c r="F231" s="150" t="str">
        <f>IFERROR(VLOOKUP($A231,EntryList!$A$3:$V$291,22,FALSE),"")</f>
        <v>-</v>
      </c>
      <c r="G231" s="148" t="str">
        <f>IFERROR(VLOOKUP($A231,EntryList!$A$3:$N$291,6,FALSE),"")</f>
        <v>M</v>
      </c>
      <c r="H231" s="226" t="str">
        <f>IFERROR(VLOOKUP($A231,EntryList!$A$3:$N$291,7,FALSE),"")</f>
        <v>Lite M</v>
      </c>
      <c r="I231" s="220">
        <f t="shared" si="21"/>
        <v>0</v>
      </c>
      <c r="J231" s="58" t="str">
        <f>IFERROR(VLOOKUP($A231,SortedDownload!$A$3:$BB$219,31,FALSE)/86400000,"")</f>
        <v/>
      </c>
      <c r="K231" s="58" t="str">
        <f>IFERROR(IF(VLOOKUP($A231,SortedDownload!$A$3:$BB$219,32,FALSE)=0,"-",VLOOKUP($A231,SortedDownload!$A$3:$BB$219,32,FALSE)/86400000),"-")</f>
        <v>-</v>
      </c>
      <c r="L231" s="58" t="str">
        <f>IFERROR(IF(VLOOKUP($A231,SortedDownload!$A$3:$BB$219,33,FALSE)=0,"-",VLOOKUP($A231,SortedDownload!$A$3:$BB$219,33,FALSE)/86400000),"-")</f>
        <v>-</v>
      </c>
      <c r="M231" s="58" t="str">
        <f>IFERROR(IF(VLOOKUP($A231,SortedDownload!$A$3:$BB$219,34,FALSE)=0,"-",VLOOKUP($A231,SortedDownload!$A$3:$BB$219,34,FALSE)/86400000),"-")</f>
        <v>-</v>
      </c>
      <c r="N231" s="58" t="str">
        <f>IFERROR(IF(VLOOKUP($A231,SortedDownload!$A$3:$BB$219,35,FALSE)=0,"-",VLOOKUP($A231,SortedDownload!$A$3:$BB$219,35,FALSE)/86400000),"-")</f>
        <v>-</v>
      </c>
      <c r="O231" s="58" t="str">
        <f>IFERROR(IF(VLOOKUP($A231,SortedDownload!$A$3:$BB$219,36,FALSE)=0,"-",VLOOKUP($A231,SortedDownload!$A$3:$BB$219,36,FALSE)/86400000),"-")</f>
        <v>-</v>
      </c>
      <c r="P231" s="58" t="str">
        <f>IFERROR(IF(VLOOKUP($A231,SortedDownload!$A$3:$BB$219,37,FALSE)=0,"-",VLOOKUP($A231,SortedDownload!$A$3:$BB$219,37,FALSE)/86400000),"-")</f>
        <v>-</v>
      </c>
      <c r="Q231" s="58" t="str">
        <f>IFERROR(IF(VLOOKUP($A231,SortedDownload!$A$3:$BB$219,38,FALSE)=0,"-",VLOOKUP($A231,SortedDownload!$A$3:$BB$219,38,FALSE)/86400000),"-")</f>
        <v>-</v>
      </c>
      <c r="R231" s="58" t="str">
        <f>IFERROR(IF(VLOOKUP($A231,SortedDownload!$A$3:$BB$219,39,FALSE)=0,"-",VLOOKUP($A231,SortedDownload!$A$3:$BB$219,39,FALSE)/86400000),"-")</f>
        <v>-</v>
      </c>
      <c r="S231" s="58" t="str">
        <f>IFERROR(IF(VLOOKUP($A231,SortedDownload!$A$3:$BB$219,40,FALSE)=0,"-",VLOOKUP($A231,SortedDownload!$A$3:$BB$219,40,FALSE)/86400000),"-")</f>
        <v>-</v>
      </c>
      <c r="T231" s="58" t="str">
        <f>IFERROR(IF(VLOOKUP($A231,SortedDownload!$A$3:$BB$219,41,FALSE)=0,"-",VLOOKUP($A231,SortedDownload!$A$3:$BB$219,41,FALSE)/86400000),"-")</f>
        <v>-</v>
      </c>
      <c r="U231" s="58" t="str">
        <f>IFERROR(IF(VLOOKUP($A231,SortedDownload!$A$3:$BB$219,42,FALSE)=0,"-",VLOOKUP($A231,SortedDownload!$A$3:$BB$219,42,FALSE)/86400000),"-")</f>
        <v>-</v>
      </c>
      <c r="V231" s="58" t="str">
        <f>IFERROR(IF(VLOOKUP($A231,SortedDownload!$A$3:$BB$219,43,FALSE)=0,"-",VLOOKUP($A231,SortedDownload!$A$3:$BB$219,43,FALSE)/86400000),"-")</f>
        <v>-</v>
      </c>
      <c r="W231" s="58" t="str">
        <f>IFERROR(IF(VLOOKUP($A231,SortedDownload!$A$3:$BB$219,44,FALSE)=0,"-",VLOOKUP($A231,SortedDownload!$A$3:$BB$219,44,FALSE)/86400000),"-")</f>
        <v>-</v>
      </c>
      <c r="X231" s="58" t="str">
        <f>IFERROR(IF(VLOOKUP($A231,SortedDownload!$A$3:$BB$219,45,FALSE)=0,"-",VLOOKUP($A231,SortedDownload!$A$3:$BB$219,45,FALSE)/86400000),"-")</f>
        <v>-</v>
      </c>
      <c r="Y231" s="58" t="str">
        <f>IFERROR(VLOOKUP($A231,SortedDownload!$A$3:$BB$219,46,FALSE)/86400000,"")</f>
        <v/>
      </c>
      <c r="Z231" s="58" t="str">
        <f>IFERROR(Table932[[#This Row],[End Time]]-Table932[[#This Row],[Start Time]],"")</f>
        <v/>
      </c>
      <c r="AA231" s="58"/>
      <c r="AB231" s="170" t="e">
        <f t="shared" si="22"/>
        <v>#VALUE!</v>
      </c>
      <c r="AC231" s="170" t="e">
        <f t="shared" si="23"/>
        <v>#VALUE!</v>
      </c>
    </row>
    <row r="232" spans="1:29">
      <c r="A232" s="53">
        <f>IF(SortedDownload!A222 &lt; 1,"",SortedDownload!A222)</f>
        <v>272</v>
      </c>
      <c r="B232" s="146">
        <f t="shared" si="20"/>
        <v>227</v>
      </c>
      <c r="C232" s="146" t="str">
        <f>IFERROR(VLOOKUP($A232,CategoryResults!$A$3:$X$252,3,FALSE),"")</f>
        <v/>
      </c>
      <c r="D232" s="149" t="str">
        <f>IFERROR(VLOOKUP($A232,EntryList!$A$3:$N$291,2,FALSE),"")</f>
        <v>Alisha Myers</v>
      </c>
      <c r="E232" s="146" t="str">
        <f>IFERROR(VLOOKUP(C232,SeriesPoints!$A$2:$B$51,2,FALSE),"")</f>
        <v/>
      </c>
      <c r="F232" s="150" t="str">
        <f>IFERROR(VLOOKUP($A232,EntryList!$A$3:$V$291,22,FALSE),"")</f>
        <v>-</v>
      </c>
      <c r="G232" s="148" t="str">
        <f>IFERROR(VLOOKUP($A232,EntryList!$A$3:$N$291,6,FALSE),"")</f>
        <v>F</v>
      </c>
      <c r="H232" s="226" t="str">
        <f>IFERROR(VLOOKUP($A232,EntryList!$A$3:$N$291,7,FALSE),"")</f>
        <v>Lite F</v>
      </c>
      <c r="I232" s="220">
        <f t="shared" si="21"/>
        <v>0</v>
      </c>
      <c r="J232" s="58" t="str">
        <f>IFERROR(VLOOKUP($A232,SortedDownload!$A$3:$BB$219,31,FALSE)/86400000,"")</f>
        <v/>
      </c>
      <c r="K232" s="58" t="str">
        <f>IFERROR(IF(VLOOKUP($A232,SortedDownload!$A$3:$BB$219,32,FALSE)=0,"-",VLOOKUP($A232,SortedDownload!$A$3:$BB$219,32,FALSE)/86400000),"-")</f>
        <v>-</v>
      </c>
      <c r="L232" s="58" t="str">
        <f>IFERROR(IF(VLOOKUP($A232,SortedDownload!$A$3:$BB$219,33,FALSE)=0,"-",VLOOKUP($A232,SortedDownload!$A$3:$BB$219,33,FALSE)/86400000),"-")</f>
        <v>-</v>
      </c>
      <c r="M232" s="58" t="str">
        <f>IFERROR(IF(VLOOKUP($A232,SortedDownload!$A$3:$BB$219,34,FALSE)=0,"-",VLOOKUP($A232,SortedDownload!$A$3:$BB$219,34,FALSE)/86400000),"-")</f>
        <v>-</v>
      </c>
      <c r="N232" s="58" t="str">
        <f>IFERROR(IF(VLOOKUP($A232,SortedDownload!$A$3:$BB$219,35,FALSE)=0,"-",VLOOKUP($A232,SortedDownload!$A$3:$BB$219,35,FALSE)/86400000),"-")</f>
        <v>-</v>
      </c>
      <c r="O232" s="58" t="str">
        <f>IFERROR(IF(VLOOKUP($A232,SortedDownload!$A$3:$BB$219,36,FALSE)=0,"-",VLOOKUP($A232,SortedDownload!$A$3:$BB$219,36,FALSE)/86400000),"-")</f>
        <v>-</v>
      </c>
      <c r="P232" s="58" t="str">
        <f>IFERROR(IF(VLOOKUP($A232,SortedDownload!$A$3:$BB$219,37,FALSE)=0,"-",VLOOKUP($A232,SortedDownload!$A$3:$BB$219,37,FALSE)/86400000),"-")</f>
        <v>-</v>
      </c>
      <c r="Q232" s="58" t="str">
        <f>IFERROR(IF(VLOOKUP($A232,SortedDownload!$A$3:$BB$219,38,FALSE)=0,"-",VLOOKUP($A232,SortedDownload!$A$3:$BB$219,38,FALSE)/86400000),"-")</f>
        <v>-</v>
      </c>
      <c r="R232" s="58" t="str">
        <f>IFERROR(IF(VLOOKUP($A232,SortedDownload!$A$3:$BB$219,39,FALSE)=0,"-",VLOOKUP($A232,SortedDownload!$A$3:$BB$219,39,FALSE)/86400000),"-")</f>
        <v>-</v>
      </c>
      <c r="S232" s="58" t="str">
        <f>IFERROR(IF(VLOOKUP($A232,SortedDownload!$A$3:$BB$219,40,FALSE)=0,"-",VLOOKUP($A232,SortedDownload!$A$3:$BB$219,40,FALSE)/86400000),"-")</f>
        <v>-</v>
      </c>
      <c r="T232" s="58" t="str">
        <f>IFERROR(IF(VLOOKUP($A232,SortedDownload!$A$3:$BB$219,41,FALSE)=0,"-",VLOOKUP($A232,SortedDownload!$A$3:$BB$219,41,FALSE)/86400000),"-")</f>
        <v>-</v>
      </c>
      <c r="U232" s="58" t="str">
        <f>IFERROR(IF(VLOOKUP($A232,SortedDownload!$A$3:$BB$219,42,FALSE)=0,"-",VLOOKUP($A232,SortedDownload!$A$3:$BB$219,42,FALSE)/86400000),"-")</f>
        <v>-</v>
      </c>
      <c r="V232" s="58" t="str">
        <f>IFERROR(IF(VLOOKUP($A232,SortedDownload!$A$3:$BB$219,43,FALSE)=0,"-",VLOOKUP($A232,SortedDownload!$A$3:$BB$219,43,FALSE)/86400000),"-")</f>
        <v>-</v>
      </c>
      <c r="W232" s="58" t="str">
        <f>IFERROR(IF(VLOOKUP($A232,SortedDownload!$A$3:$BB$219,44,FALSE)=0,"-",VLOOKUP($A232,SortedDownload!$A$3:$BB$219,44,FALSE)/86400000),"-")</f>
        <v>-</v>
      </c>
      <c r="X232" s="58" t="str">
        <f>IFERROR(IF(VLOOKUP($A232,SortedDownload!$A$3:$BB$219,45,FALSE)=0,"-",VLOOKUP($A232,SortedDownload!$A$3:$BB$219,45,FALSE)/86400000),"-")</f>
        <v>-</v>
      </c>
      <c r="Y232" s="58" t="str">
        <f>IFERROR(VLOOKUP($A232,SortedDownload!$A$3:$BB$219,46,FALSE)/86400000,"")</f>
        <v/>
      </c>
      <c r="Z232" s="58" t="str">
        <f>IFERROR(Table932[[#This Row],[End Time]]-Table932[[#This Row],[Start Time]],"")</f>
        <v/>
      </c>
      <c r="AA232" s="58"/>
      <c r="AB232" s="170" t="e">
        <f t="shared" si="22"/>
        <v>#VALUE!</v>
      </c>
      <c r="AC232" s="170" t="e">
        <f t="shared" si="23"/>
        <v>#VALUE!</v>
      </c>
    </row>
    <row r="233" spans="1:29">
      <c r="A233" s="53">
        <f>IF(SortedDownload!A223 &lt; 1,"",SortedDownload!A223)</f>
        <v>21</v>
      </c>
      <c r="B233" s="146">
        <f t="shared" si="20"/>
        <v>228</v>
      </c>
      <c r="C233" s="146" t="str">
        <f>IFERROR(VLOOKUP($A233,CategoryResults!$A$3:$X$252,3,FALSE),"")</f>
        <v/>
      </c>
      <c r="D233" s="149" t="str">
        <f>IFERROR(VLOOKUP($A233,EntryList!$A$3:$N$291,2,FALSE),"")</f>
        <v>Adam Bethlehem</v>
      </c>
      <c r="E233" s="146" t="str">
        <f>IFERROR(VLOOKUP(C233,SeriesPoints!$A$2:$B$51,2,FALSE),"")</f>
        <v/>
      </c>
      <c r="F233" s="150" t="str">
        <f>IFERROR(VLOOKUP($A233,EntryList!$A$3:$V$291,22,FALSE),"")</f>
        <v>-</v>
      </c>
      <c r="G233" s="148" t="str">
        <f>IFERROR(VLOOKUP($A233,EntryList!$A$3:$N$291,6,FALSE),"")</f>
        <v>M</v>
      </c>
      <c r="H233" s="226" t="str">
        <f>IFERROR(VLOOKUP($A233,EntryList!$A$3:$N$291,7,FALSE),"")</f>
        <v>Lite M</v>
      </c>
      <c r="I233" s="220">
        <f t="shared" si="21"/>
        <v>0</v>
      </c>
      <c r="J233" s="58" t="str">
        <f>IFERROR(VLOOKUP($A233,SortedDownload!$A$3:$BB$219,31,FALSE)/86400000,"")</f>
        <v/>
      </c>
      <c r="K233" s="58" t="str">
        <f>IFERROR(IF(VLOOKUP($A233,SortedDownload!$A$3:$BB$219,32,FALSE)=0,"-",VLOOKUP($A233,SortedDownload!$A$3:$BB$219,32,FALSE)/86400000),"-")</f>
        <v>-</v>
      </c>
      <c r="L233" s="58" t="str">
        <f>IFERROR(IF(VLOOKUP($A233,SortedDownload!$A$3:$BB$219,33,FALSE)=0,"-",VLOOKUP($A233,SortedDownload!$A$3:$BB$219,33,FALSE)/86400000),"-")</f>
        <v>-</v>
      </c>
      <c r="M233" s="58" t="str">
        <f>IFERROR(IF(VLOOKUP($A233,SortedDownload!$A$3:$BB$219,34,FALSE)=0,"-",VLOOKUP($A233,SortedDownload!$A$3:$BB$219,34,FALSE)/86400000),"-")</f>
        <v>-</v>
      </c>
      <c r="N233" s="58" t="str">
        <f>IFERROR(IF(VLOOKUP($A233,SortedDownload!$A$3:$BB$219,35,FALSE)=0,"-",VLOOKUP($A233,SortedDownload!$A$3:$BB$219,35,FALSE)/86400000),"-")</f>
        <v>-</v>
      </c>
      <c r="O233" s="58" t="str">
        <f>IFERROR(IF(VLOOKUP($A233,SortedDownload!$A$3:$BB$219,36,FALSE)=0,"-",VLOOKUP($A233,SortedDownload!$A$3:$BB$219,36,FALSE)/86400000),"-")</f>
        <v>-</v>
      </c>
      <c r="P233" s="58" t="str">
        <f>IFERROR(IF(VLOOKUP($A233,SortedDownload!$A$3:$BB$219,37,FALSE)=0,"-",VLOOKUP($A233,SortedDownload!$A$3:$BB$219,37,FALSE)/86400000),"-")</f>
        <v>-</v>
      </c>
      <c r="Q233" s="58" t="str">
        <f>IFERROR(IF(VLOOKUP($A233,SortedDownload!$A$3:$BB$219,38,FALSE)=0,"-",VLOOKUP($A233,SortedDownload!$A$3:$BB$219,38,FALSE)/86400000),"-")</f>
        <v>-</v>
      </c>
      <c r="R233" s="58" t="str">
        <f>IFERROR(IF(VLOOKUP($A233,SortedDownload!$A$3:$BB$219,39,FALSE)=0,"-",VLOOKUP($A233,SortedDownload!$A$3:$BB$219,39,FALSE)/86400000),"-")</f>
        <v>-</v>
      </c>
      <c r="S233" s="58" t="str">
        <f>IFERROR(IF(VLOOKUP($A233,SortedDownload!$A$3:$BB$219,40,FALSE)=0,"-",VLOOKUP($A233,SortedDownload!$A$3:$BB$219,40,FALSE)/86400000),"-")</f>
        <v>-</v>
      </c>
      <c r="T233" s="58" t="str">
        <f>IFERROR(IF(VLOOKUP($A233,SortedDownload!$A$3:$BB$219,41,FALSE)=0,"-",VLOOKUP($A233,SortedDownload!$A$3:$BB$219,41,FALSE)/86400000),"-")</f>
        <v>-</v>
      </c>
      <c r="U233" s="58" t="str">
        <f>IFERROR(IF(VLOOKUP($A233,SortedDownload!$A$3:$BB$219,42,FALSE)=0,"-",VLOOKUP($A233,SortedDownload!$A$3:$BB$219,42,FALSE)/86400000),"-")</f>
        <v>-</v>
      </c>
      <c r="V233" s="58" t="str">
        <f>IFERROR(IF(VLOOKUP($A233,SortedDownload!$A$3:$BB$219,43,FALSE)=0,"-",VLOOKUP($A233,SortedDownload!$A$3:$BB$219,43,FALSE)/86400000),"-")</f>
        <v>-</v>
      </c>
      <c r="W233" s="58" t="str">
        <f>IFERROR(IF(VLOOKUP($A233,SortedDownload!$A$3:$BB$219,44,FALSE)=0,"-",VLOOKUP($A233,SortedDownload!$A$3:$BB$219,44,FALSE)/86400000),"-")</f>
        <v>-</v>
      </c>
      <c r="X233" s="58" t="str">
        <f>IFERROR(IF(VLOOKUP($A233,SortedDownload!$A$3:$BB$219,45,FALSE)=0,"-",VLOOKUP($A233,SortedDownload!$A$3:$BB$219,45,FALSE)/86400000),"-")</f>
        <v>-</v>
      </c>
      <c r="Y233" s="58" t="str">
        <f>IFERROR(VLOOKUP($A233,SortedDownload!$A$3:$BB$219,46,FALSE)/86400000,"")</f>
        <v/>
      </c>
      <c r="Z233" s="58" t="str">
        <f>IFERROR(Table932[[#This Row],[End Time]]-Table932[[#This Row],[Start Time]],"")</f>
        <v/>
      </c>
      <c r="AA233" s="58"/>
      <c r="AB233" s="170" t="e">
        <f t="shared" si="22"/>
        <v>#VALUE!</v>
      </c>
      <c r="AC233" s="170" t="e">
        <f t="shared" si="23"/>
        <v>#VALUE!</v>
      </c>
    </row>
    <row r="234" spans="1:29">
      <c r="A234" s="53">
        <f>IF(SortedDownload!A224 &lt; 1,"",SortedDownload!A224)</f>
        <v>121</v>
      </c>
      <c r="B234" s="146">
        <f t="shared" si="20"/>
        <v>229</v>
      </c>
      <c r="C234" s="146" t="str">
        <f>IFERROR(VLOOKUP($A234,CategoryResults!$A$3:$X$252,3,FALSE),"")</f>
        <v/>
      </c>
      <c r="D234" s="149" t="str">
        <f>IFERROR(VLOOKUP($A234,EntryList!$A$3:$N$291,2,FALSE),"")</f>
        <v>Gabriel Cohn</v>
      </c>
      <c r="E234" s="146" t="str">
        <f>IFERROR(VLOOKUP(C234,SeriesPoints!$A$2:$B$51,2,FALSE),"")</f>
        <v/>
      </c>
      <c r="F234" s="150" t="str">
        <f>IFERROR(VLOOKUP($A234,EntryList!$A$3:$V$291,22,FALSE),"")</f>
        <v>-</v>
      </c>
      <c r="G234" s="148" t="str">
        <f>IFERROR(VLOOKUP($A234,EntryList!$A$3:$N$291,6,FALSE),"")</f>
        <v>M</v>
      </c>
      <c r="H234" s="226" t="str">
        <f>IFERROR(VLOOKUP($A234,EntryList!$A$3:$N$291,7,FALSE),"")</f>
        <v>Sub Junior Boys</v>
      </c>
      <c r="I234" s="220">
        <f t="shared" si="21"/>
        <v>0</v>
      </c>
      <c r="J234" s="58" t="str">
        <f>IFERROR(VLOOKUP($A234,SortedDownload!$A$3:$BB$219,31,FALSE)/86400000,"")</f>
        <v/>
      </c>
      <c r="K234" s="58" t="str">
        <f>IFERROR(IF(VLOOKUP($A234,SortedDownload!$A$3:$BB$219,32,FALSE)=0,"-",VLOOKUP($A234,SortedDownload!$A$3:$BB$219,32,FALSE)/86400000),"-")</f>
        <v>-</v>
      </c>
      <c r="L234" s="58" t="str">
        <f>IFERROR(IF(VLOOKUP($A234,SortedDownload!$A$3:$BB$219,33,FALSE)=0,"-",VLOOKUP($A234,SortedDownload!$A$3:$BB$219,33,FALSE)/86400000),"-")</f>
        <v>-</v>
      </c>
      <c r="M234" s="58" t="str">
        <f>IFERROR(IF(VLOOKUP($A234,SortedDownload!$A$3:$BB$219,34,FALSE)=0,"-",VLOOKUP($A234,SortedDownload!$A$3:$BB$219,34,FALSE)/86400000),"-")</f>
        <v>-</v>
      </c>
      <c r="N234" s="58" t="str">
        <f>IFERROR(IF(VLOOKUP($A234,SortedDownload!$A$3:$BB$219,35,FALSE)=0,"-",VLOOKUP($A234,SortedDownload!$A$3:$BB$219,35,FALSE)/86400000),"-")</f>
        <v>-</v>
      </c>
      <c r="O234" s="58" t="str">
        <f>IFERROR(IF(VLOOKUP($A234,SortedDownload!$A$3:$BB$219,36,FALSE)=0,"-",VLOOKUP($A234,SortedDownload!$A$3:$BB$219,36,FALSE)/86400000),"-")</f>
        <v>-</v>
      </c>
      <c r="P234" s="58" t="str">
        <f>IFERROR(IF(VLOOKUP($A234,SortedDownload!$A$3:$BB$219,37,FALSE)=0,"-",VLOOKUP($A234,SortedDownload!$A$3:$BB$219,37,FALSE)/86400000),"-")</f>
        <v>-</v>
      </c>
      <c r="Q234" s="58" t="str">
        <f>IFERROR(IF(VLOOKUP($A234,SortedDownload!$A$3:$BB$219,38,FALSE)=0,"-",VLOOKUP($A234,SortedDownload!$A$3:$BB$219,38,FALSE)/86400000),"-")</f>
        <v>-</v>
      </c>
      <c r="R234" s="58" t="str">
        <f>IFERROR(IF(VLOOKUP($A234,SortedDownload!$A$3:$BB$219,39,FALSE)=0,"-",VLOOKUP($A234,SortedDownload!$A$3:$BB$219,39,FALSE)/86400000),"-")</f>
        <v>-</v>
      </c>
      <c r="S234" s="58" t="str">
        <f>IFERROR(IF(VLOOKUP($A234,SortedDownload!$A$3:$BB$219,40,FALSE)=0,"-",VLOOKUP($A234,SortedDownload!$A$3:$BB$219,40,FALSE)/86400000),"-")</f>
        <v>-</v>
      </c>
      <c r="T234" s="58" t="str">
        <f>IFERROR(IF(VLOOKUP($A234,SortedDownload!$A$3:$BB$219,41,FALSE)=0,"-",VLOOKUP($A234,SortedDownload!$A$3:$BB$219,41,FALSE)/86400000),"-")</f>
        <v>-</v>
      </c>
      <c r="U234" s="58" t="str">
        <f>IFERROR(IF(VLOOKUP($A234,SortedDownload!$A$3:$BB$219,42,FALSE)=0,"-",VLOOKUP($A234,SortedDownload!$A$3:$BB$219,42,FALSE)/86400000),"-")</f>
        <v>-</v>
      </c>
      <c r="V234" s="58" t="str">
        <f>IFERROR(IF(VLOOKUP($A234,SortedDownload!$A$3:$BB$219,43,FALSE)=0,"-",VLOOKUP($A234,SortedDownload!$A$3:$BB$219,43,FALSE)/86400000),"-")</f>
        <v>-</v>
      </c>
      <c r="W234" s="58" t="str">
        <f>IFERROR(IF(VLOOKUP($A234,SortedDownload!$A$3:$BB$219,44,FALSE)=0,"-",VLOOKUP($A234,SortedDownload!$A$3:$BB$219,44,FALSE)/86400000),"-")</f>
        <v>-</v>
      </c>
      <c r="X234" s="58" t="str">
        <f>IFERROR(IF(VLOOKUP($A234,SortedDownload!$A$3:$BB$219,45,FALSE)=0,"-",VLOOKUP($A234,SortedDownload!$A$3:$BB$219,45,FALSE)/86400000),"-")</f>
        <v>-</v>
      </c>
      <c r="Y234" s="58" t="str">
        <f>IFERROR(VLOOKUP($A234,SortedDownload!$A$3:$BB$219,46,FALSE)/86400000,"")</f>
        <v/>
      </c>
      <c r="Z234" s="58" t="str">
        <f>IFERROR(Table932[[#This Row],[End Time]]-Table932[[#This Row],[Start Time]],"")</f>
        <v/>
      </c>
      <c r="AA234" s="58"/>
      <c r="AB234" s="170" t="e">
        <f t="shared" si="22"/>
        <v>#VALUE!</v>
      </c>
      <c r="AC234" s="170" t="e">
        <f t="shared" si="23"/>
        <v>#VALUE!</v>
      </c>
    </row>
    <row r="235" spans="1:29">
      <c r="A235" s="53">
        <f>IF(SortedDownload!A225 &lt; 1,"",SortedDownload!A225)</f>
        <v>28</v>
      </c>
      <c r="B235" s="146">
        <f t="shared" si="20"/>
        <v>230</v>
      </c>
      <c r="C235" s="146" t="str">
        <f>IFERROR(VLOOKUP($A235,CategoryResults!$A$3:$X$252,3,FALSE),"")</f>
        <v/>
      </c>
      <c r="D235" s="149" t="str">
        <f>IFERROR(VLOOKUP($A235,EntryList!$A$3:$N$291,2,FALSE),"")</f>
        <v>Ridoh Gamildien</v>
      </c>
      <c r="E235" s="146" t="str">
        <f>IFERROR(VLOOKUP(C235,SeriesPoints!$A$2:$B$51,2,FALSE),"")</f>
        <v/>
      </c>
      <c r="F235" s="150" t="str">
        <f>IFERROR(VLOOKUP($A235,EntryList!$A$3:$V$291,22,FALSE),"")</f>
        <v>-</v>
      </c>
      <c r="G235" s="148" t="str">
        <f>IFERROR(VLOOKUP($A235,EntryList!$A$3:$N$291,6,FALSE),"")</f>
        <v>M</v>
      </c>
      <c r="H235" s="226" t="str">
        <f>IFERROR(VLOOKUP($A235,EntryList!$A$3:$N$291,7,FALSE),"")</f>
        <v>Lite M</v>
      </c>
      <c r="I235" s="220">
        <f t="shared" si="21"/>
        <v>0</v>
      </c>
      <c r="J235" s="58" t="str">
        <f>IFERROR(VLOOKUP($A235,SortedDownload!$A$3:$BB$219,31,FALSE)/86400000,"")</f>
        <v/>
      </c>
      <c r="K235" s="58" t="str">
        <f>IFERROR(IF(VLOOKUP($A235,SortedDownload!$A$3:$BB$219,32,FALSE)=0,"-",VLOOKUP($A235,SortedDownload!$A$3:$BB$219,32,FALSE)/86400000),"-")</f>
        <v>-</v>
      </c>
      <c r="L235" s="58" t="str">
        <f>IFERROR(IF(VLOOKUP($A235,SortedDownload!$A$3:$BB$219,33,FALSE)=0,"-",VLOOKUP($A235,SortedDownload!$A$3:$BB$219,33,FALSE)/86400000),"-")</f>
        <v>-</v>
      </c>
      <c r="M235" s="58" t="str">
        <f>IFERROR(IF(VLOOKUP($A235,SortedDownload!$A$3:$BB$219,34,FALSE)=0,"-",VLOOKUP($A235,SortedDownload!$A$3:$BB$219,34,FALSE)/86400000),"-")</f>
        <v>-</v>
      </c>
      <c r="N235" s="58" t="str">
        <f>IFERROR(IF(VLOOKUP($A235,SortedDownload!$A$3:$BB$219,35,FALSE)=0,"-",VLOOKUP($A235,SortedDownload!$A$3:$BB$219,35,FALSE)/86400000),"-")</f>
        <v>-</v>
      </c>
      <c r="O235" s="58" t="str">
        <f>IFERROR(IF(VLOOKUP($A235,SortedDownload!$A$3:$BB$219,36,FALSE)=0,"-",VLOOKUP($A235,SortedDownload!$A$3:$BB$219,36,FALSE)/86400000),"-")</f>
        <v>-</v>
      </c>
      <c r="P235" s="58" t="str">
        <f>IFERROR(IF(VLOOKUP($A235,SortedDownload!$A$3:$BB$219,37,FALSE)=0,"-",VLOOKUP($A235,SortedDownload!$A$3:$BB$219,37,FALSE)/86400000),"-")</f>
        <v>-</v>
      </c>
      <c r="Q235" s="58" t="str">
        <f>IFERROR(IF(VLOOKUP($A235,SortedDownload!$A$3:$BB$219,38,FALSE)=0,"-",VLOOKUP($A235,SortedDownload!$A$3:$BB$219,38,FALSE)/86400000),"-")</f>
        <v>-</v>
      </c>
      <c r="R235" s="58" t="str">
        <f>IFERROR(IF(VLOOKUP($A235,SortedDownload!$A$3:$BB$219,39,FALSE)=0,"-",VLOOKUP($A235,SortedDownload!$A$3:$BB$219,39,FALSE)/86400000),"-")</f>
        <v>-</v>
      </c>
      <c r="S235" s="58" t="str">
        <f>IFERROR(IF(VLOOKUP($A235,SortedDownload!$A$3:$BB$219,40,FALSE)=0,"-",VLOOKUP($A235,SortedDownload!$A$3:$BB$219,40,FALSE)/86400000),"-")</f>
        <v>-</v>
      </c>
      <c r="T235" s="58" t="str">
        <f>IFERROR(IF(VLOOKUP($A235,SortedDownload!$A$3:$BB$219,41,FALSE)=0,"-",VLOOKUP($A235,SortedDownload!$A$3:$BB$219,41,FALSE)/86400000),"-")</f>
        <v>-</v>
      </c>
      <c r="U235" s="58" t="str">
        <f>IFERROR(IF(VLOOKUP($A235,SortedDownload!$A$3:$BB$219,42,FALSE)=0,"-",VLOOKUP($A235,SortedDownload!$A$3:$BB$219,42,FALSE)/86400000),"-")</f>
        <v>-</v>
      </c>
      <c r="V235" s="58" t="str">
        <f>IFERROR(IF(VLOOKUP($A235,SortedDownload!$A$3:$BB$219,43,FALSE)=0,"-",VLOOKUP($A235,SortedDownload!$A$3:$BB$219,43,FALSE)/86400000),"-")</f>
        <v>-</v>
      </c>
      <c r="W235" s="58" t="str">
        <f>IFERROR(IF(VLOOKUP($A235,SortedDownload!$A$3:$BB$219,44,FALSE)=0,"-",VLOOKUP($A235,SortedDownload!$A$3:$BB$219,44,FALSE)/86400000),"-")</f>
        <v>-</v>
      </c>
      <c r="X235" s="58" t="str">
        <f>IFERROR(IF(VLOOKUP($A235,SortedDownload!$A$3:$BB$219,45,FALSE)=0,"-",VLOOKUP($A235,SortedDownload!$A$3:$BB$219,45,FALSE)/86400000),"-")</f>
        <v>-</v>
      </c>
      <c r="Y235" s="58" t="str">
        <f>IFERROR(VLOOKUP($A235,SortedDownload!$A$3:$BB$219,46,FALSE)/86400000,"")</f>
        <v/>
      </c>
      <c r="Z235" s="58" t="str">
        <f>IFERROR(Table932[[#This Row],[End Time]]-Table932[[#This Row],[Start Time]],"")</f>
        <v/>
      </c>
      <c r="AA235" s="58"/>
      <c r="AB235" s="170" t="e">
        <f t="shared" si="22"/>
        <v>#VALUE!</v>
      </c>
      <c r="AC235" s="170" t="e">
        <f t="shared" si="23"/>
        <v>#VALUE!</v>
      </c>
    </row>
    <row r="236" spans="1:29">
      <c r="A236" s="53">
        <f>IF(SortedDownload!A226 &lt; 1,"",SortedDownload!A226)</f>
        <v>181</v>
      </c>
      <c r="B236" s="146">
        <f t="shared" si="20"/>
        <v>231</v>
      </c>
      <c r="C236" s="146" t="str">
        <f>IFERROR(VLOOKUP($A236,CategoryResults!$A$3:$X$252,3,FALSE),"")</f>
        <v/>
      </c>
      <c r="D236" s="149" t="str">
        <f>IFERROR(VLOOKUP($A236,EntryList!$A$3:$N$291,2,FALSE),"")</f>
        <v>Robert-John Behan</v>
      </c>
      <c r="E236" s="146" t="str">
        <f>IFERROR(VLOOKUP(C236,SeriesPoints!$A$2:$B$51,2,FALSE),"")</f>
        <v/>
      </c>
      <c r="F236" s="150" t="str">
        <f>IFERROR(VLOOKUP($A236,EntryList!$A$3:$V$291,22,FALSE),"")</f>
        <v>-</v>
      </c>
      <c r="G236" s="148" t="str">
        <f>IFERROR(VLOOKUP($A236,EntryList!$A$3:$N$291,6,FALSE),"")</f>
        <v>M</v>
      </c>
      <c r="H236" s="226" t="str">
        <f>IFERROR(VLOOKUP($A236,EntryList!$A$3:$N$291,7,FALSE),"")</f>
        <v>Nipper Boys</v>
      </c>
      <c r="I236" s="220">
        <f t="shared" si="21"/>
        <v>0</v>
      </c>
      <c r="J236" s="58" t="str">
        <f>IFERROR(VLOOKUP($A236,SortedDownload!$A$3:$BB$219,31,FALSE)/86400000,"")</f>
        <v/>
      </c>
      <c r="K236" s="58" t="str">
        <f>IFERROR(IF(VLOOKUP($A236,SortedDownload!$A$3:$BB$219,32,FALSE)=0,"-",VLOOKUP($A236,SortedDownload!$A$3:$BB$219,32,FALSE)/86400000),"-")</f>
        <v>-</v>
      </c>
      <c r="L236" s="58" t="str">
        <f>IFERROR(IF(VLOOKUP($A236,SortedDownload!$A$3:$BB$219,33,FALSE)=0,"-",VLOOKUP($A236,SortedDownload!$A$3:$BB$219,33,FALSE)/86400000),"-")</f>
        <v>-</v>
      </c>
      <c r="M236" s="58" t="str">
        <f>IFERROR(IF(VLOOKUP($A236,SortedDownload!$A$3:$BB$219,34,FALSE)=0,"-",VLOOKUP($A236,SortedDownload!$A$3:$BB$219,34,FALSE)/86400000),"-")</f>
        <v>-</v>
      </c>
      <c r="N236" s="58" t="str">
        <f>IFERROR(IF(VLOOKUP($A236,SortedDownload!$A$3:$BB$219,35,FALSE)=0,"-",VLOOKUP($A236,SortedDownload!$A$3:$BB$219,35,FALSE)/86400000),"-")</f>
        <v>-</v>
      </c>
      <c r="O236" s="58" t="str">
        <f>IFERROR(IF(VLOOKUP($A236,SortedDownload!$A$3:$BB$219,36,FALSE)=0,"-",VLOOKUP($A236,SortedDownload!$A$3:$BB$219,36,FALSE)/86400000),"-")</f>
        <v>-</v>
      </c>
      <c r="P236" s="58" t="str">
        <f>IFERROR(IF(VLOOKUP($A236,SortedDownload!$A$3:$BB$219,37,FALSE)=0,"-",VLOOKUP($A236,SortedDownload!$A$3:$BB$219,37,FALSE)/86400000),"-")</f>
        <v>-</v>
      </c>
      <c r="Q236" s="58" t="str">
        <f>IFERROR(IF(VLOOKUP($A236,SortedDownload!$A$3:$BB$219,38,FALSE)=0,"-",VLOOKUP($A236,SortedDownload!$A$3:$BB$219,38,FALSE)/86400000),"-")</f>
        <v>-</v>
      </c>
      <c r="R236" s="58" t="str">
        <f>IFERROR(IF(VLOOKUP($A236,SortedDownload!$A$3:$BB$219,39,FALSE)=0,"-",VLOOKUP($A236,SortedDownload!$A$3:$BB$219,39,FALSE)/86400000),"-")</f>
        <v>-</v>
      </c>
      <c r="S236" s="58" t="str">
        <f>IFERROR(IF(VLOOKUP($A236,SortedDownload!$A$3:$BB$219,40,FALSE)=0,"-",VLOOKUP($A236,SortedDownload!$A$3:$BB$219,40,FALSE)/86400000),"-")</f>
        <v>-</v>
      </c>
      <c r="T236" s="58" t="str">
        <f>IFERROR(IF(VLOOKUP($A236,SortedDownload!$A$3:$BB$219,41,FALSE)=0,"-",VLOOKUP($A236,SortedDownload!$A$3:$BB$219,41,FALSE)/86400000),"-")</f>
        <v>-</v>
      </c>
      <c r="U236" s="58" t="str">
        <f>IFERROR(IF(VLOOKUP($A236,SortedDownload!$A$3:$BB$219,42,FALSE)=0,"-",VLOOKUP($A236,SortedDownload!$A$3:$BB$219,42,FALSE)/86400000),"-")</f>
        <v>-</v>
      </c>
      <c r="V236" s="58" t="str">
        <f>IFERROR(IF(VLOOKUP($A236,SortedDownload!$A$3:$BB$219,43,FALSE)=0,"-",VLOOKUP($A236,SortedDownload!$A$3:$BB$219,43,FALSE)/86400000),"-")</f>
        <v>-</v>
      </c>
      <c r="W236" s="58" t="str">
        <f>IFERROR(IF(VLOOKUP($A236,SortedDownload!$A$3:$BB$219,44,FALSE)=0,"-",VLOOKUP($A236,SortedDownload!$A$3:$BB$219,44,FALSE)/86400000),"-")</f>
        <v>-</v>
      </c>
      <c r="X236" s="58" t="str">
        <f>IFERROR(IF(VLOOKUP($A236,SortedDownload!$A$3:$BB$219,45,FALSE)=0,"-",VLOOKUP($A236,SortedDownload!$A$3:$BB$219,45,FALSE)/86400000),"-")</f>
        <v>-</v>
      </c>
      <c r="Y236" s="58" t="str">
        <f>IFERROR(VLOOKUP($A236,SortedDownload!$A$3:$BB$219,46,FALSE)/86400000,"")</f>
        <v/>
      </c>
      <c r="Z236" s="58" t="str">
        <f>IFERROR(Table932[[#This Row],[End Time]]-Table932[[#This Row],[Start Time]],"")</f>
        <v/>
      </c>
      <c r="AA236" s="58"/>
      <c r="AB236" s="170" t="e">
        <f t="shared" si="22"/>
        <v>#VALUE!</v>
      </c>
      <c r="AC236" s="170" t="e">
        <f t="shared" si="23"/>
        <v>#VALUE!</v>
      </c>
    </row>
    <row r="237" spans="1:29">
      <c r="A237" s="53">
        <f>IF(SortedDownload!A227 &lt; 1,"",SortedDownload!A227)</f>
        <v>282</v>
      </c>
      <c r="B237" s="146">
        <f t="shared" si="20"/>
        <v>232</v>
      </c>
      <c r="C237" s="146" t="str">
        <f>IFERROR(VLOOKUP($A237,CategoryResults!$A$3:$X$252,3,FALSE),"")</f>
        <v/>
      </c>
      <c r="D237" s="149" t="str">
        <f>IFERROR(VLOOKUP($A237,EntryList!$A$3:$N$291,2,FALSE),"")</f>
        <v>John Kabalin</v>
      </c>
      <c r="E237" s="146" t="str">
        <f>IFERROR(VLOOKUP(C237,SeriesPoints!$A$2:$B$51,2,FALSE),"")</f>
        <v/>
      </c>
      <c r="F237" s="150" t="str">
        <f>IFERROR(VLOOKUP($A237,EntryList!$A$3:$V$291,22,FALSE),"")</f>
        <v>-</v>
      </c>
      <c r="G237" s="148" t="str">
        <f>IFERROR(VLOOKUP($A237,EntryList!$A$3:$N$291,6,FALSE),"")</f>
        <v>M</v>
      </c>
      <c r="H237" s="226" t="str">
        <f>IFERROR(VLOOKUP($A237,EntryList!$A$3:$N$291,7,FALSE),"")</f>
        <v>Lite M</v>
      </c>
      <c r="I237" s="220">
        <f t="shared" si="21"/>
        <v>0</v>
      </c>
      <c r="J237" s="58" t="str">
        <f>IFERROR(VLOOKUP($A237,SortedDownload!$A$3:$BB$219,31,FALSE)/86400000,"")</f>
        <v/>
      </c>
      <c r="K237" s="58" t="str">
        <f>IFERROR(IF(VLOOKUP($A237,SortedDownload!$A$3:$BB$219,32,FALSE)=0,"-",VLOOKUP($A237,SortedDownload!$A$3:$BB$219,32,FALSE)/86400000),"-")</f>
        <v>-</v>
      </c>
      <c r="L237" s="58" t="str">
        <f>IFERROR(IF(VLOOKUP($A237,SortedDownload!$A$3:$BB$219,33,FALSE)=0,"-",VLOOKUP($A237,SortedDownload!$A$3:$BB$219,33,FALSE)/86400000),"-")</f>
        <v>-</v>
      </c>
      <c r="M237" s="58" t="str">
        <f>IFERROR(IF(VLOOKUP($A237,SortedDownload!$A$3:$BB$219,34,FALSE)=0,"-",VLOOKUP($A237,SortedDownload!$A$3:$BB$219,34,FALSE)/86400000),"-")</f>
        <v>-</v>
      </c>
      <c r="N237" s="58" t="str">
        <f>IFERROR(IF(VLOOKUP($A237,SortedDownload!$A$3:$BB$219,35,FALSE)=0,"-",VLOOKUP($A237,SortedDownload!$A$3:$BB$219,35,FALSE)/86400000),"-")</f>
        <v>-</v>
      </c>
      <c r="O237" s="58" t="str">
        <f>IFERROR(IF(VLOOKUP($A237,SortedDownload!$A$3:$BB$219,36,FALSE)=0,"-",VLOOKUP($A237,SortedDownload!$A$3:$BB$219,36,FALSE)/86400000),"-")</f>
        <v>-</v>
      </c>
      <c r="P237" s="58" t="str">
        <f>IFERROR(IF(VLOOKUP($A237,SortedDownload!$A$3:$BB$219,37,FALSE)=0,"-",VLOOKUP($A237,SortedDownload!$A$3:$BB$219,37,FALSE)/86400000),"-")</f>
        <v>-</v>
      </c>
      <c r="Q237" s="58" t="str">
        <f>IFERROR(IF(VLOOKUP($A237,SortedDownload!$A$3:$BB$219,38,FALSE)=0,"-",VLOOKUP($A237,SortedDownload!$A$3:$BB$219,38,FALSE)/86400000),"-")</f>
        <v>-</v>
      </c>
      <c r="R237" s="58" t="str">
        <f>IFERROR(IF(VLOOKUP($A237,SortedDownload!$A$3:$BB$219,39,FALSE)=0,"-",VLOOKUP($A237,SortedDownload!$A$3:$BB$219,39,FALSE)/86400000),"-")</f>
        <v>-</v>
      </c>
      <c r="S237" s="58" t="str">
        <f>IFERROR(IF(VLOOKUP($A237,SortedDownload!$A$3:$BB$219,40,FALSE)=0,"-",VLOOKUP($A237,SortedDownload!$A$3:$BB$219,40,FALSE)/86400000),"-")</f>
        <v>-</v>
      </c>
      <c r="T237" s="58" t="str">
        <f>IFERROR(IF(VLOOKUP($A237,SortedDownload!$A$3:$BB$219,41,FALSE)=0,"-",VLOOKUP($A237,SortedDownload!$A$3:$BB$219,41,FALSE)/86400000),"-")</f>
        <v>-</v>
      </c>
      <c r="U237" s="58" t="str">
        <f>IFERROR(IF(VLOOKUP($A237,SortedDownload!$A$3:$BB$219,42,FALSE)=0,"-",VLOOKUP($A237,SortedDownload!$A$3:$BB$219,42,FALSE)/86400000),"-")</f>
        <v>-</v>
      </c>
      <c r="V237" s="58" t="str">
        <f>IFERROR(IF(VLOOKUP($A237,SortedDownload!$A$3:$BB$219,43,FALSE)=0,"-",VLOOKUP($A237,SortedDownload!$A$3:$BB$219,43,FALSE)/86400000),"-")</f>
        <v>-</v>
      </c>
      <c r="W237" s="58" t="str">
        <f>IFERROR(IF(VLOOKUP($A237,SortedDownload!$A$3:$BB$219,44,FALSE)=0,"-",VLOOKUP($A237,SortedDownload!$A$3:$BB$219,44,FALSE)/86400000),"-")</f>
        <v>-</v>
      </c>
      <c r="X237" s="58" t="str">
        <f>IFERROR(IF(VLOOKUP($A237,SortedDownload!$A$3:$BB$219,45,FALSE)=0,"-",VLOOKUP($A237,SortedDownload!$A$3:$BB$219,45,FALSE)/86400000),"-")</f>
        <v>-</v>
      </c>
      <c r="Y237" s="58" t="str">
        <f>IFERROR(VLOOKUP($A237,SortedDownload!$A$3:$BB$219,46,FALSE)/86400000,"")</f>
        <v/>
      </c>
      <c r="Z237" s="58" t="str">
        <f>IFERROR(Table932[[#This Row],[End Time]]-Table932[[#This Row],[Start Time]],"")</f>
        <v/>
      </c>
      <c r="AA237" s="58"/>
      <c r="AB237" s="170" t="e">
        <f t="shared" si="22"/>
        <v>#VALUE!</v>
      </c>
      <c r="AC237" s="170" t="e">
        <f t="shared" si="23"/>
        <v>#VALUE!</v>
      </c>
    </row>
    <row r="238" spans="1:29">
      <c r="A238" s="53">
        <f>IF(SortedDownload!A228 &lt; 1,"",SortedDownload!A228)</f>
        <v>116</v>
      </c>
      <c r="B238" s="146">
        <f t="shared" si="20"/>
        <v>233</v>
      </c>
      <c r="C238" s="146" t="str">
        <f>IFERROR(VLOOKUP($A238,CategoryResults!$A$3:$X$252,3,FALSE),"")</f>
        <v/>
      </c>
      <c r="D238" s="149" t="str">
        <f>IFERROR(VLOOKUP($A238,EntryList!$A$3:$N$291,2,FALSE),"")</f>
        <v>Dean Du Plooy</v>
      </c>
      <c r="E238" s="146" t="str">
        <f>IFERROR(VLOOKUP(C238,SeriesPoints!$A$2:$B$51,2,FALSE),"")</f>
        <v/>
      </c>
      <c r="F238" s="150" t="str">
        <f>IFERROR(VLOOKUP($A238,EntryList!$A$3:$V$291,22,FALSE),"")</f>
        <v>-</v>
      </c>
      <c r="G238" s="148" t="str">
        <f>IFERROR(VLOOKUP($A238,EntryList!$A$3:$N$291,6,FALSE),"")</f>
        <v>M</v>
      </c>
      <c r="H238" s="226" t="str">
        <f>IFERROR(VLOOKUP($A238,EntryList!$A$3:$N$291,7,FALSE),"")</f>
        <v>Lite M</v>
      </c>
      <c r="I238" s="220">
        <f t="shared" si="21"/>
        <v>0</v>
      </c>
      <c r="J238" s="58" t="str">
        <f>IFERROR(VLOOKUP($A238,SortedDownload!$A$3:$BB$219,31,FALSE)/86400000,"")</f>
        <v/>
      </c>
      <c r="K238" s="58" t="str">
        <f>IFERROR(IF(VLOOKUP($A238,SortedDownload!$A$3:$BB$219,32,FALSE)=0,"-",VLOOKUP($A238,SortedDownload!$A$3:$BB$219,32,FALSE)/86400000),"-")</f>
        <v>-</v>
      </c>
      <c r="L238" s="58" t="str">
        <f>IFERROR(IF(VLOOKUP($A238,SortedDownload!$A$3:$BB$219,33,FALSE)=0,"-",VLOOKUP($A238,SortedDownload!$A$3:$BB$219,33,FALSE)/86400000),"-")</f>
        <v>-</v>
      </c>
      <c r="M238" s="58" t="str">
        <f>IFERROR(IF(VLOOKUP($A238,SortedDownload!$A$3:$BB$219,34,FALSE)=0,"-",VLOOKUP($A238,SortedDownload!$A$3:$BB$219,34,FALSE)/86400000),"-")</f>
        <v>-</v>
      </c>
      <c r="N238" s="58" t="str">
        <f>IFERROR(IF(VLOOKUP($A238,SortedDownload!$A$3:$BB$219,35,FALSE)=0,"-",VLOOKUP($A238,SortedDownload!$A$3:$BB$219,35,FALSE)/86400000),"-")</f>
        <v>-</v>
      </c>
      <c r="O238" s="58" t="str">
        <f>IFERROR(IF(VLOOKUP($A238,SortedDownload!$A$3:$BB$219,36,FALSE)=0,"-",VLOOKUP($A238,SortedDownload!$A$3:$BB$219,36,FALSE)/86400000),"-")</f>
        <v>-</v>
      </c>
      <c r="P238" s="58" t="str">
        <f>IFERROR(IF(VLOOKUP($A238,SortedDownload!$A$3:$BB$219,37,FALSE)=0,"-",VLOOKUP($A238,SortedDownload!$A$3:$BB$219,37,FALSE)/86400000),"-")</f>
        <v>-</v>
      </c>
      <c r="Q238" s="58" t="str">
        <f>IFERROR(IF(VLOOKUP($A238,SortedDownload!$A$3:$BB$219,38,FALSE)=0,"-",VLOOKUP($A238,SortedDownload!$A$3:$BB$219,38,FALSE)/86400000),"-")</f>
        <v>-</v>
      </c>
      <c r="R238" s="58" t="str">
        <f>IFERROR(IF(VLOOKUP($A238,SortedDownload!$A$3:$BB$219,39,FALSE)=0,"-",VLOOKUP($A238,SortedDownload!$A$3:$BB$219,39,FALSE)/86400000),"-")</f>
        <v>-</v>
      </c>
      <c r="S238" s="58" t="str">
        <f>IFERROR(IF(VLOOKUP($A238,SortedDownload!$A$3:$BB$219,40,FALSE)=0,"-",VLOOKUP($A238,SortedDownload!$A$3:$BB$219,40,FALSE)/86400000),"-")</f>
        <v>-</v>
      </c>
      <c r="T238" s="58" t="str">
        <f>IFERROR(IF(VLOOKUP($A238,SortedDownload!$A$3:$BB$219,41,FALSE)=0,"-",VLOOKUP($A238,SortedDownload!$A$3:$BB$219,41,FALSE)/86400000),"-")</f>
        <v>-</v>
      </c>
      <c r="U238" s="58" t="str">
        <f>IFERROR(IF(VLOOKUP($A238,SortedDownload!$A$3:$BB$219,42,FALSE)=0,"-",VLOOKUP($A238,SortedDownload!$A$3:$BB$219,42,FALSE)/86400000),"-")</f>
        <v>-</v>
      </c>
      <c r="V238" s="58" t="str">
        <f>IFERROR(IF(VLOOKUP($A238,SortedDownload!$A$3:$BB$219,43,FALSE)=0,"-",VLOOKUP($A238,SortedDownload!$A$3:$BB$219,43,FALSE)/86400000),"-")</f>
        <v>-</v>
      </c>
      <c r="W238" s="58" t="str">
        <f>IFERROR(IF(VLOOKUP($A238,SortedDownload!$A$3:$BB$219,44,FALSE)=0,"-",VLOOKUP($A238,SortedDownload!$A$3:$BB$219,44,FALSE)/86400000),"-")</f>
        <v>-</v>
      </c>
      <c r="X238" s="58" t="str">
        <f>IFERROR(IF(VLOOKUP($A238,SortedDownload!$A$3:$BB$219,45,FALSE)=0,"-",VLOOKUP($A238,SortedDownload!$A$3:$BB$219,45,FALSE)/86400000),"-")</f>
        <v>-</v>
      </c>
      <c r="Y238" s="58" t="str">
        <f>IFERROR(VLOOKUP($A238,SortedDownload!$A$3:$BB$219,46,FALSE)/86400000,"")</f>
        <v/>
      </c>
      <c r="Z238" s="58" t="str">
        <f>IFERROR(Table932[[#This Row],[End Time]]-Table932[[#This Row],[Start Time]],"")</f>
        <v/>
      </c>
      <c r="AA238" s="58"/>
      <c r="AB238" s="170" t="e">
        <f t="shared" si="22"/>
        <v>#VALUE!</v>
      </c>
      <c r="AC238" s="170" t="e">
        <f t="shared" si="23"/>
        <v>#VALUE!</v>
      </c>
    </row>
    <row r="239" spans="1:29">
      <c r="A239" s="53">
        <f>IF(SortedDownload!A229 &lt; 1,"",SortedDownload!A229)</f>
        <v>50</v>
      </c>
      <c r="B239" s="146">
        <f t="shared" si="20"/>
        <v>234</v>
      </c>
      <c r="C239" s="146" t="str">
        <f>IFERROR(VLOOKUP($A239,CategoryResults!$A$3:$X$252,3,FALSE),"")</f>
        <v/>
      </c>
      <c r="D239" s="149" t="str">
        <f>IFERROR(VLOOKUP($A239,EntryList!$A$3:$N$291,2,FALSE),"")</f>
        <v>Alan Chait</v>
      </c>
      <c r="E239" s="146" t="str">
        <f>IFERROR(VLOOKUP(C239,SeriesPoints!$A$2:$B$51,2,FALSE),"")</f>
        <v/>
      </c>
      <c r="F239" s="150" t="str">
        <f>IFERROR(VLOOKUP($A239,EntryList!$A$3:$V$291,22,FALSE),"")</f>
        <v>-</v>
      </c>
      <c r="G239" s="148" t="str">
        <f>IFERROR(VLOOKUP($A239,EntryList!$A$3:$N$291,6,FALSE),"")</f>
        <v>M</v>
      </c>
      <c r="H239" s="226" t="str">
        <f>IFERROR(VLOOKUP($A239,EntryList!$A$3:$N$291,7,FALSE),"")</f>
        <v>Lite M</v>
      </c>
      <c r="I239" s="220">
        <f t="shared" si="21"/>
        <v>0</v>
      </c>
      <c r="J239" s="58" t="str">
        <f>IFERROR(VLOOKUP($A239,SortedDownload!$A$3:$BB$219,31,FALSE)/86400000,"")</f>
        <v/>
      </c>
      <c r="K239" s="58" t="str">
        <f>IFERROR(IF(VLOOKUP($A239,SortedDownload!$A$3:$BB$219,32,FALSE)=0,"-",VLOOKUP($A239,SortedDownload!$A$3:$BB$219,32,FALSE)/86400000),"-")</f>
        <v>-</v>
      </c>
      <c r="L239" s="58" t="str">
        <f>IFERROR(IF(VLOOKUP($A239,SortedDownload!$A$3:$BB$219,33,FALSE)=0,"-",VLOOKUP($A239,SortedDownload!$A$3:$BB$219,33,FALSE)/86400000),"-")</f>
        <v>-</v>
      </c>
      <c r="M239" s="58" t="str">
        <f>IFERROR(IF(VLOOKUP($A239,SortedDownload!$A$3:$BB$219,34,FALSE)=0,"-",VLOOKUP($A239,SortedDownload!$A$3:$BB$219,34,FALSE)/86400000),"-")</f>
        <v>-</v>
      </c>
      <c r="N239" s="58" t="str">
        <f>IFERROR(IF(VLOOKUP($A239,SortedDownload!$A$3:$BB$219,35,FALSE)=0,"-",VLOOKUP($A239,SortedDownload!$A$3:$BB$219,35,FALSE)/86400000),"-")</f>
        <v>-</v>
      </c>
      <c r="O239" s="58" t="str">
        <f>IFERROR(IF(VLOOKUP($A239,SortedDownload!$A$3:$BB$219,36,FALSE)=0,"-",VLOOKUP($A239,SortedDownload!$A$3:$BB$219,36,FALSE)/86400000),"-")</f>
        <v>-</v>
      </c>
      <c r="P239" s="58" t="str">
        <f>IFERROR(IF(VLOOKUP($A239,SortedDownload!$A$3:$BB$219,37,FALSE)=0,"-",VLOOKUP($A239,SortedDownload!$A$3:$BB$219,37,FALSE)/86400000),"-")</f>
        <v>-</v>
      </c>
      <c r="Q239" s="58" t="str">
        <f>IFERROR(IF(VLOOKUP($A239,SortedDownload!$A$3:$BB$219,38,FALSE)=0,"-",VLOOKUP($A239,SortedDownload!$A$3:$BB$219,38,FALSE)/86400000),"-")</f>
        <v>-</v>
      </c>
      <c r="R239" s="58" t="str">
        <f>IFERROR(IF(VLOOKUP($A239,SortedDownload!$A$3:$BB$219,39,FALSE)=0,"-",VLOOKUP($A239,SortedDownload!$A$3:$BB$219,39,FALSE)/86400000),"-")</f>
        <v>-</v>
      </c>
      <c r="S239" s="58" t="str">
        <f>IFERROR(IF(VLOOKUP($A239,SortedDownload!$A$3:$BB$219,40,FALSE)=0,"-",VLOOKUP($A239,SortedDownload!$A$3:$BB$219,40,FALSE)/86400000),"-")</f>
        <v>-</v>
      </c>
      <c r="T239" s="58" t="str">
        <f>IFERROR(IF(VLOOKUP($A239,SortedDownload!$A$3:$BB$219,41,FALSE)=0,"-",VLOOKUP($A239,SortedDownload!$A$3:$BB$219,41,FALSE)/86400000),"-")</f>
        <v>-</v>
      </c>
      <c r="U239" s="58" t="str">
        <f>IFERROR(IF(VLOOKUP($A239,SortedDownload!$A$3:$BB$219,42,FALSE)=0,"-",VLOOKUP($A239,SortedDownload!$A$3:$BB$219,42,FALSE)/86400000),"-")</f>
        <v>-</v>
      </c>
      <c r="V239" s="58" t="str">
        <f>IFERROR(IF(VLOOKUP($A239,SortedDownload!$A$3:$BB$219,43,FALSE)=0,"-",VLOOKUP($A239,SortedDownload!$A$3:$BB$219,43,FALSE)/86400000),"-")</f>
        <v>-</v>
      </c>
      <c r="W239" s="58" t="str">
        <f>IFERROR(IF(VLOOKUP($A239,SortedDownload!$A$3:$BB$219,44,FALSE)=0,"-",VLOOKUP($A239,SortedDownload!$A$3:$BB$219,44,FALSE)/86400000),"-")</f>
        <v>-</v>
      </c>
      <c r="X239" s="58" t="str">
        <f>IFERROR(IF(VLOOKUP($A239,SortedDownload!$A$3:$BB$219,45,FALSE)=0,"-",VLOOKUP($A239,SortedDownload!$A$3:$BB$219,45,FALSE)/86400000),"-")</f>
        <v>-</v>
      </c>
      <c r="Y239" s="58" t="str">
        <f>IFERROR(VLOOKUP($A239,SortedDownload!$A$3:$BB$219,46,FALSE)/86400000,"")</f>
        <v/>
      </c>
      <c r="Z239" s="58" t="str">
        <f>IFERROR(Table932[[#This Row],[End Time]]-Table932[[#This Row],[Start Time]],"")</f>
        <v/>
      </c>
      <c r="AA239" s="58"/>
      <c r="AB239" s="170" t="e">
        <f t="shared" si="22"/>
        <v>#VALUE!</v>
      </c>
      <c r="AC239" s="170" t="e">
        <f t="shared" si="23"/>
        <v>#VALUE!</v>
      </c>
    </row>
    <row r="240" spans="1:29">
      <c r="A240" s="53">
        <f>IF(SortedDownload!A230 &lt; 1,"",SortedDownload!A230)</f>
        <v>195</v>
      </c>
      <c r="B240" s="146">
        <f t="shared" si="20"/>
        <v>235</v>
      </c>
      <c r="C240" s="146" t="str">
        <f>IFERROR(VLOOKUP($A240,CategoryResults!$A$3:$X$252,3,FALSE),"")</f>
        <v/>
      </c>
      <c r="D240" s="149" t="str">
        <f>IFERROR(VLOOKUP($A240,EntryList!$A$3:$N$291,2,FALSE),"")</f>
        <v>Karl Van Niekerk</v>
      </c>
      <c r="E240" s="146" t="str">
        <f>IFERROR(VLOOKUP(C240,SeriesPoints!$A$2:$B$51,2,FALSE),"")</f>
        <v/>
      </c>
      <c r="F240" s="150" t="str">
        <f>IFERROR(VLOOKUP($A240,EntryList!$A$3:$V$291,22,FALSE),"")</f>
        <v>-</v>
      </c>
      <c r="G240" s="148" t="str">
        <f>IFERROR(VLOOKUP($A240,EntryList!$A$3:$N$291,6,FALSE),"")</f>
        <v>M</v>
      </c>
      <c r="H240" s="226" t="str">
        <f>IFERROR(VLOOKUP($A240,EntryList!$A$3:$N$291,7,FALSE),"")</f>
        <v>Lite M</v>
      </c>
      <c r="I240" s="220">
        <f t="shared" si="21"/>
        <v>0</v>
      </c>
      <c r="J240" s="58" t="str">
        <f>IFERROR(VLOOKUP($A240,SortedDownload!$A$3:$BB$219,31,FALSE)/86400000,"")</f>
        <v/>
      </c>
      <c r="K240" s="58" t="str">
        <f>IFERROR(IF(VLOOKUP($A240,SortedDownload!$A$3:$BB$219,32,FALSE)=0,"-",VLOOKUP($A240,SortedDownload!$A$3:$BB$219,32,FALSE)/86400000),"-")</f>
        <v>-</v>
      </c>
      <c r="L240" s="58" t="str">
        <f>IFERROR(IF(VLOOKUP($A240,SortedDownload!$A$3:$BB$219,33,FALSE)=0,"-",VLOOKUP($A240,SortedDownload!$A$3:$BB$219,33,FALSE)/86400000),"-")</f>
        <v>-</v>
      </c>
      <c r="M240" s="58" t="str">
        <f>IFERROR(IF(VLOOKUP($A240,SortedDownload!$A$3:$BB$219,34,FALSE)=0,"-",VLOOKUP($A240,SortedDownload!$A$3:$BB$219,34,FALSE)/86400000),"-")</f>
        <v>-</v>
      </c>
      <c r="N240" s="58" t="str">
        <f>IFERROR(IF(VLOOKUP($A240,SortedDownload!$A$3:$BB$219,35,FALSE)=0,"-",VLOOKUP($A240,SortedDownload!$A$3:$BB$219,35,FALSE)/86400000),"-")</f>
        <v>-</v>
      </c>
      <c r="O240" s="58" t="str">
        <f>IFERROR(IF(VLOOKUP($A240,SortedDownload!$A$3:$BB$219,36,FALSE)=0,"-",VLOOKUP($A240,SortedDownload!$A$3:$BB$219,36,FALSE)/86400000),"-")</f>
        <v>-</v>
      </c>
      <c r="P240" s="58" t="str">
        <f>IFERROR(IF(VLOOKUP($A240,SortedDownload!$A$3:$BB$219,37,FALSE)=0,"-",VLOOKUP($A240,SortedDownload!$A$3:$BB$219,37,FALSE)/86400000),"-")</f>
        <v>-</v>
      </c>
      <c r="Q240" s="58" t="str">
        <f>IFERROR(IF(VLOOKUP($A240,SortedDownload!$A$3:$BB$219,38,FALSE)=0,"-",VLOOKUP($A240,SortedDownload!$A$3:$BB$219,38,FALSE)/86400000),"-")</f>
        <v>-</v>
      </c>
      <c r="R240" s="58" t="str">
        <f>IFERROR(IF(VLOOKUP($A240,SortedDownload!$A$3:$BB$219,39,FALSE)=0,"-",VLOOKUP($A240,SortedDownload!$A$3:$BB$219,39,FALSE)/86400000),"-")</f>
        <v>-</v>
      </c>
      <c r="S240" s="58" t="str">
        <f>IFERROR(IF(VLOOKUP($A240,SortedDownload!$A$3:$BB$219,40,FALSE)=0,"-",VLOOKUP($A240,SortedDownload!$A$3:$BB$219,40,FALSE)/86400000),"-")</f>
        <v>-</v>
      </c>
      <c r="T240" s="58" t="str">
        <f>IFERROR(IF(VLOOKUP($A240,SortedDownload!$A$3:$BB$219,41,FALSE)=0,"-",VLOOKUP($A240,SortedDownload!$A$3:$BB$219,41,FALSE)/86400000),"-")</f>
        <v>-</v>
      </c>
      <c r="U240" s="58" t="str">
        <f>IFERROR(IF(VLOOKUP($A240,SortedDownload!$A$3:$BB$219,42,FALSE)=0,"-",VLOOKUP($A240,SortedDownload!$A$3:$BB$219,42,FALSE)/86400000),"-")</f>
        <v>-</v>
      </c>
      <c r="V240" s="58" t="str">
        <f>IFERROR(IF(VLOOKUP($A240,SortedDownload!$A$3:$BB$219,43,FALSE)=0,"-",VLOOKUP($A240,SortedDownload!$A$3:$BB$219,43,FALSE)/86400000),"-")</f>
        <v>-</v>
      </c>
      <c r="W240" s="58" t="str">
        <f>IFERROR(IF(VLOOKUP($A240,SortedDownload!$A$3:$BB$219,44,FALSE)=0,"-",VLOOKUP($A240,SortedDownload!$A$3:$BB$219,44,FALSE)/86400000),"-")</f>
        <v>-</v>
      </c>
      <c r="X240" s="58" t="str">
        <f>IFERROR(IF(VLOOKUP($A240,SortedDownload!$A$3:$BB$219,45,FALSE)=0,"-",VLOOKUP($A240,SortedDownload!$A$3:$BB$219,45,FALSE)/86400000),"-")</f>
        <v>-</v>
      </c>
      <c r="Y240" s="58" t="str">
        <f>IFERROR(VLOOKUP($A240,SortedDownload!$A$3:$BB$219,46,FALSE)/86400000,"")</f>
        <v/>
      </c>
      <c r="Z240" s="58" t="str">
        <f>IFERROR(Table932[[#This Row],[End Time]]-Table932[[#This Row],[Start Time]],"")</f>
        <v/>
      </c>
      <c r="AA240" s="58"/>
      <c r="AB240" s="170" t="e">
        <f t="shared" si="22"/>
        <v>#VALUE!</v>
      </c>
      <c r="AC240" s="170" t="e">
        <f t="shared" si="23"/>
        <v>#VALUE!</v>
      </c>
    </row>
    <row r="241" spans="1:29">
      <c r="A241" s="53">
        <f>IF(SortedDownload!A231 &lt; 1,"",SortedDownload!A231)</f>
        <v>64</v>
      </c>
      <c r="B241" s="146">
        <f t="shared" si="20"/>
        <v>236</v>
      </c>
      <c r="C241" s="146" t="str">
        <f>IFERROR(VLOOKUP($A241,CategoryResults!$A$3:$X$252,3,FALSE),"")</f>
        <v/>
      </c>
      <c r="D241" s="149" t="str">
        <f>IFERROR(VLOOKUP($A241,EntryList!$A$3:$N$291,2,FALSE),"")</f>
        <v>Samantha Sharp</v>
      </c>
      <c r="E241" s="146" t="str">
        <f>IFERROR(VLOOKUP(C241,SeriesPoints!$A$2:$B$51,2,FALSE),"")</f>
        <v/>
      </c>
      <c r="F241" s="150" t="str">
        <f>IFERROR(VLOOKUP($A241,EntryList!$A$3:$V$291,22,FALSE),"")</f>
        <v>-</v>
      </c>
      <c r="G241" s="148" t="str">
        <f>IFERROR(VLOOKUP($A241,EntryList!$A$3:$N$291,6,FALSE),"")</f>
        <v>F</v>
      </c>
      <c r="H241" s="226" t="str">
        <f>IFERROR(VLOOKUP($A241,EntryList!$A$3:$N$291,7,FALSE),"")</f>
        <v>Lite F</v>
      </c>
      <c r="I241" s="220">
        <f t="shared" si="21"/>
        <v>0</v>
      </c>
      <c r="J241" s="58" t="str">
        <f>IFERROR(VLOOKUP($A241,SortedDownload!$A$3:$BB$219,31,FALSE)/86400000,"")</f>
        <v/>
      </c>
      <c r="K241" s="58" t="str">
        <f>IFERROR(IF(VLOOKUP($A241,SortedDownload!$A$3:$BB$219,32,FALSE)=0,"-",VLOOKUP($A241,SortedDownload!$A$3:$BB$219,32,FALSE)/86400000),"-")</f>
        <v>-</v>
      </c>
      <c r="L241" s="58" t="str">
        <f>IFERROR(IF(VLOOKUP($A241,SortedDownload!$A$3:$BB$219,33,FALSE)=0,"-",VLOOKUP($A241,SortedDownload!$A$3:$BB$219,33,FALSE)/86400000),"-")</f>
        <v>-</v>
      </c>
      <c r="M241" s="58" t="str">
        <f>IFERROR(IF(VLOOKUP($A241,SortedDownload!$A$3:$BB$219,34,FALSE)=0,"-",VLOOKUP($A241,SortedDownload!$A$3:$BB$219,34,FALSE)/86400000),"-")</f>
        <v>-</v>
      </c>
      <c r="N241" s="58" t="str">
        <f>IFERROR(IF(VLOOKUP($A241,SortedDownload!$A$3:$BB$219,35,FALSE)=0,"-",VLOOKUP($A241,SortedDownload!$A$3:$BB$219,35,FALSE)/86400000),"-")</f>
        <v>-</v>
      </c>
      <c r="O241" s="58" t="str">
        <f>IFERROR(IF(VLOOKUP($A241,SortedDownload!$A$3:$BB$219,36,FALSE)=0,"-",VLOOKUP($A241,SortedDownload!$A$3:$BB$219,36,FALSE)/86400000),"-")</f>
        <v>-</v>
      </c>
      <c r="P241" s="58" t="str">
        <f>IFERROR(IF(VLOOKUP($A241,SortedDownload!$A$3:$BB$219,37,FALSE)=0,"-",VLOOKUP($A241,SortedDownload!$A$3:$BB$219,37,FALSE)/86400000),"-")</f>
        <v>-</v>
      </c>
      <c r="Q241" s="58" t="str">
        <f>IFERROR(IF(VLOOKUP($A241,SortedDownload!$A$3:$BB$219,38,FALSE)=0,"-",VLOOKUP($A241,SortedDownload!$A$3:$BB$219,38,FALSE)/86400000),"-")</f>
        <v>-</v>
      </c>
      <c r="R241" s="58" t="str">
        <f>IFERROR(IF(VLOOKUP($A241,SortedDownload!$A$3:$BB$219,39,FALSE)=0,"-",VLOOKUP($A241,SortedDownload!$A$3:$BB$219,39,FALSE)/86400000),"-")</f>
        <v>-</v>
      </c>
      <c r="S241" s="58" t="str">
        <f>IFERROR(IF(VLOOKUP($A241,SortedDownload!$A$3:$BB$219,40,FALSE)=0,"-",VLOOKUP($A241,SortedDownload!$A$3:$BB$219,40,FALSE)/86400000),"-")</f>
        <v>-</v>
      </c>
      <c r="T241" s="58" t="str">
        <f>IFERROR(IF(VLOOKUP($A241,SortedDownload!$A$3:$BB$219,41,FALSE)=0,"-",VLOOKUP($A241,SortedDownload!$A$3:$BB$219,41,FALSE)/86400000),"-")</f>
        <v>-</v>
      </c>
      <c r="U241" s="58" t="str">
        <f>IFERROR(IF(VLOOKUP($A241,SortedDownload!$A$3:$BB$219,42,FALSE)=0,"-",VLOOKUP($A241,SortedDownload!$A$3:$BB$219,42,FALSE)/86400000),"-")</f>
        <v>-</v>
      </c>
      <c r="V241" s="58" t="str">
        <f>IFERROR(IF(VLOOKUP($A241,SortedDownload!$A$3:$BB$219,43,FALSE)=0,"-",VLOOKUP($A241,SortedDownload!$A$3:$BB$219,43,FALSE)/86400000),"-")</f>
        <v>-</v>
      </c>
      <c r="W241" s="58" t="str">
        <f>IFERROR(IF(VLOOKUP($A241,SortedDownload!$A$3:$BB$219,44,FALSE)=0,"-",VLOOKUP($A241,SortedDownload!$A$3:$BB$219,44,FALSE)/86400000),"-")</f>
        <v>-</v>
      </c>
      <c r="X241" s="58" t="str">
        <f>IFERROR(IF(VLOOKUP($A241,SortedDownload!$A$3:$BB$219,45,FALSE)=0,"-",VLOOKUP($A241,SortedDownload!$A$3:$BB$219,45,FALSE)/86400000),"-")</f>
        <v>-</v>
      </c>
      <c r="Y241" s="58" t="str">
        <f>IFERROR(VLOOKUP($A241,SortedDownload!$A$3:$BB$219,46,FALSE)/86400000,"")</f>
        <v/>
      </c>
      <c r="Z241" s="58" t="str">
        <f>IFERROR(Table932[[#This Row],[End Time]]-Table932[[#This Row],[Start Time]],"")</f>
        <v/>
      </c>
      <c r="AA241" s="58"/>
      <c r="AB241" s="170" t="e">
        <f t="shared" si="22"/>
        <v>#VALUE!</v>
      </c>
      <c r="AC241" s="170" t="e">
        <f t="shared" si="23"/>
        <v>#VALUE!</v>
      </c>
    </row>
    <row r="242" spans="1:29">
      <c r="A242" s="53">
        <f>IF(SortedDownload!A232 &lt; 1,"",SortedDownload!A232)</f>
        <v>78</v>
      </c>
      <c r="B242" s="146">
        <f t="shared" si="20"/>
        <v>237</v>
      </c>
      <c r="C242" s="146" t="str">
        <f>IFERROR(VLOOKUP($A242,CategoryResults!$A$3:$X$252,3,FALSE),"")</f>
        <v/>
      </c>
      <c r="D242" s="149" t="str">
        <f>IFERROR(VLOOKUP($A242,EntryList!$A$3:$N$291,2,FALSE),"")</f>
        <v>Dacre Ewan</v>
      </c>
      <c r="E242" s="146" t="str">
        <f>IFERROR(VLOOKUP(C242,SeriesPoints!$A$2:$B$51,2,FALSE),"")</f>
        <v/>
      </c>
      <c r="F242" s="150" t="str">
        <f>IFERROR(VLOOKUP($A242,EntryList!$A$3:$V$291,22,FALSE),"")</f>
        <v>-</v>
      </c>
      <c r="G242" s="148" t="str">
        <f>IFERROR(VLOOKUP($A242,EntryList!$A$3:$N$291,6,FALSE),"")</f>
        <v>M</v>
      </c>
      <c r="H242" s="226" t="str">
        <f>IFERROR(VLOOKUP($A242,EntryList!$A$3:$N$291,7,FALSE),"")</f>
        <v>Lite M</v>
      </c>
      <c r="I242" s="220">
        <f t="shared" si="21"/>
        <v>0</v>
      </c>
      <c r="J242" s="58" t="str">
        <f>IFERROR(VLOOKUP($A242,SortedDownload!$A$3:$BB$219,31,FALSE)/86400000,"")</f>
        <v/>
      </c>
      <c r="K242" s="58" t="str">
        <f>IFERROR(IF(VLOOKUP($A242,SortedDownload!$A$3:$BB$219,32,FALSE)=0,"-",VLOOKUP($A242,SortedDownload!$A$3:$BB$219,32,FALSE)/86400000),"-")</f>
        <v>-</v>
      </c>
      <c r="L242" s="58" t="str">
        <f>IFERROR(IF(VLOOKUP($A242,SortedDownload!$A$3:$BB$219,33,FALSE)=0,"-",VLOOKUP($A242,SortedDownload!$A$3:$BB$219,33,FALSE)/86400000),"-")</f>
        <v>-</v>
      </c>
      <c r="M242" s="58" t="str">
        <f>IFERROR(IF(VLOOKUP($A242,SortedDownload!$A$3:$BB$219,34,FALSE)=0,"-",VLOOKUP($A242,SortedDownload!$A$3:$BB$219,34,FALSE)/86400000),"-")</f>
        <v>-</v>
      </c>
      <c r="N242" s="58" t="str">
        <f>IFERROR(IF(VLOOKUP($A242,SortedDownload!$A$3:$BB$219,35,FALSE)=0,"-",VLOOKUP($A242,SortedDownload!$A$3:$BB$219,35,FALSE)/86400000),"-")</f>
        <v>-</v>
      </c>
      <c r="O242" s="58" t="str">
        <f>IFERROR(IF(VLOOKUP($A242,SortedDownload!$A$3:$BB$219,36,FALSE)=0,"-",VLOOKUP($A242,SortedDownload!$A$3:$BB$219,36,FALSE)/86400000),"-")</f>
        <v>-</v>
      </c>
      <c r="P242" s="58" t="str">
        <f>IFERROR(IF(VLOOKUP($A242,SortedDownload!$A$3:$BB$219,37,FALSE)=0,"-",VLOOKUP($A242,SortedDownload!$A$3:$BB$219,37,FALSE)/86400000),"-")</f>
        <v>-</v>
      </c>
      <c r="Q242" s="58" t="str">
        <f>IFERROR(IF(VLOOKUP($A242,SortedDownload!$A$3:$BB$219,38,FALSE)=0,"-",VLOOKUP($A242,SortedDownload!$A$3:$BB$219,38,FALSE)/86400000),"-")</f>
        <v>-</v>
      </c>
      <c r="R242" s="58" t="str">
        <f>IFERROR(IF(VLOOKUP($A242,SortedDownload!$A$3:$BB$219,39,FALSE)=0,"-",VLOOKUP($A242,SortedDownload!$A$3:$BB$219,39,FALSE)/86400000),"-")</f>
        <v>-</v>
      </c>
      <c r="S242" s="58" t="str">
        <f>IFERROR(IF(VLOOKUP($A242,SortedDownload!$A$3:$BB$219,40,FALSE)=0,"-",VLOOKUP($A242,SortedDownload!$A$3:$BB$219,40,FALSE)/86400000),"-")</f>
        <v>-</v>
      </c>
      <c r="T242" s="58" t="str">
        <f>IFERROR(IF(VLOOKUP($A242,SortedDownload!$A$3:$BB$219,41,FALSE)=0,"-",VLOOKUP($A242,SortedDownload!$A$3:$BB$219,41,FALSE)/86400000),"-")</f>
        <v>-</v>
      </c>
      <c r="U242" s="58" t="str">
        <f>IFERROR(IF(VLOOKUP($A242,SortedDownload!$A$3:$BB$219,42,FALSE)=0,"-",VLOOKUP($A242,SortedDownload!$A$3:$BB$219,42,FALSE)/86400000),"-")</f>
        <v>-</v>
      </c>
      <c r="V242" s="58" t="str">
        <f>IFERROR(IF(VLOOKUP($A242,SortedDownload!$A$3:$BB$219,43,FALSE)=0,"-",VLOOKUP($A242,SortedDownload!$A$3:$BB$219,43,FALSE)/86400000),"-")</f>
        <v>-</v>
      </c>
      <c r="W242" s="58" t="str">
        <f>IFERROR(IF(VLOOKUP($A242,SortedDownload!$A$3:$BB$219,44,FALSE)=0,"-",VLOOKUP($A242,SortedDownload!$A$3:$BB$219,44,FALSE)/86400000),"-")</f>
        <v>-</v>
      </c>
      <c r="X242" s="58" t="str">
        <f>IFERROR(IF(VLOOKUP($A242,SortedDownload!$A$3:$BB$219,45,FALSE)=0,"-",VLOOKUP($A242,SortedDownload!$A$3:$BB$219,45,FALSE)/86400000),"-")</f>
        <v>-</v>
      </c>
      <c r="Y242" s="58" t="str">
        <f>IFERROR(VLOOKUP($A242,SortedDownload!$A$3:$BB$219,46,FALSE)/86400000,"")</f>
        <v/>
      </c>
      <c r="Z242" s="58" t="str">
        <f>IFERROR(Table932[[#This Row],[End Time]]-Table932[[#This Row],[Start Time]],"")</f>
        <v/>
      </c>
      <c r="AA242" s="58"/>
      <c r="AB242" s="170" t="e">
        <f t="shared" si="22"/>
        <v>#VALUE!</v>
      </c>
      <c r="AC242" s="170" t="e">
        <f t="shared" si="23"/>
        <v>#VALUE!</v>
      </c>
    </row>
    <row r="243" spans="1:29">
      <c r="A243" s="53">
        <f>IF(SortedDownload!A233 &lt; 1,"",SortedDownload!A233)</f>
        <v>203</v>
      </c>
      <c r="B243" s="146">
        <f t="shared" si="20"/>
        <v>238</v>
      </c>
      <c r="C243" s="146" t="str">
        <f>IFERROR(VLOOKUP($A243,CategoryResults!$A$3:$X$252,3,FALSE),"")</f>
        <v/>
      </c>
      <c r="D243" s="149" t="str">
        <f>IFERROR(VLOOKUP($A243,EntryList!$A$3:$N$291,2,FALSE),"")</f>
        <v>Gean Boegman</v>
      </c>
      <c r="E243" s="146" t="str">
        <f>IFERROR(VLOOKUP(C243,SeriesPoints!$A$2:$B$51,2,FALSE),"")</f>
        <v/>
      </c>
      <c r="F243" s="150" t="str">
        <f>IFERROR(VLOOKUP($A243,EntryList!$A$3:$V$291,22,FALSE),"")</f>
        <v>-</v>
      </c>
      <c r="G243" s="148" t="str">
        <f>IFERROR(VLOOKUP($A243,EntryList!$A$3:$N$291,6,FALSE),"")</f>
        <v>M</v>
      </c>
      <c r="H243" s="226" t="str">
        <f>IFERROR(VLOOKUP($A243,EntryList!$A$3:$N$291,7,FALSE),"")</f>
        <v>Sub Junior Boys</v>
      </c>
      <c r="I243" s="220">
        <f t="shared" si="21"/>
        <v>0</v>
      </c>
      <c r="J243" s="58" t="str">
        <f>IFERROR(VLOOKUP($A243,SortedDownload!$A$3:$BB$219,31,FALSE)/86400000,"")</f>
        <v/>
      </c>
      <c r="K243" s="58" t="str">
        <f>IFERROR(IF(VLOOKUP($A243,SortedDownload!$A$3:$BB$219,32,FALSE)=0,"-",VLOOKUP($A243,SortedDownload!$A$3:$BB$219,32,FALSE)/86400000),"-")</f>
        <v>-</v>
      </c>
      <c r="L243" s="58" t="str">
        <f>IFERROR(IF(VLOOKUP($A243,SortedDownload!$A$3:$BB$219,33,FALSE)=0,"-",VLOOKUP($A243,SortedDownload!$A$3:$BB$219,33,FALSE)/86400000),"-")</f>
        <v>-</v>
      </c>
      <c r="M243" s="58" t="str">
        <f>IFERROR(IF(VLOOKUP($A243,SortedDownload!$A$3:$BB$219,34,FALSE)=0,"-",VLOOKUP($A243,SortedDownload!$A$3:$BB$219,34,FALSE)/86400000),"-")</f>
        <v>-</v>
      </c>
      <c r="N243" s="58" t="str">
        <f>IFERROR(IF(VLOOKUP($A243,SortedDownload!$A$3:$BB$219,35,FALSE)=0,"-",VLOOKUP($A243,SortedDownload!$A$3:$BB$219,35,FALSE)/86400000),"-")</f>
        <v>-</v>
      </c>
      <c r="O243" s="58" t="str">
        <f>IFERROR(IF(VLOOKUP($A243,SortedDownload!$A$3:$BB$219,36,FALSE)=0,"-",VLOOKUP($A243,SortedDownload!$A$3:$BB$219,36,FALSE)/86400000),"-")</f>
        <v>-</v>
      </c>
      <c r="P243" s="58" t="str">
        <f>IFERROR(IF(VLOOKUP($A243,SortedDownload!$A$3:$BB$219,37,FALSE)=0,"-",VLOOKUP($A243,SortedDownload!$A$3:$BB$219,37,FALSE)/86400000),"-")</f>
        <v>-</v>
      </c>
      <c r="Q243" s="58" t="str">
        <f>IFERROR(IF(VLOOKUP($A243,SortedDownload!$A$3:$BB$219,38,FALSE)=0,"-",VLOOKUP($A243,SortedDownload!$A$3:$BB$219,38,FALSE)/86400000),"-")</f>
        <v>-</v>
      </c>
      <c r="R243" s="58" t="str">
        <f>IFERROR(IF(VLOOKUP($A243,SortedDownload!$A$3:$BB$219,39,FALSE)=0,"-",VLOOKUP($A243,SortedDownload!$A$3:$BB$219,39,FALSE)/86400000),"-")</f>
        <v>-</v>
      </c>
      <c r="S243" s="58" t="str">
        <f>IFERROR(IF(VLOOKUP($A243,SortedDownload!$A$3:$BB$219,40,FALSE)=0,"-",VLOOKUP($A243,SortedDownload!$A$3:$BB$219,40,FALSE)/86400000),"-")</f>
        <v>-</v>
      </c>
      <c r="T243" s="58" t="str">
        <f>IFERROR(IF(VLOOKUP($A243,SortedDownload!$A$3:$BB$219,41,FALSE)=0,"-",VLOOKUP($A243,SortedDownload!$A$3:$BB$219,41,FALSE)/86400000),"-")</f>
        <v>-</v>
      </c>
      <c r="U243" s="58" t="str">
        <f>IFERROR(IF(VLOOKUP($A243,SortedDownload!$A$3:$BB$219,42,FALSE)=0,"-",VLOOKUP($A243,SortedDownload!$A$3:$BB$219,42,FALSE)/86400000),"-")</f>
        <v>-</v>
      </c>
      <c r="V243" s="58" t="str">
        <f>IFERROR(IF(VLOOKUP($A243,SortedDownload!$A$3:$BB$219,43,FALSE)=0,"-",VLOOKUP($A243,SortedDownload!$A$3:$BB$219,43,FALSE)/86400000),"-")</f>
        <v>-</v>
      </c>
      <c r="W243" s="58" t="str">
        <f>IFERROR(IF(VLOOKUP($A243,SortedDownload!$A$3:$BB$219,44,FALSE)=0,"-",VLOOKUP($A243,SortedDownload!$A$3:$BB$219,44,FALSE)/86400000),"-")</f>
        <v>-</v>
      </c>
      <c r="X243" s="58" t="str">
        <f>IFERROR(IF(VLOOKUP($A243,SortedDownload!$A$3:$BB$219,45,FALSE)=0,"-",VLOOKUP($A243,SortedDownload!$A$3:$BB$219,45,FALSE)/86400000),"-")</f>
        <v>-</v>
      </c>
      <c r="Y243" s="58" t="str">
        <f>IFERROR(VLOOKUP($A243,SortedDownload!$A$3:$BB$219,46,FALSE)/86400000,"")</f>
        <v/>
      </c>
      <c r="Z243" s="58" t="str">
        <f>IFERROR(Table932[[#This Row],[End Time]]-Table932[[#This Row],[Start Time]],"")</f>
        <v/>
      </c>
      <c r="AA243" s="58"/>
      <c r="AB243" s="170" t="e">
        <f t="shared" si="22"/>
        <v>#VALUE!</v>
      </c>
      <c r="AC243" s="170" t="e">
        <f t="shared" si="23"/>
        <v>#VALUE!</v>
      </c>
    </row>
    <row r="244" spans="1:29">
      <c r="A244" s="53">
        <f>IF(SortedDownload!A234 &lt; 1,"",SortedDownload!A234)</f>
        <v>196</v>
      </c>
      <c r="B244" s="146">
        <f t="shared" si="20"/>
        <v>239</v>
      </c>
      <c r="C244" s="146" t="str">
        <f>IFERROR(VLOOKUP($A244,CategoryResults!$A$3:$X$252,3,FALSE),"")</f>
        <v/>
      </c>
      <c r="D244" s="149" t="str">
        <f>IFERROR(VLOOKUP($A244,EntryList!$A$3:$N$291,2,FALSE),"")</f>
        <v>Daryn Clark</v>
      </c>
      <c r="E244" s="146" t="str">
        <f>IFERROR(VLOOKUP(C244,SeriesPoints!$A$2:$B$51,2,FALSE),"")</f>
        <v/>
      </c>
      <c r="F244" s="150" t="str">
        <f>IFERROR(VLOOKUP($A244,EntryList!$A$3:$V$291,22,FALSE),"")</f>
        <v>-</v>
      </c>
      <c r="G244" s="148" t="str">
        <f>IFERROR(VLOOKUP($A244,EntryList!$A$3:$N$291,6,FALSE),"")</f>
        <v>M</v>
      </c>
      <c r="H244" s="226" t="str">
        <f>IFERROR(VLOOKUP($A244,EntryList!$A$3:$N$291,7,FALSE),"")</f>
        <v>Lite M</v>
      </c>
      <c r="I244" s="220">
        <f t="shared" si="21"/>
        <v>0</v>
      </c>
      <c r="J244" s="58" t="str">
        <f>IFERROR(VLOOKUP($A244,SortedDownload!$A$3:$BB$219,31,FALSE)/86400000,"")</f>
        <v/>
      </c>
      <c r="K244" s="58" t="str">
        <f>IFERROR(IF(VLOOKUP($A244,SortedDownload!$A$3:$BB$219,32,FALSE)=0,"-",VLOOKUP($A244,SortedDownload!$A$3:$BB$219,32,FALSE)/86400000),"-")</f>
        <v>-</v>
      </c>
      <c r="L244" s="58" t="str">
        <f>IFERROR(IF(VLOOKUP($A244,SortedDownload!$A$3:$BB$219,33,FALSE)=0,"-",VLOOKUP($A244,SortedDownload!$A$3:$BB$219,33,FALSE)/86400000),"-")</f>
        <v>-</v>
      </c>
      <c r="M244" s="58" t="str">
        <f>IFERROR(IF(VLOOKUP($A244,SortedDownload!$A$3:$BB$219,34,FALSE)=0,"-",VLOOKUP($A244,SortedDownload!$A$3:$BB$219,34,FALSE)/86400000),"-")</f>
        <v>-</v>
      </c>
      <c r="N244" s="58" t="str">
        <f>IFERROR(IF(VLOOKUP($A244,SortedDownload!$A$3:$BB$219,35,FALSE)=0,"-",VLOOKUP($A244,SortedDownload!$A$3:$BB$219,35,FALSE)/86400000),"-")</f>
        <v>-</v>
      </c>
      <c r="O244" s="58" t="str">
        <f>IFERROR(IF(VLOOKUP($A244,SortedDownload!$A$3:$BB$219,36,FALSE)=0,"-",VLOOKUP($A244,SortedDownload!$A$3:$BB$219,36,FALSE)/86400000),"-")</f>
        <v>-</v>
      </c>
      <c r="P244" s="58" t="str">
        <f>IFERROR(IF(VLOOKUP($A244,SortedDownload!$A$3:$BB$219,37,FALSE)=0,"-",VLOOKUP($A244,SortedDownload!$A$3:$BB$219,37,FALSE)/86400000),"-")</f>
        <v>-</v>
      </c>
      <c r="Q244" s="58" t="str">
        <f>IFERROR(IF(VLOOKUP($A244,SortedDownload!$A$3:$BB$219,38,FALSE)=0,"-",VLOOKUP($A244,SortedDownload!$A$3:$BB$219,38,FALSE)/86400000),"-")</f>
        <v>-</v>
      </c>
      <c r="R244" s="58" t="str">
        <f>IFERROR(IF(VLOOKUP($A244,SortedDownload!$A$3:$BB$219,39,FALSE)=0,"-",VLOOKUP($A244,SortedDownload!$A$3:$BB$219,39,FALSE)/86400000),"-")</f>
        <v>-</v>
      </c>
      <c r="S244" s="58" t="str">
        <f>IFERROR(IF(VLOOKUP($A244,SortedDownload!$A$3:$BB$219,40,FALSE)=0,"-",VLOOKUP($A244,SortedDownload!$A$3:$BB$219,40,FALSE)/86400000),"-")</f>
        <v>-</v>
      </c>
      <c r="T244" s="58" t="str">
        <f>IFERROR(IF(VLOOKUP($A244,SortedDownload!$A$3:$BB$219,41,FALSE)=0,"-",VLOOKUP($A244,SortedDownload!$A$3:$BB$219,41,FALSE)/86400000),"-")</f>
        <v>-</v>
      </c>
      <c r="U244" s="58" t="str">
        <f>IFERROR(IF(VLOOKUP($A244,SortedDownload!$A$3:$BB$219,42,FALSE)=0,"-",VLOOKUP($A244,SortedDownload!$A$3:$BB$219,42,FALSE)/86400000),"-")</f>
        <v>-</v>
      </c>
      <c r="V244" s="58" t="str">
        <f>IFERROR(IF(VLOOKUP($A244,SortedDownload!$A$3:$BB$219,43,FALSE)=0,"-",VLOOKUP($A244,SortedDownload!$A$3:$BB$219,43,FALSE)/86400000),"-")</f>
        <v>-</v>
      </c>
      <c r="W244" s="58" t="str">
        <f>IFERROR(IF(VLOOKUP($A244,SortedDownload!$A$3:$BB$219,44,FALSE)=0,"-",VLOOKUP($A244,SortedDownload!$A$3:$BB$219,44,FALSE)/86400000),"-")</f>
        <v>-</v>
      </c>
      <c r="X244" s="58" t="str">
        <f>IFERROR(IF(VLOOKUP($A244,SortedDownload!$A$3:$BB$219,45,FALSE)=0,"-",VLOOKUP($A244,SortedDownload!$A$3:$BB$219,45,FALSE)/86400000),"-")</f>
        <v>-</v>
      </c>
      <c r="Y244" s="58" t="str">
        <f>IFERROR(VLOOKUP($A244,SortedDownload!$A$3:$BB$219,46,FALSE)/86400000,"")</f>
        <v/>
      </c>
      <c r="Z244" s="58" t="str">
        <f>IFERROR(Table932[[#This Row],[End Time]]-Table932[[#This Row],[Start Time]],"")</f>
        <v/>
      </c>
      <c r="AA244" s="58"/>
      <c r="AB244" s="170" t="e">
        <f t="shared" si="22"/>
        <v>#VALUE!</v>
      </c>
      <c r="AC244" s="170" t="e">
        <f t="shared" si="23"/>
        <v>#VALUE!</v>
      </c>
    </row>
    <row r="245" spans="1:29">
      <c r="A245" s="53">
        <f>IF(SortedDownload!A235 &lt; 1,"",SortedDownload!A235)</f>
        <v>47</v>
      </c>
      <c r="B245" s="146">
        <f t="shared" si="20"/>
        <v>240</v>
      </c>
      <c r="C245" s="146" t="str">
        <f>IFERROR(VLOOKUP($A245,CategoryResults!$A$3:$X$252,3,FALSE),"")</f>
        <v/>
      </c>
      <c r="D245" s="149" t="str">
        <f>IFERROR(VLOOKUP($A245,EntryList!$A$3:$N$291,2,FALSE),"")</f>
        <v>Ozair Hanware</v>
      </c>
      <c r="E245" s="146" t="str">
        <f>IFERROR(VLOOKUP(C245,SeriesPoints!$A$2:$B$51,2,FALSE),"")</f>
        <v/>
      </c>
      <c r="F245" s="150" t="str">
        <f>IFERROR(VLOOKUP($A245,EntryList!$A$3:$V$291,22,FALSE),"")</f>
        <v>-</v>
      </c>
      <c r="G245" s="148" t="str">
        <f>IFERROR(VLOOKUP($A245,EntryList!$A$3:$N$291,6,FALSE),"")</f>
        <v>M</v>
      </c>
      <c r="H245" s="226" t="str">
        <f>IFERROR(VLOOKUP($A245,EntryList!$A$3:$N$291,7,FALSE),"")</f>
        <v>Lite M</v>
      </c>
      <c r="I245" s="220">
        <f t="shared" si="21"/>
        <v>0</v>
      </c>
      <c r="J245" s="58" t="str">
        <f>IFERROR(VLOOKUP($A245,SortedDownload!$A$3:$BB$219,31,FALSE)/86400000,"")</f>
        <v/>
      </c>
      <c r="K245" s="58" t="str">
        <f>IFERROR(IF(VLOOKUP($A245,SortedDownload!$A$3:$BB$219,32,FALSE)=0,"-",VLOOKUP($A245,SortedDownload!$A$3:$BB$219,32,FALSE)/86400000),"-")</f>
        <v>-</v>
      </c>
      <c r="L245" s="58" t="str">
        <f>IFERROR(IF(VLOOKUP($A245,SortedDownload!$A$3:$BB$219,33,FALSE)=0,"-",VLOOKUP($A245,SortedDownload!$A$3:$BB$219,33,FALSE)/86400000),"-")</f>
        <v>-</v>
      </c>
      <c r="M245" s="58" t="str">
        <f>IFERROR(IF(VLOOKUP($A245,SortedDownload!$A$3:$BB$219,34,FALSE)=0,"-",VLOOKUP($A245,SortedDownload!$A$3:$BB$219,34,FALSE)/86400000),"-")</f>
        <v>-</v>
      </c>
      <c r="N245" s="58" t="str">
        <f>IFERROR(IF(VLOOKUP($A245,SortedDownload!$A$3:$BB$219,35,FALSE)=0,"-",VLOOKUP($A245,SortedDownload!$A$3:$BB$219,35,FALSE)/86400000),"-")</f>
        <v>-</v>
      </c>
      <c r="O245" s="58" t="str">
        <f>IFERROR(IF(VLOOKUP($A245,SortedDownload!$A$3:$BB$219,36,FALSE)=0,"-",VLOOKUP($A245,SortedDownload!$A$3:$BB$219,36,FALSE)/86400000),"-")</f>
        <v>-</v>
      </c>
      <c r="P245" s="58" t="str">
        <f>IFERROR(IF(VLOOKUP($A245,SortedDownload!$A$3:$BB$219,37,FALSE)=0,"-",VLOOKUP($A245,SortedDownload!$A$3:$BB$219,37,FALSE)/86400000),"-")</f>
        <v>-</v>
      </c>
      <c r="Q245" s="58" t="str">
        <f>IFERROR(IF(VLOOKUP($A245,SortedDownload!$A$3:$BB$219,38,FALSE)=0,"-",VLOOKUP($A245,SortedDownload!$A$3:$BB$219,38,FALSE)/86400000),"-")</f>
        <v>-</v>
      </c>
      <c r="R245" s="58" t="str">
        <f>IFERROR(IF(VLOOKUP($A245,SortedDownload!$A$3:$BB$219,39,FALSE)=0,"-",VLOOKUP($A245,SortedDownload!$A$3:$BB$219,39,FALSE)/86400000),"-")</f>
        <v>-</v>
      </c>
      <c r="S245" s="58" t="str">
        <f>IFERROR(IF(VLOOKUP($A245,SortedDownload!$A$3:$BB$219,40,FALSE)=0,"-",VLOOKUP($A245,SortedDownload!$A$3:$BB$219,40,FALSE)/86400000),"-")</f>
        <v>-</v>
      </c>
      <c r="T245" s="58" t="str">
        <f>IFERROR(IF(VLOOKUP($A245,SortedDownload!$A$3:$BB$219,41,FALSE)=0,"-",VLOOKUP($A245,SortedDownload!$A$3:$BB$219,41,FALSE)/86400000),"-")</f>
        <v>-</v>
      </c>
      <c r="U245" s="58" t="str">
        <f>IFERROR(IF(VLOOKUP($A245,SortedDownload!$A$3:$BB$219,42,FALSE)=0,"-",VLOOKUP($A245,SortedDownload!$A$3:$BB$219,42,FALSE)/86400000),"-")</f>
        <v>-</v>
      </c>
      <c r="V245" s="58" t="str">
        <f>IFERROR(IF(VLOOKUP($A245,SortedDownload!$A$3:$BB$219,43,FALSE)=0,"-",VLOOKUP($A245,SortedDownload!$A$3:$BB$219,43,FALSE)/86400000),"-")</f>
        <v>-</v>
      </c>
      <c r="W245" s="58" t="str">
        <f>IFERROR(IF(VLOOKUP($A245,SortedDownload!$A$3:$BB$219,44,FALSE)=0,"-",VLOOKUP($A245,SortedDownload!$A$3:$BB$219,44,FALSE)/86400000),"-")</f>
        <v>-</v>
      </c>
      <c r="X245" s="58" t="str">
        <f>IFERROR(IF(VLOOKUP($A245,SortedDownload!$A$3:$BB$219,45,FALSE)=0,"-",VLOOKUP($A245,SortedDownload!$A$3:$BB$219,45,FALSE)/86400000),"-")</f>
        <v>-</v>
      </c>
      <c r="Y245" s="58" t="str">
        <f>IFERROR(VLOOKUP($A245,SortedDownload!$A$3:$BB$219,46,FALSE)/86400000,"")</f>
        <v/>
      </c>
      <c r="Z245" s="58" t="str">
        <f>IFERROR(Table932[[#This Row],[End Time]]-Table932[[#This Row],[Start Time]],"")</f>
        <v/>
      </c>
      <c r="AA245" s="58"/>
      <c r="AB245" s="170" t="e">
        <f t="shared" si="22"/>
        <v>#VALUE!</v>
      </c>
      <c r="AC245" s="170" t="e">
        <f t="shared" si="23"/>
        <v>#VALUE!</v>
      </c>
    </row>
    <row r="246" spans="1:29">
      <c r="A246" s="53">
        <f>IF(SortedDownload!A236 &lt; 1,"",SortedDownload!A236)</f>
        <v>117</v>
      </c>
      <c r="B246" s="146">
        <f t="shared" si="20"/>
        <v>241</v>
      </c>
      <c r="C246" s="146" t="str">
        <f>IFERROR(VLOOKUP($A246,CategoryResults!$A$3:$X$252,3,FALSE),"")</f>
        <v/>
      </c>
      <c r="D246" s="149" t="str">
        <f>IFERROR(VLOOKUP($A246,EntryList!$A$3:$N$291,2,FALSE),"")</f>
        <v>Mario Abrahams</v>
      </c>
      <c r="E246" s="146" t="str">
        <f>IFERROR(VLOOKUP(C246,SeriesPoints!$A$2:$B$51,2,FALSE),"")</f>
        <v/>
      </c>
      <c r="F246" s="150" t="str">
        <f>IFERROR(VLOOKUP($A246,EntryList!$A$3:$V$291,22,FALSE),"")</f>
        <v>-</v>
      </c>
      <c r="G246" s="148" t="str">
        <f>IFERROR(VLOOKUP($A246,EntryList!$A$3:$N$291,6,FALSE),"")</f>
        <v>M</v>
      </c>
      <c r="H246" s="226" t="str">
        <f>IFERROR(VLOOKUP($A246,EntryList!$A$3:$N$291,7,FALSE),"")</f>
        <v>Lite M</v>
      </c>
      <c r="I246" s="220">
        <f t="shared" si="21"/>
        <v>0</v>
      </c>
      <c r="J246" s="58" t="str">
        <f>IFERROR(VLOOKUP($A246,SortedDownload!$A$3:$BB$219,31,FALSE)/86400000,"")</f>
        <v/>
      </c>
      <c r="K246" s="58" t="str">
        <f>IFERROR(IF(VLOOKUP($A246,SortedDownload!$A$3:$BB$219,32,FALSE)=0,"-",VLOOKUP($A246,SortedDownload!$A$3:$BB$219,32,FALSE)/86400000),"-")</f>
        <v>-</v>
      </c>
      <c r="L246" s="58" t="str">
        <f>IFERROR(IF(VLOOKUP($A246,SortedDownload!$A$3:$BB$219,33,FALSE)=0,"-",VLOOKUP($A246,SortedDownload!$A$3:$BB$219,33,FALSE)/86400000),"-")</f>
        <v>-</v>
      </c>
      <c r="M246" s="58" t="str">
        <f>IFERROR(IF(VLOOKUP($A246,SortedDownload!$A$3:$BB$219,34,FALSE)=0,"-",VLOOKUP($A246,SortedDownload!$A$3:$BB$219,34,FALSE)/86400000),"-")</f>
        <v>-</v>
      </c>
      <c r="N246" s="58" t="str">
        <f>IFERROR(IF(VLOOKUP($A246,SortedDownload!$A$3:$BB$219,35,FALSE)=0,"-",VLOOKUP($A246,SortedDownload!$A$3:$BB$219,35,FALSE)/86400000),"-")</f>
        <v>-</v>
      </c>
      <c r="O246" s="58" t="str">
        <f>IFERROR(IF(VLOOKUP($A246,SortedDownload!$A$3:$BB$219,36,FALSE)=0,"-",VLOOKUP($A246,SortedDownload!$A$3:$BB$219,36,FALSE)/86400000),"-")</f>
        <v>-</v>
      </c>
      <c r="P246" s="58" t="str">
        <f>IFERROR(IF(VLOOKUP($A246,SortedDownload!$A$3:$BB$219,37,FALSE)=0,"-",VLOOKUP($A246,SortedDownload!$A$3:$BB$219,37,FALSE)/86400000),"-")</f>
        <v>-</v>
      </c>
      <c r="Q246" s="58" t="str">
        <f>IFERROR(IF(VLOOKUP($A246,SortedDownload!$A$3:$BB$219,38,FALSE)=0,"-",VLOOKUP($A246,SortedDownload!$A$3:$BB$219,38,FALSE)/86400000),"-")</f>
        <v>-</v>
      </c>
      <c r="R246" s="58" t="str">
        <f>IFERROR(IF(VLOOKUP($A246,SortedDownload!$A$3:$BB$219,39,FALSE)=0,"-",VLOOKUP($A246,SortedDownload!$A$3:$BB$219,39,FALSE)/86400000),"-")</f>
        <v>-</v>
      </c>
      <c r="S246" s="58" t="str">
        <f>IFERROR(IF(VLOOKUP($A246,SortedDownload!$A$3:$BB$219,40,FALSE)=0,"-",VLOOKUP($A246,SortedDownload!$A$3:$BB$219,40,FALSE)/86400000),"-")</f>
        <v>-</v>
      </c>
      <c r="T246" s="58" t="str">
        <f>IFERROR(IF(VLOOKUP($A246,SortedDownload!$A$3:$BB$219,41,FALSE)=0,"-",VLOOKUP($A246,SortedDownload!$A$3:$BB$219,41,FALSE)/86400000),"-")</f>
        <v>-</v>
      </c>
      <c r="U246" s="58" t="str">
        <f>IFERROR(IF(VLOOKUP($A246,SortedDownload!$A$3:$BB$219,42,FALSE)=0,"-",VLOOKUP($A246,SortedDownload!$A$3:$BB$219,42,FALSE)/86400000),"-")</f>
        <v>-</v>
      </c>
      <c r="V246" s="58" t="str">
        <f>IFERROR(IF(VLOOKUP($A246,SortedDownload!$A$3:$BB$219,43,FALSE)=0,"-",VLOOKUP($A246,SortedDownload!$A$3:$BB$219,43,FALSE)/86400000),"-")</f>
        <v>-</v>
      </c>
      <c r="W246" s="58" t="str">
        <f>IFERROR(IF(VLOOKUP($A246,SortedDownload!$A$3:$BB$219,44,FALSE)=0,"-",VLOOKUP($A246,SortedDownload!$A$3:$BB$219,44,FALSE)/86400000),"-")</f>
        <v>-</v>
      </c>
      <c r="X246" s="58" t="str">
        <f>IFERROR(IF(VLOOKUP($A246,SortedDownload!$A$3:$BB$219,45,FALSE)=0,"-",VLOOKUP($A246,SortedDownload!$A$3:$BB$219,45,FALSE)/86400000),"-")</f>
        <v>-</v>
      </c>
      <c r="Y246" s="58" t="str">
        <f>IFERROR(VLOOKUP($A246,SortedDownload!$A$3:$BB$219,46,FALSE)/86400000,"")</f>
        <v/>
      </c>
      <c r="Z246" s="58" t="str">
        <f>IFERROR(Table932[[#This Row],[End Time]]-Table932[[#This Row],[Start Time]],"")</f>
        <v/>
      </c>
      <c r="AA246" s="58"/>
      <c r="AB246" s="170" t="e">
        <f t="shared" si="22"/>
        <v>#VALUE!</v>
      </c>
      <c r="AC246" s="170" t="e">
        <f t="shared" si="23"/>
        <v>#VALUE!</v>
      </c>
    </row>
    <row r="247" spans="1:29">
      <c r="A247" s="53">
        <f>IF(SortedDownload!A237 &lt; 1,"",SortedDownload!A237)</f>
        <v>257</v>
      </c>
      <c r="B247" s="146">
        <f t="shared" si="20"/>
        <v>242</v>
      </c>
      <c r="C247" s="146" t="str">
        <f>IFERROR(VLOOKUP($A247,CategoryResults!$A$3:$X$252,3,FALSE),"")</f>
        <v/>
      </c>
      <c r="D247" s="149" t="str">
        <f>IFERROR(VLOOKUP($A247,EntryList!$A$3:$N$291,2,FALSE),"")</f>
        <v>Michael Yeates</v>
      </c>
      <c r="E247" s="146" t="str">
        <f>IFERROR(VLOOKUP(C247,SeriesPoints!$A$2:$B$51,2,FALSE),"")</f>
        <v/>
      </c>
      <c r="F247" s="150" t="str">
        <f>IFERROR(VLOOKUP($A247,EntryList!$A$3:$V$291,22,FALSE),"")</f>
        <v>-</v>
      </c>
      <c r="G247" s="148" t="str">
        <f>IFERROR(VLOOKUP($A247,EntryList!$A$3:$N$291,6,FALSE),"")</f>
        <v>M</v>
      </c>
      <c r="H247" s="226" t="str">
        <f>IFERROR(VLOOKUP($A247,EntryList!$A$3:$N$291,7,FALSE),"")</f>
        <v>Sub Junior Boys</v>
      </c>
      <c r="I247" s="220">
        <f t="shared" si="21"/>
        <v>0</v>
      </c>
      <c r="J247" s="58" t="str">
        <f>IFERROR(VLOOKUP($A247,SortedDownload!$A$3:$BB$219,31,FALSE)/86400000,"")</f>
        <v/>
      </c>
      <c r="K247" s="58" t="str">
        <f>IFERROR(IF(VLOOKUP($A247,SortedDownload!$A$3:$BB$219,32,FALSE)=0,"-",VLOOKUP($A247,SortedDownload!$A$3:$BB$219,32,FALSE)/86400000),"-")</f>
        <v>-</v>
      </c>
      <c r="L247" s="58" t="str">
        <f>IFERROR(IF(VLOOKUP($A247,SortedDownload!$A$3:$BB$219,33,FALSE)=0,"-",VLOOKUP($A247,SortedDownload!$A$3:$BB$219,33,FALSE)/86400000),"-")</f>
        <v>-</v>
      </c>
      <c r="M247" s="58" t="str">
        <f>IFERROR(IF(VLOOKUP($A247,SortedDownload!$A$3:$BB$219,34,FALSE)=0,"-",VLOOKUP($A247,SortedDownload!$A$3:$BB$219,34,FALSE)/86400000),"-")</f>
        <v>-</v>
      </c>
      <c r="N247" s="58" t="str">
        <f>IFERROR(IF(VLOOKUP($A247,SortedDownload!$A$3:$BB$219,35,FALSE)=0,"-",VLOOKUP($A247,SortedDownload!$A$3:$BB$219,35,FALSE)/86400000),"-")</f>
        <v>-</v>
      </c>
      <c r="O247" s="58" t="str">
        <f>IFERROR(IF(VLOOKUP($A247,SortedDownload!$A$3:$BB$219,36,FALSE)=0,"-",VLOOKUP($A247,SortedDownload!$A$3:$BB$219,36,FALSE)/86400000),"-")</f>
        <v>-</v>
      </c>
      <c r="P247" s="58" t="str">
        <f>IFERROR(IF(VLOOKUP($A247,SortedDownload!$A$3:$BB$219,37,FALSE)=0,"-",VLOOKUP($A247,SortedDownload!$A$3:$BB$219,37,FALSE)/86400000),"-")</f>
        <v>-</v>
      </c>
      <c r="Q247" s="58" t="str">
        <f>IFERROR(IF(VLOOKUP($A247,SortedDownload!$A$3:$BB$219,38,FALSE)=0,"-",VLOOKUP($A247,SortedDownload!$A$3:$BB$219,38,FALSE)/86400000),"-")</f>
        <v>-</v>
      </c>
      <c r="R247" s="58" t="str">
        <f>IFERROR(IF(VLOOKUP($A247,SortedDownload!$A$3:$BB$219,39,FALSE)=0,"-",VLOOKUP($A247,SortedDownload!$A$3:$BB$219,39,FALSE)/86400000),"-")</f>
        <v>-</v>
      </c>
      <c r="S247" s="58" t="str">
        <f>IFERROR(IF(VLOOKUP($A247,SortedDownload!$A$3:$BB$219,40,FALSE)=0,"-",VLOOKUP($A247,SortedDownload!$A$3:$BB$219,40,FALSE)/86400000),"-")</f>
        <v>-</v>
      </c>
      <c r="T247" s="58" t="str">
        <f>IFERROR(IF(VLOOKUP($A247,SortedDownload!$A$3:$BB$219,41,FALSE)=0,"-",VLOOKUP($A247,SortedDownload!$A$3:$BB$219,41,FALSE)/86400000),"-")</f>
        <v>-</v>
      </c>
      <c r="U247" s="58" t="str">
        <f>IFERROR(IF(VLOOKUP($A247,SortedDownload!$A$3:$BB$219,42,FALSE)=0,"-",VLOOKUP($A247,SortedDownload!$A$3:$BB$219,42,FALSE)/86400000),"-")</f>
        <v>-</v>
      </c>
      <c r="V247" s="58" t="str">
        <f>IFERROR(IF(VLOOKUP($A247,SortedDownload!$A$3:$BB$219,43,FALSE)=0,"-",VLOOKUP($A247,SortedDownload!$A$3:$BB$219,43,FALSE)/86400000),"-")</f>
        <v>-</v>
      </c>
      <c r="W247" s="58" t="str">
        <f>IFERROR(IF(VLOOKUP($A247,SortedDownload!$A$3:$BB$219,44,FALSE)=0,"-",VLOOKUP($A247,SortedDownload!$A$3:$BB$219,44,FALSE)/86400000),"-")</f>
        <v>-</v>
      </c>
      <c r="X247" s="58" t="str">
        <f>IFERROR(IF(VLOOKUP($A247,SortedDownload!$A$3:$BB$219,45,FALSE)=0,"-",VLOOKUP($A247,SortedDownload!$A$3:$BB$219,45,FALSE)/86400000),"-")</f>
        <v>-</v>
      </c>
      <c r="Y247" s="58" t="str">
        <f>IFERROR(VLOOKUP($A247,SortedDownload!$A$3:$BB$219,46,FALSE)/86400000,"")</f>
        <v/>
      </c>
      <c r="Z247" s="58" t="str">
        <f>IFERROR(Table932[[#This Row],[End Time]]-Table932[[#This Row],[Start Time]],"")</f>
        <v/>
      </c>
      <c r="AA247" s="58"/>
      <c r="AB247" s="170" t="e">
        <f t="shared" si="22"/>
        <v>#VALUE!</v>
      </c>
      <c r="AC247" s="170" t="e">
        <f t="shared" si="23"/>
        <v>#VALUE!</v>
      </c>
    </row>
    <row r="248" spans="1:29">
      <c r="A248" s="53">
        <f>IF(SortedDownload!A238 &lt; 1,"",SortedDownload!A238)</f>
        <v>43</v>
      </c>
      <c r="B248" s="146">
        <f t="shared" si="20"/>
        <v>243</v>
      </c>
      <c r="C248" s="146" t="str">
        <f>IFERROR(VLOOKUP($A248,CategoryResults!$A$3:$X$252,3,FALSE),"")</f>
        <v/>
      </c>
      <c r="D248" s="149" t="str">
        <f>IFERROR(VLOOKUP($A248,EntryList!$A$3:$N$291,2,FALSE),"")</f>
        <v>Thaabit Toefy</v>
      </c>
      <c r="E248" s="146" t="str">
        <f>IFERROR(VLOOKUP(C248,SeriesPoints!$A$2:$B$51,2,FALSE),"")</f>
        <v/>
      </c>
      <c r="F248" s="150" t="str">
        <f>IFERROR(VLOOKUP($A248,EntryList!$A$3:$V$291,22,FALSE),"")</f>
        <v>-</v>
      </c>
      <c r="G248" s="148" t="str">
        <f>IFERROR(VLOOKUP($A248,EntryList!$A$3:$N$291,6,FALSE),"")</f>
        <v>M</v>
      </c>
      <c r="H248" s="226" t="str">
        <f>IFERROR(VLOOKUP($A248,EntryList!$A$3:$N$291,7,FALSE),"")</f>
        <v>E-Bike Lite M</v>
      </c>
      <c r="I248" s="220">
        <f t="shared" si="21"/>
        <v>0</v>
      </c>
      <c r="J248" s="58" t="str">
        <f>IFERROR(VLOOKUP($A248,SortedDownload!$A$3:$BB$219,31,FALSE)/86400000,"")</f>
        <v/>
      </c>
      <c r="K248" s="58" t="str">
        <f>IFERROR(IF(VLOOKUP($A248,SortedDownload!$A$3:$BB$219,32,FALSE)=0,"-",VLOOKUP($A248,SortedDownload!$A$3:$BB$219,32,FALSE)/86400000),"-")</f>
        <v>-</v>
      </c>
      <c r="L248" s="58" t="str">
        <f>IFERROR(IF(VLOOKUP($A248,SortedDownload!$A$3:$BB$219,33,FALSE)=0,"-",VLOOKUP($A248,SortedDownload!$A$3:$BB$219,33,FALSE)/86400000),"-")</f>
        <v>-</v>
      </c>
      <c r="M248" s="58" t="str">
        <f>IFERROR(IF(VLOOKUP($A248,SortedDownload!$A$3:$BB$219,34,FALSE)=0,"-",VLOOKUP($A248,SortedDownload!$A$3:$BB$219,34,FALSE)/86400000),"-")</f>
        <v>-</v>
      </c>
      <c r="N248" s="58" t="str">
        <f>IFERROR(IF(VLOOKUP($A248,SortedDownload!$A$3:$BB$219,35,FALSE)=0,"-",VLOOKUP($A248,SortedDownload!$A$3:$BB$219,35,FALSE)/86400000),"-")</f>
        <v>-</v>
      </c>
      <c r="O248" s="58" t="str">
        <f>IFERROR(IF(VLOOKUP($A248,SortedDownload!$A$3:$BB$219,36,FALSE)=0,"-",VLOOKUP($A248,SortedDownload!$A$3:$BB$219,36,FALSE)/86400000),"-")</f>
        <v>-</v>
      </c>
      <c r="P248" s="58" t="str">
        <f>IFERROR(IF(VLOOKUP($A248,SortedDownload!$A$3:$BB$219,37,FALSE)=0,"-",VLOOKUP($A248,SortedDownload!$A$3:$BB$219,37,FALSE)/86400000),"-")</f>
        <v>-</v>
      </c>
      <c r="Q248" s="58" t="str">
        <f>IFERROR(IF(VLOOKUP($A248,SortedDownload!$A$3:$BB$219,38,FALSE)=0,"-",VLOOKUP($A248,SortedDownload!$A$3:$BB$219,38,FALSE)/86400000),"-")</f>
        <v>-</v>
      </c>
      <c r="R248" s="58" t="str">
        <f>IFERROR(IF(VLOOKUP($A248,SortedDownload!$A$3:$BB$219,39,FALSE)=0,"-",VLOOKUP($A248,SortedDownload!$A$3:$BB$219,39,FALSE)/86400000),"-")</f>
        <v>-</v>
      </c>
      <c r="S248" s="58" t="str">
        <f>IFERROR(IF(VLOOKUP($A248,SortedDownload!$A$3:$BB$219,40,FALSE)=0,"-",VLOOKUP($A248,SortedDownload!$A$3:$BB$219,40,FALSE)/86400000),"-")</f>
        <v>-</v>
      </c>
      <c r="T248" s="58" t="str">
        <f>IFERROR(IF(VLOOKUP($A248,SortedDownload!$A$3:$BB$219,41,FALSE)=0,"-",VLOOKUP($A248,SortedDownload!$A$3:$BB$219,41,FALSE)/86400000),"-")</f>
        <v>-</v>
      </c>
      <c r="U248" s="58" t="str">
        <f>IFERROR(IF(VLOOKUP($A248,SortedDownload!$A$3:$BB$219,42,FALSE)=0,"-",VLOOKUP($A248,SortedDownload!$A$3:$BB$219,42,FALSE)/86400000),"-")</f>
        <v>-</v>
      </c>
      <c r="V248" s="58" t="str">
        <f>IFERROR(IF(VLOOKUP($A248,SortedDownload!$A$3:$BB$219,43,FALSE)=0,"-",VLOOKUP($A248,SortedDownload!$A$3:$BB$219,43,FALSE)/86400000),"-")</f>
        <v>-</v>
      </c>
      <c r="W248" s="58" t="str">
        <f>IFERROR(IF(VLOOKUP($A248,SortedDownload!$A$3:$BB$219,44,FALSE)=0,"-",VLOOKUP($A248,SortedDownload!$A$3:$BB$219,44,FALSE)/86400000),"-")</f>
        <v>-</v>
      </c>
      <c r="X248" s="58" t="str">
        <f>IFERROR(IF(VLOOKUP($A248,SortedDownload!$A$3:$BB$219,45,FALSE)=0,"-",VLOOKUP($A248,SortedDownload!$A$3:$BB$219,45,FALSE)/86400000),"-")</f>
        <v>-</v>
      </c>
      <c r="Y248" s="58" t="str">
        <f>IFERROR(VLOOKUP($A248,SortedDownload!$A$3:$BB$219,46,FALSE)/86400000,"")</f>
        <v/>
      </c>
      <c r="Z248" s="58" t="str">
        <f>IFERROR(Table932[[#This Row],[End Time]]-Table932[[#This Row],[Start Time]],"")</f>
        <v/>
      </c>
      <c r="AA248" s="58"/>
      <c r="AB248" s="170" t="e">
        <f t="shared" ref="AB248:AB279" si="24">Z248-Z247</f>
        <v>#VALUE!</v>
      </c>
      <c r="AC248" s="170" t="e">
        <f t="shared" ref="AC248:AC279" si="25">Z248-Z$6</f>
        <v>#VALUE!</v>
      </c>
    </row>
    <row r="249" spans="1:29">
      <c r="A249" s="53">
        <f>IF(SortedDownload!A239 &lt; 1,"",SortedDownload!A239)</f>
        <v>111</v>
      </c>
      <c r="B249" s="146">
        <f t="shared" si="20"/>
        <v>244</v>
      </c>
      <c r="C249" s="146" t="str">
        <f>IFERROR(VLOOKUP($A249,CategoryResults!$A$3:$X$252,3,FALSE),"")</f>
        <v/>
      </c>
      <c r="D249" s="149" t="str">
        <f>IFERROR(VLOOKUP($A249,EntryList!$A$3:$N$291,2,FALSE),"")</f>
        <v>Brian America</v>
      </c>
      <c r="E249" s="146" t="str">
        <f>IFERROR(VLOOKUP(C249,SeriesPoints!$A$2:$B$51,2,FALSE),"")</f>
        <v/>
      </c>
      <c r="F249" s="150" t="str">
        <f>IFERROR(VLOOKUP($A249,EntryList!$A$3:$V$291,22,FALSE),"")</f>
        <v>-</v>
      </c>
      <c r="G249" s="148" t="str">
        <f>IFERROR(VLOOKUP($A249,EntryList!$A$3:$N$291,6,FALSE),"")</f>
        <v>M</v>
      </c>
      <c r="H249" s="226" t="str">
        <f>IFERROR(VLOOKUP($A249,EntryList!$A$3:$N$291,7,FALSE),"")</f>
        <v>Lite M</v>
      </c>
      <c r="I249" s="220">
        <f t="shared" si="21"/>
        <v>0</v>
      </c>
      <c r="J249" s="58" t="str">
        <f>IFERROR(VLOOKUP($A249,SortedDownload!$A$3:$BB$219,31,FALSE)/86400000,"")</f>
        <v/>
      </c>
      <c r="K249" s="58" t="str">
        <f>IFERROR(IF(VLOOKUP($A249,SortedDownload!$A$3:$BB$219,32,FALSE)=0,"-",VLOOKUP($A249,SortedDownload!$A$3:$BB$219,32,FALSE)/86400000),"-")</f>
        <v>-</v>
      </c>
      <c r="L249" s="58" t="str">
        <f>IFERROR(IF(VLOOKUP($A249,SortedDownload!$A$3:$BB$219,33,FALSE)=0,"-",VLOOKUP($A249,SortedDownload!$A$3:$BB$219,33,FALSE)/86400000),"-")</f>
        <v>-</v>
      </c>
      <c r="M249" s="58" t="str">
        <f>IFERROR(IF(VLOOKUP($A249,SortedDownload!$A$3:$BB$219,34,FALSE)=0,"-",VLOOKUP($A249,SortedDownload!$A$3:$BB$219,34,FALSE)/86400000),"-")</f>
        <v>-</v>
      </c>
      <c r="N249" s="58" t="str">
        <f>IFERROR(IF(VLOOKUP($A249,SortedDownload!$A$3:$BB$219,35,FALSE)=0,"-",VLOOKUP($A249,SortedDownload!$A$3:$BB$219,35,FALSE)/86400000),"-")</f>
        <v>-</v>
      </c>
      <c r="O249" s="58" t="str">
        <f>IFERROR(IF(VLOOKUP($A249,SortedDownload!$A$3:$BB$219,36,FALSE)=0,"-",VLOOKUP($A249,SortedDownload!$A$3:$BB$219,36,FALSE)/86400000),"-")</f>
        <v>-</v>
      </c>
      <c r="P249" s="58" t="str">
        <f>IFERROR(IF(VLOOKUP($A249,SortedDownload!$A$3:$BB$219,37,FALSE)=0,"-",VLOOKUP($A249,SortedDownload!$A$3:$BB$219,37,FALSE)/86400000),"-")</f>
        <v>-</v>
      </c>
      <c r="Q249" s="58" t="str">
        <f>IFERROR(IF(VLOOKUP($A249,SortedDownload!$A$3:$BB$219,38,FALSE)=0,"-",VLOOKUP($A249,SortedDownload!$A$3:$BB$219,38,FALSE)/86400000),"-")</f>
        <v>-</v>
      </c>
      <c r="R249" s="58" t="str">
        <f>IFERROR(IF(VLOOKUP($A249,SortedDownload!$A$3:$BB$219,39,FALSE)=0,"-",VLOOKUP($A249,SortedDownload!$A$3:$BB$219,39,FALSE)/86400000),"-")</f>
        <v>-</v>
      </c>
      <c r="S249" s="58" t="str">
        <f>IFERROR(IF(VLOOKUP($A249,SortedDownload!$A$3:$BB$219,40,FALSE)=0,"-",VLOOKUP($A249,SortedDownload!$A$3:$BB$219,40,FALSE)/86400000),"-")</f>
        <v>-</v>
      </c>
      <c r="T249" s="58" t="str">
        <f>IFERROR(IF(VLOOKUP($A249,SortedDownload!$A$3:$BB$219,41,FALSE)=0,"-",VLOOKUP($A249,SortedDownload!$A$3:$BB$219,41,FALSE)/86400000),"-")</f>
        <v>-</v>
      </c>
      <c r="U249" s="58" t="str">
        <f>IFERROR(IF(VLOOKUP($A249,SortedDownload!$A$3:$BB$219,42,FALSE)=0,"-",VLOOKUP($A249,SortedDownload!$A$3:$BB$219,42,FALSE)/86400000),"-")</f>
        <v>-</v>
      </c>
      <c r="V249" s="58" t="str">
        <f>IFERROR(IF(VLOOKUP($A249,SortedDownload!$A$3:$BB$219,43,FALSE)=0,"-",VLOOKUP($A249,SortedDownload!$A$3:$BB$219,43,FALSE)/86400000),"-")</f>
        <v>-</v>
      </c>
      <c r="W249" s="58" t="str">
        <f>IFERROR(IF(VLOOKUP($A249,SortedDownload!$A$3:$BB$219,44,FALSE)=0,"-",VLOOKUP($A249,SortedDownload!$A$3:$BB$219,44,FALSE)/86400000),"-")</f>
        <v>-</v>
      </c>
      <c r="X249" s="58" t="str">
        <f>IFERROR(IF(VLOOKUP($A249,SortedDownload!$A$3:$BB$219,45,FALSE)=0,"-",VLOOKUP($A249,SortedDownload!$A$3:$BB$219,45,FALSE)/86400000),"-")</f>
        <v>-</v>
      </c>
      <c r="Y249" s="58" t="str">
        <f>IFERROR(VLOOKUP($A249,SortedDownload!$A$3:$BB$219,46,FALSE)/86400000,"")</f>
        <v/>
      </c>
      <c r="Z249" s="58" t="str">
        <f>IFERROR(Table932[[#This Row],[End Time]]-Table932[[#This Row],[Start Time]],"")</f>
        <v/>
      </c>
      <c r="AA249" s="58"/>
      <c r="AB249" s="170" t="e">
        <f t="shared" si="24"/>
        <v>#VALUE!</v>
      </c>
      <c r="AC249" s="170" t="e">
        <f t="shared" si="25"/>
        <v>#VALUE!</v>
      </c>
    </row>
    <row r="250" spans="1:29">
      <c r="A250" s="53">
        <f>IF(SortedDownload!A240 &lt; 1,"",SortedDownload!A240)</f>
        <v>151</v>
      </c>
      <c r="B250" s="146">
        <f t="shared" si="20"/>
        <v>245</v>
      </c>
      <c r="C250" s="146" t="str">
        <f>IFERROR(VLOOKUP($A250,CategoryResults!$A$3:$X$252,3,FALSE),"")</f>
        <v/>
      </c>
      <c r="D250" s="149" t="str">
        <f>IFERROR(VLOOKUP($A250,EntryList!$A$3:$N$291,2,FALSE),"")</f>
        <v>Geoff Dye</v>
      </c>
      <c r="E250" s="146" t="str">
        <f>IFERROR(VLOOKUP(C250,SeriesPoints!$A$2:$B$51,2,FALSE),"")</f>
        <v/>
      </c>
      <c r="F250" s="150" t="str">
        <f>IFERROR(VLOOKUP($A250,EntryList!$A$3:$V$291,22,FALSE),"")</f>
        <v>-</v>
      </c>
      <c r="G250" s="148" t="str">
        <f>IFERROR(VLOOKUP($A250,EntryList!$A$3:$N$291,6,FALSE),"")</f>
        <v>M</v>
      </c>
      <c r="H250" s="226" t="str">
        <f>IFERROR(VLOOKUP($A250,EntryList!$A$3:$N$291,7,FALSE),"")</f>
        <v>Lite M</v>
      </c>
      <c r="I250" s="220">
        <f t="shared" si="21"/>
        <v>0</v>
      </c>
      <c r="J250" s="58" t="str">
        <f>IFERROR(VLOOKUP($A250,SortedDownload!$A$3:$BB$219,31,FALSE)/86400000,"")</f>
        <v/>
      </c>
      <c r="K250" s="58" t="str">
        <f>IFERROR(IF(VLOOKUP($A250,SortedDownload!$A$3:$BB$219,32,FALSE)=0,"-",VLOOKUP($A250,SortedDownload!$A$3:$BB$219,32,FALSE)/86400000),"-")</f>
        <v>-</v>
      </c>
      <c r="L250" s="58" t="str">
        <f>IFERROR(IF(VLOOKUP($A250,SortedDownload!$A$3:$BB$219,33,FALSE)=0,"-",VLOOKUP($A250,SortedDownload!$A$3:$BB$219,33,FALSE)/86400000),"-")</f>
        <v>-</v>
      </c>
      <c r="M250" s="58" t="str">
        <f>IFERROR(IF(VLOOKUP($A250,SortedDownload!$A$3:$BB$219,34,FALSE)=0,"-",VLOOKUP($A250,SortedDownload!$A$3:$BB$219,34,FALSE)/86400000),"-")</f>
        <v>-</v>
      </c>
      <c r="N250" s="58" t="str">
        <f>IFERROR(IF(VLOOKUP($A250,SortedDownload!$A$3:$BB$219,35,FALSE)=0,"-",VLOOKUP($A250,SortedDownload!$A$3:$BB$219,35,FALSE)/86400000),"-")</f>
        <v>-</v>
      </c>
      <c r="O250" s="58" t="str">
        <f>IFERROR(IF(VLOOKUP($A250,SortedDownload!$A$3:$BB$219,36,FALSE)=0,"-",VLOOKUP($A250,SortedDownload!$A$3:$BB$219,36,FALSE)/86400000),"-")</f>
        <v>-</v>
      </c>
      <c r="P250" s="58" t="str">
        <f>IFERROR(IF(VLOOKUP($A250,SortedDownload!$A$3:$BB$219,37,FALSE)=0,"-",VLOOKUP($A250,SortedDownload!$A$3:$BB$219,37,FALSE)/86400000),"-")</f>
        <v>-</v>
      </c>
      <c r="Q250" s="58" t="str">
        <f>IFERROR(IF(VLOOKUP($A250,SortedDownload!$A$3:$BB$219,38,FALSE)=0,"-",VLOOKUP($A250,SortedDownload!$A$3:$BB$219,38,FALSE)/86400000),"-")</f>
        <v>-</v>
      </c>
      <c r="R250" s="58" t="str">
        <f>IFERROR(IF(VLOOKUP($A250,SortedDownload!$A$3:$BB$219,39,FALSE)=0,"-",VLOOKUP($A250,SortedDownload!$A$3:$BB$219,39,FALSE)/86400000),"-")</f>
        <v>-</v>
      </c>
      <c r="S250" s="58" t="str">
        <f>IFERROR(IF(VLOOKUP($A250,SortedDownload!$A$3:$BB$219,40,FALSE)=0,"-",VLOOKUP($A250,SortedDownload!$A$3:$BB$219,40,FALSE)/86400000),"-")</f>
        <v>-</v>
      </c>
      <c r="T250" s="58" t="str">
        <f>IFERROR(IF(VLOOKUP($A250,SortedDownload!$A$3:$BB$219,41,FALSE)=0,"-",VLOOKUP($A250,SortedDownload!$A$3:$BB$219,41,FALSE)/86400000),"-")</f>
        <v>-</v>
      </c>
      <c r="U250" s="58" t="str">
        <f>IFERROR(IF(VLOOKUP($A250,SortedDownload!$A$3:$BB$219,42,FALSE)=0,"-",VLOOKUP($A250,SortedDownload!$A$3:$BB$219,42,FALSE)/86400000),"-")</f>
        <v>-</v>
      </c>
      <c r="V250" s="58" t="str">
        <f>IFERROR(IF(VLOOKUP($A250,SortedDownload!$A$3:$BB$219,43,FALSE)=0,"-",VLOOKUP($A250,SortedDownload!$A$3:$BB$219,43,FALSE)/86400000),"-")</f>
        <v>-</v>
      </c>
      <c r="W250" s="58" t="str">
        <f>IFERROR(IF(VLOOKUP($A250,SortedDownload!$A$3:$BB$219,44,FALSE)=0,"-",VLOOKUP($A250,SortedDownload!$A$3:$BB$219,44,FALSE)/86400000),"-")</f>
        <v>-</v>
      </c>
      <c r="X250" s="58" t="str">
        <f>IFERROR(IF(VLOOKUP($A250,SortedDownload!$A$3:$BB$219,45,FALSE)=0,"-",VLOOKUP($A250,SortedDownload!$A$3:$BB$219,45,FALSE)/86400000),"-")</f>
        <v>-</v>
      </c>
      <c r="Y250" s="58" t="str">
        <f>IFERROR(VLOOKUP($A250,SortedDownload!$A$3:$BB$219,46,FALSE)/86400000,"")</f>
        <v/>
      </c>
      <c r="Z250" s="58" t="str">
        <f>IFERROR(Table932[[#This Row],[End Time]]-Table932[[#This Row],[Start Time]],"")</f>
        <v/>
      </c>
      <c r="AA250" s="58"/>
      <c r="AB250" s="170" t="e">
        <f t="shared" si="24"/>
        <v>#VALUE!</v>
      </c>
      <c r="AC250" s="170" t="e">
        <f t="shared" si="25"/>
        <v>#VALUE!</v>
      </c>
    </row>
    <row r="251" spans="1:29">
      <c r="A251" s="53">
        <f>IF(SortedDownload!A241 &lt; 1,"",SortedDownload!A241)</f>
        <v>11</v>
      </c>
      <c r="B251" s="146">
        <f t="shared" si="20"/>
        <v>246</v>
      </c>
      <c r="C251" s="146" t="str">
        <f>IFERROR(VLOOKUP($A251,CategoryResults!$A$3:$X$252,3,FALSE),"")</f>
        <v/>
      </c>
      <c r="D251" s="149" t="str">
        <f>IFERROR(VLOOKUP($A251,EntryList!$A$3:$N$291,2,FALSE),"")</f>
        <v>Spencer Van Zyl</v>
      </c>
      <c r="E251" s="146" t="str">
        <f>IFERROR(VLOOKUP(C251,SeriesPoints!$A$2:$B$51,2,FALSE),"")</f>
        <v/>
      </c>
      <c r="F251" s="150" t="str">
        <f>IFERROR(VLOOKUP($A251,EntryList!$A$3:$V$291,22,FALSE),"")</f>
        <v>-</v>
      </c>
      <c r="G251" s="148" t="str">
        <f>IFERROR(VLOOKUP($A251,EntryList!$A$3:$N$291,6,FALSE),"")</f>
        <v>M</v>
      </c>
      <c r="H251" s="226" t="str">
        <f>IFERROR(VLOOKUP($A251,EntryList!$A$3:$N$291,7,FALSE),"")</f>
        <v>Nipper Boys</v>
      </c>
      <c r="I251" s="220">
        <f t="shared" si="21"/>
        <v>0</v>
      </c>
      <c r="J251" s="58" t="str">
        <f>IFERROR(VLOOKUP($A251,SortedDownload!$A$3:$BB$219,31,FALSE)/86400000,"")</f>
        <v/>
      </c>
      <c r="K251" s="58" t="str">
        <f>IFERROR(IF(VLOOKUP($A251,SortedDownload!$A$3:$BB$219,32,FALSE)=0,"-",VLOOKUP($A251,SortedDownload!$A$3:$BB$219,32,FALSE)/86400000),"-")</f>
        <v>-</v>
      </c>
      <c r="L251" s="58" t="str">
        <f>IFERROR(IF(VLOOKUP($A251,SortedDownload!$A$3:$BB$219,33,FALSE)=0,"-",VLOOKUP($A251,SortedDownload!$A$3:$BB$219,33,FALSE)/86400000),"-")</f>
        <v>-</v>
      </c>
      <c r="M251" s="58" t="str">
        <f>IFERROR(IF(VLOOKUP($A251,SortedDownload!$A$3:$BB$219,34,FALSE)=0,"-",VLOOKUP($A251,SortedDownload!$A$3:$BB$219,34,FALSE)/86400000),"-")</f>
        <v>-</v>
      </c>
      <c r="N251" s="58" t="str">
        <f>IFERROR(IF(VLOOKUP($A251,SortedDownload!$A$3:$BB$219,35,FALSE)=0,"-",VLOOKUP($A251,SortedDownload!$A$3:$BB$219,35,FALSE)/86400000),"-")</f>
        <v>-</v>
      </c>
      <c r="O251" s="58" t="str">
        <f>IFERROR(IF(VLOOKUP($A251,SortedDownload!$A$3:$BB$219,36,FALSE)=0,"-",VLOOKUP($A251,SortedDownload!$A$3:$BB$219,36,FALSE)/86400000),"-")</f>
        <v>-</v>
      </c>
      <c r="P251" s="58" t="str">
        <f>IFERROR(IF(VLOOKUP($A251,SortedDownload!$A$3:$BB$219,37,FALSE)=0,"-",VLOOKUP($A251,SortedDownload!$A$3:$BB$219,37,FALSE)/86400000),"-")</f>
        <v>-</v>
      </c>
      <c r="Q251" s="58" t="str">
        <f>IFERROR(IF(VLOOKUP($A251,SortedDownload!$A$3:$BB$219,38,FALSE)=0,"-",VLOOKUP($A251,SortedDownload!$A$3:$BB$219,38,FALSE)/86400000),"-")</f>
        <v>-</v>
      </c>
      <c r="R251" s="58" t="str">
        <f>IFERROR(IF(VLOOKUP($A251,SortedDownload!$A$3:$BB$219,39,FALSE)=0,"-",VLOOKUP($A251,SortedDownload!$A$3:$BB$219,39,FALSE)/86400000),"-")</f>
        <v>-</v>
      </c>
      <c r="S251" s="58" t="str">
        <f>IFERROR(IF(VLOOKUP($A251,SortedDownload!$A$3:$BB$219,40,FALSE)=0,"-",VLOOKUP($A251,SortedDownload!$A$3:$BB$219,40,FALSE)/86400000),"-")</f>
        <v>-</v>
      </c>
      <c r="T251" s="58" t="str">
        <f>IFERROR(IF(VLOOKUP($A251,SortedDownload!$A$3:$BB$219,41,FALSE)=0,"-",VLOOKUP($A251,SortedDownload!$A$3:$BB$219,41,FALSE)/86400000),"-")</f>
        <v>-</v>
      </c>
      <c r="U251" s="58" t="str">
        <f>IFERROR(IF(VLOOKUP($A251,SortedDownload!$A$3:$BB$219,42,FALSE)=0,"-",VLOOKUP($A251,SortedDownload!$A$3:$BB$219,42,FALSE)/86400000),"-")</f>
        <v>-</v>
      </c>
      <c r="V251" s="58" t="str">
        <f>IFERROR(IF(VLOOKUP($A251,SortedDownload!$A$3:$BB$219,43,FALSE)=0,"-",VLOOKUP($A251,SortedDownload!$A$3:$BB$219,43,FALSE)/86400000),"-")</f>
        <v>-</v>
      </c>
      <c r="W251" s="58" t="str">
        <f>IFERROR(IF(VLOOKUP($A251,SortedDownload!$A$3:$BB$219,44,FALSE)=0,"-",VLOOKUP($A251,SortedDownload!$A$3:$BB$219,44,FALSE)/86400000),"-")</f>
        <v>-</v>
      </c>
      <c r="X251" s="58" t="str">
        <f>IFERROR(IF(VLOOKUP($A251,SortedDownload!$A$3:$BB$219,45,FALSE)=0,"-",VLOOKUP($A251,SortedDownload!$A$3:$BB$219,45,FALSE)/86400000),"-")</f>
        <v>-</v>
      </c>
      <c r="Y251" s="58" t="str">
        <f>IFERROR(VLOOKUP($A251,SortedDownload!$A$3:$BB$219,46,FALSE)/86400000,"")</f>
        <v/>
      </c>
      <c r="Z251" s="58" t="str">
        <f>IFERROR(Table932[[#This Row],[End Time]]-Table932[[#This Row],[Start Time]],"")</f>
        <v/>
      </c>
      <c r="AA251" s="58"/>
      <c r="AB251" s="170" t="e">
        <f t="shared" si="24"/>
        <v>#VALUE!</v>
      </c>
      <c r="AC251" s="170" t="e">
        <f t="shared" si="25"/>
        <v>#VALUE!</v>
      </c>
    </row>
    <row r="252" spans="1:29">
      <c r="A252" s="53">
        <f>IF(SortedDownload!A242 &lt; 1,"",SortedDownload!A242)</f>
        <v>19</v>
      </c>
      <c r="B252" s="146">
        <f t="shared" si="20"/>
        <v>247</v>
      </c>
      <c r="C252" s="146" t="str">
        <f>IFERROR(VLOOKUP($A252,CategoryResults!$A$3:$X$252,3,FALSE),"")</f>
        <v/>
      </c>
      <c r="D252" s="149" t="str">
        <f>IFERROR(VLOOKUP($A252,EntryList!$A$3:$N$291,2,FALSE),"")</f>
        <v>Isabella Stermin</v>
      </c>
      <c r="E252" s="146" t="str">
        <f>IFERROR(VLOOKUP(C252,SeriesPoints!$A$2:$B$51,2,FALSE),"")</f>
        <v/>
      </c>
      <c r="F252" s="150" t="str">
        <f>IFERROR(VLOOKUP($A252,EntryList!$A$3:$V$291,22,FALSE),"")</f>
        <v>-</v>
      </c>
      <c r="G252" s="148" t="str">
        <f>IFERROR(VLOOKUP($A252,EntryList!$A$3:$N$291,6,FALSE),"")</f>
        <v>F</v>
      </c>
      <c r="H252" s="226" t="str">
        <f>IFERROR(VLOOKUP($A252,EntryList!$A$3:$N$291,7,FALSE),"")</f>
        <v>Nipper Girls</v>
      </c>
      <c r="I252" s="220">
        <f t="shared" si="21"/>
        <v>0</v>
      </c>
      <c r="J252" s="58" t="str">
        <f>IFERROR(VLOOKUP($A252,SortedDownload!$A$3:$BB$219,31,FALSE)/86400000,"")</f>
        <v/>
      </c>
      <c r="K252" s="58" t="str">
        <f>IFERROR(IF(VLOOKUP($A252,SortedDownload!$A$3:$BB$219,32,FALSE)=0,"-",VLOOKUP($A252,SortedDownload!$A$3:$BB$219,32,FALSE)/86400000),"-")</f>
        <v>-</v>
      </c>
      <c r="L252" s="58" t="str">
        <f>IFERROR(IF(VLOOKUP($A252,SortedDownload!$A$3:$BB$219,33,FALSE)=0,"-",VLOOKUP($A252,SortedDownload!$A$3:$BB$219,33,FALSE)/86400000),"-")</f>
        <v>-</v>
      </c>
      <c r="M252" s="58" t="str">
        <f>IFERROR(IF(VLOOKUP($A252,SortedDownload!$A$3:$BB$219,34,FALSE)=0,"-",VLOOKUP($A252,SortedDownload!$A$3:$BB$219,34,FALSE)/86400000),"-")</f>
        <v>-</v>
      </c>
      <c r="N252" s="58" t="str">
        <f>IFERROR(IF(VLOOKUP($A252,SortedDownload!$A$3:$BB$219,35,FALSE)=0,"-",VLOOKUP($A252,SortedDownload!$A$3:$BB$219,35,FALSE)/86400000),"-")</f>
        <v>-</v>
      </c>
      <c r="O252" s="58" t="str">
        <f>IFERROR(IF(VLOOKUP($A252,SortedDownload!$A$3:$BB$219,36,FALSE)=0,"-",VLOOKUP($A252,SortedDownload!$A$3:$BB$219,36,FALSE)/86400000),"-")</f>
        <v>-</v>
      </c>
      <c r="P252" s="58" t="str">
        <f>IFERROR(IF(VLOOKUP($A252,SortedDownload!$A$3:$BB$219,37,FALSE)=0,"-",VLOOKUP($A252,SortedDownload!$A$3:$BB$219,37,FALSE)/86400000),"-")</f>
        <v>-</v>
      </c>
      <c r="Q252" s="58" t="str">
        <f>IFERROR(IF(VLOOKUP($A252,SortedDownload!$A$3:$BB$219,38,FALSE)=0,"-",VLOOKUP($A252,SortedDownload!$A$3:$BB$219,38,FALSE)/86400000),"-")</f>
        <v>-</v>
      </c>
      <c r="R252" s="58" t="str">
        <f>IFERROR(IF(VLOOKUP($A252,SortedDownload!$A$3:$BB$219,39,FALSE)=0,"-",VLOOKUP($A252,SortedDownload!$A$3:$BB$219,39,FALSE)/86400000),"-")</f>
        <v>-</v>
      </c>
      <c r="S252" s="58" t="str">
        <f>IFERROR(IF(VLOOKUP($A252,SortedDownload!$A$3:$BB$219,40,FALSE)=0,"-",VLOOKUP($A252,SortedDownload!$A$3:$BB$219,40,FALSE)/86400000),"-")</f>
        <v>-</v>
      </c>
      <c r="T252" s="58" t="str">
        <f>IFERROR(IF(VLOOKUP($A252,SortedDownload!$A$3:$BB$219,41,FALSE)=0,"-",VLOOKUP($A252,SortedDownload!$A$3:$BB$219,41,FALSE)/86400000),"-")</f>
        <v>-</v>
      </c>
      <c r="U252" s="58" t="str">
        <f>IFERROR(IF(VLOOKUP($A252,SortedDownload!$A$3:$BB$219,42,FALSE)=0,"-",VLOOKUP($A252,SortedDownload!$A$3:$BB$219,42,FALSE)/86400000),"-")</f>
        <v>-</v>
      </c>
      <c r="V252" s="58" t="str">
        <f>IFERROR(IF(VLOOKUP($A252,SortedDownload!$A$3:$BB$219,43,FALSE)=0,"-",VLOOKUP($A252,SortedDownload!$A$3:$BB$219,43,FALSE)/86400000),"-")</f>
        <v>-</v>
      </c>
      <c r="W252" s="58" t="str">
        <f>IFERROR(IF(VLOOKUP($A252,SortedDownload!$A$3:$BB$219,44,FALSE)=0,"-",VLOOKUP($A252,SortedDownload!$A$3:$BB$219,44,FALSE)/86400000),"-")</f>
        <v>-</v>
      </c>
      <c r="X252" s="58" t="str">
        <f>IFERROR(IF(VLOOKUP($A252,SortedDownload!$A$3:$BB$219,45,FALSE)=0,"-",VLOOKUP($A252,SortedDownload!$A$3:$BB$219,45,FALSE)/86400000),"-")</f>
        <v>-</v>
      </c>
      <c r="Y252" s="58" t="str">
        <f>IFERROR(VLOOKUP($A252,SortedDownload!$A$3:$BB$219,46,FALSE)/86400000,"")</f>
        <v/>
      </c>
      <c r="Z252" s="58" t="str">
        <f>IFERROR(Table932[[#This Row],[End Time]]-Table932[[#This Row],[Start Time]],"")</f>
        <v/>
      </c>
      <c r="AA252" s="58"/>
      <c r="AB252" s="170" t="e">
        <f t="shared" si="24"/>
        <v>#VALUE!</v>
      </c>
      <c r="AC252" s="170" t="e">
        <f t="shared" si="25"/>
        <v>#VALUE!</v>
      </c>
    </row>
    <row r="253" spans="1:29">
      <c r="A253" s="53">
        <f>IF(SortedDownload!A243 &lt; 1,"",SortedDownload!A243)</f>
        <v>158</v>
      </c>
      <c r="B253" s="146">
        <f t="shared" si="20"/>
        <v>248</v>
      </c>
      <c r="C253" s="146" t="str">
        <f>IFERROR(VLOOKUP($A253,CategoryResults!$A$3:$X$252,3,FALSE),"")</f>
        <v/>
      </c>
      <c r="D253" s="149" t="str">
        <f>IFERROR(VLOOKUP($A253,EntryList!$A$3:$N$291,2,FALSE),"")</f>
        <v>Morne Share</v>
      </c>
      <c r="E253" s="146" t="str">
        <f>IFERROR(VLOOKUP(C253,SeriesPoints!$A$2:$B$51,2,FALSE),"")</f>
        <v/>
      </c>
      <c r="F253" s="150" t="str">
        <f>IFERROR(VLOOKUP($A253,EntryList!$A$3:$V$291,22,FALSE),"")</f>
        <v>-</v>
      </c>
      <c r="G253" s="148" t="str">
        <f>IFERROR(VLOOKUP($A253,EntryList!$A$3:$N$291,6,FALSE),"")</f>
        <v>M</v>
      </c>
      <c r="H253" s="226" t="str">
        <f>IFERROR(VLOOKUP($A253,EntryList!$A$3:$N$291,7,FALSE),"")</f>
        <v>Lite M</v>
      </c>
      <c r="I253" s="220">
        <f t="shared" si="21"/>
        <v>0</v>
      </c>
      <c r="J253" s="58" t="str">
        <f>IFERROR(VLOOKUP($A253,SortedDownload!$A$3:$BB$219,31,FALSE)/86400000,"")</f>
        <v/>
      </c>
      <c r="K253" s="58" t="str">
        <f>IFERROR(IF(VLOOKUP($A253,SortedDownload!$A$3:$BB$219,32,FALSE)=0,"-",VLOOKUP($A253,SortedDownload!$A$3:$BB$219,32,FALSE)/86400000),"-")</f>
        <v>-</v>
      </c>
      <c r="L253" s="58" t="str">
        <f>IFERROR(IF(VLOOKUP($A253,SortedDownload!$A$3:$BB$219,33,FALSE)=0,"-",VLOOKUP($A253,SortedDownload!$A$3:$BB$219,33,FALSE)/86400000),"-")</f>
        <v>-</v>
      </c>
      <c r="M253" s="58" t="str">
        <f>IFERROR(IF(VLOOKUP($A253,SortedDownload!$A$3:$BB$219,34,FALSE)=0,"-",VLOOKUP($A253,SortedDownload!$A$3:$BB$219,34,FALSE)/86400000),"-")</f>
        <v>-</v>
      </c>
      <c r="N253" s="58" t="str">
        <f>IFERROR(IF(VLOOKUP($A253,SortedDownload!$A$3:$BB$219,35,FALSE)=0,"-",VLOOKUP($A253,SortedDownload!$A$3:$BB$219,35,FALSE)/86400000),"-")</f>
        <v>-</v>
      </c>
      <c r="O253" s="58" t="str">
        <f>IFERROR(IF(VLOOKUP($A253,SortedDownload!$A$3:$BB$219,36,FALSE)=0,"-",VLOOKUP($A253,SortedDownload!$A$3:$BB$219,36,FALSE)/86400000),"-")</f>
        <v>-</v>
      </c>
      <c r="P253" s="58" t="str">
        <f>IFERROR(IF(VLOOKUP($A253,SortedDownload!$A$3:$BB$219,37,FALSE)=0,"-",VLOOKUP($A253,SortedDownload!$A$3:$BB$219,37,FALSE)/86400000),"-")</f>
        <v>-</v>
      </c>
      <c r="Q253" s="58" t="str">
        <f>IFERROR(IF(VLOOKUP($A253,SortedDownload!$A$3:$BB$219,38,FALSE)=0,"-",VLOOKUP($A253,SortedDownload!$A$3:$BB$219,38,FALSE)/86400000),"-")</f>
        <v>-</v>
      </c>
      <c r="R253" s="58" t="str">
        <f>IFERROR(IF(VLOOKUP($A253,SortedDownload!$A$3:$BB$219,39,FALSE)=0,"-",VLOOKUP($A253,SortedDownload!$A$3:$BB$219,39,FALSE)/86400000),"-")</f>
        <v>-</v>
      </c>
      <c r="S253" s="58" t="str">
        <f>IFERROR(IF(VLOOKUP($A253,SortedDownload!$A$3:$BB$219,40,FALSE)=0,"-",VLOOKUP($A253,SortedDownload!$A$3:$BB$219,40,FALSE)/86400000),"-")</f>
        <v>-</v>
      </c>
      <c r="T253" s="58" t="str">
        <f>IFERROR(IF(VLOOKUP($A253,SortedDownload!$A$3:$BB$219,41,FALSE)=0,"-",VLOOKUP($A253,SortedDownload!$A$3:$BB$219,41,FALSE)/86400000),"-")</f>
        <v>-</v>
      </c>
      <c r="U253" s="58" t="str">
        <f>IFERROR(IF(VLOOKUP($A253,SortedDownload!$A$3:$BB$219,42,FALSE)=0,"-",VLOOKUP($A253,SortedDownload!$A$3:$BB$219,42,FALSE)/86400000),"-")</f>
        <v>-</v>
      </c>
      <c r="V253" s="58" t="str">
        <f>IFERROR(IF(VLOOKUP($A253,SortedDownload!$A$3:$BB$219,43,FALSE)=0,"-",VLOOKUP($A253,SortedDownload!$A$3:$BB$219,43,FALSE)/86400000),"-")</f>
        <v>-</v>
      </c>
      <c r="W253" s="58" t="str">
        <f>IFERROR(IF(VLOOKUP($A253,SortedDownload!$A$3:$BB$219,44,FALSE)=0,"-",VLOOKUP($A253,SortedDownload!$A$3:$BB$219,44,FALSE)/86400000),"-")</f>
        <v>-</v>
      </c>
      <c r="X253" s="58" t="str">
        <f>IFERROR(IF(VLOOKUP($A253,SortedDownload!$A$3:$BB$219,45,FALSE)=0,"-",VLOOKUP($A253,SortedDownload!$A$3:$BB$219,45,FALSE)/86400000),"-")</f>
        <v>-</v>
      </c>
      <c r="Y253" s="58" t="str">
        <f>IFERROR(VLOOKUP($A253,SortedDownload!$A$3:$BB$219,46,FALSE)/86400000,"")</f>
        <v/>
      </c>
      <c r="Z253" s="58" t="str">
        <f>IFERROR(Table932[[#This Row],[End Time]]-Table932[[#This Row],[Start Time]],"")</f>
        <v/>
      </c>
      <c r="AA253" s="58"/>
      <c r="AB253" s="170" t="e">
        <f t="shared" si="24"/>
        <v>#VALUE!</v>
      </c>
      <c r="AC253" s="170" t="e">
        <f t="shared" si="25"/>
        <v>#VALUE!</v>
      </c>
    </row>
    <row r="254" spans="1:29">
      <c r="A254" s="53">
        <f>IF(SortedDownload!A244 &lt; 1,"",SortedDownload!A244)</f>
        <v>48</v>
      </c>
      <c r="B254" s="146">
        <f t="shared" si="20"/>
        <v>249</v>
      </c>
      <c r="C254" s="146" t="str">
        <f>IFERROR(VLOOKUP($A254,CategoryResults!$A$3:$X$252,3,FALSE),"")</f>
        <v/>
      </c>
      <c r="D254" s="149" t="str">
        <f>IFERROR(VLOOKUP($A254,EntryList!$A$3:$N$291,2,FALSE),"")</f>
        <v>Rushdie Lagardien</v>
      </c>
      <c r="E254" s="146" t="str">
        <f>IFERROR(VLOOKUP(C254,SeriesPoints!$A$2:$B$51,2,FALSE),"")</f>
        <v/>
      </c>
      <c r="F254" s="150" t="str">
        <f>IFERROR(VLOOKUP($A254,EntryList!$A$3:$V$291,22,FALSE),"")</f>
        <v>-</v>
      </c>
      <c r="G254" s="148" t="str">
        <f>IFERROR(VLOOKUP($A254,EntryList!$A$3:$N$291,6,FALSE),"")</f>
        <v>M</v>
      </c>
      <c r="H254" s="226" t="str">
        <f>IFERROR(VLOOKUP($A254,EntryList!$A$3:$N$291,7,FALSE),"")</f>
        <v>Lite M</v>
      </c>
      <c r="I254" s="220">
        <f t="shared" si="21"/>
        <v>0</v>
      </c>
      <c r="J254" s="58" t="str">
        <f>IFERROR(VLOOKUP($A254,SortedDownload!$A$3:$BB$219,31,FALSE)/86400000,"")</f>
        <v/>
      </c>
      <c r="K254" s="58" t="str">
        <f>IFERROR(IF(VLOOKUP($A254,SortedDownload!$A$3:$BB$219,32,FALSE)=0,"-",VLOOKUP($A254,SortedDownload!$A$3:$BB$219,32,FALSE)/86400000),"-")</f>
        <v>-</v>
      </c>
      <c r="L254" s="58" t="str">
        <f>IFERROR(IF(VLOOKUP($A254,SortedDownload!$A$3:$BB$219,33,FALSE)=0,"-",VLOOKUP($A254,SortedDownload!$A$3:$BB$219,33,FALSE)/86400000),"-")</f>
        <v>-</v>
      </c>
      <c r="M254" s="58" t="str">
        <f>IFERROR(IF(VLOOKUP($A254,SortedDownload!$A$3:$BB$219,34,FALSE)=0,"-",VLOOKUP($A254,SortedDownload!$A$3:$BB$219,34,FALSE)/86400000),"-")</f>
        <v>-</v>
      </c>
      <c r="N254" s="58" t="str">
        <f>IFERROR(IF(VLOOKUP($A254,SortedDownload!$A$3:$BB$219,35,FALSE)=0,"-",VLOOKUP($A254,SortedDownload!$A$3:$BB$219,35,FALSE)/86400000),"-")</f>
        <v>-</v>
      </c>
      <c r="O254" s="58" t="str">
        <f>IFERROR(IF(VLOOKUP($A254,SortedDownload!$A$3:$BB$219,36,FALSE)=0,"-",VLOOKUP($A254,SortedDownload!$A$3:$BB$219,36,FALSE)/86400000),"-")</f>
        <v>-</v>
      </c>
      <c r="P254" s="58" t="str">
        <f>IFERROR(IF(VLOOKUP($A254,SortedDownload!$A$3:$BB$219,37,FALSE)=0,"-",VLOOKUP($A254,SortedDownload!$A$3:$BB$219,37,FALSE)/86400000),"-")</f>
        <v>-</v>
      </c>
      <c r="Q254" s="58" t="str">
        <f>IFERROR(IF(VLOOKUP($A254,SortedDownload!$A$3:$BB$219,38,FALSE)=0,"-",VLOOKUP($A254,SortedDownload!$A$3:$BB$219,38,FALSE)/86400000),"-")</f>
        <v>-</v>
      </c>
      <c r="R254" s="58" t="str">
        <f>IFERROR(IF(VLOOKUP($A254,SortedDownload!$A$3:$BB$219,39,FALSE)=0,"-",VLOOKUP($A254,SortedDownload!$A$3:$BB$219,39,FALSE)/86400000),"-")</f>
        <v>-</v>
      </c>
      <c r="S254" s="58" t="str">
        <f>IFERROR(IF(VLOOKUP($A254,SortedDownload!$A$3:$BB$219,40,FALSE)=0,"-",VLOOKUP($A254,SortedDownload!$A$3:$BB$219,40,FALSE)/86400000),"-")</f>
        <v>-</v>
      </c>
      <c r="T254" s="58" t="str">
        <f>IFERROR(IF(VLOOKUP($A254,SortedDownload!$A$3:$BB$219,41,FALSE)=0,"-",VLOOKUP($A254,SortedDownload!$A$3:$BB$219,41,FALSE)/86400000),"-")</f>
        <v>-</v>
      </c>
      <c r="U254" s="58" t="str">
        <f>IFERROR(IF(VLOOKUP($A254,SortedDownload!$A$3:$BB$219,42,FALSE)=0,"-",VLOOKUP($A254,SortedDownload!$A$3:$BB$219,42,FALSE)/86400000),"-")</f>
        <v>-</v>
      </c>
      <c r="V254" s="58" t="str">
        <f>IFERROR(IF(VLOOKUP($A254,SortedDownload!$A$3:$BB$219,43,FALSE)=0,"-",VLOOKUP($A254,SortedDownload!$A$3:$BB$219,43,FALSE)/86400000),"-")</f>
        <v>-</v>
      </c>
      <c r="W254" s="58" t="str">
        <f>IFERROR(IF(VLOOKUP($A254,SortedDownload!$A$3:$BB$219,44,FALSE)=0,"-",VLOOKUP($A254,SortedDownload!$A$3:$BB$219,44,FALSE)/86400000),"-")</f>
        <v>-</v>
      </c>
      <c r="X254" s="58" t="str">
        <f>IFERROR(IF(VLOOKUP($A254,SortedDownload!$A$3:$BB$219,45,FALSE)=0,"-",VLOOKUP($A254,SortedDownload!$A$3:$BB$219,45,FALSE)/86400000),"-")</f>
        <v>-</v>
      </c>
      <c r="Y254" s="58" t="str">
        <f>IFERROR(VLOOKUP($A254,SortedDownload!$A$3:$BB$219,46,FALSE)/86400000,"")</f>
        <v/>
      </c>
      <c r="Z254" s="58" t="str">
        <f>IFERROR(Table932[[#This Row],[End Time]]-Table932[[#This Row],[Start Time]],"")</f>
        <v/>
      </c>
      <c r="AA254" s="58"/>
      <c r="AB254" s="170" t="e">
        <f t="shared" si="24"/>
        <v>#VALUE!</v>
      </c>
      <c r="AC254" s="170" t="e">
        <f t="shared" si="25"/>
        <v>#VALUE!</v>
      </c>
    </row>
    <row r="255" spans="1:29">
      <c r="A255" s="53">
        <f>IF(SortedDownload!A245 &lt; 1,"",SortedDownload!A245)</f>
        <v>153</v>
      </c>
      <c r="B255" s="146">
        <f t="shared" si="20"/>
        <v>250</v>
      </c>
      <c r="C255" s="146" t="str">
        <f>IFERROR(VLOOKUP($A255,CategoryResults!$A$3:$X$252,3,FALSE),"")</f>
        <v/>
      </c>
      <c r="D255" s="149" t="str">
        <f>IFERROR(VLOOKUP($A255,EntryList!$A$3:$N$291,2,FALSE),"")</f>
        <v>Harry Millar</v>
      </c>
      <c r="E255" s="146" t="str">
        <f>IFERROR(VLOOKUP(C255,SeriesPoints!$A$2:$B$51,2,FALSE),"")</f>
        <v/>
      </c>
      <c r="F255" s="150" t="str">
        <f>IFERROR(VLOOKUP($A255,EntryList!$A$3:$V$291,22,FALSE),"")</f>
        <v>-</v>
      </c>
      <c r="G255" s="148" t="str">
        <f>IFERROR(VLOOKUP($A255,EntryList!$A$3:$N$291,6,FALSE),"")</f>
        <v>M</v>
      </c>
      <c r="H255" s="226" t="str">
        <f>IFERROR(VLOOKUP($A255,EntryList!$A$3:$N$291,7,FALSE),"")</f>
        <v>Master Men</v>
      </c>
      <c r="I255" s="220">
        <f t="shared" si="21"/>
        <v>0</v>
      </c>
      <c r="J255" s="58" t="str">
        <f>IFERROR(VLOOKUP($A255,SortedDownload!$A$3:$BB$219,31,FALSE)/86400000,"")</f>
        <v/>
      </c>
      <c r="K255" s="58" t="str">
        <f>IFERROR(IF(VLOOKUP($A255,SortedDownload!$A$3:$BB$219,32,FALSE)=0,"-",VLOOKUP($A255,SortedDownload!$A$3:$BB$219,32,FALSE)/86400000),"-")</f>
        <v>-</v>
      </c>
      <c r="L255" s="58" t="str">
        <f>IFERROR(IF(VLOOKUP($A255,SortedDownload!$A$3:$BB$219,33,FALSE)=0,"-",VLOOKUP($A255,SortedDownload!$A$3:$BB$219,33,FALSE)/86400000),"-")</f>
        <v>-</v>
      </c>
      <c r="M255" s="58" t="str">
        <f>IFERROR(IF(VLOOKUP($A255,SortedDownload!$A$3:$BB$219,34,FALSE)=0,"-",VLOOKUP($A255,SortedDownload!$A$3:$BB$219,34,FALSE)/86400000),"-")</f>
        <v>-</v>
      </c>
      <c r="N255" s="58" t="str">
        <f>IFERROR(IF(VLOOKUP($A255,SortedDownload!$A$3:$BB$219,35,FALSE)=0,"-",VLOOKUP($A255,SortedDownload!$A$3:$BB$219,35,FALSE)/86400000),"-")</f>
        <v>-</v>
      </c>
      <c r="O255" s="58" t="str">
        <f>IFERROR(IF(VLOOKUP($A255,SortedDownload!$A$3:$BB$219,36,FALSE)=0,"-",VLOOKUP($A255,SortedDownload!$A$3:$BB$219,36,FALSE)/86400000),"-")</f>
        <v>-</v>
      </c>
      <c r="P255" s="58" t="str">
        <f>IFERROR(IF(VLOOKUP($A255,SortedDownload!$A$3:$BB$219,37,FALSE)=0,"-",VLOOKUP($A255,SortedDownload!$A$3:$BB$219,37,FALSE)/86400000),"-")</f>
        <v>-</v>
      </c>
      <c r="Q255" s="58" t="str">
        <f>IFERROR(IF(VLOOKUP($A255,SortedDownload!$A$3:$BB$219,38,FALSE)=0,"-",VLOOKUP($A255,SortedDownload!$A$3:$BB$219,38,FALSE)/86400000),"-")</f>
        <v>-</v>
      </c>
      <c r="R255" s="58" t="str">
        <f>IFERROR(IF(VLOOKUP($A255,SortedDownload!$A$3:$BB$219,39,FALSE)=0,"-",VLOOKUP($A255,SortedDownload!$A$3:$BB$219,39,FALSE)/86400000),"-")</f>
        <v>-</v>
      </c>
      <c r="S255" s="58" t="str">
        <f>IFERROR(IF(VLOOKUP($A255,SortedDownload!$A$3:$BB$219,40,FALSE)=0,"-",VLOOKUP($A255,SortedDownload!$A$3:$BB$219,40,FALSE)/86400000),"-")</f>
        <v>-</v>
      </c>
      <c r="T255" s="58" t="str">
        <f>IFERROR(IF(VLOOKUP($A255,SortedDownload!$A$3:$BB$219,41,FALSE)=0,"-",VLOOKUP($A255,SortedDownload!$A$3:$BB$219,41,FALSE)/86400000),"-")</f>
        <v>-</v>
      </c>
      <c r="U255" s="58" t="str">
        <f>IFERROR(IF(VLOOKUP($A255,SortedDownload!$A$3:$BB$219,42,FALSE)=0,"-",VLOOKUP($A255,SortedDownload!$A$3:$BB$219,42,FALSE)/86400000),"-")</f>
        <v>-</v>
      </c>
      <c r="V255" s="58" t="str">
        <f>IFERROR(IF(VLOOKUP($A255,SortedDownload!$A$3:$BB$219,43,FALSE)=0,"-",VLOOKUP($A255,SortedDownload!$A$3:$BB$219,43,FALSE)/86400000),"-")</f>
        <v>-</v>
      </c>
      <c r="W255" s="58" t="str">
        <f>IFERROR(IF(VLOOKUP($A255,SortedDownload!$A$3:$BB$219,44,FALSE)=0,"-",VLOOKUP($A255,SortedDownload!$A$3:$BB$219,44,FALSE)/86400000),"-")</f>
        <v>-</v>
      </c>
      <c r="X255" s="58" t="str">
        <f>IFERROR(IF(VLOOKUP($A255,SortedDownload!$A$3:$BB$219,45,FALSE)=0,"-",VLOOKUP($A255,SortedDownload!$A$3:$BB$219,45,FALSE)/86400000),"-")</f>
        <v>-</v>
      </c>
      <c r="Y255" s="58" t="str">
        <f>IFERROR(VLOOKUP($A255,SortedDownload!$A$3:$BB$219,46,FALSE)/86400000,"")</f>
        <v/>
      </c>
      <c r="Z255" s="58" t="str">
        <f>IFERROR(Table932[[#This Row],[End Time]]-Table932[[#This Row],[Start Time]],"")</f>
        <v/>
      </c>
      <c r="AA255" s="58"/>
      <c r="AB255" s="170" t="e">
        <f t="shared" si="24"/>
        <v>#VALUE!</v>
      </c>
      <c r="AC255" s="170" t="e">
        <f t="shared" si="25"/>
        <v>#VALUE!</v>
      </c>
    </row>
    <row r="256" spans="1:29">
      <c r="A256" s="53">
        <f>IF(SortedDownload!A246 &lt; 1,"",SortedDownload!A246)</f>
        <v>237</v>
      </c>
      <c r="B256" s="146">
        <f t="shared" si="20"/>
        <v>251</v>
      </c>
      <c r="C256" s="146" t="str">
        <f>IFERROR(VLOOKUP($A256,CategoryResults!$A$3:$X$252,3,FALSE),"")</f>
        <v/>
      </c>
      <c r="D256" s="149" t="str">
        <f>IFERROR(VLOOKUP($A256,EntryList!$A$3:$N$291,2,FALSE),"")</f>
        <v>Eryn Marais</v>
      </c>
      <c r="E256" s="146" t="str">
        <f>IFERROR(VLOOKUP(C256,SeriesPoints!$A$2:$B$51,2,FALSE),"")</f>
        <v/>
      </c>
      <c r="F256" s="150" t="str">
        <f>IFERROR(VLOOKUP($A256,EntryList!$A$3:$V$291,22,FALSE),"")</f>
        <v>-</v>
      </c>
      <c r="G256" s="148" t="str">
        <f>IFERROR(VLOOKUP($A256,EntryList!$A$3:$N$291,6,FALSE),"")</f>
        <v>F</v>
      </c>
      <c r="H256" s="226" t="str">
        <f>IFERROR(VLOOKUP($A256,EntryList!$A$3:$N$291,7,FALSE),"")</f>
        <v>Sub Junior Girls</v>
      </c>
      <c r="I256" s="220">
        <f t="shared" si="21"/>
        <v>0</v>
      </c>
      <c r="J256" s="58" t="str">
        <f>IFERROR(VLOOKUP($A256,SortedDownload!$A$3:$BB$219,31,FALSE)/86400000,"")</f>
        <v/>
      </c>
      <c r="K256" s="58" t="str">
        <f>IFERROR(IF(VLOOKUP($A256,SortedDownload!$A$3:$BB$219,32,FALSE)=0,"-",VLOOKUP($A256,SortedDownload!$A$3:$BB$219,32,FALSE)/86400000),"-")</f>
        <v>-</v>
      </c>
      <c r="L256" s="58" t="str">
        <f>IFERROR(IF(VLOOKUP($A256,SortedDownload!$A$3:$BB$219,33,FALSE)=0,"-",VLOOKUP($A256,SortedDownload!$A$3:$BB$219,33,FALSE)/86400000),"-")</f>
        <v>-</v>
      </c>
      <c r="M256" s="58" t="str">
        <f>IFERROR(IF(VLOOKUP($A256,SortedDownload!$A$3:$BB$219,34,FALSE)=0,"-",VLOOKUP($A256,SortedDownload!$A$3:$BB$219,34,FALSE)/86400000),"-")</f>
        <v>-</v>
      </c>
      <c r="N256" s="58" t="str">
        <f>IFERROR(IF(VLOOKUP($A256,SortedDownload!$A$3:$BB$219,35,FALSE)=0,"-",VLOOKUP($A256,SortedDownload!$A$3:$BB$219,35,FALSE)/86400000),"-")</f>
        <v>-</v>
      </c>
      <c r="O256" s="58" t="str">
        <f>IFERROR(IF(VLOOKUP($A256,SortedDownload!$A$3:$BB$219,36,FALSE)=0,"-",VLOOKUP($A256,SortedDownload!$A$3:$BB$219,36,FALSE)/86400000),"-")</f>
        <v>-</v>
      </c>
      <c r="P256" s="58" t="str">
        <f>IFERROR(IF(VLOOKUP($A256,SortedDownload!$A$3:$BB$219,37,FALSE)=0,"-",VLOOKUP($A256,SortedDownload!$A$3:$BB$219,37,FALSE)/86400000),"-")</f>
        <v>-</v>
      </c>
      <c r="Q256" s="58" t="str">
        <f>IFERROR(IF(VLOOKUP($A256,SortedDownload!$A$3:$BB$219,38,FALSE)=0,"-",VLOOKUP($A256,SortedDownload!$A$3:$BB$219,38,FALSE)/86400000),"-")</f>
        <v>-</v>
      </c>
      <c r="R256" s="58" t="str">
        <f>IFERROR(IF(VLOOKUP($A256,SortedDownload!$A$3:$BB$219,39,FALSE)=0,"-",VLOOKUP($A256,SortedDownload!$A$3:$BB$219,39,FALSE)/86400000),"-")</f>
        <v>-</v>
      </c>
      <c r="S256" s="58" t="str">
        <f>IFERROR(IF(VLOOKUP($A256,SortedDownload!$A$3:$BB$219,40,FALSE)=0,"-",VLOOKUP($A256,SortedDownload!$A$3:$BB$219,40,FALSE)/86400000),"-")</f>
        <v>-</v>
      </c>
      <c r="T256" s="58" t="str">
        <f>IFERROR(IF(VLOOKUP($A256,SortedDownload!$A$3:$BB$219,41,FALSE)=0,"-",VLOOKUP($A256,SortedDownload!$A$3:$BB$219,41,FALSE)/86400000),"-")</f>
        <v>-</v>
      </c>
      <c r="U256" s="58" t="str">
        <f>IFERROR(IF(VLOOKUP($A256,SortedDownload!$A$3:$BB$219,42,FALSE)=0,"-",VLOOKUP($A256,SortedDownload!$A$3:$BB$219,42,FALSE)/86400000),"-")</f>
        <v>-</v>
      </c>
      <c r="V256" s="58" t="str">
        <f>IFERROR(IF(VLOOKUP($A256,SortedDownload!$A$3:$BB$219,43,FALSE)=0,"-",VLOOKUP($A256,SortedDownload!$A$3:$BB$219,43,FALSE)/86400000),"-")</f>
        <v>-</v>
      </c>
      <c r="W256" s="58" t="str">
        <f>IFERROR(IF(VLOOKUP($A256,SortedDownload!$A$3:$BB$219,44,FALSE)=0,"-",VLOOKUP($A256,SortedDownload!$A$3:$BB$219,44,FALSE)/86400000),"-")</f>
        <v>-</v>
      </c>
      <c r="X256" s="58" t="str">
        <f>IFERROR(IF(VLOOKUP($A256,SortedDownload!$A$3:$BB$219,45,FALSE)=0,"-",VLOOKUP($A256,SortedDownload!$A$3:$BB$219,45,FALSE)/86400000),"-")</f>
        <v>-</v>
      </c>
      <c r="Y256" s="58" t="str">
        <f>IFERROR(VLOOKUP($A256,SortedDownload!$A$3:$BB$219,46,FALSE)/86400000,"")</f>
        <v/>
      </c>
      <c r="Z256" s="58" t="str">
        <f>IFERROR(Table932[[#This Row],[End Time]]-Table932[[#This Row],[Start Time]],"")</f>
        <v/>
      </c>
      <c r="AA256" s="58"/>
      <c r="AB256" s="170" t="e">
        <f t="shared" si="24"/>
        <v>#VALUE!</v>
      </c>
      <c r="AC256" s="170" t="e">
        <f t="shared" si="25"/>
        <v>#VALUE!</v>
      </c>
    </row>
    <row r="257" spans="1:29">
      <c r="A257" s="53">
        <f>IF(SortedDownload!A247 &lt; 1,"",SortedDownload!A247)</f>
        <v>46</v>
      </c>
      <c r="B257" s="146">
        <f t="shared" si="20"/>
        <v>252</v>
      </c>
      <c r="C257" s="146" t="str">
        <f>IFERROR(VLOOKUP($A257,CategoryResults!$A$3:$X$252,3,FALSE),"")</f>
        <v/>
      </c>
      <c r="D257" s="149" t="str">
        <f>IFERROR(VLOOKUP($A257,EntryList!$A$3:$N$291,2,FALSE),"")</f>
        <v>Freddie Tomlinson</v>
      </c>
      <c r="E257" s="146" t="str">
        <f>IFERROR(VLOOKUP(C257,SeriesPoints!$A$2:$B$51,2,FALSE),"")</f>
        <v/>
      </c>
      <c r="F257" s="150" t="str">
        <f>IFERROR(VLOOKUP($A257,EntryList!$A$3:$V$291,22,FALSE),"")</f>
        <v>-</v>
      </c>
      <c r="G257" s="148" t="str">
        <f>IFERROR(VLOOKUP($A257,EntryList!$A$3:$N$291,6,FALSE),"")</f>
        <v>M</v>
      </c>
      <c r="H257" s="226" t="str">
        <f>IFERROR(VLOOKUP($A257,EntryList!$A$3:$N$291,7,FALSE),"")</f>
        <v>Sub Junior Boys</v>
      </c>
      <c r="I257" s="220">
        <f t="shared" si="21"/>
        <v>0</v>
      </c>
      <c r="J257" s="58" t="str">
        <f>IFERROR(VLOOKUP($A257,SortedDownload!$A$3:$BB$219,31,FALSE)/86400000,"")</f>
        <v/>
      </c>
      <c r="K257" s="58" t="str">
        <f>IFERROR(IF(VLOOKUP($A257,SortedDownload!$A$3:$BB$219,32,FALSE)=0,"-",VLOOKUP($A257,SortedDownload!$A$3:$BB$219,32,FALSE)/86400000),"-")</f>
        <v>-</v>
      </c>
      <c r="L257" s="58" t="str">
        <f>IFERROR(IF(VLOOKUP($A257,SortedDownload!$A$3:$BB$219,33,FALSE)=0,"-",VLOOKUP($A257,SortedDownload!$A$3:$BB$219,33,FALSE)/86400000),"-")</f>
        <v>-</v>
      </c>
      <c r="M257" s="58" t="str">
        <f>IFERROR(IF(VLOOKUP($A257,SortedDownload!$A$3:$BB$219,34,FALSE)=0,"-",VLOOKUP($A257,SortedDownload!$A$3:$BB$219,34,FALSE)/86400000),"-")</f>
        <v>-</v>
      </c>
      <c r="N257" s="58" t="str">
        <f>IFERROR(IF(VLOOKUP($A257,SortedDownload!$A$3:$BB$219,35,FALSE)=0,"-",VLOOKUP($A257,SortedDownload!$A$3:$BB$219,35,FALSE)/86400000),"-")</f>
        <v>-</v>
      </c>
      <c r="O257" s="58" t="str">
        <f>IFERROR(IF(VLOOKUP($A257,SortedDownload!$A$3:$BB$219,36,FALSE)=0,"-",VLOOKUP($A257,SortedDownload!$A$3:$BB$219,36,FALSE)/86400000),"-")</f>
        <v>-</v>
      </c>
      <c r="P257" s="58" t="str">
        <f>IFERROR(IF(VLOOKUP($A257,SortedDownload!$A$3:$BB$219,37,FALSE)=0,"-",VLOOKUP($A257,SortedDownload!$A$3:$BB$219,37,FALSE)/86400000),"-")</f>
        <v>-</v>
      </c>
      <c r="Q257" s="58" t="str">
        <f>IFERROR(IF(VLOOKUP($A257,SortedDownload!$A$3:$BB$219,38,FALSE)=0,"-",VLOOKUP($A257,SortedDownload!$A$3:$BB$219,38,FALSE)/86400000),"-")</f>
        <v>-</v>
      </c>
      <c r="R257" s="58" t="str">
        <f>IFERROR(IF(VLOOKUP($A257,SortedDownload!$A$3:$BB$219,39,FALSE)=0,"-",VLOOKUP($A257,SortedDownload!$A$3:$BB$219,39,FALSE)/86400000),"-")</f>
        <v>-</v>
      </c>
      <c r="S257" s="58" t="str">
        <f>IFERROR(IF(VLOOKUP($A257,SortedDownload!$A$3:$BB$219,40,FALSE)=0,"-",VLOOKUP($A257,SortedDownload!$A$3:$BB$219,40,FALSE)/86400000),"-")</f>
        <v>-</v>
      </c>
      <c r="T257" s="58" t="str">
        <f>IFERROR(IF(VLOOKUP($A257,SortedDownload!$A$3:$BB$219,41,FALSE)=0,"-",VLOOKUP($A257,SortedDownload!$A$3:$BB$219,41,FALSE)/86400000),"-")</f>
        <v>-</v>
      </c>
      <c r="U257" s="58" t="str">
        <f>IFERROR(IF(VLOOKUP($A257,SortedDownload!$A$3:$BB$219,42,FALSE)=0,"-",VLOOKUP($A257,SortedDownload!$A$3:$BB$219,42,FALSE)/86400000),"-")</f>
        <v>-</v>
      </c>
      <c r="V257" s="58" t="str">
        <f>IFERROR(IF(VLOOKUP($A257,SortedDownload!$A$3:$BB$219,43,FALSE)=0,"-",VLOOKUP($A257,SortedDownload!$A$3:$BB$219,43,FALSE)/86400000),"-")</f>
        <v>-</v>
      </c>
      <c r="W257" s="58" t="str">
        <f>IFERROR(IF(VLOOKUP($A257,SortedDownload!$A$3:$BB$219,44,FALSE)=0,"-",VLOOKUP($A257,SortedDownload!$A$3:$BB$219,44,FALSE)/86400000),"-")</f>
        <v>-</v>
      </c>
      <c r="X257" s="58" t="str">
        <f>IFERROR(IF(VLOOKUP($A257,SortedDownload!$A$3:$BB$219,45,FALSE)=0,"-",VLOOKUP($A257,SortedDownload!$A$3:$BB$219,45,FALSE)/86400000),"-")</f>
        <v>-</v>
      </c>
      <c r="Y257" s="58" t="str">
        <f>IFERROR(VLOOKUP($A257,SortedDownload!$A$3:$BB$219,46,FALSE)/86400000,"")</f>
        <v/>
      </c>
      <c r="Z257" s="58" t="str">
        <f>IFERROR(Table932[[#This Row],[End Time]]-Table932[[#This Row],[Start Time]],"")</f>
        <v/>
      </c>
      <c r="AA257" s="58"/>
      <c r="AB257" s="170" t="e">
        <f t="shared" si="24"/>
        <v>#VALUE!</v>
      </c>
      <c r="AC257" s="170" t="e">
        <f t="shared" si="25"/>
        <v>#VALUE!</v>
      </c>
    </row>
    <row r="258" spans="1:29">
      <c r="A258" s="53">
        <f>IF(SortedDownload!A248 &lt; 1,"",SortedDownload!A248)</f>
        <v>167</v>
      </c>
      <c r="B258" s="146">
        <f t="shared" si="20"/>
        <v>253</v>
      </c>
      <c r="C258" s="146" t="str">
        <f>IFERROR(VLOOKUP($A258,CategoryResults!$A$3:$X$252,3,FALSE),"")</f>
        <v/>
      </c>
      <c r="D258" s="149" t="str">
        <f>IFERROR(VLOOKUP($A258,EntryList!$A$3:$N$291,2,FALSE),"")</f>
        <v>Stephan Terblanche</v>
      </c>
      <c r="E258" s="146" t="str">
        <f>IFERROR(VLOOKUP(C258,SeriesPoints!$A$2:$B$51,2,FALSE),"")</f>
        <v/>
      </c>
      <c r="F258" s="150" t="str">
        <f>IFERROR(VLOOKUP($A258,EntryList!$A$3:$V$291,22,FALSE),"")</f>
        <v>-</v>
      </c>
      <c r="G258" s="148" t="str">
        <f>IFERROR(VLOOKUP($A258,EntryList!$A$3:$N$291,6,FALSE),"")</f>
        <v>M</v>
      </c>
      <c r="H258" s="226" t="str">
        <f>IFERROR(VLOOKUP($A258,EntryList!$A$3:$N$291,7,FALSE),"")</f>
        <v>Sub Junior Boys</v>
      </c>
      <c r="I258" s="220">
        <f t="shared" si="21"/>
        <v>0</v>
      </c>
      <c r="J258" s="58" t="str">
        <f>IFERROR(VLOOKUP($A258,SortedDownload!$A$3:$BB$219,31,FALSE)/86400000,"")</f>
        <v/>
      </c>
      <c r="K258" s="58" t="str">
        <f>IFERROR(IF(VLOOKUP($A258,SortedDownload!$A$3:$BB$219,32,FALSE)=0,"-",VLOOKUP($A258,SortedDownload!$A$3:$BB$219,32,FALSE)/86400000),"-")</f>
        <v>-</v>
      </c>
      <c r="L258" s="58" t="str">
        <f>IFERROR(IF(VLOOKUP($A258,SortedDownload!$A$3:$BB$219,33,FALSE)=0,"-",VLOOKUP($A258,SortedDownload!$A$3:$BB$219,33,FALSE)/86400000),"-")</f>
        <v>-</v>
      </c>
      <c r="M258" s="58" t="str">
        <f>IFERROR(IF(VLOOKUP($A258,SortedDownload!$A$3:$BB$219,34,FALSE)=0,"-",VLOOKUP($A258,SortedDownload!$A$3:$BB$219,34,FALSE)/86400000),"-")</f>
        <v>-</v>
      </c>
      <c r="N258" s="58" t="str">
        <f>IFERROR(IF(VLOOKUP($A258,SortedDownload!$A$3:$BB$219,35,FALSE)=0,"-",VLOOKUP($A258,SortedDownload!$A$3:$BB$219,35,FALSE)/86400000),"-")</f>
        <v>-</v>
      </c>
      <c r="O258" s="58" t="str">
        <f>IFERROR(IF(VLOOKUP($A258,SortedDownload!$A$3:$BB$219,36,FALSE)=0,"-",VLOOKUP($A258,SortedDownload!$A$3:$BB$219,36,FALSE)/86400000),"-")</f>
        <v>-</v>
      </c>
      <c r="P258" s="58" t="str">
        <f>IFERROR(IF(VLOOKUP($A258,SortedDownload!$A$3:$BB$219,37,FALSE)=0,"-",VLOOKUP($A258,SortedDownload!$A$3:$BB$219,37,FALSE)/86400000),"-")</f>
        <v>-</v>
      </c>
      <c r="Q258" s="58" t="str">
        <f>IFERROR(IF(VLOOKUP($A258,SortedDownload!$A$3:$BB$219,38,FALSE)=0,"-",VLOOKUP($A258,SortedDownload!$A$3:$BB$219,38,FALSE)/86400000),"-")</f>
        <v>-</v>
      </c>
      <c r="R258" s="58" t="str">
        <f>IFERROR(IF(VLOOKUP($A258,SortedDownload!$A$3:$BB$219,39,FALSE)=0,"-",VLOOKUP($A258,SortedDownload!$A$3:$BB$219,39,FALSE)/86400000),"-")</f>
        <v>-</v>
      </c>
      <c r="S258" s="58" t="str">
        <f>IFERROR(IF(VLOOKUP($A258,SortedDownload!$A$3:$BB$219,40,FALSE)=0,"-",VLOOKUP($A258,SortedDownload!$A$3:$BB$219,40,FALSE)/86400000),"-")</f>
        <v>-</v>
      </c>
      <c r="T258" s="58" t="str">
        <f>IFERROR(IF(VLOOKUP($A258,SortedDownload!$A$3:$BB$219,41,FALSE)=0,"-",VLOOKUP($A258,SortedDownload!$A$3:$BB$219,41,FALSE)/86400000),"-")</f>
        <v>-</v>
      </c>
      <c r="U258" s="58" t="str">
        <f>IFERROR(IF(VLOOKUP($A258,SortedDownload!$A$3:$BB$219,42,FALSE)=0,"-",VLOOKUP($A258,SortedDownload!$A$3:$BB$219,42,FALSE)/86400000),"-")</f>
        <v>-</v>
      </c>
      <c r="V258" s="58" t="str">
        <f>IFERROR(IF(VLOOKUP($A258,SortedDownload!$A$3:$BB$219,43,FALSE)=0,"-",VLOOKUP($A258,SortedDownload!$A$3:$BB$219,43,FALSE)/86400000),"-")</f>
        <v>-</v>
      </c>
      <c r="W258" s="58" t="str">
        <f>IFERROR(IF(VLOOKUP($A258,SortedDownload!$A$3:$BB$219,44,FALSE)=0,"-",VLOOKUP($A258,SortedDownload!$A$3:$BB$219,44,FALSE)/86400000),"-")</f>
        <v>-</v>
      </c>
      <c r="X258" s="58" t="str">
        <f>IFERROR(IF(VLOOKUP($A258,SortedDownload!$A$3:$BB$219,45,FALSE)=0,"-",VLOOKUP($A258,SortedDownload!$A$3:$BB$219,45,FALSE)/86400000),"-")</f>
        <v>-</v>
      </c>
      <c r="Y258" s="58" t="str">
        <f>IFERROR(VLOOKUP($A258,SortedDownload!$A$3:$BB$219,46,FALSE)/86400000,"")</f>
        <v/>
      </c>
      <c r="Z258" s="58" t="str">
        <f>IFERROR(Table932[[#This Row],[End Time]]-Table932[[#This Row],[Start Time]],"")</f>
        <v/>
      </c>
      <c r="AA258" s="58"/>
      <c r="AB258" s="170" t="e">
        <f t="shared" si="24"/>
        <v>#VALUE!</v>
      </c>
      <c r="AC258" s="170" t="e">
        <f t="shared" si="25"/>
        <v>#VALUE!</v>
      </c>
    </row>
    <row r="259" spans="1:29">
      <c r="A259" s="53">
        <f>IF(SortedDownload!A249 &lt; 1,"",SortedDownload!A249)</f>
        <v>18</v>
      </c>
      <c r="B259" s="146">
        <f t="shared" si="20"/>
        <v>254</v>
      </c>
      <c r="C259" s="146" t="str">
        <f>IFERROR(VLOOKUP($A259,CategoryResults!$A$3:$X$252,3,FALSE),"")</f>
        <v/>
      </c>
      <c r="D259" s="149" t="str">
        <f>IFERROR(VLOOKUP($A259,EntryList!$A$3:$N$291,2,FALSE),"")</f>
        <v>Jayden Lang</v>
      </c>
      <c r="E259" s="146" t="str">
        <f>IFERROR(VLOOKUP(C259,SeriesPoints!$A$2:$B$51,2,FALSE),"")</f>
        <v/>
      </c>
      <c r="F259" s="150" t="str">
        <f>IFERROR(VLOOKUP($A259,EntryList!$A$3:$V$291,22,FALSE),"")</f>
        <v>-</v>
      </c>
      <c r="G259" s="148" t="str">
        <f>IFERROR(VLOOKUP($A259,EntryList!$A$3:$N$291,6,FALSE),"")</f>
        <v>M</v>
      </c>
      <c r="H259" s="226" t="str">
        <f>IFERROR(VLOOKUP($A259,EntryList!$A$3:$N$291,7,FALSE),"")</f>
        <v>Elite Men</v>
      </c>
      <c r="I259" s="220">
        <f t="shared" si="21"/>
        <v>0</v>
      </c>
      <c r="J259" s="58" t="str">
        <f>IFERROR(VLOOKUP($A259,SortedDownload!$A$3:$BB$219,31,FALSE)/86400000,"")</f>
        <v/>
      </c>
      <c r="K259" s="58" t="str">
        <f>IFERROR(IF(VLOOKUP($A259,SortedDownload!$A$3:$BB$219,32,FALSE)=0,"-",VLOOKUP($A259,SortedDownload!$A$3:$BB$219,32,FALSE)/86400000),"-")</f>
        <v>-</v>
      </c>
      <c r="L259" s="58" t="str">
        <f>IFERROR(IF(VLOOKUP($A259,SortedDownload!$A$3:$BB$219,33,FALSE)=0,"-",VLOOKUP($A259,SortedDownload!$A$3:$BB$219,33,FALSE)/86400000),"-")</f>
        <v>-</v>
      </c>
      <c r="M259" s="58" t="str">
        <f>IFERROR(IF(VLOOKUP($A259,SortedDownload!$A$3:$BB$219,34,FALSE)=0,"-",VLOOKUP($A259,SortedDownload!$A$3:$BB$219,34,FALSE)/86400000),"-")</f>
        <v>-</v>
      </c>
      <c r="N259" s="58" t="str">
        <f>IFERROR(IF(VLOOKUP($A259,SortedDownload!$A$3:$BB$219,35,FALSE)=0,"-",VLOOKUP($A259,SortedDownload!$A$3:$BB$219,35,FALSE)/86400000),"-")</f>
        <v>-</v>
      </c>
      <c r="O259" s="58" t="str">
        <f>IFERROR(IF(VLOOKUP($A259,SortedDownload!$A$3:$BB$219,36,FALSE)=0,"-",VLOOKUP($A259,SortedDownload!$A$3:$BB$219,36,FALSE)/86400000),"-")</f>
        <v>-</v>
      </c>
      <c r="P259" s="58" t="str">
        <f>IFERROR(IF(VLOOKUP($A259,SortedDownload!$A$3:$BB$219,37,FALSE)=0,"-",VLOOKUP($A259,SortedDownload!$A$3:$BB$219,37,FALSE)/86400000),"-")</f>
        <v>-</v>
      </c>
      <c r="Q259" s="58" t="str">
        <f>IFERROR(IF(VLOOKUP($A259,SortedDownload!$A$3:$BB$219,38,FALSE)=0,"-",VLOOKUP($A259,SortedDownload!$A$3:$BB$219,38,FALSE)/86400000),"-")</f>
        <v>-</v>
      </c>
      <c r="R259" s="58" t="str">
        <f>IFERROR(IF(VLOOKUP($A259,SortedDownload!$A$3:$BB$219,39,FALSE)=0,"-",VLOOKUP($A259,SortedDownload!$A$3:$BB$219,39,FALSE)/86400000),"-")</f>
        <v>-</v>
      </c>
      <c r="S259" s="58" t="str">
        <f>IFERROR(IF(VLOOKUP($A259,SortedDownload!$A$3:$BB$219,40,FALSE)=0,"-",VLOOKUP($A259,SortedDownload!$A$3:$BB$219,40,FALSE)/86400000),"-")</f>
        <v>-</v>
      </c>
      <c r="T259" s="58" t="str">
        <f>IFERROR(IF(VLOOKUP($A259,SortedDownload!$A$3:$BB$219,41,FALSE)=0,"-",VLOOKUP($A259,SortedDownload!$A$3:$BB$219,41,FALSE)/86400000),"-")</f>
        <v>-</v>
      </c>
      <c r="U259" s="58" t="str">
        <f>IFERROR(IF(VLOOKUP($A259,SortedDownload!$A$3:$BB$219,42,FALSE)=0,"-",VLOOKUP($A259,SortedDownload!$A$3:$BB$219,42,FALSE)/86400000),"-")</f>
        <v>-</v>
      </c>
      <c r="V259" s="58" t="str">
        <f>IFERROR(IF(VLOOKUP($A259,SortedDownload!$A$3:$BB$219,43,FALSE)=0,"-",VLOOKUP($A259,SortedDownload!$A$3:$BB$219,43,FALSE)/86400000),"-")</f>
        <v>-</v>
      </c>
      <c r="W259" s="58" t="str">
        <f>IFERROR(IF(VLOOKUP($A259,SortedDownload!$A$3:$BB$219,44,FALSE)=0,"-",VLOOKUP($A259,SortedDownload!$A$3:$BB$219,44,FALSE)/86400000),"-")</f>
        <v>-</v>
      </c>
      <c r="X259" s="58" t="str">
        <f>IFERROR(IF(VLOOKUP($A259,SortedDownload!$A$3:$BB$219,45,FALSE)=0,"-",VLOOKUP($A259,SortedDownload!$A$3:$BB$219,45,FALSE)/86400000),"-")</f>
        <v>-</v>
      </c>
      <c r="Y259" s="58" t="str">
        <f>IFERROR(VLOOKUP($A259,SortedDownload!$A$3:$BB$219,46,FALSE)/86400000,"")</f>
        <v/>
      </c>
      <c r="Z259" s="58" t="str">
        <f>IFERROR(Table932[[#This Row],[End Time]]-Table932[[#This Row],[Start Time]],"")</f>
        <v/>
      </c>
      <c r="AA259" s="58"/>
      <c r="AB259" s="170" t="e">
        <f t="shared" si="24"/>
        <v>#VALUE!</v>
      </c>
      <c r="AC259" s="170" t="e">
        <f t="shared" si="25"/>
        <v>#VALUE!</v>
      </c>
    </row>
    <row r="260" spans="1:29">
      <c r="A260" s="53">
        <f>IF(SortedDownload!A250 &lt; 1,"",SortedDownload!A250)</f>
        <v>150</v>
      </c>
      <c r="B260" s="146">
        <f t="shared" ref="B260:B321" si="26">IF(A260="","",ROW()-5)</f>
        <v>255</v>
      </c>
      <c r="C260" s="146" t="str">
        <f>IFERROR(VLOOKUP($A260,CategoryResults!$A$3:$X$252,3,FALSE),"")</f>
        <v/>
      </c>
      <c r="D260" s="149" t="str">
        <f>IFERROR(VLOOKUP($A260,EntryList!$A$3:$N$291,2,FALSE),"")</f>
        <v>Jacques Van Zyl</v>
      </c>
      <c r="E260" s="146" t="str">
        <f>IFERROR(VLOOKUP(C260,SeriesPoints!$A$2:$B$51,2,FALSE),"")</f>
        <v/>
      </c>
      <c r="F260" s="150" t="str">
        <f>IFERROR(VLOOKUP($A260,EntryList!$A$3:$V$291,22,FALSE),"")</f>
        <v>-</v>
      </c>
      <c r="G260" s="148" t="str">
        <f>IFERROR(VLOOKUP($A260,EntryList!$A$3:$N$291,6,FALSE),"")</f>
        <v>M</v>
      </c>
      <c r="H260" s="226" t="str">
        <f>IFERROR(VLOOKUP($A260,EntryList!$A$3:$N$291,7,FALSE),"")</f>
        <v>Master Men</v>
      </c>
      <c r="I260" s="220">
        <f t="shared" ref="I260:I321" si="27">COUNTIF(K260:X260,"&lt;&gt;"&amp;"-")</f>
        <v>0</v>
      </c>
      <c r="J260" s="58" t="str">
        <f>IFERROR(VLOOKUP($A260,SortedDownload!$A$3:$BB$219,31,FALSE)/86400000,"")</f>
        <v/>
      </c>
      <c r="K260" s="58" t="str">
        <f>IFERROR(IF(VLOOKUP($A260,SortedDownload!$A$3:$BB$219,32,FALSE)=0,"-",VLOOKUP($A260,SortedDownload!$A$3:$BB$219,32,FALSE)/86400000),"-")</f>
        <v>-</v>
      </c>
      <c r="L260" s="58" t="str">
        <f>IFERROR(IF(VLOOKUP($A260,SortedDownload!$A$3:$BB$219,33,FALSE)=0,"-",VLOOKUP($A260,SortedDownload!$A$3:$BB$219,33,FALSE)/86400000),"-")</f>
        <v>-</v>
      </c>
      <c r="M260" s="58" t="str">
        <f>IFERROR(IF(VLOOKUP($A260,SortedDownload!$A$3:$BB$219,34,FALSE)=0,"-",VLOOKUP($A260,SortedDownload!$A$3:$BB$219,34,FALSE)/86400000),"-")</f>
        <v>-</v>
      </c>
      <c r="N260" s="58" t="str">
        <f>IFERROR(IF(VLOOKUP($A260,SortedDownload!$A$3:$BB$219,35,FALSE)=0,"-",VLOOKUP($A260,SortedDownload!$A$3:$BB$219,35,FALSE)/86400000),"-")</f>
        <v>-</v>
      </c>
      <c r="O260" s="58" t="str">
        <f>IFERROR(IF(VLOOKUP($A260,SortedDownload!$A$3:$BB$219,36,FALSE)=0,"-",VLOOKUP($A260,SortedDownload!$A$3:$BB$219,36,FALSE)/86400000),"-")</f>
        <v>-</v>
      </c>
      <c r="P260" s="58" t="str">
        <f>IFERROR(IF(VLOOKUP($A260,SortedDownload!$A$3:$BB$219,37,FALSE)=0,"-",VLOOKUP($A260,SortedDownload!$A$3:$BB$219,37,FALSE)/86400000),"-")</f>
        <v>-</v>
      </c>
      <c r="Q260" s="58" t="str">
        <f>IFERROR(IF(VLOOKUP($A260,SortedDownload!$A$3:$BB$219,38,FALSE)=0,"-",VLOOKUP($A260,SortedDownload!$A$3:$BB$219,38,FALSE)/86400000),"-")</f>
        <v>-</v>
      </c>
      <c r="R260" s="58" t="str">
        <f>IFERROR(IF(VLOOKUP($A260,SortedDownload!$A$3:$BB$219,39,FALSE)=0,"-",VLOOKUP($A260,SortedDownload!$A$3:$BB$219,39,FALSE)/86400000),"-")</f>
        <v>-</v>
      </c>
      <c r="S260" s="58" t="str">
        <f>IFERROR(IF(VLOOKUP($A260,SortedDownload!$A$3:$BB$219,40,FALSE)=0,"-",VLOOKUP($A260,SortedDownload!$A$3:$BB$219,40,FALSE)/86400000),"-")</f>
        <v>-</v>
      </c>
      <c r="T260" s="58" t="str">
        <f>IFERROR(IF(VLOOKUP($A260,SortedDownload!$A$3:$BB$219,41,FALSE)=0,"-",VLOOKUP($A260,SortedDownload!$A$3:$BB$219,41,FALSE)/86400000),"-")</f>
        <v>-</v>
      </c>
      <c r="U260" s="58" t="str">
        <f>IFERROR(IF(VLOOKUP($A260,SortedDownload!$A$3:$BB$219,42,FALSE)=0,"-",VLOOKUP($A260,SortedDownload!$A$3:$BB$219,42,FALSE)/86400000),"-")</f>
        <v>-</v>
      </c>
      <c r="V260" s="58" t="str">
        <f>IFERROR(IF(VLOOKUP($A260,SortedDownload!$A$3:$BB$219,43,FALSE)=0,"-",VLOOKUP($A260,SortedDownload!$A$3:$BB$219,43,FALSE)/86400000),"-")</f>
        <v>-</v>
      </c>
      <c r="W260" s="58" t="str">
        <f>IFERROR(IF(VLOOKUP($A260,SortedDownload!$A$3:$BB$219,44,FALSE)=0,"-",VLOOKUP($A260,SortedDownload!$A$3:$BB$219,44,FALSE)/86400000),"-")</f>
        <v>-</v>
      </c>
      <c r="X260" s="58" t="str">
        <f>IFERROR(IF(VLOOKUP($A260,SortedDownload!$A$3:$BB$219,45,FALSE)=0,"-",VLOOKUP($A260,SortedDownload!$A$3:$BB$219,45,FALSE)/86400000),"-")</f>
        <v>-</v>
      </c>
      <c r="Y260" s="58" t="str">
        <f>IFERROR(VLOOKUP($A260,SortedDownload!$A$3:$BB$219,46,FALSE)/86400000,"")</f>
        <v/>
      </c>
      <c r="Z260" s="58" t="str">
        <f>IFERROR(Table932[[#This Row],[End Time]]-Table932[[#This Row],[Start Time]],"")</f>
        <v/>
      </c>
      <c r="AA260" s="58"/>
      <c r="AB260" s="170" t="e">
        <f t="shared" si="24"/>
        <v>#VALUE!</v>
      </c>
      <c r="AC260" s="170" t="e">
        <f t="shared" si="25"/>
        <v>#VALUE!</v>
      </c>
    </row>
    <row r="261" spans="1:29">
      <c r="A261" s="53">
        <f>IF(SortedDownload!A251 &lt; 1,"",SortedDownload!A251)</f>
        <v>227</v>
      </c>
      <c r="B261" s="146">
        <f t="shared" si="26"/>
        <v>256</v>
      </c>
      <c r="C261" s="146" t="str">
        <f>IFERROR(VLOOKUP($A261,CategoryResults!$A$3:$X$252,3,FALSE),"")</f>
        <v/>
      </c>
      <c r="D261" s="149" t="str">
        <f>IFERROR(VLOOKUP($A261,EntryList!$A$3:$N$291,2,FALSE),"")</f>
        <v>Rigardt Griessel</v>
      </c>
      <c r="E261" s="146" t="str">
        <f>IFERROR(VLOOKUP(C261,SeriesPoints!$A$2:$B$51,2,FALSE),"")</f>
        <v/>
      </c>
      <c r="F261" s="150" t="str">
        <f>IFERROR(VLOOKUP($A261,EntryList!$A$3:$V$291,22,FALSE),"")</f>
        <v>-</v>
      </c>
      <c r="G261" s="148" t="str">
        <f>IFERROR(VLOOKUP($A261,EntryList!$A$3:$N$291,6,FALSE),"")</f>
        <v>M</v>
      </c>
      <c r="H261" s="226" t="str">
        <f>IFERROR(VLOOKUP($A261,EntryList!$A$3:$N$291,7,FALSE),"")</f>
        <v>Master Men</v>
      </c>
      <c r="I261" s="220">
        <f t="shared" si="27"/>
        <v>0</v>
      </c>
      <c r="J261" s="58" t="str">
        <f>IFERROR(VLOOKUP($A261,SortedDownload!$A$3:$BB$219,31,FALSE)/86400000,"")</f>
        <v/>
      </c>
      <c r="K261" s="58" t="str">
        <f>IFERROR(IF(VLOOKUP($A261,SortedDownload!$A$3:$BB$219,32,FALSE)=0,"-",VLOOKUP($A261,SortedDownload!$A$3:$BB$219,32,FALSE)/86400000),"-")</f>
        <v>-</v>
      </c>
      <c r="L261" s="58" t="str">
        <f>IFERROR(IF(VLOOKUP($A261,SortedDownload!$A$3:$BB$219,33,FALSE)=0,"-",VLOOKUP($A261,SortedDownload!$A$3:$BB$219,33,FALSE)/86400000),"-")</f>
        <v>-</v>
      </c>
      <c r="M261" s="58" t="str">
        <f>IFERROR(IF(VLOOKUP($A261,SortedDownload!$A$3:$BB$219,34,FALSE)=0,"-",VLOOKUP($A261,SortedDownload!$A$3:$BB$219,34,FALSE)/86400000),"-")</f>
        <v>-</v>
      </c>
      <c r="N261" s="58" t="str">
        <f>IFERROR(IF(VLOOKUP($A261,SortedDownload!$A$3:$BB$219,35,FALSE)=0,"-",VLOOKUP($A261,SortedDownload!$A$3:$BB$219,35,FALSE)/86400000),"-")</f>
        <v>-</v>
      </c>
      <c r="O261" s="58" t="str">
        <f>IFERROR(IF(VLOOKUP($A261,SortedDownload!$A$3:$BB$219,36,FALSE)=0,"-",VLOOKUP($A261,SortedDownload!$A$3:$BB$219,36,FALSE)/86400000),"-")</f>
        <v>-</v>
      </c>
      <c r="P261" s="58" t="str">
        <f>IFERROR(IF(VLOOKUP($A261,SortedDownload!$A$3:$BB$219,37,FALSE)=0,"-",VLOOKUP($A261,SortedDownload!$A$3:$BB$219,37,FALSE)/86400000),"-")</f>
        <v>-</v>
      </c>
      <c r="Q261" s="58" t="str">
        <f>IFERROR(IF(VLOOKUP($A261,SortedDownload!$A$3:$BB$219,38,FALSE)=0,"-",VLOOKUP($A261,SortedDownload!$A$3:$BB$219,38,FALSE)/86400000),"-")</f>
        <v>-</v>
      </c>
      <c r="R261" s="58" t="str">
        <f>IFERROR(IF(VLOOKUP($A261,SortedDownload!$A$3:$BB$219,39,FALSE)=0,"-",VLOOKUP($A261,SortedDownload!$A$3:$BB$219,39,FALSE)/86400000),"-")</f>
        <v>-</v>
      </c>
      <c r="S261" s="58" t="str">
        <f>IFERROR(IF(VLOOKUP($A261,SortedDownload!$A$3:$BB$219,40,FALSE)=0,"-",VLOOKUP($A261,SortedDownload!$A$3:$BB$219,40,FALSE)/86400000),"-")</f>
        <v>-</v>
      </c>
      <c r="T261" s="58" t="str">
        <f>IFERROR(IF(VLOOKUP($A261,SortedDownload!$A$3:$BB$219,41,FALSE)=0,"-",VLOOKUP($A261,SortedDownload!$A$3:$BB$219,41,FALSE)/86400000),"-")</f>
        <v>-</v>
      </c>
      <c r="U261" s="58" t="str">
        <f>IFERROR(IF(VLOOKUP($A261,SortedDownload!$A$3:$BB$219,42,FALSE)=0,"-",VLOOKUP($A261,SortedDownload!$A$3:$BB$219,42,FALSE)/86400000),"-")</f>
        <v>-</v>
      </c>
      <c r="V261" s="58" t="str">
        <f>IFERROR(IF(VLOOKUP($A261,SortedDownload!$A$3:$BB$219,43,FALSE)=0,"-",VLOOKUP($A261,SortedDownload!$A$3:$BB$219,43,FALSE)/86400000),"-")</f>
        <v>-</v>
      </c>
      <c r="W261" s="58" t="str">
        <f>IFERROR(IF(VLOOKUP($A261,SortedDownload!$A$3:$BB$219,44,FALSE)=0,"-",VLOOKUP($A261,SortedDownload!$A$3:$BB$219,44,FALSE)/86400000),"-")</f>
        <v>-</v>
      </c>
      <c r="X261" s="58" t="str">
        <f>IFERROR(IF(VLOOKUP($A261,SortedDownload!$A$3:$BB$219,45,FALSE)=0,"-",VLOOKUP($A261,SortedDownload!$A$3:$BB$219,45,FALSE)/86400000),"-")</f>
        <v>-</v>
      </c>
      <c r="Y261" s="58" t="str">
        <f>IFERROR(VLOOKUP($A261,SortedDownload!$A$3:$BB$219,46,FALSE)/86400000,"")</f>
        <v/>
      </c>
      <c r="Z261" s="58" t="str">
        <f>IFERROR(Table932[[#This Row],[End Time]]-Table932[[#This Row],[Start Time]],"")</f>
        <v/>
      </c>
      <c r="AA261" s="58"/>
      <c r="AB261" s="170" t="e">
        <f t="shared" si="24"/>
        <v>#VALUE!</v>
      </c>
      <c r="AC261" s="170" t="e">
        <f t="shared" si="25"/>
        <v>#VALUE!</v>
      </c>
    </row>
    <row r="262" spans="1:29">
      <c r="A262" s="53">
        <f>IF(SortedDownload!A252 &lt; 1,"",SortedDownload!A252)</f>
        <v>241</v>
      </c>
      <c r="B262" s="146">
        <f t="shared" si="26"/>
        <v>257</v>
      </c>
      <c r="C262" s="146" t="str">
        <f>IFERROR(VLOOKUP($A262,CategoryResults!$A$3:$X$252,3,FALSE),"")</f>
        <v/>
      </c>
      <c r="D262" s="149" t="str">
        <f>IFERROR(VLOOKUP($A262,EntryList!$A$3:$N$291,2,FALSE),"")</f>
        <v>Samuel De Villiers</v>
      </c>
      <c r="E262" s="146" t="str">
        <f>IFERROR(VLOOKUP(C262,SeriesPoints!$A$2:$B$51,2,FALSE),"")</f>
        <v/>
      </c>
      <c r="F262" s="150" t="str">
        <f>IFERROR(VLOOKUP($A262,EntryList!$A$3:$V$291,22,FALSE),"")</f>
        <v>-</v>
      </c>
      <c r="G262" s="148" t="str">
        <f>IFERROR(VLOOKUP($A262,EntryList!$A$3:$N$291,6,FALSE),"")</f>
        <v>M</v>
      </c>
      <c r="H262" s="226" t="str">
        <f>IFERROR(VLOOKUP($A262,EntryList!$A$3:$N$291,7,FALSE),"")</f>
        <v>Sub Junior Boys</v>
      </c>
      <c r="I262" s="220">
        <f t="shared" si="27"/>
        <v>0</v>
      </c>
      <c r="J262" s="58" t="str">
        <f>IFERROR(VLOOKUP($A262,SortedDownload!$A$3:$BB$219,31,FALSE)/86400000,"")</f>
        <v/>
      </c>
      <c r="K262" s="58" t="str">
        <f>IFERROR(IF(VLOOKUP($A262,SortedDownload!$A$3:$BB$219,32,FALSE)=0,"-",VLOOKUP($A262,SortedDownload!$A$3:$BB$219,32,FALSE)/86400000),"-")</f>
        <v>-</v>
      </c>
      <c r="L262" s="58" t="str">
        <f>IFERROR(IF(VLOOKUP($A262,SortedDownload!$A$3:$BB$219,33,FALSE)=0,"-",VLOOKUP($A262,SortedDownload!$A$3:$BB$219,33,FALSE)/86400000),"-")</f>
        <v>-</v>
      </c>
      <c r="M262" s="58" t="str">
        <f>IFERROR(IF(VLOOKUP($A262,SortedDownload!$A$3:$BB$219,34,FALSE)=0,"-",VLOOKUP($A262,SortedDownload!$A$3:$BB$219,34,FALSE)/86400000),"-")</f>
        <v>-</v>
      </c>
      <c r="N262" s="58" t="str">
        <f>IFERROR(IF(VLOOKUP($A262,SortedDownload!$A$3:$BB$219,35,FALSE)=0,"-",VLOOKUP($A262,SortedDownload!$A$3:$BB$219,35,FALSE)/86400000),"-")</f>
        <v>-</v>
      </c>
      <c r="O262" s="58" t="str">
        <f>IFERROR(IF(VLOOKUP($A262,SortedDownload!$A$3:$BB$219,36,FALSE)=0,"-",VLOOKUP($A262,SortedDownload!$A$3:$BB$219,36,FALSE)/86400000),"-")</f>
        <v>-</v>
      </c>
      <c r="P262" s="58" t="str">
        <f>IFERROR(IF(VLOOKUP($A262,SortedDownload!$A$3:$BB$219,37,FALSE)=0,"-",VLOOKUP($A262,SortedDownload!$A$3:$BB$219,37,FALSE)/86400000),"-")</f>
        <v>-</v>
      </c>
      <c r="Q262" s="58" t="str">
        <f>IFERROR(IF(VLOOKUP($A262,SortedDownload!$A$3:$BB$219,38,FALSE)=0,"-",VLOOKUP($A262,SortedDownload!$A$3:$BB$219,38,FALSE)/86400000),"-")</f>
        <v>-</v>
      </c>
      <c r="R262" s="58" t="str">
        <f>IFERROR(IF(VLOOKUP($A262,SortedDownload!$A$3:$BB$219,39,FALSE)=0,"-",VLOOKUP($A262,SortedDownload!$A$3:$BB$219,39,FALSE)/86400000),"-")</f>
        <v>-</v>
      </c>
      <c r="S262" s="58" t="str">
        <f>IFERROR(IF(VLOOKUP($A262,SortedDownload!$A$3:$BB$219,40,FALSE)=0,"-",VLOOKUP($A262,SortedDownload!$A$3:$BB$219,40,FALSE)/86400000),"-")</f>
        <v>-</v>
      </c>
      <c r="T262" s="58" t="str">
        <f>IFERROR(IF(VLOOKUP($A262,SortedDownload!$A$3:$BB$219,41,FALSE)=0,"-",VLOOKUP($A262,SortedDownload!$A$3:$BB$219,41,FALSE)/86400000),"-")</f>
        <v>-</v>
      </c>
      <c r="U262" s="58" t="str">
        <f>IFERROR(IF(VLOOKUP($A262,SortedDownload!$A$3:$BB$219,42,FALSE)=0,"-",VLOOKUP($A262,SortedDownload!$A$3:$BB$219,42,FALSE)/86400000),"-")</f>
        <v>-</v>
      </c>
      <c r="V262" s="58" t="str">
        <f>IFERROR(IF(VLOOKUP($A262,SortedDownload!$A$3:$BB$219,43,FALSE)=0,"-",VLOOKUP($A262,SortedDownload!$A$3:$BB$219,43,FALSE)/86400000),"-")</f>
        <v>-</v>
      </c>
      <c r="W262" s="58" t="str">
        <f>IFERROR(IF(VLOOKUP($A262,SortedDownload!$A$3:$BB$219,44,FALSE)=0,"-",VLOOKUP($A262,SortedDownload!$A$3:$BB$219,44,FALSE)/86400000),"-")</f>
        <v>-</v>
      </c>
      <c r="X262" s="58" t="str">
        <f>IFERROR(IF(VLOOKUP($A262,SortedDownload!$A$3:$BB$219,45,FALSE)=0,"-",VLOOKUP($A262,SortedDownload!$A$3:$BB$219,45,FALSE)/86400000),"-")</f>
        <v>-</v>
      </c>
      <c r="Y262" s="58" t="str">
        <f>IFERROR(VLOOKUP($A262,SortedDownload!$A$3:$BB$219,46,FALSE)/86400000,"")</f>
        <v/>
      </c>
      <c r="Z262" s="58" t="str">
        <f>IFERROR(Table932[[#This Row],[End Time]]-Table932[[#This Row],[Start Time]],"")</f>
        <v/>
      </c>
      <c r="AA262" s="58"/>
      <c r="AB262" s="170" t="e">
        <f t="shared" si="24"/>
        <v>#VALUE!</v>
      </c>
      <c r="AC262" s="170" t="e">
        <f t="shared" si="25"/>
        <v>#VALUE!</v>
      </c>
    </row>
    <row r="263" spans="1:29">
      <c r="A263" s="53">
        <f>IF(SortedDownload!A253 &lt; 1,"",SortedDownload!A253)</f>
        <v>232</v>
      </c>
      <c r="B263" s="146">
        <f t="shared" si="26"/>
        <v>258</v>
      </c>
      <c r="C263" s="146" t="str">
        <f>IFERROR(VLOOKUP($A263,CategoryResults!$A$3:$X$252,3,FALSE),"")</f>
        <v/>
      </c>
      <c r="D263" s="149" t="str">
        <f>IFERROR(VLOOKUP($A263,EntryList!$A$3:$N$291,2,FALSE),"")</f>
        <v>Pierre Evard</v>
      </c>
      <c r="E263" s="146" t="str">
        <f>IFERROR(VLOOKUP(C263,SeriesPoints!$A$2:$B$51,2,FALSE),"")</f>
        <v/>
      </c>
      <c r="F263" s="150" t="str">
        <f>IFERROR(VLOOKUP($A263,EntryList!$A$3:$V$291,22,FALSE),"")</f>
        <v>-</v>
      </c>
      <c r="G263" s="148" t="str">
        <f>IFERROR(VLOOKUP($A263,EntryList!$A$3:$N$291,6,FALSE),"")</f>
        <v>M</v>
      </c>
      <c r="H263" s="226" t="str">
        <f>IFERROR(VLOOKUP($A263,EntryList!$A$3:$N$291,7,FALSE),"")</f>
        <v>Lite M</v>
      </c>
      <c r="I263" s="220">
        <f t="shared" si="27"/>
        <v>0</v>
      </c>
      <c r="J263" s="58" t="str">
        <f>IFERROR(VLOOKUP($A263,SortedDownload!$A$3:$BB$219,31,FALSE)/86400000,"")</f>
        <v/>
      </c>
      <c r="K263" s="58" t="str">
        <f>IFERROR(IF(VLOOKUP($A263,SortedDownload!$A$3:$BB$219,32,FALSE)=0,"-",VLOOKUP($A263,SortedDownload!$A$3:$BB$219,32,FALSE)/86400000),"-")</f>
        <v>-</v>
      </c>
      <c r="L263" s="58" t="str">
        <f>IFERROR(IF(VLOOKUP($A263,SortedDownload!$A$3:$BB$219,33,FALSE)=0,"-",VLOOKUP($A263,SortedDownload!$A$3:$BB$219,33,FALSE)/86400000),"-")</f>
        <v>-</v>
      </c>
      <c r="M263" s="58" t="str">
        <f>IFERROR(IF(VLOOKUP($A263,SortedDownload!$A$3:$BB$219,34,FALSE)=0,"-",VLOOKUP($A263,SortedDownload!$A$3:$BB$219,34,FALSE)/86400000),"-")</f>
        <v>-</v>
      </c>
      <c r="N263" s="58" t="str">
        <f>IFERROR(IF(VLOOKUP($A263,SortedDownload!$A$3:$BB$219,35,FALSE)=0,"-",VLOOKUP($A263,SortedDownload!$A$3:$BB$219,35,FALSE)/86400000),"-")</f>
        <v>-</v>
      </c>
      <c r="O263" s="58" t="str">
        <f>IFERROR(IF(VLOOKUP($A263,SortedDownload!$A$3:$BB$219,36,FALSE)=0,"-",VLOOKUP($A263,SortedDownload!$A$3:$BB$219,36,FALSE)/86400000),"-")</f>
        <v>-</v>
      </c>
      <c r="P263" s="58" t="str">
        <f>IFERROR(IF(VLOOKUP($A263,SortedDownload!$A$3:$BB$219,37,FALSE)=0,"-",VLOOKUP($A263,SortedDownload!$A$3:$BB$219,37,FALSE)/86400000),"-")</f>
        <v>-</v>
      </c>
      <c r="Q263" s="58" t="str">
        <f>IFERROR(IF(VLOOKUP($A263,SortedDownload!$A$3:$BB$219,38,FALSE)=0,"-",VLOOKUP($A263,SortedDownload!$A$3:$BB$219,38,FALSE)/86400000),"-")</f>
        <v>-</v>
      </c>
      <c r="R263" s="58" t="str">
        <f>IFERROR(IF(VLOOKUP($A263,SortedDownload!$A$3:$BB$219,39,FALSE)=0,"-",VLOOKUP($A263,SortedDownload!$A$3:$BB$219,39,FALSE)/86400000),"-")</f>
        <v>-</v>
      </c>
      <c r="S263" s="58" t="str">
        <f>IFERROR(IF(VLOOKUP($A263,SortedDownload!$A$3:$BB$219,40,FALSE)=0,"-",VLOOKUP($A263,SortedDownload!$A$3:$BB$219,40,FALSE)/86400000),"-")</f>
        <v>-</v>
      </c>
      <c r="T263" s="58" t="str">
        <f>IFERROR(IF(VLOOKUP($A263,SortedDownload!$A$3:$BB$219,41,FALSE)=0,"-",VLOOKUP($A263,SortedDownload!$A$3:$BB$219,41,FALSE)/86400000),"-")</f>
        <v>-</v>
      </c>
      <c r="U263" s="58" t="str">
        <f>IFERROR(IF(VLOOKUP($A263,SortedDownload!$A$3:$BB$219,42,FALSE)=0,"-",VLOOKUP($A263,SortedDownload!$A$3:$BB$219,42,FALSE)/86400000),"-")</f>
        <v>-</v>
      </c>
      <c r="V263" s="58" t="str">
        <f>IFERROR(IF(VLOOKUP($A263,SortedDownload!$A$3:$BB$219,43,FALSE)=0,"-",VLOOKUP($A263,SortedDownload!$A$3:$BB$219,43,FALSE)/86400000),"-")</f>
        <v>-</v>
      </c>
      <c r="W263" s="58" t="str">
        <f>IFERROR(IF(VLOOKUP($A263,SortedDownload!$A$3:$BB$219,44,FALSE)=0,"-",VLOOKUP($A263,SortedDownload!$A$3:$BB$219,44,FALSE)/86400000),"-")</f>
        <v>-</v>
      </c>
      <c r="X263" s="58" t="str">
        <f>IFERROR(IF(VLOOKUP($A263,SortedDownload!$A$3:$BB$219,45,FALSE)=0,"-",VLOOKUP($A263,SortedDownload!$A$3:$BB$219,45,FALSE)/86400000),"-")</f>
        <v>-</v>
      </c>
      <c r="Y263" s="58" t="str">
        <f>IFERROR(VLOOKUP($A263,SortedDownload!$A$3:$BB$219,46,FALSE)/86400000,"")</f>
        <v/>
      </c>
      <c r="Z263" s="58" t="str">
        <f>IFERROR(Table932[[#This Row],[End Time]]-Table932[[#This Row],[Start Time]],"")</f>
        <v/>
      </c>
      <c r="AA263" s="58"/>
      <c r="AB263" s="170" t="e">
        <f t="shared" si="24"/>
        <v>#VALUE!</v>
      </c>
      <c r="AC263" s="170" t="e">
        <f t="shared" si="25"/>
        <v>#VALUE!</v>
      </c>
    </row>
    <row r="264" spans="1:29">
      <c r="A264" s="53">
        <f>IF(SortedDownload!A254 &lt; 1,"",SortedDownload!A254)</f>
        <v>197</v>
      </c>
      <c r="B264" s="146">
        <f t="shared" si="26"/>
        <v>259</v>
      </c>
      <c r="C264" s="146" t="str">
        <f>IFERROR(VLOOKUP($A264,CategoryResults!$A$3:$X$252,3,FALSE),"")</f>
        <v/>
      </c>
      <c r="D264" s="149" t="str">
        <f>IFERROR(VLOOKUP($A264,EntryList!$A$3:$N$291,2,FALSE),"")</f>
        <v>Ruan Van Den Berg</v>
      </c>
      <c r="E264" s="146" t="str">
        <f>IFERROR(VLOOKUP(C264,SeriesPoints!$A$2:$B$51,2,FALSE),"")</f>
        <v/>
      </c>
      <c r="F264" s="150" t="str">
        <f>IFERROR(VLOOKUP($A264,EntryList!$A$3:$V$291,22,FALSE),"")</f>
        <v>-</v>
      </c>
      <c r="G264" s="148" t="str">
        <f>IFERROR(VLOOKUP($A264,EntryList!$A$3:$N$291,6,FALSE),"")</f>
        <v>M</v>
      </c>
      <c r="H264" s="226" t="str">
        <f>IFERROR(VLOOKUP($A264,EntryList!$A$3:$N$291,7,FALSE),"")</f>
        <v>Sub Junior Boys</v>
      </c>
      <c r="I264" s="220">
        <f t="shared" si="27"/>
        <v>0</v>
      </c>
      <c r="J264" s="58" t="str">
        <f>IFERROR(VLOOKUP($A264,SortedDownload!$A$3:$BB$219,31,FALSE)/86400000,"")</f>
        <v/>
      </c>
      <c r="K264" s="58" t="str">
        <f>IFERROR(IF(VLOOKUP($A264,SortedDownload!$A$3:$BB$219,32,FALSE)=0,"-",VLOOKUP($A264,SortedDownload!$A$3:$BB$219,32,FALSE)/86400000),"-")</f>
        <v>-</v>
      </c>
      <c r="L264" s="58" t="str">
        <f>IFERROR(IF(VLOOKUP($A264,SortedDownload!$A$3:$BB$219,33,FALSE)=0,"-",VLOOKUP($A264,SortedDownload!$A$3:$BB$219,33,FALSE)/86400000),"-")</f>
        <v>-</v>
      </c>
      <c r="M264" s="58" t="str">
        <f>IFERROR(IF(VLOOKUP($A264,SortedDownload!$A$3:$BB$219,34,FALSE)=0,"-",VLOOKUP($A264,SortedDownload!$A$3:$BB$219,34,FALSE)/86400000),"-")</f>
        <v>-</v>
      </c>
      <c r="N264" s="58" t="str">
        <f>IFERROR(IF(VLOOKUP($A264,SortedDownload!$A$3:$BB$219,35,FALSE)=0,"-",VLOOKUP($A264,SortedDownload!$A$3:$BB$219,35,FALSE)/86400000),"-")</f>
        <v>-</v>
      </c>
      <c r="O264" s="58" t="str">
        <f>IFERROR(IF(VLOOKUP($A264,SortedDownload!$A$3:$BB$219,36,FALSE)=0,"-",VLOOKUP($A264,SortedDownload!$A$3:$BB$219,36,FALSE)/86400000),"-")</f>
        <v>-</v>
      </c>
      <c r="P264" s="58" t="str">
        <f>IFERROR(IF(VLOOKUP($A264,SortedDownload!$A$3:$BB$219,37,FALSE)=0,"-",VLOOKUP($A264,SortedDownload!$A$3:$BB$219,37,FALSE)/86400000),"-")</f>
        <v>-</v>
      </c>
      <c r="Q264" s="58" t="str">
        <f>IFERROR(IF(VLOOKUP($A264,SortedDownload!$A$3:$BB$219,38,FALSE)=0,"-",VLOOKUP($A264,SortedDownload!$A$3:$BB$219,38,FALSE)/86400000),"-")</f>
        <v>-</v>
      </c>
      <c r="R264" s="58" t="str">
        <f>IFERROR(IF(VLOOKUP($A264,SortedDownload!$A$3:$BB$219,39,FALSE)=0,"-",VLOOKUP($A264,SortedDownload!$A$3:$BB$219,39,FALSE)/86400000),"-")</f>
        <v>-</v>
      </c>
      <c r="S264" s="58" t="str">
        <f>IFERROR(IF(VLOOKUP($A264,SortedDownload!$A$3:$BB$219,40,FALSE)=0,"-",VLOOKUP($A264,SortedDownload!$A$3:$BB$219,40,FALSE)/86400000),"-")</f>
        <v>-</v>
      </c>
      <c r="T264" s="58" t="str">
        <f>IFERROR(IF(VLOOKUP($A264,SortedDownload!$A$3:$BB$219,41,FALSE)=0,"-",VLOOKUP($A264,SortedDownload!$A$3:$BB$219,41,FALSE)/86400000),"-")</f>
        <v>-</v>
      </c>
      <c r="U264" s="58" t="str">
        <f>IFERROR(IF(VLOOKUP($A264,SortedDownload!$A$3:$BB$219,42,FALSE)=0,"-",VLOOKUP($A264,SortedDownload!$A$3:$BB$219,42,FALSE)/86400000),"-")</f>
        <v>-</v>
      </c>
      <c r="V264" s="58" t="str">
        <f>IFERROR(IF(VLOOKUP($A264,SortedDownload!$A$3:$BB$219,43,FALSE)=0,"-",VLOOKUP($A264,SortedDownload!$A$3:$BB$219,43,FALSE)/86400000),"-")</f>
        <v>-</v>
      </c>
      <c r="W264" s="58" t="str">
        <f>IFERROR(IF(VLOOKUP($A264,SortedDownload!$A$3:$BB$219,44,FALSE)=0,"-",VLOOKUP($A264,SortedDownload!$A$3:$BB$219,44,FALSE)/86400000),"-")</f>
        <v>-</v>
      </c>
      <c r="X264" s="58" t="str">
        <f>IFERROR(IF(VLOOKUP($A264,SortedDownload!$A$3:$BB$219,45,FALSE)=0,"-",VLOOKUP($A264,SortedDownload!$A$3:$BB$219,45,FALSE)/86400000),"-")</f>
        <v>-</v>
      </c>
      <c r="Y264" s="58" t="str">
        <f>IFERROR(VLOOKUP($A264,SortedDownload!$A$3:$BB$219,46,FALSE)/86400000,"")</f>
        <v/>
      </c>
      <c r="Z264" s="58" t="str">
        <f>IFERROR(Table932[[#This Row],[End Time]]-Table932[[#This Row],[Start Time]],"")</f>
        <v/>
      </c>
      <c r="AA264" s="58"/>
      <c r="AB264" s="170" t="e">
        <f t="shared" si="24"/>
        <v>#VALUE!</v>
      </c>
      <c r="AC264" s="170" t="e">
        <f t="shared" si="25"/>
        <v>#VALUE!</v>
      </c>
    </row>
    <row r="265" spans="1:29">
      <c r="A265" s="53">
        <f>IF(SortedDownload!A255 &lt; 1,"",SortedDownload!A255)</f>
        <v>279</v>
      </c>
      <c r="B265" s="146">
        <f t="shared" si="26"/>
        <v>260</v>
      </c>
      <c r="C265" s="146" t="str">
        <f>IFERROR(VLOOKUP($A265,CategoryResults!$A$3:$X$252,3,FALSE),"")</f>
        <v/>
      </c>
      <c r="D265" s="149" t="str">
        <f>IFERROR(VLOOKUP($A265,EntryList!$A$3:$N$291,2,FALSE),"")</f>
        <v>Michelle Witteven</v>
      </c>
      <c r="E265" s="146" t="str">
        <f>IFERROR(VLOOKUP(C265,SeriesPoints!$A$2:$B$51,2,FALSE),"")</f>
        <v/>
      </c>
      <c r="F265" s="150" t="str">
        <f>IFERROR(VLOOKUP($A265,EntryList!$A$3:$V$291,22,FALSE),"")</f>
        <v>-</v>
      </c>
      <c r="G265" s="148" t="str">
        <f>IFERROR(VLOOKUP($A265,EntryList!$A$3:$N$291,6,FALSE),"")</f>
        <v>F</v>
      </c>
      <c r="H265" s="226" t="str">
        <f>IFERROR(VLOOKUP($A265,EntryList!$A$3:$N$291,7,FALSE),"")</f>
        <v>Master Women</v>
      </c>
      <c r="I265" s="220">
        <f t="shared" si="27"/>
        <v>0</v>
      </c>
      <c r="J265" s="58" t="str">
        <f>IFERROR(VLOOKUP($A265,SortedDownload!$A$3:$BB$219,31,FALSE)/86400000,"")</f>
        <v/>
      </c>
      <c r="K265" s="58" t="str">
        <f>IFERROR(IF(VLOOKUP($A265,SortedDownload!$A$3:$BB$219,32,FALSE)=0,"-",VLOOKUP($A265,SortedDownload!$A$3:$BB$219,32,FALSE)/86400000),"-")</f>
        <v>-</v>
      </c>
      <c r="L265" s="58" t="str">
        <f>IFERROR(IF(VLOOKUP($A265,SortedDownload!$A$3:$BB$219,33,FALSE)=0,"-",VLOOKUP($A265,SortedDownload!$A$3:$BB$219,33,FALSE)/86400000),"-")</f>
        <v>-</v>
      </c>
      <c r="M265" s="58" t="str">
        <f>IFERROR(IF(VLOOKUP($A265,SortedDownload!$A$3:$BB$219,34,FALSE)=0,"-",VLOOKUP($A265,SortedDownload!$A$3:$BB$219,34,FALSE)/86400000),"-")</f>
        <v>-</v>
      </c>
      <c r="N265" s="58" t="str">
        <f>IFERROR(IF(VLOOKUP($A265,SortedDownload!$A$3:$BB$219,35,FALSE)=0,"-",VLOOKUP($A265,SortedDownload!$A$3:$BB$219,35,FALSE)/86400000),"-")</f>
        <v>-</v>
      </c>
      <c r="O265" s="58" t="str">
        <f>IFERROR(IF(VLOOKUP($A265,SortedDownload!$A$3:$BB$219,36,FALSE)=0,"-",VLOOKUP($A265,SortedDownload!$A$3:$BB$219,36,FALSE)/86400000),"-")</f>
        <v>-</v>
      </c>
      <c r="P265" s="58" t="str">
        <f>IFERROR(IF(VLOOKUP($A265,SortedDownload!$A$3:$BB$219,37,FALSE)=0,"-",VLOOKUP($A265,SortedDownload!$A$3:$BB$219,37,FALSE)/86400000),"-")</f>
        <v>-</v>
      </c>
      <c r="Q265" s="58" t="str">
        <f>IFERROR(IF(VLOOKUP($A265,SortedDownload!$A$3:$BB$219,38,FALSE)=0,"-",VLOOKUP($A265,SortedDownload!$A$3:$BB$219,38,FALSE)/86400000),"-")</f>
        <v>-</v>
      </c>
      <c r="R265" s="58" t="str">
        <f>IFERROR(IF(VLOOKUP($A265,SortedDownload!$A$3:$BB$219,39,FALSE)=0,"-",VLOOKUP($A265,SortedDownload!$A$3:$BB$219,39,FALSE)/86400000),"-")</f>
        <v>-</v>
      </c>
      <c r="S265" s="58" t="str">
        <f>IFERROR(IF(VLOOKUP($A265,SortedDownload!$A$3:$BB$219,40,FALSE)=0,"-",VLOOKUP($A265,SortedDownload!$A$3:$BB$219,40,FALSE)/86400000),"-")</f>
        <v>-</v>
      </c>
      <c r="T265" s="58" t="str">
        <f>IFERROR(IF(VLOOKUP($A265,SortedDownload!$A$3:$BB$219,41,FALSE)=0,"-",VLOOKUP($A265,SortedDownload!$A$3:$BB$219,41,FALSE)/86400000),"-")</f>
        <v>-</v>
      </c>
      <c r="U265" s="58" t="str">
        <f>IFERROR(IF(VLOOKUP($A265,SortedDownload!$A$3:$BB$219,42,FALSE)=0,"-",VLOOKUP($A265,SortedDownload!$A$3:$BB$219,42,FALSE)/86400000),"-")</f>
        <v>-</v>
      </c>
      <c r="V265" s="58" t="str">
        <f>IFERROR(IF(VLOOKUP($A265,SortedDownload!$A$3:$BB$219,43,FALSE)=0,"-",VLOOKUP($A265,SortedDownload!$A$3:$BB$219,43,FALSE)/86400000),"-")</f>
        <v>-</v>
      </c>
      <c r="W265" s="58" t="str">
        <f>IFERROR(IF(VLOOKUP($A265,SortedDownload!$A$3:$BB$219,44,FALSE)=0,"-",VLOOKUP($A265,SortedDownload!$A$3:$BB$219,44,FALSE)/86400000),"-")</f>
        <v>-</v>
      </c>
      <c r="X265" s="58" t="str">
        <f>IFERROR(IF(VLOOKUP($A265,SortedDownload!$A$3:$BB$219,45,FALSE)=0,"-",VLOOKUP($A265,SortedDownload!$A$3:$BB$219,45,FALSE)/86400000),"-")</f>
        <v>-</v>
      </c>
      <c r="Y265" s="58" t="str">
        <f>IFERROR(VLOOKUP($A265,SortedDownload!$A$3:$BB$219,46,FALSE)/86400000,"")</f>
        <v/>
      </c>
      <c r="Z265" s="58" t="str">
        <f>IFERROR(Table932[[#This Row],[End Time]]-Table932[[#This Row],[Start Time]],"")</f>
        <v/>
      </c>
      <c r="AA265" s="58"/>
      <c r="AB265" s="170" t="e">
        <f t="shared" si="24"/>
        <v>#VALUE!</v>
      </c>
      <c r="AC265" s="170" t="e">
        <f t="shared" si="25"/>
        <v>#VALUE!</v>
      </c>
    </row>
    <row r="266" spans="1:29">
      <c r="A266" s="53">
        <f>IF(SortedDownload!A256 &lt; 1,"",SortedDownload!A256)</f>
        <v>39</v>
      </c>
      <c r="B266" s="146">
        <f t="shared" si="26"/>
        <v>261</v>
      </c>
      <c r="C266" s="146" t="str">
        <f>IFERROR(VLOOKUP($A266,CategoryResults!$A$3:$X$252,3,FALSE),"")</f>
        <v/>
      </c>
      <c r="D266" s="149" t="str">
        <f>IFERROR(VLOOKUP($A266,EntryList!$A$3:$N$291,2,FALSE),"")</f>
        <v>Rupert Taljaard</v>
      </c>
      <c r="E266" s="146" t="str">
        <f>IFERROR(VLOOKUP(C266,SeriesPoints!$A$2:$B$51,2,FALSE),"")</f>
        <v/>
      </c>
      <c r="F266" s="150" t="str">
        <f>IFERROR(VLOOKUP($A266,EntryList!$A$3:$V$291,22,FALSE),"")</f>
        <v>-</v>
      </c>
      <c r="G266" s="148" t="str">
        <f>IFERROR(VLOOKUP($A266,EntryList!$A$3:$N$291,6,FALSE),"")</f>
        <v>M</v>
      </c>
      <c r="H266" s="226" t="str">
        <f>IFERROR(VLOOKUP($A266,EntryList!$A$3:$N$291,7,FALSE),"")</f>
        <v>Youth Men</v>
      </c>
      <c r="I266" s="220">
        <f t="shared" si="27"/>
        <v>0</v>
      </c>
      <c r="J266" s="58" t="str">
        <f>IFERROR(VLOOKUP($A266,SortedDownload!$A$3:$BB$219,31,FALSE)/86400000,"")</f>
        <v/>
      </c>
      <c r="K266" s="58" t="str">
        <f>IFERROR(IF(VLOOKUP($A266,SortedDownload!$A$3:$BB$219,32,FALSE)=0,"-",VLOOKUP($A266,SortedDownload!$A$3:$BB$219,32,FALSE)/86400000),"-")</f>
        <v>-</v>
      </c>
      <c r="L266" s="58" t="str">
        <f>IFERROR(IF(VLOOKUP($A266,SortedDownload!$A$3:$BB$219,33,FALSE)=0,"-",VLOOKUP($A266,SortedDownload!$A$3:$BB$219,33,FALSE)/86400000),"-")</f>
        <v>-</v>
      </c>
      <c r="M266" s="58" t="str">
        <f>IFERROR(IF(VLOOKUP($A266,SortedDownload!$A$3:$BB$219,34,FALSE)=0,"-",VLOOKUP($A266,SortedDownload!$A$3:$BB$219,34,FALSE)/86400000),"-")</f>
        <v>-</v>
      </c>
      <c r="N266" s="58" t="str">
        <f>IFERROR(IF(VLOOKUP($A266,SortedDownload!$A$3:$BB$219,35,FALSE)=0,"-",VLOOKUP($A266,SortedDownload!$A$3:$BB$219,35,FALSE)/86400000),"-")</f>
        <v>-</v>
      </c>
      <c r="O266" s="58" t="str">
        <f>IFERROR(IF(VLOOKUP($A266,SortedDownload!$A$3:$BB$219,36,FALSE)=0,"-",VLOOKUP($A266,SortedDownload!$A$3:$BB$219,36,FALSE)/86400000),"-")</f>
        <v>-</v>
      </c>
      <c r="P266" s="58" t="str">
        <f>IFERROR(IF(VLOOKUP($A266,SortedDownload!$A$3:$BB$219,37,FALSE)=0,"-",VLOOKUP($A266,SortedDownload!$A$3:$BB$219,37,FALSE)/86400000),"-")</f>
        <v>-</v>
      </c>
      <c r="Q266" s="58" t="str">
        <f>IFERROR(IF(VLOOKUP($A266,SortedDownload!$A$3:$BB$219,38,FALSE)=0,"-",VLOOKUP($A266,SortedDownload!$A$3:$BB$219,38,FALSE)/86400000),"-")</f>
        <v>-</v>
      </c>
      <c r="R266" s="58" t="str">
        <f>IFERROR(IF(VLOOKUP($A266,SortedDownload!$A$3:$BB$219,39,FALSE)=0,"-",VLOOKUP($A266,SortedDownload!$A$3:$BB$219,39,FALSE)/86400000),"-")</f>
        <v>-</v>
      </c>
      <c r="S266" s="58" t="str">
        <f>IFERROR(IF(VLOOKUP($A266,SortedDownload!$A$3:$BB$219,40,FALSE)=0,"-",VLOOKUP($A266,SortedDownload!$A$3:$BB$219,40,FALSE)/86400000),"-")</f>
        <v>-</v>
      </c>
      <c r="T266" s="58" t="str">
        <f>IFERROR(IF(VLOOKUP($A266,SortedDownload!$A$3:$BB$219,41,FALSE)=0,"-",VLOOKUP($A266,SortedDownload!$A$3:$BB$219,41,FALSE)/86400000),"-")</f>
        <v>-</v>
      </c>
      <c r="U266" s="58" t="str">
        <f>IFERROR(IF(VLOOKUP($A266,SortedDownload!$A$3:$BB$219,42,FALSE)=0,"-",VLOOKUP($A266,SortedDownload!$A$3:$BB$219,42,FALSE)/86400000),"-")</f>
        <v>-</v>
      </c>
      <c r="V266" s="58" t="str">
        <f>IFERROR(IF(VLOOKUP($A266,SortedDownload!$A$3:$BB$219,43,FALSE)=0,"-",VLOOKUP($A266,SortedDownload!$A$3:$BB$219,43,FALSE)/86400000),"-")</f>
        <v>-</v>
      </c>
      <c r="W266" s="58" t="str">
        <f>IFERROR(IF(VLOOKUP($A266,SortedDownload!$A$3:$BB$219,44,FALSE)=0,"-",VLOOKUP($A266,SortedDownload!$A$3:$BB$219,44,FALSE)/86400000),"-")</f>
        <v>-</v>
      </c>
      <c r="X266" s="58" t="str">
        <f>IFERROR(IF(VLOOKUP($A266,SortedDownload!$A$3:$BB$219,45,FALSE)=0,"-",VLOOKUP($A266,SortedDownload!$A$3:$BB$219,45,FALSE)/86400000),"-")</f>
        <v>-</v>
      </c>
      <c r="Y266" s="58" t="str">
        <f>IFERROR(VLOOKUP($A266,SortedDownload!$A$3:$BB$219,46,FALSE)/86400000,"")</f>
        <v/>
      </c>
      <c r="Z266" s="58" t="str">
        <f>IFERROR(Table932[[#This Row],[End Time]]-Table932[[#This Row],[Start Time]],"")</f>
        <v/>
      </c>
      <c r="AA266" s="58"/>
      <c r="AB266" s="170" t="e">
        <f t="shared" si="24"/>
        <v>#VALUE!</v>
      </c>
      <c r="AC266" s="170" t="e">
        <f t="shared" si="25"/>
        <v>#VALUE!</v>
      </c>
    </row>
    <row r="267" spans="1:29">
      <c r="A267" s="53">
        <f>IF(SortedDownload!A257 &lt; 1,"",SortedDownload!A257)</f>
        <v>213</v>
      </c>
      <c r="B267" s="146">
        <f t="shared" si="26"/>
        <v>262</v>
      </c>
      <c r="C267" s="146" t="str">
        <f>IFERROR(VLOOKUP($A267,CategoryResults!$A$3:$X$252,3,FALSE),"")</f>
        <v/>
      </c>
      <c r="D267" s="149" t="str">
        <f>IFERROR(VLOOKUP($A267,EntryList!$A$3:$N$291,2,FALSE),"")</f>
        <v>Ettienne Van Biljon</v>
      </c>
      <c r="E267" s="146" t="str">
        <f>IFERROR(VLOOKUP(C267,SeriesPoints!$A$2:$B$51,2,FALSE),"")</f>
        <v/>
      </c>
      <c r="F267" s="150" t="str">
        <f>IFERROR(VLOOKUP($A267,EntryList!$A$3:$V$291,22,FALSE),"")</f>
        <v>-</v>
      </c>
      <c r="G267" s="148" t="str">
        <f>IFERROR(VLOOKUP($A267,EntryList!$A$3:$N$291,6,FALSE),"")</f>
        <v>M</v>
      </c>
      <c r="H267" s="226" t="str">
        <f>IFERROR(VLOOKUP($A267,EntryList!$A$3:$N$291,7,FALSE),"")</f>
        <v>Lite M</v>
      </c>
      <c r="I267" s="220">
        <f t="shared" si="27"/>
        <v>0</v>
      </c>
      <c r="J267" s="58" t="str">
        <f>IFERROR(VLOOKUP($A267,SortedDownload!$A$3:$BB$219,31,FALSE)/86400000,"")</f>
        <v/>
      </c>
      <c r="K267" s="58" t="str">
        <f>IFERROR(IF(VLOOKUP($A267,SortedDownload!$A$3:$BB$219,32,FALSE)=0,"-",VLOOKUP($A267,SortedDownload!$A$3:$BB$219,32,FALSE)/86400000),"-")</f>
        <v>-</v>
      </c>
      <c r="L267" s="58" t="str">
        <f>IFERROR(IF(VLOOKUP($A267,SortedDownload!$A$3:$BB$219,33,FALSE)=0,"-",VLOOKUP($A267,SortedDownload!$A$3:$BB$219,33,FALSE)/86400000),"-")</f>
        <v>-</v>
      </c>
      <c r="M267" s="58" t="str">
        <f>IFERROR(IF(VLOOKUP($A267,SortedDownload!$A$3:$BB$219,34,FALSE)=0,"-",VLOOKUP($A267,SortedDownload!$A$3:$BB$219,34,FALSE)/86400000),"-")</f>
        <v>-</v>
      </c>
      <c r="N267" s="58" t="str">
        <f>IFERROR(IF(VLOOKUP($A267,SortedDownload!$A$3:$BB$219,35,FALSE)=0,"-",VLOOKUP($A267,SortedDownload!$A$3:$BB$219,35,FALSE)/86400000),"-")</f>
        <v>-</v>
      </c>
      <c r="O267" s="58" t="str">
        <f>IFERROR(IF(VLOOKUP($A267,SortedDownload!$A$3:$BB$219,36,FALSE)=0,"-",VLOOKUP($A267,SortedDownload!$A$3:$BB$219,36,FALSE)/86400000),"-")</f>
        <v>-</v>
      </c>
      <c r="P267" s="58" t="str">
        <f>IFERROR(IF(VLOOKUP($A267,SortedDownload!$A$3:$BB$219,37,FALSE)=0,"-",VLOOKUP($A267,SortedDownload!$A$3:$BB$219,37,FALSE)/86400000),"-")</f>
        <v>-</v>
      </c>
      <c r="Q267" s="58" t="str">
        <f>IFERROR(IF(VLOOKUP($A267,SortedDownload!$A$3:$BB$219,38,FALSE)=0,"-",VLOOKUP($A267,SortedDownload!$A$3:$BB$219,38,FALSE)/86400000),"-")</f>
        <v>-</v>
      </c>
      <c r="R267" s="58" t="str">
        <f>IFERROR(IF(VLOOKUP($A267,SortedDownload!$A$3:$BB$219,39,FALSE)=0,"-",VLOOKUP($A267,SortedDownload!$A$3:$BB$219,39,FALSE)/86400000),"-")</f>
        <v>-</v>
      </c>
      <c r="S267" s="58" t="str">
        <f>IFERROR(IF(VLOOKUP($A267,SortedDownload!$A$3:$BB$219,40,FALSE)=0,"-",VLOOKUP($A267,SortedDownload!$A$3:$BB$219,40,FALSE)/86400000),"-")</f>
        <v>-</v>
      </c>
      <c r="T267" s="58" t="str">
        <f>IFERROR(IF(VLOOKUP($A267,SortedDownload!$A$3:$BB$219,41,FALSE)=0,"-",VLOOKUP($A267,SortedDownload!$A$3:$BB$219,41,FALSE)/86400000),"-")</f>
        <v>-</v>
      </c>
      <c r="U267" s="58" t="str">
        <f>IFERROR(IF(VLOOKUP($A267,SortedDownload!$A$3:$BB$219,42,FALSE)=0,"-",VLOOKUP($A267,SortedDownload!$A$3:$BB$219,42,FALSE)/86400000),"-")</f>
        <v>-</v>
      </c>
      <c r="V267" s="58" t="str">
        <f>IFERROR(IF(VLOOKUP($A267,SortedDownload!$A$3:$BB$219,43,FALSE)=0,"-",VLOOKUP($A267,SortedDownload!$A$3:$BB$219,43,FALSE)/86400000),"-")</f>
        <v>-</v>
      </c>
      <c r="W267" s="58" t="str">
        <f>IFERROR(IF(VLOOKUP($A267,SortedDownload!$A$3:$BB$219,44,FALSE)=0,"-",VLOOKUP($A267,SortedDownload!$A$3:$BB$219,44,FALSE)/86400000),"-")</f>
        <v>-</v>
      </c>
      <c r="X267" s="58" t="str">
        <f>IFERROR(IF(VLOOKUP($A267,SortedDownload!$A$3:$BB$219,45,FALSE)=0,"-",VLOOKUP($A267,SortedDownload!$A$3:$BB$219,45,FALSE)/86400000),"-")</f>
        <v>-</v>
      </c>
      <c r="Y267" s="58" t="str">
        <f>IFERROR(VLOOKUP($A267,SortedDownload!$A$3:$BB$219,46,FALSE)/86400000,"")</f>
        <v/>
      </c>
      <c r="Z267" s="58" t="str">
        <f>IFERROR(Table932[[#This Row],[End Time]]-Table932[[#This Row],[Start Time]],"")</f>
        <v/>
      </c>
      <c r="AA267" s="58"/>
      <c r="AB267" s="170" t="e">
        <f t="shared" si="24"/>
        <v>#VALUE!</v>
      </c>
      <c r="AC267" s="170" t="e">
        <f t="shared" si="25"/>
        <v>#VALUE!</v>
      </c>
    </row>
    <row r="268" spans="1:29">
      <c r="A268" s="53">
        <f>IF(SortedDownload!A258 &lt; 1,"",SortedDownload!A258)</f>
        <v>183</v>
      </c>
      <c r="B268" s="146">
        <f t="shared" si="26"/>
        <v>263</v>
      </c>
      <c r="C268" s="146" t="str">
        <f>IFERROR(VLOOKUP($A268,CategoryResults!$A$3:$X$252,3,FALSE),"")</f>
        <v/>
      </c>
      <c r="D268" s="149" t="str">
        <f>IFERROR(VLOOKUP($A268,EntryList!$A$3:$N$291,2,FALSE),"")</f>
        <v>Michael Sutton</v>
      </c>
      <c r="E268" s="146" t="str">
        <f>IFERROR(VLOOKUP(C268,SeriesPoints!$A$2:$B$51,2,FALSE),"")</f>
        <v/>
      </c>
      <c r="F268" s="150" t="str">
        <f>IFERROR(VLOOKUP($A268,EntryList!$A$3:$V$291,22,FALSE),"")</f>
        <v>-</v>
      </c>
      <c r="G268" s="148" t="str">
        <f>IFERROR(VLOOKUP($A268,EntryList!$A$3:$N$291,6,FALSE),"")</f>
        <v>M</v>
      </c>
      <c r="H268" s="226" t="str">
        <f>IFERROR(VLOOKUP($A268,EntryList!$A$3:$N$291,7,FALSE),"")</f>
        <v>Lite M</v>
      </c>
      <c r="I268" s="220">
        <f t="shared" si="27"/>
        <v>0</v>
      </c>
      <c r="J268" s="58" t="str">
        <f>IFERROR(VLOOKUP($A268,SortedDownload!$A$3:$BB$219,31,FALSE)/86400000,"")</f>
        <v/>
      </c>
      <c r="K268" s="58" t="str">
        <f>IFERROR(IF(VLOOKUP($A268,SortedDownload!$A$3:$BB$219,32,FALSE)=0,"-",VLOOKUP($A268,SortedDownload!$A$3:$BB$219,32,FALSE)/86400000),"-")</f>
        <v>-</v>
      </c>
      <c r="L268" s="58" t="str">
        <f>IFERROR(IF(VLOOKUP($A268,SortedDownload!$A$3:$BB$219,33,FALSE)=0,"-",VLOOKUP($A268,SortedDownload!$A$3:$BB$219,33,FALSE)/86400000),"-")</f>
        <v>-</v>
      </c>
      <c r="M268" s="58" t="str">
        <f>IFERROR(IF(VLOOKUP($A268,SortedDownload!$A$3:$BB$219,34,FALSE)=0,"-",VLOOKUP($A268,SortedDownload!$A$3:$BB$219,34,FALSE)/86400000),"-")</f>
        <v>-</v>
      </c>
      <c r="N268" s="58" t="str">
        <f>IFERROR(IF(VLOOKUP($A268,SortedDownload!$A$3:$BB$219,35,FALSE)=0,"-",VLOOKUP($A268,SortedDownload!$A$3:$BB$219,35,FALSE)/86400000),"-")</f>
        <v>-</v>
      </c>
      <c r="O268" s="58" t="str">
        <f>IFERROR(IF(VLOOKUP($A268,SortedDownload!$A$3:$BB$219,36,FALSE)=0,"-",VLOOKUP($A268,SortedDownload!$A$3:$BB$219,36,FALSE)/86400000),"-")</f>
        <v>-</v>
      </c>
      <c r="P268" s="58" t="str">
        <f>IFERROR(IF(VLOOKUP($A268,SortedDownload!$A$3:$BB$219,37,FALSE)=0,"-",VLOOKUP($A268,SortedDownload!$A$3:$BB$219,37,FALSE)/86400000),"-")</f>
        <v>-</v>
      </c>
      <c r="Q268" s="58" t="str">
        <f>IFERROR(IF(VLOOKUP($A268,SortedDownload!$A$3:$BB$219,38,FALSE)=0,"-",VLOOKUP($A268,SortedDownload!$A$3:$BB$219,38,FALSE)/86400000),"-")</f>
        <v>-</v>
      </c>
      <c r="R268" s="58" t="str">
        <f>IFERROR(IF(VLOOKUP($A268,SortedDownload!$A$3:$BB$219,39,FALSE)=0,"-",VLOOKUP($A268,SortedDownload!$A$3:$BB$219,39,FALSE)/86400000),"-")</f>
        <v>-</v>
      </c>
      <c r="S268" s="58" t="str">
        <f>IFERROR(IF(VLOOKUP($A268,SortedDownload!$A$3:$BB$219,40,FALSE)=0,"-",VLOOKUP($A268,SortedDownload!$A$3:$BB$219,40,FALSE)/86400000),"-")</f>
        <v>-</v>
      </c>
      <c r="T268" s="58" t="str">
        <f>IFERROR(IF(VLOOKUP($A268,SortedDownload!$A$3:$BB$219,41,FALSE)=0,"-",VLOOKUP($A268,SortedDownload!$A$3:$BB$219,41,FALSE)/86400000),"-")</f>
        <v>-</v>
      </c>
      <c r="U268" s="58" t="str">
        <f>IFERROR(IF(VLOOKUP($A268,SortedDownload!$A$3:$BB$219,42,FALSE)=0,"-",VLOOKUP($A268,SortedDownload!$A$3:$BB$219,42,FALSE)/86400000),"-")</f>
        <v>-</v>
      </c>
      <c r="V268" s="58" t="str">
        <f>IFERROR(IF(VLOOKUP($A268,SortedDownload!$A$3:$BB$219,43,FALSE)=0,"-",VLOOKUP($A268,SortedDownload!$A$3:$BB$219,43,FALSE)/86400000),"-")</f>
        <v>-</v>
      </c>
      <c r="W268" s="58" t="str">
        <f>IFERROR(IF(VLOOKUP($A268,SortedDownload!$A$3:$BB$219,44,FALSE)=0,"-",VLOOKUP($A268,SortedDownload!$A$3:$BB$219,44,FALSE)/86400000),"-")</f>
        <v>-</v>
      </c>
      <c r="X268" s="58" t="str">
        <f>IFERROR(IF(VLOOKUP($A268,SortedDownload!$A$3:$BB$219,45,FALSE)=0,"-",VLOOKUP($A268,SortedDownload!$A$3:$BB$219,45,FALSE)/86400000),"-")</f>
        <v>-</v>
      </c>
      <c r="Y268" s="58" t="str">
        <f>IFERROR(VLOOKUP($A268,SortedDownload!$A$3:$BB$219,46,FALSE)/86400000,"")</f>
        <v/>
      </c>
      <c r="Z268" s="58" t="str">
        <f>IFERROR(Table932[[#This Row],[End Time]]-Table932[[#This Row],[Start Time]],"")</f>
        <v/>
      </c>
      <c r="AA268" s="58"/>
      <c r="AB268" s="170" t="e">
        <f t="shared" si="24"/>
        <v>#VALUE!</v>
      </c>
      <c r="AC268" s="170" t="e">
        <f t="shared" si="25"/>
        <v>#VALUE!</v>
      </c>
    </row>
    <row r="269" spans="1:29">
      <c r="A269" s="53">
        <f>IF(SortedDownload!A259 &lt; 1,"",SortedDownload!A259)</f>
        <v>51</v>
      </c>
      <c r="B269" s="146">
        <f t="shared" si="26"/>
        <v>264</v>
      </c>
      <c r="C269" s="146" t="str">
        <f>IFERROR(VLOOKUP($A269,CategoryResults!$A$3:$X$252,3,FALSE),"")</f>
        <v/>
      </c>
      <c r="D269" s="149" t="str">
        <f>IFERROR(VLOOKUP($A269,EntryList!$A$3:$N$291,2,FALSE),"")</f>
        <v>Edwin De Swardt</v>
      </c>
      <c r="E269" s="146" t="str">
        <f>IFERROR(VLOOKUP(C269,SeriesPoints!$A$2:$B$51,2,FALSE),"")</f>
        <v/>
      </c>
      <c r="F269" s="150" t="str">
        <f>IFERROR(VLOOKUP($A269,EntryList!$A$3:$V$291,22,FALSE),"")</f>
        <v>-</v>
      </c>
      <c r="G269" s="148" t="str">
        <f>IFERROR(VLOOKUP($A269,EntryList!$A$3:$N$291,6,FALSE),"")</f>
        <v>M</v>
      </c>
      <c r="H269" s="226" t="str">
        <f>IFERROR(VLOOKUP($A269,EntryList!$A$3:$N$291,7,FALSE),"")</f>
        <v>Master Men</v>
      </c>
      <c r="I269" s="220">
        <f t="shared" si="27"/>
        <v>0</v>
      </c>
      <c r="J269" s="58" t="str">
        <f>IFERROR(VLOOKUP($A269,SortedDownload!$A$3:$BB$219,31,FALSE)/86400000,"")</f>
        <v/>
      </c>
      <c r="K269" s="58" t="str">
        <f>IFERROR(IF(VLOOKUP($A269,SortedDownload!$A$3:$BB$219,32,FALSE)=0,"-",VLOOKUP($A269,SortedDownload!$A$3:$BB$219,32,FALSE)/86400000),"-")</f>
        <v>-</v>
      </c>
      <c r="L269" s="58" t="str">
        <f>IFERROR(IF(VLOOKUP($A269,SortedDownload!$A$3:$BB$219,33,FALSE)=0,"-",VLOOKUP($A269,SortedDownload!$A$3:$BB$219,33,FALSE)/86400000),"-")</f>
        <v>-</v>
      </c>
      <c r="M269" s="58" t="str">
        <f>IFERROR(IF(VLOOKUP($A269,SortedDownload!$A$3:$BB$219,34,FALSE)=0,"-",VLOOKUP($A269,SortedDownload!$A$3:$BB$219,34,FALSE)/86400000),"-")</f>
        <v>-</v>
      </c>
      <c r="N269" s="58" t="str">
        <f>IFERROR(IF(VLOOKUP($A269,SortedDownload!$A$3:$BB$219,35,FALSE)=0,"-",VLOOKUP($A269,SortedDownload!$A$3:$BB$219,35,FALSE)/86400000),"-")</f>
        <v>-</v>
      </c>
      <c r="O269" s="58" t="str">
        <f>IFERROR(IF(VLOOKUP($A269,SortedDownload!$A$3:$BB$219,36,FALSE)=0,"-",VLOOKUP($A269,SortedDownload!$A$3:$BB$219,36,FALSE)/86400000),"-")</f>
        <v>-</v>
      </c>
      <c r="P269" s="58" t="str">
        <f>IFERROR(IF(VLOOKUP($A269,SortedDownload!$A$3:$BB$219,37,FALSE)=0,"-",VLOOKUP($A269,SortedDownload!$A$3:$BB$219,37,FALSE)/86400000),"-")</f>
        <v>-</v>
      </c>
      <c r="Q269" s="58" t="str">
        <f>IFERROR(IF(VLOOKUP($A269,SortedDownload!$A$3:$BB$219,38,FALSE)=0,"-",VLOOKUP($A269,SortedDownload!$A$3:$BB$219,38,FALSE)/86400000),"-")</f>
        <v>-</v>
      </c>
      <c r="R269" s="58" t="str">
        <f>IFERROR(IF(VLOOKUP($A269,SortedDownload!$A$3:$BB$219,39,FALSE)=0,"-",VLOOKUP($A269,SortedDownload!$A$3:$BB$219,39,FALSE)/86400000),"-")</f>
        <v>-</v>
      </c>
      <c r="S269" s="58" t="str">
        <f>IFERROR(IF(VLOOKUP($A269,SortedDownload!$A$3:$BB$219,40,FALSE)=0,"-",VLOOKUP($A269,SortedDownload!$A$3:$BB$219,40,FALSE)/86400000),"-")</f>
        <v>-</v>
      </c>
      <c r="T269" s="58" t="str">
        <f>IFERROR(IF(VLOOKUP($A269,SortedDownload!$A$3:$BB$219,41,FALSE)=0,"-",VLOOKUP($A269,SortedDownload!$A$3:$BB$219,41,FALSE)/86400000),"-")</f>
        <v>-</v>
      </c>
      <c r="U269" s="58" t="str">
        <f>IFERROR(IF(VLOOKUP($A269,SortedDownload!$A$3:$BB$219,42,FALSE)=0,"-",VLOOKUP($A269,SortedDownload!$A$3:$BB$219,42,FALSE)/86400000),"-")</f>
        <v>-</v>
      </c>
      <c r="V269" s="58" t="str">
        <f>IFERROR(IF(VLOOKUP($A269,SortedDownload!$A$3:$BB$219,43,FALSE)=0,"-",VLOOKUP($A269,SortedDownload!$A$3:$BB$219,43,FALSE)/86400000),"-")</f>
        <v>-</v>
      </c>
      <c r="W269" s="58" t="str">
        <f>IFERROR(IF(VLOOKUP($A269,SortedDownload!$A$3:$BB$219,44,FALSE)=0,"-",VLOOKUP($A269,SortedDownload!$A$3:$BB$219,44,FALSE)/86400000),"-")</f>
        <v>-</v>
      </c>
      <c r="X269" s="58" t="str">
        <f>IFERROR(IF(VLOOKUP($A269,SortedDownload!$A$3:$BB$219,45,FALSE)=0,"-",VLOOKUP($A269,SortedDownload!$A$3:$BB$219,45,FALSE)/86400000),"-")</f>
        <v>-</v>
      </c>
      <c r="Y269" s="58" t="str">
        <f>IFERROR(VLOOKUP($A269,SortedDownload!$A$3:$BB$219,46,FALSE)/86400000,"")</f>
        <v/>
      </c>
      <c r="Z269" s="58" t="str">
        <f>IFERROR(Table932[[#This Row],[End Time]]-Table932[[#This Row],[Start Time]],"")</f>
        <v/>
      </c>
      <c r="AA269" s="58"/>
      <c r="AB269" s="170" t="e">
        <f t="shared" si="24"/>
        <v>#VALUE!</v>
      </c>
      <c r="AC269" s="170" t="e">
        <f t="shared" si="25"/>
        <v>#VALUE!</v>
      </c>
    </row>
    <row r="270" spans="1:29">
      <c r="A270" s="53">
        <f>IF(SortedDownload!A260 &lt; 1,"",SortedDownload!A260)</f>
        <v>49</v>
      </c>
      <c r="B270" s="146">
        <f t="shared" si="26"/>
        <v>265</v>
      </c>
      <c r="C270" s="146" t="str">
        <f>IFERROR(VLOOKUP($A270,CategoryResults!$A$3:$X$252,3,FALSE),"")</f>
        <v/>
      </c>
      <c r="D270" s="149" t="str">
        <f>IFERROR(VLOOKUP($A270,EntryList!$A$3:$N$291,2,FALSE),"")</f>
        <v>Francois Dreyer</v>
      </c>
      <c r="E270" s="146" t="str">
        <f>IFERROR(VLOOKUP(C270,SeriesPoints!$A$2:$B$51,2,FALSE),"")</f>
        <v/>
      </c>
      <c r="F270" s="150" t="str">
        <f>IFERROR(VLOOKUP($A270,EntryList!$A$3:$V$291,22,FALSE),"")</f>
        <v>-</v>
      </c>
      <c r="G270" s="148" t="str">
        <f>IFERROR(VLOOKUP($A270,EntryList!$A$3:$N$291,6,FALSE),"")</f>
        <v>M</v>
      </c>
      <c r="H270" s="226" t="str">
        <f>IFERROR(VLOOKUP($A270,EntryList!$A$3:$N$291,7,FALSE),"")</f>
        <v>Lite M</v>
      </c>
      <c r="I270" s="220">
        <f t="shared" si="27"/>
        <v>0</v>
      </c>
      <c r="J270" s="58" t="str">
        <f>IFERROR(VLOOKUP($A270,SortedDownload!$A$3:$BB$219,31,FALSE)/86400000,"")</f>
        <v/>
      </c>
      <c r="K270" s="58" t="str">
        <f>IFERROR(IF(VLOOKUP($A270,SortedDownload!$A$3:$BB$219,32,FALSE)=0,"-",VLOOKUP($A270,SortedDownload!$A$3:$BB$219,32,FALSE)/86400000),"-")</f>
        <v>-</v>
      </c>
      <c r="L270" s="58" t="str">
        <f>IFERROR(IF(VLOOKUP($A270,SortedDownload!$A$3:$BB$219,33,FALSE)=0,"-",VLOOKUP($A270,SortedDownload!$A$3:$BB$219,33,FALSE)/86400000),"-")</f>
        <v>-</v>
      </c>
      <c r="M270" s="58" t="str">
        <f>IFERROR(IF(VLOOKUP($A270,SortedDownload!$A$3:$BB$219,34,FALSE)=0,"-",VLOOKUP($A270,SortedDownload!$A$3:$BB$219,34,FALSE)/86400000),"-")</f>
        <v>-</v>
      </c>
      <c r="N270" s="58" t="str">
        <f>IFERROR(IF(VLOOKUP($A270,SortedDownload!$A$3:$BB$219,35,FALSE)=0,"-",VLOOKUP($A270,SortedDownload!$A$3:$BB$219,35,FALSE)/86400000),"-")</f>
        <v>-</v>
      </c>
      <c r="O270" s="58" t="str">
        <f>IFERROR(IF(VLOOKUP($A270,SortedDownload!$A$3:$BB$219,36,FALSE)=0,"-",VLOOKUP($A270,SortedDownload!$A$3:$BB$219,36,FALSE)/86400000),"-")</f>
        <v>-</v>
      </c>
      <c r="P270" s="58" t="str">
        <f>IFERROR(IF(VLOOKUP($A270,SortedDownload!$A$3:$BB$219,37,FALSE)=0,"-",VLOOKUP($A270,SortedDownload!$A$3:$BB$219,37,FALSE)/86400000),"-")</f>
        <v>-</v>
      </c>
      <c r="Q270" s="58" t="str">
        <f>IFERROR(IF(VLOOKUP($A270,SortedDownload!$A$3:$BB$219,38,FALSE)=0,"-",VLOOKUP($A270,SortedDownload!$A$3:$BB$219,38,FALSE)/86400000),"-")</f>
        <v>-</v>
      </c>
      <c r="R270" s="58" t="str">
        <f>IFERROR(IF(VLOOKUP($A270,SortedDownload!$A$3:$BB$219,39,FALSE)=0,"-",VLOOKUP($A270,SortedDownload!$A$3:$BB$219,39,FALSE)/86400000),"-")</f>
        <v>-</v>
      </c>
      <c r="S270" s="58" t="str">
        <f>IFERROR(IF(VLOOKUP($A270,SortedDownload!$A$3:$BB$219,40,FALSE)=0,"-",VLOOKUP($A270,SortedDownload!$A$3:$BB$219,40,FALSE)/86400000),"-")</f>
        <v>-</v>
      </c>
      <c r="T270" s="58" t="str">
        <f>IFERROR(IF(VLOOKUP($A270,SortedDownload!$A$3:$BB$219,41,FALSE)=0,"-",VLOOKUP($A270,SortedDownload!$A$3:$BB$219,41,FALSE)/86400000),"-")</f>
        <v>-</v>
      </c>
      <c r="U270" s="58" t="str">
        <f>IFERROR(IF(VLOOKUP($A270,SortedDownload!$A$3:$BB$219,42,FALSE)=0,"-",VLOOKUP($A270,SortedDownload!$A$3:$BB$219,42,FALSE)/86400000),"-")</f>
        <v>-</v>
      </c>
      <c r="V270" s="58" t="str">
        <f>IFERROR(IF(VLOOKUP($A270,SortedDownload!$A$3:$BB$219,43,FALSE)=0,"-",VLOOKUP($A270,SortedDownload!$A$3:$BB$219,43,FALSE)/86400000),"-")</f>
        <v>-</v>
      </c>
      <c r="W270" s="58" t="str">
        <f>IFERROR(IF(VLOOKUP($A270,SortedDownload!$A$3:$BB$219,44,FALSE)=0,"-",VLOOKUP($A270,SortedDownload!$A$3:$BB$219,44,FALSE)/86400000),"-")</f>
        <v>-</v>
      </c>
      <c r="X270" s="58" t="str">
        <f>IFERROR(IF(VLOOKUP($A270,SortedDownload!$A$3:$BB$219,45,FALSE)=0,"-",VLOOKUP($A270,SortedDownload!$A$3:$BB$219,45,FALSE)/86400000),"-")</f>
        <v>-</v>
      </c>
      <c r="Y270" s="58" t="str">
        <f>IFERROR(VLOOKUP($A270,SortedDownload!$A$3:$BB$219,46,FALSE)/86400000,"")</f>
        <v/>
      </c>
      <c r="Z270" s="58" t="str">
        <f>IFERROR(Table932[[#This Row],[End Time]]-Table932[[#This Row],[Start Time]],"")</f>
        <v/>
      </c>
      <c r="AA270" s="58"/>
      <c r="AB270" s="170" t="e">
        <f t="shared" si="24"/>
        <v>#VALUE!</v>
      </c>
      <c r="AC270" s="170" t="e">
        <f t="shared" si="25"/>
        <v>#VALUE!</v>
      </c>
    </row>
    <row r="271" spans="1:29">
      <c r="A271" s="53">
        <f>IF(SortedDownload!A261 &lt; 1,"",SortedDownload!A261)</f>
        <v>108</v>
      </c>
      <c r="B271" s="146">
        <f t="shared" si="26"/>
        <v>266</v>
      </c>
      <c r="C271" s="146" t="str">
        <f>IFERROR(VLOOKUP($A271,CategoryResults!$A$3:$X$252,3,FALSE),"")</f>
        <v/>
      </c>
      <c r="D271" s="149" t="str">
        <f>IFERROR(VLOOKUP($A271,EntryList!$A$3:$N$291,2,FALSE),"")</f>
        <v>Schalk Willem Vorster</v>
      </c>
      <c r="E271" s="146" t="str">
        <f>IFERROR(VLOOKUP(C271,SeriesPoints!$A$2:$B$51,2,FALSE),"")</f>
        <v/>
      </c>
      <c r="F271" s="150" t="str">
        <f>IFERROR(VLOOKUP($A271,EntryList!$A$3:$V$291,22,FALSE),"")</f>
        <v>-</v>
      </c>
      <c r="G271" s="148" t="str">
        <f>IFERROR(VLOOKUP($A271,EntryList!$A$3:$N$291,6,FALSE),"")</f>
        <v>M</v>
      </c>
      <c r="H271" s="226" t="str">
        <f>IFERROR(VLOOKUP($A271,EntryList!$A$3:$N$291,7,FALSE),"")</f>
        <v>Sub Junior Boys</v>
      </c>
      <c r="I271" s="220">
        <f t="shared" si="27"/>
        <v>0</v>
      </c>
      <c r="J271" s="58" t="str">
        <f>IFERROR(VLOOKUP($A271,SortedDownload!$A$3:$BB$219,31,FALSE)/86400000,"")</f>
        <v/>
      </c>
      <c r="K271" s="58" t="str">
        <f>IFERROR(IF(VLOOKUP($A271,SortedDownload!$A$3:$BB$219,32,FALSE)=0,"-",VLOOKUP($A271,SortedDownload!$A$3:$BB$219,32,FALSE)/86400000),"-")</f>
        <v>-</v>
      </c>
      <c r="L271" s="58" t="str">
        <f>IFERROR(IF(VLOOKUP($A271,SortedDownload!$A$3:$BB$219,33,FALSE)=0,"-",VLOOKUP($A271,SortedDownload!$A$3:$BB$219,33,FALSE)/86400000),"-")</f>
        <v>-</v>
      </c>
      <c r="M271" s="58" t="str">
        <f>IFERROR(IF(VLOOKUP($A271,SortedDownload!$A$3:$BB$219,34,FALSE)=0,"-",VLOOKUP($A271,SortedDownload!$A$3:$BB$219,34,FALSE)/86400000),"-")</f>
        <v>-</v>
      </c>
      <c r="N271" s="58" t="str">
        <f>IFERROR(IF(VLOOKUP($A271,SortedDownload!$A$3:$BB$219,35,FALSE)=0,"-",VLOOKUP($A271,SortedDownload!$A$3:$BB$219,35,FALSE)/86400000),"-")</f>
        <v>-</v>
      </c>
      <c r="O271" s="58" t="str">
        <f>IFERROR(IF(VLOOKUP($A271,SortedDownload!$A$3:$BB$219,36,FALSE)=0,"-",VLOOKUP($A271,SortedDownload!$A$3:$BB$219,36,FALSE)/86400000),"-")</f>
        <v>-</v>
      </c>
      <c r="P271" s="58" t="str">
        <f>IFERROR(IF(VLOOKUP($A271,SortedDownload!$A$3:$BB$219,37,FALSE)=0,"-",VLOOKUP($A271,SortedDownload!$A$3:$BB$219,37,FALSE)/86400000),"-")</f>
        <v>-</v>
      </c>
      <c r="Q271" s="58" t="str">
        <f>IFERROR(IF(VLOOKUP($A271,SortedDownload!$A$3:$BB$219,38,FALSE)=0,"-",VLOOKUP($A271,SortedDownload!$A$3:$BB$219,38,FALSE)/86400000),"-")</f>
        <v>-</v>
      </c>
      <c r="R271" s="58" t="str">
        <f>IFERROR(IF(VLOOKUP($A271,SortedDownload!$A$3:$BB$219,39,FALSE)=0,"-",VLOOKUP($A271,SortedDownload!$A$3:$BB$219,39,FALSE)/86400000),"-")</f>
        <v>-</v>
      </c>
      <c r="S271" s="58" t="str">
        <f>IFERROR(IF(VLOOKUP($A271,SortedDownload!$A$3:$BB$219,40,FALSE)=0,"-",VLOOKUP($A271,SortedDownload!$A$3:$BB$219,40,FALSE)/86400000),"-")</f>
        <v>-</v>
      </c>
      <c r="T271" s="58" t="str">
        <f>IFERROR(IF(VLOOKUP($A271,SortedDownload!$A$3:$BB$219,41,FALSE)=0,"-",VLOOKUP($A271,SortedDownload!$A$3:$BB$219,41,FALSE)/86400000),"-")</f>
        <v>-</v>
      </c>
      <c r="U271" s="58" t="str">
        <f>IFERROR(IF(VLOOKUP($A271,SortedDownload!$A$3:$BB$219,42,FALSE)=0,"-",VLOOKUP($A271,SortedDownload!$A$3:$BB$219,42,FALSE)/86400000),"-")</f>
        <v>-</v>
      </c>
      <c r="V271" s="58" t="str">
        <f>IFERROR(IF(VLOOKUP($A271,SortedDownload!$A$3:$BB$219,43,FALSE)=0,"-",VLOOKUP($A271,SortedDownload!$A$3:$BB$219,43,FALSE)/86400000),"-")</f>
        <v>-</v>
      </c>
      <c r="W271" s="58" t="str">
        <f>IFERROR(IF(VLOOKUP($A271,SortedDownload!$A$3:$BB$219,44,FALSE)=0,"-",VLOOKUP($A271,SortedDownload!$A$3:$BB$219,44,FALSE)/86400000),"-")</f>
        <v>-</v>
      </c>
      <c r="X271" s="58" t="str">
        <f>IFERROR(IF(VLOOKUP($A271,SortedDownload!$A$3:$BB$219,45,FALSE)=0,"-",VLOOKUP($A271,SortedDownload!$A$3:$BB$219,45,FALSE)/86400000),"-")</f>
        <v>-</v>
      </c>
      <c r="Y271" s="58" t="str">
        <f>IFERROR(VLOOKUP($A271,SortedDownload!$A$3:$BB$219,46,FALSE)/86400000,"")</f>
        <v/>
      </c>
      <c r="Z271" s="58" t="str">
        <f>IFERROR(Table932[[#This Row],[End Time]]-Table932[[#This Row],[Start Time]],"")</f>
        <v/>
      </c>
      <c r="AA271" s="58"/>
      <c r="AB271" s="170" t="e">
        <f t="shared" si="24"/>
        <v>#VALUE!</v>
      </c>
      <c r="AC271" s="170" t="e">
        <f t="shared" si="25"/>
        <v>#VALUE!</v>
      </c>
    </row>
    <row r="272" spans="1:29">
      <c r="A272" s="53">
        <f>IF(SortedDownload!A262 &lt; 1,"",SortedDownload!A262)</f>
        <v>107</v>
      </c>
      <c r="B272" s="146">
        <f t="shared" si="26"/>
        <v>267</v>
      </c>
      <c r="C272" s="146" t="str">
        <f>IFERROR(VLOOKUP($A272,CategoryResults!$A$3:$X$252,3,FALSE),"")</f>
        <v/>
      </c>
      <c r="D272" s="149" t="str">
        <f>IFERROR(VLOOKUP($A272,EntryList!$A$3:$N$291,2,FALSE),"")</f>
        <v>Shaun Fuller</v>
      </c>
      <c r="E272" s="146" t="str">
        <f>IFERROR(VLOOKUP(C272,SeriesPoints!$A$2:$B$51,2,FALSE),"")</f>
        <v/>
      </c>
      <c r="F272" s="150" t="str">
        <f>IFERROR(VLOOKUP($A272,EntryList!$A$3:$V$291,22,FALSE),"")</f>
        <v>-</v>
      </c>
      <c r="G272" s="148" t="str">
        <f>IFERROR(VLOOKUP($A272,EntryList!$A$3:$N$291,6,FALSE),"")</f>
        <v>M</v>
      </c>
      <c r="H272" s="226" t="str">
        <f>IFERROR(VLOOKUP($A272,EntryList!$A$3:$N$291,7,FALSE),"")</f>
        <v>Master Men</v>
      </c>
      <c r="I272" s="220">
        <f t="shared" si="27"/>
        <v>0</v>
      </c>
      <c r="J272" s="58" t="str">
        <f>IFERROR(VLOOKUP($A272,SortedDownload!$A$3:$BB$219,31,FALSE)/86400000,"")</f>
        <v/>
      </c>
      <c r="K272" s="58" t="str">
        <f>IFERROR(IF(VLOOKUP($A272,SortedDownload!$A$3:$BB$219,32,FALSE)=0,"-",VLOOKUP($A272,SortedDownload!$A$3:$BB$219,32,FALSE)/86400000),"-")</f>
        <v>-</v>
      </c>
      <c r="L272" s="58" t="str">
        <f>IFERROR(IF(VLOOKUP($A272,SortedDownload!$A$3:$BB$219,33,FALSE)=0,"-",VLOOKUP($A272,SortedDownload!$A$3:$BB$219,33,FALSE)/86400000),"-")</f>
        <v>-</v>
      </c>
      <c r="M272" s="58" t="str">
        <f>IFERROR(IF(VLOOKUP($A272,SortedDownload!$A$3:$BB$219,34,FALSE)=0,"-",VLOOKUP($A272,SortedDownload!$A$3:$BB$219,34,FALSE)/86400000),"-")</f>
        <v>-</v>
      </c>
      <c r="N272" s="58" t="str">
        <f>IFERROR(IF(VLOOKUP($A272,SortedDownload!$A$3:$BB$219,35,FALSE)=0,"-",VLOOKUP($A272,SortedDownload!$A$3:$BB$219,35,FALSE)/86400000),"-")</f>
        <v>-</v>
      </c>
      <c r="O272" s="58" t="str">
        <f>IFERROR(IF(VLOOKUP($A272,SortedDownload!$A$3:$BB$219,36,FALSE)=0,"-",VLOOKUP($A272,SortedDownload!$A$3:$BB$219,36,FALSE)/86400000),"-")</f>
        <v>-</v>
      </c>
      <c r="P272" s="58" t="str">
        <f>IFERROR(IF(VLOOKUP($A272,SortedDownload!$A$3:$BB$219,37,FALSE)=0,"-",VLOOKUP($A272,SortedDownload!$A$3:$BB$219,37,FALSE)/86400000),"-")</f>
        <v>-</v>
      </c>
      <c r="Q272" s="58" t="str">
        <f>IFERROR(IF(VLOOKUP($A272,SortedDownload!$A$3:$BB$219,38,FALSE)=0,"-",VLOOKUP($A272,SortedDownload!$A$3:$BB$219,38,FALSE)/86400000),"-")</f>
        <v>-</v>
      </c>
      <c r="R272" s="58" t="str">
        <f>IFERROR(IF(VLOOKUP($A272,SortedDownload!$A$3:$BB$219,39,FALSE)=0,"-",VLOOKUP($A272,SortedDownload!$A$3:$BB$219,39,FALSE)/86400000),"-")</f>
        <v>-</v>
      </c>
      <c r="S272" s="58" t="str">
        <f>IFERROR(IF(VLOOKUP($A272,SortedDownload!$A$3:$BB$219,40,FALSE)=0,"-",VLOOKUP($A272,SortedDownload!$A$3:$BB$219,40,FALSE)/86400000),"-")</f>
        <v>-</v>
      </c>
      <c r="T272" s="58" t="str">
        <f>IFERROR(IF(VLOOKUP($A272,SortedDownload!$A$3:$BB$219,41,FALSE)=0,"-",VLOOKUP($A272,SortedDownload!$A$3:$BB$219,41,FALSE)/86400000),"-")</f>
        <v>-</v>
      </c>
      <c r="U272" s="58" t="str">
        <f>IFERROR(IF(VLOOKUP($A272,SortedDownload!$A$3:$BB$219,42,FALSE)=0,"-",VLOOKUP($A272,SortedDownload!$A$3:$BB$219,42,FALSE)/86400000),"-")</f>
        <v>-</v>
      </c>
      <c r="V272" s="58" t="str">
        <f>IFERROR(IF(VLOOKUP($A272,SortedDownload!$A$3:$BB$219,43,FALSE)=0,"-",VLOOKUP($A272,SortedDownload!$A$3:$BB$219,43,FALSE)/86400000),"-")</f>
        <v>-</v>
      </c>
      <c r="W272" s="58" t="str">
        <f>IFERROR(IF(VLOOKUP($A272,SortedDownload!$A$3:$BB$219,44,FALSE)=0,"-",VLOOKUP($A272,SortedDownload!$A$3:$BB$219,44,FALSE)/86400000),"-")</f>
        <v>-</v>
      </c>
      <c r="X272" s="58" t="str">
        <f>IFERROR(IF(VLOOKUP($A272,SortedDownload!$A$3:$BB$219,45,FALSE)=0,"-",VLOOKUP($A272,SortedDownload!$A$3:$BB$219,45,FALSE)/86400000),"-")</f>
        <v>-</v>
      </c>
      <c r="Y272" s="58" t="str">
        <f>IFERROR(VLOOKUP($A272,SortedDownload!$A$3:$BB$219,46,FALSE)/86400000,"")</f>
        <v/>
      </c>
      <c r="Z272" s="58" t="str">
        <f>IFERROR(Table932[[#This Row],[End Time]]-Table932[[#This Row],[Start Time]],"")</f>
        <v/>
      </c>
      <c r="AA272" s="58"/>
      <c r="AB272" s="170" t="e">
        <f t="shared" si="24"/>
        <v>#VALUE!</v>
      </c>
      <c r="AC272" s="170" t="e">
        <f t="shared" si="25"/>
        <v>#VALUE!</v>
      </c>
    </row>
    <row r="273" spans="1:29">
      <c r="A273" s="53" t="str">
        <f>IF(SortedDownload!A263 &lt; 1,"",SortedDownload!A263)</f>
        <v/>
      </c>
      <c r="B273" s="146" t="str">
        <f t="shared" si="26"/>
        <v/>
      </c>
      <c r="C273" s="146" t="str">
        <f>IFERROR(VLOOKUP($A273,CategoryResults!$A$3:$X$252,3,FALSE),"")</f>
        <v/>
      </c>
      <c r="D273" s="149" t="str">
        <f>IFERROR(VLOOKUP($A273,EntryList!$A$3:$N$291,2,FALSE),"")</f>
        <v/>
      </c>
      <c r="E273" s="146" t="str">
        <f>IFERROR(VLOOKUP(C273,SeriesPoints!$A$2:$B$51,2,FALSE),"")</f>
        <v/>
      </c>
      <c r="F273" s="150" t="str">
        <f>IFERROR(VLOOKUP($A273,EntryList!$A$3:$V$291,22,FALSE),"")</f>
        <v/>
      </c>
      <c r="G273" s="148" t="str">
        <f>IFERROR(VLOOKUP($A273,EntryList!$A$3:$N$291,6,FALSE),"")</f>
        <v/>
      </c>
      <c r="H273" s="226" t="str">
        <f>IFERROR(VLOOKUP($A273,EntryList!$A$3:$N$291,7,FALSE),"")</f>
        <v/>
      </c>
      <c r="I273" s="220">
        <f t="shared" si="27"/>
        <v>0</v>
      </c>
      <c r="J273" s="58" t="str">
        <f>IFERROR(VLOOKUP($A273,SortedDownload!$A$3:$BB$219,31,FALSE)/86400000,"")</f>
        <v/>
      </c>
      <c r="K273" s="58" t="str">
        <f>IFERROR(IF(VLOOKUP($A273,SortedDownload!$A$3:$BB$219,32,FALSE)=0,"-",VLOOKUP($A273,SortedDownload!$A$3:$BB$219,32,FALSE)/86400000),"-")</f>
        <v>-</v>
      </c>
      <c r="L273" s="58" t="str">
        <f>IFERROR(IF(VLOOKUP($A273,SortedDownload!$A$3:$BB$219,33,FALSE)=0,"-",VLOOKUP($A273,SortedDownload!$A$3:$BB$219,33,FALSE)/86400000),"-")</f>
        <v>-</v>
      </c>
      <c r="M273" s="58" t="str">
        <f>IFERROR(IF(VLOOKUP($A273,SortedDownload!$A$3:$BB$219,34,FALSE)=0,"-",VLOOKUP($A273,SortedDownload!$A$3:$BB$219,34,FALSE)/86400000),"-")</f>
        <v>-</v>
      </c>
      <c r="N273" s="58" t="str">
        <f>IFERROR(IF(VLOOKUP($A273,SortedDownload!$A$3:$BB$219,35,FALSE)=0,"-",VLOOKUP($A273,SortedDownload!$A$3:$BB$219,35,FALSE)/86400000),"-")</f>
        <v>-</v>
      </c>
      <c r="O273" s="58" t="str">
        <f>IFERROR(IF(VLOOKUP($A273,SortedDownload!$A$3:$BB$219,36,FALSE)=0,"-",VLOOKUP($A273,SortedDownload!$A$3:$BB$219,36,FALSE)/86400000),"-")</f>
        <v>-</v>
      </c>
      <c r="P273" s="58" t="str">
        <f>IFERROR(IF(VLOOKUP($A273,SortedDownload!$A$3:$BB$219,37,FALSE)=0,"-",VLOOKUP($A273,SortedDownload!$A$3:$BB$219,37,FALSE)/86400000),"-")</f>
        <v>-</v>
      </c>
      <c r="Q273" s="58" t="str">
        <f>IFERROR(IF(VLOOKUP($A273,SortedDownload!$A$3:$BB$219,38,FALSE)=0,"-",VLOOKUP($A273,SortedDownload!$A$3:$BB$219,38,FALSE)/86400000),"-")</f>
        <v>-</v>
      </c>
      <c r="R273" s="58" t="str">
        <f>IFERROR(IF(VLOOKUP($A273,SortedDownload!$A$3:$BB$219,39,FALSE)=0,"-",VLOOKUP($A273,SortedDownload!$A$3:$BB$219,39,FALSE)/86400000),"-")</f>
        <v>-</v>
      </c>
      <c r="S273" s="58" t="str">
        <f>IFERROR(IF(VLOOKUP($A273,SortedDownload!$A$3:$BB$219,40,FALSE)=0,"-",VLOOKUP($A273,SortedDownload!$A$3:$BB$219,40,FALSE)/86400000),"-")</f>
        <v>-</v>
      </c>
      <c r="T273" s="58" t="str">
        <f>IFERROR(IF(VLOOKUP($A273,SortedDownload!$A$3:$BB$219,41,FALSE)=0,"-",VLOOKUP($A273,SortedDownload!$A$3:$BB$219,41,FALSE)/86400000),"-")</f>
        <v>-</v>
      </c>
      <c r="U273" s="58" t="str">
        <f>IFERROR(IF(VLOOKUP($A273,SortedDownload!$A$3:$BB$219,42,FALSE)=0,"-",VLOOKUP($A273,SortedDownload!$A$3:$BB$219,42,FALSE)/86400000),"-")</f>
        <v>-</v>
      </c>
      <c r="V273" s="58" t="str">
        <f>IFERROR(IF(VLOOKUP($A273,SortedDownload!$A$3:$BB$219,43,FALSE)=0,"-",VLOOKUP($A273,SortedDownload!$A$3:$BB$219,43,FALSE)/86400000),"-")</f>
        <v>-</v>
      </c>
      <c r="W273" s="58" t="str">
        <f>IFERROR(IF(VLOOKUP($A273,SortedDownload!$A$3:$BB$219,44,FALSE)=0,"-",VLOOKUP($A273,SortedDownload!$A$3:$BB$219,44,FALSE)/86400000),"-")</f>
        <v>-</v>
      </c>
      <c r="X273" s="58" t="str">
        <f>IFERROR(IF(VLOOKUP($A273,SortedDownload!$A$3:$BB$219,45,FALSE)=0,"-",VLOOKUP($A273,SortedDownload!$A$3:$BB$219,45,FALSE)/86400000),"-")</f>
        <v>-</v>
      </c>
      <c r="Y273" s="58" t="str">
        <f>IFERROR(VLOOKUP($A273,SortedDownload!$A$3:$BB$219,46,FALSE)/86400000,"")</f>
        <v/>
      </c>
      <c r="Z273" s="58" t="str">
        <f>IFERROR(Table932[[#This Row],[End Time]]-Table932[[#This Row],[Start Time]],"")</f>
        <v/>
      </c>
      <c r="AA273" s="58"/>
      <c r="AB273" s="170" t="e">
        <f t="shared" si="24"/>
        <v>#VALUE!</v>
      </c>
      <c r="AC273" s="170" t="e">
        <f t="shared" si="25"/>
        <v>#VALUE!</v>
      </c>
    </row>
    <row r="274" spans="1:29">
      <c r="A274" s="53" t="str">
        <f>IF(SortedDownload!A264 &lt; 1,"",SortedDownload!A264)</f>
        <v/>
      </c>
      <c r="B274" s="146" t="str">
        <f t="shared" si="26"/>
        <v/>
      </c>
      <c r="C274" s="146" t="str">
        <f>IFERROR(VLOOKUP($A274,CategoryResults!$A$3:$X$252,3,FALSE),"")</f>
        <v/>
      </c>
      <c r="D274" s="149" t="str">
        <f>IFERROR(VLOOKUP($A274,EntryList!$A$3:$N$291,2,FALSE),"")</f>
        <v/>
      </c>
      <c r="E274" s="146" t="str">
        <f>IFERROR(VLOOKUP(C274,SeriesPoints!$A$2:$B$51,2,FALSE),"")</f>
        <v/>
      </c>
      <c r="F274" s="150" t="str">
        <f>IFERROR(VLOOKUP($A274,EntryList!$A$3:$V$291,22,FALSE),"")</f>
        <v/>
      </c>
      <c r="G274" s="148" t="str">
        <f>IFERROR(VLOOKUP($A274,EntryList!$A$3:$N$291,6,FALSE),"")</f>
        <v/>
      </c>
      <c r="H274" s="226" t="str">
        <f>IFERROR(VLOOKUP($A274,EntryList!$A$3:$N$291,7,FALSE),"")</f>
        <v/>
      </c>
      <c r="I274" s="220">
        <f t="shared" si="27"/>
        <v>0</v>
      </c>
      <c r="J274" s="58" t="str">
        <f>IFERROR(VLOOKUP($A274,SortedDownload!$A$3:$BB$219,31,FALSE)/86400000,"")</f>
        <v/>
      </c>
      <c r="K274" s="58" t="str">
        <f>IFERROR(IF(VLOOKUP($A274,SortedDownload!$A$3:$BB$219,32,FALSE)=0,"-",VLOOKUP($A274,SortedDownload!$A$3:$BB$219,32,FALSE)/86400000),"-")</f>
        <v>-</v>
      </c>
      <c r="L274" s="58" t="str">
        <f>IFERROR(IF(VLOOKUP($A274,SortedDownload!$A$3:$BB$219,33,FALSE)=0,"-",VLOOKUP($A274,SortedDownload!$A$3:$BB$219,33,FALSE)/86400000),"-")</f>
        <v>-</v>
      </c>
      <c r="M274" s="58" t="str">
        <f>IFERROR(IF(VLOOKUP($A274,SortedDownload!$A$3:$BB$219,34,FALSE)=0,"-",VLOOKUP($A274,SortedDownload!$A$3:$BB$219,34,FALSE)/86400000),"-")</f>
        <v>-</v>
      </c>
      <c r="N274" s="58" t="str">
        <f>IFERROR(IF(VLOOKUP($A274,SortedDownload!$A$3:$BB$219,35,FALSE)=0,"-",VLOOKUP($A274,SortedDownload!$A$3:$BB$219,35,FALSE)/86400000),"-")</f>
        <v>-</v>
      </c>
      <c r="O274" s="58" t="str">
        <f>IFERROR(IF(VLOOKUP($A274,SortedDownload!$A$3:$BB$219,36,FALSE)=0,"-",VLOOKUP($A274,SortedDownload!$A$3:$BB$219,36,FALSE)/86400000),"-")</f>
        <v>-</v>
      </c>
      <c r="P274" s="58" t="str">
        <f>IFERROR(IF(VLOOKUP($A274,SortedDownload!$A$3:$BB$219,37,FALSE)=0,"-",VLOOKUP($A274,SortedDownload!$A$3:$BB$219,37,FALSE)/86400000),"-")</f>
        <v>-</v>
      </c>
      <c r="Q274" s="58" t="str">
        <f>IFERROR(IF(VLOOKUP($A274,SortedDownload!$A$3:$BB$219,38,FALSE)=0,"-",VLOOKUP($A274,SortedDownload!$A$3:$BB$219,38,FALSE)/86400000),"-")</f>
        <v>-</v>
      </c>
      <c r="R274" s="58" t="str">
        <f>IFERROR(IF(VLOOKUP($A274,SortedDownload!$A$3:$BB$219,39,FALSE)=0,"-",VLOOKUP($A274,SortedDownload!$A$3:$BB$219,39,FALSE)/86400000),"-")</f>
        <v>-</v>
      </c>
      <c r="S274" s="58" t="str">
        <f>IFERROR(IF(VLOOKUP($A274,SortedDownload!$A$3:$BB$219,40,FALSE)=0,"-",VLOOKUP($A274,SortedDownload!$A$3:$BB$219,40,FALSE)/86400000),"-")</f>
        <v>-</v>
      </c>
      <c r="T274" s="58" t="str">
        <f>IFERROR(IF(VLOOKUP($A274,SortedDownload!$A$3:$BB$219,41,FALSE)=0,"-",VLOOKUP($A274,SortedDownload!$A$3:$BB$219,41,FALSE)/86400000),"-")</f>
        <v>-</v>
      </c>
      <c r="U274" s="58" t="str">
        <f>IFERROR(IF(VLOOKUP($A274,SortedDownload!$A$3:$BB$219,42,FALSE)=0,"-",VLOOKUP($A274,SortedDownload!$A$3:$BB$219,42,FALSE)/86400000),"-")</f>
        <v>-</v>
      </c>
      <c r="V274" s="58" t="str">
        <f>IFERROR(IF(VLOOKUP($A274,SortedDownload!$A$3:$BB$219,43,FALSE)=0,"-",VLOOKUP($A274,SortedDownload!$A$3:$BB$219,43,FALSE)/86400000),"-")</f>
        <v>-</v>
      </c>
      <c r="W274" s="58" t="str">
        <f>IFERROR(IF(VLOOKUP($A274,SortedDownload!$A$3:$BB$219,44,FALSE)=0,"-",VLOOKUP($A274,SortedDownload!$A$3:$BB$219,44,FALSE)/86400000),"-")</f>
        <v>-</v>
      </c>
      <c r="X274" s="58" t="str">
        <f>IFERROR(IF(VLOOKUP($A274,SortedDownload!$A$3:$BB$219,45,FALSE)=0,"-",VLOOKUP($A274,SortedDownload!$A$3:$BB$219,45,FALSE)/86400000),"-")</f>
        <v>-</v>
      </c>
      <c r="Y274" s="58" t="str">
        <f>IFERROR(VLOOKUP($A274,SortedDownload!$A$3:$BB$219,46,FALSE)/86400000,"")</f>
        <v/>
      </c>
      <c r="Z274" s="58" t="str">
        <f>IFERROR(Table932[[#This Row],[End Time]]-Table932[[#This Row],[Start Time]],"")</f>
        <v/>
      </c>
      <c r="AA274" s="58"/>
      <c r="AB274" s="170" t="e">
        <f t="shared" si="24"/>
        <v>#VALUE!</v>
      </c>
      <c r="AC274" s="170" t="e">
        <f t="shared" si="25"/>
        <v>#VALUE!</v>
      </c>
    </row>
    <row r="275" spans="1:29">
      <c r="A275" s="53" t="str">
        <f>IF(SortedDownload!A265 &lt; 1,"",SortedDownload!A265)</f>
        <v/>
      </c>
      <c r="B275" s="146" t="str">
        <f t="shared" si="26"/>
        <v/>
      </c>
      <c r="C275" s="146" t="str">
        <f>IFERROR(VLOOKUP($A275,CategoryResults!$A$3:$X$252,3,FALSE),"")</f>
        <v/>
      </c>
      <c r="D275" s="149" t="str">
        <f>IFERROR(VLOOKUP($A275,EntryList!$A$3:$N$291,2,FALSE),"")</f>
        <v/>
      </c>
      <c r="E275" s="146" t="str">
        <f>IFERROR(VLOOKUP(C275,SeriesPoints!$A$2:$B$51,2,FALSE),"")</f>
        <v/>
      </c>
      <c r="F275" s="150" t="str">
        <f>IFERROR(VLOOKUP($A275,EntryList!$A$3:$V$291,22,FALSE),"")</f>
        <v/>
      </c>
      <c r="G275" s="148" t="str">
        <f>IFERROR(VLOOKUP($A275,EntryList!$A$3:$N$291,6,FALSE),"")</f>
        <v/>
      </c>
      <c r="H275" s="226" t="str">
        <f>IFERROR(VLOOKUP($A275,EntryList!$A$3:$N$291,7,FALSE),"")</f>
        <v/>
      </c>
      <c r="I275" s="220">
        <f t="shared" si="27"/>
        <v>0</v>
      </c>
      <c r="J275" s="58" t="str">
        <f>IFERROR(VLOOKUP($A275,SortedDownload!$A$3:$BB$219,31,FALSE)/86400000,"")</f>
        <v/>
      </c>
      <c r="K275" s="58" t="str">
        <f>IFERROR(IF(VLOOKUP($A275,SortedDownload!$A$3:$BB$219,32,FALSE)=0,"-",VLOOKUP($A275,SortedDownload!$A$3:$BB$219,32,FALSE)/86400000),"-")</f>
        <v>-</v>
      </c>
      <c r="L275" s="58" t="str">
        <f>IFERROR(IF(VLOOKUP($A275,SortedDownload!$A$3:$BB$219,33,FALSE)=0,"-",VLOOKUP($A275,SortedDownload!$A$3:$BB$219,33,FALSE)/86400000),"-")</f>
        <v>-</v>
      </c>
      <c r="M275" s="58" t="str">
        <f>IFERROR(IF(VLOOKUP($A275,SortedDownload!$A$3:$BB$219,34,FALSE)=0,"-",VLOOKUP($A275,SortedDownload!$A$3:$BB$219,34,FALSE)/86400000),"-")</f>
        <v>-</v>
      </c>
      <c r="N275" s="58" t="str">
        <f>IFERROR(IF(VLOOKUP($A275,SortedDownload!$A$3:$BB$219,35,FALSE)=0,"-",VLOOKUP($A275,SortedDownload!$A$3:$BB$219,35,FALSE)/86400000),"-")</f>
        <v>-</v>
      </c>
      <c r="O275" s="58" t="str">
        <f>IFERROR(IF(VLOOKUP($A275,SortedDownload!$A$3:$BB$219,36,FALSE)=0,"-",VLOOKUP($A275,SortedDownload!$A$3:$BB$219,36,FALSE)/86400000),"-")</f>
        <v>-</v>
      </c>
      <c r="P275" s="58" t="str">
        <f>IFERROR(IF(VLOOKUP($A275,SortedDownload!$A$3:$BB$219,37,FALSE)=0,"-",VLOOKUP($A275,SortedDownload!$A$3:$BB$219,37,FALSE)/86400000),"-")</f>
        <v>-</v>
      </c>
      <c r="Q275" s="58" t="str">
        <f>IFERROR(IF(VLOOKUP($A275,SortedDownload!$A$3:$BB$219,38,FALSE)=0,"-",VLOOKUP($A275,SortedDownload!$A$3:$BB$219,38,FALSE)/86400000),"-")</f>
        <v>-</v>
      </c>
      <c r="R275" s="58" t="str">
        <f>IFERROR(IF(VLOOKUP($A275,SortedDownload!$A$3:$BB$219,39,FALSE)=0,"-",VLOOKUP($A275,SortedDownload!$A$3:$BB$219,39,FALSE)/86400000),"-")</f>
        <v>-</v>
      </c>
      <c r="S275" s="58" t="str">
        <f>IFERROR(IF(VLOOKUP($A275,SortedDownload!$A$3:$BB$219,40,FALSE)=0,"-",VLOOKUP($A275,SortedDownload!$A$3:$BB$219,40,FALSE)/86400000),"-")</f>
        <v>-</v>
      </c>
      <c r="T275" s="58" t="str">
        <f>IFERROR(IF(VLOOKUP($A275,SortedDownload!$A$3:$BB$219,41,FALSE)=0,"-",VLOOKUP($A275,SortedDownload!$A$3:$BB$219,41,FALSE)/86400000),"-")</f>
        <v>-</v>
      </c>
      <c r="U275" s="58" t="str">
        <f>IFERROR(IF(VLOOKUP($A275,SortedDownload!$A$3:$BB$219,42,FALSE)=0,"-",VLOOKUP($A275,SortedDownload!$A$3:$BB$219,42,FALSE)/86400000),"-")</f>
        <v>-</v>
      </c>
      <c r="V275" s="58" t="str">
        <f>IFERROR(IF(VLOOKUP($A275,SortedDownload!$A$3:$BB$219,43,FALSE)=0,"-",VLOOKUP($A275,SortedDownload!$A$3:$BB$219,43,FALSE)/86400000),"-")</f>
        <v>-</v>
      </c>
      <c r="W275" s="58" t="str">
        <f>IFERROR(IF(VLOOKUP($A275,SortedDownload!$A$3:$BB$219,44,FALSE)=0,"-",VLOOKUP($A275,SortedDownload!$A$3:$BB$219,44,FALSE)/86400000),"-")</f>
        <v>-</v>
      </c>
      <c r="X275" s="58" t="str">
        <f>IFERROR(IF(VLOOKUP($A275,SortedDownload!$A$3:$BB$219,45,FALSE)=0,"-",VLOOKUP($A275,SortedDownload!$A$3:$BB$219,45,FALSE)/86400000),"-")</f>
        <v>-</v>
      </c>
      <c r="Y275" s="58" t="str">
        <f>IFERROR(VLOOKUP($A275,SortedDownload!$A$3:$BB$219,46,FALSE)/86400000,"")</f>
        <v/>
      </c>
      <c r="Z275" s="58" t="str">
        <f>IFERROR(Table932[[#This Row],[End Time]]-Table932[[#This Row],[Start Time]],"")</f>
        <v/>
      </c>
      <c r="AA275" s="58"/>
      <c r="AB275" s="170" t="e">
        <f t="shared" si="24"/>
        <v>#VALUE!</v>
      </c>
      <c r="AC275" s="170" t="e">
        <f t="shared" si="25"/>
        <v>#VALUE!</v>
      </c>
    </row>
    <row r="276" spans="1:29">
      <c r="A276" s="53" t="str">
        <f>IF(SortedDownload!A266 &lt; 1,"",SortedDownload!A266)</f>
        <v/>
      </c>
      <c r="B276" s="146" t="str">
        <f t="shared" si="26"/>
        <v/>
      </c>
      <c r="C276" s="146" t="str">
        <f>IFERROR(VLOOKUP($A276,CategoryResults!$A$3:$X$252,3,FALSE),"")</f>
        <v/>
      </c>
      <c r="D276" s="149" t="str">
        <f>IFERROR(VLOOKUP($A276,EntryList!$A$3:$N$291,2,FALSE),"")</f>
        <v/>
      </c>
      <c r="E276" s="146" t="str">
        <f>IFERROR(VLOOKUP(C276,SeriesPoints!$A$2:$B$51,2,FALSE),"")</f>
        <v/>
      </c>
      <c r="F276" s="150" t="str">
        <f>IFERROR(VLOOKUP($A276,EntryList!$A$3:$V$291,22,FALSE),"")</f>
        <v/>
      </c>
      <c r="G276" s="148" t="str">
        <f>IFERROR(VLOOKUP($A276,EntryList!$A$3:$N$291,6,FALSE),"")</f>
        <v/>
      </c>
      <c r="H276" s="226" t="str">
        <f>IFERROR(VLOOKUP($A276,EntryList!$A$3:$N$291,7,FALSE),"")</f>
        <v/>
      </c>
      <c r="I276" s="220">
        <f t="shared" si="27"/>
        <v>0</v>
      </c>
      <c r="J276" s="58" t="str">
        <f>IFERROR(VLOOKUP($A276,SortedDownload!$A$3:$BB$219,31,FALSE)/86400000,"")</f>
        <v/>
      </c>
      <c r="K276" s="58" t="str">
        <f>IFERROR(IF(VLOOKUP($A276,SortedDownload!$A$3:$BB$219,32,FALSE)=0,"-",VLOOKUP($A276,SortedDownload!$A$3:$BB$219,32,FALSE)/86400000),"-")</f>
        <v>-</v>
      </c>
      <c r="L276" s="58" t="str">
        <f>IFERROR(IF(VLOOKUP($A276,SortedDownload!$A$3:$BB$219,33,FALSE)=0,"-",VLOOKUP($A276,SortedDownload!$A$3:$BB$219,33,FALSE)/86400000),"-")</f>
        <v>-</v>
      </c>
      <c r="M276" s="58" t="str">
        <f>IFERROR(IF(VLOOKUP($A276,SortedDownload!$A$3:$BB$219,34,FALSE)=0,"-",VLOOKUP($A276,SortedDownload!$A$3:$BB$219,34,FALSE)/86400000),"-")</f>
        <v>-</v>
      </c>
      <c r="N276" s="58" t="str">
        <f>IFERROR(IF(VLOOKUP($A276,SortedDownload!$A$3:$BB$219,35,FALSE)=0,"-",VLOOKUP($A276,SortedDownload!$A$3:$BB$219,35,FALSE)/86400000),"-")</f>
        <v>-</v>
      </c>
      <c r="O276" s="58" t="str">
        <f>IFERROR(IF(VLOOKUP($A276,SortedDownload!$A$3:$BB$219,36,FALSE)=0,"-",VLOOKUP($A276,SortedDownload!$A$3:$BB$219,36,FALSE)/86400000),"-")</f>
        <v>-</v>
      </c>
      <c r="P276" s="58" t="str">
        <f>IFERROR(IF(VLOOKUP($A276,SortedDownload!$A$3:$BB$219,37,FALSE)=0,"-",VLOOKUP($A276,SortedDownload!$A$3:$BB$219,37,FALSE)/86400000),"-")</f>
        <v>-</v>
      </c>
      <c r="Q276" s="58" t="str">
        <f>IFERROR(IF(VLOOKUP($A276,SortedDownload!$A$3:$BB$219,38,FALSE)=0,"-",VLOOKUP($A276,SortedDownload!$A$3:$BB$219,38,FALSE)/86400000),"-")</f>
        <v>-</v>
      </c>
      <c r="R276" s="58" t="str">
        <f>IFERROR(IF(VLOOKUP($A276,SortedDownload!$A$3:$BB$219,39,FALSE)=0,"-",VLOOKUP($A276,SortedDownload!$A$3:$BB$219,39,FALSE)/86400000),"-")</f>
        <v>-</v>
      </c>
      <c r="S276" s="58" t="str">
        <f>IFERROR(IF(VLOOKUP($A276,SortedDownload!$A$3:$BB$219,40,FALSE)=0,"-",VLOOKUP($A276,SortedDownload!$A$3:$BB$219,40,FALSE)/86400000),"-")</f>
        <v>-</v>
      </c>
      <c r="T276" s="58" t="str">
        <f>IFERROR(IF(VLOOKUP($A276,SortedDownload!$A$3:$BB$219,41,FALSE)=0,"-",VLOOKUP($A276,SortedDownload!$A$3:$BB$219,41,FALSE)/86400000),"-")</f>
        <v>-</v>
      </c>
      <c r="U276" s="58" t="str">
        <f>IFERROR(IF(VLOOKUP($A276,SortedDownload!$A$3:$BB$219,42,FALSE)=0,"-",VLOOKUP($A276,SortedDownload!$A$3:$BB$219,42,FALSE)/86400000),"-")</f>
        <v>-</v>
      </c>
      <c r="V276" s="58" t="str">
        <f>IFERROR(IF(VLOOKUP($A276,SortedDownload!$A$3:$BB$219,43,FALSE)=0,"-",VLOOKUP($A276,SortedDownload!$A$3:$BB$219,43,FALSE)/86400000),"-")</f>
        <v>-</v>
      </c>
      <c r="W276" s="58" t="str">
        <f>IFERROR(IF(VLOOKUP($A276,SortedDownload!$A$3:$BB$219,44,FALSE)=0,"-",VLOOKUP($A276,SortedDownload!$A$3:$BB$219,44,FALSE)/86400000),"-")</f>
        <v>-</v>
      </c>
      <c r="X276" s="58" t="str">
        <f>IFERROR(IF(VLOOKUP($A276,SortedDownload!$A$3:$BB$219,45,FALSE)=0,"-",VLOOKUP($A276,SortedDownload!$A$3:$BB$219,45,FALSE)/86400000),"-")</f>
        <v>-</v>
      </c>
      <c r="Y276" s="58" t="str">
        <f>IFERROR(VLOOKUP($A276,SortedDownload!$A$3:$BB$219,46,FALSE)/86400000,"")</f>
        <v/>
      </c>
      <c r="Z276" s="58" t="str">
        <f>IFERROR(Table932[[#This Row],[End Time]]-Table932[[#This Row],[Start Time]],"")</f>
        <v/>
      </c>
      <c r="AA276" s="58"/>
      <c r="AB276" s="170" t="e">
        <f t="shared" si="24"/>
        <v>#VALUE!</v>
      </c>
      <c r="AC276" s="170" t="e">
        <f t="shared" si="25"/>
        <v>#VALUE!</v>
      </c>
    </row>
    <row r="277" spans="1:29">
      <c r="A277" s="53" t="str">
        <f>IF(SortedDownload!A267 &lt; 1,"",SortedDownload!A267)</f>
        <v/>
      </c>
      <c r="B277" s="146" t="str">
        <f t="shared" si="26"/>
        <v/>
      </c>
      <c r="C277" s="146" t="str">
        <f>IFERROR(VLOOKUP($A277,CategoryResults!$A$3:$X$252,3,FALSE),"")</f>
        <v/>
      </c>
      <c r="D277" s="149" t="str">
        <f>IFERROR(VLOOKUP($A277,EntryList!$A$3:$N$291,2,FALSE),"")</f>
        <v/>
      </c>
      <c r="E277" s="146" t="str">
        <f>IFERROR(VLOOKUP(C277,SeriesPoints!$A$2:$B$51,2,FALSE),"")</f>
        <v/>
      </c>
      <c r="F277" s="150" t="str">
        <f>IFERROR(VLOOKUP($A277,EntryList!$A$3:$V$291,22,FALSE),"")</f>
        <v/>
      </c>
      <c r="G277" s="148" t="str">
        <f>IFERROR(VLOOKUP($A277,EntryList!$A$3:$N$291,6,FALSE),"")</f>
        <v/>
      </c>
      <c r="H277" s="226" t="str">
        <f>IFERROR(VLOOKUP($A277,EntryList!$A$3:$N$291,7,FALSE),"")</f>
        <v/>
      </c>
      <c r="I277" s="220">
        <f t="shared" si="27"/>
        <v>0</v>
      </c>
      <c r="J277" s="58" t="str">
        <f>IFERROR(VLOOKUP($A277,SortedDownload!$A$3:$BB$219,31,FALSE)/86400000,"")</f>
        <v/>
      </c>
      <c r="K277" s="58" t="str">
        <f>IFERROR(IF(VLOOKUP($A277,SortedDownload!$A$3:$BB$219,32,FALSE)=0,"-",VLOOKUP($A277,SortedDownload!$A$3:$BB$219,32,FALSE)/86400000),"-")</f>
        <v>-</v>
      </c>
      <c r="L277" s="58" t="str">
        <f>IFERROR(IF(VLOOKUP($A277,SortedDownload!$A$3:$BB$219,33,FALSE)=0,"-",VLOOKUP($A277,SortedDownload!$A$3:$BB$219,33,FALSE)/86400000),"-")</f>
        <v>-</v>
      </c>
      <c r="M277" s="58" t="str">
        <f>IFERROR(IF(VLOOKUP($A277,SortedDownload!$A$3:$BB$219,34,FALSE)=0,"-",VLOOKUP($A277,SortedDownload!$A$3:$BB$219,34,FALSE)/86400000),"-")</f>
        <v>-</v>
      </c>
      <c r="N277" s="58" t="str">
        <f>IFERROR(IF(VLOOKUP($A277,SortedDownload!$A$3:$BB$219,35,FALSE)=0,"-",VLOOKUP($A277,SortedDownload!$A$3:$BB$219,35,FALSE)/86400000),"-")</f>
        <v>-</v>
      </c>
      <c r="O277" s="58" t="str">
        <f>IFERROR(IF(VLOOKUP($A277,SortedDownload!$A$3:$BB$219,36,FALSE)=0,"-",VLOOKUP($A277,SortedDownload!$A$3:$BB$219,36,FALSE)/86400000),"-")</f>
        <v>-</v>
      </c>
      <c r="P277" s="58" t="str">
        <f>IFERROR(IF(VLOOKUP($A277,SortedDownload!$A$3:$BB$219,37,FALSE)=0,"-",VLOOKUP($A277,SortedDownload!$A$3:$BB$219,37,FALSE)/86400000),"-")</f>
        <v>-</v>
      </c>
      <c r="Q277" s="58" t="str">
        <f>IFERROR(IF(VLOOKUP($A277,SortedDownload!$A$3:$BB$219,38,FALSE)=0,"-",VLOOKUP($A277,SortedDownload!$A$3:$BB$219,38,FALSE)/86400000),"-")</f>
        <v>-</v>
      </c>
      <c r="R277" s="58" t="str">
        <f>IFERROR(IF(VLOOKUP($A277,SortedDownload!$A$3:$BB$219,39,FALSE)=0,"-",VLOOKUP($A277,SortedDownload!$A$3:$BB$219,39,FALSE)/86400000),"-")</f>
        <v>-</v>
      </c>
      <c r="S277" s="58" t="str">
        <f>IFERROR(IF(VLOOKUP($A277,SortedDownload!$A$3:$BB$219,40,FALSE)=0,"-",VLOOKUP($A277,SortedDownload!$A$3:$BB$219,40,FALSE)/86400000),"-")</f>
        <v>-</v>
      </c>
      <c r="T277" s="58" t="str">
        <f>IFERROR(IF(VLOOKUP($A277,SortedDownload!$A$3:$BB$219,41,FALSE)=0,"-",VLOOKUP($A277,SortedDownload!$A$3:$BB$219,41,FALSE)/86400000),"-")</f>
        <v>-</v>
      </c>
      <c r="U277" s="58" t="str">
        <f>IFERROR(IF(VLOOKUP($A277,SortedDownload!$A$3:$BB$219,42,FALSE)=0,"-",VLOOKUP($A277,SortedDownload!$A$3:$BB$219,42,FALSE)/86400000),"-")</f>
        <v>-</v>
      </c>
      <c r="V277" s="58" t="str">
        <f>IFERROR(IF(VLOOKUP($A277,SortedDownload!$A$3:$BB$219,43,FALSE)=0,"-",VLOOKUP($A277,SortedDownload!$A$3:$BB$219,43,FALSE)/86400000),"-")</f>
        <v>-</v>
      </c>
      <c r="W277" s="58" t="str">
        <f>IFERROR(IF(VLOOKUP($A277,SortedDownload!$A$3:$BB$219,44,FALSE)=0,"-",VLOOKUP($A277,SortedDownload!$A$3:$BB$219,44,FALSE)/86400000),"-")</f>
        <v>-</v>
      </c>
      <c r="X277" s="58" t="str">
        <f>IFERROR(IF(VLOOKUP($A277,SortedDownload!$A$3:$BB$219,45,FALSE)=0,"-",VLOOKUP($A277,SortedDownload!$A$3:$BB$219,45,FALSE)/86400000),"-")</f>
        <v>-</v>
      </c>
      <c r="Y277" s="58" t="str">
        <f>IFERROR(VLOOKUP($A277,SortedDownload!$A$3:$BB$219,46,FALSE)/86400000,"")</f>
        <v/>
      </c>
      <c r="Z277" s="58" t="str">
        <f>IFERROR(Table932[[#This Row],[End Time]]-Table932[[#This Row],[Start Time]],"")</f>
        <v/>
      </c>
      <c r="AA277" s="58"/>
      <c r="AB277" s="170" t="e">
        <f t="shared" si="24"/>
        <v>#VALUE!</v>
      </c>
      <c r="AC277" s="170" t="e">
        <f t="shared" si="25"/>
        <v>#VALUE!</v>
      </c>
    </row>
    <row r="278" spans="1:29">
      <c r="A278" s="53" t="str">
        <f>IF(SortedDownload!A268 &lt; 1,"",SortedDownload!A268)</f>
        <v/>
      </c>
      <c r="B278" s="146" t="str">
        <f t="shared" si="26"/>
        <v/>
      </c>
      <c r="C278" s="146" t="str">
        <f>IFERROR(VLOOKUP($A278,CategoryResults!$A$3:$X$252,3,FALSE),"")</f>
        <v/>
      </c>
      <c r="D278" s="149" t="str">
        <f>IFERROR(VLOOKUP($A278,EntryList!$A$3:$N$291,2,FALSE),"")</f>
        <v/>
      </c>
      <c r="E278" s="146" t="str">
        <f>IFERROR(VLOOKUP(C278,SeriesPoints!$A$2:$B$51,2,FALSE),"")</f>
        <v/>
      </c>
      <c r="F278" s="150" t="str">
        <f>IFERROR(VLOOKUP($A278,EntryList!$A$3:$V$291,22,FALSE),"")</f>
        <v/>
      </c>
      <c r="G278" s="148" t="str">
        <f>IFERROR(VLOOKUP($A278,EntryList!$A$3:$N$291,6,FALSE),"")</f>
        <v/>
      </c>
      <c r="H278" s="226" t="str">
        <f>IFERROR(VLOOKUP($A278,EntryList!$A$3:$N$291,7,FALSE),"")</f>
        <v/>
      </c>
      <c r="I278" s="220">
        <f t="shared" si="27"/>
        <v>0</v>
      </c>
      <c r="J278" s="58" t="str">
        <f>IFERROR(VLOOKUP($A278,SortedDownload!$A$3:$BB$219,31,FALSE)/86400000,"")</f>
        <v/>
      </c>
      <c r="K278" s="58" t="str">
        <f>IFERROR(IF(VLOOKUP($A278,SortedDownload!$A$3:$BB$219,32,FALSE)=0,"-",VLOOKUP($A278,SortedDownload!$A$3:$BB$219,32,FALSE)/86400000),"-")</f>
        <v>-</v>
      </c>
      <c r="L278" s="58" t="str">
        <f>IFERROR(IF(VLOOKUP($A278,SortedDownload!$A$3:$BB$219,33,FALSE)=0,"-",VLOOKUP($A278,SortedDownload!$A$3:$BB$219,33,FALSE)/86400000),"-")</f>
        <v>-</v>
      </c>
      <c r="M278" s="58" t="str">
        <f>IFERROR(IF(VLOOKUP($A278,SortedDownload!$A$3:$BB$219,34,FALSE)=0,"-",VLOOKUP($A278,SortedDownload!$A$3:$BB$219,34,FALSE)/86400000),"-")</f>
        <v>-</v>
      </c>
      <c r="N278" s="58" t="str">
        <f>IFERROR(IF(VLOOKUP($A278,SortedDownload!$A$3:$BB$219,35,FALSE)=0,"-",VLOOKUP($A278,SortedDownload!$A$3:$BB$219,35,FALSE)/86400000),"-")</f>
        <v>-</v>
      </c>
      <c r="O278" s="58" t="str">
        <f>IFERROR(IF(VLOOKUP($A278,SortedDownload!$A$3:$BB$219,36,FALSE)=0,"-",VLOOKUP($A278,SortedDownload!$A$3:$BB$219,36,FALSE)/86400000),"-")</f>
        <v>-</v>
      </c>
      <c r="P278" s="58" t="str">
        <f>IFERROR(IF(VLOOKUP($A278,SortedDownload!$A$3:$BB$219,37,FALSE)=0,"-",VLOOKUP($A278,SortedDownload!$A$3:$BB$219,37,FALSE)/86400000),"-")</f>
        <v>-</v>
      </c>
      <c r="Q278" s="58" t="str">
        <f>IFERROR(IF(VLOOKUP($A278,SortedDownload!$A$3:$BB$219,38,FALSE)=0,"-",VLOOKUP($A278,SortedDownload!$A$3:$BB$219,38,FALSE)/86400000),"-")</f>
        <v>-</v>
      </c>
      <c r="R278" s="58" t="str">
        <f>IFERROR(IF(VLOOKUP($A278,SortedDownload!$A$3:$BB$219,39,FALSE)=0,"-",VLOOKUP($A278,SortedDownload!$A$3:$BB$219,39,FALSE)/86400000),"-")</f>
        <v>-</v>
      </c>
      <c r="S278" s="58" t="str">
        <f>IFERROR(IF(VLOOKUP($A278,SortedDownload!$A$3:$BB$219,40,FALSE)=0,"-",VLOOKUP($A278,SortedDownload!$A$3:$BB$219,40,FALSE)/86400000),"-")</f>
        <v>-</v>
      </c>
      <c r="T278" s="58" t="str">
        <f>IFERROR(IF(VLOOKUP($A278,SortedDownload!$A$3:$BB$219,41,FALSE)=0,"-",VLOOKUP($A278,SortedDownload!$A$3:$BB$219,41,FALSE)/86400000),"-")</f>
        <v>-</v>
      </c>
      <c r="U278" s="58" t="str">
        <f>IFERROR(IF(VLOOKUP($A278,SortedDownload!$A$3:$BB$219,42,FALSE)=0,"-",VLOOKUP($A278,SortedDownload!$A$3:$BB$219,42,FALSE)/86400000),"-")</f>
        <v>-</v>
      </c>
      <c r="V278" s="58" t="str">
        <f>IFERROR(IF(VLOOKUP($A278,SortedDownload!$A$3:$BB$219,43,FALSE)=0,"-",VLOOKUP($A278,SortedDownload!$A$3:$BB$219,43,FALSE)/86400000),"-")</f>
        <v>-</v>
      </c>
      <c r="W278" s="58" t="str">
        <f>IFERROR(IF(VLOOKUP($A278,SortedDownload!$A$3:$BB$219,44,FALSE)=0,"-",VLOOKUP($A278,SortedDownload!$A$3:$BB$219,44,FALSE)/86400000),"-")</f>
        <v>-</v>
      </c>
      <c r="X278" s="58" t="str">
        <f>IFERROR(IF(VLOOKUP($A278,SortedDownload!$A$3:$BB$219,45,FALSE)=0,"-",VLOOKUP($A278,SortedDownload!$A$3:$BB$219,45,FALSE)/86400000),"-")</f>
        <v>-</v>
      </c>
      <c r="Y278" s="58" t="str">
        <f>IFERROR(VLOOKUP($A278,SortedDownload!$A$3:$BB$219,46,FALSE)/86400000,"")</f>
        <v/>
      </c>
      <c r="Z278" s="58" t="str">
        <f>IFERROR(Table932[[#This Row],[End Time]]-Table932[[#This Row],[Start Time]],"")</f>
        <v/>
      </c>
      <c r="AA278" s="58"/>
      <c r="AB278" s="170" t="e">
        <f t="shared" si="24"/>
        <v>#VALUE!</v>
      </c>
      <c r="AC278" s="170" t="e">
        <f t="shared" si="25"/>
        <v>#VALUE!</v>
      </c>
    </row>
    <row r="279" spans="1:29">
      <c r="A279" s="53" t="str">
        <f>IF(SortedDownload!A269 &lt; 1,"",SortedDownload!A269)</f>
        <v/>
      </c>
      <c r="B279" s="146" t="str">
        <f t="shared" si="26"/>
        <v/>
      </c>
      <c r="C279" s="146" t="str">
        <f>IFERROR(VLOOKUP($A279,CategoryResults!$A$3:$X$252,3,FALSE),"")</f>
        <v/>
      </c>
      <c r="D279" s="149" t="str">
        <f>IFERROR(VLOOKUP($A279,EntryList!$A$3:$N$291,2,FALSE),"")</f>
        <v/>
      </c>
      <c r="E279" s="146" t="str">
        <f>IFERROR(VLOOKUP(C279,SeriesPoints!$A$2:$B$51,2,FALSE),"")</f>
        <v/>
      </c>
      <c r="F279" s="150" t="str">
        <f>IFERROR(VLOOKUP($A279,EntryList!$A$3:$V$291,22,FALSE),"")</f>
        <v/>
      </c>
      <c r="G279" s="148" t="str">
        <f>IFERROR(VLOOKUP($A279,EntryList!$A$3:$N$291,6,FALSE),"")</f>
        <v/>
      </c>
      <c r="H279" s="226" t="str">
        <f>IFERROR(VLOOKUP($A279,EntryList!$A$3:$N$291,7,FALSE),"")</f>
        <v/>
      </c>
      <c r="I279" s="220">
        <f t="shared" si="27"/>
        <v>0</v>
      </c>
      <c r="J279" s="58" t="str">
        <f>IFERROR(VLOOKUP($A279,SortedDownload!$A$3:$BB$219,31,FALSE)/86400000,"")</f>
        <v/>
      </c>
      <c r="K279" s="58" t="str">
        <f>IFERROR(IF(VLOOKUP($A279,SortedDownload!$A$3:$BB$219,32,FALSE)=0,"-",VLOOKUP($A279,SortedDownload!$A$3:$BB$219,32,FALSE)/86400000),"-")</f>
        <v>-</v>
      </c>
      <c r="L279" s="58" t="str">
        <f>IFERROR(IF(VLOOKUP($A279,SortedDownload!$A$3:$BB$219,33,FALSE)=0,"-",VLOOKUP($A279,SortedDownload!$A$3:$BB$219,33,FALSE)/86400000),"-")</f>
        <v>-</v>
      </c>
      <c r="M279" s="58" t="str">
        <f>IFERROR(IF(VLOOKUP($A279,SortedDownload!$A$3:$BB$219,34,FALSE)=0,"-",VLOOKUP($A279,SortedDownload!$A$3:$BB$219,34,FALSE)/86400000),"-")</f>
        <v>-</v>
      </c>
      <c r="N279" s="58" t="str">
        <f>IFERROR(IF(VLOOKUP($A279,SortedDownload!$A$3:$BB$219,35,FALSE)=0,"-",VLOOKUP($A279,SortedDownload!$A$3:$BB$219,35,FALSE)/86400000),"-")</f>
        <v>-</v>
      </c>
      <c r="O279" s="58" t="str">
        <f>IFERROR(IF(VLOOKUP($A279,SortedDownload!$A$3:$BB$219,36,FALSE)=0,"-",VLOOKUP($A279,SortedDownload!$A$3:$BB$219,36,FALSE)/86400000),"-")</f>
        <v>-</v>
      </c>
      <c r="P279" s="58" t="str">
        <f>IFERROR(IF(VLOOKUP($A279,SortedDownload!$A$3:$BB$219,37,FALSE)=0,"-",VLOOKUP($A279,SortedDownload!$A$3:$BB$219,37,FALSE)/86400000),"-")</f>
        <v>-</v>
      </c>
      <c r="Q279" s="58" t="str">
        <f>IFERROR(IF(VLOOKUP($A279,SortedDownload!$A$3:$BB$219,38,FALSE)=0,"-",VLOOKUP($A279,SortedDownload!$A$3:$BB$219,38,FALSE)/86400000),"-")</f>
        <v>-</v>
      </c>
      <c r="R279" s="58" t="str">
        <f>IFERROR(IF(VLOOKUP($A279,SortedDownload!$A$3:$BB$219,39,FALSE)=0,"-",VLOOKUP($A279,SortedDownload!$A$3:$BB$219,39,FALSE)/86400000),"-")</f>
        <v>-</v>
      </c>
      <c r="S279" s="58" t="str">
        <f>IFERROR(IF(VLOOKUP($A279,SortedDownload!$A$3:$BB$219,40,FALSE)=0,"-",VLOOKUP($A279,SortedDownload!$A$3:$BB$219,40,FALSE)/86400000),"-")</f>
        <v>-</v>
      </c>
      <c r="T279" s="58" t="str">
        <f>IFERROR(IF(VLOOKUP($A279,SortedDownload!$A$3:$BB$219,41,FALSE)=0,"-",VLOOKUP($A279,SortedDownload!$A$3:$BB$219,41,FALSE)/86400000),"-")</f>
        <v>-</v>
      </c>
      <c r="U279" s="58" t="str">
        <f>IFERROR(IF(VLOOKUP($A279,SortedDownload!$A$3:$BB$219,42,FALSE)=0,"-",VLOOKUP($A279,SortedDownload!$A$3:$BB$219,42,FALSE)/86400000),"-")</f>
        <v>-</v>
      </c>
      <c r="V279" s="58" t="str">
        <f>IFERROR(IF(VLOOKUP($A279,SortedDownload!$A$3:$BB$219,43,FALSE)=0,"-",VLOOKUP($A279,SortedDownload!$A$3:$BB$219,43,FALSE)/86400000),"-")</f>
        <v>-</v>
      </c>
      <c r="W279" s="58" t="str">
        <f>IFERROR(IF(VLOOKUP($A279,SortedDownload!$A$3:$BB$219,44,FALSE)=0,"-",VLOOKUP($A279,SortedDownload!$A$3:$BB$219,44,FALSE)/86400000),"-")</f>
        <v>-</v>
      </c>
      <c r="X279" s="58" t="str">
        <f>IFERROR(IF(VLOOKUP($A279,SortedDownload!$A$3:$BB$219,45,FALSE)=0,"-",VLOOKUP($A279,SortedDownload!$A$3:$BB$219,45,FALSE)/86400000),"-")</f>
        <v>-</v>
      </c>
      <c r="Y279" s="58" t="str">
        <f>IFERROR(VLOOKUP($A279,SortedDownload!$A$3:$BB$219,46,FALSE)/86400000,"")</f>
        <v/>
      </c>
      <c r="Z279" s="58" t="str">
        <f>IFERROR(Table932[[#This Row],[End Time]]-Table932[[#This Row],[Start Time]],"")</f>
        <v/>
      </c>
      <c r="AA279" s="58"/>
      <c r="AB279" s="170" t="e">
        <f t="shared" si="24"/>
        <v>#VALUE!</v>
      </c>
      <c r="AC279" s="170" t="e">
        <f t="shared" si="25"/>
        <v>#VALUE!</v>
      </c>
    </row>
    <row r="280" spans="1:29">
      <c r="A280" s="53" t="str">
        <f>IF(SortedDownload!A270 &lt; 1,"",SortedDownload!A270)</f>
        <v/>
      </c>
      <c r="B280" s="146" t="str">
        <f t="shared" si="26"/>
        <v/>
      </c>
      <c r="C280" s="146" t="str">
        <f>IFERROR(VLOOKUP($A280,CategoryResults!$A$3:$X$252,3,FALSE),"")</f>
        <v/>
      </c>
      <c r="D280" s="149" t="str">
        <f>IFERROR(VLOOKUP($A280,EntryList!$A$3:$N$291,2,FALSE),"")</f>
        <v/>
      </c>
      <c r="E280" s="146" t="str">
        <f>IFERROR(VLOOKUP(C280,SeriesPoints!$A$2:$B$51,2,FALSE),"")</f>
        <v/>
      </c>
      <c r="F280" s="150" t="str">
        <f>IFERROR(VLOOKUP($A280,EntryList!$A$3:$V$291,22,FALSE),"")</f>
        <v/>
      </c>
      <c r="G280" s="148" t="str">
        <f>IFERROR(VLOOKUP($A280,EntryList!$A$3:$N$291,6,FALSE),"")</f>
        <v/>
      </c>
      <c r="H280" s="226" t="str">
        <f>IFERROR(VLOOKUP($A280,EntryList!$A$3:$N$291,7,FALSE),"")</f>
        <v/>
      </c>
      <c r="I280" s="220">
        <f t="shared" si="27"/>
        <v>0</v>
      </c>
      <c r="J280" s="58" t="str">
        <f>IFERROR(VLOOKUP($A280,SortedDownload!$A$3:$BB$219,31,FALSE)/86400000,"")</f>
        <v/>
      </c>
      <c r="K280" s="58" t="str">
        <f>IFERROR(IF(VLOOKUP($A280,SortedDownload!$A$3:$BB$219,32,FALSE)=0,"-",VLOOKUP($A280,SortedDownload!$A$3:$BB$219,32,FALSE)/86400000),"-")</f>
        <v>-</v>
      </c>
      <c r="L280" s="58" t="str">
        <f>IFERROR(IF(VLOOKUP($A280,SortedDownload!$A$3:$BB$219,33,FALSE)=0,"-",VLOOKUP($A280,SortedDownload!$A$3:$BB$219,33,FALSE)/86400000),"-")</f>
        <v>-</v>
      </c>
      <c r="M280" s="58" t="str">
        <f>IFERROR(IF(VLOOKUP($A280,SortedDownload!$A$3:$BB$219,34,FALSE)=0,"-",VLOOKUP($A280,SortedDownload!$A$3:$BB$219,34,FALSE)/86400000),"-")</f>
        <v>-</v>
      </c>
      <c r="N280" s="58" t="str">
        <f>IFERROR(IF(VLOOKUP($A280,SortedDownload!$A$3:$BB$219,35,FALSE)=0,"-",VLOOKUP($A280,SortedDownload!$A$3:$BB$219,35,FALSE)/86400000),"-")</f>
        <v>-</v>
      </c>
      <c r="O280" s="58" t="str">
        <f>IFERROR(IF(VLOOKUP($A280,SortedDownload!$A$3:$BB$219,36,FALSE)=0,"-",VLOOKUP($A280,SortedDownload!$A$3:$BB$219,36,FALSE)/86400000),"-")</f>
        <v>-</v>
      </c>
      <c r="P280" s="58" t="str">
        <f>IFERROR(IF(VLOOKUP($A280,SortedDownload!$A$3:$BB$219,37,FALSE)=0,"-",VLOOKUP($A280,SortedDownload!$A$3:$BB$219,37,FALSE)/86400000),"-")</f>
        <v>-</v>
      </c>
      <c r="Q280" s="58" t="str">
        <f>IFERROR(IF(VLOOKUP($A280,SortedDownload!$A$3:$BB$219,38,FALSE)=0,"-",VLOOKUP($A280,SortedDownload!$A$3:$BB$219,38,FALSE)/86400000),"-")</f>
        <v>-</v>
      </c>
      <c r="R280" s="58" t="str">
        <f>IFERROR(IF(VLOOKUP($A280,SortedDownload!$A$3:$BB$219,39,FALSE)=0,"-",VLOOKUP($A280,SortedDownload!$A$3:$BB$219,39,FALSE)/86400000),"-")</f>
        <v>-</v>
      </c>
      <c r="S280" s="58" t="str">
        <f>IFERROR(IF(VLOOKUP($A280,SortedDownload!$A$3:$BB$219,40,FALSE)=0,"-",VLOOKUP($A280,SortedDownload!$A$3:$BB$219,40,FALSE)/86400000),"-")</f>
        <v>-</v>
      </c>
      <c r="T280" s="58" t="str">
        <f>IFERROR(IF(VLOOKUP($A280,SortedDownload!$A$3:$BB$219,41,FALSE)=0,"-",VLOOKUP($A280,SortedDownload!$A$3:$BB$219,41,FALSE)/86400000),"-")</f>
        <v>-</v>
      </c>
      <c r="U280" s="58" t="str">
        <f>IFERROR(IF(VLOOKUP($A280,SortedDownload!$A$3:$BB$219,42,FALSE)=0,"-",VLOOKUP($A280,SortedDownload!$A$3:$BB$219,42,FALSE)/86400000),"-")</f>
        <v>-</v>
      </c>
      <c r="V280" s="58" t="str">
        <f>IFERROR(IF(VLOOKUP($A280,SortedDownload!$A$3:$BB$219,43,FALSE)=0,"-",VLOOKUP($A280,SortedDownload!$A$3:$BB$219,43,FALSE)/86400000),"-")</f>
        <v>-</v>
      </c>
      <c r="W280" s="58" t="str">
        <f>IFERROR(IF(VLOOKUP($A280,SortedDownload!$A$3:$BB$219,44,FALSE)=0,"-",VLOOKUP($A280,SortedDownload!$A$3:$BB$219,44,FALSE)/86400000),"-")</f>
        <v>-</v>
      </c>
      <c r="X280" s="58" t="str">
        <f>IFERROR(IF(VLOOKUP($A280,SortedDownload!$A$3:$BB$219,45,FALSE)=0,"-",VLOOKUP($A280,SortedDownload!$A$3:$BB$219,45,FALSE)/86400000),"-")</f>
        <v>-</v>
      </c>
      <c r="Y280" s="58" t="str">
        <f>IFERROR(VLOOKUP($A280,SortedDownload!$A$3:$BB$219,46,FALSE)/86400000,"")</f>
        <v/>
      </c>
      <c r="Z280" s="58" t="str">
        <f>IFERROR(Table932[[#This Row],[End Time]]-Table932[[#This Row],[Start Time]],"")</f>
        <v/>
      </c>
      <c r="AA280" s="58"/>
      <c r="AB280" s="170" t="e">
        <f t="shared" ref="AB280:AB311" si="28">Z280-Z279</f>
        <v>#VALUE!</v>
      </c>
      <c r="AC280" s="170" t="e">
        <f t="shared" ref="AC280:AC311" si="29">Z280-Z$6</f>
        <v>#VALUE!</v>
      </c>
    </row>
    <row r="281" spans="1:29">
      <c r="A281" s="53" t="str">
        <f>IF(SortedDownload!A271 &lt; 1,"",SortedDownload!A271)</f>
        <v/>
      </c>
      <c r="B281" s="146" t="str">
        <f t="shared" si="26"/>
        <v/>
      </c>
      <c r="C281" s="146" t="str">
        <f>IFERROR(VLOOKUP($A281,CategoryResults!$A$3:$X$252,3,FALSE),"")</f>
        <v/>
      </c>
      <c r="D281" s="149" t="str">
        <f>IFERROR(VLOOKUP($A281,EntryList!$A$3:$N$291,2,FALSE),"")</f>
        <v/>
      </c>
      <c r="E281" s="146" t="str">
        <f>IFERROR(VLOOKUP(C281,SeriesPoints!$A$2:$B$51,2,FALSE),"")</f>
        <v/>
      </c>
      <c r="F281" s="150" t="str">
        <f>IFERROR(VLOOKUP($A281,EntryList!$A$3:$V$291,22,FALSE),"")</f>
        <v/>
      </c>
      <c r="G281" s="148" t="str">
        <f>IFERROR(VLOOKUP($A281,EntryList!$A$3:$N$291,6,FALSE),"")</f>
        <v/>
      </c>
      <c r="H281" s="226" t="str">
        <f>IFERROR(VLOOKUP($A281,EntryList!$A$3:$N$291,7,FALSE),"")</f>
        <v/>
      </c>
      <c r="I281" s="220">
        <f t="shared" si="27"/>
        <v>0</v>
      </c>
      <c r="J281" s="58" t="str">
        <f>IFERROR(VLOOKUP($A281,SortedDownload!$A$3:$BB$219,31,FALSE)/86400000,"")</f>
        <v/>
      </c>
      <c r="K281" s="58" t="str">
        <f>IFERROR(IF(VLOOKUP($A281,SortedDownload!$A$3:$BB$219,32,FALSE)=0,"-",VLOOKUP($A281,SortedDownload!$A$3:$BB$219,32,FALSE)/86400000),"-")</f>
        <v>-</v>
      </c>
      <c r="L281" s="58" t="str">
        <f>IFERROR(IF(VLOOKUP($A281,SortedDownload!$A$3:$BB$219,33,FALSE)=0,"-",VLOOKUP($A281,SortedDownload!$A$3:$BB$219,33,FALSE)/86400000),"-")</f>
        <v>-</v>
      </c>
      <c r="M281" s="58" t="str">
        <f>IFERROR(IF(VLOOKUP($A281,SortedDownload!$A$3:$BB$219,34,FALSE)=0,"-",VLOOKUP($A281,SortedDownload!$A$3:$BB$219,34,FALSE)/86400000),"-")</f>
        <v>-</v>
      </c>
      <c r="N281" s="58" t="str">
        <f>IFERROR(IF(VLOOKUP($A281,SortedDownload!$A$3:$BB$219,35,FALSE)=0,"-",VLOOKUP($A281,SortedDownload!$A$3:$BB$219,35,FALSE)/86400000),"-")</f>
        <v>-</v>
      </c>
      <c r="O281" s="58" t="str">
        <f>IFERROR(IF(VLOOKUP($A281,SortedDownload!$A$3:$BB$219,36,FALSE)=0,"-",VLOOKUP($A281,SortedDownload!$A$3:$BB$219,36,FALSE)/86400000),"-")</f>
        <v>-</v>
      </c>
      <c r="P281" s="58" t="str">
        <f>IFERROR(IF(VLOOKUP($A281,SortedDownload!$A$3:$BB$219,37,FALSE)=0,"-",VLOOKUP($A281,SortedDownload!$A$3:$BB$219,37,FALSE)/86400000),"-")</f>
        <v>-</v>
      </c>
      <c r="Q281" s="58" t="str">
        <f>IFERROR(IF(VLOOKUP($A281,SortedDownload!$A$3:$BB$219,38,FALSE)=0,"-",VLOOKUP($A281,SortedDownload!$A$3:$BB$219,38,FALSE)/86400000),"-")</f>
        <v>-</v>
      </c>
      <c r="R281" s="58" t="str">
        <f>IFERROR(IF(VLOOKUP($A281,SortedDownload!$A$3:$BB$219,39,FALSE)=0,"-",VLOOKUP($A281,SortedDownload!$A$3:$BB$219,39,FALSE)/86400000),"-")</f>
        <v>-</v>
      </c>
      <c r="S281" s="58" t="str">
        <f>IFERROR(IF(VLOOKUP($A281,SortedDownload!$A$3:$BB$219,40,FALSE)=0,"-",VLOOKUP($A281,SortedDownload!$A$3:$BB$219,40,FALSE)/86400000),"-")</f>
        <v>-</v>
      </c>
      <c r="T281" s="58" t="str">
        <f>IFERROR(IF(VLOOKUP($A281,SortedDownload!$A$3:$BB$219,41,FALSE)=0,"-",VLOOKUP($A281,SortedDownload!$A$3:$BB$219,41,FALSE)/86400000),"-")</f>
        <v>-</v>
      </c>
      <c r="U281" s="58" t="str">
        <f>IFERROR(IF(VLOOKUP($A281,SortedDownload!$A$3:$BB$219,42,FALSE)=0,"-",VLOOKUP($A281,SortedDownload!$A$3:$BB$219,42,FALSE)/86400000),"-")</f>
        <v>-</v>
      </c>
      <c r="V281" s="58" t="str">
        <f>IFERROR(IF(VLOOKUP($A281,SortedDownload!$A$3:$BB$219,43,FALSE)=0,"-",VLOOKUP($A281,SortedDownload!$A$3:$BB$219,43,FALSE)/86400000),"-")</f>
        <v>-</v>
      </c>
      <c r="W281" s="58" t="str">
        <f>IFERROR(IF(VLOOKUP($A281,SortedDownload!$A$3:$BB$219,44,FALSE)=0,"-",VLOOKUP($A281,SortedDownload!$A$3:$BB$219,44,FALSE)/86400000),"-")</f>
        <v>-</v>
      </c>
      <c r="X281" s="58" t="str">
        <f>IFERROR(IF(VLOOKUP($A281,SortedDownload!$A$3:$BB$219,45,FALSE)=0,"-",VLOOKUP($A281,SortedDownload!$A$3:$BB$219,45,FALSE)/86400000),"-")</f>
        <v>-</v>
      </c>
      <c r="Y281" s="58" t="str">
        <f>IFERROR(VLOOKUP($A281,SortedDownload!$A$3:$BB$219,46,FALSE)/86400000,"")</f>
        <v/>
      </c>
      <c r="Z281" s="58" t="str">
        <f>IFERROR(Table932[[#This Row],[End Time]]-Table932[[#This Row],[Start Time]],"")</f>
        <v/>
      </c>
      <c r="AA281" s="58"/>
      <c r="AB281" s="170" t="e">
        <f t="shared" si="28"/>
        <v>#VALUE!</v>
      </c>
      <c r="AC281" s="170" t="e">
        <f t="shared" si="29"/>
        <v>#VALUE!</v>
      </c>
    </row>
    <row r="282" spans="1:29">
      <c r="A282" s="53" t="str">
        <f>IF(SortedDownload!A272 &lt; 1,"",SortedDownload!A272)</f>
        <v/>
      </c>
      <c r="B282" s="146" t="str">
        <f t="shared" si="26"/>
        <v/>
      </c>
      <c r="C282" s="146" t="str">
        <f>IFERROR(VLOOKUP($A282,CategoryResults!$A$3:$X$252,3,FALSE),"")</f>
        <v/>
      </c>
      <c r="D282" s="149" t="str">
        <f>IFERROR(VLOOKUP($A282,EntryList!$A$3:$N$291,2,FALSE),"")</f>
        <v/>
      </c>
      <c r="E282" s="146" t="str">
        <f>IFERROR(VLOOKUP(C282,SeriesPoints!$A$2:$B$51,2,FALSE),"")</f>
        <v/>
      </c>
      <c r="F282" s="150" t="str">
        <f>IFERROR(VLOOKUP($A282,EntryList!$A$3:$V$291,22,FALSE),"")</f>
        <v/>
      </c>
      <c r="G282" s="148" t="str">
        <f>IFERROR(VLOOKUP($A282,EntryList!$A$3:$N$291,6,FALSE),"")</f>
        <v/>
      </c>
      <c r="H282" s="226" t="str">
        <f>IFERROR(VLOOKUP($A282,EntryList!$A$3:$N$291,7,FALSE),"")</f>
        <v/>
      </c>
      <c r="I282" s="220">
        <f t="shared" si="27"/>
        <v>0</v>
      </c>
      <c r="J282" s="58" t="str">
        <f>IFERROR(VLOOKUP($A282,SortedDownload!$A$3:$BB$219,31,FALSE)/86400000,"")</f>
        <v/>
      </c>
      <c r="K282" s="58" t="str">
        <f>IFERROR(IF(VLOOKUP($A282,SortedDownload!$A$3:$BB$219,32,FALSE)=0,"-",VLOOKUP($A282,SortedDownload!$A$3:$BB$219,32,FALSE)/86400000),"-")</f>
        <v>-</v>
      </c>
      <c r="L282" s="58" t="str">
        <f>IFERROR(IF(VLOOKUP($A282,SortedDownload!$A$3:$BB$219,33,FALSE)=0,"-",VLOOKUP($A282,SortedDownload!$A$3:$BB$219,33,FALSE)/86400000),"-")</f>
        <v>-</v>
      </c>
      <c r="M282" s="58" t="str">
        <f>IFERROR(IF(VLOOKUP($A282,SortedDownload!$A$3:$BB$219,34,FALSE)=0,"-",VLOOKUP($A282,SortedDownload!$A$3:$BB$219,34,FALSE)/86400000),"-")</f>
        <v>-</v>
      </c>
      <c r="N282" s="58" t="str">
        <f>IFERROR(IF(VLOOKUP($A282,SortedDownload!$A$3:$BB$219,35,FALSE)=0,"-",VLOOKUP($A282,SortedDownload!$A$3:$BB$219,35,FALSE)/86400000),"-")</f>
        <v>-</v>
      </c>
      <c r="O282" s="58" t="str">
        <f>IFERROR(IF(VLOOKUP($A282,SortedDownload!$A$3:$BB$219,36,FALSE)=0,"-",VLOOKUP($A282,SortedDownload!$A$3:$BB$219,36,FALSE)/86400000),"-")</f>
        <v>-</v>
      </c>
      <c r="P282" s="58" t="str">
        <f>IFERROR(IF(VLOOKUP($A282,SortedDownload!$A$3:$BB$219,37,FALSE)=0,"-",VLOOKUP($A282,SortedDownload!$A$3:$BB$219,37,FALSE)/86400000),"-")</f>
        <v>-</v>
      </c>
      <c r="Q282" s="58" t="str">
        <f>IFERROR(IF(VLOOKUP($A282,SortedDownload!$A$3:$BB$219,38,FALSE)=0,"-",VLOOKUP($A282,SortedDownload!$A$3:$BB$219,38,FALSE)/86400000),"-")</f>
        <v>-</v>
      </c>
      <c r="R282" s="58" t="str">
        <f>IFERROR(IF(VLOOKUP($A282,SortedDownload!$A$3:$BB$219,39,FALSE)=0,"-",VLOOKUP($A282,SortedDownload!$A$3:$BB$219,39,FALSE)/86400000),"-")</f>
        <v>-</v>
      </c>
      <c r="S282" s="58" t="str">
        <f>IFERROR(IF(VLOOKUP($A282,SortedDownload!$A$3:$BB$219,40,FALSE)=0,"-",VLOOKUP($A282,SortedDownload!$A$3:$BB$219,40,FALSE)/86400000),"-")</f>
        <v>-</v>
      </c>
      <c r="T282" s="58" t="str">
        <f>IFERROR(IF(VLOOKUP($A282,SortedDownload!$A$3:$BB$219,41,FALSE)=0,"-",VLOOKUP($A282,SortedDownload!$A$3:$BB$219,41,FALSE)/86400000),"-")</f>
        <v>-</v>
      </c>
      <c r="U282" s="58" t="str">
        <f>IFERROR(IF(VLOOKUP($A282,SortedDownload!$A$3:$BB$219,42,FALSE)=0,"-",VLOOKUP($A282,SortedDownload!$A$3:$BB$219,42,FALSE)/86400000),"-")</f>
        <v>-</v>
      </c>
      <c r="V282" s="58" t="str">
        <f>IFERROR(IF(VLOOKUP($A282,SortedDownload!$A$3:$BB$219,43,FALSE)=0,"-",VLOOKUP($A282,SortedDownload!$A$3:$BB$219,43,FALSE)/86400000),"-")</f>
        <v>-</v>
      </c>
      <c r="W282" s="58" t="str">
        <f>IFERROR(IF(VLOOKUP($A282,SortedDownload!$A$3:$BB$219,44,FALSE)=0,"-",VLOOKUP($A282,SortedDownload!$A$3:$BB$219,44,FALSE)/86400000),"-")</f>
        <v>-</v>
      </c>
      <c r="X282" s="58" t="str">
        <f>IFERROR(IF(VLOOKUP($A282,SortedDownload!$A$3:$BB$219,45,FALSE)=0,"-",VLOOKUP($A282,SortedDownload!$A$3:$BB$219,45,FALSE)/86400000),"-")</f>
        <v>-</v>
      </c>
      <c r="Y282" s="58" t="str">
        <f>IFERROR(VLOOKUP($A282,SortedDownload!$A$3:$BB$219,46,FALSE)/86400000,"")</f>
        <v/>
      </c>
      <c r="Z282" s="58" t="str">
        <f>IFERROR(Table932[[#This Row],[End Time]]-Table932[[#This Row],[Start Time]],"")</f>
        <v/>
      </c>
      <c r="AA282" s="58"/>
      <c r="AB282" s="170" t="e">
        <f t="shared" si="28"/>
        <v>#VALUE!</v>
      </c>
      <c r="AC282" s="170" t="e">
        <f t="shared" si="29"/>
        <v>#VALUE!</v>
      </c>
    </row>
    <row r="283" spans="1:29">
      <c r="A283" s="53" t="str">
        <f>IF(SortedDownload!A273 &lt; 1,"",SortedDownload!A273)</f>
        <v/>
      </c>
      <c r="B283" s="146" t="str">
        <f t="shared" si="26"/>
        <v/>
      </c>
      <c r="C283" s="146" t="str">
        <f>IFERROR(VLOOKUP($A283,CategoryResults!$A$3:$X$252,3,FALSE),"")</f>
        <v/>
      </c>
      <c r="D283" s="149" t="str">
        <f>IFERROR(VLOOKUP($A283,EntryList!$A$3:$N$291,2,FALSE),"")</f>
        <v/>
      </c>
      <c r="E283" s="146" t="str">
        <f>IFERROR(VLOOKUP(C283,SeriesPoints!$A$2:$B$51,2,FALSE),"")</f>
        <v/>
      </c>
      <c r="F283" s="150" t="str">
        <f>IFERROR(VLOOKUP($A283,EntryList!$A$3:$V$291,22,FALSE),"")</f>
        <v/>
      </c>
      <c r="G283" s="148" t="str">
        <f>IFERROR(VLOOKUP($A283,EntryList!$A$3:$N$291,6,FALSE),"")</f>
        <v/>
      </c>
      <c r="H283" s="226" t="str">
        <f>IFERROR(VLOOKUP($A283,EntryList!$A$3:$N$291,7,FALSE),"")</f>
        <v/>
      </c>
      <c r="I283" s="220">
        <f t="shared" si="27"/>
        <v>0</v>
      </c>
      <c r="J283" s="58" t="str">
        <f>IFERROR(VLOOKUP($A283,SortedDownload!$A$3:$BB$219,31,FALSE)/86400000,"")</f>
        <v/>
      </c>
      <c r="K283" s="58" t="str">
        <f>IFERROR(IF(VLOOKUP($A283,SortedDownload!$A$3:$BB$219,32,FALSE)=0,"-",VLOOKUP($A283,SortedDownload!$A$3:$BB$219,32,FALSE)/86400000),"-")</f>
        <v>-</v>
      </c>
      <c r="L283" s="58" t="str">
        <f>IFERROR(IF(VLOOKUP($A283,SortedDownload!$A$3:$BB$219,33,FALSE)=0,"-",VLOOKUP($A283,SortedDownload!$A$3:$BB$219,33,FALSE)/86400000),"-")</f>
        <v>-</v>
      </c>
      <c r="M283" s="58" t="str">
        <f>IFERROR(IF(VLOOKUP($A283,SortedDownload!$A$3:$BB$219,34,FALSE)=0,"-",VLOOKUP($A283,SortedDownload!$A$3:$BB$219,34,FALSE)/86400000),"-")</f>
        <v>-</v>
      </c>
      <c r="N283" s="58" t="str">
        <f>IFERROR(IF(VLOOKUP($A283,SortedDownload!$A$3:$BB$219,35,FALSE)=0,"-",VLOOKUP($A283,SortedDownload!$A$3:$BB$219,35,FALSE)/86400000),"-")</f>
        <v>-</v>
      </c>
      <c r="O283" s="58" t="str">
        <f>IFERROR(IF(VLOOKUP($A283,SortedDownload!$A$3:$BB$219,36,FALSE)=0,"-",VLOOKUP($A283,SortedDownload!$A$3:$BB$219,36,FALSE)/86400000),"-")</f>
        <v>-</v>
      </c>
      <c r="P283" s="58" t="str">
        <f>IFERROR(IF(VLOOKUP($A283,SortedDownload!$A$3:$BB$219,37,FALSE)=0,"-",VLOOKUP($A283,SortedDownload!$A$3:$BB$219,37,FALSE)/86400000),"-")</f>
        <v>-</v>
      </c>
      <c r="Q283" s="58" t="str">
        <f>IFERROR(IF(VLOOKUP($A283,SortedDownload!$A$3:$BB$219,38,FALSE)=0,"-",VLOOKUP($A283,SortedDownload!$A$3:$BB$219,38,FALSE)/86400000),"-")</f>
        <v>-</v>
      </c>
      <c r="R283" s="58" t="str">
        <f>IFERROR(IF(VLOOKUP($A283,SortedDownload!$A$3:$BB$219,39,FALSE)=0,"-",VLOOKUP($A283,SortedDownload!$A$3:$BB$219,39,FALSE)/86400000),"-")</f>
        <v>-</v>
      </c>
      <c r="S283" s="58" t="str">
        <f>IFERROR(IF(VLOOKUP($A283,SortedDownload!$A$3:$BB$219,40,FALSE)=0,"-",VLOOKUP($A283,SortedDownload!$A$3:$BB$219,40,FALSE)/86400000),"-")</f>
        <v>-</v>
      </c>
      <c r="T283" s="58" t="str">
        <f>IFERROR(IF(VLOOKUP($A283,SortedDownload!$A$3:$BB$219,41,FALSE)=0,"-",VLOOKUP($A283,SortedDownload!$A$3:$BB$219,41,FALSE)/86400000),"-")</f>
        <v>-</v>
      </c>
      <c r="U283" s="58" t="str">
        <f>IFERROR(IF(VLOOKUP($A283,SortedDownload!$A$3:$BB$219,42,FALSE)=0,"-",VLOOKUP($A283,SortedDownload!$A$3:$BB$219,42,FALSE)/86400000),"-")</f>
        <v>-</v>
      </c>
      <c r="V283" s="58" t="str">
        <f>IFERROR(IF(VLOOKUP($A283,SortedDownload!$A$3:$BB$219,43,FALSE)=0,"-",VLOOKUP($A283,SortedDownload!$A$3:$BB$219,43,FALSE)/86400000),"-")</f>
        <v>-</v>
      </c>
      <c r="W283" s="58" t="str">
        <f>IFERROR(IF(VLOOKUP($A283,SortedDownload!$A$3:$BB$219,44,FALSE)=0,"-",VLOOKUP($A283,SortedDownload!$A$3:$BB$219,44,FALSE)/86400000),"-")</f>
        <v>-</v>
      </c>
      <c r="X283" s="58" t="str">
        <f>IFERROR(IF(VLOOKUP($A283,SortedDownload!$A$3:$BB$219,45,FALSE)=0,"-",VLOOKUP($A283,SortedDownload!$A$3:$BB$219,45,FALSE)/86400000),"-")</f>
        <v>-</v>
      </c>
      <c r="Y283" s="58" t="str">
        <f>IFERROR(VLOOKUP($A283,SortedDownload!$A$3:$BB$219,46,FALSE)/86400000,"")</f>
        <v/>
      </c>
      <c r="Z283" s="58" t="str">
        <f>IFERROR(Table932[[#This Row],[End Time]]-Table932[[#This Row],[Start Time]],"")</f>
        <v/>
      </c>
      <c r="AA283" s="58"/>
      <c r="AB283" s="170" t="e">
        <f t="shared" si="28"/>
        <v>#VALUE!</v>
      </c>
      <c r="AC283" s="170" t="e">
        <f t="shared" si="29"/>
        <v>#VALUE!</v>
      </c>
    </row>
    <row r="284" spans="1:29">
      <c r="A284" s="53" t="str">
        <f>IF(SortedDownload!A274 &lt; 1,"",SortedDownload!A274)</f>
        <v/>
      </c>
      <c r="B284" s="146" t="str">
        <f t="shared" si="26"/>
        <v/>
      </c>
      <c r="C284" s="146" t="str">
        <f>IFERROR(VLOOKUP($A284,CategoryResults!$A$3:$X$252,3,FALSE),"")</f>
        <v/>
      </c>
      <c r="D284" s="149" t="str">
        <f>IFERROR(VLOOKUP($A284,EntryList!$A$3:$N$291,2,FALSE),"")</f>
        <v/>
      </c>
      <c r="E284" s="146" t="str">
        <f>IFERROR(VLOOKUP(C284,SeriesPoints!$A$2:$B$51,2,FALSE),"")</f>
        <v/>
      </c>
      <c r="F284" s="150" t="str">
        <f>IFERROR(VLOOKUP($A284,EntryList!$A$3:$V$291,22,FALSE),"")</f>
        <v/>
      </c>
      <c r="G284" s="148" t="str">
        <f>IFERROR(VLOOKUP($A284,EntryList!$A$3:$N$291,6,FALSE),"")</f>
        <v/>
      </c>
      <c r="H284" s="226" t="str">
        <f>IFERROR(VLOOKUP($A284,EntryList!$A$3:$N$291,7,FALSE),"")</f>
        <v/>
      </c>
      <c r="I284" s="220">
        <f t="shared" si="27"/>
        <v>0</v>
      </c>
      <c r="J284" s="58" t="str">
        <f>IFERROR(VLOOKUP($A284,SortedDownload!$A$3:$BB$219,31,FALSE)/86400000,"")</f>
        <v/>
      </c>
      <c r="K284" s="58" t="str">
        <f>IFERROR(IF(VLOOKUP($A284,SortedDownload!$A$3:$BB$219,32,FALSE)=0,"-",VLOOKUP($A284,SortedDownload!$A$3:$BB$219,32,FALSE)/86400000),"-")</f>
        <v>-</v>
      </c>
      <c r="L284" s="58" t="str">
        <f>IFERROR(IF(VLOOKUP($A284,SortedDownload!$A$3:$BB$219,33,FALSE)=0,"-",VLOOKUP($A284,SortedDownload!$A$3:$BB$219,33,FALSE)/86400000),"-")</f>
        <v>-</v>
      </c>
      <c r="M284" s="58" t="str">
        <f>IFERROR(IF(VLOOKUP($A284,SortedDownload!$A$3:$BB$219,34,FALSE)=0,"-",VLOOKUP($A284,SortedDownload!$A$3:$BB$219,34,FALSE)/86400000),"-")</f>
        <v>-</v>
      </c>
      <c r="N284" s="58" t="str">
        <f>IFERROR(IF(VLOOKUP($A284,SortedDownload!$A$3:$BB$219,35,FALSE)=0,"-",VLOOKUP($A284,SortedDownload!$A$3:$BB$219,35,FALSE)/86400000),"-")</f>
        <v>-</v>
      </c>
      <c r="O284" s="58" t="str">
        <f>IFERROR(IF(VLOOKUP($A284,SortedDownload!$A$3:$BB$219,36,FALSE)=0,"-",VLOOKUP($A284,SortedDownload!$A$3:$BB$219,36,FALSE)/86400000),"-")</f>
        <v>-</v>
      </c>
      <c r="P284" s="58" t="str">
        <f>IFERROR(IF(VLOOKUP($A284,SortedDownload!$A$3:$BB$219,37,FALSE)=0,"-",VLOOKUP($A284,SortedDownload!$A$3:$BB$219,37,FALSE)/86400000),"-")</f>
        <v>-</v>
      </c>
      <c r="Q284" s="58" t="str">
        <f>IFERROR(IF(VLOOKUP($A284,SortedDownload!$A$3:$BB$219,38,FALSE)=0,"-",VLOOKUP($A284,SortedDownload!$A$3:$BB$219,38,FALSE)/86400000),"-")</f>
        <v>-</v>
      </c>
      <c r="R284" s="58" t="str">
        <f>IFERROR(IF(VLOOKUP($A284,SortedDownload!$A$3:$BB$219,39,FALSE)=0,"-",VLOOKUP($A284,SortedDownload!$A$3:$BB$219,39,FALSE)/86400000),"-")</f>
        <v>-</v>
      </c>
      <c r="S284" s="58" t="str">
        <f>IFERROR(IF(VLOOKUP($A284,SortedDownload!$A$3:$BB$219,40,FALSE)=0,"-",VLOOKUP($A284,SortedDownload!$A$3:$BB$219,40,FALSE)/86400000),"-")</f>
        <v>-</v>
      </c>
      <c r="T284" s="58" t="str">
        <f>IFERROR(IF(VLOOKUP($A284,SortedDownload!$A$3:$BB$219,41,FALSE)=0,"-",VLOOKUP($A284,SortedDownload!$A$3:$BB$219,41,FALSE)/86400000),"-")</f>
        <v>-</v>
      </c>
      <c r="U284" s="58" t="str">
        <f>IFERROR(IF(VLOOKUP($A284,SortedDownload!$A$3:$BB$219,42,FALSE)=0,"-",VLOOKUP($A284,SortedDownload!$A$3:$BB$219,42,FALSE)/86400000),"-")</f>
        <v>-</v>
      </c>
      <c r="V284" s="58" t="str">
        <f>IFERROR(IF(VLOOKUP($A284,SortedDownload!$A$3:$BB$219,43,FALSE)=0,"-",VLOOKUP($A284,SortedDownload!$A$3:$BB$219,43,FALSE)/86400000),"-")</f>
        <v>-</v>
      </c>
      <c r="W284" s="58" t="str">
        <f>IFERROR(IF(VLOOKUP($A284,SortedDownload!$A$3:$BB$219,44,FALSE)=0,"-",VLOOKUP($A284,SortedDownload!$A$3:$BB$219,44,FALSE)/86400000),"-")</f>
        <v>-</v>
      </c>
      <c r="X284" s="58" t="str">
        <f>IFERROR(IF(VLOOKUP($A284,SortedDownload!$A$3:$BB$219,45,FALSE)=0,"-",VLOOKUP($A284,SortedDownload!$A$3:$BB$219,45,FALSE)/86400000),"-")</f>
        <v>-</v>
      </c>
      <c r="Y284" s="58" t="str">
        <f>IFERROR(VLOOKUP($A284,SortedDownload!$A$3:$BB$219,46,FALSE)/86400000,"")</f>
        <v/>
      </c>
      <c r="Z284" s="58" t="str">
        <f>IFERROR(Table932[[#This Row],[End Time]]-Table932[[#This Row],[Start Time]],"")</f>
        <v/>
      </c>
      <c r="AA284" s="58"/>
      <c r="AB284" s="170" t="e">
        <f t="shared" si="28"/>
        <v>#VALUE!</v>
      </c>
      <c r="AC284" s="170" t="e">
        <f t="shared" si="29"/>
        <v>#VALUE!</v>
      </c>
    </row>
    <row r="285" spans="1:29">
      <c r="A285" s="53" t="str">
        <f>IF(SortedDownload!A275 &lt; 1,"",SortedDownload!A275)</f>
        <v/>
      </c>
      <c r="B285" s="146" t="str">
        <f t="shared" si="26"/>
        <v/>
      </c>
      <c r="C285" s="146" t="str">
        <f>IFERROR(VLOOKUP($A285,CategoryResults!$A$3:$X$252,3,FALSE),"")</f>
        <v/>
      </c>
      <c r="D285" s="149" t="str">
        <f>IFERROR(VLOOKUP($A285,EntryList!$A$3:$N$291,2,FALSE),"")</f>
        <v/>
      </c>
      <c r="E285" s="146" t="str">
        <f>IFERROR(VLOOKUP(C285,SeriesPoints!$A$2:$B$51,2,FALSE),"")</f>
        <v/>
      </c>
      <c r="F285" s="150" t="str">
        <f>IFERROR(VLOOKUP($A285,EntryList!$A$3:$V$291,22,FALSE),"")</f>
        <v/>
      </c>
      <c r="G285" s="148" t="str">
        <f>IFERROR(VLOOKUP($A285,EntryList!$A$3:$N$291,6,FALSE),"")</f>
        <v/>
      </c>
      <c r="H285" s="226" t="str">
        <f>IFERROR(VLOOKUP($A285,EntryList!$A$3:$N$291,7,FALSE),"")</f>
        <v/>
      </c>
      <c r="I285" s="220">
        <f t="shared" si="27"/>
        <v>0</v>
      </c>
      <c r="J285" s="58" t="str">
        <f>IFERROR(VLOOKUP($A285,SortedDownload!$A$3:$BB$219,31,FALSE)/86400000,"")</f>
        <v/>
      </c>
      <c r="K285" s="58" t="str">
        <f>IFERROR(IF(VLOOKUP($A285,SortedDownload!$A$3:$BB$219,32,FALSE)=0,"-",VLOOKUP($A285,SortedDownload!$A$3:$BB$219,32,FALSE)/86400000),"-")</f>
        <v>-</v>
      </c>
      <c r="L285" s="58" t="str">
        <f>IFERROR(IF(VLOOKUP($A285,SortedDownload!$A$3:$BB$219,33,FALSE)=0,"-",VLOOKUP($A285,SortedDownload!$A$3:$BB$219,33,FALSE)/86400000),"-")</f>
        <v>-</v>
      </c>
      <c r="M285" s="58" t="str">
        <f>IFERROR(IF(VLOOKUP($A285,SortedDownload!$A$3:$BB$219,34,FALSE)=0,"-",VLOOKUP($A285,SortedDownload!$A$3:$BB$219,34,FALSE)/86400000),"-")</f>
        <v>-</v>
      </c>
      <c r="N285" s="58" t="str">
        <f>IFERROR(IF(VLOOKUP($A285,SortedDownload!$A$3:$BB$219,35,FALSE)=0,"-",VLOOKUP($A285,SortedDownload!$A$3:$BB$219,35,FALSE)/86400000),"-")</f>
        <v>-</v>
      </c>
      <c r="O285" s="58" t="str">
        <f>IFERROR(IF(VLOOKUP($A285,SortedDownload!$A$3:$BB$219,36,FALSE)=0,"-",VLOOKUP($A285,SortedDownload!$A$3:$BB$219,36,FALSE)/86400000),"-")</f>
        <v>-</v>
      </c>
      <c r="P285" s="58" t="str">
        <f>IFERROR(IF(VLOOKUP($A285,SortedDownload!$A$3:$BB$219,37,FALSE)=0,"-",VLOOKUP($A285,SortedDownload!$A$3:$BB$219,37,FALSE)/86400000),"-")</f>
        <v>-</v>
      </c>
      <c r="Q285" s="58" t="str">
        <f>IFERROR(IF(VLOOKUP($A285,SortedDownload!$A$3:$BB$219,38,FALSE)=0,"-",VLOOKUP($A285,SortedDownload!$A$3:$BB$219,38,FALSE)/86400000),"-")</f>
        <v>-</v>
      </c>
      <c r="R285" s="58" t="str">
        <f>IFERROR(IF(VLOOKUP($A285,SortedDownload!$A$3:$BB$219,39,FALSE)=0,"-",VLOOKUP($A285,SortedDownload!$A$3:$BB$219,39,FALSE)/86400000),"-")</f>
        <v>-</v>
      </c>
      <c r="S285" s="58" t="str">
        <f>IFERROR(IF(VLOOKUP($A285,SortedDownload!$A$3:$BB$219,40,FALSE)=0,"-",VLOOKUP($A285,SortedDownload!$A$3:$BB$219,40,FALSE)/86400000),"-")</f>
        <v>-</v>
      </c>
      <c r="T285" s="58" t="str">
        <f>IFERROR(IF(VLOOKUP($A285,SortedDownload!$A$3:$BB$219,41,FALSE)=0,"-",VLOOKUP($A285,SortedDownload!$A$3:$BB$219,41,FALSE)/86400000),"-")</f>
        <v>-</v>
      </c>
      <c r="U285" s="58" t="str">
        <f>IFERROR(IF(VLOOKUP($A285,SortedDownload!$A$3:$BB$219,42,FALSE)=0,"-",VLOOKUP($A285,SortedDownload!$A$3:$BB$219,42,FALSE)/86400000),"-")</f>
        <v>-</v>
      </c>
      <c r="V285" s="58" t="str">
        <f>IFERROR(IF(VLOOKUP($A285,SortedDownload!$A$3:$BB$219,43,FALSE)=0,"-",VLOOKUP($A285,SortedDownload!$A$3:$BB$219,43,FALSE)/86400000),"-")</f>
        <v>-</v>
      </c>
      <c r="W285" s="58" t="str">
        <f>IFERROR(IF(VLOOKUP($A285,SortedDownload!$A$3:$BB$219,44,FALSE)=0,"-",VLOOKUP($A285,SortedDownload!$A$3:$BB$219,44,FALSE)/86400000),"-")</f>
        <v>-</v>
      </c>
      <c r="X285" s="58" t="str">
        <f>IFERROR(IF(VLOOKUP($A285,SortedDownload!$A$3:$BB$219,45,FALSE)=0,"-",VLOOKUP($A285,SortedDownload!$A$3:$BB$219,45,FALSE)/86400000),"-")</f>
        <v>-</v>
      </c>
      <c r="Y285" s="58" t="str">
        <f>IFERROR(VLOOKUP($A285,SortedDownload!$A$3:$BB$219,46,FALSE)/86400000,"")</f>
        <v/>
      </c>
      <c r="Z285" s="58" t="str">
        <f>IFERROR(Table932[[#This Row],[End Time]]-Table932[[#This Row],[Start Time]],"")</f>
        <v/>
      </c>
      <c r="AA285" s="58"/>
      <c r="AB285" s="170" t="e">
        <f t="shared" si="28"/>
        <v>#VALUE!</v>
      </c>
      <c r="AC285" s="170" t="e">
        <f t="shared" si="29"/>
        <v>#VALUE!</v>
      </c>
    </row>
    <row r="286" spans="1:29">
      <c r="A286" s="53" t="str">
        <f>IF(SortedDownload!A276 &lt; 1,"",SortedDownload!A276)</f>
        <v/>
      </c>
      <c r="B286" s="146" t="str">
        <f t="shared" si="26"/>
        <v/>
      </c>
      <c r="C286" s="146" t="str">
        <f>IFERROR(VLOOKUP($A286,CategoryResults!$A$3:$X$252,3,FALSE),"")</f>
        <v/>
      </c>
      <c r="D286" s="149" t="str">
        <f>IFERROR(VLOOKUP($A286,EntryList!$A$3:$N$291,2,FALSE),"")</f>
        <v/>
      </c>
      <c r="E286" s="146" t="str">
        <f>IFERROR(VLOOKUP(C286,SeriesPoints!$A$2:$B$51,2,FALSE),"")</f>
        <v/>
      </c>
      <c r="F286" s="150" t="str">
        <f>IFERROR(VLOOKUP($A286,EntryList!$A$3:$V$291,22,FALSE),"")</f>
        <v/>
      </c>
      <c r="G286" s="148" t="str">
        <f>IFERROR(VLOOKUP($A286,EntryList!$A$3:$N$291,6,FALSE),"")</f>
        <v/>
      </c>
      <c r="H286" s="226" t="str">
        <f>IFERROR(VLOOKUP($A286,EntryList!$A$3:$N$291,7,FALSE),"")</f>
        <v/>
      </c>
      <c r="I286" s="220">
        <f t="shared" si="27"/>
        <v>0</v>
      </c>
      <c r="J286" s="58" t="str">
        <f>IFERROR(VLOOKUP($A286,SortedDownload!$A$3:$BB$219,31,FALSE)/86400000,"")</f>
        <v/>
      </c>
      <c r="K286" s="58" t="str">
        <f>IFERROR(IF(VLOOKUP($A286,SortedDownload!$A$3:$BB$219,32,FALSE)=0,"-",VLOOKUP($A286,SortedDownload!$A$3:$BB$219,32,FALSE)/86400000),"-")</f>
        <v>-</v>
      </c>
      <c r="L286" s="58" t="str">
        <f>IFERROR(IF(VLOOKUP($A286,SortedDownload!$A$3:$BB$219,33,FALSE)=0,"-",VLOOKUP($A286,SortedDownload!$A$3:$BB$219,33,FALSE)/86400000),"-")</f>
        <v>-</v>
      </c>
      <c r="M286" s="58" t="str">
        <f>IFERROR(IF(VLOOKUP($A286,SortedDownload!$A$3:$BB$219,34,FALSE)=0,"-",VLOOKUP($A286,SortedDownload!$A$3:$BB$219,34,FALSE)/86400000),"-")</f>
        <v>-</v>
      </c>
      <c r="N286" s="58" t="str">
        <f>IFERROR(IF(VLOOKUP($A286,SortedDownload!$A$3:$BB$219,35,FALSE)=0,"-",VLOOKUP($A286,SortedDownload!$A$3:$BB$219,35,FALSE)/86400000),"-")</f>
        <v>-</v>
      </c>
      <c r="O286" s="58" t="str">
        <f>IFERROR(IF(VLOOKUP($A286,SortedDownload!$A$3:$BB$219,36,FALSE)=0,"-",VLOOKUP($A286,SortedDownload!$A$3:$BB$219,36,FALSE)/86400000),"-")</f>
        <v>-</v>
      </c>
      <c r="P286" s="58" t="str">
        <f>IFERROR(IF(VLOOKUP($A286,SortedDownload!$A$3:$BB$219,37,FALSE)=0,"-",VLOOKUP($A286,SortedDownload!$A$3:$BB$219,37,FALSE)/86400000),"-")</f>
        <v>-</v>
      </c>
      <c r="Q286" s="58" t="str">
        <f>IFERROR(IF(VLOOKUP($A286,SortedDownload!$A$3:$BB$219,38,FALSE)=0,"-",VLOOKUP($A286,SortedDownload!$A$3:$BB$219,38,FALSE)/86400000),"-")</f>
        <v>-</v>
      </c>
      <c r="R286" s="58" t="str">
        <f>IFERROR(IF(VLOOKUP($A286,SortedDownload!$A$3:$BB$219,39,FALSE)=0,"-",VLOOKUP($A286,SortedDownload!$A$3:$BB$219,39,FALSE)/86400000),"-")</f>
        <v>-</v>
      </c>
      <c r="S286" s="58" t="str">
        <f>IFERROR(IF(VLOOKUP($A286,SortedDownload!$A$3:$BB$219,40,FALSE)=0,"-",VLOOKUP($A286,SortedDownload!$A$3:$BB$219,40,FALSE)/86400000),"-")</f>
        <v>-</v>
      </c>
      <c r="T286" s="58" t="str">
        <f>IFERROR(IF(VLOOKUP($A286,SortedDownload!$A$3:$BB$219,41,FALSE)=0,"-",VLOOKUP($A286,SortedDownload!$A$3:$BB$219,41,FALSE)/86400000),"-")</f>
        <v>-</v>
      </c>
      <c r="U286" s="58" t="str">
        <f>IFERROR(IF(VLOOKUP($A286,SortedDownload!$A$3:$BB$219,42,FALSE)=0,"-",VLOOKUP($A286,SortedDownload!$A$3:$BB$219,42,FALSE)/86400000),"-")</f>
        <v>-</v>
      </c>
      <c r="V286" s="58" t="str">
        <f>IFERROR(IF(VLOOKUP($A286,SortedDownload!$A$3:$BB$219,43,FALSE)=0,"-",VLOOKUP($A286,SortedDownload!$A$3:$BB$219,43,FALSE)/86400000),"-")</f>
        <v>-</v>
      </c>
      <c r="W286" s="58" t="str">
        <f>IFERROR(IF(VLOOKUP($A286,SortedDownload!$A$3:$BB$219,44,FALSE)=0,"-",VLOOKUP($A286,SortedDownload!$A$3:$BB$219,44,FALSE)/86400000),"-")</f>
        <v>-</v>
      </c>
      <c r="X286" s="58" t="str">
        <f>IFERROR(IF(VLOOKUP($A286,SortedDownload!$A$3:$BB$219,45,FALSE)=0,"-",VLOOKUP($A286,SortedDownload!$A$3:$BB$219,45,FALSE)/86400000),"-")</f>
        <v>-</v>
      </c>
      <c r="Y286" s="58" t="str">
        <f>IFERROR(VLOOKUP($A286,SortedDownload!$A$3:$BB$219,46,FALSE)/86400000,"")</f>
        <v/>
      </c>
      <c r="Z286" s="58" t="str">
        <f>IFERROR(Table932[[#This Row],[End Time]]-Table932[[#This Row],[Start Time]],"")</f>
        <v/>
      </c>
      <c r="AA286" s="58"/>
      <c r="AB286" s="170" t="e">
        <f t="shared" si="28"/>
        <v>#VALUE!</v>
      </c>
      <c r="AC286" s="170" t="e">
        <f t="shared" si="29"/>
        <v>#VALUE!</v>
      </c>
    </row>
    <row r="287" spans="1:29">
      <c r="A287" s="53" t="str">
        <f>IF(SortedDownload!A277 &lt; 1,"",SortedDownload!A277)</f>
        <v/>
      </c>
      <c r="B287" s="146" t="str">
        <f t="shared" si="26"/>
        <v/>
      </c>
      <c r="C287" s="146" t="str">
        <f>IFERROR(VLOOKUP($A287,CategoryResults!$A$3:$X$252,3,FALSE),"")</f>
        <v/>
      </c>
      <c r="D287" s="149" t="str">
        <f>IFERROR(VLOOKUP($A287,EntryList!$A$3:$N$291,2,FALSE),"")</f>
        <v/>
      </c>
      <c r="E287" s="146" t="str">
        <f>IFERROR(VLOOKUP(C287,SeriesPoints!$A$2:$B$51,2,FALSE),"")</f>
        <v/>
      </c>
      <c r="F287" s="150" t="str">
        <f>IFERROR(VLOOKUP($A287,EntryList!$A$3:$V$291,22,FALSE),"")</f>
        <v/>
      </c>
      <c r="G287" s="148" t="str">
        <f>IFERROR(VLOOKUP($A287,EntryList!$A$3:$N$291,6,FALSE),"")</f>
        <v/>
      </c>
      <c r="H287" s="226" t="str">
        <f>IFERROR(VLOOKUP($A287,EntryList!$A$3:$N$291,7,FALSE),"")</f>
        <v/>
      </c>
      <c r="I287" s="220">
        <f t="shared" si="27"/>
        <v>0</v>
      </c>
      <c r="J287" s="58" t="str">
        <f>IFERROR(VLOOKUP($A287,SortedDownload!$A$3:$BB$219,31,FALSE)/86400000,"")</f>
        <v/>
      </c>
      <c r="K287" s="58" t="str">
        <f>IFERROR(IF(VLOOKUP($A287,SortedDownload!$A$3:$BB$219,32,FALSE)=0,"-",VLOOKUP($A287,SortedDownload!$A$3:$BB$219,32,FALSE)/86400000),"-")</f>
        <v>-</v>
      </c>
      <c r="L287" s="58" t="str">
        <f>IFERROR(IF(VLOOKUP($A287,SortedDownload!$A$3:$BB$219,33,FALSE)=0,"-",VLOOKUP($A287,SortedDownload!$A$3:$BB$219,33,FALSE)/86400000),"-")</f>
        <v>-</v>
      </c>
      <c r="M287" s="58" t="str">
        <f>IFERROR(IF(VLOOKUP($A287,SortedDownload!$A$3:$BB$219,34,FALSE)=0,"-",VLOOKUP($A287,SortedDownload!$A$3:$BB$219,34,FALSE)/86400000),"-")</f>
        <v>-</v>
      </c>
      <c r="N287" s="58" t="str">
        <f>IFERROR(IF(VLOOKUP($A287,SortedDownload!$A$3:$BB$219,35,FALSE)=0,"-",VLOOKUP($A287,SortedDownload!$A$3:$BB$219,35,FALSE)/86400000),"-")</f>
        <v>-</v>
      </c>
      <c r="O287" s="58" t="str">
        <f>IFERROR(IF(VLOOKUP($A287,SortedDownload!$A$3:$BB$219,36,FALSE)=0,"-",VLOOKUP($A287,SortedDownload!$A$3:$BB$219,36,FALSE)/86400000),"-")</f>
        <v>-</v>
      </c>
      <c r="P287" s="58" t="str">
        <f>IFERROR(IF(VLOOKUP($A287,SortedDownload!$A$3:$BB$219,37,FALSE)=0,"-",VLOOKUP($A287,SortedDownload!$A$3:$BB$219,37,FALSE)/86400000),"-")</f>
        <v>-</v>
      </c>
      <c r="Q287" s="58" t="str">
        <f>IFERROR(IF(VLOOKUP($A287,SortedDownload!$A$3:$BB$219,38,FALSE)=0,"-",VLOOKUP($A287,SortedDownload!$A$3:$BB$219,38,FALSE)/86400000),"-")</f>
        <v>-</v>
      </c>
      <c r="R287" s="58" t="str">
        <f>IFERROR(IF(VLOOKUP($A287,SortedDownload!$A$3:$BB$219,39,FALSE)=0,"-",VLOOKUP($A287,SortedDownload!$A$3:$BB$219,39,FALSE)/86400000),"-")</f>
        <v>-</v>
      </c>
      <c r="S287" s="58" t="str">
        <f>IFERROR(IF(VLOOKUP($A287,SortedDownload!$A$3:$BB$219,40,FALSE)=0,"-",VLOOKUP($A287,SortedDownload!$A$3:$BB$219,40,FALSE)/86400000),"-")</f>
        <v>-</v>
      </c>
      <c r="T287" s="58" t="str">
        <f>IFERROR(IF(VLOOKUP($A287,SortedDownload!$A$3:$BB$219,41,FALSE)=0,"-",VLOOKUP($A287,SortedDownload!$A$3:$BB$219,41,FALSE)/86400000),"-")</f>
        <v>-</v>
      </c>
      <c r="U287" s="58" t="str">
        <f>IFERROR(IF(VLOOKUP($A287,SortedDownload!$A$3:$BB$219,42,FALSE)=0,"-",VLOOKUP($A287,SortedDownload!$A$3:$BB$219,42,FALSE)/86400000),"-")</f>
        <v>-</v>
      </c>
      <c r="V287" s="58" t="str">
        <f>IFERROR(IF(VLOOKUP($A287,SortedDownload!$A$3:$BB$219,43,FALSE)=0,"-",VLOOKUP($A287,SortedDownload!$A$3:$BB$219,43,FALSE)/86400000),"-")</f>
        <v>-</v>
      </c>
      <c r="W287" s="58" t="str">
        <f>IFERROR(IF(VLOOKUP($A287,SortedDownload!$A$3:$BB$219,44,FALSE)=0,"-",VLOOKUP($A287,SortedDownload!$A$3:$BB$219,44,FALSE)/86400000),"-")</f>
        <v>-</v>
      </c>
      <c r="X287" s="58" t="str">
        <f>IFERROR(IF(VLOOKUP($A287,SortedDownload!$A$3:$BB$219,45,FALSE)=0,"-",VLOOKUP($A287,SortedDownload!$A$3:$BB$219,45,FALSE)/86400000),"-")</f>
        <v>-</v>
      </c>
      <c r="Y287" s="58" t="str">
        <f>IFERROR(VLOOKUP($A287,SortedDownload!$A$3:$BB$219,46,FALSE)/86400000,"")</f>
        <v/>
      </c>
      <c r="Z287" s="58" t="str">
        <f>IFERROR(Table932[[#This Row],[End Time]]-Table932[[#This Row],[Start Time]],"")</f>
        <v/>
      </c>
      <c r="AA287" s="58"/>
      <c r="AB287" s="170" t="e">
        <f t="shared" si="28"/>
        <v>#VALUE!</v>
      </c>
      <c r="AC287" s="170" t="e">
        <f t="shared" si="29"/>
        <v>#VALUE!</v>
      </c>
    </row>
    <row r="288" spans="1:29">
      <c r="A288" s="53" t="str">
        <f>IF(SortedDownload!A278 &lt; 1,"",SortedDownload!A278)</f>
        <v/>
      </c>
      <c r="B288" s="146" t="str">
        <f t="shared" si="26"/>
        <v/>
      </c>
      <c r="C288" s="146" t="str">
        <f>IFERROR(VLOOKUP($A288,CategoryResults!$A$3:$X$252,3,FALSE),"")</f>
        <v/>
      </c>
      <c r="D288" s="149" t="str">
        <f>IFERROR(VLOOKUP($A288,EntryList!$A$3:$N$291,2,FALSE),"")</f>
        <v/>
      </c>
      <c r="E288" s="146" t="str">
        <f>IFERROR(VLOOKUP(C288,SeriesPoints!$A$2:$B$51,2,FALSE),"")</f>
        <v/>
      </c>
      <c r="F288" s="150" t="str">
        <f>IFERROR(VLOOKUP($A288,EntryList!$A$3:$V$291,22,FALSE),"")</f>
        <v/>
      </c>
      <c r="G288" s="148" t="str">
        <f>IFERROR(VLOOKUP($A288,EntryList!$A$3:$N$291,6,FALSE),"")</f>
        <v/>
      </c>
      <c r="H288" s="226" t="str">
        <f>IFERROR(VLOOKUP($A288,EntryList!$A$3:$N$291,7,FALSE),"")</f>
        <v/>
      </c>
      <c r="I288" s="220">
        <f t="shared" si="27"/>
        <v>0</v>
      </c>
      <c r="J288" s="58" t="str">
        <f>IFERROR(VLOOKUP($A288,SortedDownload!$A$3:$BB$219,31,FALSE)/86400000,"")</f>
        <v/>
      </c>
      <c r="K288" s="58" t="str">
        <f>IFERROR(IF(VLOOKUP($A288,SortedDownload!$A$3:$BB$219,32,FALSE)=0,"-",VLOOKUP($A288,SortedDownload!$A$3:$BB$219,32,FALSE)/86400000),"-")</f>
        <v>-</v>
      </c>
      <c r="L288" s="58" t="str">
        <f>IFERROR(IF(VLOOKUP($A288,SortedDownload!$A$3:$BB$219,33,FALSE)=0,"-",VLOOKUP($A288,SortedDownload!$A$3:$BB$219,33,FALSE)/86400000),"-")</f>
        <v>-</v>
      </c>
      <c r="M288" s="58" t="str">
        <f>IFERROR(IF(VLOOKUP($A288,SortedDownload!$A$3:$BB$219,34,FALSE)=0,"-",VLOOKUP($A288,SortedDownload!$A$3:$BB$219,34,FALSE)/86400000),"-")</f>
        <v>-</v>
      </c>
      <c r="N288" s="58" t="str">
        <f>IFERROR(IF(VLOOKUP($A288,SortedDownload!$A$3:$BB$219,35,FALSE)=0,"-",VLOOKUP($A288,SortedDownload!$A$3:$BB$219,35,FALSE)/86400000),"-")</f>
        <v>-</v>
      </c>
      <c r="O288" s="58" t="str">
        <f>IFERROR(IF(VLOOKUP($A288,SortedDownload!$A$3:$BB$219,36,FALSE)=0,"-",VLOOKUP($A288,SortedDownload!$A$3:$BB$219,36,FALSE)/86400000),"-")</f>
        <v>-</v>
      </c>
      <c r="P288" s="58" t="str">
        <f>IFERROR(IF(VLOOKUP($A288,SortedDownload!$A$3:$BB$219,37,FALSE)=0,"-",VLOOKUP($A288,SortedDownload!$A$3:$BB$219,37,FALSE)/86400000),"-")</f>
        <v>-</v>
      </c>
      <c r="Q288" s="58" t="str">
        <f>IFERROR(IF(VLOOKUP($A288,SortedDownload!$A$3:$BB$219,38,FALSE)=0,"-",VLOOKUP($A288,SortedDownload!$A$3:$BB$219,38,FALSE)/86400000),"-")</f>
        <v>-</v>
      </c>
      <c r="R288" s="58" t="str">
        <f>IFERROR(IF(VLOOKUP($A288,SortedDownload!$A$3:$BB$219,39,FALSE)=0,"-",VLOOKUP($A288,SortedDownload!$A$3:$BB$219,39,FALSE)/86400000),"-")</f>
        <v>-</v>
      </c>
      <c r="S288" s="58" t="str">
        <f>IFERROR(IF(VLOOKUP($A288,SortedDownload!$A$3:$BB$219,40,FALSE)=0,"-",VLOOKUP($A288,SortedDownload!$A$3:$BB$219,40,FALSE)/86400000),"-")</f>
        <v>-</v>
      </c>
      <c r="T288" s="58" t="str">
        <f>IFERROR(IF(VLOOKUP($A288,SortedDownload!$A$3:$BB$219,41,FALSE)=0,"-",VLOOKUP($A288,SortedDownload!$A$3:$BB$219,41,FALSE)/86400000),"-")</f>
        <v>-</v>
      </c>
      <c r="U288" s="58" t="str">
        <f>IFERROR(IF(VLOOKUP($A288,SortedDownload!$A$3:$BB$219,42,FALSE)=0,"-",VLOOKUP($A288,SortedDownload!$A$3:$BB$219,42,FALSE)/86400000),"-")</f>
        <v>-</v>
      </c>
      <c r="V288" s="58" t="str">
        <f>IFERROR(IF(VLOOKUP($A288,SortedDownload!$A$3:$BB$219,43,FALSE)=0,"-",VLOOKUP($A288,SortedDownload!$A$3:$BB$219,43,FALSE)/86400000),"-")</f>
        <v>-</v>
      </c>
      <c r="W288" s="58" t="str">
        <f>IFERROR(IF(VLOOKUP($A288,SortedDownload!$A$3:$BB$219,44,FALSE)=0,"-",VLOOKUP($A288,SortedDownload!$A$3:$BB$219,44,FALSE)/86400000),"-")</f>
        <v>-</v>
      </c>
      <c r="X288" s="58" t="str">
        <f>IFERROR(IF(VLOOKUP($A288,SortedDownload!$A$3:$BB$219,45,FALSE)=0,"-",VLOOKUP($A288,SortedDownload!$A$3:$BB$219,45,FALSE)/86400000),"-")</f>
        <v>-</v>
      </c>
      <c r="Y288" s="58" t="str">
        <f>IFERROR(VLOOKUP($A288,SortedDownload!$A$3:$BB$219,46,FALSE)/86400000,"")</f>
        <v/>
      </c>
      <c r="Z288" s="58" t="str">
        <f>IFERROR(Table932[[#This Row],[End Time]]-Table932[[#This Row],[Start Time]],"")</f>
        <v/>
      </c>
      <c r="AA288" s="58"/>
      <c r="AB288" s="170" t="e">
        <f t="shared" si="28"/>
        <v>#VALUE!</v>
      </c>
      <c r="AC288" s="170" t="e">
        <f t="shared" si="29"/>
        <v>#VALUE!</v>
      </c>
    </row>
    <row r="289" spans="1:29">
      <c r="A289" s="53" t="str">
        <f>IF(SortedDownload!A279 &lt; 1,"",SortedDownload!A279)</f>
        <v/>
      </c>
      <c r="B289" s="146" t="str">
        <f t="shared" si="26"/>
        <v/>
      </c>
      <c r="C289" s="146" t="str">
        <f>IFERROR(VLOOKUP($A289,CategoryResults!$A$3:$X$252,3,FALSE),"")</f>
        <v/>
      </c>
      <c r="D289" s="149" t="str">
        <f>IFERROR(VLOOKUP($A289,EntryList!$A$3:$N$291,2,FALSE),"")</f>
        <v/>
      </c>
      <c r="E289" s="146" t="str">
        <f>IFERROR(VLOOKUP(C289,SeriesPoints!$A$2:$B$51,2,FALSE),"")</f>
        <v/>
      </c>
      <c r="F289" s="150" t="str">
        <f>IFERROR(VLOOKUP($A289,EntryList!$A$3:$V$291,22,FALSE),"")</f>
        <v/>
      </c>
      <c r="G289" s="148" t="str">
        <f>IFERROR(VLOOKUP($A289,EntryList!$A$3:$N$291,6,FALSE),"")</f>
        <v/>
      </c>
      <c r="H289" s="226" t="str">
        <f>IFERROR(VLOOKUP($A289,EntryList!$A$3:$N$291,7,FALSE),"")</f>
        <v/>
      </c>
      <c r="I289" s="220">
        <f t="shared" si="27"/>
        <v>0</v>
      </c>
      <c r="J289" s="58" t="str">
        <f>IFERROR(VLOOKUP($A289,SortedDownload!$A$3:$BB$219,31,FALSE)/86400000,"")</f>
        <v/>
      </c>
      <c r="K289" s="58" t="str">
        <f>IFERROR(IF(VLOOKUP($A289,SortedDownload!$A$3:$BB$219,32,FALSE)=0,"-",VLOOKUP($A289,SortedDownload!$A$3:$BB$219,32,FALSE)/86400000),"-")</f>
        <v>-</v>
      </c>
      <c r="L289" s="58" t="str">
        <f>IFERROR(IF(VLOOKUP($A289,SortedDownload!$A$3:$BB$219,33,FALSE)=0,"-",VLOOKUP($A289,SortedDownload!$A$3:$BB$219,33,FALSE)/86400000),"-")</f>
        <v>-</v>
      </c>
      <c r="M289" s="58" t="str">
        <f>IFERROR(IF(VLOOKUP($A289,SortedDownload!$A$3:$BB$219,34,FALSE)=0,"-",VLOOKUP($A289,SortedDownload!$A$3:$BB$219,34,FALSE)/86400000),"-")</f>
        <v>-</v>
      </c>
      <c r="N289" s="58" t="str">
        <f>IFERROR(IF(VLOOKUP($A289,SortedDownload!$A$3:$BB$219,35,FALSE)=0,"-",VLOOKUP($A289,SortedDownload!$A$3:$BB$219,35,FALSE)/86400000),"-")</f>
        <v>-</v>
      </c>
      <c r="O289" s="58" t="str">
        <f>IFERROR(IF(VLOOKUP($A289,SortedDownload!$A$3:$BB$219,36,FALSE)=0,"-",VLOOKUP($A289,SortedDownload!$A$3:$BB$219,36,FALSE)/86400000),"-")</f>
        <v>-</v>
      </c>
      <c r="P289" s="58" t="str">
        <f>IFERROR(IF(VLOOKUP($A289,SortedDownload!$A$3:$BB$219,37,FALSE)=0,"-",VLOOKUP($A289,SortedDownload!$A$3:$BB$219,37,FALSE)/86400000),"-")</f>
        <v>-</v>
      </c>
      <c r="Q289" s="58" t="str">
        <f>IFERROR(IF(VLOOKUP($A289,SortedDownload!$A$3:$BB$219,38,FALSE)=0,"-",VLOOKUP($A289,SortedDownload!$A$3:$BB$219,38,FALSE)/86400000),"-")</f>
        <v>-</v>
      </c>
      <c r="R289" s="58" t="str">
        <f>IFERROR(IF(VLOOKUP($A289,SortedDownload!$A$3:$BB$219,39,FALSE)=0,"-",VLOOKUP($A289,SortedDownload!$A$3:$BB$219,39,FALSE)/86400000),"-")</f>
        <v>-</v>
      </c>
      <c r="S289" s="58" t="str">
        <f>IFERROR(IF(VLOOKUP($A289,SortedDownload!$A$3:$BB$219,40,FALSE)=0,"-",VLOOKUP($A289,SortedDownload!$A$3:$BB$219,40,FALSE)/86400000),"-")</f>
        <v>-</v>
      </c>
      <c r="T289" s="58" t="str">
        <f>IFERROR(IF(VLOOKUP($A289,SortedDownload!$A$3:$BB$219,41,FALSE)=0,"-",VLOOKUP($A289,SortedDownload!$A$3:$BB$219,41,FALSE)/86400000),"-")</f>
        <v>-</v>
      </c>
      <c r="U289" s="58" t="str">
        <f>IFERROR(IF(VLOOKUP($A289,SortedDownload!$A$3:$BB$219,42,FALSE)=0,"-",VLOOKUP($A289,SortedDownload!$A$3:$BB$219,42,FALSE)/86400000),"-")</f>
        <v>-</v>
      </c>
      <c r="V289" s="58" t="str">
        <f>IFERROR(IF(VLOOKUP($A289,SortedDownload!$A$3:$BB$219,43,FALSE)=0,"-",VLOOKUP($A289,SortedDownload!$A$3:$BB$219,43,FALSE)/86400000),"-")</f>
        <v>-</v>
      </c>
      <c r="W289" s="58" t="str">
        <f>IFERROR(IF(VLOOKUP($A289,SortedDownload!$A$3:$BB$219,44,FALSE)=0,"-",VLOOKUP($A289,SortedDownload!$A$3:$BB$219,44,FALSE)/86400000),"-")</f>
        <v>-</v>
      </c>
      <c r="X289" s="58" t="str">
        <f>IFERROR(IF(VLOOKUP($A289,SortedDownload!$A$3:$BB$219,45,FALSE)=0,"-",VLOOKUP($A289,SortedDownload!$A$3:$BB$219,45,FALSE)/86400000),"-")</f>
        <v>-</v>
      </c>
      <c r="Y289" s="58" t="str">
        <f>IFERROR(VLOOKUP($A289,SortedDownload!$A$3:$BB$219,46,FALSE)/86400000,"")</f>
        <v/>
      </c>
      <c r="Z289" s="58" t="str">
        <f>IFERROR(Table932[[#This Row],[End Time]]-Table932[[#This Row],[Start Time]],"")</f>
        <v/>
      </c>
      <c r="AA289" s="58"/>
      <c r="AB289" s="170" t="e">
        <f t="shared" si="28"/>
        <v>#VALUE!</v>
      </c>
      <c r="AC289" s="170" t="e">
        <f t="shared" si="29"/>
        <v>#VALUE!</v>
      </c>
    </row>
    <row r="290" spans="1:29">
      <c r="A290" s="53" t="str">
        <f>IF(SortedDownload!A280 &lt; 1,"",SortedDownload!A280)</f>
        <v/>
      </c>
      <c r="B290" s="146" t="str">
        <f t="shared" si="26"/>
        <v/>
      </c>
      <c r="C290" s="146" t="str">
        <f>IFERROR(VLOOKUP($A290,CategoryResults!$A$3:$X$252,3,FALSE),"")</f>
        <v/>
      </c>
      <c r="D290" s="149" t="str">
        <f>IFERROR(VLOOKUP($A290,EntryList!$A$3:$N$291,2,FALSE),"")</f>
        <v/>
      </c>
      <c r="E290" s="146" t="str">
        <f>IFERROR(VLOOKUP(C290,SeriesPoints!$A$2:$B$51,2,FALSE),"")</f>
        <v/>
      </c>
      <c r="F290" s="150" t="str">
        <f>IFERROR(VLOOKUP($A290,EntryList!$A$3:$V$291,22,FALSE),"")</f>
        <v/>
      </c>
      <c r="G290" s="148" t="str">
        <f>IFERROR(VLOOKUP($A290,EntryList!$A$3:$N$291,6,FALSE),"")</f>
        <v/>
      </c>
      <c r="H290" s="226" t="str">
        <f>IFERROR(VLOOKUP($A290,EntryList!$A$3:$N$291,7,FALSE),"")</f>
        <v/>
      </c>
      <c r="I290" s="220">
        <f t="shared" si="27"/>
        <v>0</v>
      </c>
      <c r="J290" s="58" t="str">
        <f>IFERROR(VLOOKUP($A290,SortedDownload!$A$3:$BB$219,31,FALSE)/86400000,"")</f>
        <v/>
      </c>
      <c r="K290" s="58" t="str">
        <f>IFERROR(IF(VLOOKUP($A290,SortedDownload!$A$3:$BB$219,32,FALSE)=0,"-",VLOOKUP($A290,SortedDownload!$A$3:$BB$219,32,FALSE)/86400000),"-")</f>
        <v>-</v>
      </c>
      <c r="L290" s="58" t="str">
        <f>IFERROR(IF(VLOOKUP($A290,SortedDownload!$A$3:$BB$219,33,FALSE)=0,"-",VLOOKUP($A290,SortedDownload!$A$3:$BB$219,33,FALSE)/86400000),"-")</f>
        <v>-</v>
      </c>
      <c r="M290" s="58" t="str">
        <f>IFERROR(IF(VLOOKUP($A290,SortedDownload!$A$3:$BB$219,34,FALSE)=0,"-",VLOOKUP($A290,SortedDownload!$A$3:$BB$219,34,FALSE)/86400000),"-")</f>
        <v>-</v>
      </c>
      <c r="N290" s="58" t="str">
        <f>IFERROR(IF(VLOOKUP($A290,SortedDownload!$A$3:$BB$219,35,FALSE)=0,"-",VLOOKUP($A290,SortedDownload!$A$3:$BB$219,35,FALSE)/86400000),"-")</f>
        <v>-</v>
      </c>
      <c r="O290" s="58" t="str">
        <f>IFERROR(IF(VLOOKUP($A290,SortedDownload!$A$3:$BB$219,36,FALSE)=0,"-",VLOOKUP($A290,SortedDownload!$A$3:$BB$219,36,FALSE)/86400000),"-")</f>
        <v>-</v>
      </c>
      <c r="P290" s="58" t="str">
        <f>IFERROR(IF(VLOOKUP($A290,SortedDownload!$A$3:$BB$219,37,FALSE)=0,"-",VLOOKUP($A290,SortedDownload!$A$3:$BB$219,37,FALSE)/86400000),"-")</f>
        <v>-</v>
      </c>
      <c r="Q290" s="58" t="str">
        <f>IFERROR(IF(VLOOKUP($A290,SortedDownload!$A$3:$BB$219,38,FALSE)=0,"-",VLOOKUP($A290,SortedDownload!$A$3:$BB$219,38,FALSE)/86400000),"-")</f>
        <v>-</v>
      </c>
      <c r="R290" s="58" t="str">
        <f>IFERROR(IF(VLOOKUP($A290,SortedDownload!$A$3:$BB$219,39,FALSE)=0,"-",VLOOKUP($A290,SortedDownload!$A$3:$BB$219,39,FALSE)/86400000),"-")</f>
        <v>-</v>
      </c>
      <c r="S290" s="58" t="str">
        <f>IFERROR(IF(VLOOKUP($A290,SortedDownload!$A$3:$BB$219,40,FALSE)=0,"-",VLOOKUP($A290,SortedDownload!$A$3:$BB$219,40,FALSE)/86400000),"-")</f>
        <v>-</v>
      </c>
      <c r="T290" s="58" t="str">
        <f>IFERROR(IF(VLOOKUP($A290,SortedDownload!$A$3:$BB$219,41,FALSE)=0,"-",VLOOKUP($A290,SortedDownload!$A$3:$BB$219,41,FALSE)/86400000),"-")</f>
        <v>-</v>
      </c>
      <c r="U290" s="58" t="str">
        <f>IFERROR(IF(VLOOKUP($A290,SortedDownload!$A$3:$BB$219,42,FALSE)=0,"-",VLOOKUP($A290,SortedDownload!$A$3:$BB$219,42,FALSE)/86400000),"-")</f>
        <v>-</v>
      </c>
      <c r="V290" s="58" t="str">
        <f>IFERROR(IF(VLOOKUP($A290,SortedDownload!$A$3:$BB$219,43,FALSE)=0,"-",VLOOKUP($A290,SortedDownload!$A$3:$BB$219,43,FALSE)/86400000),"-")</f>
        <v>-</v>
      </c>
      <c r="W290" s="58" t="str">
        <f>IFERROR(IF(VLOOKUP($A290,SortedDownload!$A$3:$BB$219,44,FALSE)=0,"-",VLOOKUP($A290,SortedDownload!$A$3:$BB$219,44,FALSE)/86400000),"-")</f>
        <v>-</v>
      </c>
      <c r="X290" s="58" t="str">
        <f>IFERROR(IF(VLOOKUP($A290,SortedDownload!$A$3:$BB$219,45,FALSE)=0,"-",VLOOKUP($A290,SortedDownload!$A$3:$BB$219,45,FALSE)/86400000),"-")</f>
        <v>-</v>
      </c>
      <c r="Y290" s="58" t="str">
        <f>IFERROR(VLOOKUP($A290,SortedDownload!$A$3:$BB$219,46,FALSE)/86400000,"")</f>
        <v/>
      </c>
      <c r="Z290" s="58" t="str">
        <f>IFERROR(Table932[[#This Row],[End Time]]-Table932[[#This Row],[Start Time]],"")</f>
        <v/>
      </c>
      <c r="AA290" s="58"/>
      <c r="AB290" s="170" t="e">
        <f t="shared" si="28"/>
        <v>#VALUE!</v>
      </c>
      <c r="AC290" s="170" t="e">
        <f t="shared" si="29"/>
        <v>#VALUE!</v>
      </c>
    </row>
    <row r="291" spans="1:29">
      <c r="A291" s="53" t="str">
        <f>IF(SortedDownload!A281 &lt; 1,"",SortedDownload!A281)</f>
        <v/>
      </c>
      <c r="B291" s="146" t="str">
        <f t="shared" si="26"/>
        <v/>
      </c>
      <c r="C291" s="146" t="str">
        <f>IFERROR(VLOOKUP($A291,CategoryResults!$A$3:$X$252,3,FALSE),"")</f>
        <v/>
      </c>
      <c r="D291" s="149" t="str">
        <f>IFERROR(VLOOKUP($A291,EntryList!$A$3:$N$291,2,FALSE),"")</f>
        <v/>
      </c>
      <c r="E291" s="146" t="str">
        <f>IFERROR(VLOOKUP(C291,SeriesPoints!$A$2:$B$51,2,FALSE),"")</f>
        <v/>
      </c>
      <c r="F291" s="150" t="str">
        <f>IFERROR(VLOOKUP($A291,EntryList!$A$3:$V$291,22,FALSE),"")</f>
        <v/>
      </c>
      <c r="G291" s="148" t="str">
        <f>IFERROR(VLOOKUP($A291,EntryList!$A$3:$N$291,6,FALSE),"")</f>
        <v/>
      </c>
      <c r="H291" s="226" t="str">
        <f>IFERROR(VLOOKUP($A291,EntryList!$A$3:$N$291,7,FALSE),"")</f>
        <v/>
      </c>
      <c r="I291" s="220">
        <f t="shared" si="27"/>
        <v>0</v>
      </c>
      <c r="J291" s="58" t="str">
        <f>IFERROR(VLOOKUP($A291,SortedDownload!$A$3:$BB$219,31,FALSE)/86400000,"")</f>
        <v/>
      </c>
      <c r="K291" s="58" t="str">
        <f>IFERROR(IF(VLOOKUP($A291,SortedDownload!$A$3:$BB$219,32,FALSE)=0,"-",VLOOKUP($A291,SortedDownload!$A$3:$BB$219,32,FALSE)/86400000),"-")</f>
        <v>-</v>
      </c>
      <c r="L291" s="58" t="str">
        <f>IFERROR(IF(VLOOKUP($A291,SortedDownload!$A$3:$BB$219,33,FALSE)=0,"-",VLOOKUP($A291,SortedDownload!$A$3:$BB$219,33,FALSE)/86400000),"-")</f>
        <v>-</v>
      </c>
      <c r="M291" s="58" t="str">
        <f>IFERROR(IF(VLOOKUP($A291,SortedDownload!$A$3:$BB$219,34,FALSE)=0,"-",VLOOKUP($A291,SortedDownload!$A$3:$BB$219,34,FALSE)/86400000),"-")</f>
        <v>-</v>
      </c>
      <c r="N291" s="58" t="str">
        <f>IFERROR(IF(VLOOKUP($A291,SortedDownload!$A$3:$BB$219,35,FALSE)=0,"-",VLOOKUP($A291,SortedDownload!$A$3:$BB$219,35,FALSE)/86400000),"-")</f>
        <v>-</v>
      </c>
      <c r="O291" s="58" t="str">
        <f>IFERROR(IF(VLOOKUP($A291,SortedDownload!$A$3:$BB$219,36,FALSE)=0,"-",VLOOKUP($A291,SortedDownload!$A$3:$BB$219,36,FALSE)/86400000),"-")</f>
        <v>-</v>
      </c>
      <c r="P291" s="58" t="str">
        <f>IFERROR(IF(VLOOKUP($A291,SortedDownload!$A$3:$BB$219,37,FALSE)=0,"-",VLOOKUP($A291,SortedDownload!$A$3:$BB$219,37,FALSE)/86400000),"-")</f>
        <v>-</v>
      </c>
      <c r="Q291" s="58" t="str">
        <f>IFERROR(IF(VLOOKUP($A291,SortedDownload!$A$3:$BB$219,38,FALSE)=0,"-",VLOOKUP($A291,SortedDownload!$A$3:$BB$219,38,FALSE)/86400000),"-")</f>
        <v>-</v>
      </c>
      <c r="R291" s="58" t="str">
        <f>IFERROR(IF(VLOOKUP($A291,SortedDownload!$A$3:$BB$219,39,FALSE)=0,"-",VLOOKUP($A291,SortedDownload!$A$3:$BB$219,39,FALSE)/86400000),"-")</f>
        <v>-</v>
      </c>
      <c r="S291" s="58" t="str">
        <f>IFERROR(IF(VLOOKUP($A291,SortedDownload!$A$3:$BB$219,40,FALSE)=0,"-",VLOOKUP($A291,SortedDownload!$A$3:$BB$219,40,FALSE)/86400000),"-")</f>
        <v>-</v>
      </c>
      <c r="T291" s="58" t="str">
        <f>IFERROR(IF(VLOOKUP($A291,SortedDownload!$A$3:$BB$219,41,FALSE)=0,"-",VLOOKUP($A291,SortedDownload!$A$3:$BB$219,41,FALSE)/86400000),"-")</f>
        <v>-</v>
      </c>
      <c r="U291" s="58" t="str">
        <f>IFERROR(IF(VLOOKUP($A291,SortedDownload!$A$3:$BB$219,42,FALSE)=0,"-",VLOOKUP($A291,SortedDownload!$A$3:$BB$219,42,FALSE)/86400000),"-")</f>
        <v>-</v>
      </c>
      <c r="V291" s="58" t="str">
        <f>IFERROR(IF(VLOOKUP($A291,SortedDownload!$A$3:$BB$219,43,FALSE)=0,"-",VLOOKUP($A291,SortedDownload!$A$3:$BB$219,43,FALSE)/86400000),"-")</f>
        <v>-</v>
      </c>
      <c r="W291" s="58" t="str">
        <f>IFERROR(IF(VLOOKUP($A291,SortedDownload!$A$3:$BB$219,44,FALSE)=0,"-",VLOOKUP($A291,SortedDownload!$A$3:$BB$219,44,FALSE)/86400000),"-")</f>
        <v>-</v>
      </c>
      <c r="X291" s="58" t="str">
        <f>IFERROR(IF(VLOOKUP($A291,SortedDownload!$A$3:$BB$219,45,FALSE)=0,"-",VLOOKUP($A291,SortedDownload!$A$3:$BB$219,45,FALSE)/86400000),"-")</f>
        <v>-</v>
      </c>
      <c r="Y291" s="58" t="str">
        <f>IFERROR(VLOOKUP($A291,SortedDownload!$A$3:$BB$219,46,FALSE)/86400000,"")</f>
        <v/>
      </c>
      <c r="Z291" s="58" t="str">
        <f>IFERROR(Table932[[#This Row],[End Time]]-Table932[[#This Row],[Start Time]],"")</f>
        <v/>
      </c>
      <c r="AA291" s="58"/>
      <c r="AB291" s="170" t="e">
        <f t="shared" si="28"/>
        <v>#VALUE!</v>
      </c>
      <c r="AC291" s="170" t="e">
        <f t="shared" si="29"/>
        <v>#VALUE!</v>
      </c>
    </row>
    <row r="292" spans="1:29">
      <c r="A292" s="53" t="str">
        <f>IF(SortedDownload!A282 &lt; 1,"",SortedDownload!A282)</f>
        <v/>
      </c>
      <c r="B292" s="146" t="str">
        <f t="shared" si="26"/>
        <v/>
      </c>
      <c r="C292" s="146" t="str">
        <f>IFERROR(VLOOKUP($A292,CategoryResults!$A$3:$X$252,3,FALSE),"")</f>
        <v/>
      </c>
      <c r="D292" s="149" t="str">
        <f>IFERROR(VLOOKUP($A292,EntryList!$A$3:$N$291,2,FALSE),"")</f>
        <v/>
      </c>
      <c r="E292" s="146" t="str">
        <f>IFERROR(VLOOKUP(C292,SeriesPoints!$A$2:$B$51,2,FALSE),"")</f>
        <v/>
      </c>
      <c r="F292" s="150" t="str">
        <f>IFERROR(VLOOKUP($A292,EntryList!$A$3:$V$291,22,FALSE),"")</f>
        <v/>
      </c>
      <c r="G292" s="148" t="str">
        <f>IFERROR(VLOOKUP($A292,EntryList!$A$3:$N$291,6,FALSE),"")</f>
        <v/>
      </c>
      <c r="H292" s="226" t="str">
        <f>IFERROR(VLOOKUP($A292,EntryList!$A$3:$N$291,7,FALSE),"")</f>
        <v/>
      </c>
      <c r="I292" s="220">
        <f t="shared" si="27"/>
        <v>0</v>
      </c>
      <c r="J292" s="58" t="str">
        <f>IFERROR(VLOOKUP($A292,SortedDownload!$A$3:$BB$219,31,FALSE)/86400000,"")</f>
        <v/>
      </c>
      <c r="K292" s="58" t="str">
        <f>IFERROR(IF(VLOOKUP($A292,SortedDownload!$A$3:$BB$219,32,FALSE)=0,"-",VLOOKUP($A292,SortedDownload!$A$3:$BB$219,32,FALSE)/86400000),"-")</f>
        <v>-</v>
      </c>
      <c r="L292" s="58" t="str">
        <f>IFERROR(IF(VLOOKUP($A292,SortedDownload!$A$3:$BB$219,33,FALSE)=0,"-",VLOOKUP($A292,SortedDownload!$A$3:$BB$219,33,FALSE)/86400000),"-")</f>
        <v>-</v>
      </c>
      <c r="M292" s="58" t="str">
        <f>IFERROR(IF(VLOOKUP($A292,SortedDownload!$A$3:$BB$219,34,FALSE)=0,"-",VLOOKUP($A292,SortedDownload!$A$3:$BB$219,34,FALSE)/86400000),"-")</f>
        <v>-</v>
      </c>
      <c r="N292" s="58" t="str">
        <f>IFERROR(IF(VLOOKUP($A292,SortedDownload!$A$3:$BB$219,35,FALSE)=0,"-",VLOOKUP($A292,SortedDownload!$A$3:$BB$219,35,FALSE)/86400000),"-")</f>
        <v>-</v>
      </c>
      <c r="O292" s="58" t="str">
        <f>IFERROR(IF(VLOOKUP($A292,SortedDownload!$A$3:$BB$219,36,FALSE)=0,"-",VLOOKUP($A292,SortedDownload!$A$3:$BB$219,36,FALSE)/86400000),"-")</f>
        <v>-</v>
      </c>
      <c r="P292" s="58" t="str">
        <f>IFERROR(IF(VLOOKUP($A292,SortedDownload!$A$3:$BB$219,37,FALSE)=0,"-",VLOOKUP($A292,SortedDownload!$A$3:$BB$219,37,FALSE)/86400000),"-")</f>
        <v>-</v>
      </c>
      <c r="Q292" s="58" t="str">
        <f>IFERROR(IF(VLOOKUP($A292,SortedDownload!$A$3:$BB$219,38,FALSE)=0,"-",VLOOKUP($A292,SortedDownload!$A$3:$BB$219,38,FALSE)/86400000),"-")</f>
        <v>-</v>
      </c>
      <c r="R292" s="58" t="str">
        <f>IFERROR(IF(VLOOKUP($A292,SortedDownload!$A$3:$BB$219,39,FALSE)=0,"-",VLOOKUP($A292,SortedDownload!$A$3:$BB$219,39,FALSE)/86400000),"-")</f>
        <v>-</v>
      </c>
      <c r="S292" s="58" t="str">
        <f>IFERROR(IF(VLOOKUP($A292,SortedDownload!$A$3:$BB$219,40,FALSE)=0,"-",VLOOKUP($A292,SortedDownload!$A$3:$BB$219,40,FALSE)/86400000),"-")</f>
        <v>-</v>
      </c>
      <c r="T292" s="58" t="str">
        <f>IFERROR(IF(VLOOKUP($A292,SortedDownload!$A$3:$BB$219,41,FALSE)=0,"-",VLOOKUP($A292,SortedDownload!$A$3:$BB$219,41,FALSE)/86400000),"-")</f>
        <v>-</v>
      </c>
      <c r="U292" s="58" t="str">
        <f>IFERROR(IF(VLOOKUP($A292,SortedDownload!$A$3:$BB$219,42,FALSE)=0,"-",VLOOKUP($A292,SortedDownload!$A$3:$BB$219,42,FALSE)/86400000),"-")</f>
        <v>-</v>
      </c>
      <c r="V292" s="58" t="str">
        <f>IFERROR(IF(VLOOKUP($A292,SortedDownload!$A$3:$BB$219,43,FALSE)=0,"-",VLOOKUP($A292,SortedDownload!$A$3:$BB$219,43,FALSE)/86400000),"-")</f>
        <v>-</v>
      </c>
      <c r="W292" s="58" t="str">
        <f>IFERROR(IF(VLOOKUP($A292,SortedDownload!$A$3:$BB$219,44,FALSE)=0,"-",VLOOKUP($A292,SortedDownload!$A$3:$BB$219,44,FALSE)/86400000),"-")</f>
        <v>-</v>
      </c>
      <c r="X292" s="58" t="str">
        <f>IFERROR(IF(VLOOKUP($A292,SortedDownload!$A$3:$BB$219,45,FALSE)=0,"-",VLOOKUP($A292,SortedDownload!$A$3:$BB$219,45,FALSE)/86400000),"-")</f>
        <v>-</v>
      </c>
      <c r="Y292" s="58" t="str">
        <f>IFERROR(VLOOKUP($A292,SortedDownload!$A$3:$BB$219,46,FALSE)/86400000,"")</f>
        <v/>
      </c>
      <c r="Z292" s="58" t="str">
        <f>IFERROR(Table932[[#This Row],[End Time]]-Table932[[#This Row],[Start Time]],"")</f>
        <v/>
      </c>
      <c r="AA292" s="58"/>
      <c r="AB292" s="170" t="e">
        <f t="shared" si="28"/>
        <v>#VALUE!</v>
      </c>
      <c r="AC292" s="170" t="e">
        <f t="shared" si="29"/>
        <v>#VALUE!</v>
      </c>
    </row>
    <row r="293" spans="1:29">
      <c r="A293" s="53" t="str">
        <f>IF(SortedDownload!A283 &lt; 1,"",SortedDownload!A283)</f>
        <v/>
      </c>
      <c r="B293" s="146" t="str">
        <f t="shared" si="26"/>
        <v/>
      </c>
      <c r="C293" s="146" t="str">
        <f>IFERROR(VLOOKUP($A293,CategoryResults!$A$3:$X$252,3,FALSE),"")</f>
        <v/>
      </c>
      <c r="D293" s="149" t="str">
        <f>IFERROR(VLOOKUP($A293,EntryList!$A$3:$N$291,2,FALSE),"")</f>
        <v/>
      </c>
      <c r="E293" s="146" t="str">
        <f>IFERROR(VLOOKUP(C293,SeriesPoints!$A$2:$B$51,2,FALSE),"")</f>
        <v/>
      </c>
      <c r="F293" s="150" t="str">
        <f>IFERROR(VLOOKUP($A293,EntryList!$A$3:$V$291,22,FALSE),"")</f>
        <v/>
      </c>
      <c r="G293" s="148" t="str">
        <f>IFERROR(VLOOKUP($A293,EntryList!$A$3:$N$291,6,FALSE),"")</f>
        <v/>
      </c>
      <c r="H293" s="226" t="str">
        <f>IFERROR(VLOOKUP($A293,EntryList!$A$3:$N$291,7,FALSE),"")</f>
        <v/>
      </c>
      <c r="I293" s="220">
        <f t="shared" si="27"/>
        <v>0</v>
      </c>
      <c r="J293" s="58" t="str">
        <f>IFERROR(VLOOKUP($A293,SortedDownload!$A$3:$BB$219,31,FALSE)/86400000,"")</f>
        <v/>
      </c>
      <c r="K293" s="58" t="str">
        <f>IFERROR(IF(VLOOKUP($A293,SortedDownload!$A$3:$BB$219,32,FALSE)=0,"-",VLOOKUP($A293,SortedDownload!$A$3:$BB$219,32,FALSE)/86400000),"-")</f>
        <v>-</v>
      </c>
      <c r="L293" s="58" t="str">
        <f>IFERROR(IF(VLOOKUP($A293,SortedDownload!$A$3:$BB$219,33,FALSE)=0,"-",VLOOKUP($A293,SortedDownload!$A$3:$BB$219,33,FALSE)/86400000),"-")</f>
        <v>-</v>
      </c>
      <c r="M293" s="58" t="str">
        <f>IFERROR(IF(VLOOKUP($A293,SortedDownload!$A$3:$BB$219,34,FALSE)=0,"-",VLOOKUP($A293,SortedDownload!$A$3:$BB$219,34,FALSE)/86400000),"-")</f>
        <v>-</v>
      </c>
      <c r="N293" s="58" t="str">
        <f>IFERROR(IF(VLOOKUP($A293,SortedDownload!$A$3:$BB$219,35,FALSE)=0,"-",VLOOKUP($A293,SortedDownload!$A$3:$BB$219,35,FALSE)/86400000),"-")</f>
        <v>-</v>
      </c>
      <c r="O293" s="58" t="str">
        <f>IFERROR(IF(VLOOKUP($A293,SortedDownload!$A$3:$BB$219,36,FALSE)=0,"-",VLOOKUP($A293,SortedDownload!$A$3:$BB$219,36,FALSE)/86400000),"-")</f>
        <v>-</v>
      </c>
      <c r="P293" s="58" t="str">
        <f>IFERROR(IF(VLOOKUP($A293,SortedDownload!$A$3:$BB$219,37,FALSE)=0,"-",VLOOKUP($A293,SortedDownload!$A$3:$BB$219,37,FALSE)/86400000),"-")</f>
        <v>-</v>
      </c>
      <c r="Q293" s="58" t="str">
        <f>IFERROR(IF(VLOOKUP($A293,SortedDownload!$A$3:$BB$219,38,FALSE)=0,"-",VLOOKUP($A293,SortedDownload!$A$3:$BB$219,38,FALSE)/86400000),"-")</f>
        <v>-</v>
      </c>
      <c r="R293" s="58" t="str">
        <f>IFERROR(IF(VLOOKUP($A293,SortedDownload!$A$3:$BB$219,39,FALSE)=0,"-",VLOOKUP($A293,SortedDownload!$A$3:$BB$219,39,FALSE)/86400000),"-")</f>
        <v>-</v>
      </c>
      <c r="S293" s="58" t="str">
        <f>IFERROR(IF(VLOOKUP($A293,SortedDownload!$A$3:$BB$219,40,FALSE)=0,"-",VLOOKUP($A293,SortedDownload!$A$3:$BB$219,40,FALSE)/86400000),"-")</f>
        <v>-</v>
      </c>
      <c r="T293" s="58" t="str">
        <f>IFERROR(IF(VLOOKUP($A293,SortedDownload!$A$3:$BB$219,41,FALSE)=0,"-",VLOOKUP($A293,SortedDownload!$A$3:$BB$219,41,FALSE)/86400000),"-")</f>
        <v>-</v>
      </c>
      <c r="U293" s="58" t="str">
        <f>IFERROR(IF(VLOOKUP($A293,SortedDownload!$A$3:$BB$219,42,FALSE)=0,"-",VLOOKUP($A293,SortedDownload!$A$3:$BB$219,42,FALSE)/86400000),"-")</f>
        <v>-</v>
      </c>
      <c r="V293" s="58" t="str">
        <f>IFERROR(IF(VLOOKUP($A293,SortedDownload!$A$3:$BB$219,43,FALSE)=0,"-",VLOOKUP($A293,SortedDownload!$A$3:$BB$219,43,FALSE)/86400000),"-")</f>
        <v>-</v>
      </c>
      <c r="W293" s="58" t="str">
        <f>IFERROR(IF(VLOOKUP($A293,SortedDownload!$A$3:$BB$219,44,FALSE)=0,"-",VLOOKUP($A293,SortedDownload!$A$3:$BB$219,44,FALSE)/86400000),"-")</f>
        <v>-</v>
      </c>
      <c r="X293" s="58" t="str">
        <f>IFERROR(IF(VLOOKUP($A293,SortedDownload!$A$3:$BB$219,45,FALSE)=0,"-",VLOOKUP($A293,SortedDownload!$A$3:$BB$219,45,FALSE)/86400000),"-")</f>
        <v>-</v>
      </c>
      <c r="Y293" s="58" t="str">
        <f>IFERROR(VLOOKUP($A293,SortedDownload!$A$3:$BB$219,46,FALSE)/86400000,"")</f>
        <v/>
      </c>
      <c r="Z293" s="58" t="str">
        <f>IFERROR(Table932[[#This Row],[End Time]]-Table932[[#This Row],[Start Time]],"")</f>
        <v/>
      </c>
      <c r="AA293" s="58"/>
      <c r="AB293" s="170" t="e">
        <f t="shared" si="28"/>
        <v>#VALUE!</v>
      </c>
      <c r="AC293" s="170" t="e">
        <f t="shared" si="29"/>
        <v>#VALUE!</v>
      </c>
    </row>
    <row r="294" spans="1:29">
      <c r="A294" s="53" t="str">
        <f>IF(SortedDownload!A284 &lt; 1,"",SortedDownload!A284)</f>
        <v/>
      </c>
      <c r="B294" s="146" t="str">
        <f t="shared" si="26"/>
        <v/>
      </c>
      <c r="C294" s="146" t="str">
        <f>IFERROR(VLOOKUP($A294,CategoryResults!$A$3:$X$252,3,FALSE),"")</f>
        <v/>
      </c>
      <c r="D294" s="149" t="str">
        <f>IFERROR(VLOOKUP($A294,EntryList!$A$3:$N$291,2,FALSE),"")</f>
        <v/>
      </c>
      <c r="E294" s="146" t="str">
        <f>IFERROR(VLOOKUP(C294,SeriesPoints!$A$2:$B$51,2,FALSE),"")</f>
        <v/>
      </c>
      <c r="F294" s="150" t="str">
        <f>IFERROR(VLOOKUP($A294,EntryList!$A$3:$V$291,22,FALSE),"")</f>
        <v/>
      </c>
      <c r="G294" s="148" t="str">
        <f>IFERROR(VLOOKUP($A294,EntryList!$A$3:$N$291,6,FALSE),"")</f>
        <v/>
      </c>
      <c r="H294" s="226" t="str">
        <f>IFERROR(VLOOKUP($A294,EntryList!$A$3:$N$291,7,FALSE),"")</f>
        <v/>
      </c>
      <c r="I294" s="220">
        <f t="shared" si="27"/>
        <v>0</v>
      </c>
      <c r="J294" s="58" t="str">
        <f>IFERROR(VLOOKUP($A294,SortedDownload!$A$3:$BB$219,31,FALSE)/86400000,"")</f>
        <v/>
      </c>
      <c r="K294" s="58" t="str">
        <f>IFERROR(IF(VLOOKUP($A294,SortedDownload!$A$3:$BB$219,32,FALSE)=0,"-",VLOOKUP($A294,SortedDownload!$A$3:$BB$219,32,FALSE)/86400000),"-")</f>
        <v>-</v>
      </c>
      <c r="L294" s="58" t="str">
        <f>IFERROR(IF(VLOOKUP($A294,SortedDownload!$A$3:$BB$219,33,FALSE)=0,"-",VLOOKUP($A294,SortedDownload!$A$3:$BB$219,33,FALSE)/86400000),"-")</f>
        <v>-</v>
      </c>
      <c r="M294" s="58" t="str">
        <f>IFERROR(IF(VLOOKUP($A294,SortedDownload!$A$3:$BB$219,34,FALSE)=0,"-",VLOOKUP($A294,SortedDownload!$A$3:$BB$219,34,FALSE)/86400000),"-")</f>
        <v>-</v>
      </c>
      <c r="N294" s="58" t="str">
        <f>IFERROR(IF(VLOOKUP($A294,SortedDownload!$A$3:$BB$219,35,FALSE)=0,"-",VLOOKUP($A294,SortedDownload!$A$3:$BB$219,35,FALSE)/86400000),"-")</f>
        <v>-</v>
      </c>
      <c r="O294" s="58" t="str">
        <f>IFERROR(IF(VLOOKUP($A294,SortedDownload!$A$3:$BB$219,36,FALSE)=0,"-",VLOOKUP($A294,SortedDownload!$A$3:$BB$219,36,FALSE)/86400000),"-")</f>
        <v>-</v>
      </c>
      <c r="P294" s="58" t="str">
        <f>IFERROR(IF(VLOOKUP($A294,SortedDownload!$A$3:$BB$219,37,FALSE)=0,"-",VLOOKUP($A294,SortedDownload!$A$3:$BB$219,37,FALSE)/86400000),"-")</f>
        <v>-</v>
      </c>
      <c r="Q294" s="58" t="str">
        <f>IFERROR(IF(VLOOKUP($A294,SortedDownload!$A$3:$BB$219,38,FALSE)=0,"-",VLOOKUP($A294,SortedDownload!$A$3:$BB$219,38,FALSE)/86400000),"-")</f>
        <v>-</v>
      </c>
      <c r="R294" s="58" t="str">
        <f>IFERROR(IF(VLOOKUP($A294,SortedDownload!$A$3:$BB$219,39,FALSE)=0,"-",VLOOKUP($A294,SortedDownload!$A$3:$BB$219,39,FALSE)/86400000),"-")</f>
        <v>-</v>
      </c>
      <c r="S294" s="58" t="str">
        <f>IFERROR(IF(VLOOKUP($A294,SortedDownload!$A$3:$BB$219,40,FALSE)=0,"-",VLOOKUP($A294,SortedDownload!$A$3:$BB$219,40,FALSE)/86400000),"-")</f>
        <v>-</v>
      </c>
      <c r="T294" s="58" t="str">
        <f>IFERROR(IF(VLOOKUP($A294,SortedDownload!$A$3:$BB$219,41,FALSE)=0,"-",VLOOKUP($A294,SortedDownload!$A$3:$BB$219,41,FALSE)/86400000),"-")</f>
        <v>-</v>
      </c>
      <c r="U294" s="58" t="str">
        <f>IFERROR(IF(VLOOKUP($A294,SortedDownload!$A$3:$BB$219,42,FALSE)=0,"-",VLOOKUP($A294,SortedDownload!$A$3:$BB$219,42,FALSE)/86400000),"-")</f>
        <v>-</v>
      </c>
      <c r="V294" s="58" t="str">
        <f>IFERROR(IF(VLOOKUP($A294,SortedDownload!$A$3:$BB$219,43,FALSE)=0,"-",VLOOKUP($A294,SortedDownload!$A$3:$BB$219,43,FALSE)/86400000),"-")</f>
        <v>-</v>
      </c>
      <c r="W294" s="58" t="str">
        <f>IFERROR(IF(VLOOKUP($A294,SortedDownload!$A$3:$BB$219,44,FALSE)=0,"-",VLOOKUP($A294,SortedDownload!$A$3:$BB$219,44,FALSE)/86400000),"-")</f>
        <v>-</v>
      </c>
      <c r="X294" s="58" t="str">
        <f>IFERROR(IF(VLOOKUP($A294,SortedDownload!$A$3:$BB$219,45,FALSE)=0,"-",VLOOKUP($A294,SortedDownload!$A$3:$BB$219,45,FALSE)/86400000),"-")</f>
        <v>-</v>
      </c>
      <c r="Y294" s="58" t="str">
        <f>IFERROR(VLOOKUP($A294,SortedDownload!$A$3:$BB$219,46,FALSE)/86400000,"")</f>
        <v/>
      </c>
      <c r="Z294" s="58" t="str">
        <f>IFERROR(Table932[[#This Row],[End Time]]-Table932[[#This Row],[Start Time]],"")</f>
        <v/>
      </c>
      <c r="AA294" s="58"/>
      <c r="AB294" s="170" t="e">
        <f t="shared" si="28"/>
        <v>#VALUE!</v>
      </c>
      <c r="AC294" s="170" t="e">
        <f t="shared" si="29"/>
        <v>#VALUE!</v>
      </c>
    </row>
    <row r="295" spans="1:29">
      <c r="A295" s="53" t="str">
        <f>IF(SortedDownload!A285 &lt; 1,"",SortedDownload!A285)</f>
        <v/>
      </c>
      <c r="B295" s="146" t="str">
        <f t="shared" si="26"/>
        <v/>
      </c>
      <c r="C295" s="146" t="str">
        <f>IFERROR(VLOOKUP($A295,CategoryResults!$A$3:$X$252,3,FALSE),"")</f>
        <v/>
      </c>
      <c r="D295" s="149" t="str">
        <f>IFERROR(VLOOKUP($A295,EntryList!$A$3:$N$291,2,FALSE),"")</f>
        <v/>
      </c>
      <c r="E295" s="146" t="str">
        <f>IFERROR(VLOOKUP(C295,SeriesPoints!$A$2:$B$51,2,FALSE),"")</f>
        <v/>
      </c>
      <c r="F295" s="150" t="str">
        <f>IFERROR(VLOOKUP($A295,EntryList!$A$3:$V$291,22,FALSE),"")</f>
        <v/>
      </c>
      <c r="G295" s="148" t="str">
        <f>IFERROR(VLOOKUP($A295,EntryList!$A$3:$N$291,6,FALSE),"")</f>
        <v/>
      </c>
      <c r="H295" s="226" t="str">
        <f>IFERROR(VLOOKUP($A295,EntryList!$A$3:$N$291,7,FALSE),"")</f>
        <v/>
      </c>
      <c r="I295" s="220">
        <f t="shared" si="27"/>
        <v>0</v>
      </c>
      <c r="J295" s="58" t="str">
        <f>IFERROR(VLOOKUP($A295,SortedDownload!$A$3:$BB$219,31,FALSE)/86400000,"")</f>
        <v/>
      </c>
      <c r="K295" s="58" t="str">
        <f>IFERROR(IF(VLOOKUP($A295,SortedDownload!$A$3:$BB$219,32,FALSE)=0,"-",VLOOKUP($A295,SortedDownload!$A$3:$BB$219,32,FALSE)/86400000),"-")</f>
        <v>-</v>
      </c>
      <c r="L295" s="58" t="str">
        <f>IFERROR(IF(VLOOKUP($A295,SortedDownload!$A$3:$BB$219,33,FALSE)=0,"-",VLOOKUP($A295,SortedDownload!$A$3:$BB$219,33,FALSE)/86400000),"-")</f>
        <v>-</v>
      </c>
      <c r="M295" s="58" t="str">
        <f>IFERROR(IF(VLOOKUP($A295,SortedDownload!$A$3:$BB$219,34,FALSE)=0,"-",VLOOKUP($A295,SortedDownload!$A$3:$BB$219,34,FALSE)/86400000),"-")</f>
        <v>-</v>
      </c>
      <c r="N295" s="58" t="str">
        <f>IFERROR(IF(VLOOKUP($A295,SortedDownload!$A$3:$BB$219,35,FALSE)=0,"-",VLOOKUP($A295,SortedDownload!$A$3:$BB$219,35,FALSE)/86400000),"-")</f>
        <v>-</v>
      </c>
      <c r="O295" s="58" t="str">
        <f>IFERROR(IF(VLOOKUP($A295,SortedDownload!$A$3:$BB$219,36,FALSE)=0,"-",VLOOKUP($A295,SortedDownload!$A$3:$BB$219,36,FALSE)/86400000),"-")</f>
        <v>-</v>
      </c>
      <c r="P295" s="58" t="str">
        <f>IFERROR(IF(VLOOKUP($A295,SortedDownload!$A$3:$BB$219,37,FALSE)=0,"-",VLOOKUP($A295,SortedDownload!$A$3:$BB$219,37,FALSE)/86400000),"-")</f>
        <v>-</v>
      </c>
      <c r="Q295" s="58" t="str">
        <f>IFERROR(IF(VLOOKUP($A295,SortedDownload!$A$3:$BB$219,38,FALSE)=0,"-",VLOOKUP($A295,SortedDownload!$A$3:$BB$219,38,FALSE)/86400000),"-")</f>
        <v>-</v>
      </c>
      <c r="R295" s="58" t="str">
        <f>IFERROR(IF(VLOOKUP($A295,SortedDownload!$A$3:$BB$219,39,FALSE)=0,"-",VLOOKUP($A295,SortedDownload!$A$3:$BB$219,39,FALSE)/86400000),"-")</f>
        <v>-</v>
      </c>
      <c r="S295" s="58" t="str">
        <f>IFERROR(IF(VLOOKUP($A295,SortedDownload!$A$3:$BB$219,40,FALSE)=0,"-",VLOOKUP($A295,SortedDownload!$A$3:$BB$219,40,FALSE)/86400000),"-")</f>
        <v>-</v>
      </c>
      <c r="T295" s="58" t="str">
        <f>IFERROR(IF(VLOOKUP($A295,SortedDownload!$A$3:$BB$219,41,FALSE)=0,"-",VLOOKUP($A295,SortedDownload!$A$3:$BB$219,41,FALSE)/86400000),"-")</f>
        <v>-</v>
      </c>
      <c r="U295" s="58" t="str">
        <f>IFERROR(IF(VLOOKUP($A295,SortedDownload!$A$3:$BB$219,42,FALSE)=0,"-",VLOOKUP($A295,SortedDownload!$A$3:$BB$219,42,FALSE)/86400000),"-")</f>
        <v>-</v>
      </c>
      <c r="V295" s="58" t="str">
        <f>IFERROR(IF(VLOOKUP($A295,SortedDownload!$A$3:$BB$219,43,FALSE)=0,"-",VLOOKUP($A295,SortedDownload!$A$3:$BB$219,43,FALSE)/86400000),"-")</f>
        <v>-</v>
      </c>
      <c r="W295" s="58" t="str">
        <f>IFERROR(IF(VLOOKUP($A295,SortedDownload!$A$3:$BB$219,44,FALSE)=0,"-",VLOOKUP($A295,SortedDownload!$A$3:$BB$219,44,FALSE)/86400000),"-")</f>
        <v>-</v>
      </c>
      <c r="X295" s="58" t="str">
        <f>IFERROR(IF(VLOOKUP($A295,SortedDownload!$A$3:$BB$219,45,FALSE)=0,"-",VLOOKUP($A295,SortedDownload!$A$3:$BB$219,45,FALSE)/86400000),"-")</f>
        <v>-</v>
      </c>
      <c r="Y295" s="58" t="str">
        <f>IFERROR(VLOOKUP($A295,SortedDownload!$A$3:$BB$219,46,FALSE)/86400000,"")</f>
        <v/>
      </c>
      <c r="Z295" s="58" t="str">
        <f>IFERROR(Table932[[#This Row],[End Time]]-Table932[[#This Row],[Start Time]],"")</f>
        <v/>
      </c>
      <c r="AA295" s="58"/>
      <c r="AB295" s="170" t="e">
        <f t="shared" si="28"/>
        <v>#VALUE!</v>
      </c>
      <c r="AC295" s="170" t="e">
        <f t="shared" si="29"/>
        <v>#VALUE!</v>
      </c>
    </row>
    <row r="296" spans="1:29">
      <c r="A296" s="53" t="str">
        <f>IF(SortedDownload!A286 &lt; 1,"",SortedDownload!A286)</f>
        <v/>
      </c>
      <c r="B296" s="146" t="str">
        <f t="shared" si="26"/>
        <v/>
      </c>
      <c r="C296" s="146" t="str">
        <f>IFERROR(VLOOKUP($A296,CategoryResults!$A$3:$X$252,3,FALSE),"")</f>
        <v/>
      </c>
      <c r="D296" s="149" t="str">
        <f>IFERROR(VLOOKUP($A296,EntryList!$A$3:$N$291,2,FALSE),"")</f>
        <v/>
      </c>
      <c r="E296" s="146" t="str">
        <f>IFERROR(VLOOKUP(C296,SeriesPoints!$A$2:$B$51,2,FALSE),"")</f>
        <v/>
      </c>
      <c r="F296" s="150" t="str">
        <f>IFERROR(VLOOKUP($A296,EntryList!$A$3:$V$291,22,FALSE),"")</f>
        <v/>
      </c>
      <c r="G296" s="148" t="str">
        <f>IFERROR(VLOOKUP($A296,EntryList!$A$3:$N$291,6,FALSE),"")</f>
        <v/>
      </c>
      <c r="H296" s="226" t="str">
        <f>IFERROR(VLOOKUP($A296,EntryList!$A$3:$N$291,7,FALSE),"")</f>
        <v/>
      </c>
      <c r="I296" s="220">
        <f t="shared" si="27"/>
        <v>0</v>
      </c>
      <c r="J296" s="58" t="str">
        <f>IFERROR(VLOOKUP($A296,SortedDownload!$A$3:$BB$219,31,FALSE)/86400000,"")</f>
        <v/>
      </c>
      <c r="K296" s="58" t="str">
        <f>IFERROR(IF(VLOOKUP($A296,SortedDownload!$A$3:$BB$219,32,FALSE)=0,"-",VLOOKUP($A296,SortedDownload!$A$3:$BB$219,32,FALSE)/86400000),"-")</f>
        <v>-</v>
      </c>
      <c r="L296" s="58" t="str">
        <f>IFERROR(IF(VLOOKUP($A296,SortedDownload!$A$3:$BB$219,33,FALSE)=0,"-",VLOOKUP($A296,SortedDownload!$A$3:$BB$219,33,FALSE)/86400000),"-")</f>
        <v>-</v>
      </c>
      <c r="M296" s="58" t="str">
        <f>IFERROR(IF(VLOOKUP($A296,SortedDownload!$A$3:$BB$219,34,FALSE)=0,"-",VLOOKUP($A296,SortedDownload!$A$3:$BB$219,34,FALSE)/86400000),"-")</f>
        <v>-</v>
      </c>
      <c r="N296" s="58" t="str">
        <f>IFERROR(IF(VLOOKUP($A296,SortedDownload!$A$3:$BB$219,35,FALSE)=0,"-",VLOOKUP($A296,SortedDownload!$A$3:$BB$219,35,FALSE)/86400000),"-")</f>
        <v>-</v>
      </c>
      <c r="O296" s="58" t="str">
        <f>IFERROR(IF(VLOOKUP($A296,SortedDownload!$A$3:$BB$219,36,FALSE)=0,"-",VLOOKUP($A296,SortedDownload!$A$3:$BB$219,36,FALSE)/86400000),"-")</f>
        <v>-</v>
      </c>
      <c r="P296" s="58" t="str">
        <f>IFERROR(IF(VLOOKUP($A296,SortedDownload!$A$3:$BB$219,37,FALSE)=0,"-",VLOOKUP($A296,SortedDownload!$A$3:$BB$219,37,FALSE)/86400000),"-")</f>
        <v>-</v>
      </c>
      <c r="Q296" s="58" t="str">
        <f>IFERROR(IF(VLOOKUP($A296,SortedDownload!$A$3:$BB$219,38,FALSE)=0,"-",VLOOKUP($A296,SortedDownload!$A$3:$BB$219,38,FALSE)/86400000),"-")</f>
        <v>-</v>
      </c>
      <c r="R296" s="58" t="str">
        <f>IFERROR(IF(VLOOKUP($A296,SortedDownload!$A$3:$BB$219,39,FALSE)=0,"-",VLOOKUP($A296,SortedDownload!$A$3:$BB$219,39,FALSE)/86400000),"-")</f>
        <v>-</v>
      </c>
      <c r="S296" s="58" t="str">
        <f>IFERROR(IF(VLOOKUP($A296,SortedDownload!$A$3:$BB$219,40,FALSE)=0,"-",VLOOKUP($A296,SortedDownload!$A$3:$BB$219,40,FALSE)/86400000),"-")</f>
        <v>-</v>
      </c>
      <c r="T296" s="58" t="str">
        <f>IFERROR(IF(VLOOKUP($A296,SortedDownload!$A$3:$BB$219,41,FALSE)=0,"-",VLOOKUP($A296,SortedDownload!$A$3:$BB$219,41,FALSE)/86400000),"-")</f>
        <v>-</v>
      </c>
      <c r="U296" s="58" t="str">
        <f>IFERROR(IF(VLOOKUP($A296,SortedDownload!$A$3:$BB$219,42,FALSE)=0,"-",VLOOKUP($A296,SortedDownload!$A$3:$BB$219,42,FALSE)/86400000),"-")</f>
        <v>-</v>
      </c>
      <c r="V296" s="58" t="str">
        <f>IFERROR(IF(VLOOKUP($A296,SortedDownload!$A$3:$BB$219,43,FALSE)=0,"-",VLOOKUP($A296,SortedDownload!$A$3:$BB$219,43,FALSE)/86400000),"-")</f>
        <v>-</v>
      </c>
      <c r="W296" s="58" t="str">
        <f>IFERROR(IF(VLOOKUP($A296,SortedDownload!$A$3:$BB$219,44,FALSE)=0,"-",VLOOKUP($A296,SortedDownload!$A$3:$BB$219,44,FALSE)/86400000),"-")</f>
        <v>-</v>
      </c>
      <c r="X296" s="58" t="str">
        <f>IFERROR(IF(VLOOKUP($A296,SortedDownload!$A$3:$BB$219,45,FALSE)=0,"-",VLOOKUP($A296,SortedDownload!$A$3:$BB$219,45,FALSE)/86400000),"-")</f>
        <v>-</v>
      </c>
      <c r="Y296" s="58" t="str">
        <f>IFERROR(VLOOKUP($A296,SortedDownload!$A$3:$BB$219,46,FALSE)/86400000,"")</f>
        <v/>
      </c>
      <c r="Z296" s="58" t="str">
        <f>IFERROR(Table932[[#This Row],[End Time]]-Table932[[#This Row],[Start Time]],"")</f>
        <v/>
      </c>
      <c r="AA296" s="58"/>
      <c r="AB296" s="170" t="e">
        <f t="shared" si="28"/>
        <v>#VALUE!</v>
      </c>
      <c r="AC296" s="170" t="e">
        <f t="shared" si="29"/>
        <v>#VALUE!</v>
      </c>
    </row>
    <row r="297" spans="1:29">
      <c r="A297" s="53" t="str">
        <f>IF(SortedDownload!A287 &lt; 1,"",SortedDownload!A287)</f>
        <v/>
      </c>
      <c r="B297" s="146" t="str">
        <f t="shared" si="26"/>
        <v/>
      </c>
      <c r="C297" s="146" t="str">
        <f>IFERROR(VLOOKUP($A297,CategoryResults!$A$3:$X$252,3,FALSE),"")</f>
        <v/>
      </c>
      <c r="D297" s="149" t="str">
        <f>IFERROR(VLOOKUP($A297,EntryList!$A$3:$N$291,2,FALSE),"")</f>
        <v/>
      </c>
      <c r="E297" s="146" t="str">
        <f>IFERROR(VLOOKUP(C297,SeriesPoints!$A$2:$B$51,2,FALSE),"")</f>
        <v/>
      </c>
      <c r="F297" s="150" t="str">
        <f>IFERROR(VLOOKUP($A297,EntryList!$A$3:$V$291,22,FALSE),"")</f>
        <v/>
      </c>
      <c r="G297" s="148" t="str">
        <f>IFERROR(VLOOKUP($A297,EntryList!$A$3:$N$291,6,FALSE),"")</f>
        <v/>
      </c>
      <c r="H297" s="226" t="str">
        <f>IFERROR(VLOOKUP($A297,EntryList!$A$3:$N$291,7,FALSE),"")</f>
        <v/>
      </c>
      <c r="I297" s="220">
        <f t="shared" si="27"/>
        <v>0</v>
      </c>
      <c r="J297" s="58" t="str">
        <f>IFERROR(VLOOKUP($A297,SortedDownload!$A$3:$BB$219,31,FALSE)/86400000,"")</f>
        <v/>
      </c>
      <c r="K297" s="58" t="str">
        <f>IFERROR(IF(VLOOKUP($A297,SortedDownload!$A$3:$BB$219,32,FALSE)=0,"-",VLOOKUP($A297,SortedDownload!$A$3:$BB$219,32,FALSE)/86400000),"-")</f>
        <v>-</v>
      </c>
      <c r="L297" s="58" t="str">
        <f>IFERROR(IF(VLOOKUP($A297,SortedDownload!$A$3:$BB$219,33,FALSE)=0,"-",VLOOKUP($A297,SortedDownload!$A$3:$BB$219,33,FALSE)/86400000),"-")</f>
        <v>-</v>
      </c>
      <c r="M297" s="58" t="str">
        <f>IFERROR(IF(VLOOKUP($A297,SortedDownload!$A$3:$BB$219,34,FALSE)=0,"-",VLOOKUP($A297,SortedDownload!$A$3:$BB$219,34,FALSE)/86400000),"-")</f>
        <v>-</v>
      </c>
      <c r="N297" s="58" t="str">
        <f>IFERROR(IF(VLOOKUP($A297,SortedDownload!$A$3:$BB$219,35,FALSE)=0,"-",VLOOKUP($A297,SortedDownload!$A$3:$BB$219,35,FALSE)/86400000),"-")</f>
        <v>-</v>
      </c>
      <c r="O297" s="58" t="str">
        <f>IFERROR(IF(VLOOKUP($A297,SortedDownload!$A$3:$BB$219,36,FALSE)=0,"-",VLOOKUP($A297,SortedDownload!$A$3:$BB$219,36,FALSE)/86400000),"-")</f>
        <v>-</v>
      </c>
      <c r="P297" s="58" t="str">
        <f>IFERROR(IF(VLOOKUP($A297,SortedDownload!$A$3:$BB$219,37,FALSE)=0,"-",VLOOKUP($A297,SortedDownload!$A$3:$BB$219,37,FALSE)/86400000),"-")</f>
        <v>-</v>
      </c>
      <c r="Q297" s="58" t="str">
        <f>IFERROR(IF(VLOOKUP($A297,SortedDownload!$A$3:$BB$219,38,FALSE)=0,"-",VLOOKUP($A297,SortedDownload!$A$3:$BB$219,38,FALSE)/86400000),"-")</f>
        <v>-</v>
      </c>
      <c r="R297" s="58" t="str">
        <f>IFERROR(IF(VLOOKUP($A297,SortedDownload!$A$3:$BB$219,39,FALSE)=0,"-",VLOOKUP($A297,SortedDownload!$A$3:$BB$219,39,FALSE)/86400000),"-")</f>
        <v>-</v>
      </c>
      <c r="S297" s="58" t="str">
        <f>IFERROR(IF(VLOOKUP($A297,SortedDownload!$A$3:$BB$219,40,FALSE)=0,"-",VLOOKUP($A297,SortedDownload!$A$3:$BB$219,40,FALSE)/86400000),"-")</f>
        <v>-</v>
      </c>
      <c r="T297" s="58" t="str">
        <f>IFERROR(IF(VLOOKUP($A297,SortedDownload!$A$3:$BB$219,41,FALSE)=0,"-",VLOOKUP($A297,SortedDownload!$A$3:$BB$219,41,FALSE)/86400000),"-")</f>
        <v>-</v>
      </c>
      <c r="U297" s="58" t="str">
        <f>IFERROR(IF(VLOOKUP($A297,SortedDownload!$A$3:$BB$219,42,FALSE)=0,"-",VLOOKUP($A297,SortedDownload!$A$3:$BB$219,42,FALSE)/86400000),"-")</f>
        <v>-</v>
      </c>
      <c r="V297" s="58" t="str">
        <f>IFERROR(IF(VLOOKUP($A297,SortedDownload!$A$3:$BB$219,43,FALSE)=0,"-",VLOOKUP($A297,SortedDownload!$A$3:$BB$219,43,FALSE)/86400000),"-")</f>
        <v>-</v>
      </c>
      <c r="W297" s="58" t="str">
        <f>IFERROR(IF(VLOOKUP($A297,SortedDownload!$A$3:$BB$219,44,FALSE)=0,"-",VLOOKUP($A297,SortedDownload!$A$3:$BB$219,44,FALSE)/86400000),"-")</f>
        <v>-</v>
      </c>
      <c r="X297" s="58" t="str">
        <f>IFERROR(IF(VLOOKUP($A297,SortedDownload!$A$3:$BB$219,45,FALSE)=0,"-",VLOOKUP($A297,SortedDownload!$A$3:$BB$219,45,FALSE)/86400000),"-")</f>
        <v>-</v>
      </c>
      <c r="Y297" s="58" t="str">
        <f>IFERROR(VLOOKUP($A297,SortedDownload!$A$3:$BB$219,46,FALSE)/86400000,"")</f>
        <v/>
      </c>
      <c r="Z297" s="58" t="str">
        <f>IFERROR(Table932[[#This Row],[End Time]]-Table932[[#This Row],[Start Time]],"")</f>
        <v/>
      </c>
      <c r="AA297" s="58"/>
      <c r="AB297" s="170" t="e">
        <f t="shared" si="28"/>
        <v>#VALUE!</v>
      </c>
      <c r="AC297" s="170" t="e">
        <f t="shared" si="29"/>
        <v>#VALUE!</v>
      </c>
    </row>
    <row r="298" spans="1:29">
      <c r="A298" s="53" t="str">
        <f>IF(SortedDownload!A288 &lt; 1,"",SortedDownload!A288)</f>
        <v/>
      </c>
      <c r="B298" s="146" t="str">
        <f t="shared" si="26"/>
        <v/>
      </c>
      <c r="C298" s="146" t="str">
        <f>IFERROR(VLOOKUP($A298,CategoryResults!$A$3:$X$252,3,FALSE),"")</f>
        <v/>
      </c>
      <c r="D298" s="149" t="str">
        <f>IFERROR(VLOOKUP($A298,EntryList!$A$3:$N$291,2,FALSE),"")</f>
        <v/>
      </c>
      <c r="E298" s="146" t="str">
        <f>IFERROR(VLOOKUP(C298,SeriesPoints!$A$2:$B$51,2,FALSE),"")</f>
        <v/>
      </c>
      <c r="F298" s="150" t="str">
        <f>IFERROR(VLOOKUP($A298,EntryList!$A$3:$V$291,22,FALSE),"")</f>
        <v/>
      </c>
      <c r="G298" s="148" t="str">
        <f>IFERROR(VLOOKUP($A298,EntryList!$A$3:$N$291,6,FALSE),"")</f>
        <v/>
      </c>
      <c r="H298" s="226" t="str">
        <f>IFERROR(VLOOKUP($A298,EntryList!$A$3:$N$291,7,FALSE),"")</f>
        <v/>
      </c>
      <c r="I298" s="220">
        <f t="shared" si="27"/>
        <v>0</v>
      </c>
      <c r="J298" s="58" t="str">
        <f>IFERROR(VLOOKUP($A298,SortedDownload!$A$3:$BB$219,31,FALSE)/86400000,"")</f>
        <v/>
      </c>
      <c r="K298" s="58" t="str">
        <f>IFERROR(IF(VLOOKUP($A298,SortedDownload!$A$3:$BB$219,32,FALSE)=0,"-",VLOOKUP($A298,SortedDownload!$A$3:$BB$219,32,FALSE)/86400000),"-")</f>
        <v>-</v>
      </c>
      <c r="L298" s="58" t="str">
        <f>IFERROR(IF(VLOOKUP($A298,SortedDownload!$A$3:$BB$219,33,FALSE)=0,"-",VLOOKUP($A298,SortedDownload!$A$3:$BB$219,33,FALSE)/86400000),"-")</f>
        <v>-</v>
      </c>
      <c r="M298" s="58" t="str">
        <f>IFERROR(IF(VLOOKUP($A298,SortedDownload!$A$3:$BB$219,34,FALSE)=0,"-",VLOOKUP($A298,SortedDownload!$A$3:$BB$219,34,FALSE)/86400000),"-")</f>
        <v>-</v>
      </c>
      <c r="N298" s="58" t="str">
        <f>IFERROR(IF(VLOOKUP($A298,SortedDownload!$A$3:$BB$219,35,FALSE)=0,"-",VLOOKUP($A298,SortedDownload!$A$3:$BB$219,35,FALSE)/86400000),"-")</f>
        <v>-</v>
      </c>
      <c r="O298" s="58" t="str">
        <f>IFERROR(IF(VLOOKUP($A298,SortedDownload!$A$3:$BB$219,36,FALSE)=0,"-",VLOOKUP($A298,SortedDownload!$A$3:$BB$219,36,FALSE)/86400000),"-")</f>
        <v>-</v>
      </c>
      <c r="P298" s="58" t="str">
        <f>IFERROR(IF(VLOOKUP($A298,SortedDownload!$A$3:$BB$219,37,FALSE)=0,"-",VLOOKUP($A298,SortedDownload!$A$3:$BB$219,37,FALSE)/86400000),"-")</f>
        <v>-</v>
      </c>
      <c r="Q298" s="58" t="str">
        <f>IFERROR(IF(VLOOKUP($A298,SortedDownload!$A$3:$BB$219,38,FALSE)=0,"-",VLOOKUP($A298,SortedDownload!$A$3:$BB$219,38,FALSE)/86400000),"-")</f>
        <v>-</v>
      </c>
      <c r="R298" s="58" t="str">
        <f>IFERROR(IF(VLOOKUP($A298,SortedDownload!$A$3:$BB$219,39,FALSE)=0,"-",VLOOKUP($A298,SortedDownload!$A$3:$BB$219,39,FALSE)/86400000),"-")</f>
        <v>-</v>
      </c>
      <c r="S298" s="58" t="str">
        <f>IFERROR(IF(VLOOKUP($A298,SortedDownload!$A$3:$BB$219,40,FALSE)=0,"-",VLOOKUP($A298,SortedDownload!$A$3:$BB$219,40,FALSE)/86400000),"-")</f>
        <v>-</v>
      </c>
      <c r="T298" s="58" t="str">
        <f>IFERROR(IF(VLOOKUP($A298,SortedDownload!$A$3:$BB$219,41,FALSE)=0,"-",VLOOKUP($A298,SortedDownload!$A$3:$BB$219,41,FALSE)/86400000),"-")</f>
        <v>-</v>
      </c>
      <c r="U298" s="58" t="str">
        <f>IFERROR(IF(VLOOKUP($A298,SortedDownload!$A$3:$BB$219,42,FALSE)=0,"-",VLOOKUP($A298,SortedDownload!$A$3:$BB$219,42,FALSE)/86400000),"-")</f>
        <v>-</v>
      </c>
      <c r="V298" s="58" t="str">
        <f>IFERROR(IF(VLOOKUP($A298,SortedDownload!$A$3:$BB$219,43,FALSE)=0,"-",VLOOKUP($A298,SortedDownload!$A$3:$BB$219,43,FALSE)/86400000),"-")</f>
        <v>-</v>
      </c>
      <c r="W298" s="58" t="str">
        <f>IFERROR(IF(VLOOKUP($A298,SortedDownload!$A$3:$BB$219,44,FALSE)=0,"-",VLOOKUP($A298,SortedDownload!$A$3:$BB$219,44,FALSE)/86400000),"-")</f>
        <v>-</v>
      </c>
      <c r="X298" s="58" t="str">
        <f>IFERROR(IF(VLOOKUP($A298,SortedDownload!$A$3:$BB$219,45,FALSE)=0,"-",VLOOKUP($A298,SortedDownload!$A$3:$BB$219,45,FALSE)/86400000),"-")</f>
        <v>-</v>
      </c>
      <c r="Y298" s="58" t="str">
        <f>IFERROR(VLOOKUP($A298,SortedDownload!$A$3:$BB$219,46,FALSE)/86400000,"")</f>
        <v/>
      </c>
      <c r="Z298" s="58" t="str">
        <f>IFERROR(Table932[[#This Row],[End Time]]-Table932[[#This Row],[Start Time]],"")</f>
        <v/>
      </c>
      <c r="AA298" s="58"/>
      <c r="AB298" s="170" t="e">
        <f t="shared" si="28"/>
        <v>#VALUE!</v>
      </c>
      <c r="AC298" s="170" t="e">
        <f t="shared" si="29"/>
        <v>#VALUE!</v>
      </c>
    </row>
    <row r="299" spans="1:29">
      <c r="A299" s="53" t="str">
        <f>IF(SortedDownload!A289 &lt; 1,"",SortedDownload!A289)</f>
        <v/>
      </c>
      <c r="B299" s="146" t="str">
        <f t="shared" si="26"/>
        <v/>
      </c>
      <c r="C299" s="146" t="str">
        <f>IFERROR(VLOOKUP($A299,CategoryResults!$A$3:$X$252,3,FALSE),"")</f>
        <v/>
      </c>
      <c r="D299" s="149" t="str">
        <f>IFERROR(VLOOKUP($A299,EntryList!$A$3:$N$291,2,FALSE),"")</f>
        <v/>
      </c>
      <c r="E299" s="146" t="str">
        <f>IFERROR(VLOOKUP(C299,SeriesPoints!$A$2:$B$51,2,FALSE),"")</f>
        <v/>
      </c>
      <c r="F299" s="150" t="str">
        <f>IFERROR(VLOOKUP($A299,EntryList!$A$3:$V$291,22,FALSE),"")</f>
        <v/>
      </c>
      <c r="G299" s="148" t="str">
        <f>IFERROR(VLOOKUP($A299,EntryList!$A$3:$N$291,6,FALSE),"")</f>
        <v/>
      </c>
      <c r="H299" s="226" t="str">
        <f>IFERROR(VLOOKUP($A299,EntryList!$A$3:$N$291,7,FALSE),"")</f>
        <v/>
      </c>
      <c r="I299" s="220">
        <f t="shared" si="27"/>
        <v>0</v>
      </c>
      <c r="J299" s="58" t="str">
        <f>IFERROR(VLOOKUP($A299,SortedDownload!$A$3:$BB$219,31,FALSE)/86400000,"")</f>
        <v/>
      </c>
      <c r="K299" s="58" t="str">
        <f>IFERROR(IF(VLOOKUP($A299,SortedDownload!$A$3:$BB$219,32,FALSE)=0,"-",VLOOKUP($A299,SortedDownload!$A$3:$BB$219,32,FALSE)/86400000),"-")</f>
        <v>-</v>
      </c>
      <c r="L299" s="58" t="str">
        <f>IFERROR(IF(VLOOKUP($A299,SortedDownload!$A$3:$BB$219,33,FALSE)=0,"-",VLOOKUP($A299,SortedDownload!$A$3:$BB$219,33,FALSE)/86400000),"-")</f>
        <v>-</v>
      </c>
      <c r="M299" s="58" t="str">
        <f>IFERROR(IF(VLOOKUP($A299,SortedDownload!$A$3:$BB$219,34,FALSE)=0,"-",VLOOKUP($A299,SortedDownload!$A$3:$BB$219,34,FALSE)/86400000),"-")</f>
        <v>-</v>
      </c>
      <c r="N299" s="58" t="str">
        <f>IFERROR(IF(VLOOKUP($A299,SortedDownload!$A$3:$BB$219,35,FALSE)=0,"-",VLOOKUP($A299,SortedDownload!$A$3:$BB$219,35,FALSE)/86400000),"-")</f>
        <v>-</v>
      </c>
      <c r="O299" s="58" t="str">
        <f>IFERROR(IF(VLOOKUP($A299,SortedDownload!$A$3:$BB$219,36,FALSE)=0,"-",VLOOKUP($A299,SortedDownload!$A$3:$BB$219,36,FALSE)/86400000),"-")</f>
        <v>-</v>
      </c>
      <c r="P299" s="58" t="str">
        <f>IFERROR(IF(VLOOKUP($A299,SortedDownload!$A$3:$BB$219,37,FALSE)=0,"-",VLOOKUP($A299,SortedDownload!$A$3:$BB$219,37,FALSE)/86400000),"-")</f>
        <v>-</v>
      </c>
      <c r="Q299" s="58" t="str">
        <f>IFERROR(IF(VLOOKUP($A299,SortedDownload!$A$3:$BB$219,38,FALSE)=0,"-",VLOOKUP($A299,SortedDownload!$A$3:$BB$219,38,FALSE)/86400000),"-")</f>
        <v>-</v>
      </c>
      <c r="R299" s="58" t="str">
        <f>IFERROR(IF(VLOOKUP($A299,SortedDownload!$A$3:$BB$219,39,FALSE)=0,"-",VLOOKUP($A299,SortedDownload!$A$3:$BB$219,39,FALSE)/86400000),"-")</f>
        <v>-</v>
      </c>
      <c r="S299" s="58" t="str">
        <f>IFERROR(IF(VLOOKUP($A299,SortedDownload!$A$3:$BB$219,40,FALSE)=0,"-",VLOOKUP($A299,SortedDownload!$A$3:$BB$219,40,FALSE)/86400000),"-")</f>
        <v>-</v>
      </c>
      <c r="T299" s="58" t="str">
        <f>IFERROR(IF(VLOOKUP($A299,SortedDownload!$A$3:$BB$219,41,FALSE)=0,"-",VLOOKUP($A299,SortedDownload!$A$3:$BB$219,41,FALSE)/86400000),"-")</f>
        <v>-</v>
      </c>
      <c r="U299" s="58" t="str">
        <f>IFERROR(IF(VLOOKUP($A299,SortedDownload!$A$3:$BB$219,42,FALSE)=0,"-",VLOOKUP($A299,SortedDownload!$A$3:$BB$219,42,FALSE)/86400000),"-")</f>
        <v>-</v>
      </c>
      <c r="V299" s="58" t="str">
        <f>IFERROR(IF(VLOOKUP($A299,SortedDownload!$A$3:$BB$219,43,FALSE)=0,"-",VLOOKUP($A299,SortedDownload!$A$3:$BB$219,43,FALSE)/86400000),"-")</f>
        <v>-</v>
      </c>
      <c r="W299" s="58" t="str">
        <f>IFERROR(IF(VLOOKUP($A299,SortedDownload!$A$3:$BB$219,44,FALSE)=0,"-",VLOOKUP($A299,SortedDownload!$A$3:$BB$219,44,FALSE)/86400000),"-")</f>
        <v>-</v>
      </c>
      <c r="X299" s="58" t="str">
        <f>IFERROR(IF(VLOOKUP($A299,SortedDownload!$A$3:$BB$219,45,FALSE)=0,"-",VLOOKUP($A299,SortedDownload!$A$3:$BB$219,45,FALSE)/86400000),"-")</f>
        <v>-</v>
      </c>
      <c r="Y299" s="58" t="str">
        <f>IFERROR(VLOOKUP($A299,SortedDownload!$A$3:$BB$219,46,FALSE)/86400000,"")</f>
        <v/>
      </c>
      <c r="Z299" s="58" t="str">
        <f>IFERROR(Table932[[#This Row],[End Time]]-Table932[[#This Row],[Start Time]],"")</f>
        <v/>
      </c>
      <c r="AA299" s="58"/>
      <c r="AB299" s="170" t="e">
        <f t="shared" si="28"/>
        <v>#VALUE!</v>
      </c>
      <c r="AC299" s="170" t="e">
        <f t="shared" si="29"/>
        <v>#VALUE!</v>
      </c>
    </row>
    <row r="300" spans="1:29">
      <c r="A300" s="53" t="str">
        <f>IF(SortedDownload!A290 &lt; 1,"",SortedDownload!A290)</f>
        <v/>
      </c>
      <c r="B300" s="146" t="str">
        <f t="shared" si="26"/>
        <v/>
      </c>
      <c r="C300" s="146" t="str">
        <f>IFERROR(VLOOKUP($A300,CategoryResults!$A$3:$X$252,3,FALSE),"")</f>
        <v/>
      </c>
      <c r="D300" s="149" t="str">
        <f>IFERROR(VLOOKUP($A300,EntryList!$A$3:$N$291,2,FALSE),"")</f>
        <v/>
      </c>
      <c r="E300" s="146" t="str">
        <f>IFERROR(VLOOKUP(C300,SeriesPoints!$A$2:$B$51,2,FALSE),"")</f>
        <v/>
      </c>
      <c r="F300" s="150" t="str">
        <f>IFERROR(VLOOKUP($A300,EntryList!$A$3:$V$291,22,FALSE),"")</f>
        <v/>
      </c>
      <c r="G300" s="148" t="str">
        <f>IFERROR(VLOOKUP($A300,EntryList!$A$3:$N$291,6,FALSE),"")</f>
        <v/>
      </c>
      <c r="H300" s="226" t="str">
        <f>IFERROR(VLOOKUP($A300,EntryList!$A$3:$N$291,7,FALSE),"")</f>
        <v/>
      </c>
      <c r="I300" s="220">
        <f t="shared" si="27"/>
        <v>0</v>
      </c>
      <c r="J300" s="58" t="str">
        <f>IFERROR(VLOOKUP($A300,SortedDownload!$A$3:$BB$219,31,FALSE)/86400000,"")</f>
        <v/>
      </c>
      <c r="K300" s="58" t="str">
        <f>IFERROR(IF(VLOOKUP($A300,SortedDownload!$A$3:$BB$219,32,FALSE)=0,"-",VLOOKUP($A300,SortedDownload!$A$3:$BB$219,32,FALSE)/86400000),"-")</f>
        <v>-</v>
      </c>
      <c r="L300" s="58" t="str">
        <f>IFERROR(IF(VLOOKUP($A300,SortedDownload!$A$3:$BB$219,33,FALSE)=0,"-",VLOOKUP($A300,SortedDownload!$A$3:$BB$219,33,FALSE)/86400000),"-")</f>
        <v>-</v>
      </c>
      <c r="M300" s="58" t="str">
        <f>IFERROR(IF(VLOOKUP($A300,SortedDownload!$A$3:$BB$219,34,FALSE)=0,"-",VLOOKUP($A300,SortedDownload!$A$3:$BB$219,34,FALSE)/86400000),"-")</f>
        <v>-</v>
      </c>
      <c r="N300" s="58" t="str">
        <f>IFERROR(IF(VLOOKUP($A300,SortedDownload!$A$3:$BB$219,35,FALSE)=0,"-",VLOOKUP($A300,SortedDownload!$A$3:$BB$219,35,FALSE)/86400000),"-")</f>
        <v>-</v>
      </c>
      <c r="O300" s="58" t="str">
        <f>IFERROR(IF(VLOOKUP($A300,SortedDownload!$A$3:$BB$219,36,FALSE)=0,"-",VLOOKUP($A300,SortedDownload!$A$3:$BB$219,36,FALSE)/86400000),"-")</f>
        <v>-</v>
      </c>
      <c r="P300" s="58" t="str">
        <f>IFERROR(IF(VLOOKUP($A300,SortedDownload!$A$3:$BB$219,37,FALSE)=0,"-",VLOOKUP($A300,SortedDownload!$A$3:$BB$219,37,FALSE)/86400000),"-")</f>
        <v>-</v>
      </c>
      <c r="Q300" s="58" t="str">
        <f>IFERROR(IF(VLOOKUP($A300,SortedDownload!$A$3:$BB$219,38,FALSE)=0,"-",VLOOKUP($A300,SortedDownload!$A$3:$BB$219,38,FALSE)/86400000),"-")</f>
        <v>-</v>
      </c>
      <c r="R300" s="58" t="str">
        <f>IFERROR(IF(VLOOKUP($A300,SortedDownload!$A$3:$BB$219,39,FALSE)=0,"-",VLOOKUP($A300,SortedDownload!$A$3:$BB$219,39,FALSE)/86400000),"-")</f>
        <v>-</v>
      </c>
      <c r="S300" s="58" t="str">
        <f>IFERROR(IF(VLOOKUP($A300,SortedDownload!$A$3:$BB$219,40,FALSE)=0,"-",VLOOKUP($A300,SortedDownload!$A$3:$BB$219,40,FALSE)/86400000),"-")</f>
        <v>-</v>
      </c>
      <c r="T300" s="58" t="str">
        <f>IFERROR(IF(VLOOKUP($A300,SortedDownload!$A$3:$BB$219,41,FALSE)=0,"-",VLOOKUP($A300,SortedDownload!$A$3:$BB$219,41,FALSE)/86400000),"-")</f>
        <v>-</v>
      </c>
      <c r="U300" s="58" t="str">
        <f>IFERROR(IF(VLOOKUP($A300,SortedDownload!$A$3:$BB$219,42,FALSE)=0,"-",VLOOKUP($A300,SortedDownload!$A$3:$BB$219,42,FALSE)/86400000),"-")</f>
        <v>-</v>
      </c>
      <c r="V300" s="58" t="str">
        <f>IFERROR(IF(VLOOKUP($A300,SortedDownload!$A$3:$BB$219,43,FALSE)=0,"-",VLOOKUP($A300,SortedDownload!$A$3:$BB$219,43,FALSE)/86400000),"-")</f>
        <v>-</v>
      </c>
      <c r="W300" s="58" t="str">
        <f>IFERROR(IF(VLOOKUP($A300,SortedDownload!$A$3:$BB$219,44,FALSE)=0,"-",VLOOKUP($A300,SortedDownload!$A$3:$BB$219,44,FALSE)/86400000),"-")</f>
        <v>-</v>
      </c>
      <c r="X300" s="58" t="str">
        <f>IFERROR(IF(VLOOKUP($A300,SortedDownload!$A$3:$BB$219,45,FALSE)=0,"-",VLOOKUP($A300,SortedDownload!$A$3:$BB$219,45,FALSE)/86400000),"-")</f>
        <v>-</v>
      </c>
      <c r="Y300" s="58" t="str">
        <f>IFERROR(VLOOKUP($A300,SortedDownload!$A$3:$BB$219,46,FALSE)/86400000,"")</f>
        <v/>
      </c>
      <c r="Z300" s="58" t="str">
        <f>IFERROR(Table932[[#This Row],[End Time]]-Table932[[#This Row],[Start Time]],"")</f>
        <v/>
      </c>
      <c r="AA300" s="58"/>
      <c r="AB300" s="170" t="e">
        <f t="shared" si="28"/>
        <v>#VALUE!</v>
      </c>
      <c r="AC300" s="170" t="e">
        <f t="shared" si="29"/>
        <v>#VALUE!</v>
      </c>
    </row>
    <row r="301" spans="1:29">
      <c r="A301" s="53" t="str">
        <f>IF(SortedDownload!A291 &lt; 1,"",SortedDownload!A291)</f>
        <v/>
      </c>
      <c r="B301" s="146" t="str">
        <f t="shared" si="26"/>
        <v/>
      </c>
      <c r="C301" s="146" t="str">
        <f>IFERROR(VLOOKUP($A301,CategoryResults!$A$3:$X$252,3,FALSE),"")</f>
        <v/>
      </c>
      <c r="D301" s="149" t="str">
        <f>IFERROR(VLOOKUP($A301,EntryList!$A$3:$N$291,2,FALSE),"")</f>
        <v/>
      </c>
      <c r="E301" s="146" t="str">
        <f>IFERROR(VLOOKUP(C301,SeriesPoints!$A$2:$B$51,2,FALSE),"")</f>
        <v/>
      </c>
      <c r="F301" s="150" t="str">
        <f>IFERROR(VLOOKUP($A301,EntryList!$A$3:$V$291,22,FALSE),"")</f>
        <v/>
      </c>
      <c r="G301" s="148" t="str">
        <f>IFERROR(VLOOKUP($A301,EntryList!$A$3:$N$291,6,FALSE),"")</f>
        <v/>
      </c>
      <c r="H301" s="226" t="str">
        <f>IFERROR(VLOOKUP($A301,EntryList!$A$3:$N$291,7,FALSE),"")</f>
        <v/>
      </c>
      <c r="I301" s="220">
        <f t="shared" si="27"/>
        <v>0</v>
      </c>
      <c r="J301" s="58" t="str">
        <f>IFERROR(VLOOKUP($A301,SortedDownload!$A$3:$BB$219,31,FALSE)/86400000,"")</f>
        <v/>
      </c>
      <c r="K301" s="58" t="str">
        <f>IFERROR(IF(VLOOKUP($A301,SortedDownload!$A$3:$BB$219,32,FALSE)=0,"-",VLOOKUP($A301,SortedDownload!$A$3:$BB$219,32,FALSE)/86400000),"-")</f>
        <v>-</v>
      </c>
      <c r="L301" s="58" t="str">
        <f>IFERROR(IF(VLOOKUP($A301,SortedDownload!$A$3:$BB$219,33,FALSE)=0,"-",VLOOKUP($A301,SortedDownload!$A$3:$BB$219,33,FALSE)/86400000),"-")</f>
        <v>-</v>
      </c>
      <c r="M301" s="58" t="str">
        <f>IFERROR(IF(VLOOKUP($A301,SortedDownload!$A$3:$BB$219,34,FALSE)=0,"-",VLOOKUP($A301,SortedDownload!$A$3:$BB$219,34,FALSE)/86400000),"-")</f>
        <v>-</v>
      </c>
      <c r="N301" s="58" t="str">
        <f>IFERROR(IF(VLOOKUP($A301,SortedDownload!$A$3:$BB$219,35,FALSE)=0,"-",VLOOKUP($A301,SortedDownload!$A$3:$BB$219,35,FALSE)/86400000),"-")</f>
        <v>-</v>
      </c>
      <c r="O301" s="58" t="str">
        <f>IFERROR(IF(VLOOKUP($A301,SortedDownload!$A$3:$BB$219,36,FALSE)=0,"-",VLOOKUP($A301,SortedDownload!$A$3:$BB$219,36,FALSE)/86400000),"-")</f>
        <v>-</v>
      </c>
      <c r="P301" s="58" t="str">
        <f>IFERROR(IF(VLOOKUP($A301,SortedDownload!$A$3:$BB$219,37,FALSE)=0,"-",VLOOKUP($A301,SortedDownload!$A$3:$BB$219,37,FALSE)/86400000),"-")</f>
        <v>-</v>
      </c>
      <c r="Q301" s="58" t="str">
        <f>IFERROR(IF(VLOOKUP($A301,SortedDownload!$A$3:$BB$219,38,FALSE)=0,"-",VLOOKUP($A301,SortedDownload!$A$3:$BB$219,38,FALSE)/86400000),"-")</f>
        <v>-</v>
      </c>
      <c r="R301" s="58" t="str">
        <f>IFERROR(IF(VLOOKUP($A301,SortedDownload!$A$3:$BB$219,39,FALSE)=0,"-",VLOOKUP($A301,SortedDownload!$A$3:$BB$219,39,FALSE)/86400000),"-")</f>
        <v>-</v>
      </c>
      <c r="S301" s="58" t="str">
        <f>IFERROR(IF(VLOOKUP($A301,SortedDownload!$A$3:$BB$219,40,FALSE)=0,"-",VLOOKUP($A301,SortedDownload!$A$3:$BB$219,40,FALSE)/86400000),"-")</f>
        <v>-</v>
      </c>
      <c r="T301" s="58" t="str">
        <f>IFERROR(IF(VLOOKUP($A301,SortedDownload!$A$3:$BB$219,41,FALSE)=0,"-",VLOOKUP($A301,SortedDownload!$A$3:$BB$219,41,FALSE)/86400000),"-")</f>
        <v>-</v>
      </c>
      <c r="U301" s="58" t="str">
        <f>IFERROR(IF(VLOOKUP($A301,SortedDownload!$A$3:$BB$219,42,FALSE)=0,"-",VLOOKUP($A301,SortedDownload!$A$3:$BB$219,42,FALSE)/86400000),"-")</f>
        <v>-</v>
      </c>
      <c r="V301" s="58" t="str">
        <f>IFERROR(IF(VLOOKUP($A301,SortedDownload!$A$3:$BB$219,43,FALSE)=0,"-",VLOOKUP($A301,SortedDownload!$A$3:$BB$219,43,FALSE)/86400000),"-")</f>
        <v>-</v>
      </c>
      <c r="W301" s="58" t="str">
        <f>IFERROR(IF(VLOOKUP($A301,SortedDownload!$A$3:$BB$219,44,FALSE)=0,"-",VLOOKUP($A301,SortedDownload!$A$3:$BB$219,44,FALSE)/86400000),"-")</f>
        <v>-</v>
      </c>
      <c r="X301" s="58" t="str">
        <f>IFERROR(IF(VLOOKUP($A301,SortedDownload!$A$3:$BB$219,45,FALSE)=0,"-",VLOOKUP($A301,SortedDownload!$A$3:$BB$219,45,FALSE)/86400000),"-")</f>
        <v>-</v>
      </c>
      <c r="Y301" s="58" t="str">
        <f>IFERROR(VLOOKUP($A301,SortedDownload!$A$3:$BB$219,46,FALSE)/86400000,"")</f>
        <v/>
      </c>
      <c r="Z301" s="58" t="str">
        <f>IFERROR(Table932[[#This Row],[End Time]]-Table932[[#This Row],[Start Time]],"")</f>
        <v/>
      </c>
      <c r="AA301" s="58"/>
      <c r="AB301" s="170" t="e">
        <f t="shared" si="28"/>
        <v>#VALUE!</v>
      </c>
      <c r="AC301" s="170" t="e">
        <f t="shared" si="29"/>
        <v>#VALUE!</v>
      </c>
    </row>
    <row r="302" spans="1:29">
      <c r="A302" s="53" t="str">
        <f>IF(SortedDownload!A292 &lt; 1,"",SortedDownload!A292)</f>
        <v/>
      </c>
      <c r="B302" s="146" t="str">
        <f t="shared" si="26"/>
        <v/>
      </c>
      <c r="C302" s="146" t="str">
        <f>IFERROR(VLOOKUP($A302,CategoryResults!$A$3:$X$252,3,FALSE),"")</f>
        <v/>
      </c>
      <c r="D302" s="149" t="str">
        <f>IFERROR(VLOOKUP($A302,EntryList!$A$3:$N$291,2,FALSE),"")</f>
        <v/>
      </c>
      <c r="E302" s="146" t="str">
        <f>IFERROR(VLOOKUP(C302,SeriesPoints!$A$2:$B$51,2,FALSE),"")</f>
        <v/>
      </c>
      <c r="F302" s="150" t="str">
        <f>IFERROR(VLOOKUP($A302,EntryList!$A$3:$V$291,22,FALSE),"")</f>
        <v/>
      </c>
      <c r="G302" s="148" t="str">
        <f>IFERROR(VLOOKUP($A302,EntryList!$A$3:$N$291,6,FALSE),"")</f>
        <v/>
      </c>
      <c r="H302" s="226" t="str">
        <f>IFERROR(VLOOKUP($A302,EntryList!$A$3:$N$291,7,FALSE),"")</f>
        <v/>
      </c>
      <c r="I302" s="220">
        <f t="shared" si="27"/>
        <v>0</v>
      </c>
      <c r="J302" s="58" t="str">
        <f>IFERROR(VLOOKUP($A302,SortedDownload!$A$3:$BB$219,31,FALSE)/86400000,"")</f>
        <v/>
      </c>
      <c r="K302" s="58" t="str">
        <f>IFERROR(IF(VLOOKUP($A302,SortedDownload!$A$3:$BB$219,32,FALSE)=0,"-",VLOOKUP($A302,SortedDownload!$A$3:$BB$219,32,FALSE)/86400000),"-")</f>
        <v>-</v>
      </c>
      <c r="L302" s="58" t="str">
        <f>IFERROR(IF(VLOOKUP($A302,SortedDownload!$A$3:$BB$219,33,FALSE)=0,"-",VLOOKUP($A302,SortedDownload!$A$3:$BB$219,33,FALSE)/86400000),"-")</f>
        <v>-</v>
      </c>
      <c r="M302" s="58" t="str">
        <f>IFERROR(IF(VLOOKUP($A302,SortedDownload!$A$3:$BB$219,34,FALSE)=0,"-",VLOOKUP($A302,SortedDownload!$A$3:$BB$219,34,FALSE)/86400000),"-")</f>
        <v>-</v>
      </c>
      <c r="N302" s="58" t="str">
        <f>IFERROR(IF(VLOOKUP($A302,SortedDownload!$A$3:$BB$219,35,FALSE)=0,"-",VLOOKUP($A302,SortedDownload!$A$3:$BB$219,35,FALSE)/86400000),"-")</f>
        <v>-</v>
      </c>
      <c r="O302" s="58" t="str">
        <f>IFERROR(IF(VLOOKUP($A302,SortedDownload!$A$3:$BB$219,36,FALSE)=0,"-",VLOOKUP($A302,SortedDownload!$A$3:$BB$219,36,FALSE)/86400000),"-")</f>
        <v>-</v>
      </c>
      <c r="P302" s="58" t="str">
        <f>IFERROR(IF(VLOOKUP($A302,SortedDownload!$A$3:$BB$219,37,FALSE)=0,"-",VLOOKUP($A302,SortedDownload!$A$3:$BB$219,37,FALSE)/86400000),"-")</f>
        <v>-</v>
      </c>
      <c r="Q302" s="58" t="str">
        <f>IFERROR(IF(VLOOKUP($A302,SortedDownload!$A$3:$BB$219,38,FALSE)=0,"-",VLOOKUP($A302,SortedDownload!$A$3:$BB$219,38,FALSE)/86400000),"-")</f>
        <v>-</v>
      </c>
      <c r="R302" s="58" t="str">
        <f>IFERROR(IF(VLOOKUP($A302,SortedDownload!$A$3:$BB$219,39,FALSE)=0,"-",VLOOKUP($A302,SortedDownload!$A$3:$BB$219,39,FALSE)/86400000),"-")</f>
        <v>-</v>
      </c>
      <c r="S302" s="58" t="str">
        <f>IFERROR(IF(VLOOKUP($A302,SortedDownload!$A$3:$BB$219,40,FALSE)=0,"-",VLOOKUP($A302,SortedDownload!$A$3:$BB$219,40,FALSE)/86400000),"-")</f>
        <v>-</v>
      </c>
      <c r="T302" s="58" t="str">
        <f>IFERROR(IF(VLOOKUP($A302,SortedDownload!$A$3:$BB$219,41,FALSE)=0,"-",VLOOKUP($A302,SortedDownload!$A$3:$BB$219,41,FALSE)/86400000),"-")</f>
        <v>-</v>
      </c>
      <c r="U302" s="58" t="str">
        <f>IFERROR(IF(VLOOKUP($A302,SortedDownload!$A$3:$BB$219,42,FALSE)=0,"-",VLOOKUP($A302,SortedDownload!$A$3:$BB$219,42,FALSE)/86400000),"-")</f>
        <v>-</v>
      </c>
      <c r="V302" s="58" t="str">
        <f>IFERROR(IF(VLOOKUP($A302,SortedDownload!$A$3:$BB$219,43,FALSE)=0,"-",VLOOKUP($A302,SortedDownload!$A$3:$BB$219,43,FALSE)/86400000),"-")</f>
        <v>-</v>
      </c>
      <c r="W302" s="58" t="str">
        <f>IFERROR(IF(VLOOKUP($A302,SortedDownload!$A$3:$BB$219,44,FALSE)=0,"-",VLOOKUP($A302,SortedDownload!$A$3:$BB$219,44,FALSE)/86400000),"-")</f>
        <v>-</v>
      </c>
      <c r="X302" s="58" t="str">
        <f>IFERROR(IF(VLOOKUP($A302,SortedDownload!$A$3:$BB$219,45,FALSE)=0,"-",VLOOKUP($A302,SortedDownload!$A$3:$BB$219,45,FALSE)/86400000),"-")</f>
        <v>-</v>
      </c>
      <c r="Y302" s="58" t="str">
        <f>IFERROR(VLOOKUP($A302,SortedDownload!$A$3:$BB$219,46,FALSE)/86400000,"")</f>
        <v/>
      </c>
      <c r="Z302" s="58" t="str">
        <f>IFERROR(Table932[[#This Row],[End Time]]-Table932[[#This Row],[Start Time]],"")</f>
        <v/>
      </c>
      <c r="AA302" s="58"/>
      <c r="AB302" s="170" t="e">
        <f t="shared" si="28"/>
        <v>#VALUE!</v>
      </c>
      <c r="AC302" s="170" t="e">
        <f t="shared" si="29"/>
        <v>#VALUE!</v>
      </c>
    </row>
    <row r="303" spans="1:29">
      <c r="A303" s="53" t="str">
        <f>IF(SortedDownload!A293 &lt; 1,"",SortedDownload!A293)</f>
        <v/>
      </c>
      <c r="B303" s="146" t="str">
        <f t="shared" si="26"/>
        <v/>
      </c>
      <c r="C303" s="146" t="str">
        <f>IFERROR(VLOOKUP($A303,CategoryResults!$A$3:$X$252,3,FALSE),"")</f>
        <v/>
      </c>
      <c r="D303" s="149" t="str">
        <f>IFERROR(VLOOKUP($A303,EntryList!$A$3:$N$291,2,FALSE),"")</f>
        <v/>
      </c>
      <c r="E303" s="146" t="str">
        <f>IFERROR(VLOOKUP(C303,SeriesPoints!$A$2:$B$51,2,FALSE),"")</f>
        <v/>
      </c>
      <c r="F303" s="150" t="str">
        <f>IFERROR(VLOOKUP($A303,EntryList!$A$3:$V$291,22,FALSE),"")</f>
        <v/>
      </c>
      <c r="G303" s="148" t="str">
        <f>IFERROR(VLOOKUP($A303,EntryList!$A$3:$N$291,6,FALSE),"")</f>
        <v/>
      </c>
      <c r="H303" s="226" t="str">
        <f>IFERROR(VLOOKUP($A303,EntryList!$A$3:$N$291,7,FALSE),"")</f>
        <v/>
      </c>
      <c r="I303" s="220">
        <f t="shared" si="27"/>
        <v>0</v>
      </c>
      <c r="J303" s="58" t="str">
        <f>IFERROR(VLOOKUP($A303,SortedDownload!$A$3:$BB$219,31,FALSE)/86400000,"")</f>
        <v/>
      </c>
      <c r="K303" s="58" t="str">
        <f>IFERROR(IF(VLOOKUP($A303,SortedDownload!$A$3:$BB$219,32,FALSE)=0,"-",VLOOKUP($A303,SortedDownload!$A$3:$BB$219,32,FALSE)/86400000),"-")</f>
        <v>-</v>
      </c>
      <c r="L303" s="58" t="str">
        <f>IFERROR(IF(VLOOKUP($A303,SortedDownload!$A$3:$BB$219,33,FALSE)=0,"-",VLOOKUP($A303,SortedDownload!$A$3:$BB$219,33,FALSE)/86400000),"-")</f>
        <v>-</v>
      </c>
      <c r="M303" s="58" t="str">
        <f>IFERROR(IF(VLOOKUP($A303,SortedDownload!$A$3:$BB$219,34,FALSE)=0,"-",VLOOKUP($A303,SortedDownload!$A$3:$BB$219,34,FALSE)/86400000),"-")</f>
        <v>-</v>
      </c>
      <c r="N303" s="58" t="str">
        <f>IFERROR(IF(VLOOKUP($A303,SortedDownload!$A$3:$BB$219,35,FALSE)=0,"-",VLOOKUP($A303,SortedDownload!$A$3:$BB$219,35,FALSE)/86400000),"-")</f>
        <v>-</v>
      </c>
      <c r="O303" s="58" t="str">
        <f>IFERROR(IF(VLOOKUP($A303,SortedDownload!$A$3:$BB$219,36,FALSE)=0,"-",VLOOKUP($A303,SortedDownload!$A$3:$BB$219,36,FALSE)/86400000),"-")</f>
        <v>-</v>
      </c>
      <c r="P303" s="58" t="str">
        <f>IFERROR(IF(VLOOKUP($A303,SortedDownload!$A$3:$BB$219,37,FALSE)=0,"-",VLOOKUP($A303,SortedDownload!$A$3:$BB$219,37,FALSE)/86400000),"-")</f>
        <v>-</v>
      </c>
      <c r="Q303" s="58" t="str">
        <f>IFERROR(IF(VLOOKUP($A303,SortedDownload!$A$3:$BB$219,38,FALSE)=0,"-",VLOOKUP($A303,SortedDownload!$A$3:$BB$219,38,FALSE)/86400000),"-")</f>
        <v>-</v>
      </c>
      <c r="R303" s="58" t="str">
        <f>IFERROR(IF(VLOOKUP($A303,SortedDownload!$A$3:$BB$219,39,FALSE)=0,"-",VLOOKUP($A303,SortedDownload!$A$3:$BB$219,39,FALSE)/86400000),"-")</f>
        <v>-</v>
      </c>
      <c r="S303" s="58" t="str">
        <f>IFERROR(IF(VLOOKUP($A303,SortedDownload!$A$3:$BB$219,40,FALSE)=0,"-",VLOOKUP($A303,SortedDownload!$A$3:$BB$219,40,FALSE)/86400000),"-")</f>
        <v>-</v>
      </c>
      <c r="T303" s="58" t="str">
        <f>IFERROR(IF(VLOOKUP($A303,SortedDownload!$A$3:$BB$219,41,FALSE)=0,"-",VLOOKUP($A303,SortedDownload!$A$3:$BB$219,41,FALSE)/86400000),"-")</f>
        <v>-</v>
      </c>
      <c r="U303" s="58" t="str">
        <f>IFERROR(IF(VLOOKUP($A303,SortedDownload!$A$3:$BB$219,42,FALSE)=0,"-",VLOOKUP($A303,SortedDownload!$A$3:$BB$219,42,FALSE)/86400000),"-")</f>
        <v>-</v>
      </c>
      <c r="V303" s="58" t="str">
        <f>IFERROR(IF(VLOOKUP($A303,SortedDownload!$A$3:$BB$219,43,FALSE)=0,"-",VLOOKUP($A303,SortedDownload!$A$3:$BB$219,43,FALSE)/86400000),"-")</f>
        <v>-</v>
      </c>
      <c r="W303" s="58" t="str">
        <f>IFERROR(IF(VLOOKUP($A303,SortedDownload!$A$3:$BB$219,44,FALSE)=0,"-",VLOOKUP($A303,SortedDownload!$A$3:$BB$219,44,FALSE)/86400000),"-")</f>
        <v>-</v>
      </c>
      <c r="X303" s="58" t="str">
        <f>IFERROR(IF(VLOOKUP($A303,SortedDownload!$A$3:$BB$219,45,FALSE)=0,"-",VLOOKUP($A303,SortedDownload!$A$3:$BB$219,45,FALSE)/86400000),"-")</f>
        <v>-</v>
      </c>
      <c r="Y303" s="58" t="str">
        <f>IFERROR(VLOOKUP($A303,SortedDownload!$A$3:$BB$219,46,FALSE)/86400000,"")</f>
        <v/>
      </c>
      <c r="Z303" s="58" t="str">
        <f>IFERROR(Table932[[#This Row],[End Time]]-Table932[[#This Row],[Start Time]],"")</f>
        <v/>
      </c>
      <c r="AA303" s="58"/>
      <c r="AB303" s="170" t="e">
        <f t="shared" si="28"/>
        <v>#VALUE!</v>
      </c>
      <c r="AC303" s="170" t="e">
        <f t="shared" si="29"/>
        <v>#VALUE!</v>
      </c>
    </row>
    <row r="304" spans="1:29">
      <c r="A304" s="53" t="str">
        <f>IF(SortedDownload!A294 &lt; 1,"",SortedDownload!A294)</f>
        <v/>
      </c>
      <c r="B304" s="146" t="str">
        <f t="shared" si="26"/>
        <v/>
      </c>
      <c r="C304" s="146" t="str">
        <f>IFERROR(VLOOKUP($A304,CategoryResults!$A$3:$X$252,3,FALSE),"")</f>
        <v/>
      </c>
      <c r="D304" s="149" t="str">
        <f>IFERROR(VLOOKUP($A304,EntryList!$A$3:$N$291,2,FALSE),"")</f>
        <v/>
      </c>
      <c r="E304" s="146" t="str">
        <f>IFERROR(VLOOKUP(C304,SeriesPoints!$A$2:$B$51,2,FALSE),"")</f>
        <v/>
      </c>
      <c r="F304" s="150" t="str">
        <f>IFERROR(VLOOKUP($A304,EntryList!$A$3:$V$291,22,FALSE),"")</f>
        <v/>
      </c>
      <c r="G304" s="148" t="str">
        <f>IFERROR(VLOOKUP($A304,EntryList!$A$3:$N$291,6,FALSE),"")</f>
        <v/>
      </c>
      <c r="H304" s="226" t="str">
        <f>IFERROR(VLOOKUP($A304,EntryList!$A$3:$N$291,7,FALSE),"")</f>
        <v/>
      </c>
      <c r="I304" s="220">
        <f t="shared" si="27"/>
        <v>0</v>
      </c>
      <c r="J304" s="58" t="str">
        <f>IFERROR(VLOOKUP($A304,SortedDownload!$A$3:$BB$219,31,FALSE)/86400000,"")</f>
        <v/>
      </c>
      <c r="K304" s="58" t="str">
        <f>IFERROR(IF(VLOOKUP($A304,SortedDownload!$A$3:$BB$219,32,FALSE)=0,"-",VLOOKUP($A304,SortedDownload!$A$3:$BB$219,32,FALSE)/86400000),"-")</f>
        <v>-</v>
      </c>
      <c r="L304" s="58" t="str">
        <f>IFERROR(IF(VLOOKUP($A304,SortedDownload!$A$3:$BB$219,33,FALSE)=0,"-",VLOOKUP($A304,SortedDownload!$A$3:$BB$219,33,FALSE)/86400000),"-")</f>
        <v>-</v>
      </c>
      <c r="M304" s="58" t="str">
        <f>IFERROR(IF(VLOOKUP($A304,SortedDownload!$A$3:$BB$219,34,FALSE)=0,"-",VLOOKUP($A304,SortedDownload!$A$3:$BB$219,34,FALSE)/86400000),"-")</f>
        <v>-</v>
      </c>
      <c r="N304" s="58" t="str">
        <f>IFERROR(IF(VLOOKUP($A304,SortedDownload!$A$3:$BB$219,35,FALSE)=0,"-",VLOOKUP($A304,SortedDownload!$A$3:$BB$219,35,FALSE)/86400000),"-")</f>
        <v>-</v>
      </c>
      <c r="O304" s="58" t="str">
        <f>IFERROR(IF(VLOOKUP($A304,SortedDownload!$A$3:$BB$219,36,FALSE)=0,"-",VLOOKUP($A304,SortedDownload!$A$3:$BB$219,36,FALSE)/86400000),"-")</f>
        <v>-</v>
      </c>
      <c r="P304" s="58" t="str">
        <f>IFERROR(IF(VLOOKUP($A304,SortedDownload!$A$3:$BB$219,37,FALSE)=0,"-",VLOOKUP($A304,SortedDownload!$A$3:$BB$219,37,FALSE)/86400000),"-")</f>
        <v>-</v>
      </c>
      <c r="Q304" s="58" t="str">
        <f>IFERROR(IF(VLOOKUP($A304,SortedDownload!$A$3:$BB$219,38,FALSE)=0,"-",VLOOKUP($A304,SortedDownload!$A$3:$BB$219,38,FALSE)/86400000),"-")</f>
        <v>-</v>
      </c>
      <c r="R304" s="58" t="str">
        <f>IFERROR(IF(VLOOKUP($A304,SortedDownload!$A$3:$BB$219,39,FALSE)=0,"-",VLOOKUP($A304,SortedDownload!$A$3:$BB$219,39,FALSE)/86400000),"-")</f>
        <v>-</v>
      </c>
      <c r="S304" s="58" t="str">
        <f>IFERROR(IF(VLOOKUP($A304,SortedDownload!$A$3:$BB$219,40,FALSE)=0,"-",VLOOKUP($A304,SortedDownload!$A$3:$BB$219,40,FALSE)/86400000),"-")</f>
        <v>-</v>
      </c>
      <c r="T304" s="58" t="str">
        <f>IFERROR(IF(VLOOKUP($A304,SortedDownload!$A$3:$BB$219,41,FALSE)=0,"-",VLOOKUP($A304,SortedDownload!$A$3:$BB$219,41,FALSE)/86400000),"-")</f>
        <v>-</v>
      </c>
      <c r="U304" s="58" t="str">
        <f>IFERROR(IF(VLOOKUP($A304,SortedDownload!$A$3:$BB$219,42,FALSE)=0,"-",VLOOKUP($A304,SortedDownload!$A$3:$BB$219,42,FALSE)/86400000),"-")</f>
        <v>-</v>
      </c>
      <c r="V304" s="58" t="str">
        <f>IFERROR(IF(VLOOKUP($A304,SortedDownload!$A$3:$BB$219,43,FALSE)=0,"-",VLOOKUP($A304,SortedDownload!$A$3:$BB$219,43,FALSE)/86400000),"-")</f>
        <v>-</v>
      </c>
      <c r="W304" s="58" t="str">
        <f>IFERROR(IF(VLOOKUP($A304,SortedDownload!$A$3:$BB$219,44,FALSE)=0,"-",VLOOKUP($A304,SortedDownload!$A$3:$BB$219,44,FALSE)/86400000),"-")</f>
        <v>-</v>
      </c>
      <c r="X304" s="58" t="str">
        <f>IFERROR(IF(VLOOKUP($A304,SortedDownload!$A$3:$BB$219,45,FALSE)=0,"-",VLOOKUP($A304,SortedDownload!$A$3:$BB$219,45,FALSE)/86400000),"-")</f>
        <v>-</v>
      </c>
      <c r="Y304" s="58" t="str">
        <f>IFERROR(VLOOKUP($A304,SortedDownload!$A$3:$BB$219,46,FALSE)/86400000,"")</f>
        <v/>
      </c>
      <c r="Z304" s="58" t="str">
        <f>IFERROR(Table932[[#This Row],[End Time]]-Table932[[#This Row],[Start Time]],"")</f>
        <v/>
      </c>
      <c r="AA304" s="58"/>
      <c r="AB304" s="170" t="e">
        <f t="shared" si="28"/>
        <v>#VALUE!</v>
      </c>
      <c r="AC304" s="170" t="e">
        <f t="shared" si="29"/>
        <v>#VALUE!</v>
      </c>
    </row>
    <row r="305" spans="1:29">
      <c r="A305" s="53" t="str">
        <f>IF(SortedDownload!A295 &lt; 1,"",SortedDownload!A295)</f>
        <v/>
      </c>
      <c r="B305" s="146" t="str">
        <f t="shared" si="26"/>
        <v/>
      </c>
      <c r="C305" s="146" t="str">
        <f>IFERROR(VLOOKUP($A305,CategoryResults!$A$3:$X$252,3,FALSE),"")</f>
        <v/>
      </c>
      <c r="D305" s="149" t="str">
        <f>IFERROR(VLOOKUP($A305,EntryList!$A$3:$N$291,2,FALSE),"")</f>
        <v/>
      </c>
      <c r="E305" s="146" t="str">
        <f>IFERROR(VLOOKUP(C305,SeriesPoints!$A$2:$B$51,2,FALSE),"")</f>
        <v/>
      </c>
      <c r="F305" s="150" t="str">
        <f>IFERROR(VLOOKUP($A305,EntryList!$A$3:$V$291,22,FALSE),"")</f>
        <v/>
      </c>
      <c r="G305" s="148" t="str">
        <f>IFERROR(VLOOKUP($A305,EntryList!$A$3:$N$291,6,FALSE),"")</f>
        <v/>
      </c>
      <c r="H305" s="226" t="str">
        <f>IFERROR(VLOOKUP($A305,EntryList!$A$3:$N$291,7,FALSE),"")</f>
        <v/>
      </c>
      <c r="I305" s="220">
        <f t="shared" si="27"/>
        <v>0</v>
      </c>
      <c r="J305" s="58" t="str">
        <f>IFERROR(VLOOKUP($A305,SortedDownload!$A$3:$BB$219,31,FALSE)/86400000,"")</f>
        <v/>
      </c>
      <c r="K305" s="58" t="str">
        <f>IFERROR(IF(VLOOKUP($A305,SortedDownload!$A$3:$BB$219,32,FALSE)=0,"-",VLOOKUP($A305,SortedDownload!$A$3:$BB$219,32,FALSE)/86400000),"-")</f>
        <v>-</v>
      </c>
      <c r="L305" s="58" t="str">
        <f>IFERROR(IF(VLOOKUP($A305,SortedDownload!$A$3:$BB$219,33,FALSE)=0,"-",VLOOKUP($A305,SortedDownload!$A$3:$BB$219,33,FALSE)/86400000),"-")</f>
        <v>-</v>
      </c>
      <c r="M305" s="58" t="str">
        <f>IFERROR(IF(VLOOKUP($A305,SortedDownload!$A$3:$BB$219,34,FALSE)=0,"-",VLOOKUP($A305,SortedDownload!$A$3:$BB$219,34,FALSE)/86400000),"-")</f>
        <v>-</v>
      </c>
      <c r="N305" s="58" t="str">
        <f>IFERROR(IF(VLOOKUP($A305,SortedDownload!$A$3:$BB$219,35,FALSE)=0,"-",VLOOKUP($A305,SortedDownload!$A$3:$BB$219,35,FALSE)/86400000),"-")</f>
        <v>-</v>
      </c>
      <c r="O305" s="58" t="str">
        <f>IFERROR(IF(VLOOKUP($A305,SortedDownload!$A$3:$BB$219,36,FALSE)=0,"-",VLOOKUP($A305,SortedDownload!$A$3:$BB$219,36,FALSE)/86400000),"-")</f>
        <v>-</v>
      </c>
      <c r="P305" s="58" t="str">
        <f>IFERROR(IF(VLOOKUP($A305,SortedDownload!$A$3:$BB$219,37,FALSE)=0,"-",VLOOKUP($A305,SortedDownload!$A$3:$BB$219,37,FALSE)/86400000),"-")</f>
        <v>-</v>
      </c>
      <c r="Q305" s="58" t="str">
        <f>IFERROR(IF(VLOOKUP($A305,SortedDownload!$A$3:$BB$219,38,FALSE)=0,"-",VLOOKUP($A305,SortedDownload!$A$3:$BB$219,38,FALSE)/86400000),"-")</f>
        <v>-</v>
      </c>
      <c r="R305" s="58" t="str">
        <f>IFERROR(IF(VLOOKUP($A305,SortedDownload!$A$3:$BB$219,39,FALSE)=0,"-",VLOOKUP($A305,SortedDownload!$A$3:$BB$219,39,FALSE)/86400000),"-")</f>
        <v>-</v>
      </c>
      <c r="S305" s="58" t="str">
        <f>IFERROR(IF(VLOOKUP($A305,SortedDownload!$A$3:$BB$219,40,FALSE)=0,"-",VLOOKUP($A305,SortedDownload!$A$3:$BB$219,40,FALSE)/86400000),"-")</f>
        <v>-</v>
      </c>
      <c r="T305" s="58" t="str">
        <f>IFERROR(IF(VLOOKUP($A305,SortedDownload!$A$3:$BB$219,41,FALSE)=0,"-",VLOOKUP($A305,SortedDownload!$A$3:$BB$219,41,FALSE)/86400000),"-")</f>
        <v>-</v>
      </c>
      <c r="U305" s="58" t="str">
        <f>IFERROR(IF(VLOOKUP($A305,SortedDownload!$A$3:$BB$219,42,FALSE)=0,"-",VLOOKUP($A305,SortedDownload!$A$3:$BB$219,42,FALSE)/86400000),"-")</f>
        <v>-</v>
      </c>
      <c r="V305" s="58" t="str">
        <f>IFERROR(IF(VLOOKUP($A305,SortedDownload!$A$3:$BB$219,43,FALSE)=0,"-",VLOOKUP($A305,SortedDownload!$A$3:$BB$219,43,FALSE)/86400000),"-")</f>
        <v>-</v>
      </c>
      <c r="W305" s="58" t="str">
        <f>IFERROR(IF(VLOOKUP($A305,SortedDownload!$A$3:$BB$219,44,FALSE)=0,"-",VLOOKUP($A305,SortedDownload!$A$3:$BB$219,44,FALSE)/86400000),"-")</f>
        <v>-</v>
      </c>
      <c r="X305" s="58" t="str">
        <f>IFERROR(IF(VLOOKUP($A305,SortedDownload!$A$3:$BB$219,45,FALSE)=0,"-",VLOOKUP($A305,SortedDownload!$A$3:$BB$219,45,FALSE)/86400000),"-")</f>
        <v>-</v>
      </c>
      <c r="Y305" s="58" t="str">
        <f>IFERROR(VLOOKUP($A305,SortedDownload!$A$3:$BB$219,46,FALSE)/86400000,"")</f>
        <v/>
      </c>
      <c r="Z305" s="58" t="str">
        <f>IFERROR(Table932[[#This Row],[End Time]]-Table932[[#This Row],[Start Time]],"")</f>
        <v/>
      </c>
      <c r="AA305" s="58"/>
      <c r="AB305" s="170" t="e">
        <f t="shared" si="28"/>
        <v>#VALUE!</v>
      </c>
      <c r="AC305" s="170" t="e">
        <f t="shared" si="29"/>
        <v>#VALUE!</v>
      </c>
    </row>
    <row r="306" spans="1:29">
      <c r="A306" s="53" t="str">
        <f>IF(SortedDownload!A296 &lt; 1,"",SortedDownload!A296)</f>
        <v/>
      </c>
      <c r="B306" s="146" t="str">
        <f t="shared" si="26"/>
        <v/>
      </c>
      <c r="C306" s="146" t="str">
        <f>IFERROR(VLOOKUP($A306,CategoryResults!$A$3:$X$252,3,FALSE),"")</f>
        <v/>
      </c>
      <c r="D306" s="149" t="str">
        <f>IFERROR(VLOOKUP($A306,EntryList!$A$3:$N$291,2,FALSE),"")</f>
        <v/>
      </c>
      <c r="E306" s="146" t="str">
        <f>IFERROR(VLOOKUP(C306,SeriesPoints!$A$2:$B$51,2,FALSE),"")</f>
        <v/>
      </c>
      <c r="F306" s="150" t="str">
        <f>IFERROR(VLOOKUP($A306,EntryList!$A$3:$V$291,22,FALSE),"")</f>
        <v/>
      </c>
      <c r="G306" s="148" t="str">
        <f>IFERROR(VLOOKUP($A306,EntryList!$A$3:$N$291,6,FALSE),"")</f>
        <v/>
      </c>
      <c r="H306" s="226" t="str">
        <f>IFERROR(VLOOKUP($A306,EntryList!$A$3:$N$291,7,FALSE),"")</f>
        <v/>
      </c>
      <c r="I306" s="220">
        <f t="shared" si="27"/>
        <v>0</v>
      </c>
      <c r="J306" s="58" t="str">
        <f>IFERROR(VLOOKUP($A306,SortedDownload!$A$3:$BB$219,31,FALSE)/86400000,"")</f>
        <v/>
      </c>
      <c r="K306" s="58" t="str">
        <f>IFERROR(IF(VLOOKUP($A306,SortedDownload!$A$3:$BB$219,32,FALSE)=0,"-",VLOOKUP($A306,SortedDownload!$A$3:$BB$219,32,FALSE)/86400000),"-")</f>
        <v>-</v>
      </c>
      <c r="L306" s="58" t="str">
        <f>IFERROR(IF(VLOOKUP($A306,SortedDownload!$A$3:$BB$219,33,FALSE)=0,"-",VLOOKUP($A306,SortedDownload!$A$3:$BB$219,33,FALSE)/86400000),"-")</f>
        <v>-</v>
      </c>
      <c r="M306" s="58" t="str">
        <f>IFERROR(IF(VLOOKUP($A306,SortedDownload!$A$3:$BB$219,34,FALSE)=0,"-",VLOOKUP($A306,SortedDownload!$A$3:$BB$219,34,FALSE)/86400000),"-")</f>
        <v>-</v>
      </c>
      <c r="N306" s="58" t="str">
        <f>IFERROR(IF(VLOOKUP($A306,SortedDownload!$A$3:$BB$219,35,FALSE)=0,"-",VLOOKUP($A306,SortedDownload!$A$3:$BB$219,35,FALSE)/86400000),"-")</f>
        <v>-</v>
      </c>
      <c r="O306" s="58" t="str">
        <f>IFERROR(IF(VLOOKUP($A306,SortedDownload!$A$3:$BB$219,36,FALSE)=0,"-",VLOOKUP($A306,SortedDownload!$A$3:$BB$219,36,FALSE)/86400000),"-")</f>
        <v>-</v>
      </c>
      <c r="P306" s="58" t="str">
        <f>IFERROR(IF(VLOOKUP($A306,SortedDownload!$A$3:$BB$219,37,FALSE)=0,"-",VLOOKUP($A306,SortedDownload!$A$3:$BB$219,37,FALSE)/86400000),"-")</f>
        <v>-</v>
      </c>
      <c r="Q306" s="58" t="str">
        <f>IFERROR(IF(VLOOKUP($A306,SortedDownload!$A$3:$BB$219,38,FALSE)=0,"-",VLOOKUP($A306,SortedDownload!$A$3:$BB$219,38,FALSE)/86400000),"-")</f>
        <v>-</v>
      </c>
      <c r="R306" s="58" t="str">
        <f>IFERROR(IF(VLOOKUP($A306,SortedDownload!$A$3:$BB$219,39,FALSE)=0,"-",VLOOKUP($A306,SortedDownload!$A$3:$BB$219,39,FALSE)/86400000),"-")</f>
        <v>-</v>
      </c>
      <c r="S306" s="58" t="str">
        <f>IFERROR(IF(VLOOKUP($A306,SortedDownload!$A$3:$BB$219,40,FALSE)=0,"-",VLOOKUP($A306,SortedDownload!$A$3:$BB$219,40,FALSE)/86400000),"-")</f>
        <v>-</v>
      </c>
      <c r="T306" s="58" t="str">
        <f>IFERROR(IF(VLOOKUP($A306,SortedDownload!$A$3:$BB$219,41,FALSE)=0,"-",VLOOKUP($A306,SortedDownload!$A$3:$BB$219,41,FALSE)/86400000),"-")</f>
        <v>-</v>
      </c>
      <c r="U306" s="58" t="str">
        <f>IFERROR(IF(VLOOKUP($A306,SortedDownload!$A$3:$BB$219,42,FALSE)=0,"-",VLOOKUP($A306,SortedDownload!$A$3:$BB$219,42,FALSE)/86400000),"-")</f>
        <v>-</v>
      </c>
      <c r="V306" s="58" t="str">
        <f>IFERROR(IF(VLOOKUP($A306,SortedDownload!$A$3:$BB$219,43,FALSE)=0,"-",VLOOKUP($A306,SortedDownload!$A$3:$BB$219,43,FALSE)/86400000),"-")</f>
        <v>-</v>
      </c>
      <c r="W306" s="58" t="str">
        <f>IFERROR(IF(VLOOKUP($A306,SortedDownload!$A$3:$BB$219,44,FALSE)=0,"-",VLOOKUP($A306,SortedDownload!$A$3:$BB$219,44,FALSE)/86400000),"-")</f>
        <v>-</v>
      </c>
      <c r="X306" s="58" t="str">
        <f>IFERROR(IF(VLOOKUP($A306,SortedDownload!$A$3:$BB$219,45,FALSE)=0,"-",VLOOKUP($A306,SortedDownload!$A$3:$BB$219,45,FALSE)/86400000),"-")</f>
        <v>-</v>
      </c>
      <c r="Y306" s="58" t="str">
        <f>IFERROR(VLOOKUP($A306,SortedDownload!$A$3:$BB$219,46,FALSE)/86400000,"")</f>
        <v/>
      </c>
      <c r="Z306" s="58" t="str">
        <f>IFERROR(Table932[[#This Row],[End Time]]-Table932[[#This Row],[Start Time]],"")</f>
        <v/>
      </c>
      <c r="AA306" s="58"/>
      <c r="AB306" s="170" t="e">
        <f t="shared" si="28"/>
        <v>#VALUE!</v>
      </c>
      <c r="AC306" s="170" t="e">
        <f t="shared" si="29"/>
        <v>#VALUE!</v>
      </c>
    </row>
    <row r="307" spans="1:29">
      <c r="A307" s="53" t="str">
        <f>IF(SortedDownload!A297 &lt; 1,"",SortedDownload!A297)</f>
        <v/>
      </c>
      <c r="B307" s="146" t="str">
        <f t="shared" si="26"/>
        <v/>
      </c>
      <c r="C307" s="146" t="str">
        <f>IFERROR(VLOOKUP($A307,CategoryResults!$A$3:$X$252,3,FALSE),"")</f>
        <v/>
      </c>
      <c r="D307" s="149" t="str">
        <f>IFERROR(VLOOKUP($A307,EntryList!$A$3:$N$291,2,FALSE),"")</f>
        <v/>
      </c>
      <c r="E307" s="146" t="str">
        <f>IFERROR(VLOOKUP(C307,SeriesPoints!$A$2:$B$51,2,FALSE),"")</f>
        <v/>
      </c>
      <c r="F307" s="150" t="str">
        <f>IFERROR(VLOOKUP($A307,EntryList!$A$3:$V$291,22,FALSE),"")</f>
        <v/>
      </c>
      <c r="G307" s="148" t="str">
        <f>IFERROR(VLOOKUP($A307,EntryList!$A$3:$N$291,6,FALSE),"")</f>
        <v/>
      </c>
      <c r="H307" s="226" t="str">
        <f>IFERROR(VLOOKUP($A307,EntryList!$A$3:$N$291,7,FALSE),"")</f>
        <v/>
      </c>
      <c r="I307" s="220">
        <f t="shared" si="27"/>
        <v>0</v>
      </c>
      <c r="J307" s="58" t="str">
        <f>IFERROR(VLOOKUP($A307,SortedDownload!$A$3:$BB$219,31,FALSE)/86400000,"")</f>
        <v/>
      </c>
      <c r="K307" s="58" t="str">
        <f>IFERROR(IF(VLOOKUP($A307,SortedDownload!$A$3:$BB$219,32,FALSE)=0,"-",VLOOKUP($A307,SortedDownload!$A$3:$BB$219,32,FALSE)/86400000),"-")</f>
        <v>-</v>
      </c>
      <c r="L307" s="58" t="str">
        <f>IFERROR(IF(VLOOKUP($A307,SortedDownload!$A$3:$BB$219,33,FALSE)=0,"-",VLOOKUP($A307,SortedDownload!$A$3:$BB$219,33,FALSE)/86400000),"-")</f>
        <v>-</v>
      </c>
      <c r="M307" s="58" t="str">
        <f>IFERROR(IF(VLOOKUP($A307,SortedDownload!$A$3:$BB$219,34,FALSE)=0,"-",VLOOKUP($A307,SortedDownload!$A$3:$BB$219,34,FALSE)/86400000),"-")</f>
        <v>-</v>
      </c>
      <c r="N307" s="58" t="str">
        <f>IFERROR(IF(VLOOKUP($A307,SortedDownload!$A$3:$BB$219,35,FALSE)=0,"-",VLOOKUP($A307,SortedDownload!$A$3:$BB$219,35,FALSE)/86400000),"-")</f>
        <v>-</v>
      </c>
      <c r="O307" s="58" t="str">
        <f>IFERROR(IF(VLOOKUP($A307,SortedDownload!$A$3:$BB$219,36,FALSE)=0,"-",VLOOKUP($A307,SortedDownload!$A$3:$BB$219,36,FALSE)/86400000),"-")</f>
        <v>-</v>
      </c>
      <c r="P307" s="58" t="str">
        <f>IFERROR(IF(VLOOKUP($A307,SortedDownload!$A$3:$BB$219,37,FALSE)=0,"-",VLOOKUP($A307,SortedDownload!$A$3:$BB$219,37,FALSE)/86400000),"-")</f>
        <v>-</v>
      </c>
      <c r="Q307" s="58" t="str">
        <f>IFERROR(IF(VLOOKUP($A307,SortedDownload!$A$3:$BB$219,38,FALSE)=0,"-",VLOOKUP($A307,SortedDownload!$A$3:$BB$219,38,FALSE)/86400000),"-")</f>
        <v>-</v>
      </c>
      <c r="R307" s="58" t="str">
        <f>IFERROR(IF(VLOOKUP($A307,SortedDownload!$A$3:$BB$219,39,FALSE)=0,"-",VLOOKUP($A307,SortedDownload!$A$3:$BB$219,39,FALSE)/86400000),"-")</f>
        <v>-</v>
      </c>
      <c r="S307" s="58" t="str">
        <f>IFERROR(IF(VLOOKUP($A307,SortedDownload!$A$3:$BB$219,40,FALSE)=0,"-",VLOOKUP($A307,SortedDownload!$A$3:$BB$219,40,FALSE)/86400000),"-")</f>
        <v>-</v>
      </c>
      <c r="T307" s="58" t="str">
        <f>IFERROR(IF(VLOOKUP($A307,SortedDownload!$A$3:$BB$219,41,FALSE)=0,"-",VLOOKUP($A307,SortedDownload!$A$3:$BB$219,41,FALSE)/86400000),"-")</f>
        <v>-</v>
      </c>
      <c r="U307" s="58" t="str">
        <f>IFERROR(IF(VLOOKUP($A307,SortedDownload!$A$3:$BB$219,42,FALSE)=0,"-",VLOOKUP($A307,SortedDownload!$A$3:$BB$219,42,FALSE)/86400000),"-")</f>
        <v>-</v>
      </c>
      <c r="V307" s="58" t="str">
        <f>IFERROR(IF(VLOOKUP($A307,SortedDownload!$A$3:$BB$219,43,FALSE)=0,"-",VLOOKUP($A307,SortedDownload!$A$3:$BB$219,43,FALSE)/86400000),"-")</f>
        <v>-</v>
      </c>
      <c r="W307" s="58" t="str">
        <f>IFERROR(IF(VLOOKUP($A307,SortedDownload!$A$3:$BB$219,44,FALSE)=0,"-",VLOOKUP($A307,SortedDownload!$A$3:$BB$219,44,FALSE)/86400000),"-")</f>
        <v>-</v>
      </c>
      <c r="X307" s="58" t="str">
        <f>IFERROR(IF(VLOOKUP($A307,SortedDownload!$A$3:$BB$219,45,FALSE)=0,"-",VLOOKUP($A307,SortedDownload!$A$3:$BB$219,45,FALSE)/86400000),"-")</f>
        <v>-</v>
      </c>
      <c r="Y307" s="58" t="str">
        <f>IFERROR(VLOOKUP($A307,SortedDownload!$A$3:$BB$219,46,FALSE)/86400000,"")</f>
        <v/>
      </c>
      <c r="Z307" s="58" t="str">
        <f>IFERROR(Table932[[#This Row],[End Time]]-Table932[[#This Row],[Start Time]],"")</f>
        <v/>
      </c>
      <c r="AA307" s="58"/>
      <c r="AB307" s="170" t="e">
        <f t="shared" si="28"/>
        <v>#VALUE!</v>
      </c>
      <c r="AC307" s="170" t="e">
        <f t="shared" si="29"/>
        <v>#VALUE!</v>
      </c>
    </row>
    <row r="308" spans="1:29">
      <c r="A308" s="53" t="str">
        <f>IF(SortedDownload!A298 &lt; 1,"",SortedDownload!A298)</f>
        <v/>
      </c>
      <c r="B308" s="146" t="str">
        <f t="shared" si="26"/>
        <v/>
      </c>
      <c r="C308" s="146" t="str">
        <f>IFERROR(VLOOKUP($A308,CategoryResults!$A$3:$X$252,3,FALSE),"")</f>
        <v/>
      </c>
      <c r="D308" s="149" t="str">
        <f>IFERROR(VLOOKUP($A308,EntryList!$A$3:$N$291,2,FALSE),"")</f>
        <v/>
      </c>
      <c r="E308" s="146" t="str">
        <f>IFERROR(VLOOKUP(C308,SeriesPoints!$A$2:$B$51,2,FALSE),"")</f>
        <v/>
      </c>
      <c r="F308" s="150" t="str">
        <f>IFERROR(VLOOKUP($A308,EntryList!$A$3:$V$291,22,FALSE),"")</f>
        <v/>
      </c>
      <c r="G308" s="148" t="str">
        <f>IFERROR(VLOOKUP($A308,EntryList!$A$3:$N$291,6,FALSE),"")</f>
        <v/>
      </c>
      <c r="H308" s="226" t="str">
        <f>IFERROR(VLOOKUP($A308,EntryList!$A$3:$N$291,7,FALSE),"")</f>
        <v/>
      </c>
      <c r="I308" s="220">
        <f t="shared" si="27"/>
        <v>0</v>
      </c>
      <c r="J308" s="58" t="str">
        <f>IFERROR(VLOOKUP($A308,SortedDownload!$A$3:$BB$219,31,FALSE)/86400000,"")</f>
        <v/>
      </c>
      <c r="K308" s="58" t="str">
        <f>IFERROR(IF(VLOOKUP($A308,SortedDownload!$A$3:$BB$219,32,FALSE)=0,"-",VLOOKUP($A308,SortedDownload!$A$3:$BB$219,32,FALSE)/86400000),"-")</f>
        <v>-</v>
      </c>
      <c r="L308" s="58" t="str">
        <f>IFERROR(IF(VLOOKUP($A308,SortedDownload!$A$3:$BB$219,33,FALSE)=0,"-",VLOOKUP($A308,SortedDownload!$A$3:$BB$219,33,FALSE)/86400000),"-")</f>
        <v>-</v>
      </c>
      <c r="M308" s="58" t="str">
        <f>IFERROR(IF(VLOOKUP($A308,SortedDownload!$A$3:$BB$219,34,FALSE)=0,"-",VLOOKUP($A308,SortedDownload!$A$3:$BB$219,34,FALSE)/86400000),"-")</f>
        <v>-</v>
      </c>
      <c r="N308" s="58" t="str">
        <f>IFERROR(IF(VLOOKUP($A308,SortedDownload!$A$3:$BB$219,35,FALSE)=0,"-",VLOOKUP($A308,SortedDownload!$A$3:$BB$219,35,FALSE)/86400000),"-")</f>
        <v>-</v>
      </c>
      <c r="O308" s="58" t="str">
        <f>IFERROR(IF(VLOOKUP($A308,SortedDownload!$A$3:$BB$219,36,FALSE)=0,"-",VLOOKUP($A308,SortedDownload!$A$3:$BB$219,36,FALSE)/86400000),"-")</f>
        <v>-</v>
      </c>
      <c r="P308" s="58" t="str">
        <f>IFERROR(IF(VLOOKUP($A308,SortedDownload!$A$3:$BB$219,37,FALSE)=0,"-",VLOOKUP($A308,SortedDownload!$A$3:$BB$219,37,FALSE)/86400000),"-")</f>
        <v>-</v>
      </c>
      <c r="Q308" s="58" t="str">
        <f>IFERROR(IF(VLOOKUP($A308,SortedDownload!$A$3:$BB$219,38,FALSE)=0,"-",VLOOKUP($A308,SortedDownload!$A$3:$BB$219,38,FALSE)/86400000),"-")</f>
        <v>-</v>
      </c>
      <c r="R308" s="58" t="str">
        <f>IFERROR(IF(VLOOKUP($A308,SortedDownload!$A$3:$BB$219,39,FALSE)=0,"-",VLOOKUP($A308,SortedDownload!$A$3:$BB$219,39,FALSE)/86400000),"-")</f>
        <v>-</v>
      </c>
      <c r="S308" s="58" t="str">
        <f>IFERROR(IF(VLOOKUP($A308,SortedDownload!$A$3:$BB$219,40,FALSE)=0,"-",VLOOKUP($A308,SortedDownload!$A$3:$BB$219,40,FALSE)/86400000),"-")</f>
        <v>-</v>
      </c>
      <c r="T308" s="58" t="str">
        <f>IFERROR(IF(VLOOKUP($A308,SortedDownload!$A$3:$BB$219,41,FALSE)=0,"-",VLOOKUP($A308,SortedDownload!$A$3:$BB$219,41,FALSE)/86400000),"-")</f>
        <v>-</v>
      </c>
      <c r="U308" s="58" t="str">
        <f>IFERROR(IF(VLOOKUP($A308,SortedDownload!$A$3:$BB$219,42,FALSE)=0,"-",VLOOKUP($A308,SortedDownload!$A$3:$BB$219,42,FALSE)/86400000),"-")</f>
        <v>-</v>
      </c>
      <c r="V308" s="58" t="str">
        <f>IFERROR(IF(VLOOKUP($A308,SortedDownload!$A$3:$BB$219,43,FALSE)=0,"-",VLOOKUP($A308,SortedDownload!$A$3:$BB$219,43,FALSE)/86400000),"-")</f>
        <v>-</v>
      </c>
      <c r="W308" s="58" t="str">
        <f>IFERROR(IF(VLOOKUP($A308,SortedDownload!$A$3:$BB$219,44,FALSE)=0,"-",VLOOKUP($A308,SortedDownload!$A$3:$BB$219,44,FALSE)/86400000),"-")</f>
        <v>-</v>
      </c>
      <c r="X308" s="58" t="str">
        <f>IFERROR(IF(VLOOKUP($A308,SortedDownload!$A$3:$BB$219,45,FALSE)=0,"-",VLOOKUP($A308,SortedDownload!$A$3:$BB$219,45,FALSE)/86400000),"-")</f>
        <v>-</v>
      </c>
      <c r="Y308" s="58" t="str">
        <f>IFERROR(VLOOKUP($A308,SortedDownload!$A$3:$BB$219,46,FALSE)/86400000,"")</f>
        <v/>
      </c>
      <c r="Z308" s="58" t="str">
        <f>IFERROR(Table932[[#This Row],[End Time]]-Table932[[#This Row],[Start Time]],"")</f>
        <v/>
      </c>
      <c r="AA308" s="58"/>
      <c r="AB308" s="170" t="e">
        <f t="shared" si="28"/>
        <v>#VALUE!</v>
      </c>
      <c r="AC308" s="170" t="e">
        <f t="shared" si="29"/>
        <v>#VALUE!</v>
      </c>
    </row>
    <row r="309" spans="1:29">
      <c r="A309" s="53" t="str">
        <f>IF(SortedDownload!A299 &lt; 1,"",SortedDownload!A299)</f>
        <v/>
      </c>
      <c r="B309" s="146" t="str">
        <f t="shared" si="26"/>
        <v/>
      </c>
      <c r="C309" s="146" t="str">
        <f>IFERROR(VLOOKUP($A309,CategoryResults!$A$3:$X$252,3,FALSE),"")</f>
        <v/>
      </c>
      <c r="D309" s="149" t="str">
        <f>IFERROR(VLOOKUP($A309,EntryList!$A$3:$N$291,2,FALSE),"")</f>
        <v/>
      </c>
      <c r="E309" s="146" t="str">
        <f>IFERROR(VLOOKUP(C309,SeriesPoints!$A$2:$B$51,2,FALSE),"")</f>
        <v/>
      </c>
      <c r="F309" s="150" t="str">
        <f>IFERROR(VLOOKUP($A309,EntryList!$A$3:$V$291,22,FALSE),"")</f>
        <v/>
      </c>
      <c r="G309" s="148" t="str">
        <f>IFERROR(VLOOKUP($A309,EntryList!$A$3:$N$291,6,FALSE),"")</f>
        <v/>
      </c>
      <c r="H309" s="226" t="str">
        <f>IFERROR(VLOOKUP($A309,EntryList!$A$3:$N$291,7,FALSE),"")</f>
        <v/>
      </c>
      <c r="I309" s="220">
        <f t="shared" si="27"/>
        <v>0</v>
      </c>
      <c r="J309" s="58" t="str">
        <f>IFERROR(VLOOKUP($A309,SortedDownload!$A$3:$BB$219,31,FALSE)/86400000,"")</f>
        <v/>
      </c>
      <c r="K309" s="58" t="str">
        <f>IFERROR(IF(VLOOKUP($A309,SortedDownload!$A$3:$BB$219,32,FALSE)=0,"-",VLOOKUP($A309,SortedDownload!$A$3:$BB$219,32,FALSE)/86400000),"-")</f>
        <v>-</v>
      </c>
      <c r="L309" s="58" t="str">
        <f>IFERROR(IF(VLOOKUP($A309,SortedDownload!$A$3:$BB$219,33,FALSE)=0,"-",VLOOKUP($A309,SortedDownload!$A$3:$BB$219,33,FALSE)/86400000),"-")</f>
        <v>-</v>
      </c>
      <c r="M309" s="58" t="str">
        <f>IFERROR(IF(VLOOKUP($A309,SortedDownload!$A$3:$BB$219,34,FALSE)=0,"-",VLOOKUP($A309,SortedDownload!$A$3:$BB$219,34,FALSE)/86400000),"-")</f>
        <v>-</v>
      </c>
      <c r="N309" s="58" t="str">
        <f>IFERROR(IF(VLOOKUP($A309,SortedDownload!$A$3:$BB$219,35,FALSE)=0,"-",VLOOKUP($A309,SortedDownload!$A$3:$BB$219,35,FALSE)/86400000),"-")</f>
        <v>-</v>
      </c>
      <c r="O309" s="58" t="str">
        <f>IFERROR(IF(VLOOKUP($A309,SortedDownload!$A$3:$BB$219,36,FALSE)=0,"-",VLOOKUP($A309,SortedDownload!$A$3:$BB$219,36,FALSE)/86400000),"-")</f>
        <v>-</v>
      </c>
      <c r="P309" s="58" t="str">
        <f>IFERROR(IF(VLOOKUP($A309,SortedDownload!$A$3:$BB$219,37,FALSE)=0,"-",VLOOKUP($A309,SortedDownload!$A$3:$BB$219,37,FALSE)/86400000),"-")</f>
        <v>-</v>
      </c>
      <c r="Q309" s="58" t="str">
        <f>IFERROR(IF(VLOOKUP($A309,SortedDownload!$A$3:$BB$219,38,FALSE)=0,"-",VLOOKUP($A309,SortedDownload!$A$3:$BB$219,38,FALSE)/86400000),"-")</f>
        <v>-</v>
      </c>
      <c r="R309" s="58" t="str">
        <f>IFERROR(IF(VLOOKUP($A309,SortedDownload!$A$3:$BB$219,39,FALSE)=0,"-",VLOOKUP($A309,SortedDownload!$A$3:$BB$219,39,FALSE)/86400000),"-")</f>
        <v>-</v>
      </c>
      <c r="S309" s="58" t="str">
        <f>IFERROR(IF(VLOOKUP($A309,SortedDownload!$A$3:$BB$219,40,FALSE)=0,"-",VLOOKUP($A309,SortedDownload!$A$3:$BB$219,40,FALSE)/86400000),"-")</f>
        <v>-</v>
      </c>
      <c r="T309" s="58" t="str">
        <f>IFERROR(IF(VLOOKUP($A309,SortedDownload!$A$3:$BB$219,41,FALSE)=0,"-",VLOOKUP($A309,SortedDownload!$A$3:$BB$219,41,FALSE)/86400000),"-")</f>
        <v>-</v>
      </c>
      <c r="U309" s="58" t="str">
        <f>IFERROR(IF(VLOOKUP($A309,SortedDownload!$A$3:$BB$219,42,FALSE)=0,"-",VLOOKUP($A309,SortedDownload!$A$3:$BB$219,42,FALSE)/86400000),"-")</f>
        <v>-</v>
      </c>
      <c r="V309" s="58" t="str">
        <f>IFERROR(IF(VLOOKUP($A309,SortedDownload!$A$3:$BB$219,43,FALSE)=0,"-",VLOOKUP($A309,SortedDownload!$A$3:$BB$219,43,FALSE)/86400000),"-")</f>
        <v>-</v>
      </c>
      <c r="W309" s="58" t="str">
        <f>IFERROR(IF(VLOOKUP($A309,SortedDownload!$A$3:$BB$219,44,FALSE)=0,"-",VLOOKUP($A309,SortedDownload!$A$3:$BB$219,44,FALSE)/86400000),"-")</f>
        <v>-</v>
      </c>
      <c r="X309" s="58" t="str">
        <f>IFERROR(IF(VLOOKUP($A309,SortedDownload!$A$3:$BB$219,45,FALSE)=0,"-",VLOOKUP($A309,SortedDownload!$A$3:$BB$219,45,FALSE)/86400000),"-")</f>
        <v>-</v>
      </c>
      <c r="Y309" s="58" t="str">
        <f>IFERROR(VLOOKUP($A309,SortedDownload!$A$3:$BB$219,46,FALSE)/86400000,"")</f>
        <v/>
      </c>
      <c r="Z309" s="58" t="str">
        <f>IFERROR(Table932[[#This Row],[End Time]]-Table932[[#This Row],[Start Time]],"")</f>
        <v/>
      </c>
      <c r="AA309" s="58"/>
      <c r="AB309" s="170" t="e">
        <f t="shared" si="28"/>
        <v>#VALUE!</v>
      </c>
      <c r="AC309" s="170" t="e">
        <f t="shared" si="29"/>
        <v>#VALUE!</v>
      </c>
    </row>
    <row r="310" spans="1:29">
      <c r="A310" s="53" t="str">
        <f>IF(SortedDownload!A300 &lt; 1,"",SortedDownload!A300)</f>
        <v/>
      </c>
      <c r="B310" s="146" t="str">
        <f t="shared" si="26"/>
        <v/>
      </c>
      <c r="C310" s="146" t="str">
        <f>IFERROR(VLOOKUP($A310,CategoryResults!$A$3:$X$252,3,FALSE),"")</f>
        <v/>
      </c>
      <c r="D310" s="149" t="str">
        <f>IFERROR(VLOOKUP($A310,EntryList!$A$3:$N$291,2,FALSE),"")</f>
        <v/>
      </c>
      <c r="E310" s="146" t="str">
        <f>IFERROR(VLOOKUP(C310,SeriesPoints!$A$2:$B$51,2,FALSE),"")</f>
        <v/>
      </c>
      <c r="F310" s="150" t="str">
        <f>IFERROR(VLOOKUP($A310,EntryList!$A$3:$V$291,22,FALSE),"")</f>
        <v/>
      </c>
      <c r="G310" s="148" t="str">
        <f>IFERROR(VLOOKUP($A310,EntryList!$A$3:$N$291,6,FALSE),"")</f>
        <v/>
      </c>
      <c r="H310" s="226" t="str">
        <f>IFERROR(VLOOKUP($A310,EntryList!$A$3:$N$291,7,FALSE),"")</f>
        <v/>
      </c>
      <c r="I310" s="220">
        <f t="shared" si="27"/>
        <v>0</v>
      </c>
      <c r="J310" s="58" t="str">
        <f>IFERROR(VLOOKUP($A310,SortedDownload!$A$3:$BB$219,31,FALSE)/86400000,"")</f>
        <v/>
      </c>
      <c r="K310" s="58" t="str">
        <f>IFERROR(IF(VLOOKUP($A310,SortedDownload!$A$3:$BB$219,32,FALSE)=0,"-",VLOOKUP($A310,SortedDownload!$A$3:$BB$219,32,FALSE)/86400000),"-")</f>
        <v>-</v>
      </c>
      <c r="L310" s="58" t="str">
        <f>IFERROR(IF(VLOOKUP($A310,SortedDownload!$A$3:$BB$219,33,FALSE)=0,"-",VLOOKUP($A310,SortedDownload!$A$3:$BB$219,33,FALSE)/86400000),"-")</f>
        <v>-</v>
      </c>
      <c r="M310" s="58" t="str">
        <f>IFERROR(IF(VLOOKUP($A310,SortedDownload!$A$3:$BB$219,34,FALSE)=0,"-",VLOOKUP($A310,SortedDownload!$A$3:$BB$219,34,FALSE)/86400000),"-")</f>
        <v>-</v>
      </c>
      <c r="N310" s="58" t="str">
        <f>IFERROR(IF(VLOOKUP($A310,SortedDownload!$A$3:$BB$219,35,FALSE)=0,"-",VLOOKUP($A310,SortedDownload!$A$3:$BB$219,35,FALSE)/86400000),"-")</f>
        <v>-</v>
      </c>
      <c r="O310" s="58" t="str">
        <f>IFERROR(IF(VLOOKUP($A310,SortedDownload!$A$3:$BB$219,36,FALSE)=0,"-",VLOOKUP($A310,SortedDownload!$A$3:$BB$219,36,FALSE)/86400000),"-")</f>
        <v>-</v>
      </c>
      <c r="P310" s="58" t="str">
        <f>IFERROR(IF(VLOOKUP($A310,SortedDownload!$A$3:$BB$219,37,FALSE)=0,"-",VLOOKUP($A310,SortedDownload!$A$3:$BB$219,37,FALSE)/86400000),"-")</f>
        <v>-</v>
      </c>
      <c r="Q310" s="58" t="str">
        <f>IFERROR(IF(VLOOKUP($A310,SortedDownload!$A$3:$BB$219,38,FALSE)=0,"-",VLOOKUP($A310,SortedDownload!$A$3:$BB$219,38,FALSE)/86400000),"-")</f>
        <v>-</v>
      </c>
      <c r="R310" s="58" t="str">
        <f>IFERROR(IF(VLOOKUP($A310,SortedDownload!$A$3:$BB$219,39,FALSE)=0,"-",VLOOKUP($A310,SortedDownload!$A$3:$BB$219,39,FALSE)/86400000),"-")</f>
        <v>-</v>
      </c>
      <c r="S310" s="58" t="str">
        <f>IFERROR(IF(VLOOKUP($A310,SortedDownload!$A$3:$BB$219,40,FALSE)=0,"-",VLOOKUP($A310,SortedDownload!$A$3:$BB$219,40,FALSE)/86400000),"-")</f>
        <v>-</v>
      </c>
      <c r="T310" s="58" t="str">
        <f>IFERROR(IF(VLOOKUP($A310,SortedDownload!$A$3:$BB$219,41,FALSE)=0,"-",VLOOKUP($A310,SortedDownload!$A$3:$BB$219,41,FALSE)/86400000),"-")</f>
        <v>-</v>
      </c>
      <c r="U310" s="58" t="str">
        <f>IFERROR(IF(VLOOKUP($A310,SortedDownload!$A$3:$BB$219,42,FALSE)=0,"-",VLOOKUP($A310,SortedDownload!$A$3:$BB$219,42,FALSE)/86400000),"-")</f>
        <v>-</v>
      </c>
      <c r="V310" s="58" t="str">
        <f>IFERROR(IF(VLOOKUP($A310,SortedDownload!$A$3:$BB$219,43,FALSE)=0,"-",VLOOKUP($A310,SortedDownload!$A$3:$BB$219,43,FALSE)/86400000),"-")</f>
        <v>-</v>
      </c>
      <c r="W310" s="58" t="str">
        <f>IFERROR(IF(VLOOKUP($A310,SortedDownload!$A$3:$BB$219,44,FALSE)=0,"-",VLOOKUP($A310,SortedDownload!$A$3:$BB$219,44,FALSE)/86400000),"-")</f>
        <v>-</v>
      </c>
      <c r="X310" s="58" t="str">
        <f>IFERROR(IF(VLOOKUP($A310,SortedDownload!$A$3:$BB$219,45,FALSE)=0,"-",VLOOKUP($A310,SortedDownload!$A$3:$BB$219,45,FALSE)/86400000),"-")</f>
        <v>-</v>
      </c>
      <c r="Y310" s="58" t="str">
        <f>IFERROR(VLOOKUP($A310,SortedDownload!$A$3:$BB$219,46,FALSE)/86400000,"")</f>
        <v/>
      </c>
      <c r="Z310" s="58" t="str">
        <f>IFERROR(Table932[[#This Row],[End Time]]-Table932[[#This Row],[Start Time]],"")</f>
        <v/>
      </c>
      <c r="AA310" s="58"/>
      <c r="AB310" s="170" t="e">
        <f t="shared" si="28"/>
        <v>#VALUE!</v>
      </c>
      <c r="AC310" s="170" t="e">
        <f t="shared" si="29"/>
        <v>#VALUE!</v>
      </c>
    </row>
    <row r="311" spans="1:29">
      <c r="A311" s="53" t="str">
        <f>IF(SortedDownload!A301 &lt; 1,"",SortedDownload!A301)</f>
        <v/>
      </c>
      <c r="B311" s="146" t="str">
        <f t="shared" si="26"/>
        <v/>
      </c>
      <c r="C311" s="146" t="str">
        <f>IFERROR(VLOOKUP($A311,CategoryResults!$A$3:$X$252,3,FALSE),"")</f>
        <v/>
      </c>
      <c r="D311" s="149" t="str">
        <f>IFERROR(VLOOKUP($A311,EntryList!$A$3:$N$291,2,FALSE),"")</f>
        <v/>
      </c>
      <c r="E311" s="146" t="str">
        <f>IFERROR(VLOOKUP(C311,SeriesPoints!$A$2:$B$51,2,FALSE),"")</f>
        <v/>
      </c>
      <c r="F311" s="150" t="str">
        <f>IFERROR(VLOOKUP($A311,EntryList!$A$3:$V$291,22,FALSE),"")</f>
        <v/>
      </c>
      <c r="G311" s="148" t="str">
        <f>IFERROR(VLOOKUP($A311,EntryList!$A$3:$N$291,6,FALSE),"")</f>
        <v/>
      </c>
      <c r="H311" s="226" t="str">
        <f>IFERROR(VLOOKUP($A311,EntryList!$A$3:$N$291,7,FALSE),"")</f>
        <v/>
      </c>
      <c r="I311" s="220">
        <f t="shared" si="27"/>
        <v>0</v>
      </c>
      <c r="J311" s="58" t="str">
        <f>IFERROR(VLOOKUP($A311,SortedDownload!$A$3:$BB$219,31,FALSE)/86400000,"")</f>
        <v/>
      </c>
      <c r="K311" s="58" t="str">
        <f>IFERROR(IF(VLOOKUP($A311,SortedDownload!$A$3:$BB$219,32,FALSE)=0,"-",VLOOKUP($A311,SortedDownload!$A$3:$BB$219,32,FALSE)/86400000),"-")</f>
        <v>-</v>
      </c>
      <c r="L311" s="58" t="str">
        <f>IFERROR(IF(VLOOKUP($A311,SortedDownload!$A$3:$BB$219,33,FALSE)=0,"-",VLOOKUP($A311,SortedDownload!$A$3:$BB$219,33,FALSE)/86400000),"-")</f>
        <v>-</v>
      </c>
      <c r="M311" s="58" t="str">
        <f>IFERROR(IF(VLOOKUP($A311,SortedDownload!$A$3:$BB$219,34,FALSE)=0,"-",VLOOKUP($A311,SortedDownload!$A$3:$BB$219,34,FALSE)/86400000),"-")</f>
        <v>-</v>
      </c>
      <c r="N311" s="58" t="str">
        <f>IFERROR(IF(VLOOKUP($A311,SortedDownload!$A$3:$BB$219,35,FALSE)=0,"-",VLOOKUP($A311,SortedDownload!$A$3:$BB$219,35,FALSE)/86400000),"-")</f>
        <v>-</v>
      </c>
      <c r="O311" s="58" t="str">
        <f>IFERROR(IF(VLOOKUP($A311,SortedDownload!$A$3:$BB$219,36,FALSE)=0,"-",VLOOKUP($A311,SortedDownload!$A$3:$BB$219,36,FALSE)/86400000),"-")</f>
        <v>-</v>
      </c>
      <c r="P311" s="58" t="str">
        <f>IFERROR(IF(VLOOKUP($A311,SortedDownload!$A$3:$BB$219,37,FALSE)=0,"-",VLOOKUP($A311,SortedDownload!$A$3:$BB$219,37,FALSE)/86400000),"-")</f>
        <v>-</v>
      </c>
      <c r="Q311" s="58" t="str">
        <f>IFERROR(IF(VLOOKUP($A311,SortedDownload!$A$3:$BB$219,38,FALSE)=0,"-",VLOOKUP($A311,SortedDownload!$A$3:$BB$219,38,FALSE)/86400000),"-")</f>
        <v>-</v>
      </c>
      <c r="R311" s="58" t="str">
        <f>IFERROR(IF(VLOOKUP($A311,SortedDownload!$A$3:$BB$219,39,FALSE)=0,"-",VLOOKUP($A311,SortedDownload!$A$3:$BB$219,39,FALSE)/86400000),"-")</f>
        <v>-</v>
      </c>
      <c r="S311" s="58" t="str">
        <f>IFERROR(IF(VLOOKUP($A311,SortedDownload!$A$3:$BB$219,40,FALSE)=0,"-",VLOOKUP($A311,SortedDownload!$A$3:$BB$219,40,FALSE)/86400000),"-")</f>
        <v>-</v>
      </c>
      <c r="T311" s="58" t="str">
        <f>IFERROR(IF(VLOOKUP($A311,SortedDownload!$A$3:$BB$219,41,FALSE)=0,"-",VLOOKUP($A311,SortedDownload!$A$3:$BB$219,41,FALSE)/86400000),"-")</f>
        <v>-</v>
      </c>
      <c r="U311" s="58" t="str">
        <f>IFERROR(IF(VLOOKUP($A311,SortedDownload!$A$3:$BB$219,42,FALSE)=0,"-",VLOOKUP($A311,SortedDownload!$A$3:$BB$219,42,FALSE)/86400000),"-")</f>
        <v>-</v>
      </c>
      <c r="V311" s="58" t="str">
        <f>IFERROR(IF(VLOOKUP($A311,SortedDownload!$A$3:$BB$219,43,FALSE)=0,"-",VLOOKUP($A311,SortedDownload!$A$3:$BB$219,43,FALSE)/86400000),"-")</f>
        <v>-</v>
      </c>
      <c r="W311" s="58" t="str">
        <f>IFERROR(IF(VLOOKUP($A311,SortedDownload!$A$3:$BB$219,44,FALSE)=0,"-",VLOOKUP($A311,SortedDownload!$A$3:$BB$219,44,FALSE)/86400000),"-")</f>
        <v>-</v>
      </c>
      <c r="X311" s="58" t="str">
        <f>IFERROR(IF(VLOOKUP($A311,SortedDownload!$A$3:$BB$219,45,FALSE)=0,"-",VLOOKUP($A311,SortedDownload!$A$3:$BB$219,45,FALSE)/86400000),"-")</f>
        <v>-</v>
      </c>
      <c r="Y311" s="58" t="str">
        <f>IFERROR(VLOOKUP($A311,SortedDownload!$A$3:$BB$219,46,FALSE)/86400000,"")</f>
        <v/>
      </c>
      <c r="Z311" s="58" t="str">
        <f>IFERROR(Table932[[#This Row],[End Time]]-Table932[[#This Row],[Start Time]],"")</f>
        <v/>
      </c>
      <c r="AA311" s="58"/>
      <c r="AB311" s="170" t="e">
        <f t="shared" si="28"/>
        <v>#VALUE!</v>
      </c>
      <c r="AC311" s="170" t="e">
        <f t="shared" si="29"/>
        <v>#VALUE!</v>
      </c>
    </row>
    <row r="312" spans="1:29">
      <c r="A312" s="53" t="str">
        <f>IF(SortedDownload!A302 &lt; 1,"",SortedDownload!A302)</f>
        <v/>
      </c>
      <c r="B312" s="146" t="str">
        <f t="shared" si="26"/>
        <v/>
      </c>
      <c r="C312" s="146" t="str">
        <f>IFERROR(VLOOKUP($A312,CategoryResults!$A$3:$X$252,3,FALSE),"")</f>
        <v/>
      </c>
      <c r="D312" s="149" t="str">
        <f>IFERROR(VLOOKUP($A312,EntryList!$A$3:$N$291,2,FALSE),"")</f>
        <v/>
      </c>
      <c r="E312" s="146" t="str">
        <f>IFERROR(VLOOKUP(C312,SeriesPoints!$A$2:$B$51,2,FALSE),"")</f>
        <v/>
      </c>
      <c r="F312" s="150" t="str">
        <f>IFERROR(VLOOKUP($A312,EntryList!$A$3:$V$291,22,FALSE),"")</f>
        <v/>
      </c>
      <c r="G312" s="148" t="str">
        <f>IFERROR(VLOOKUP($A312,EntryList!$A$3:$N$291,6,FALSE),"")</f>
        <v/>
      </c>
      <c r="H312" s="226" t="str">
        <f>IFERROR(VLOOKUP($A312,EntryList!$A$3:$N$291,7,FALSE),"")</f>
        <v/>
      </c>
      <c r="I312" s="220">
        <f t="shared" si="27"/>
        <v>0</v>
      </c>
      <c r="J312" s="58" t="str">
        <f>IFERROR(VLOOKUP($A312,SortedDownload!$A$3:$BB$219,31,FALSE)/86400000,"")</f>
        <v/>
      </c>
      <c r="K312" s="58" t="str">
        <f>IFERROR(IF(VLOOKUP($A312,SortedDownload!$A$3:$BB$219,32,FALSE)=0,"-",VLOOKUP($A312,SortedDownload!$A$3:$BB$219,32,FALSE)/86400000),"-")</f>
        <v>-</v>
      </c>
      <c r="L312" s="58" t="str">
        <f>IFERROR(IF(VLOOKUP($A312,SortedDownload!$A$3:$BB$219,33,FALSE)=0,"-",VLOOKUP($A312,SortedDownload!$A$3:$BB$219,33,FALSE)/86400000),"-")</f>
        <v>-</v>
      </c>
      <c r="M312" s="58" t="str">
        <f>IFERROR(IF(VLOOKUP($A312,SortedDownload!$A$3:$BB$219,34,FALSE)=0,"-",VLOOKUP($A312,SortedDownload!$A$3:$BB$219,34,FALSE)/86400000),"-")</f>
        <v>-</v>
      </c>
      <c r="N312" s="58" t="str">
        <f>IFERROR(IF(VLOOKUP($A312,SortedDownload!$A$3:$BB$219,35,FALSE)=0,"-",VLOOKUP($A312,SortedDownload!$A$3:$BB$219,35,FALSE)/86400000),"-")</f>
        <v>-</v>
      </c>
      <c r="O312" s="58" t="str">
        <f>IFERROR(IF(VLOOKUP($A312,SortedDownload!$A$3:$BB$219,36,FALSE)=0,"-",VLOOKUP($A312,SortedDownload!$A$3:$BB$219,36,FALSE)/86400000),"-")</f>
        <v>-</v>
      </c>
      <c r="P312" s="58" t="str">
        <f>IFERROR(IF(VLOOKUP($A312,SortedDownload!$A$3:$BB$219,37,FALSE)=0,"-",VLOOKUP($A312,SortedDownload!$A$3:$BB$219,37,FALSE)/86400000),"-")</f>
        <v>-</v>
      </c>
      <c r="Q312" s="58" t="str">
        <f>IFERROR(IF(VLOOKUP($A312,SortedDownload!$A$3:$BB$219,38,FALSE)=0,"-",VLOOKUP($A312,SortedDownload!$A$3:$BB$219,38,FALSE)/86400000),"-")</f>
        <v>-</v>
      </c>
      <c r="R312" s="58" t="str">
        <f>IFERROR(IF(VLOOKUP($A312,SortedDownload!$A$3:$BB$219,39,FALSE)=0,"-",VLOOKUP($A312,SortedDownload!$A$3:$BB$219,39,FALSE)/86400000),"-")</f>
        <v>-</v>
      </c>
      <c r="S312" s="58" t="str">
        <f>IFERROR(IF(VLOOKUP($A312,SortedDownload!$A$3:$BB$219,40,FALSE)=0,"-",VLOOKUP($A312,SortedDownload!$A$3:$BB$219,40,FALSE)/86400000),"-")</f>
        <v>-</v>
      </c>
      <c r="T312" s="58" t="str">
        <f>IFERROR(IF(VLOOKUP($A312,SortedDownload!$A$3:$BB$219,41,FALSE)=0,"-",VLOOKUP($A312,SortedDownload!$A$3:$BB$219,41,FALSE)/86400000),"-")</f>
        <v>-</v>
      </c>
      <c r="U312" s="58" t="str">
        <f>IFERROR(IF(VLOOKUP($A312,SortedDownload!$A$3:$BB$219,42,FALSE)=0,"-",VLOOKUP($A312,SortedDownload!$A$3:$BB$219,42,FALSE)/86400000),"-")</f>
        <v>-</v>
      </c>
      <c r="V312" s="58" t="str">
        <f>IFERROR(IF(VLOOKUP($A312,SortedDownload!$A$3:$BB$219,43,FALSE)=0,"-",VLOOKUP($A312,SortedDownload!$A$3:$BB$219,43,FALSE)/86400000),"-")</f>
        <v>-</v>
      </c>
      <c r="W312" s="58" t="str">
        <f>IFERROR(IF(VLOOKUP($A312,SortedDownload!$A$3:$BB$219,44,FALSE)=0,"-",VLOOKUP($A312,SortedDownload!$A$3:$BB$219,44,FALSE)/86400000),"-")</f>
        <v>-</v>
      </c>
      <c r="X312" s="58" t="str">
        <f>IFERROR(IF(VLOOKUP($A312,SortedDownload!$A$3:$BB$219,45,FALSE)=0,"-",VLOOKUP($A312,SortedDownload!$A$3:$BB$219,45,FALSE)/86400000),"-")</f>
        <v>-</v>
      </c>
      <c r="Y312" s="58" t="str">
        <f>IFERROR(VLOOKUP($A312,SortedDownload!$A$3:$BB$219,46,FALSE)/86400000,"")</f>
        <v/>
      </c>
      <c r="Z312" s="58" t="str">
        <f>IFERROR(Table932[[#This Row],[End Time]]-Table932[[#This Row],[Start Time]],"")</f>
        <v/>
      </c>
      <c r="AA312" s="58"/>
      <c r="AB312" s="170" t="e">
        <f t="shared" ref="AB312:AB321" si="30">Z312-Z311</f>
        <v>#VALUE!</v>
      </c>
      <c r="AC312" s="170" t="e">
        <f t="shared" ref="AC312:AC321" si="31">Z312-Z$6</f>
        <v>#VALUE!</v>
      </c>
    </row>
    <row r="313" spans="1:29">
      <c r="A313" s="53" t="str">
        <f>IF(SortedDownload!A303 &lt; 1,"",SortedDownload!A303)</f>
        <v/>
      </c>
      <c r="B313" s="146" t="str">
        <f t="shared" si="26"/>
        <v/>
      </c>
      <c r="C313" s="146" t="str">
        <f>IFERROR(VLOOKUP($A313,CategoryResults!$A$3:$X$252,3,FALSE),"")</f>
        <v/>
      </c>
      <c r="D313" s="149" t="str">
        <f>IFERROR(VLOOKUP($A313,EntryList!$A$3:$N$291,2,FALSE),"")</f>
        <v/>
      </c>
      <c r="E313" s="146" t="str">
        <f>IFERROR(VLOOKUP(C313,SeriesPoints!$A$2:$B$51,2,FALSE),"")</f>
        <v/>
      </c>
      <c r="F313" s="150" t="str">
        <f>IFERROR(VLOOKUP($A313,EntryList!$A$3:$V$291,22,FALSE),"")</f>
        <v/>
      </c>
      <c r="G313" s="148" t="str">
        <f>IFERROR(VLOOKUP($A313,EntryList!$A$3:$N$291,6,FALSE),"")</f>
        <v/>
      </c>
      <c r="H313" s="226" t="str">
        <f>IFERROR(VLOOKUP($A313,EntryList!$A$3:$N$291,7,FALSE),"")</f>
        <v/>
      </c>
      <c r="I313" s="220">
        <f t="shared" si="27"/>
        <v>0</v>
      </c>
      <c r="J313" s="58" t="str">
        <f>IFERROR(VLOOKUP($A313,SortedDownload!$A$3:$BB$219,31,FALSE)/86400000,"")</f>
        <v/>
      </c>
      <c r="K313" s="58" t="str">
        <f>IFERROR(IF(VLOOKUP($A313,SortedDownload!$A$3:$BB$219,32,FALSE)=0,"-",VLOOKUP($A313,SortedDownload!$A$3:$BB$219,32,FALSE)/86400000),"-")</f>
        <v>-</v>
      </c>
      <c r="L313" s="58" t="str">
        <f>IFERROR(IF(VLOOKUP($A313,SortedDownload!$A$3:$BB$219,33,FALSE)=0,"-",VLOOKUP($A313,SortedDownload!$A$3:$BB$219,33,FALSE)/86400000),"-")</f>
        <v>-</v>
      </c>
      <c r="M313" s="58" t="str">
        <f>IFERROR(IF(VLOOKUP($A313,SortedDownload!$A$3:$BB$219,34,FALSE)=0,"-",VLOOKUP($A313,SortedDownload!$A$3:$BB$219,34,FALSE)/86400000),"-")</f>
        <v>-</v>
      </c>
      <c r="N313" s="58" t="str">
        <f>IFERROR(IF(VLOOKUP($A313,SortedDownload!$A$3:$BB$219,35,FALSE)=0,"-",VLOOKUP($A313,SortedDownload!$A$3:$BB$219,35,FALSE)/86400000),"-")</f>
        <v>-</v>
      </c>
      <c r="O313" s="58" t="str">
        <f>IFERROR(IF(VLOOKUP($A313,SortedDownload!$A$3:$BB$219,36,FALSE)=0,"-",VLOOKUP($A313,SortedDownload!$A$3:$BB$219,36,FALSE)/86400000),"-")</f>
        <v>-</v>
      </c>
      <c r="P313" s="58" t="str">
        <f>IFERROR(IF(VLOOKUP($A313,SortedDownload!$A$3:$BB$219,37,FALSE)=0,"-",VLOOKUP($A313,SortedDownload!$A$3:$BB$219,37,FALSE)/86400000),"-")</f>
        <v>-</v>
      </c>
      <c r="Q313" s="58" t="str">
        <f>IFERROR(IF(VLOOKUP($A313,SortedDownload!$A$3:$BB$219,38,FALSE)=0,"-",VLOOKUP($A313,SortedDownload!$A$3:$BB$219,38,FALSE)/86400000),"-")</f>
        <v>-</v>
      </c>
      <c r="R313" s="58" t="str">
        <f>IFERROR(IF(VLOOKUP($A313,SortedDownload!$A$3:$BB$219,39,FALSE)=0,"-",VLOOKUP($A313,SortedDownload!$A$3:$BB$219,39,FALSE)/86400000),"-")</f>
        <v>-</v>
      </c>
      <c r="S313" s="58" t="str">
        <f>IFERROR(IF(VLOOKUP($A313,SortedDownload!$A$3:$BB$219,40,FALSE)=0,"-",VLOOKUP($A313,SortedDownload!$A$3:$BB$219,40,FALSE)/86400000),"-")</f>
        <v>-</v>
      </c>
      <c r="T313" s="58" t="str">
        <f>IFERROR(IF(VLOOKUP($A313,SortedDownload!$A$3:$BB$219,41,FALSE)=0,"-",VLOOKUP($A313,SortedDownload!$A$3:$BB$219,41,FALSE)/86400000),"-")</f>
        <v>-</v>
      </c>
      <c r="U313" s="58" t="str">
        <f>IFERROR(IF(VLOOKUP($A313,SortedDownload!$A$3:$BB$219,42,FALSE)=0,"-",VLOOKUP($A313,SortedDownload!$A$3:$BB$219,42,FALSE)/86400000),"-")</f>
        <v>-</v>
      </c>
      <c r="V313" s="58" t="str">
        <f>IFERROR(IF(VLOOKUP($A313,SortedDownload!$A$3:$BB$219,43,FALSE)=0,"-",VLOOKUP($A313,SortedDownload!$A$3:$BB$219,43,FALSE)/86400000),"-")</f>
        <v>-</v>
      </c>
      <c r="W313" s="58" t="str">
        <f>IFERROR(IF(VLOOKUP($A313,SortedDownload!$A$3:$BB$219,44,FALSE)=0,"-",VLOOKUP($A313,SortedDownload!$A$3:$BB$219,44,FALSE)/86400000),"-")</f>
        <v>-</v>
      </c>
      <c r="X313" s="58" t="str">
        <f>IFERROR(IF(VLOOKUP($A313,SortedDownload!$A$3:$BB$219,45,FALSE)=0,"-",VLOOKUP($A313,SortedDownload!$A$3:$BB$219,45,FALSE)/86400000),"-")</f>
        <v>-</v>
      </c>
      <c r="Y313" s="58" t="str">
        <f>IFERROR(VLOOKUP($A313,SortedDownload!$A$3:$BB$219,46,FALSE)/86400000,"")</f>
        <v/>
      </c>
      <c r="Z313" s="58" t="str">
        <f>IFERROR(Table932[[#This Row],[End Time]]-Table932[[#This Row],[Start Time]],"")</f>
        <v/>
      </c>
      <c r="AA313" s="58"/>
      <c r="AB313" s="170" t="e">
        <f t="shared" si="30"/>
        <v>#VALUE!</v>
      </c>
      <c r="AC313" s="170" t="e">
        <f t="shared" si="31"/>
        <v>#VALUE!</v>
      </c>
    </row>
    <row r="314" spans="1:29">
      <c r="A314" s="53" t="str">
        <f>IF(SortedDownload!A304 &lt; 1,"",SortedDownload!A304)</f>
        <v/>
      </c>
      <c r="B314" s="146" t="str">
        <f t="shared" si="26"/>
        <v/>
      </c>
      <c r="C314" s="146" t="str">
        <f>IFERROR(VLOOKUP($A314,CategoryResults!$A$3:$X$252,3,FALSE),"")</f>
        <v/>
      </c>
      <c r="D314" s="149" t="str">
        <f>IFERROR(VLOOKUP($A314,EntryList!$A$3:$N$291,2,FALSE),"")</f>
        <v/>
      </c>
      <c r="E314" s="146" t="str">
        <f>IFERROR(VLOOKUP(C314,SeriesPoints!$A$2:$B$51,2,FALSE),"")</f>
        <v/>
      </c>
      <c r="F314" s="150" t="str">
        <f>IFERROR(VLOOKUP($A314,EntryList!$A$3:$V$291,22,FALSE),"")</f>
        <v/>
      </c>
      <c r="G314" s="148" t="str">
        <f>IFERROR(VLOOKUP($A314,EntryList!$A$3:$N$291,6,FALSE),"")</f>
        <v/>
      </c>
      <c r="H314" s="226" t="str">
        <f>IFERROR(VLOOKUP($A314,EntryList!$A$3:$N$291,7,FALSE),"")</f>
        <v/>
      </c>
      <c r="I314" s="220">
        <f t="shared" si="27"/>
        <v>0</v>
      </c>
      <c r="J314" s="58" t="str">
        <f>IFERROR(VLOOKUP($A314,SortedDownload!$A$3:$BB$219,31,FALSE)/86400000,"")</f>
        <v/>
      </c>
      <c r="K314" s="58" t="str">
        <f>IFERROR(IF(VLOOKUP($A314,SortedDownload!$A$3:$BB$219,32,FALSE)=0,"-",VLOOKUP($A314,SortedDownload!$A$3:$BB$219,32,FALSE)/86400000),"-")</f>
        <v>-</v>
      </c>
      <c r="L314" s="58" t="str">
        <f>IFERROR(IF(VLOOKUP($A314,SortedDownload!$A$3:$BB$219,33,FALSE)=0,"-",VLOOKUP($A314,SortedDownload!$A$3:$BB$219,33,FALSE)/86400000),"-")</f>
        <v>-</v>
      </c>
      <c r="M314" s="58" t="str">
        <f>IFERROR(IF(VLOOKUP($A314,SortedDownload!$A$3:$BB$219,34,FALSE)=0,"-",VLOOKUP($A314,SortedDownload!$A$3:$BB$219,34,FALSE)/86400000),"-")</f>
        <v>-</v>
      </c>
      <c r="N314" s="58" t="str">
        <f>IFERROR(IF(VLOOKUP($A314,SortedDownload!$A$3:$BB$219,35,FALSE)=0,"-",VLOOKUP($A314,SortedDownload!$A$3:$BB$219,35,FALSE)/86400000),"-")</f>
        <v>-</v>
      </c>
      <c r="O314" s="58" t="str">
        <f>IFERROR(IF(VLOOKUP($A314,SortedDownload!$A$3:$BB$219,36,FALSE)=0,"-",VLOOKUP($A314,SortedDownload!$A$3:$BB$219,36,FALSE)/86400000),"-")</f>
        <v>-</v>
      </c>
      <c r="P314" s="58" t="str">
        <f>IFERROR(IF(VLOOKUP($A314,SortedDownload!$A$3:$BB$219,37,FALSE)=0,"-",VLOOKUP($A314,SortedDownload!$A$3:$BB$219,37,FALSE)/86400000),"-")</f>
        <v>-</v>
      </c>
      <c r="Q314" s="58" t="str">
        <f>IFERROR(IF(VLOOKUP($A314,SortedDownload!$A$3:$BB$219,38,FALSE)=0,"-",VLOOKUP($A314,SortedDownload!$A$3:$BB$219,38,FALSE)/86400000),"-")</f>
        <v>-</v>
      </c>
      <c r="R314" s="58" t="str">
        <f>IFERROR(IF(VLOOKUP($A314,SortedDownload!$A$3:$BB$219,39,FALSE)=0,"-",VLOOKUP($A314,SortedDownload!$A$3:$BB$219,39,FALSE)/86400000),"-")</f>
        <v>-</v>
      </c>
      <c r="S314" s="58" t="str">
        <f>IFERROR(IF(VLOOKUP($A314,SortedDownload!$A$3:$BB$219,40,FALSE)=0,"-",VLOOKUP($A314,SortedDownload!$A$3:$BB$219,40,FALSE)/86400000),"-")</f>
        <v>-</v>
      </c>
      <c r="T314" s="58" t="str">
        <f>IFERROR(IF(VLOOKUP($A314,SortedDownload!$A$3:$BB$219,41,FALSE)=0,"-",VLOOKUP($A314,SortedDownload!$A$3:$BB$219,41,FALSE)/86400000),"-")</f>
        <v>-</v>
      </c>
      <c r="U314" s="58" t="str">
        <f>IFERROR(IF(VLOOKUP($A314,SortedDownload!$A$3:$BB$219,42,FALSE)=0,"-",VLOOKUP($A314,SortedDownload!$A$3:$BB$219,42,FALSE)/86400000),"-")</f>
        <v>-</v>
      </c>
      <c r="V314" s="58" t="str">
        <f>IFERROR(IF(VLOOKUP($A314,SortedDownload!$A$3:$BB$219,43,FALSE)=0,"-",VLOOKUP($A314,SortedDownload!$A$3:$BB$219,43,FALSE)/86400000),"-")</f>
        <v>-</v>
      </c>
      <c r="W314" s="58" t="str">
        <f>IFERROR(IF(VLOOKUP($A314,SortedDownload!$A$3:$BB$219,44,FALSE)=0,"-",VLOOKUP($A314,SortedDownload!$A$3:$BB$219,44,FALSE)/86400000),"-")</f>
        <v>-</v>
      </c>
      <c r="X314" s="58" t="str">
        <f>IFERROR(IF(VLOOKUP($A314,SortedDownload!$A$3:$BB$219,45,FALSE)=0,"-",VLOOKUP($A314,SortedDownload!$A$3:$BB$219,45,FALSE)/86400000),"-")</f>
        <v>-</v>
      </c>
      <c r="Y314" s="58" t="str">
        <f>IFERROR(VLOOKUP($A314,SortedDownload!$A$3:$BB$219,46,FALSE)/86400000,"")</f>
        <v/>
      </c>
      <c r="Z314" s="58" t="str">
        <f>IFERROR(Table932[[#This Row],[End Time]]-Table932[[#This Row],[Start Time]],"")</f>
        <v/>
      </c>
      <c r="AA314" s="58"/>
      <c r="AB314" s="170" t="e">
        <f t="shared" si="30"/>
        <v>#VALUE!</v>
      </c>
      <c r="AC314" s="170" t="e">
        <f t="shared" si="31"/>
        <v>#VALUE!</v>
      </c>
    </row>
    <row r="315" spans="1:29">
      <c r="A315" s="53" t="str">
        <f>IF(SortedDownload!A305 &lt; 1,"",SortedDownload!A305)</f>
        <v/>
      </c>
      <c r="B315" s="146" t="str">
        <f t="shared" si="26"/>
        <v/>
      </c>
      <c r="C315" s="146" t="str">
        <f>IFERROR(VLOOKUP($A315,CategoryResults!$A$3:$X$252,3,FALSE),"")</f>
        <v/>
      </c>
      <c r="D315" s="149" t="str">
        <f>IFERROR(VLOOKUP($A315,EntryList!$A$3:$N$291,2,FALSE),"")</f>
        <v/>
      </c>
      <c r="E315" s="146" t="str">
        <f>IFERROR(VLOOKUP(C315,SeriesPoints!$A$2:$B$51,2,FALSE),"")</f>
        <v/>
      </c>
      <c r="F315" s="150" t="str">
        <f>IFERROR(VLOOKUP($A315,EntryList!$A$3:$V$291,22,FALSE),"")</f>
        <v/>
      </c>
      <c r="G315" s="148" t="str">
        <f>IFERROR(VLOOKUP($A315,EntryList!$A$3:$N$291,6,FALSE),"")</f>
        <v/>
      </c>
      <c r="H315" s="226" t="str">
        <f>IFERROR(VLOOKUP($A315,EntryList!$A$3:$N$291,7,FALSE),"")</f>
        <v/>
      </c>
      <c r="I315" s="220">
        <f t="shared" si="27"/>
        <v>0</v>
      </c>
      <c r="J315" s="58" t="str">
        <f>IFERROR(VLOOKUP($A315,SortedDownload!$A$3:$BB$219,31,FALSE)/86400000,"")</f>
        <v/>
      </c>
      <c r="K315" s="58" t="str">
        <f>IFERROR(IF(VLOOKUP($A315,SortedDownload!$A$3:$BB$219,32,FALSE)=0,"-",VLOOKUP($A315,SortedDownload!$A$3:$BB$219,32,FALSE)/86400000),"-")</f>
        <v>-</v>
      </c>
      <c r="L315" s="58" t="str">
        <f>IFERROR(IF(VLOOKUP($A315,SortedDownload!$A$3:$BB$219,33,FALSE)=0,"-",VLOOKUP($A315,SortedDownload!$A$3:$BB$219,33,FALSE)/86400000),"-")</f>
        <v>-</v>
      </c>
      <c r="M315" s="58" t="str">
        <f>IFERROR(IF(VLOOKUP($A315,SortedDownload!$A$3:$BB$219,34,FALSE)=0,"-",VLOOKUP($A315,SortedDownload!$A$3:$BB$219,34,FALSE)/86400000),"-")</f>
        <v>-</v>
      </c>
      <c r="N315" s="58" t="str">
        <f>IFERROR(IF(VLOOKUP($A315,SortedDownload!$A$3:$BB$219,35,FALSE)=0,"-",VLOOKUP($A315,SortedDownload!$A$3:$BB$219,35,FALSE)/86400000),"-")</f>
        <v>-</v>
      </c>
      <c r="O315" s="58" t="str">
        <f>IFERROR(IF(VLOOKUP($A315,SortedDownload!$A$3:$BB$219,36,FALSE)=0,"-",VLOOKUP($A315,SortedDownload!$A$3:$BB$219,36,FALSE)/86400000),"-")</f>
        <v>-</v>
      </c>
      <c r="P315" s="58" t="str">
        <f>IFERROR(IF(VLOOKUP($A315,SortedDownload!$A$3:$BB$219,37,FALSE)=0,"-",VLOOKUP($A315,SortedDownload!$A$3:$BB$219,37,FALSE)/86400000),"-")</f>
        <v>-</v>
      </c>
      <c r="Q315" s="58" t="str">
        <f>IFERROR(IF(VLOOKUP($A315,SortedDownload!$A$3:$BB$219,38,FALSE)=0,"-",VLOOKUP($A315,SortedDownload!$A$3:$BB$219,38,FALSE)/86400000),"-")</f>
        <v>-</v>
      </c>
      <c r="R315" s="58" t="str">
        <f>IFERROR(IF(VLOOKUP($A315,SortedDownload!$A$3:$BB$219,39,FALSE)=0,"-",VLOOKUP($A315,SortedDownload!$A$3:$BB$219,39,FALSE)/86400000),"-")</f>
        <v>-</v>
      </c>
      <c r="S315" s="58" t="str">
        <f>IFERROR(IF(VLOOKUP($A315,SortedDownload!$A$3:$BB$219,40,FALSE)=0,"-",VLOOKUP($A315,SortedDownload!$A$3:$BB$219,40,FALSE)/86400000),"-")</f>
        <v>-</v>
      </c>
      <c r="T315" s="58" t="str">
        <f>IFERROR(IF(VLOOKUP($A315,SortedDownload!$A$3:$BB$219,41,FALSE)=0,"-",VLOOKUP($A315,SortedDownload!$A$3:$BB$219,41,FALSE)/86400000),"-")</f>
        <v>-</v>
      </c>
      <c r="U315" s="58" t="str">
        <f>IFERROR(IF(VLOOKUP($A315,SortedDownload!$A$3:$BB$219,42,FALSE)=0,"-",VLOOKUP($A315,SortedDownload!$A$3:$BB$219,42,FALSE)/86400000),"-")</f>
        <v>-</v>
      </c>
      <c r="V315" s="58" t="str">
        <f>IFERROR(IF(VLOOKUP($A315,SortedDownload!$A$3:$BB$219,43,FALSE)=0,"-",VLOOKUP($A315,SortedDownload!$A$3:$BB$219,43,FALSE)/86400000),"-")</f>
        <v>-</v>
      </c>
      <c r="W315" s="58" t="str">
        <f>IFERROR(IF(VLOOKUP($A315,SortedDownload!$A$3:$BB$219,44,FALSE)=0,"-",VLOOKUP($A315,SortedDownload!$A$3:$BB$219,44,FALSE)/86400000),"-")</f>
        <v>-</v>
      </c>
      <c r="X315" s="58" t="str">
        <f>IFERROR(IF(VLOOKUP($A315,SortedDownload!$A$3:$BB$219,45,FALSE)=0,"-",VLOOKUP($A315,SortedDownload!$A$3:$BB$219,45,FALSE)/86400000),"-")</f>
        <v>-</v>
      </c>
      <c r="Y315" s="58" t="str">
        <f>IFERROR(VLOOKUP($A315,SortedDownload!$A$3:$BB$219,46,FALSE)/86400000,"")</f>
        <v/>
      </c>
      <c r="Z315" s="58" t="str">
        <f>IFERROR(Table932[[#This Row],[End Time]]-Table932[[#This Row],[Start Time]],"")</f>
        <v/>
      </c>
      <c r="AA315" s="58"/>
      <c r="AB315" s="170" t="e">
        <f t="shared" si="30"/>
        <v>#VALUE!</v>
      </c>
      <c r="AC315" s="170" t="e">
        <f t="shared" si="31"/>
        <v>#VALUE!</v>
      </c>
    </row>
    <row r="316" spans="1:29">
      <c r="A316" s="53" t="str">
        <f>IF(SortedDownload!A306 &lt; 1,"",SortedDownload!A306)</f>
        <v/>
      </c>
      <c r="B316" s="146" t="str">
        <f t="shared" si="26"/>
        <v/>
      </c>
      <c r="C316" s="146" t="str">
        <f>IFERROR(VLOOKUP($A316,CategoryResults!$A$3:$X$252,3,FALSE),"")</f>
        <v/>
      </c>
      <c r="D316" s="149" t="str">
        <f>IFERROR(VLOOKUP($A316,EntryList!$A$3:$N$291,2,FALSE),"")</f>
        <v/>
      </c>
      <c r="E316" s="146" t="str">
        <f>IFERROR(VLOOKUP(C316,SeriesPoints!$A$2:$B$51,2,FALSE),"")</f>
        <v/>
      </c>
      <c r="F316" s="150" t="str">
        <f>IFERROR(VLOOKUP($A316,EntryList!$A$3:$V$291,22,FALSE),"")</f>
        <v/>
      </c>
      <c r="G316" s="148" t="str">
        <f>IFERROR(VLOOKUP($A316,EntryList!$A$3:$N$291,6,FALSE),"")</f>
        <v/>
      </c>
      <c r="H316" s="226" t="str">
        <f>IFERROR(VLOOKUP($A316,EntryList!$A$3:$N$291,7,FALSE),"")</f>
        <v/>
      </c>
      <c r="I316" s="220">
        <f t="shared" si="27"/>
        <v>0</v>
      </c>
      <c r="J316" s="58" t="str">
        <f>IFERROR(VLOOKUP($A316,SortedDownload!$A$3:$BB$219,31,FALSE)/86400000,"")</f>
        <v/>
      </c>
      <c r="K316" s="58" t="str">
        <f>IFERROR(IF(VLOOKUP($A316,SortedDownload!$A$3:$BB$219,32,FALSE)=0,"-",VLOOKUP($A316,SortedDownload!$A$3:$BB$219,32,FALSE)/86400000),"-")</f>
        <v>-</v>
      </c>
      <c r="L316" s="58" t="str">
        <f>IFERROR(IF(VLOOKUP($A316,SortedDownload!$A$3:$BB$219,33,FALSE)=0,"-",VLOOKUP($A316,SortedDownload!$A$3:$BB$219,33,FALSE)/86400000),"-")</f>
        <v>-</v>
      </c>
      <c r="M316" s="58" t="str">
        <f>IFERROR(IF(VLOOKUP($A316,SortedDownload!$A$3:$BB$219,34,FALSE)=0,"-",VLOOKUP($A316,SortedDownload!$A$3:$BB$219,34,FALSE)/86400000),"-")</f>
        <v>-</v>
      </c>
      <c r="N316" s="58" t="str">
        <f>IFERROR(IF(VLOOKUP($A316,SortedDownload!$A$3:$BB$219,35,FALSE)=0,"-",VLOOKUP($A316,SortedDownload!$A$3:$BB$219,35,FALSE)/86400000),"-")</f>
        <v>-</v>
      </c>
      <c r="O316" s="58" t="str">
        <f>IFERROR(IF(VLOOKUP($A316,SortedDownload!$A$3:$BB$219,36,FALSE)=0,"-",VLOOKUP($A316,SortedDownload!$A$3:$BB$219,36,FALSE)/86400000),"-")</f>
        <v>-</v>
      </c>
      <c r="P316" s="58" t="str">
        <f>IFERROR(IF(VLOOKUP($A316,SortedDownload!$A$3:$BB$219,37,FALSE)=0,"-",VLOOKUP($A316,SortedDownload!$A$3:$BB$219,37,FALSE)/86400000),"-")</f>
        <v>-</v>
      </c>
      <c r="Q316" s="58" t="str">
        <f>IFERROR(IF(VLOOKUP($A316,SortedDownload!$A$3:$BB$219,38,FALSE)=0,"-",VLOOKUP($A316,SortedDownload!$A$3:$BB$219,38,FALSE)/86400000),"-")</f>
        <v>-</v>
      </c>
      <c r="R316" s="58" t="str">
        <f>IFERROR(IF(VLOOKUP($A316,SortedDownload!$A$3:$BB$219,39,FALSE)=0,"-",VLOOKUP($A316,SortedDownload!$A$3:$BB$219,39,FALSE)/86400000),"-")</f>
        <v>-</v>
      </c>
      <c r="S316" s="58" t="str">
        <f>IFERROR(IF(VLOOKUP($A316,SortedDownload!$A$3:$BB$219,40,FALSE)=0,"-",VLOOKUP($A316,SortedDownload!$A$3:$BB$219,40,FALSE)/86400000),"-")</f>
        <v>-</v>
      </c>
      <c r="T316" s="58" t="str">
        <f>IFERROR(IF(VLOOKUP($A316,SortedDownload!$A$3:$BB$219,41,FALSE)=0,"-",VLOOKUP($A316,SortedDownload!$A$3:$BB$219,41,FALSE)/86400000),"-")</f>
        <v>-</v>
      </c>
      <c r="U316" s="58" t="str">
        <f>IFERROR(IF(VLOOKUP($A316,SortedDownload!$A$3:$BB$219,42,FALSE)=0,"-",VLOOKUP($A316,SortedDownload!$A$3:$BB$219,42,FALSE)/86400000),"-")</f>
        <v>-</v>
      </c>
      <c r="V316" s="58" t="str">
        <f>IFERROR(IF(VLOOKUP($A316,SortedDownload!$A$3:$BB$219,43,FALSE)=0,"-",VLOOKUP($A316,SortedDownload!$A$3:$BB$219,43,FALSE)/86400000),"-")</f>
        <v>-</v>
      </c>
      <c r="W316" s="58" t="str">
        <f>IFERROR(IF(VLOOKUP($A316,SortedDownload!$A$3:$BB$219,44,FALSE)=0,"-",VLOOKUP($A316,SortedDownload!$A$3:$BB$219,44,FALSE)/86400000),"-")</f>
        <v>-</v>
      </c>
      <c r="X316" s="58" t="str">
        <f>IFERROR(IF(VLOOKUP($A316,SortedDownload!$A$3:$BB$219,45,FALSE)=0,"-",VLOOKUP($A316,SortedDownload!$A$3:$BB$219,45,FALSE)/86400000),"-")</f>
        <v>-</v>
      </c>
      <c r="Y316" s="58" t="str">
        <f>IFERROR(VLOOKUP($A316,SortedDownload!$A$3:$BB$219,46,FALSE)/86400000,"")</f>
        <v/>
      </c>
      <c r="Z316" s="58" t="str">
        <f>IFERROR(Table932[[#This Row],[End Time]]-Table932[[#This Row],[Start Time]],"")</f>
        <v/>
      </c>
      <c r="AA316" s="58"/>
      <c r="AB316" s="170" t="e">
        <f t="shared" si="30"/>
        <v>#VALUE!</v>
      </c>
      <c r="AC316" s="170" t="e">
        <f t="shared" si="31"/>
        <v>#VALUE!</v>
      </c>
    </row>
    <row r="317" spans="1:29">
      <c r="A317" s="53" t="str">
        <f>IF(SortedDownload!A307 &lt; 1,"",SortedDownload!A307)</f>
        <v/>
      </c>
      <c r="B317" s="146" t="str">
        <f t="shared" si="26"/>
        <v/>
      </c>
      <c r="C317" s="146" t="str">
        <f>IFERROR(VLOOKUP($A317,CategoryResults!$A$3:$X$252,3,FALSE),"")</f>
        <v/>
      </c>
      <c r="D317" s="149" t="str">
        <f>IFERROR(VLOOKUP($A317,EntryList!$A$3:$N$291,2,FALSE),"")</f>
        <v/>
      </c>
      <c r="E317" s="146" t="str">
        <f>IFERROR(VLOOKUP(C317,SeriesPoints!$A$2:$B$51,2,FALSE),"")</f>
        <v/>
      </c>
      <c r="F317" s="150" t="str">
        <f>IFERROR(VLOOKUP($A317,EntryList!$A$3:$V$291,22,FALSE),"")</f>
        <v/>
      </c>
      <c r="G317" s="148" t="str">
        <f>IFERROR(VLOOKUP($A317,EntryList!$A$3:$N$291,6,FALSE),"")</f>
        <v/>
      </c>
      <c r="H317" s="226" t="str">
        <f>IFERROR(VLOOKUP($A317,EntryList!$A$3:$N$291,7,FALSE),"")</f>
        <v/>
      </c>
      <c r="I317" s="220">
        <f t="shared" si="27"/>
        <v>0</v>
      </c>
      <c r="J317" s="58" t="str">
        <f>IFERROR(VLOOKUP($A317,SortedDownload!$A$3:$BB$219,31,FALSE)/86400000,"")</f>
        <v/>
      </c>
      <c r="K317" s="58" t="str">
        <f>IFERROR(IF(VLOOKUP($A317,SortedDownload!$A$3:$BB$219,32,FALSE)=0,"-",VLOOKUP($A317,SortedDownload!$A$3:$BB$219,32,FALSE)/86400000),"-")</f>
        <v>-</v>
      </c>
      <c r="L317" s="58" t="str">
        <f>IFERROR(IF(VLOOKUP($A317,SortedDownload!$A$3:$BB$219,33,FALSE)=0,"-",VLOOKUP($A317,SortedDownload!$A$3:$BB$219,33,FALSE)/86400000),"-")</f>
        <v>-</v>
      </c>
      <c r="M317" s="58" t="str">
        <f>IFERROR(IF(VLOOKUP($A317,SortedDownload!$A$3:$BB$219,34,FALSE)=0,"-",VLOOKUP($A317,SortedDownload!$A$3:$BB$219,34,FALSE)/86400000),"-")</f>
        <v>-</v>
      </c>
      <c r="N317" s="58" t="str">
        <f>IFERROR(IF(VLOOKUP($A317,SortedDownload!$A$3:$BB$219,35,FALSE)=0,"-",VLOOKUP($A317,SortedDownload!$A$3:$BB$219,35,FALSE)/86400000),"-")</f>
        <v>-</v>
      </c>
      <c r="O317" s="58" t="str">
        <f>IFERROR(IF(VLOOKUP($A317,SortedDownload!$A$3:$BB$219,36,FALSE)=0,"-",VLOOKUP($A317,SortedDownload!$A$3:$BB$219,36,FALSE)/86400000),"-")</f>
        <v>-</v>
      </c>
      <c r="P317" s="58" t="str">
        <f>IFERROR(IF(VLOOKUP($A317,SortedDownload!$A$3:$BB$219,37,FALSE)=0,"-",VLOOKUP($A317,SortedDownload!$A$3:$BB$219,37,FALSE)/86400000),"-")</f>
        <v>-</v>
      </c>
      <c r="Q317" s="58" t="str">
        <f>IFERROR(IF(VLOOKUP($A317,SortedDownload!$A$3:$BB$219,38,FALSE)=0,"-",VLOOKUP($A317,SortedDownload!$A$3:$BB$219,38,FALSE)/86400000),"-")</f>
        <v>-</v>
      </c>
      <c r="R317" s="58" t="str">
        <f>IFERROR(IF(VLOOKUP($A317,SortedDownload!$A$3:$BB$219,39,FALSE)=0,"-",VLOOKUP($A317,SortedDownload!$A$3:$BB$219,39,FALSE)/86400000),"-")</f>
        <v>-</v>
      </c>
      <c r="S317" s="58" t="str">
        <f>IFERROR(IF(VLOOKUP($A317,SortedDownload!$A$3:$BB$219,40,FALSE)=0,"-",VLOOKUP($A317,SortedDownload!$A$3:$BB$219,40,FALSE)/86400000),"-")</f>
        <v>-</v>
      </c>
      <c r="T317" s="58" t="str">
        <f>IFERROR(IF(VLOOKUP($A317,SortedDownload!$A$3:$BB$219,41,FALSE)=0,"-",VLOOKUP($A317,SortedDownload!$A$3:$BB$219,41,FALSE)/86400000),"-")</f>
        <v>-</v>
      </c>
      <c r="U317" s="58" t="str">
        <f>IFERROR(IF(VLOOKUP($A317,SortedDownload!$A$3:$BB$219,42,FALSE)=0,"-",VLOOKUP($A317,SortedDownload!$A$3:$BB$219,42,FALSE)/86400000),"-")</f>
        <v>-</v>
      </c>
      <c r="V317" s="58" t="str">
        <f>IFERROR(IF(VLOOKUP($A317,SortedDownload!$A$3:$BB$219,43,FALSE)=0,"-",VLOOKUP($A317,SortedDownload!$A$3:$BB$219,43,FALSE)/86400000),"-")</f>
        <v>-</v>
      </c>
      <c r="W317" s="58" t="str">
        <f>IFERROR(IF(VLOOKUP($A317,SortedDownload!$A$3:$BB$219,44,FALSE)=0,"-",VLOOKUP($A317,SortedDownload!$A$3:$BB$219,44,FALSE)/86400000),"-")</f>
        <v>-</v>
      </c>
      <c r="X317" s="58" t="str">
        <f>IFERROR(IF(VLOOKUP($A317,SortedDownload!$A$3:$BB$219,45,FALSE)=0,"-",VLOOKUP($A317,SortedDownload!$A$3:$BB$219,45,FALSE)/86400000),"-")</f>
        <v>-</v>
      </c>
      <c r="Y317" s="58" t="str">
        <f>IFERROR(VLOOKUP($A317,SortedDownload!$A$3:$BB$219,46,FALSE)/86400000,"")</f>
        <v/>
      </c>
      <c r="Z317" s="58" t="str">
        <f>IFERROR(Table932[[#This Row],[End Time]]-Table932[[#This Row],[Start Time]],"")</f>
        <v/>
      </c>
      <c r="AA317" s="58"/>
      <c r="AB317" s="170" t="e">
        <f t="shared" si="30"/>
        <v>#VALUE!</v>
      </c>
      <c r="AC317" s="170" t="e">
        <f t="shared" si="31"/>
        <v>#VALUE!</v>
      </c>
    </row>
    <row r="318" spans="1:29">
      <c r="A318" s="53" t="str">
        <f>IF(SortedDownload!A308 &lt; 1,"",SortedDownload!A308)</f>
        <v/>
      </c>
      <c r="B318" s="146" t="str">
        <f t="shared" si="26"/>
        <v/>
      </c>
      <c r="C318" s="146" t="str">
        <f>IFERROR(VLOOKUP($A318,CategoryResults!$A$3:$X$252,3,FALSE),"")</f>
        <v/>
      </c>
      <c r="D318" s="149" t="str">
        <f>IFERROR(VLOOKUP($A318,EntryList!$A$3:$N$291,2,FALSE),"")</f>
        <v/>
      </c>
      <c r="E318" s="146" t="str">
        <f>IFERROR(VLOOKUP(C318,SeriesPoints!$A$2:$B$51,2,FALSE),"")</f>
        <v/>
      </c>
      <c r="F318" s="150" t="str">
        <f>IFERROR(VLOOKUP($A318,EntryList!$A$3:$V$291,22,FALSE),"")</f>
        <v/>
      </c>
      <c r="G318" s="148" t="str">
        <f>IFERROR(VLOOKUP($A318,EntryList!$A$3:$N$291,6,FALSE),"")</f>
        <v/>
      </c>
      <c r="H318" s="226" t="str">
        <f>IFERROR(VLOOKUP($A318,EntryList!$A$3:$N$291,7,FALSE),"")</f>
        <v/>
      </c>
      <c r="I318" s="220">
        <f t="shared" si="27"/>
        <v>0</v>
      </c>
      <c r="J318" s="58" t="str">
        <f>IFERROR(VLOOKUP($A318,SortedDownload!$A$3:$BB$219,31,FALSE)/86400000,"")</f>
        <v/>
      </c>
      <c r="K318" s="58" t="str">
        <f>IFERROR(IF(VLOOKUP($A318,SortedDownload!$A$3:$BB$219,32,FALSE)=0,"-",VLOOKUP($A318,SortedDownload!$A$3:$BB$219,32,FALSE)/86400000),"-")</f>
        <v>-</v>
      </c>
      <c r="L318" s="58" t="str">
        <f>IFERROR(IF(VLOOKUP($A318,SortedDownload!$A$3:$BB$219,33,FALSE)=0,"-",VLOOKUP($A318,SortedDownload!$A$3:$BB$219,33,FALSE)/86400000),"-")</f>
        <v>-</v>
      </c>
      <c r="M318" s="58" t="str">
        <f>IFERROR(IF(VLOOKUP($A318,SortedDownload!$A$3:$BB$219,34,FALSE)=0,"-",VLOOKUP($A318,SortedDownload!$A$3:$BB$219,34,FALSE)/86400000),"-")</f>
        <v>-</v>
      </c>
      <c r="N318" s="58" t="str">
        <f>IFERROR(IF(VLOOKUP($A318,SortedDownload!$A$3:$BB$219,35,FALSE)=0,"-",VLOOKUP($A318,SortedDownload!$A$3:$BB$219,35,FALSE)/86400000),"-")</f>
        <v>-</v>
      </c>
      <c r="O318" s="58" t="str">
        <f>IFERROR(IF(VLOOKUP($A318,SortedDownload!$A$3:$BB$219,36,FALSE)=0,"-",VLOOKUP($A318,SortedDownload!$A$3:$BB$219,36,FALSE)/86400000),"-")</f>
        <v>-</v>
      </c>
      <c r="P318" s="58" t="str">
        <f>IFERROR(IF(VLOOKUP($A318,SortedDownload!$A$3:$BB$219,37,FALSE)=0,"-",VLOOKUP($A318,SortedDownload!$A$3:$BB$219,37,FALSE)/86400000),"-")</f>
        <v>-</v>
      </c>
      <c r="Q318" s="58" t="str">
        <f>IFERROR(IF(VLOOKUP($A318,SortedDownload!$A$3:$BB$219,38,FALSE)=0,"-",VLOOKUP($A318,SortedDownload!$A$3:$BB$219,38,FALSE)/86400000),"-")</f>
        <v>-</v>
      </c>
      <c r="R318" s="58" t="str">
        <f>IFERROR(IF(VLOOKUP($A318,SortedDownload!$A$3:$BB$219,39,FALSE)=0,"-",VLOOKUP($A318,SortedDownload!$A$3:$BB$219,39,FALSE)/86400000),"-")</f>
        <v>-</v>
      </c>
      <c r="S318" s="58" t="str">
        <f>IFERROR(IF(VLOOKUP($A318,SortedDownload!$A$3:$BB$219,40,FALSE)=0,"-",VLOOKUP($A318,SortedDownload!$A$3:$BB$219,40,FALSE)/86400000),"-")</f>
        <v>-</v>
      </c>
      <c r="T318" s="58" t="str">
        <f>IFERROR(IF(VLOOKUP($A318,SortedDownload!$A$3:$BB$219,41,FALSE)=0,"-",VLOOKUP($A318,SortedDownload!$A$3:$BB$219,41,FALSE)/86400000),"-")</f>
        <v>-</v>
      </c>
      <c r="U318" s="58" t="str">
        <f>IFERROR(IF(VLOOKUP($A318,SortedDownload!$A$3:$BB$219,42,FALSE)=0,"-",VLOOKUP($A318,SortedDownload!$A$3:$BB$219,42,FALSE)/86400000),"-")</f>
        <v>-</v>
      </c>
      <c r="V318" s="58" t="str">
        <f>IFERROR(IF(VLOOKUP($A318,SortedDownload!$A$3:$BB$219,43,FALSE)=0,"-",VLOOKUP($A318,SortedDownload!$A$3:$BB$219,43,FALSE)/86400000),"-")</f>
        <v>-</v>
      </c>
      <c r="W318" s="58" t="str">
        <f>IFERROR(IF(VLOOKUP($A318,SortedDownload!$A$3:$BB$219,44,FALSE)=0,"-",VLOOKUP($A318,SortedDownload!$A$3:$BB$219,44,FALSE)/86400000),"-")</f>
        <v>-</v>
      </c>
      <c r="X318" s="58" t="str">
        <f>IFERROR(IF(VLOOKUP($A318,SortedDownload!$A$3:$BB$219,45,FALSE)=0,"-",VLOOKUP($A318,SortedDownload!$A$3:$BB$219,45,FALSE)/86400000),"-")</f>
        <v>-</v>
      </c>
      <c r="Y318" s="58" t="str">
        <f>IFERROR(VLOOKUP($A318,SortedDownload!$A$3:$BB$219,46,FALSE)/86400000,"")</f>
        <v/>
      </c>
      <c r="Z318" s="58" t="str">
        <f>IFERROR(Table932[[#This Row],[End Time]]-Table932[[#This Row],[Start Time]],"")</f>
        <v/>
      </c>
      <c r="AA318" s="58"/>
      <c r="AB318" s="170" t="e">
        <f t="shared" si="30"/>
        <v>#VALUE!</v>
      </c>
      <c r="AC318" s="170" t="e">
        <f t="shared" si="31"/>
        <v>#VALUE!</v>
      </c>
    </row>
    <row r="319" spans="1:29">
      <c r="A319" s="53" t="str">
        <f>IF(SortedDownload!A309 &lt; 1,"",SortedDownload!A309)</f>
        <v/>
      </c>
      <c r="B319" s="146" t="str">
        <f t="shared" si="26"/>
        <v/>
      </c>
      <c r="C319" s="146" t="str">
        <f>IFERROR(VLOOKUP($A319,CategoryResults!$A$3:$X$252,3,FALSE),"")</f>
        <v/>
      </c>
      <c r="D319" s="149" t="str">
        <f>IFERROR(VLOOKUP($A319,EntryList!$A$3:$N$291,2,FALSE),"")</f>
        <v/>
      </c>
      <c r="E319" s="146" t="str">
        <f>IFERROR(VLOOKUP(C319,SeriesPoints!$A$2:$B$51,2,FALSE),"")</f>
        <v/>
      </c>
      <c r="F319" s="150" t="str">
        <f>IFERROR(VLOOKUP($A319,EntryList!$A$3:$V$291,22,FALSE),"")</f>
        <v/>
      </c>
      <c r="G319" s="148" t="str">
        <f>IFERROR(VLOOKUP($A319,EntryList!$A$3:$N$291,6,FALSE),"")</f>
        <v/>
      </c>
      <c r="H319" s="226" t="str">
        <f>IFERROR(VLOOKUP($A319,EntryList!$A$3:$N$291,7,FALSE),"")</f>
        <v/>
      </c>
      <c r="I319" s="220">
        <f t="shared" si="27"/>
        <v>0</v>
      </c>
      <c r="J319" s="58" t="str">
        <f>IFERROR(VLOOKUP($A319,SortedDownload!$A$3:$BB$219,31,FALSE)/86400000,"")</f>
        <v/>
      </c>
      <c r="K319" s="58" t="str">
        <f>IFERROR(IF(VLOOKUP($A319,SortedDownload!$A$3:$BB$219,32,FALSE)=0,"-",VLOOKUP($A319,SortedDownload!$A$3:$BB$219,32,FALSE)/86400000),"-")</f>
        <v>-</v>
      </c>
      <c r="L319" s="58" t="str">
        <f>IFERROR(IF(VLOOKUP($A319,SortedDownload!$A$3:$BB$219,33,FALSE)=0,"-",VLOOKUP($A319,SortedDownload!$A$3:$BB$219,33,FALSE)/86400000),"-")</f>
        <v>-</v>
      </c>
      <c r="M319" s="58" t="str">
        <f>IFERROR(IF(VLOOKUP($A319,SortedDownload!$A$3:$BB$219,34,FALSE)=0,"-",VLOOKUP($A319,SortedDownload!$A$3:$BB$219,34,FALSE)/86400000),"-")</f>
        <v>-</v>
      </c>
      <c r="N319" s="58" t="str">
        <f>IFERROR(IF(VLOOKUP($A319,SortedDownload!$A$3:$BB$219,35,FALSE)=0,"-",VLOOKUP($A319,SortedDownload!$A$3:$BB$219,35,FALSE)/86400000),"-")</f>
        <v>-</v>
      </c>
      <c r="O319" s="58" t="str">
        <f>IFERROR(IF(VLOOKUP($A319,SortedDownload!$A$3:$BB$219,36,FALSE)=0,"-",VLOOKUP($A319,SortedDownload!$A$3:$BB$219,36,FALSE)/86400000),"-")</f>
        <v>-</v>
      </c>
      <c r="P319" s="58" t="str">
        <f>IFERROR(IF(VLOOKUP($A319,SortedDownload!$A$3:$BB$219,37,FALSE)=0,"-",VLOOKUP($A319,SortedDownload!$A$3:$BB$219,37,FALSE)/86400000),"-")</f>
        <v>-</v>
      </c>
      <c r="Q319" s="58" t="str">
        <f>IFERROR(IF(VLOOKUP($A319,SortedDownload!$A$3:$BB$219,38,FALSE)=0,"-",VLOOKUP($A319,SortedDownload!$A$3:$BB$219,38,FALSE)/86400000),"-")</f>
        <v>-</v>
      </c>
      <c r="R319" s="58" t="str">
        <f>IFERROR(IF(VLOOKUP($A319,SortedDownload!$A$3:$BB$219,39,FALSE)=0,"-",VLOOKUP($A319,SortedDownload!$A$3:$BB$219,39,FALSE)/86400000),"-")</f>
        <v>-</v>
      </c>
      <c r="S319" s="58" t="str">
        <f>IFERROR(IF(VLOOKUP($A319,SortedDownload!$A$3:$BB$219,40,FALSE)=0,"-",VLOOKUP($A319,SortedDownload!$A$3:$BB$219,40,FALSE)/86400000),"-")</f>
        <v>-</v>
      </c>
      <c r="T319" s="58" t="str">
        <f>IFERROR(IF(VLOOKUP($A319,SortedDownload!$A$3:$BB$219,41,FALSE)=0,"-",VLOOKUP($A319,SortedDownload!$A$3:$BB$219,41,FALSE)/86400000),"-")</f>
        <v>-</v>
      </c>
      <c r="U319" s="58" t="str">
        <f>IFERROR(IF(VLOOKUP($A319,SortedDownload!$A$3:$BB$219,42,FALSE)=0,"-",VLOOKUP($A319,SortedDownload!$A$3:$BB$219,42,FALSE)/86400000),"-")</f>
        <v>-</v>
      </c>
      <c r="V319" s="58" t="str">
        <f>IFERROR(IF(VLOOKUP($A319,SortedDownload!$A$3:$BB$219,43,FALSE)=0,"-",VLOOKUP($A319,SortedDownload!$A$3:$BB$219,43,FALSE)/86400000),"-")</f>
        <v>-</v>
      </c>
      <c r="W319" s="58" t="str">
        <f>IFERROR(IF(VLOOKUP($A319,SortedDownload!$A$3:$BB$219,44,FALSE)=0,"-",VLOOKUP($A319,SortedDownload!$A$3:$BB$219,44,FALSE)/86400000),"-")</f>
        <v>-</v>
      </c>
      <c r="X319" s="58" t="str">
        <f>IFERROR(IF(VLOOKUP($A319,SortedDownload!$A$3:$BB$219,45,FALSE)=0,"-",VLOOKUP($A319,SortedDownload!$A$3:$BB$219,45,FALSE)/86400000),"-")</f>
        <v>-</v>
      </c>
      <c r="Y319" s="58" t="str">
        <f>IFERROR(VLOOKUP($A319,SortedDownload!$A$3:$BB$219,46,FALSE)/86400000,"")</f>
        <v/>
      </c>
      <c r="Z319" s="58" t="str">
        <f>IFERROR(Table932[[#This Row],[End Time]]-Table932[[#This Row],[Start Time]],"")</f>
        <v/>
      </c>
      <c r="AA319" s="58"/>
      <c r="AB319" s="170" t="e">
        <f t="shared" si="30"/>
        <v>#VALUE!</v>
      </c>
      <c r="AC319" s="170" t="e">
        <f t="shared" si="31"/>
        <v>#VALUE!</v>
      </c>
    </row>
    <row r="320" spans="1:29">
      <c r="A320" s="53" t="str">
        <f>IF(SortedDownload!A310 &lt; 1,"",SortedDownload!A310)</f>
        <v/>
      </c>
      <c r="B320" s="146" t="str">
        <f t="shared" si="26"/>
        <v/>
      </c>
      <c r="C320" s="146" t="str">
        <f>IFERROR(VLOOKUP($A320,CategoryResults!$A$3:$X$252,3,FALSE),"")</f>
        <v/>
      </c>
      <c r="D320" s="149" t="str">
        <f>IFERROR(VLOOKUP($A320,EntryList!$A$3:$N$291,2,FALSE),"")</f>
        <v/>
      </c>
      <c r="E320" s="146" t="str">
        <f>IFERROR(VLOOKUP(C320,SeriesPoints!$A$2:$B$51,2,FALSE),"")</f>
        <v/>
      </c>
      <c r="F320" s="150" t="str">
        <f>IFERROR(VLOOKUP($A320,EntryList!$A$3:$V$291,22,FALSE),"")</f>
        <v/>
      </c>
      <c r="G320" s="148" t="str">
        <f>IFERROR(VLOOKUP($A320,EntryList!$A$3:$N$291,6,FALSE),"")</f>
        <v/>
      </c>
      <c r="H320" s="226" t="str">
        <f>IFERROR(VLOOKUP($A320,EntryList!$A$3:$N$291,7,FALSE),"")</f>
        <v/>
      </c>
      <c r="I320" s="220">
        <f t="shared" si="27"/>
        <v>0</v>
      </c>
      <c r="J320" s="58" t="str">
        <f>IFERROR(VLOOKUP($A320,SortedDownload!$A$3:$BB$219,31,FALSE)/86400000,"")</f>
        <v/>
      </c>
      <c r="K320" s="58" t="str">
        <f>IFERROR(IF(VLOOKUP($A320,SortedDownload!$A$3:$BB$219,32,FALSE)=0,"-",VLOOKUP($A320,SortedDownload!$A$3:$BB$219,32,FALSE)/86400000),"-")</f>
        <v>-</v>
      </c>
      <c r="L320" s="58" t="str">
        <f>IFERROR(IF(VLOOKUP($A320,SortedDownload!$A$3:$BB$219,33,FALSE)=0,"-",VLOOKUP($A320,SortedDownload!$A$3:$BB$219,33,FALSE)/86400000),"-")</f>
        <v>-</v>
      </c>
      <c r="M320" s="58" t="str">
        <f>IFERROR(IF(VLOOKUP($A320,SortedDownload!$A$3:$BB$219,34,FALSE)=0,"-",VLOOKUP($A320,SortedDownload!$A$3:$BB$219,34,FALSE)/86400000),"-")</f>
        <v>-</v>
      </c>
      <c r="N320" s="58" t="str">
        <f>IFERROR(IF(VLOOKUP($A320,SortedDownload!$A$3:$BB$219,35,FALSE)=0,"-",VLOOKUP($A320,SortedDownload!$A$3:$BB$219,35,FALSE)/86400000),"-")</f>
        <v>-</v>
      </c>
      <c r="O320" s="58" t="str">
        <f>IFERROR(IF(VLOOKUP($A320,SortedDownload!$A$3:$BB$219,36,FALSE)=0,"-",VLOOKUP($A320,SortedDownload!$A$3:$BB$219,36,FALSE)/86400000),"-")</f>
        <v>-</v>
      </c>
      <c r="P320" s="58" t="str">
        <f>IFERROR(IF(VLOOKUP($A320,SortedDownload!$A$3:$BB$219,37,FALSE)=0,"-",VLOOKUP($A320,SortedDownload!$A$3:$BB$219,37,FALSE)/86400000),"-")</f>
        <v>-</v>
      </c>
      <c r="Q320" s="58" t="str">
        <f>IFERROR(IF(VLOOKUP($A320,SortedDownload!$A$3:$BB$219,38,FALSE)=0,"-",VLOOKUP($A320,SortedDownload!$A$3:$BB$219,38,FALSE)/86400000),"-")</f>
        <v>-</v>
      </c>
      <c r="R320" s="58" t="str">
        <f>IFERROR(IF(VLOOKUP($A320,SortedDownload!$A$3:$BB$219,39,FALSE)=0,"-",VLOOKUP($A320,SortedDownload!$A$3:$BB$219,39,FALSE)/86400000),"-")</f>
        <v>-</v>
      </c>
      <c r="S320" s="58" t="str">
        <f>IFERROR(IF(VLOOKUP($A320,SortedDownload!$A$3:$BB$219,40,FALSE)=0,"-",VLOOKUP($A320,SortedDownload!$A$3:$BB$219,40,FALSE)/86400000),"-")</f>
        <v>-</v>
      </c>
      <c r="T320" s="58" t="str">
        <f>IFERROR(IF(VLOOKUP($A320,SortedDownload!$A$3:$BB$219,41,FALSE)=0,"-",VLOOKUP($A320,SortedDownload!$A$3:$BB$219,41,FALSE)/86400000),"-")</f>
        <v>-</v>
      </c>
      <c r="U320" s="58" t="str">
        <f>IFERROR(IF(VLOOKUP($A320,SortedDownload!$A$3:$BB$219,42,FALSE)=0,"-",VLOOKUP($A320,SortedDownload!$A$3:$BB$219,42,FALSE)/86400000),"-")</f>
        <v>-</v>
      </c>
      <c r="V320" s="58" t="str">
        <f>IFERROR(IF(VLOOKUP($A320,SortedDownload!$A$3:$BB$219,43,FALSE)=0,"-",VLOOKUP($A320,SortedDownload!$A$3:$BB$219,43,FALSE)/86400000),"-")</f>
        <v>-</v>
      </c>
      <c r="W320" s="58" t="str">
        <f>IFERROR(IF(VLOOKUP($A320,SortedDownload!$A$3:$BB$219,44,FALSE)=0,"-",VLOOKUP($A320,SortedDownload!$A$3:$BB$219,44,FALSE)/86400000),"-")</f>
        <v>-</v>
      </c>
      <c r="X320" s="58" t="str">
        <f>IFERROR(IF(VLOOKUP($A320,SortedDownload!$A$3:$BB$219,45,FALSE)=0,"-",VLOOKUP($A320,SortedDownload!$A$3:$BB$219,45,FALSE)/86400000),"-")</f>
        <v>-</v>
      </c>
      <c r="Y320" s="58" t="str">
        <f>IFERROR(VLOOKUP($A320,SortedDownload!$A$3:$BB$219,46,FALSE)/86400000,"")</f>
        <v/>
      </c>
      <c r="Z320" s="58" t="str">
        <f>IFERROR(Table932[[#This Row],[End Time]]-Table932[[#This Row],[Start Time]],"")</f>
        <v/>
      </c>
      <c r="AA320" s="58"/>
      <c r="AB320" s="170" t="e">
        <f t="shared" si="30"/>
        <v>#VALUE!</v>
      </c>
      <c r="AC320" s="170" t="e">
        <f t="shared" si="31"/>
        <v>#VALUE!</v>
      </c>
    </row>
    <row r="321" spans="1:29">
      <c r="A321" s="53" t="str">
        <f>IF(SortedDownload!A311 &lt; 1,"",SortedDownload!A311)</f>
        <v/>
      </c>
      <c r="B321" s="146" t="str">
        <f t="shared" si="26"/>
        <v/>
      </c>
      <c r="C321" s="146" t="str">
        <f>IFERROR(VLOOKUP($A321,CategoryResults!$A$3:$X$252,3,FALSE),"")</f>
        <v/>
      </c>
      <c r="D321" s="149" t="str">
        <f>IFERROR(VLOOKUP($A321,EntryList!$A$3:$N$291,2,FALSE),"")</f>
        <v/>
      </c>
      <c r="E321" s="146" t="str">
        <f>IFERROR(VLOOKUP(C321,SeriesPoints!$A$2:$B$51,2,FALSE),"")</f>
        <v/>
      </c>
      <c r="F321" s="150" t="str">
        <f>IFERROR(VLOOKUP($A321,EntryList!$A$3:$V$291,22,FALSE),"")</f>
        <v/>
      </c>
      <c r="G321" s="148" t="str">
        <f>IFERROR(VLOOKUP($A321,EntryList!$A$3:$N$291,6,FALSE),"")</f>
        <v/>
      </c>
      <c r="H321" s="226" t="str">
        <f>IFERROR(VLOOKUP($A321,EntryList!$A$3:$N$291,7,FALSE),"")</f>
        <v/>
      </c>
      <c r="I321" s="220">
        <f t="shared" si="27"/>
        <v>0</v>
      </c>
      <c r="J321" s="58" t="str">
        <f>IFERROR(VLOOKUP($A321,SortedDownload!$A$3:$BB$219,31,FALSE)/86400000,"")</f>
        <v/>
      </c>
      <c r="K321" s="58" t="str">
        <f>IFERROR(IF(VLOOKUP($A321,SortedDownload!$A$3:$BB$219,32,FALSE)=0,"-",VLOOKUP($A321,SortedDownload!$A$3:$BB$219,32,FALSE)/86400000),"-")</f>
        <v>-</v>
      </c>
      <c r="L321" s="58" t="str">
        <f>IFERROR(IF(VLOOKUP($A321,SortedDownload!$A$3:$BB$219,33,FALSE)=0,"-",VLOOKUP($A321,SortedDownload!$A$3:$BB$219,33,FALSE)/86400000),"-")</f>
        <v>-</v>
      </c>
      <c r="M321" s="58" t="str">
        <f>IFERROR(IF(VLOOKUP($A321,SortedDownload!$A$3:$BB$219,34,FALSE)=0,"-",VLOOKUP($A321,SortedDownload!$A$3:$BB$219,34,FALSE)/86400000),"-")</f>
        <v>-</v>
      </c>
      <c r="N321" s="58" t="str">
        <f>IFERROR(IF(VLOOKUP($A321,SortedDownload!$A$3:$BB$219,35,FALSE)=0,"-",VLOOKUP($A321,SortedDownload!$A$3:$BB$219,35,FALSE)/86400000),"-")</f>
        <v>-</v>
      </c>
      <c r="O321" s="58" t="str">
        <f>IFERROR(IF(VLOOKUP($A321,SortedDownload!$A$3:$BB$219,36,FALSE)=0,"-",VLOOKUP($A321,SortedDownload!$A$3:$BB$219,36,FALSE)/86400000),"-")</f>
        <v>-</v>
      </c>
      <c r="P321" s="58" t="str">
        <f>IFERROR(IF(VLOOKUP($A321,SortedDownload!$A$3:$BB$219,37,FALSE)=0,"-",VLOOKUP($A321,SortedDownload!$A$3:$BB$219,37,FALSE)/86400000),"-")</f>
        <v>-</v>
      </c>
      <c r="Q321" s="58" t="str">
        <f>IFERROR(IF(VLOOKUP($A321,SortedDownload!$A$3:$BB$219,38,FALSE)=0,"-",VLOOKUP($A321,SortedDownload!$A$3:$BB$219,38,FALSE)/86400000),"-")</f>
        <v>-</v>
      </c>
      <c r="R321" s="58" t="str">
        <f>IFERROR(IF(VLOOKUP($A321,SortedDownload!$A$3:$BB$219,39,FALSE)=0,"-",VLOOKUP($A321,SortedDownload!$A$3:$BB$219,39,FALSE)/86400000),"-")</f>
        <v>-</v>
      </c>
      <c r="S321" s="58" t="str">
        <f>IFERROR(IF(VLOOKUP($A321,SortedDownload!$A$3:$BB$219,40,FALSE)=0,"-",VLOOKUP($A321,SortedDownload!$A$3:$BB$219,40,FALSE)/86400000),"-")</f>
        <v>-</v>
      </c>
      <c r="T321" s="58" t="str">
        <f>IFERROR(IF(VLOOKUP($A321,SortedDownload!$A$3:$BB$219,41,FALSE)=0,"-",VLOOKUP($A321,SortedDownload!$A$3:$BB$219,41,FALSE)/86400000),"-")</f>
        <v>-</v>
      </c>
      <c r="U321" s="58" t="str">
        <f>IFERROR(IF(VLOOKUP($A321,SortedDownload!$A$3:$BB$219,42,FALSE)=0,"-",VLOOKUP($A321,SortedDownload!$A$3:$BB$219,42,FALSE)/86400000),"-")</f>
        <v>-</v>
      </c>
      <c r="V321" s="58" t="str">
        <f>IFERROR(IF(VLOOKUP($A321,SortedDownload!$A$3:$BB$219,43,FALSE)=0,"-",VLOOKUP($A321,SortedDownload!$A$3:$BB$219,43,FALSE)/86400000),"-")</f>
        <v>-</v>
      </c>
      <c r="W321" s="58" t="str">
        <f>IFERROR(IF(VLOOKUP($A321,SortedDownload!$A$3:$BB$219,44,FALSE)=0,"-",VLOOKUP($A321,SortedDownload!$A$3:$BB$219,44,FALSE)/86400000),"-")</f>
        <v>-</v>
      </c>
      <c r="X321" s="58" t="str">
        <f>IFERROR(IF(VLOOKUP($A321,SortedDownload!$A$3:$BB$219,45,FALSE)=0,"-",VLOOKUP($A321,SortedDownload!$A$3:$BB$219,45,FALSE)/86400000),"-")</f>
        <v>-</v>
      </c>
      <c r="Y321" s="58" t="str">
        <f>IFERROR(VLOOKUP($A321,SortedDownload!$A$3:$BB$219,46,FALSE)/86400000,"")</f>
        <v/>
      </c>
      <c r="Z321" s="58" t="str">
        <f>IFERROR(Table932[[#This Row],[End Time]]-Table932[[#This Row],[Start Time]],"")</f>
        <v/>
      </c>
      <c r="AA321" s="58"/>
      <c r="AB321" s="170" t="e">
        <f t="shared" si="30"/>
        <v>#VALUE!</v>
      </c>
      <c r="AC321" s="170" t="e">
        <f t="shared" si="31"/>
        <v>#VALUE!</v>
      </c>
    </row>
  </sheetData>
  <mergeCells count="3">
    <mergeCell ref="A4:AC4"/>
    <mergeCell ref="A3:AC3"/>
    <mergeCell ref="A1:AC1"/>
  </mergeCell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2"/>
  <sheetViews>
    <sheetView workbookViewId="0">
      <selection sqref="A1:Z2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112</v>
      </c>
      <c r="B2">
        <v>80</v>
      </c>
      <c r="C2">
        <v>1</v>
      </c>
      <c r="D2" t="s">
        <v>676</v>
      </c>
      <c r="E2">
        <v>143525</v>
      </c>
      <c r="F2" t="s">
        <v>665</v>
      </c>
      <c r="G2" t="s">
        <v>209</v>
      </c>
      <c r="H2" t="s">
        <v>581</v>
      </c>
      <c r="I2">
        <v>4</v>
      </c>
      <c r="J2" t="s">
        <v>677</v>
      </c>
      <c r="K2" t="s">
        <v>677</v>
      </c>
      <c r="L2" t="s">
        <v>678</v>
      </c>
      <c r="M2" t="s">
        <v>679</v>
      </c>
      <c r="N2" t="s">
        <v>677</v>
      </c>
      <c r="O2" t="s">
        <v>680</v>
      </c>
      <c r="P2" t="s">
        <v>681</v>
      </c>
      <c r="Q2" t="s">
        <v>677</v>
      </c>
      <c r="R2" s="218">
        <v>6.5493171296296289E-3</v>
      </c>
      <c r="S2" s="219">
        <v>1.5972222222222224E-2</v>
      </c>
      <c r="T2" t="s">
        <v>682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9"/>
  <sheetViews>
    <sheetView workbookViewId="0">
      <selection sqref="A1:Z9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121</v>
      </c>
      <c r="B2">
        <v>68</v>
      </c>
      <c r="C2">
        <v>1</v>
      </c>
      <c r="D2" t="s">
        <v>683</v>
      </c>
      <c r="E2">
        <v>142669</v>
      </c>
      <c r="F2" t="s">
        <v>665</v>
      </c>
      <c r="G2" t="s">
        <v>209</v>
      </c>
      <c r="H2" t="s">
        <v>583</v>
      </c>
      <c r="I2">
        <v>4</v>
      </c>
      <c r="J2" t="s">
        <v>677</v>
      </c>
      <c r="K2" t="s">
        <v>677</v>
      </c>
      <c r="L2" t="s">
        <v>684</v>
      </c>
      <c r="M2" t="s">
        <v>685</v>
      </c>
      <c r="N2" t="s">
        <v>677</v>
      </c>
      <c r="O2" t="s">
        <v>686</v>
      </c>
      <c r="P2" t="s">
        <v>687</v>
      </c>
      <c r="Q2" t="s">
        <v>677</v>
      </c>
      <c r="R2" s="218">
        <v>5.2724884259259261E-3</v>
      </c>
      <c r="S2" t="s">
        <v>682</v>
      </c>
      <c r="T2" t="s">
        <v>682</v>
      </c>
    </row>
    <row r="3" spans="1:26">
      <c r="A3">
        <v>109</v>
      </c>
      <c r="B3">
        <v>69</v>
      </c>
      <c r="C3">
        <v>2</v>
      </c>
      <c r="D3" t="s">
        <v>688</v>
      </c>
      <c r="E3">
        <v>141659</v>
      </c>
      <c r="F3" t="s">
        <v>665</v>
      </c>
      <c r="G3" t="s">
        <v>209</v>
      </c>
      <c r="H3" t="s">
        <v>583</v>
      </c>
      <c r="I3">
        <v>4</v>
      </c>
      <c r="J3" t="s">
        <v>677</v>
      </c>
      <c r="K3" t="s">
        <v>677</v>
      </c>
      <c r="L3" t="s">
        <v>689</v>
      </c>
      <c r="M3" t="s">
        <v>690</v>
      </c>
      <c r="N3" t="s">
        <v>677</v>
      </c>
      <c r="O3" t="s">
        <v>691</v>
      </c>
      <c r="P3" t="s">
        <v>692</v>
      </c>
      <c r="Q3" t="s">
        <v>677</v>
      </c>
      <c r="R3" s="218">
        <v>5.3347453703703708E-3</v>
      </c>
      <c r="S3" s="219">
        <v>3.472222222222222E-3</v>
      </c>
      <c r="T3" t="s">
        <v>682</v>
      </c>
    </row>
    <row r="4" spans="1:26">
      <c r="A4">
        <v>167</v>
      </c>
      <c r="B4">
        <v>70</v>
      </c>
      <c r="C4">
        <v>3</v>
      </c>
      <c r="D4" t="s">
        <v>693</v>
      </c>
      <c r="E4">
        <v>142258</v>
      </c>
      <c r="F4" t="s">
        <v>665</v>
      </c>
      <c r="G4" t="s">
        <v>209</v>
      </c>
      <c r="H4" t="s">
        <v>583</v>
      </c>
      <c r="I4">
        <v>4</v>
      </c>
      <c r="J4" t="s">
        <v>677</v>
      </c>
      <c r="K4" t="s">
        <v>677</v>
      </c>
      <c r="L4" t="s">
        <v>694</v>
      </c>
      <c r="M4" t="s">
        <v>694</v>
      </c>
      <c r="N4" t="s">
        <v>677</v>
      </c>
      <c r="O4" t="s">
        <v>695</v>
      </c>
      <c r="P4" t="s">
        <v>696</v>
      </c>
      <c r="Q4" t="s">
        <v>677</v>
      </c>
      <c r="R4" s="218">
        <v>5.348599537037038E-3</v>
      </c>
      <c r="S4" s="219">
        <v>6.9444444444444447E-4</v>
      </c>
      <c r="T4" t="s">
        <v>682</v>
      </c>
    </row>
    <row r="5" spans="1:26">
      <c r="A5">
        <v>148</v>
      </c>
      <c r="B5">
        <v>72</v>
      </c>
      <c r="C5">
        <v>4</v>
      </c>
      <c r="D5" t="s">
        <v>697</v>
      </c>
      <c r="E5">
        <v>143557</v>
      </c>
      <c r="F5" t="s">
        <v>665</v>
      </c>
      <c r="G5" t="s">
        <v>209</v>
      </c>
      <c r="H5" t="s">
        <v>583</v>
      </c>
      <c r="I5">
        <v>4</v>
      </c>
      <c r="J5" t="s">
        <v>677</v>
      </c>
      <c r="K5" t="s">
        <v>677</v>
      </c>
      <c r="L5" t="s">
        <v>698</v>
      </c>
      <c r="M5" t="s">
        <v>699</v>
      </c>
      <c r="N5" t="s">
        <v>677</v>
      </c>
      <c r="O5" t="s">
        <v>700</v>
      </c>
      <c r="P5" t="s">
        <v>701</v>
      </c>
      <c r="Q5" t="s">
        <v>677</v>
      </c>
      <c r="R5" s="218">
        <v>5.4732291666666662E-3</v>
      </c>
      <c r="S5" s="219">
        <v>6.2499999999999995E-3</v>
      </c>
      <c r="T5" t="s">
        <v>682</v>
      </c>
    </row>
    <row r="6" spans="1:26">
      <c r="A6">
        <v>155</v>
      </c>
      <c r="B6">
        <v>76</v>
      </c>
      <c r="C6">
        <v>5</v>
      </c>
      <c r="D6" t="s">
        <v>702</v>
      </c>
      <c r="E6">
        <v>142499</v>
      </c>
      <c r="F6" t="s">
        <v>665</v>
      </c>
      <c r="G6" t="s">
        <v>209</v>
      </c>
      <c r="H6" t="s">
        <v>583</v>
      </c>
      <c r="I6">
        <v>4</v>
      </c>
      <c r="J6" t="s">
        <v>677</v>
      </c>
      <c r="K6" t="s">
        <v>677</v>
      </c>
      <c r="L6" t="s">
        <v>703</v>
      </c>
      <c r="M6" t="s">
        <v>704</v>
      </c>
      <c r="N6" t="s">
        <v>677</v>
      </c>
      <c r="O6" t="s">
        <v>705</v>
      </c>
      <c r="P6" t="s">
        <v>706</v>
      </c>
      <c r="Q6" t="s">
        <v>677</v>
      </c>
      <c r="R6" s="218">
        <v>5.8004861111111113E-3</v>
      </c>
      <c r="S6" s="219">
        <v>2.0833333333333333E-3</v>
      </c>
      <c r="T6" t="s">
        <v>682</v>
      </c>
    </row>
    <row r="7" spans="1:26">
      <c r="A7">
        <v>157</v>
      </c>
      <c r="B7">
        <v>77</v>
      </c>
      <c r="C7">
        <v>6</v>
      </c>
      <c r="D7" t="s">
        <v>613</v>
      </c>
      <c r="E7">
        <v>143526</v>
      </c>
      <c r="F7" t="s">
        <v>665</v>
      </c>
      <c r="G7" t="s">
        <v>209</v>
      </c>
      <c r="H7" t="s">
        <v>583</v>
      </c>
      <c r="I7">
        <v>4</v>
      </c>
      <c r="J7" t="s">
        <v>677</v>
      </c>
      <c r="K7" t="s">
        <v>677</v>
      </c>
      <c r="L7" t="s">
        <v>707</v>
      </c>
      <c r="M7" t="s">
        <v>708</v>
      </c>
      <c r="N7" t="s">
        <v>677</v>
      </c>
      <c r="O7" t="s">
        <v>709</v>
      </c>
      <c r="P7" t="s">
        <v>710</v>
      </c>
      <c r="Q7" t="s">
        <v>677</v>
      </c>
      <c r="R7" s="218">
        <v>5.8420601851851854E-3</v>
      </c>
      <c r="S7" s="219">
        <v>2.7777777777777779E-3</v>
      </c>
      <c r="T7" t="s">
        <v>682</v>
      </c>
    </row>
    <row r="8" spans="1:26">
      <c r="A8">
        <v>154</v>
      </c>
      <c r="B8">
        <v>78</v>
      </c>
      <c r="C8">
        <v>7</v>
      </c>
      <c r="D8" t="s">
        <v>711</v>
      </c>
      <c r="E8">
        <v>142500</v>
      </c>
      <c r="F8" t="s">
        <v>665</v>
      </c>
      <c r="G8" t="s">
        <v>209</v>
      </c>
      <c r="H8" t="s">
        <v>583</v>
      </c>
      <c r="I8">
        <v>4</v>
      </c>
      <c r="J8" t="s">
        <v>677</v>
      </c>
      <c r="K8" t="s">
        <v>677</v>
      </c>
      <c r="L8" t="s">
        <v>712</v>
      </c>
      <c r="M8" t="s">
        <v>713</v>
      </c>
      <c r="N8" t="s">
        <v>677</v>
      </c>
      <c r="O8" t="s">
        <v>714</v>
      </c>
      <c r="P8" t="s">
        <v>715</v>
      </c>
      <c r="Q8" t="s">
        <v>677</v>
      </c>
      <c r="R8" s="218">
        <v>6.0376504629629625E-3</v>
      </c>
      <c r="S8" s="219">
        <v>1.1805555555555555E-2</v>
      </c>
      <c r="T8" t="s">
        <v>682</v>
      </c>
    </row>
    <row r="9" spans="1:26">
      <c r="A9">
        <v>102</v>
      </c>
      <c r="B9">
        <v>87</v>
      </c>
      <c r="C9">
        <v>8</v>
      </c>
      <c r="D9" t="s">
        <v>716</v>
      </c>
      <c r="E9" t="s">
        <v>674</v>
      </c>
      <c r="F9" t="s">
        <v>665</v>
      </c>
      <c r="G9" t="s">
        <v>209</v>
      </c>
      <c r="H9" t="s">
        <v>583</v>
      </c>
      <c r="I9">
        <v>4</v>
      </c>
      <c r="J9" t="s">
        <v>677</v>
      </c>
      <c r="K9" t="s">
        <v>677</v>
      </c>
      <c r="L9" t="s">
        <v>717</v>
      </c>
      <c r="M9" t="s">
        <v>718</v>
      </c>
      <c r="N9" t="s">
        <v>677</v>
      </c>
      <c r="O9" t="s">
        <v>719</v>
      </c>
      <c r="P9" t="s">
        <v>720</v>
      </c>
      <c r="Q9" t="s">
        <v>677</v>
      </c>
      <c r="R9" s="218">
        <v>7.5831250000000005E-3</v>
      </c>
      <c r="S9" s="219">
        <v>8.3333333333333332E-3</v>
      </c>
      <c r="T9" t="s">
        <v>682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Z4"/>
  <sheetViews>
    <sheetView workbookViewId="0">
      <selection sqref="A1:Z4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133</v>
      </c>
      <c r="B2">
        <v>46</v>
      </c>
      <c r="C2">
        <v>1</v>
      </c>
      <c r="D2" t="s">
        <v>721</v>
      </c>
      <c r="E2">
        <v>143925</v>
      </c>
      <c r="F2" t="s">
        <v>667</v>
      </c>
      <c r="G2" t="s">
        <v>209</v>
      </c>
      <c r="H2" t="s">
        <v>585</v>
      </c>
      <c r="I2">
        <v>7</v>
      </c>
      <c r="J2" t="s">
        <v>722</v>
      </c>
      <c r="K2" t="s">
        <v>723</v>
      </c>
      <c r="L2" t="s">
        <v>724</v>
      </c>
      <c r="M2" t="s">
        <v>725</v>
      </c>
      <c r="N2" t="s">
        <v>726</v>
      </c>
      <c r="O2" t="s">
        <v>727</v>
      </c>
      <c r="P2" t="s">
        <v>728</v>
      </c>
      <c r="Q2" t="s">
        <v>677</v>
      </c>
      <c r="R2" s="218">
        <v>1.1762430555555555E-2</v>
      </c>
      <c r="S2" s="219">
        <v>1.3888888888888889E-3</v>
      </c>
      <c r="T2" s="219">
        <v>0.18541666666666667</v>
      </c>
    </row>
    <row r="3" spans="1:26">
      <c r="A3">
        <v>111</v>
      </c>
      <c r="B3">
        <v>58</v>
      </c>
      <c r="C3">
        <v>2</v>
      </c>
      <c r="D3" t="s">
        <v>729</v>
      </c>
      <c r="E3">
        <v>145949</v>
      </c>
      <c r="F3" t="s">
        <v>667</v>
      </c>
      <c r="G3" t="s">
        <v>209</v>
      </c>
      <c r="H3" t="s">
        <v>585</v>
      </c>
      <c r="I3">
        <v>7</v>
      </c>
      <c r="J3" t="s">
        <v>730</v>
      </c>
      <c r="K3" t="s">
        <v>731</v>
      </c>
      <c r="L3" t="s">
        <v>732</v>
      </c>
      <c r="M3" t="s">
        <v>733</v>
      </c>
      <c r="N3" t="s">
        <v>734</v>
      </c>
      <c r="O3" t="s">
        <v>735</v>
      </c>
      <c r="P3" t="s">
        <v>736</v>
      </c>
      <c r="Q3" t="s">
        <v>677</v>
      </c>
      <c r="R3" s="218">
        <v>1.283252314814815E-2</v>
      </c>
      <c r="S3" s="219">
        <v>5.5555555555555558E-3</v>
      </c>
      <c r="T3" s="219">
        <v>0.25</v>
      </c>
    </row>
    <row r="4" spans="1:26">
      <c r="A4">
        <v>199</v>
      </c>
      <c r="B4">
        <v>64</v>
      </c>
      <c r="C4">
        <v>3</v>
      </c>
      <c r="D4" t="s">
        <v>737</v>
      </c>
      <c r="E4">
        <v>146395</v>
      </c>
      <c r="F4" t="s">
        <v>665</v>
      </c>
      <c r="G4" t="s">
        <v>209</v>
      </c>
      <c r="H4" t="s">
        <v>585</v>
      </c>
      <c r="I4">
        <v>7</v>
      </c>
      <c r="J4" t="s">
        <v>738</v>
      </c>
      <c r="K4" t="s">
        <v>739</v>
      </c>
      <c r="L4" t="s">
        <v>740</v>
      </c>
      <c r="M4" t="s">
        <v>741</v>
      </c>
      <c r="N4" t="s">
        <v>742</v>
      </c>
      <c r="O4" t="s">
        <v>743</v>
      </c>
      <c r="P4" t="s">
        <v>744</v>
      </c>
      <c r="Q4" t="s">
        <v>677</v>
      </c>
      <c r="R4" s="218">
        <v>1.3495185185185185E-2</v>
      </c>
      <c r="S4" s="219">
        <v>1.3888888888888889E-3</v>
      </c>
      <c r="T4" s="219">
        <v>0.28958333333333336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Z15"/>
  <sheetViews>
    <sheetView workbookViewId="0">
      <selection sqref="A1:Z15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168</v>
      </c>
      <c r="B2">
        <v>11</v>
      </c>
      <c r="C2">
        <v>1</v>
      </c>
      <c r="D2" t="s">
        <v>745</v>
      </c>
      <c r="E2">
        <v>142257</v>
      </c>
      <c r="F2" t="s">
        <v>665</v>
      </c>
      <c r="G2" t="s">
        <v>209</v>
      </c>
      <c r="H2" t="s">
        <v>587</v>
      </c>
      <c r="I2">
        <v>7</v>
      </c>
      <c r="J2" t="s">
        <v>746</v>
      </c>
      <c r="K2" t="s">
        <v>747</v>
      </c>
      <c r="L2" t="s">
        <v>748</v>
      </c>
      <c r="M2" t="s">
        <v>749</v>
      </c>
      <c r="N2" t="s">
        <v>750</v>
      </c>
      <c r="O2" t="s">
        <v>751</v>
      </c>
      <c r="P2" t="s">
        <v>752</v>
      </c>
      <c r="Q2" t="s">
        <v>677</v>
      </c>
      <c r="R2" s="218">
        <v>9.5684606481481489E-3</v>
      </c>
      <c r="S2" s="219">
        <v>3.472222222222222E-3</v>
      </c>
      <c r="T2" s="219">
        <v>5.4166666666666669E-2</v>
      </c>
    </row>
    <row r="3" spans="1:26">
      <c r="A3">
        <v>141</v>
      </c>
      <c r="B3">
        <v>12</v>
      </c>
      <c r="C3">
        <v>2</v>
      </c>
      <c r="D3" t="s">
        <v>753</v>
      </c>
      <c r="E3">
        <v>142484</v>
      </c>
      <c r="F3" t="s">
        <v>665</v>
      </c>
      <c r="G3" t="s">
        <v>209</v>
      </c>
      <c r="H3" t="s">
        <v>587</v>
      </c>
      <c r="I3">
        <v>7</v>
      </c>
      <c r="J3" t="s">
        <v>754</v>
      </c>
      <c r="K3" t="s">
        <v>755</v>
      </c>
      <c r="L3" t="s">
        <v>756</v>
      </c>
      <c r="M3" t="s">
        <v>757</v>
      </c>
      <c r="N3" t="s">
        <v>758</v>
      </c>
      <c r="O3" t="s">
        <v>759</v>
      </c>
      <c r="P3" t="s">
        <v>760</v>
      </c>
      <c r="Q3" t="s">
        <v>677</v>
      </c>
      <c r="R3" s="218">
        <v>9.5895486111111112E-3</v>
      </c>
      <c r="S3" s="219">
        <v>1.3888888888888889E-3</v>
      </c>
      <c r="T3" s="219">
        <v>5.5555555555555552E-2</v>
      </c>
    </row>
    <row r="4" spans="1:26">
      <c r="A4">
        <v>197</v>
      </c>
      <c r="B4">
        <v>18</v>
      </c>
      <c r="C4">
        <v>3</v>
      </c>
      <c r="D4" t="s">
        <v>761</v>
      </c>
      <c r="E4">
        <v>141652</v>
      </c>
      <c r="F4" t="s">
        <v>665</v>
      </c>
      <c r="G4" t="s">
        <v>209</v>
      </c>
      <c r="H4" t="s">
        <v>587</v>
      </c>
      <c r="I4">
        <v>7</v>
      </c>
      <c r="J4" t="s">
        <v>762</v>
      </c>
      <c r="K4" t="s">
        <v>763</v>
      </c>
      <c r="L4" t="s">
        <v>764</v>
      </c>
      <c r="M4" t="s">
        <v>765</v>
      </c>
      <c r="N4" t="s">
        <v>766</v>
      </c>
      <c r="O4" t="s">
        <v>767</v>
      </c>
      <c r="P4" t="s">
        <v>768</v>
      </c>
      <c r="Q4" t="s">
        <v>677</v>
      </c>
      <c r="R4" s="218">
        <v>9.773657407407408E-3</v>
      </c>
      <c r="S4" s="219">
        <v>2.0833333333333333E-3</v>
      </c>
      <c r="T4" s="219">
        <v>6.5972222222222224E-2</v>
      </c>
    </row>
    <row r="5" spans="1:26">
      <c r="A5">
        <v>136</v>
      </c>
      <c r="B5">
        <v>19</v>
      </c>
      <c r="C5">
        <v>4</v>
      </c>
      <c r="D5" t="s">
        <v>769</v>
      </c>
      <c r="E5">
        <v>146391</v>
      </c>
      <c r="F5" t="s">
        <v>665</v>
      </c>
      <c r="G5" t="s">
        <v>209</v>
      </c>
      <c r="H5" t="s">
        <v>587</v>
      </c>
      <c r="I5">
        <v>7</v>
      </c>
      <c r="J5" t="s">
        <v>770</v>
      </c>
      <c r="K5" t="s">
        <v>771</v>
      </c>
      <c r="L5" t="s">
        <v>772</v>
      </c>
      <c r="M5" t="s">
        <v>773</v>
      </c>
      <c r="N5" t="s">
        <v>774</v>
      </c>
      <c r="O5" t="s">
        <v>775</v>
      </c>
      <c r="P5" t="s">
        <v>776</v>
      </c>
      <c r="Q5" t="s">
        <v>677</v>
      </c>
      <c r="R5" s="218">
        <v>9.863726851851851E-3</v>
      </c>
      <c r="S5" s="219">
        <v>5.5555555555555558E-3</v>
      </c>
      <c r="T5" s="219">
        <v>7.1527777777777787E-2</v>
      </c>
    </row>
    <row r="6" spans="1:26">
      <c r="A6">
        <v>192</v>
      </c>
      <c r="B6">
        <v>20</v>
      </c>
      <c r="C6">
        <v>5</v>
      </c>
      <c r="D6" t="s">
        <v>777</v>
      </c>
      <c r="E6">
        <v>143563</v>
      </c>
      <c r="F6" t="s">
        <v>665</v>
      </c>
      <c r="G6" t="s">
        <v>209</v>
      </c>
      <c r="H6" t="s">
        <v>587</v>
      </c>
      <c r="I6">
        <v>7</v>
      </c>
      <c r="J6" t="s">
        <v>778</v>
      </c>
      <c r="K6" t="s">
        <v>779</v>
      </c>
      <c r="L6" t="s">
        <v>780</v>
      </c>
      <c r="M6" t="s">
        <v>781</v>
      </c>
      <c r="N6" t="s">
        <v>782</v>
      </c>
      <c r="O6" t="s">
        <v>783</v>
      </c>
      <c r="P6" t="s">
        <v>784</v>
      </c>
      <c r="Q6" t="s">
        <v>677</v>
      </c>
      <c r="R6" s="218">
        <v>9.8668518518518523E-3</v>
      </c>
      <c r="S6" s="219">
        <v>0</v>
      </c>
      <c r="T6" s="219">
        <v>7.2222222222222229E-2</v>
      </c>
    </row>
    <row r="7" spans="1:26">
      <c r="A7">
        <v>103</v>
      </c>
      <c r="B7">
        <v>29</v>
      </c>
      <c r="C7">
        <v>6</v>
      </c>
      <c r="D7" t="s">
        <v>610</v>
      </c>
      <c r="E7">
        <v>143143</v>
      </c>
      <c r="F7" t="s">
        <v>665</v>
      </c>
      <c r="G7" t="s">
        <v>209</v>
      </c>
      <c r="H7" t="s">
        <v>587</v>
      </c>
      <c r="I7">
        <v>7</v>
      </c>
      <c r="J7" t="s">
        <v>785</v>
      </c>
      <c r="K7" t="s">
        <v>786</v>
      </c>
      <c r="L7" t="s">
        <v>787</v>
      </c>
      <c r="M7" t="s">
        <v>788</v>
      </c>
      <c r="N7" t="s">
        <v>789</v>
      </c>
      <c r="O7" t="s">
        <v>790</v>
      </c>
      <c r="P7" t="s">
        <v>791</v>
      </c>
      <c r="Q7" t="s">
        <v>677</v>
      </c>
      <c r="R7" s="218">
        <v>1.0321874999999999E-2</v>
      </c>
      <c r="S7" s="219">
        <v>4.8611111111111112E-3</v>
      </c>
      <c r="T7" s="219">
        <v>9.930555555555555E-2</v>
      </c>
    </row>
    <row r="8" spans="1:26">
      <c r="A8">
        <v>142</v>
      </c>
      <c r="B8">
        <v>32</v>
      </c>
      <c r="C8">
        <v>7</v>
      </c>
      <c r="D8" t="s">
        <v>792</v>
      </c>
      <c r="E8">
        <v>143701</v>
      </c>
      <c r="F8" t="s">
        <v>665</v>
      </c>
      <c r="G8" t="s">
        <v>209</v>
      </c>
      <c r="H8" t="s">
        <v>587</v>
      </c>
      <c r="I8">
        <v>7</v>
      </c>
      <c r="J8" t="s">
        <v>793</v>
      </c>
      <c r="K8" t="s">
        <v>794</v>
      </c>
      <c r="L8" t="s">
        <v>795</v>
      </c>
      <c r="M8" t="s">
        <v>796</v>
      </c>
      <c r="N8" t="s">
        <v>797</v>
      </c>
      <c r="O8" t="s">
        <v>798</v>
      </c>
      <c r="P8" t="s">
        <v>799</v>
      </c>
      <c r="Q8" t="s">
        <v>677</v>
      </c>
      <c r="R8" s="218">
        <v>1.0526331018518518E-2</v>
      </c>
      <c r="S8" s="219">
        <v>0</v>
      </c>
      <c r="T8" s="219">
        <v>0.11180555555555556</v>
      </c>
    </row>
    <row r="9" spans="1:26">
      <c r="A9">
        <v>184</v>
      </c>
      <c r="B9">
        <v>34</v>
      </c>
      <c r="C9">
        <v>8</v>
      </c>
      <c r="D9" t="s">
        <v>800</v>
      </c>
      <c r="E9">
        <v>143541</v>
      </c>
      <c r="F9" t="s">
        <v>665</v>
      </c>
      <c r="G9" t="s">
        <v>209</v>
      </c>
      <c r="H9" t="s">
        <v>587</v>
      </c>
      <c r="I9">
        <v>7</v>
      </c>
      <c r="J9" t="s">
        <v>801</v>
      </c>
      <c r="K9" t="s">
        <v>802</v>
      </c>
      <c r="L9" t="s">
        <v>803</v>
      </c>
      <c r="M9" t="s">
        <v>804</v>
      </c>
      <c r="N9" t="s">
        <v>805</v>
      </c>
      <c r="O9" t="s">
        <v>806</v>
      </c>
      <c r="P9" t="s">
        <v>807</v>
      </c>
      <c r="Q9" t="s">
        <v>677</v>
      </c>
      <c r="R9" s="218">
        <v>1.0782534722222223E-2</v>
      </c>
      <c r="S9" s="219">
        <v>6.2499999999999995E-3</v>
      </c>
      <c r="T9" s="219">
        <v>0.12708333333333333</v>
      </c>
    </row>
    <row r="10" spans="1:26">
      <c r="A10">
        <v>119</v>
      </c>
      <c r="B10">
        <v>37</v>
      </c>
      <c r="C10">
        <v>9</v>
      </c>
      <c r="D10" t="s">
        <v>808</v>
      </c>
      <c r="E10">
        <v>143285</v>
      </c>
      <c r="F10" t="s">
        <v>665</v>
      </c>
      <c r="G10" t="s">
        <v>209</v>
      </c>
      <c r="H10" t="s">
        <v>587</v>
      </c>
      <c r="I10">
        <v>7</v>
      </c>
      <c r="J10" t="s">
        <v>809</v>
      </c>
      <c r="K10" t="s">
        <v>810</v>
      </c>
      <c r="L10" t="s">
        <v>811</v>
      </c>
      <c r="M10" t="s">
        <v>812</v>
      </c>
      <c r="N10" t="s">
        <v>813</v>
      </c>
      <c r="O10" t="s">
        <v>814</v>
      </c>
      <c r="P10" t="s">
        <v>815</v>
      </c>
      <c r="Q10" t="s">
        <v>677</v>
      </c>
      <c r="R10" s="218">
        <v>1.0822152777777776E-2</v>
      </c>
      <c r="S10" s="219">
        <v>1.3888888888888889E-3</v>
      </c>
      <c r="T10" s="219">
        <v>0.12916666666666668</v>
      </c>
    </row>
    <row r="11" spans="1:26">
      <c r="A11">
        <v>120</v>
      </c>
      <c r="B11">
        <v>38</v>
      </c>
      <c r="C11">
        <v>10</v>
      </c>
      <c r="D11" t="s">
        <v>816</v>
      </c>
      <c r="E11">
        <v>143916</v>
      </c>
      <c r="F11" t="s">
        <v>665</v>
      </c>
      <c r="G11" t="s">
        <v>209</v>
      </c>
      <c r="H11" t="s">
        <v>587</v>
      </c>
      <c r="I11">
        <v>7</v>
      </c>
      <c r="J11" t="s">
        <v>817</v>
      </c>
      <c r="K11" t="s">
        <v>818</v>
      </c>
      <c r="L11" t="s">
        <v>819</v>
      </c>
      <c r="M11" t="s">
        <v>820</v>
      </c>
      <c r="N11" t="s">
        <v>821</v>
      </c>
      <c r="O11" t="s">
        <v>822</v>
      </c>
      <c r="P11" t="s">
        <v>823</v>
      </c>
      <c r="Q11" t="s">
        <v>677</v>
      </c>
      <c r="R11" s="218">
        <v>1.0846840277777778E-2</v>
      </c>
      <c r="S11" s="219">
        <v>1.3888888888888889E-3</v>
      </c>
      <c r="T11" s="219">
        <v>0.13055555555555556</v>
      </c>
    </row>
    <row r="12" spans="1:26">
      <c r="A12">
        <v>200</v>
      </c>
      <c r="B12">
        <v>48</v>
      </c>
      <c r="C12">
        <v>11</v>
      </c>
      <c r="D12" t="s">
        <v>824</v>
      </c>
      <c r="E12">
        <v>146394</v>
      </c>
      <c r="F12" t="s">
        <v>665</v>
      </c>
      <c r="G12" t="s">
        <v>209</v>
      </c>
      <c r="H12" t="s">
        <v>587</v>
      </c>
      <c r="I12">
        <v>7</v>
      </c>
      <c r="J12" t="s">
        <v>825</v>
      </c>
      <c r="K12" t="s">
        <v>826</v>
      </c>
      <c r="L12" t="s">
        <v>827</v>
      </c>
      <c r="M12" t="s">
        <v>828</v>
      </c>
      <c r="N12" t="s">
        <v>829</v>
      </c>
      <c r="O12" t="s">
        <v>830</v>
      </c>
      <c r="P12" t="s">
        <v>831</v>
      </c>
      <c r="Q12" t="s">
        <v>677</v>
      </c>
      <c r="R12" s="218">
        <v>1.1890729166666668E-2</v>
      </c>
      <c r="S12" s="219">
        <v>6.2499999999999995E-3</v>
      </c>
      <c r="T12" s="219">
        <v>0.19305555555555554</v>
      </c>
    </row>
    <row r="13" spans="1:26">
      <c r="A13">
        <v>130</v>
      </c>
      <c r="B13">
        <v>50</v>
      </c>
      <c r="C13">
        <v>12</v>
      </c>
      <c r="D13" t="s">
        <v>832</v>
      </c>
      <c r="E13">
        <v>144066</v>
      </c>
      <c r="F13" t="s">
        <v>667</v>
      </c>
      <c r="G13" t="s">
        <v>209</v>
      </c>
      <c r="H13" t="s">
        <v>587</v>
      </c>
      <c r="I13">
        <v>7</v>
      </c>
      <c r="J13" t="s">
        <v>833</v>
      </c>
      <c r="K13" t="s">
        <v>834</v>
      </c>
      <c r="L13" t="s">
        <v>835</v>
      </c>
      <c r="M13" t="s">
        <v>836</v>
      </c>
      <c r="N13" t="s">
        <v>837</v>
      </c>
      <c r="O13" t="s">
        <v>838</v>
      </c>
      <c r="P13" t="s">
        <v>839</v>
      </c>
      <c r="Q13" t="s">
        <v>677</v>
      </c>
      <c r="R13" s="218">
        <v>1.1996805555555557E-2</v>
      </c>
      <c r="S13" s="219">
        <v>1.3888888888888889E-3</v>
      </c>
      <c r="T13" s="219">
        <v>0.19999999999999998</v>
      </c>
    </row>
    <row r="14" spans="1:26">
      <c r="A14">
        <v>173</v>
      </c>
      <c r="B14">
        <v>53</v>
      </c>
      <c r="C14">
        <v>13</v>
      </c>
      <c r="D14" t="s">
        <v>840</v>
      </c>
      <c r="E14">
        <v>144017</v>
      </c>
      <c r="F14" t="s">
        <v>667</v>
      </c>
      <c r="G14" t="s">
        <v>209</v>
      </c>
      <c r="H14" t="s">
        <v>587</v>
      </c>
      <c r="I14">
        <v>7</v>
      </c>
      <c r="J14" t="s">
        <v>841</v>
      </c>
      <c r="K14" t="s">
        <v>842</v>
      </c>
      <c r="L14" t="s">
        <v>843</v>
      </c>
      <c r="M14" t="s">
        <v>844</v>
      </c>
      <c r="N14" t="s">
        <v>845</v>
      </c>
      <c r="O14" t="s">
        <v>846</v>
      </c>
      <c r="P14" t="s">
        <v>847</v>
      </c>
      <c r="Q14" t="s">
        <v>677</v>
      </c>
      <c r="R14" s="218">
        <v>1.232164351851852E-2</v>
      </c>
      <c r="S14" s="219">
        <v>1.0416666666666666E-2</v>
      </c>
      <c r="T14" s="219">
        <v>0.21944444444444444</v>
      </c>
    </row>
    <row r="15" spans="1:26">
      <c r="A15">
        <v>189</v>
      </c>
      <c r="B15">
        <v>57</v>
      </c>
      <c r="C15">
        <v>14</v>
      </c>
      <c r="D15" t="s">
        <v>848</v>
      </c>
      <c r="E15">
        <v>145160</v>
      </c>
      <c r="F15" t="s">
        <v>665</v>
      </c>
      <c r="G15" t="s">
        <v>209</v>
      </c>
      <c r="H15" t="s">
        <v>587</v>
      </c>
      <c r="I15">
        <v>7</v>
      </c>
      <c r="J15" t="s">
        <v>849</v>
      </c>
      <c r="K15" t="s">
        <v>850</v>
      </c>
      <c r="L15" t="s">
        <v>851</v>
      </c>
      <c r="M15" t="s">
        <v>852</v>
      </c>
      <c r="N15" t="s">
        <v>853</v>
      </c>
      <c r="O15" t="s">
        <v>854</v>
      </c>
      <c r="P15" t="s">
        <v>855</v>
      </c>
      <c r="Q15" t="s">
        <v>677</v>
      </c>
      <c r="R15" s="218">
        <v>1.2737650462962963E-2</v>
      </c>
      <c r="S15" s="219">
        <v>2.7777777777777779E-3</v>
      </c>
      <c r="T15" s="219">
        <v>0.24444444444444446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Z6"/>
  <sheetViews>
    <sheetView workbookViewId="0">
      <selection sqref="A1:Z6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196</v>
      </c>
      <c r="B2">
        <v>6</v>
      </c>
      <c r="C2">
        <v>1</v>
      </c>
      <c r="D2" t="s">
        <v>856</v>
      </c>
      <c r="E2">
        <v>139967</v>
      </c>
      <c r="F2" t="s">
        <v>665</v>
      </c>
      <c r="G2" t="s">
        <v>209</v>
      </c>
      <c r="H2" t="s">
        <v>320</v>
      </c>
      <c r="I2">
        <v>7</v>
      </c>
      <c r="J2" t="s">
        <v>857</v>
      </c>
      <c r="K2" t="s">
        <v>858</v>
      </c>
      <c r="L2" t="s">
        <v>859</v>
      </c>
      <c r="M2" t="s">
        <v>860</v>
      </c>
      <c r="N2" t="s">
        <v>861</v>
      </c>
      <c r="O2" t="s">
        <v>862</v>
      </c>
      <c r="P2" t="s">
        <v>863</v>
      </c>
      <c r="Q2" t="s">
        <v>677</v>
      </c>
      <c r="R2" s="218">
        <v>9.3519212962962957E-3</v>
      </c>
      <c r="S2" s="219">
        <v>7.6388888888888886E-3</v>
      </c>
      <c r="T2" s="219">
        <v>4.0972222222222222E-2</v>
      </c>
    </row>
    <row r="3" spans="1:26">
      <c r="A3">
        <v>159</v>
      </c>
      <c r="B3">
        <v>7</v>
      </c>
      <c r="C3">
        <v>2</v>
      </c>
      <c r="D3" t="s">
        <v>608</v>
      </c>
      <c r="E3">
        <v>143062</v>
      </c>
      <c r="F3" t="s">
        <v>665</v>
      </c>
      <c r="G3" t="s">
        <v>209</v>
      </c>
      <c r="H3" t="s">
        <v>320</v>
      </c>
      <c r="I3">
        <v>7</v>
      </c>
      <c r="J3" t="s">
        <v>864</v>
      </c>
      <c r="K3" t="s">
        <v>865</v>
      </c>
      <c r="L3" t="s">
        <v>866</v>
      </c>
      <c r="M3" t="s">
        <v>867</v>
      </c>
      <c r="N3" t="s">
        <v>868</v>
      </c>
      <c r="O3" t="s">
        <v>869</v>
      </c>
      <c r="P3" t="s">
        <v>870</v>
      </c>
      <c r="Q3" t="s">
        <v>677</v>
      </c>
      <c r="R3" s="218">
        <v>9.3893981481481485E-3</v>
      </c>
      <c r="S3" s="219">
        <v>2.0833333333333333E-3</v>
      </c>
      <c r="T3" s="219">
        <v>4.3055555555555562E-2</v>
      </c>
    </row>
    <row r="4" spans="1:26">
      <c r="A4">
        <v>187</v>
      </c>
      <c r="B4">
        <v>8</v>
      </c>
      <c r="C4">
        <v>3</v>
      </c>
      <c r="D4" t="s">
        <v>871</v>
      </c>
      <c r="E4">
        <v>140739</v>
      </c>
      <c r="F4" t="s">
        <v>667</v>
      </c>
      <c r="G4" t="s">
        <v>209</v>
      </c>
      <c r="H4" t="s">
        <v>320</v>
      </c>
      <c r="I4">
        <v>7</v>
      </c>
      <c r="J4" t="s">
        <v>872</v>
      </c>
      <c r="K4" t="s">
        <v>873</v>
      </c>
      <c r="L4" t="s">
        <v>874</v>
      </c>
      <c r="M4" t="s">
        <v>875</v>
      </c>
      <c r="N4" t="s">
        <v>876</v>
      </c>
      <c r="O4" t="s">
        <v>877</v>
      </c>
      <c r="P4" t="s">
        <v>878</v>
      </c>
      <c r="Q4" t="s">
        <v>677</v>
      </c>
      <c r="R4" s="218">
        <v>9.4938888888888903E-3</v>
      </c>
      <c r="S4" s="219">
        <v>6.2499999999999995E-3</v>
      </c>
      <c r="T4" s="219">
        <v>4.9305555555555554E-2</v>
      </c>
    </row>
    <row r="5" spans="1:26">
      <c r="A5">
        <v>110</v>
      </c>
      <c r="B5">
        <v>13</v>
      </c>
      <c r="C5">
        <v>4</v>
      </c>
      <c r="D5" t="s">
        <v>879</v>
      </c>
      <c r="E5">
        <v>144072</v>
      </c>
      <c r="F5" t="s">
        <v>665</v>
      </c>
      <c r="G5" t="s">
        <v>209</v>
      </c>
      <c r="H5" t="s">
        <v>320</v>
      </c>
      <c r="I5">
        <v>7</v>
      </c>
      <c r="J5" t="s">
        <v>880</v>
      </c>
      <c r="K5" t="s">
        <v>881</v>
      </c>
      <c r="L5" t="s">
        <v>882</v>
      </c>
      <c r="M5" t="s">
        <v>883</v>
      </c>
      <c r="N5" t="s">
        <v>884</v>
      </c>
      <c r="O5" t="s">
        <v>885</v>
      </c>
      <c r="P5" t="s">
        <v>886</v>
      </c>
      <c r="Q5" t="s">
        <v>677</v>
      </c>
      <c r="R5" s="218">
        <v>9.6192129629629631E-3</v>
      </c>
      <c r="S5" s="219">
        <v>2.0833333333333333E-3</v>
      </c>
      <c r="T5" s="219">
        <v>5.6944444444444443E-2</v>
      </c>
    </row>
    <row r="6" spans="1:26">
      <c r="A6">
        <v>140</v>
      </c>
      <c r="B6" t="s">
        <v>887</v>
      </c>
      <c r="C6">
        <v>5</v>
      </c>
      <c r="D6" t="s">
        <v>888</v>
      </c>
      <c r="E6">
        <v>140980</v>
      </c>
      <c r="F6" t="s">
        <v>665</v>
      </c>
      <c r="G6" t="s">
        <v>209</v>
      </c>
      <c r="H6" t="s">
        <v>320</v>
      </c>
      <c r="I6">
        <v>0</v>
      </c>
      <c r="J6" t="s">
        <v>677</v>
      </c>
      <c r="K6" t="s">
        <v>677</v>
      </c>
      <c r="L6" t="s">
        <v>677</v>
      </c>
      <c r="M6" t="s">
        <v>677</v>
      </c>
      <c r="N6" t="s">
        <v>677</v>
      </c>
      <c r="O6" t="s">
        <v>677</v>
      </c>
      <c r="P6" t="s">
        <v>677</v>
      </c>
      <c r="Q6" t="s">
        <v>677</v>
      </c>
      <c r="R6" s="218">
        <v>0</v>
      </c>
      <c r="S6" s="219">
        <v>0</v>
      </c>
      <c r="T6" t="s">
        <v>682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Z6"/>
  <sheetViews>
    <sheetView workbookViewId="0">
      <selection sqref="A1:Z6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175</v>
      </c>
      <c r="B2">
        <v>3</v>
      </c>
      <c r="C2">
        <v>1</v>
      </c>
      <c r="D2" t="s">
        <v>607</v>
      </c>
      <c r="E2">
        <v>141758</v>
      </c>
      <c r="F2" t="s">
        <v>665</v>
      </c>
      <c r="G2" t="s">
        <v>209</v>
      </c>
      <c r="H2" t="s">
        <v>615</v>
      </c>
      <c r="I2">
        <v>7</v>
      </c>
      <c r="J2" t="s">
        <v>889</v>
      </c>
      <c r="K2" t="s">
        <v>890</v>
      </c>
      <c r="L2" t="s">
        <v>891</v>
      </c>
      <c r="M2" t="s">
        <v>892</v>
      </c>
      <c r="N2" t="s">
        <v>893</v>
      </c>
      <c r="O2" t="s">
        <v>894</v>
      </c>
      <c r="P2" t="s">
        <v>895</v>
      </c>
      <c r="Q2" t="s">
        <v>677</v>
      </c>
      <c r="R2" s="218">
        <v>8.988368055555555E-3</v>
      </c>
      <c r="S2" s="219">
        <v>6.9444444444444447E-4</v>
      </c>
      <c r="T2" s="219">
        <v>1.9444444444444445E-2</v>
      </c>
    </row>
    <row r="3" spans="1:26">
      <c r="A3">
        <v>2</v>
      </c>
      <c r="B3">
        <v>5</v>
      </c>
      <c r="C3">
        <v>2</v>
      </c>
      <c r="D3" t="s">
        <v>896</v>
      </c>
      <c r="E3">
        <v>130617</v>
      </c>
      <c r="F3" t="s">
        <v>665</v>
      </c>
      <c r="G3" t="s">
        <v>209</v>
      </c>
      <c r="H3" t="s">
        <v>615</v>
      </c>
      <c r="I3">
        <v>7</v>
      </c>
      <c r="J3" t="s">
        <v>897</v>
      </c>
      <c r="K3" t="s">
        <v>898</v>
      </c>
      <c r="L3" t="s">
        <v>899</v>
      </c>
      <c r="M3" t="s">
        <v>900</v>
      </c>
      <c r="N3" t="s">
        <v>901</v>
      </c>
      <c r="O3" t="s">
        <v>902</v>
      </c>
      <c r="P3" t="s">
        <v>903</v>
      </c>
      <c r="Q3" t="s">
        <v>677</v>
      </c>
      <c r="R3" s="218">
        <v>9.2196759259259263E-3</v>
      </c>
      <c r="S3" s="219">
        <v>1.2499999999999999E-2</v>
      </c>
      <c r="T3" s="219">
        <v>3.3333333333333333E-2</v>
      </c>
    </row>
    <row r="4" spans="1:26">
      <c r="A4">
        <v>171</v>
      </c>
      <c r="B4">
        <v>16</v>
      </c>
      <c r="C4">
        <v>3</v>
      </c>
      <c r="D4" t="s">
        <v>904</v>
      </c>
      <c r="E4">
        <v>101145</v>
      </c>
      <c r="F4" t="s">
        <v>665</v>
      </c>
      <c r="G4" t="s">
        <v>209</v>
      </c>
      <c r="H4" t="s">
        <v>615</v>
      </c>
      <c r="I4">
        <v>7</v>
      </c>
      <c r="J4" t="s">
        <v>905</v>
      </c>
      <c r="K4" t="s">
        <v>906</v>
      </c>
      <c r="L4" t="s">
        <v>907</v>
      </c>
      <c r="M4" t="s">
        <v>908</v>
      </c>
      <c r="N4" t="s">
        <v>909</v>
      </c>
      <c r="O4" t="s">
        <v>910</v>
      </c>
      <c r="P4" t="s">
        <v>911</v>
      </c>
      <c r="Q4" t="s">
        <v>677</v>
      </c>
      <c r="R4" s="218">
        <v>9.7363773148148158E-3</v>
      </c>
      <c r="S4" s="219">
        <v>2.7777777777777779E-3</v>
      </c>
      <c r="T4" s="219">
        <v>6.3888888888888884E-2</v>
      </c>
    </row>
    <row r="5" spans="1:26">
      <c r="A5">
        <v>174</v>
      </c>
      <c r="B5">
        <v>35</v>
      </c>
      <c r="C5">
        <v>4</v>
      </c>
      <c r="D5" t="s">
        <v>912</v>
      </c>
      <c r="E5">
        <v>146450</v>
      </c>
      <c r="F5" t="s">
        <v>665</v>
      </c>
      <c r="G5" t="s">
        <v>209</v>
      </c>
      <c r="H5" t="s">
        <v>615</v>
      </c>
      <c r="I5">
        <v>7</v>
      </c>
      <c r="J5" t="s">
        <v>913</v>
      </c>
      <c r="K5" t="s">
        <v>914</v>
      </c>
      <c r="L5" t="s">
        <v>915</v>
      </c>
      <c r="M5" t="s">
        <v>916</v>
      </c>
      <c r="N5" t="s">
        <v>917</v>
      </c>
      <c r="O5" t="s">
        <v>918</v>
      </c>
      <c r="P5" t="s">
        <v>919</v>
      </c>
      <c r="Q5" t="s">
        <v>677</v>
      </c>
      <c r="R5" s="218">
        <v>1.0794548611111112E-2</v>
      </c>
      <c r="S5" s="219">
        <v>6.9444444444444447E-4</v>
      </c>
      <c r="T5" s="219">
        <v>0.1277777777777778</v>
      </c>
    </row>
    <row r="6" spans="1:26">
      <c r="A6">
        <v>124</v>
      </c>
      <c r="B6">
        <v>42</v>
      </c>
      <c r="C6">
        <v>5</v>
      </c>
      <c r="D6" t="s">
        <v>920</v>
      </c>
      <c r="E6">
        <v>141842</v>
      </c>
      <c r="F6" t="s">
        <v>665</v>
      </c>
      <c r="G6" t="s">
        <v>209</v>
      </c>
      <c r="H6" t="s">
        <v>615</v>
      </c>
      <c r="I6">
        <v>7</v>
      </c>
      <c r="J6" t="s">
        <v>921</v>
      </c>
      <c r="K6" t="s">
        <v>922</v>
      </c>
      <c r="L6" t="s">
        <v>923</v>
      </c>
      <c r="M6" t="s">
        <v>924</v>
      </c>
      <c r="N6" t="s">
        <v>925</v>
      </c>
      <c r="O6" t="s">
        <v>926</v>
      </c>
      <c r="P6" t="s">
        <v>927</v>
      </c>
      <c r="Q6" t="s">
        <v>677</v>
      </c>
      <c r="R6" s="218">
        <v>1.1000196759259258E-2</v>
      </c>
      <c r="S6" s="219">
        <v>4.1666666666666666E-3</v>
      </c>
      <c r="T6" s="219">
        <v>0.13958333333333334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Z5"/>
  <sheetViews>
    <sheetView workbookViewId="0">
      <selection sqref="A1:Z5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134</v>
      </c>
      <c r="B2">
        <v>4</v>
      </c>
      <c r="C2">
        <v>1</v>
      </c>
      <c r="D2" t="s">
        <v>928</v>
      </c>
      <c r="E2">
        <v>66855</v>
      </c>
      <c r="F2" t="s">
        <v>667</v>
      </c>
      <c r="G2" t="s">
        <v>209</v>
      </c>
      <c r="H2" t="s">
        <v>590</v>
      </c>
      <c r="I2">
        <v>7</v>
      </c>
      <c r="J2" t="s">
        <v>929</v>
      </c>
      <c r="K2" t="s">
        <v>930</v>
      </c>
      <c r="L2" t="s">
        <v>931</v>
      </c>
      <c r="M2" t="s">
        <v>932</v>
      </c>
      <c r="N2" t="s">
        <v>933</v>
      </c>
      <c r="O2" t="s">
        <v>934</v>
      </c>
      <c r="P2" t="s">
        <v>935</v>
      </c>
      <c r="Q2" t="s">
        <v>677</v>
      </c>
      <c r="R2" s="218">
        <v>9.0150810185185195E-3</v>
      </c>
      <c r="S2" s="219">
        <v>1.3888888888888889E-3</v>
      </c>
      <c r="T2" s="219">
        <v>2.0833333333333332E-2</v>
      </c>
    </row>
    <row r="3" spans="1:26">
      <c r="A3">
        <v>104</v>
      </c>
      <c r="B3">
        <v>9</v>
      </c>
      <c r="C3">
        <v>2</v>
      </c>
      <c r="D3" t="s">
        <v>936</v>
      </c>
      <c r="E3">
        <v>143139</v>
      </c>
      <c r="F3" t="s">
        <v>665</v>
      </c>
      <c r="G3" t="s">
        <v>209</v>
      </c>
      <c r="H3" t="s">
        <v>590</v>
      </c>
      <c r="I3">
        <v>7</v>
      </c>
      <c r="J3" t="s">
        <v>937</v>
      </c>
      <c r="K3" t="s">
        <v>938</v>
      </c>
      <c r="L3" t="s">
        <v>939</v>
      </c>
      <c r="M3" t="s">
        <v>940</v>
      </c>
      <c r="N3" t="s">
        <v>941</v>
      </c>
      <c r="O3" t="s">
        <v>942</v>
      </c>
      <c r="P3" t="s">
        <v>943</v>
      </c>
      <c r="Q3" t="s">
        <v>677</v>
      </c>
      <c r="R3" s="218">
        <v>9.4958449074074077E-3</v>
      </c>
      <c r="S3" s="219">
        <v>0</v>
      </c>
      <c r="T3" s="219">
        <v>4.9305555555555554E-2</v>
      </c>
    </row>
    <row r="4" spans="1:26">
      <c r="A4">
        <v>190</v>
      </c>
      <c r="B4">
        <v>15</v>
      </c>
      <c r="C4">
        <v>3</v>
      </c>
      <c r="D4" t="s">
        <v>944</v>
      </c>
      <c r="E4">
        <v>47611</v>
      </c>
      <c r="F4" t="s">
        <v>665</v>
      </c>
      <c r="G4" t="s">
        <v>209</v>
      </c>
      <c r="H4" t="s">
        <v>590</v>
      </c>
      <c r="I4">
        <v>7</v>
      </c>
      <c r="J4" t="s">
        <v>945</v>
      </c>
      <c r="K4" t="s">
        <v>946</v>
      </c>
      <c r="L4" t="s">
        <v>947</v>
      </c>
      <c r="M4" t="s">
        <v>948</v>
      </c>
      <c r="N4" t="s">
        <v>949</v>
      </c>
      <c r="O4" t="s">
        <v>950</v>
      </c>
      <c r="P4" t="s">
        <v>951</v>
      </c>
      <c r="Q4" t="s">
        <v>677</v>
      </c>
      <c r="R4" s="218">
        <v>9.6848148148148145E-3</v>
      </c>
      <c r="S4" s="219">
        <v>6.9444444444444447E-4</v>
      </c>
      <c r="T4" s="219">
        <v>6.1111111111111116E-2</v>
      </c>
    </row>
    <row r="5" spans="1:26">
      <c r="A5">
        <v>138</v>
      </c>
      <c r="B5">
        <v>52</v>
      </c>
      <c r="C5">
        <v>4</v>
      </c>
      <c r="D5" t="s">
        <v>952</v>
      </c>
      <c r="E5">
        <v>143529</v>
      </c>
      <c r="F5" t="s">
        <v>665</v>
      </c>
      <c r="G5" t="s">
        <v>209</v>
      </c>
      <c r="H5" t="s">
        <v>590</v>
      </c>
      <c r="I5">
        <v>7</v>
      </c>
      <c r="J5" t="s">
        <v>953</v>
      </c>
      <c r="K5" t="s">
        <v>954</v>
      </c>
      <c r="L5" t="s">
        <v>955</v>
      </c>
      <c r="M5" t="s">
        <v>956</v>
      </c>
      <c r="N5" t="s">
        <v>957</v>
      </c>
      <c r="O5" t="s">
        <v>958</v>
      </c>
      <c r="P5" t="s">
        <v>959</v>
      </c>
      <c r="Q5" t="s">
        <v>677</v>
      </c>
      <c r="R5" s="218">
        <v>1.2153657407407406E-2</v>
      </c>
      <c r="S5" s="219">
        <v>7.6388888888888886E-3</v>
      </c>
      <c r="T5" s="219">
        <v>0.20902777777777778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Z15"/>
  <sheetViews>
    <sheetView workbookViewId="0">
      <selection sqref="A1:Z15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146</v>
      </c>
      <c r="B2">
        <v>1</v>
      </c>
      <c r="C2">
        <v>1</v>
      </c>
      <c r="D2" t="s">
        <v>960</v>
      </c>
      <c r="E2">
        <v>111383</v>
      </c>
      <c r="F2" t="s">
        <v>665</v>
      </c>
      <c r="G2" t="s">
        <v>209</v>
      </c>
      <c r="H2" t="s">
        <v>562</v>
      </c>
      <c r="I2">
        <v>7</v>
      </c>
      <c r="J2" t="s">
        <v>961</v>
      </c>
      <c r="K2" t="s">
        <v>962</v>
      </c>
      <c r="L2" t="s">
        <v>963</v>
      </c>
      <c r="M2" t="s">
        <v>964</v>
      </c>
      <c r="N2" t="s">
        <v>965</v>
      </c>
      <c r="O2" t="s">
        <v>966</v>
      </c>
      <c r="P2" t="s">
        <v>967</v>
      </c>
      <c r="Q2" t="s">
        <v>677</v>
      </c>
      <c r="R2" s="218">
        <v>8.6685763888888889E-3</v>
      </c>
      <c r="S2" t="s">
        <v>682</v>
      </c>
      <c r="T2" t="e">
        <v>#REF!</v>
      </c>
    </row>
    <row r="3" spans="1:26">
      <c r="A3">
        <v>143</v>
      </c>
      <c r="B3">
        <v>2</v>
      </c>
      <c r="C3">
        <v>2</v>
      </c>
      <c r="D3" t="s">
        <v>968</v>
      </c>
      <c r="E3">
        <v>135988</v>
      </c>
      <c r="F3" t="s">
        <v>665</v>
      </c>
      <c r="G3" t="s">
        <v>209</v>
      </c>
      <c r="H3" t="s">
        <v>562</v>
      </c>
      <c r="I3">
        <v>7</v>
      </c>
      <c r="J3" t="s">
        <v>969</v>
      </c>
      <c r="K3" t="s">
        <v>970</v>
      </c>
      <c r="L3" t="s">
        <v>971</v>
      </c>
      <c r="M3" t="s">
        <v>972</v>
      </c>
      <c r="N3" t="s">
        <v>973</v>
      </c>
      <c r="O3" t="s">
        <v>974</v>
      </c>
      <c r="P3" t="s">
        <v>975</v>
      </c>
      <c r="Q3" t="s">
        <v>677</v>
      </c>
      <c r="R3" s="218">
        <v>8.977835648148148E-3</v>
      </c>
      <c r="S3" s="219">
        <v>1.8749999999999999E-2</v>
      </c>
      <c r="T3" s="219">
        <v>1.8749999999999999E-2</v>
      </c>
    </row>
    <row r="4" spans="1:26">
      <c r="A4">
        <v>181</v>
      </c>
      <c r="B4">
        <v>10</v>
      </c>
      <c r="C4">
        <v>3</v>
      </c>
      <c r="D4" t="s">
        <v>976</v>
      </c>
      <c r="E4">
        <v>10076</v>
      </c>
      <c r="F4" t="s">
        <v>665</v>
      </c>
      <c r="G4" t="s">
        <v>209</v>
      </c>
      <c r="H4" t="s">
        <v>562</v>
      </c>
      <c r="I4">
        <v>7</v>
      </c>
      <c r="J4" t="s">
        <v>977</v>
      </c>
      <c r="K4" t="s">
        <v>978</v>
      </c>
      <c r="L4" t="s">
        <v>979</v>
      </c>
      <c r="M4" t="s">
        <v>980</v>
      </c>
      <c r="N4" t="s">
        <v>981</v>
      </c>
      <c r="O4" t="s">
        <v>982</v>
      </c>
      <c r="P4" t="s">
        <v>983</v>
      </c>
      <c r="Q4" t="s">
        <v>677</v>
      </c>
      <c r="R4" s="218">
        <v>9.5161689814814814E-3</v>
      </c>
      <c r="S4" s="219">
        <v>1.3888888888888889E-3</v>
      </c>
      <c r="T4" s="219">
        <v>5.0694444444444452E-2</v>
      </c>
    </row>
    <row r="5" spans="1:26">
      <c r="A5">
        <v>116</v>
      </c>
      <c r="B5">
        <v>14</v>
      </c>
      <c r="C5">
        <v>4</v>
      </c>
      <c r="D5" t="s">
        <v>984</v>
      </c>
      <c r="E5">
        <v>93222</v>
      </c>
      <c r="F5" t="s">
        <v>665</v>
      </c>
      <c r="G5" t="s">
        <v>209</v>
      </c>
      <c r="H5" t="s">
        <v>562</v>
      </c>
      <c r="I5">
        <v>7</v>
      </c>
      <c r="J5" t="s">
        <v>985</v>
      </c>
      <c r="K5" t="s">
        <v>986</v>
      </c>
      <c r="L5" t="s">
        <v>987</v>
      </c>
      <c r="M5" t="s">
        <v>988</v>
      </c>
      <c r="N5" t="s">
        <v>989</v>
      </c>
      <c r="O5" t="s">
        <v>990</v>
      </c>
      <c r="P5" t="s">
        <v>991</v>
      </c>
      <c r="Q5" t="s">
        <v>677</v>
      </c>
      <c r="R5" s="218">
        <v>9.670092592592593E-3</v>
      </c>
      <c r="S5" s="219">
        <v>2.7777777777777779E-3</v>
      </c>
      <c r="T5" s="219">
        <v>6.0416666666666667E-2</v>
      </c>
    </row>
    <row r="6" spans="1:26">
      <c r="A6">
        <v>158</v>
      </c>
      <c r="B6">
        <v>23</v>
      </c>
      <c r="C6">
        <v>5</v>
      </c>
      <c r="D6" t="s">
        <v>612</v>
      </c>
      <c r="E6">
        <v>118244</v>
      </c>
      <c r="F6" t="s">
        <v>665</v>
      </c>
      <c r="G6" t="s">
        <v>209</v>
      </c>
      <c r="H6" t="s">
        <v>562</v>
      </c>
      <c r="I6">
        <v>7</v>
      </c>
      <c r="J6" t="s">
        <v>992</v>
      </c>
      <c r="K6" t="s">
        <v>993</v>
      </c>
      <c r="L6" t="s">
        <v>994</v>
      </c>
      <c r="M6" t="s">
        <v>995</v>
      </c>
      <c r="N6" t="s">
        <v>910</v>
      </c>
      <c r="O6" t="s">
        <v>996</v>
      </c>
      <c r="P6" t="s">
        <v>997</v>
      </c>
      <c r="Q6" t="s">
        <v>677</v>
      </c>
      <c r="R6" s="218">
        <v>9.9744097222222213E-3</v>
      </c>
      <c r="S6" s="219">
        <v>0</v>
      </c>
      <c r="T6" s="219">
        <v>7.8472222222222221E-2</v>
      </c>
    </row>
    <row r="7" spans="1:26">
      <c r="A7">
        <v>165</v>
      </c>
      <c r="B7">
        <v>31</v>
      </c>
      <c r="C7">
        <v>6</v>
      </c>
      <c r="D7" t="s">
        <v>998</v>
      </c>
      <c r="E7">
        <v>146232</v>
      </c>
      <c r="F7" t="s">
        <v>665</v>
      </c>
      <c r="G7" t="s">
        <v>209</v>
      </c>
      <c r="H7" t="s">
        <v>562</v>
      </c>
      <c r="I7">
        <v>7</v>
      </c>
      <c r="J7" t="s">
        <v>999</v>
      </c>
      <c r="K7" t="s">
        <v>1000</v>
      </c>
      <c r="L7" t="s">
        <v>1001</v>
      </c>
      <c r="M7" t="s">
        <v>1002</v>
      </c>
      <c r="N7" t="s">
        <v>1003</v>
      </c>
      <c r="O7" t="s">
        <v>1004</v>
      </c>
      <c r="P7" t="s">
        <v>1005</v>
      </c>
      <c r="Q7" t="s">
        <v>677</v>
      </c>
      <c r="R7" s="218">
        <v>1.052204861111111E-2</v>
      </c>
      <c r="S7" s="219">
        <v>2.7777777777777779E-3</v>
      </c>
      <c r="T7" s="219">
        <v>0.1111111111111111</v>
      </c>
    </row>
    <row r="8" spans="1:26">
      <c r="A8">
        <v>152</v>
      </c>
      <c r="B8">
        <v>33</v>
      </c>
      <c r="C8">
        <v>7</v>
      </c>
      <c r="D8" t="s">
        <v>1006</v>
      </c>
      <c r="E8">
        <v>110084</v>
      </c>
      <c r="F8" t="s">
        <v>665</v>
      </c>
      <c r="G8" t="s">
        <v>209</v>
      </c>
      <c r="H8" t="s">
        <v>562</v>
      </c>
      <c r="I8">
        <v>7</v>
      </c>
      <c r="J8" t="s">
        <v>1007</v>
      </c>
      <c r="K8" t="s">
        <v>1008</v>
      </c>
      <c r="L8" t="s">
        <v>1009</v>
      </c>
      <c r="M8" t="s">
        <v>1010</v>
      </c>
      <c r="N8" t="s">
        <v>1011</v>
      </c>
      <c r="O8" t="s">
        <v>1012</v>
      </c>
      <c r="P8" t="s">
        <v>1013</v>
      </c>
      <c r="Q8" t="s">
        <v>677</v>
      </c>
      <c r="R8" s="218">
        <v>1.0675740740740741E-2</v>
      </c>
      <c r="S8" s="219">
        <v>9.0277777777777787E-3</v>
      </c>
      <c r="T8" s="219">
        <v>0.12013888888888889</v>
      </c>
    </row>
    <row r="9" spans="1:26">
      <c r="A9">
        <v>125</v>
      </c>
      <c r="B9">
        <v>41</v>
      </c>
      <c r="C9">
        <v>8</v>
      </c>
      <c r="D9" t="s">
        <v>1014</v>
      </c>
      <c r="E9">
        <v>146388</v>
      </c>
      <c r="F9" t="s">
        <v>665</v>
      </c>
      <c r="G9" t="s">
        <v>209</v>
      </c>
      <c r="H9" t="s">
        <v>562</v>
      </c>
      <c r="I9">
        <v>7</v>
      </c>
      <c r="J9" t="s">
        <v>1015</v>
      </c>
      <c r="K9" t="s">
        <v>1016</v>
      </c>
      <c r="L9" t="s">
        <v>1017</v>
      </c>
      <c r="M9" t="s">
        <v>1018</v>
      </c>
      <c r="N9" t="s">
        <v>1019</v>
      </c>
      <c r="O9" t="s">
        <v>1020</v>
      </c>
      <c r="P9" t="s">
        <v>1021</v>
      </c>
      <c r="Q9" t="s">
        <v>677</v>
      </c>
      <c r="R9" s="218">
        <v>1.0931319444444443E-2</v>
      </c>
      <c r="S9" s="219">
        <v>6.9444444444444447E-4</v>
      </c>
      <c r="T9" s="219">
        <v>0.1361111111111111</v>
      </c>
    </row>
    <row r="10" spans="1:26">
      <c r="A10">
        <v>164</v>
      </c>
      <c r="B10">
        <v>44</v>
      </c>
      <c r="C10">
        <v>9</v>
      </c>
      <c r="D10" t="s">
        <v>1022</v>
      </c>
      <c r="E10">
        <v>146431</v>
      </c>
      <c r="F10" t="s">
        <v>665</v>
      </c>
      <c r="G10" t="s">
        <v>209</v>
      </c>
      <c r="H10" t="s">
        <v>562</v>
      </c>
      <c r="I10">
        <v>7</v>
      </c>
      <c r="J10" t="s">
        <v>1023</v>
      </c>
      <c r="K10" t="s">
        <v>1024</v>
      </c>
      <c r="L10" t="s">
        <v>1025</v>
      </c>
      <c r="M10" t="s">
        <v>1026</v>
      </c>
      <c r="N10" t="s">
        <v>1027</v>
      </c>
      <c r="O10" t="s">
        <v>1028</v>
      </c>
      <c r="P10" t="s">
        <v>1029</v>
      </c>
      <c r="Q10" t="s">
        <v>677</v>
      </c>
      <c r="R10" s="218">
        <v>1.157210648148148E-2</v>
      </c>
      <c r="S10" s="219">
        <v>3.2638888888888891E-2</v>
      </c>
      <c r="T10" s="219">
        <v>0.17430555555555557</v>
      </c>
    </row>
    <row r="11" spans="1:26">
      <c r="A11">
        <v>114</v>
      </c>
      <c r="B11">
        <v>45</v>
      </c>
      <c r="C11">
        <v>10</v>
      </c>
      <c r="D11" t="s">
        <v>1030</v>
      </c>
      <c r="E11">
        <v>146242</v>
      </c>
      <c r="F11" t="s">
        <v>665</v>
      </c>
      <c r="G11" t="s">
        <v>209</v>
      </c>
      <c r="H11" t="s">
        <v>562</v>
      </c>
      <c r="I11">
        <v>7</v>
      </c>
      <c r="J11" t="s">
        <v>1031</v>
      </c>
      <c r="K11" t="s">
        <v>1032</v>
      </c>
      <c r="L11" t="s">
        <v>1033</v>
      </c>
      <c r="M11" t="s">
        <v>1034</v>
      </c>
      <c r="N11" t="s">
        <v>1035</v>
      </c>
      <c r="O11" t="s">
        <v>1036</v>
      </c>
      <c r="P11" t="s">
        <v>1037</v>
      </c>
      <c r="Q11" t="s">
        <v>677</v>
      </c>
      <c r="R11" s="218">
        <v>1.1736712962962963E-2</v>
      </c>
      <c r="S11" s="219">
        <v>9.7222222222222224E-3</v>
      </c>
      <c r="T11" s="219">
        <v>0.18402777777777779</v>
      </c>
    </row>
    <row r="12" spans="1:26">
      <c r="A12">
        <v>135</v>
      </c>
      <c r="B12">
        <v>49</v>
      </c>
      <c r="C12">
        <v>11</v>
      </c>
      <c r="D12" t="s">
        <v>1038</v>
      </c>
      <c r="E12">
        <v>139159</v>
      </c>
      <c r="F12" t="s">
        <v>665</v>
      </c>
      <c r="G12" t="s">
        <v>209</v>
      </c>
      <c r="H12" t="s">
        <v>562</v>
      </c>
      <c r="I12">
        <v>7</v>
      </c>
      <c r="J12" t="s">
        <v>1039</v>
      </c>
      <c r="K12" t="s">
        <v>1040</v>
      </c>
      <c r="L12" t="s">
        <v>1041</v>
      </c>
      <c r="M12" t="s">
        <v>1042</v>
      </c>
      <c r="N12" t="s">
        <v>1043</v>
      </c>
      <c r="O12" t="s">
        <v>1044</v>
      </c>
      <c r="P12" t="s">
        <v>1045</v>
      </c>
      <c r="Q12" t="s">
        <v>677</v>
      </c>
      <c r="R12" s="218">
        <v>1.1978437500000001E-2</v>
      </c>
      <c r="S12" s="219">
        <v>5.5555555555555558E-3</v>
      </c>
      <c r="T12" s="219">
        <v>0.1986111111111111</v>
      </c>
    </row>
    <row r="13" spans="1:26">
      <c r="A13">
        <v>153</v>
      </c>
      <c r="B13">
        <v>65</v>
      </c>
      <c r="C13">
        <v>12</v>
      </c>
      <c r="D13" t="s">
        <v>1046</v>
      </c>
      <c r="E13">
        <v>48931</v>
      </c>
      <c r="F13" t="s">
        <v>668</v>
      </c>
      <c r="G13" t="s">
        <v>209</v>
      </c>
      <c r="H13" t="s">
        <v>562</v>
      </c>
      <c r="I13">
        <v>7</v>
      </c>
      <c r="J13" t="s">
        <v>1047</v>
      </c>
      <c r="K13" t="s">
        <v>1048</v>
      </c>
      <c r="L13" t="s">
        <v>1049</v>
      </c>
      <c r="M13" t="s">
        <v>1050</v>
      </c>
      <c r="N13" t="s">
        <v>1051</v>
      </c>
      <c r="O13" t="s">
        <v>1052</v>
      </c>
      <c r="P13" t="s">
        <v>1053</v>
      </c>
      <c r="Q13" t="s">
        <v>677</v>
      </c>
      <c r="R13" s="218">
        <v>1.4523611111111112E-2</v>
      </c>
      <c r="S13" s="219">
        <v>6.1805555555555558E-2</v>
      </c>
      <c r="T13" s="219">
        <v>0.35138888888888892</v>
      </c>
    </row>
    <row r="14" spans="1:26">
      <c r="A14">
        <v>191</v>
      </c>
      <c r="B14" t="s">
        <v>887</v>
      </c>
      <c r="C14">
        <v>13</v>
      </c>
      <c r="D14" t="s">
        <v>1054</v>
      </c>
      <c r="E14">
        <v>143711</v>
      </c>
      <c r="F14" t="s">
        <v>665</v>
      </c>
      <c r="G14" t="s">
        <v>209</v>
      </c>
      <c r="H14" t="s">
        <v>562</v>
      </c>
      <c r="I14">
        <v>2</v>
      </c>
      <c r="J14" t="s">
        <v>677</v>
      </c>
      <c r="K14" t="s">
        <v>677</v>
      </c>
      <c r="L14" t="s">
        <v>677</v>
      </c>
      <c r="M14" t="s">
        <v>677</v>
      </c>
      <c r="N14" t="s">
        <v>677</v>
      </c>
      <c r="O14" t="s">
        <v>1055</v>
      </c>
      <c r="P14" t="s">
        <v>1056</v>
      </c>
      <c r="Q14" t="s">
        <v>677</v>
      </c>
      <c r="R14" s="218">
        <v>3.0858101851851849E-3</v>
      </c>
      <c r="S14" t="s">
        <v>682</v>
      </c>
      <c r="T14" t="s">
        <v>682</v>
      </c>
    </row>
    <row r="15" spans="1:26">
      <c r="A15">
        <v>177</v>
      </c>
      <c r="B15" t="s">
        <v>887</v>
      </c>
      <c r="C15">
        <v>14</v>
      </c>
      <c r="D15" t="s">
        <v>1057</v>
      </c>
      <c r="E15">
        <v>146441</v>
      </c>
      <c r="F15" t="s">
        <v>665</v>
      </c>
      <c r="G15" t="s">
        <v>209</v>
      </c>
      <c r="H15" t="s">
        <v>562</v>
      </c>
      <c r="I15">
        <v>1</v>
      </c>
      <c r="J15" t="s">
        <v>1058</v>
      </c>
      <c r="K15" t="s">
        <v>677</v>
      </c>
      <c r="L15" t="s">
        <v>677</v>
      </c>
      <c r="M15" t="s">
        <v>677</v>
      </c>
      <c r="N15" t="s">
        <v>677</v>
      </c>
      <c r="O15" t="s">
        <v>677</v>
      </c>
      <c r="P15" t="s">
        <v>677</v>
      </c>
      <c r="Q15" t="s">
        <v>677</v>
      </c>
      <c r="R15" s="218">
        <v>3.6568518518518521E-3</v>
      </c>
      <c r="S15" s="219">
        <v>7.0833333333333331E-2</v>
      </c>
      <c r="T15" t="s">
        <v>682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Z12"/>
  <sheetViews>
    <sheetView workbookViewId="0">
      <selection sqref="A1:Z12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178</v>
      </c>
      <c r="B2">
        <v>17</v>
      </c>
      <c r="C2">
        <v>1</v>
      </c>
      <c r="D2" t="s">
        <v>1059</v>
      </c>
      <c r="E2">
        <v>128972</v>
      </c>
      <c r="F2" t="s">
        <v>665</v>
      </c>
      <c r="G2" t="s">
        <v>209</v>
      </c>
      <c r="H2" t="s">
        <v>321</v>
      </c>
      <c r="I2">
        <v>7</v>
      </c>
      <c r="J2" t="s">
        <v>1060</v>
      </c>
      <c r="K2" t="s">
        <v>1061</v>
      </c>
      <c r="L2" t="s">
        <v>1062</v>
      </c>
      <c r="M2" t="s">
        <v>1063</v>
      </c>
      <c r="N2" t="s">
        <v>1064</v>
      </c>
      <c r="O2" t="s">
        <v>1065</v>
      </c>
      <c r="P2" t="s">
        <v>1066</v>
      </c>
      <c r="Q2" t="s">
        <v>677</v>
      </c>
      <c r="R2" s="218">
        <v>9.7411805555555567E-3</v>
      </c>
      <c r="S2" s="219">
        <v>0</v>
      </c>
      <c r="T2" s="219">
        <v>6.458333333333334E-2</v>
      </c>
    </row>
    <row r="3" spans="1:26">
      <c r="A3">
        <v>169</v>
      </c>
      <c r="B3">
        <v>25</v>
      </c>
      <c r="C3">
        <v>2</v>
      </c>
      <c r="D3" t="s">
        <v>1067</v>
      </c>
      <c r="E3">
        <v>143548</v>
      </c>
      <c r="F3" t="s">
        <v>665</v>
      </c>
      <c r="G3" t="s">
        <v>209</v>
      </c>
      <c r="H3" t="s">
        <v>321</v>
      </c>
      <c r="I3">
        <v>7</v>
      </c>
      <c r="J3" t="s">
        <v>1068</v>
      </c>
      <c r="K3" t="s">
        <v>1069</v>
      </c>
      <c r="L3" t="s">
        <v>1070</v>
      </c>
      <c r="M3" t="s">
        <v>1071</v>
      </c>
      <c r="N3" t="s">
        <v>1072</v>
      </c>
      <c r="O3" t="s">
        <v>1073</v>
      </c>
      <c r="P3" t="s">
        <v>1074</v>
      </c>
      <c r="Q3" t="s">
        <v>677</v>
      </c>
      <c r="R3" s="218">
        <v>1.001255787037037E-2</v>
      </c>
      <c r="S3" s="219">
        <v>2.0833333333333333E-3</v>
      </c>
      <c r="T3" s="219">
        <v>8.0555555555555561E-2</v>
      </c>
    </row>
    <row r="4" spans="1:26">
      <c r="A4">
        <v>123</v>
      </c>
      <c r="B4">
        <v>26</v>
      </c>
      <c r="C4">
        <v>3</v>
      </c>
      <c r="D4" t="s">
        <v>1075</v>
      </c>
      <c r="E4">
        <v>143544</v>
      </c>
      <c r="F4" t="s">
        <v>665</v>
      </c>
      <c r="G4" t="s">
        <v>209</v>
      </c>
      <c r="H4" t="s">
        <v>321</v>
      </c>
      <c r="I4">
        <v>7</v>
      </c>
      <c r="J4" t="s">
        <v>1076</v>
      </c>
      <c r="K4" t="s">
        <v>1077</v>
      </c>
      <c r="L4" t="s">
        <v>1078</v>
      </c>
      <c r="M4" t="s">
        <v>1079</v>
      </c>
      <c r="N4" t="s">
        <v>1080</v>
      </c>
      <c r="O4" t="s">
        <v>1081</v>
      </c>
      <c r="P4" t="s">
        <v>1082</v>
      </c>
      <c r="Q4" t="s">
        <v>677</v>
      </c>
      <c r="R4" s="218">
        <v>1.0078090277777778E-2</v>
      </c>
      <c r="S4" s="219">
        <v>4.1666666666666666E-3</v>
      </c>
      <c r="T4" s="219">
        <v>8.4722222222222213E-2</v>
      </c>
    </row>
    <row r="5" spans="1:26">
      <c r="A5">
        <v>145</v>
      </c>
      <c r="B5">
        <v>30</v>
      </c>
      <c r="C5">
        <v>4</v>
      </c>
      <c r="D5" t="s">
        <v>1083</v>
      </c>
      <c r="E5">
        <v>143518</v>
      </c>
      <c r="F5" t="s">
        <v>665</v>
      </c>
      <c r="G5" t="s">
        <v>209</v>
      </c>
      <c r="H5" t="s">
        <v>321</v>
      </c>
      <c r="I5">
        <v>7</v>
      </c>
      <c r="J5" t="s">
        <v>1084</v>
      </c>
      <c r="K5" t="s">
        <v>1085</v>
      </c>
      <c r="L5" t="s">
        <v>1086</v>
      </c>
      <c r="M5" t="s">
        <v>1087</v>
      </c>
      <c r="N5" t="s">
        <v>1088</v>
      </c>
      <c r="O5" t="s">
        <v>1089</v>
      </c>
      <c r="P5" t="s">
        <v>1090</v>
      </c>
      <c r="Q5" t="s">
        <v>677</v>
      </c>
      <c r="R5" s="218">
        <v>1.0477407407407408E-2</v>
      </c>
      <c r="S5" s="219">
        <v>9.0277777777777787E-3</v>
      </c>
      <c r="T5" s="219">
        <v>0.10833333333333334</v>
      </c>
    </row>
    <row r="6" spans="1:26">
      <c r="A6">
        <v>139</v>
      </c>
      <c r="B6">
        <v>36</v>
      </c>
      <c r="C6">
        <v>5</v>
      </c>
      <c r="D6" t="s">
        <v>1091</v>
      </c>
      <c r="E6">
        <v>133095</v>
      </c>
      <c r="F6" t="s">
        <v>665</v>
      </c>
      <c r="G6" t="s">
        <v>209</v>
      </c>
      <c r="H6" t="s">
        <v>321</v>
      </c>
      <c r="I6">
        <v>7</v>
      </c>
      <c r="J6" t="s">
        <v>1092</v>
      </c>
      <c r="K6" t="s">
        <v>1093</v>
      </c>
      <c r="L6" t="s">
        <v>1094</v>
      </c>
      <c r="M6" t="s">
        <v>1095</v>
      </c>
      <c r="N6" t="s">
        <v>1096</v>
      </c>
      <c r="O6" t="s">
        <v>1097</v>
      </c>
      <c r="P6" t="s">
        <v>1098</v>
      </c>
      <c r="Q6" t="s">
        <v>677</v>
      </c>
      <c r="R6" s="218">
        <v>1.0799282407407408E-2</v>
      </c>
      <c r="S6" s="219">
        <v>0</v>
      </c>
      <c r="T6" s="219">
        <v>0.1277777777777778</v>
      </c>
    </row>
    <row r="7" spans="1:26">
      <c r="A7">
        <v>183</v>
      </c>
      <c r="B7">
        <v>43</v>
      </c>
      <c r="C7">
        <v>6</v>
      </c>
      <c r="D7" t="s">
        <v>1099</v>
      </c>
      <c r="E7">
        <v>143540</v>
      </c>
      <c r="F7" t="s">
        <v>665</v>
      </c>
      <c r="G7" t="s">
        <v>209</v>
      </c>
      <c r="H7" t="s">
        <v>321</v>
      </c>
      <c r="I7">
        <v>7</v>
      </c>
      <c r="J7" t="s">
        <v>1100</v>
      </c>
      <c r="K7" t="s">
        <v>1101</v>
      </c>
      <c r="L7" t="s">
        <v>1102</v>
      </c>
      <c r="M7" t="s">
        <v>1103</v>
      </c>
      <c r="N7" t="s">
        <v>1104</v>
      </c>
      <c r="O7" t="s">
        <v>1105</v>
      </c>
      <c r="P7" t="s">
        <v>1106</v>
      </c>
      <c r="Q7" t="s">
        <v>677</v>
      </c>
      <c r="R7" s="218">
        <v>1.1025914351851853E-2</v>
      </c>
      <c r="S7" s="219">
        <v>1.3888888888888889E-3</v>
      </c>
      <c r="T7" s="219">
        <v>0.14166666666666666</v>
      </c>
    </row>
    <row r="8" spans="1:26">
      <c r="A8">
        <v>179</v>
      </c>
      <c r="B8">
        <v>60</v>
      </c>
      <c r="C8">
        <v>7</v>
      </c>
      <c r="D8" t="s">
        <v>1107</v>
      </c>
      <c r="E8">
        <v>141764</v>
      </c>
      <c r="F8" t="s">
        <v>665</v>
      </c>
      <c r="G8" t="s">
        <v>209</v>
      </c>
      <c r="H8" t="s">
        <v>321</v>
      </c>
      <c r="I8">
        <v>7</v>
      </c>
      <c r="J8" t="s">
        <v>1108</v>
      </c>
      <c r="K8" t="s">
        <v>1109</v>
      </c>
      <c r="L8" t="s">
        <v>1110</v>
      </c>
      <c r="M8" t="s">
        <v>1111</v>
      </c>
      <c r="N8" t="s">
        <v>1112</v>
      </c>
      <c r="O8" t="s">
        <v>1113</v>
      </c>
      <c r="P8" t="s">
        <v>1114</v>
      </c>
      <c r="Q8" t="s">
        <v>677</v>
      </c>
      <c r="R8" s="218">
        <v>1.307275462962963E-2</v>
      </c>
      <c r="S8" s="219">
        <v>1.1805555555555555E-2</v>
      </c>
      <c r="T8" s="219">
        <v>0.26458333333333334</v>
      </c>
    </row>
    <row r="9" spans="1:26">
      <c r="A9">
        <v>107</v>
      </c>
      <c r="B9">
        <v>62</v>
      </c>
      <c r="C9">
        <v>8</v>
      </c>
      <c r="D9" t="s">
        <v>1115</v>
      </c>
      <c r="E9">
        <v>144074</v>
      </c>
      <c r="F9" t="s">
        <v>665</v>
      </c>
      <c r="G9" t="s">
        <v>209</v>
      </c>
      <c r="H9" t="s">
        <v>321</v>
      </c>
      <c r="I9">
        <v>7</v>
      </c>
      <c r="J9" t="s">
        <v>1116</v>
      </c>
      <c r="K9" t="s">
        <v>1117</v>
      </c>
      <c r="L9" t="s">
        <v>1118</v>
      </c>
      <c r="M9" t="s">
        <v>1119</v>
      </c>
      <c r="N9" t="s">
        <v>1120</v>
      </c>
      <c r="O9" t="s">
        <v>1121</v>
      </c>
      <c r="P9" t="s">
        <v>1122</v>
      </c>
      <c r="Q9" t="s">
        <v>677</v>
      </c>
      <c r="R9" s="218">
        <v>1.3338900462962962E-2</v>
      </c>
      <c r="S9" s="219">
        <v>0</v>
      </c>
      <c r="T9" s="219">
        <v>0.28055555555555556</v>
      </c>
    </row>
    <row r="10" spans="1:26">
      <c r="A10">
        <v>170</v>
      </c>
      <c r="B10">
        <v>66</v>
      </c>
      <c r="C10">
        <v>9</v>
      </c>
      <c r="D10" t="s">
        <v>1123</v>
      </c>
      <c r="E10">
        <v>144266</v>
      </c>
      <c r="F10" t="s">
        <v>665</v>
      </c>
      <c r="G10" t="s">
        <v>209</v>
      </c>
      <c r="H10" t="s">
        <v>321</v>
      </c>
      <c r="I10">
        <v>7</v>
      </c>
      <c r="J10" t="s">
        <v>1124</v>
      </c>
      <c r="K10" t="s">
        <v>1125</v>
      </c>
      <c r="L10" t="s">
        <v>1126</v>
      </c>
      <c r="M10" t="s">
        <v>1127</v>
      </c>
      <c r="N10" t="s">
        <v>1128</v>
      </c>
      <c r="O10" t="s">
        <v>1129</v>
      </c>
      <c r="P10" t="s">
        <v>1130</v>
      </c>
      <c r="Q10" t="s">
        <v>677</v>
      </c>
      <c r="R10" s="218">
        <v>1.5317928240740741E-2</v>
      </c>
      <c r="S10" s="219">
        <v>4.7916666666666663E-2</v>
      </c>
      <c r="T10" s="219">
        <v>0.39930555555555558</v>
      </c>
    </row>
    <row r="11" spans="1:26">
      <c r="A11">
        <v>163</v>
      </c>
      <c r="B11">
        <v>67</v>
      </c>
      <c r="C11">
        <v>10</v>
      </c>
      <c r="D11" t="s">
        <v>1131</v>
      </c>
      <c r="E11">
        <v>146006</v>
      </c>
      <c r="F11" t="s">
        <v>665</v>
      </c>
      <c r="G11" t="s">
        <v>209</v>
      </c>
      <c r="H11" t="s">
        <v>321</v>
      </c>
      <c r="I11">
        <v>7</v>
      </c>
      <c r="J11" t="s">
        <v>1132</v>
      </c>
      <c r="K11" t="s">
        <v>1133</v>
      </c>
      <c r="L11" t="s">
        <v>1134</v>
      </c>
      <c r="M11" t="s">
        <v>1135</v>
      </c>
      <c r="N11" t="s">
        <v>1136</v>
      </c>
      <c r="O11" t="s">
        <v>1137</v>
      </c>
      <c r="P11" t="s">
        <v>1138</v>
      </c>
      <c r="Q11" t="s">
        <v>677</v>
      </c>
      <c r="R11" s="218">
        <v>1.7815115740740742E-2</v>
      </c>
      <c r="S11" s="219">
        <v>0.15</v>
      </c>
      <c r="T11" s="219">
        <v>0.54861111111111105</v>
      </c>
    </row>
    <row r="12" spans="1:26">
      <c r="A12">
        <v>101</v>
      </c>
      <c r="B12" t="s">
        <v>887</v>
      </c>
      <c r="C12">
        <v>11</v>
      </c>
      <c r="D12" t="s">
        <v>1139</v>
      </c>
      <c r="E12" t="s">
        <v>675</v>
      </c>
      <c r="F12" t="s">
        <v>665</v>
      </c>
      <c r="G12" t="s">
        <v>209</v>
      </c>
      <c r="H12" t="s">
        <v>321</v>
      </c>
      <c r="I12">
        <v>4</v>
      </c>
      <c r="J12" t="s">
        <v>677</v>
      </c>
      <c r="K12" t="s">
        <v>677</v>
      </c>
      <c r="L12" t="s">
        <v>1140</v>
      </c>
      <c r="M12" t="s">
        <v>1141</v>
      </c>
      <c r="N12" t="s">
        <v>677</v>
      </c>
      <c r="O12" t="s">
        <v>1142</v>
      </c>
      <c r="P12" t="s">
        <v>1143</v>
      </c>
      <c r="Q12" t="s">
        <v>677</v>
      </c>
      <c r="R12" s="218">
        <v>6.8957523148148146E-3</v>
      </c>
      <c r="S12" s="219">
        <v>6.2499999999999995E-3</v>
      </c>
      <c r="T12" t="s">
        <v>682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Z5"/>
  <sheetViews>
    <sheetView workbookViewId="0">
      <selection sqref="A1:Z5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137</v>
      </c>
      <c r="B2">
        <v>21</v>
      </c>
      <c r="C2">
        <v>1</v>
      </c>
      <c r="D2" t="s">
        <v>1144</v>
      </c>
      <c r="E2">
        <v>1791</v>
      </c>
      <c r="F2" t="s">
        <v>665</v>
      </c>
      <c r="G2" t="s">
        <v>209</v>
      </c>
      <c r="H2" t="s">
        <v>497</v>
      </c>
      <c r="I2">
        <v>7</v>
      </c>
      <c r="J2" t="s">
        <v>1145</v>
      </c>
      <c r="K2" t="s">
        <v>1146</v>
      </c>
      <c r="L2" t="s">
        <v>1147</v>
      </c>
      <c r="M2" t="s">
        <v>1148</v>
      </c>
      <c r="N2" t="s">
        <v>1149</v>
      </c>
      <c r="O2" t="s">
        <v>1150</v>
      </c>
      <c r="P2" t="s">
        <v>1151</v>
      </c>
      <c r="Q2" t="s">
        <v>677</v>
      </c>
      <c r="R2" s="218">
        <v>9.8937268518518532E-3</v>
      </c>
      <c r="S2" s="219">
        <v>1.3888888888888889E-3</v>
      </c>
      <c r="T2" s="219">
        <v>7.3611111111111113E-2</v>
      </c>
    </row>
    <row r="3" spans="1:26">
      <c r="A3">
        <v>144</v>
      </c>
      <c r="B3">
        <v>22</v>
      </c>
      <c r="C3">
        <v>2</v>
      </c>
      <c r="D3" t="s">
        <v>1152</v>
      </c>
      <c r="E3">
        <v>131003</v>
      </c>
      <c r="F3" t="s">
        <v>665</v>
      </c>
      <c r="G3" t="s">
        <v>209</v>
      </c>
      <c r="H3" t="s">
        <v>497</v>
      </c>
      <c r="I3">
        <v>7</v>
      </c>
      <c r="J3" t="s">
        <v>1153</v>
      </c>
      <c r="K3" t="s">
        <v>1154</v>
      </c>
      <c r="L3" t="s">
        <v>1155</v>
      </c>
      <c r="M3" t="s">
        <v>1156</v>
      </c>
      <c r="N3" t="s">
        <v>1157</v>
      </c>
      <c r="O3" t="s">
        <v>1158</v>
      </c>
      <c r="P3" t="s">
        <v>1159</v>
      </c>
      <c r="Q3" t="s">
        <v>677</v>
      </c>
      <c r="R3" s="218">
        <v>9.9690046296296297E-3</v>
      </c>
      <c r="S3" s="219">
        <v>4.8611111111111112E-3</v>
      </c>
      <c r="T3" s="219">
        <v>7.7777777777777779E-2</v>
      </c>
    </row>
    <row r="4" spans="1:26">
      <c r="A4">
        <v>180</v>
      </c>
      <c r="B4">
        <v>27</v>
      </c>
      <c r="C4">
        <v>3</v>
      </c>
      <c r="D4" t="s">
        <v>1160</v>
      </c>
      <c r="E4">
        <v>136964</v>
      </c>
      <c r="F4" t="s">
        <v>665</v>
      </c>
      <c r="G4" t="s">
        <v>209</v>
      </c>
      <c r="H4" t="s">
        <v>497</v>
      </c>
      <c r="I4">
        <v>7</v>
      </c>
      <c r="J4" t="s">
        <v>1161</v>
      </c>
      <c r="K4" t="s">
        <v>1162</v>
      </c>
      <c r="L4" t="s">
        <v>1163</v>
      </c>
      <c r="M4" t="s">
        <v>1164</v>
      </c>
      <c r="N4" t="s">
        <v>1165</v>
      </c>
      <c r="O4" t="s">
        <v>1166</v>
      </c>
      <c r="P4" t="s">
        <v>1167</v>
      </c>
      <c r="Q4" t="s">
        <v>677</v>
      </c>
      <c r="R4" s="218">
        <v>1.021482638888889E-2</v>
      </c>
      <c r="S4" s="219">
        <v>8.3333333333333332E-3</v>
      </c>
      <c r="T4" s="219">
        <v>9.3055555555555558E-2</v>
      </c>
    </row>
    <row r="5" spans="1:26">
      <c r="A5">
        <v>186</v>
      </c>
      <c r="B5">
        <v>28</v>
      </c>
      <c r="C5">
        <v>4</v>
      </c>
      <c r="D5" t="s">
        <v>1168</v>
      </c>
      <c r="E5">
        <v>49079</v>
      </c>
      <c r="F5" t="s">
        <v>665</v>
      </c>
      <c r="G5" t="s">
        <v>209</v>
      </c>
      <c r="H5" t="s">
        <v>497</v>
      </c>
      <c r="I5">
        <v>7</v>
      </c>
      <c r="J5" t="s">
        <v>1169</v>
      </c>
      <c r="K5" t="s">
        <v>1170</v>
      </c>
      <c r="L5" t="s">
        <v>1171</v>
      </c>
      <c r="M5" t="s">
        <v>1172</v>
      </c>
      <c r="N5" t="s">
        <v>1173</v>
      </c>
      <c r="O5" t="s">
        <v>1174</v>
      </c>
      <c r="P5" t="s">
        <v>1175</v>
      </c>
      <c r="Q5" t="s">
        <v>677</v>
      </c>
      <c r="R5" s="218">
        <v>1.0243009259259259E-2</v>
      </c>
      <c r="S5" s="219">
        <v>1.3888888888888889E-3</v>
      </c>
      <c r="T5" s="219">
        <v>9.4444444444444442E-2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Z2"/>
  <sheetViews>
    <sheetView workbookViewId="0">
      <selection sqref="A1:Z2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149</v>
      </c>
      <c r="B2">
        <v>89</v>
      </c>
      <c r="C2">
        <v>1</v>
      </c>
      <c r="D2" t="s">
        <v>1176</v>
      </c>
      <c r="E2">
        <v>142442</v>
      </c>
      <c r="F2" t="s">
        <v>665</v>
      </c>
      <c r="G2" t="s">
        <v>210</v>
      </c>
      <c r="H2" t="s">
        <v>593</v>
      </c>
      <c r="I2">
        <v>4</v>
      </c>
      <c r="J2" t="s">
        <v>677</v>
      </c>
      <c r="K2" t="s">
        <v>677</v>
      </c>
      <c r="L2" t="s">
        <v>1177</v>
      </c>
      <c r="M2" t="s">
        <v>1178</v>
      </c>
      <c r="N2" t="s">
        <v>677</v>
      </c>
      <c r="O2" t="s">
        <v>1179</v>
      </c>
      <c r="P2" t="s">
        <v>1180</v>
      </c>
      <c r="Q2" t="s">
        <v>677</v>
      </c>
      <c r="R2" s="218">
        <v>8.3886111111111106E-3</v>
      </c>
      <c r="S2" s="219">
        <v>2.9861111111111113E-2</v>
      </c>
      <c r="T2" t="s">
        <v>682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Z3"/>
  <sheetViews>
    <sheetView workbookViewId="0">
      <selection sqref="A1:Z3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195</v>
      </c>
      <c r="B2">
        <v>39</v>
      </c>
      <c r="C2">
        <v>1</v>
      </c>
      <c r="D2" t="s">
        <v>609</v>
      </c>
      <c r="E2">
        <v>133358</v>
      </c>
      <c r="F2" t="s">
        <v>666</v>
      </c>
      <c r="G2" t="s">
        <v>210</v>
      </c>
      <c r="H2" t="s">
        <v>617</v>
      </c>
      <c r="I2">
        <v>7</v>
      </c>
      <c r="J2" t="s">
        <v>1181</v>
      </c>
      <c r="K2" t="s">
        <v>1182</v>
      </c>
      <c r="L2" t="s">
        <v>1183</v>
      </c>
      <c r="M2" t="s">
        <v>1184</v>
      </c>
      <c r="N2" t="s">
        <v>1185</v>
      </c>
      <c r="O2" t="s">
        <v>1186</v>
      </c>
      <c r="P2" t="s">
        <v>1187</v>
      </c>
      <c r="Q2" t="s">
        <v>677</v>
      </c>
      <c r="R2" s="218">
        <v>1.0871192129629628E-2</v>
      </c>
      <c r="S2" s="219">
        <v>1.3888888888888889E-3</v>
      </c>
      <c r="T2" s="219">
        <v>0.13194444444444445</v>
      </c>
    </row>
    <row r="3" spans="1:26">
      <c r="A3">
        <v>185</v>
      </c>
      <c r="B3">
        <v>59</v>
      </c>
      <c r="C3">
        <v>2</v>
      </c>
      <c r="D3" t="s">
        <v>1188</v>
      </c>
      <c r="E3">
        <v>141672</v>
      </c>
      <c r="F3" t="s">
        <v>665</v>
      </c>
      <c r="G3" t="s">
        <v>210</v>
      </c>
      <c r="H3" t="s">
        <v>617</v>
      </c>
      <c r="I3">
        <v>7</v>
      </c>
      <c r="J3" t="s">
        <v>1189</v>
      </c>
      <c r="K3" t="s">
        <v>1190</v>
      </c>
      <c r="L3" t="s">
        <v>1191</v>
      </c>
      <c r="M3" t="s">
        <v>1192</v>
      </c>
      <c r="N3" t="s">
        <v>1193</v>
      </c>
      <c r="O3" t="s">
        <v>1194</v>
      </c>
      <c r="P3" t="s">
        <v>1195</v>
      </c>
      <c r="Q3" t="s">
        <v>677</v>
      </c>
      <c r="R3" s="218">
        <v>1.2874976851851854E-2</v>
      </c>
      <c r="S3" s="219">
        <v>2.7777777777777779E-3</v>
      </c>
      <c r="T3" s="219">
        <v>0.25208333333333333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Z5"/>
  <sheetViews>
    <sheetView workbookViewId="0">
      <selection sqref="A1:Z5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126</v>
      </c>
      <c r="B2">
        <v>51</v>
      </c>
      <c r="C2">
        <v>1</v>
      </c>
      <c r="D2" t="s">
        <v>1196</v>
      </c>
      <c r="E2">
        <v>146387</v>
      </c>
      <c r="F2" t="s">
        <v>665</v>
      </c>
      <c r="G2" t="s">
        <v>210</v>
      </c>
      <c r="H2" t="s">
        <v>620</v>
      </c>
      <c r="I2">
        <v>7</v>
      </c>
      <c r="J2" t="s">
        <v>1197</v>
      </c>
      <c r="K2" t="s">
        <v>1198</v>
      </c>
      <c r="L2" t="s">
        <v>1199</v>
      </c>
      <c r="M2" t="s">
        <v>1200</v>
      </c>
      <c r="N2" t="s">
        <v>1201</v>
      </c>
      <c r="O2" t="s">
        <v>1202</v>
      </c>
      <c r="P2" t="s">
        <v>1203</v>
      </c>
      <c r="Q2" t="s">
        <v>677</v>
      </c>
      <c r="R2" s="218">
        <v>1.2023645833333334E-2</v>
      </c>
      <c r="S2" s="219">
        <v>1.3888888888888889E-3</v>
      </c>
      <c r="T2" s="219">
        <v>0.20138888888888887</v>
      </c>
    </row>
    <row r="3" spans="1:26">
      <c r="A3">
        <v>193</v>
      </c>
      <c r="B3">
        <v>55</v>
      </c>
      <c r="C3">
        <v>2</v>
      </c>
      <c r="D3" t="s">
        <v>614</v>
      </c>
      <c r="E3">
        <v>142648</v>
      </c>
      <c r="F3" t="s">
        <v>665</v>
      </c>
      <c r="G3" t="s">
        <v>210</v>
      </c>
      <c r="H3" t="s">
        <v>620</v>
      </c>
      <c r="I3">
        <v>7</v>
      </c>
      <c r="J3" t="s">
        <v>1204</v>
      </c>
      <c r="K3" t="s">
        <v>1205</v>
      </c>
      <c r="L3" t="s">
        <v>1206</v>
      </c>
      <c r="M3" t="s">
        <v>1207</v>
      </c>
      <c r="N3" t="s">
        <v>1208</v>
      </c>
      <c r="O3" t="s">
        <v>1209</v>
      </c>
      <c r="P3" t="s">
        <v>1210</v>
      </c>
      <c r="Q3" t="s">
        <v>677</v>
      </c>
      <c r="R3" s="218">
        <v>1.2559652777777777E-2</v>
      </c>
      <c r="S3" s="219">
        <v>5.5555555555555558E-3</v>
      </c>
      <c r="T3" s="219">
        <v>0.23333333333333331</v>
      </c>
    </row>
    <row r="4" spans="1:26">
      <c r="A4">
        <v>166</v>
      </c>
      <c r="B4">
        <v>61</v>
      </c>
      <c r="C4">
        <v>3</v>
      </c>
      <c r="D4" t="s">
        <v>1211</v>
      </c>
      <c r="E4">
        <v>146233</v>
      </c>
      <c r="F4" t="s">
        <v>665</v>
      </c>
      <c r="G4" t="s">
        <v>210</v>
      </c>
      <c r="H4" t="s">
        <v>620</v>
      </c>
      <c r="I4">
        <v>7</v>
      </c>
      <c r="J4" t="s">
        <v>1212</v>
      </c>
      <c r="K4" t="s">
        <v>1213</v>
      </c>
      <c r="L4" t="s">
        <v>1214</v>
      </c>
      <c r="M4" t="s">
        <v>1215</v>
      </c>
      <c r="N4" t="s">
        <v>1216</v>
      </c>
      <c r="O4" t="s">
        <v>1217</v>
      </c>
      <c r="P4" t="s">
        <v>1218</v>
      </c>
      <c r="Q4" t="s">
        <v>677</v>
      </c>
      <c r="R4" s="218">
        <v>1.3337905092592592E-2</v>
      </c>
      <c r="S4" s="219">
        <v>1.5972222222222224E-2</v>
      </c>
      <c r="T4" s="219">
        <v>0.27986111111111112</v>
      </c>
    </row>
    <row r="5" spans="1:26">
      <c r="A5">
        <v>108</v>
      </c>
      <c r="B5">
        <v>63</v>
      </c>
      <c r="C5">
        <v>4</v>
      </c>
      <c r="D5" t="s">
        <v>1219</v>
      </c>
      <c r="E5">
        <v>144073</v>
      </c>
      <c r="F5" t="s">
        <v>665</v>
      </c>
      <c r="G5" t="s">
        <v>210</v>
      </c>
      <c r="H5" t="s">
        <v>620</v>
      </c>
      <c r="I5">
        <v>7</v>
      </c>
      <c r="J5" t="s">
        <v>1220</v>
      </c>
      <c r="K5" t="s">
        <v>1221</v>
      </c>
      <c r="L5" t="s">
        <v>851</v>
      </c>
      <c r="M5" t="s">
        <v>1222</v>
      </c>
      <c r="N5" t="s">
        <v>1223</v>
      </c>
      <c r="O5" t="s">
        <v>1224</v>
      </c>
      <c r="P5" t="s">
        <v>1225</v>
      </c>
      <c r="Q5" t="s">
        <v>677</v>
      </c>
      <c r="R5" s="218">
        <v>1.347162037037037E-2</v>
      </c>
      <c r="S5" s="219">
        <v>7.6388888888888886E-3</v>
      </c>
      <c r="T5" s="219">
        <v>0.28819444444444448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Z3"/>
  <sheetViews>
    <sheetView workbookViewId="0">
      <selection sqref="A1:Z3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106</v>
      </c>
      <c r="B2">
        <v>54</v>
      </c>
      <c r="C2">
        <v>1</v>
      </c>
      <c r="D2" t="s">
        <v>1226</v>
      </c>
      <c r="E2">
        <v>13512</v>
      </c>
      <c r="F2" t="s">
        <v>665</v>
      </c>
      <c r="G2" t="s">
        <v>210</v>
      </c>
      <c r="H2" t="s">
        <v>621</v>
      </c>
      <c r="I2">
        <v>7</v>
      </c>
      <c r="J2" t="s">
        <v>1227</v>
      </c>
      <c r="K2" t="s">
        <v>1228</v>
      </c>
      <c r="L2" t="s">
        <v>1229</v>
      </c>
      <c r="M2" t="s">
        <v>1230</v>
      </c>
      <c r="N2" t="s">
        <v>1231</v>
      </c>
      <c r="O2" t="s">
        <v>1232</v>
      </c>
      <c r="P2" t="s">
        <v>1233</v>
      </c>
      <c r="Q2" t="s">
        <v>677</v>
      </c>
      <c r="R2" s="218">
        <v>1.2462962962962962E-2</v>
      </c>
      <c r="S2" s="219">
        <v>8.3333333333333332E-3</v>
      </c>
      <c r="T2" s="219">
        <v>0.22777777777777777</v>
      </c>
    </row>
    <row r="3" spans="1:26">
      <c r="A3">
        <v>176</v>
      </c>
      <c r="B3">
        <v>56</v>
      </c>
      <c r="C3">
        <v>2</v>
      </c>
      <c r="D3" t="s">
        <v>611</v>
      </c>
      <c r="E3">
        <v>138256</v>
      </c>
      <c r="F3" t="s">
        <v>665</v>
      </c>
      <c r="G3" t="s">
        <v>210</v>
      </c>
      <c r="H3" t="s">
        <v>621</v>
      </c>
      <c r="I3">
        <v>7</v>
      </c>
      <c r="J3" t="s">
        <v>1234</v>
      </c>
      <c r="K3" t="s">
        <v>1235</v>
      </c>
      <c r="L3" t="s">
        <v>1236</v>
      </c>
      <c r="M3" t="s">
        <v>1237</v>
      </c>
      <c r="N3" t="s">
        <v>1238</v>
      </c>
      <c r="O3" t="s">
        <v>1239</v>
      </c>
      <c r="P3" t="s">
        <v>1240</v>
      </c>
      <c r="Q3" t="s">
        <v>677</v>
      </c>
      <c r="R3" s="218">
        <v>1.2695682870370371E-2</v>
      </c>
      <c r="S3" s="219">
        <v>8.3333333333333332E-3</v>
      </c>
      <c r="T3" s="219">
        <v>0.24166666666666667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Z2"/>
  <sheetViews>
    <sheetView workbookViewId="0">
      <selection sqref="A1:Z2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172</v>
      </c>
      <c r="B2">
        <v>47</v>
      </c>
      <c r="C2">
        <v>1</v>
      </c>
      <c r="D2" t="s">
        <v>1241</v>
      </c>
      <c r="E2">
        <v>92397</v>
      </c>
      <c r="F2" t="s">
        <v>665</v>
      </c>
      <c r="G2" t="s">
        <v>210</v>
      </c>
      <c r="H2" t="s">
        <v>622</v>
      </c>
      <c r="I2">
        <v>7</v>
      </c>
      <c r="J2" t="s">
        <v>1242</v>
      </c>
      <c r="K2" t="s">
        <v>1243</v>
      </c>
      <c r="L2" t="s">
        <v>1244</v>
      </c>
      <c r="M2" t="s">
        <v>1245</v>
      </c>
      <c r="N2" t="s">
        <v>1246</v>
      </c>
      <c r="O2" t="s">
        <v>1247</v>
      </c>
      <c r="P2" t="s">
        <v>1248</v>
      </c>
      <c r="Q2" t="s">
        <v>677</v>
      </c>
      <c r="R2" s="218">
        <v>1.1784386574074074E-2</v>
      </c>
      <c r="S2" s="219">
        <v>1.3888888888888889E-3</v>
      </c>
      <c r="T2" s="219">
        <v>0.18680555555555556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Z4"/>
  <sheetViews>
    <sheetView workbookViewId="0">
      <selection sqref="A1:Z4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194</v>
      </c>
      <c r="B2">
        <v>24</v>
      </c>
      <c r="C2">
        <v>1</v>
      </c>
      <c r="D2" t="s">
        <v>1249</v>
      </c>
      <c r="E2">
        <v>143562</v>
      </c>
      <c r="F2" t="s">
        <v>665</v>
      </c>
      <c r="G2" t="s">
        <v>209</v>
      </c>
      <c r="H2" t="s">
        <v>578</v>
      </c>
      <c r="I2">
        <v>7</v>
      </c>
      <c r="J2" t="s">
        <v>1250</v>
      </c>
      <c r="K2" t="s">
        <v>1251</v>
      </c>
      <c r="L2" t="s">
        <v>1252</v>
      </c>
      <c r="M2" t="s">
        <v>1253</v>
      </c>
      <c r="N2" t="s">
        <v>1254</v>
      </c>
      <c r="O2" t="s">
        <v>1255</v>
      </c>
      <c r="P2" t="s">
        <v>1256</v>
      </c>
      <c r="Q2" t="s">
        <v>677</v>
      </c>
      <c r="R2" s="218">
        <v>9.977268518518519E-3</v>
      </c>
      <c r="S2" s="219">
        <v>0</v>
      </c>
      <c r="T2" s="219">
        <v>7.8472222222222221E-2</v>
      </c>
    </row>
    <row r="3" spans="1:26">
      <c r="A3">
        <v>182</v>
      </c>
      <c r="B3">
        <v>40</v>
      </c>
      <c r="C3">
        <v>2</v>
      </c>
      <c r="D3" t="s">
        <v>1257</v>
      </c>
      <c r="E3">
        <v>143565</v>
      </c>
      <c r="F3" t="s">
        <v>665</v>
      </c>
      <c r="G3" t="s">
        <v>209</v>
      </c>
      <c r="H3" t="s">
        <v>578</v>
      </c>
      <c r="I3">
        <v>7</v>
      </c>
      <c r="J3" t="s">
        <v>1258</v>
      </c>
      <c r="K3" t="s">
        <v>1259</v>
      </c>
      <c r="L3" t="s">
        <v>1260</v>
      </c>
      <c r="M3" t="s">
        <v>1261</v>
      </c>
      <c r="N3" t="s">
        <v>1262</v>
      </c>
      <c r="O3" t="s">
        <v>1263</v>
      </c>
      <c r="P3" t="s">
        <v>1264</v>
      </c>
      <c r="Q3" t="s">
        <v>677</v>
      </c>
      <c r="R3" s="218">
        <v>1.0918680555555555E-2</v>
      </c>
      <c r="S3" s="219">
        <v>2.7777777777777779E-3</v>
      </c>
      <c r="T3" s="219">
        <v>0.13472222222222222</v>
      </c>
    </row>
    <row r="4" spans="1:26">
      <c r="A4">
        <v>162</v>
      </c>
      <c r="B4" t="s">
        <v>887</v>
      </c>
      <c r="C4">
        <v>3</v>
      </c>
      <c r="D4" t="s">
        <v>1265</v>
      </c>
      <c r="E4" t="s">
        <v>670</v>
      </c>
      <c r="F4">
        <v>0</v>
      </c>
      <c r="G4" t="s">
        <v>209</v>
      </c>
      <c r="H4" t="s">
        <v>578</v>
      </c>
      <c r="I4">
        <v>4</v>
      </c>
      <c r="J4" t="s">
        <v>677</v>
      </c>
      <c r="K4" t="s">
        <v>677</v>
      </c>
      <c r="L4" t="s">
        <v>1266</v>
      </c>
      <c r="M4" t="s">
        <v>1267</v>
      </c>
      <c r="N4" t="s">
        <v>677</v>
      </c>
      <c r="O4" t="s">
        <v>1268</v>
      </c>
      <c r="P4" t="s">
        <v>1269</v>
      </c>
      <c r="Q4" t="s">
        <v>677</v>
      </c>
      <c r="R4" s="218">
        <v>6.6884722222222215E-3</v>
      </c>
      <c r="S4" s="219">
        <v>7.6388888888888886E-3</v>
      </c>
      <c r="T4" t="s">
        <v>682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Z3"/>
  <sheetViews>
    <sheetView workbookViewId="0">
      <selection sqref="A1:Z3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188</v>
      </c>
      <c r="B2">
        <v>83</v>
      </c>
      <c r="C2">
        <v>1</v>
      </c>
      <c r="D2" t="s">
        <v>1270</v>
      </c>
      <c r="E2" t="s">
        <v>663</v>
      </c>
      <c r="F2" t="s">
        <v>665</v>
      </c>
      <c r="G2" t="s">
        <v>209</v>
      </c>
      <c r="H2" t="s">
        <v>599</v>
      </c>
      <c r="I2">
        <v>4</v>
      </c>
      <c r="J2" t="s">
        <v>677</v>
      </c>
      <c r="K2" t="s">
        <v>677</v>
      </c>
      <c r="L2" t="s">
        <v>1271</v>
      </c>
      <c r="M2" t="s">
        <v>1272</v>
      </c>
      <c r="N2" t="s">
        <v>677</v>
      </c>
      <c r="O2" t="s">
        <v>1273</v>
      </c>
      <c r="P2" t="s">
        <v>1274</v>
      </c>
      <c r="Q2" t="s">
        <v>677</v>
      </c>
      <c r="R2" s="218">
        <v>6.7966435185185178E-3</v>
      </c>
      <c r="S2" s="219">
        <v>5.5555555555555558E-3</v>
      </c>
      <c r="T2" t="s">
        <v>682</v>
      </c>
    </row>
    <row r="3" spans="1:26">
      <c r="A3">
        <v>3</v>
      </c>
      <c r="B3">
        <v>85</v>
      </c>
      <c r="C3">
        <v>2</v>
      </c>
      <c r="D3" t="s">
        <v>1275</v>
      </c>
      <c r="E3" t="s">
        <v>664</v>
      </c>
      <c r="F3" t="s">
        <v>665</v>
      </c>
      <c r="G3" t="s">
        <v>209</v>
      </c>
      <c r="H3" t="s">
        <v>599</v>
      </c>
      <c r="I3">
        <v>4</v>
      </c>
      <c r="J3" t="s">
        <v>677</v>
      </c>
      <c r="K3" t="s">
        <v>677</v>
      </c>
      <c r="L3" t="s">
        <v>1276</v>
      </c>
      <c r="M3" t="s">
        <v>1277</v>
      </c>
      <c r="N3" t="s">
        <v>677</v>
      </c>
      <c r="O3" t="s">
        <v>1278</v>
      </c>
      <c r="P3" t="s">
        <v>1279</v>
      </c>
      <c r="Q3" t="s">
        <v>677</v>
      </c>
      <c r="R3" s="218">
        <v>7.0832638888888889E-3</v>
      </c>
      <c r="S3" s="219">
        <v>1.3888888888888889E-3</v>
      </c>
      <c r="T3" t="s">
        <v>682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Z13"/>
  <sheetViews>
    <sheetView workbookViewId="0">
      <selection sqref="A1:R13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132</v>
      </c>
      <c r="B2" t="s">
        <v>887</v>
      </c>
      <c r="C2">
        <v>1</v>
      </c>
      <c r="D2" t="s">
        <v>1280</v>
      </c>
      <c r="E2" t="s">
        <v>671</v>
      </c>
      <c r="F2" t="s">
        <v>665</v>
      </c>
      <c r="G2" t="s">
        <v>209</v>
      </c>
      <c r="H2" t="s">
        <v>627</v>
      </c>
      <c r="I2">
        <v>5</v>
      </c>
      <c r="J2" t="s">
        <v>677</v>
      </c>
      <c r="K2" t="s">
        <v>677</v>
      </c>
      <c r="L2" t="s">
        <v>1281</v>
      </c>
      <c r="M2" t="s">
        <v>1282</v>
      </c>
      <c r="N2" s="4" t="s">
        <v>1283</v>
      </c>
      <c r="O2" t="s">
        <v>1284</v>
      </c>
      <c r="P2" t="s">
        <v>1285</v>
      </c>
      <c r="Q2" t="s">
        <v>677</v>
      </c>
      <c r="R2" s="218">
        <v>1.7230717592592589E-2</v>
      </c>
      <c r="S2" t="s">
        <v>682</v>
      </c>
      <c r="T2" t="s">
        <v>682</v>
      </c>
    </row>
    <row r="3" spans="1:26">
      <c r="A3">
        <v>117</v>
      </c>
      <c r="B3">
        <v>73</v>
      </c>
      <c r="C3">
        <v>2</v>
      </c>
      <c r="D3" t="s">
        <v>1286</v>
      </c>
      <c r="E3">
        <v>99368</v>
      </c>
      <c r="F3" t="s">
        <v>665</v>
      </c>
      <c r="G3" t="s">
        <v>209</v>
      </c>
      <c r="H3" t="s">
        <v>627</v>
      </c>
      <c r="I3">
        <v>4</v>
      </c>
      <c r="J3" t="s">
        <v>677</v>
      </c>
      <c r="K3" t="s">
        <v>677</v>
      </c>
      <c r="L3" t="s">
        <v>1287</v>
      </c>
      <c r="M3" t="s">
        <v>1288</v>
      </c>
      <c r="N3" t="s">
        <v>677</v>
      </c>
      <c r="O3" t="s">
        <v>1289</v>
      </c>
      <c r="P3" t="s">
        <v>1290</v>
      </c>
      <c r="Q3" t="s">
        <v>677</v>
      </c>
      <c r="R3" s="218">
        <v>5.7050462962962957E-3</v>
      </c>
      <c r="S3" s="219">
        <v>1.3888888888888888E-2</v>
      </c>
      <c r="T3" t="s">
        <v>682</v>
      </c>
    </row>
    <row r="4" spans="1:26">
      <c r="A4">
        <v>156</v>
      </c>
      <c r="B4">
        <v>74</v>
      </c>
      <c r="C4">
        <v>3</v>
      </c>
      <c r="D4" t="s">
        <v>1291</v>
      </c>
      <c r="E4">
        <v>142458</v>
      </c>
      <c r="F4" t="s">
        <v>665</v>
      </c>
      <c r="G4" t="s">
        <v>209</v>
      </c>
      <c r="H4" t="s">
        <v>627</v>
      </c>
      <c r="I4">
        <v>4</v>
      </c>
      <c r="J4" t="s">
        <v>677</v>
      </c>
      <c r="K4" t="s">
        <v>677</v>
      </c>
      <c r="L4" t="s">
        <v>1292</v>
      </c>
      <c r="M4" t="s">
        <v>1293</v>
      </c>
      <c r="N4" t="s">
        <v>677</v>
      </c>
      <c r="O4" t="s">
        <v>1294</v>
      </c>
      <c r="P4" t="s">
        <v>1295</v>
      </c>
      <c r="Q4" t="s">
        <v>677</v>
      </c>
      <c r="R4" s="218">
        <v>5.7440277777777776E-3</v>
      </c>
      <c r="S4" s="219">
        <v>2.0833333333333333E-3</v>
      </c>
      <c r="T4" t="s">
        <v>682</v>
      </c>
    </row>
    <row r="5" spans="1:26">
      <c r="A5">
        <v>131</v>
      </c>
      <c r="B5">
        <v>75</v>
      </c>
      <c r="C5">
        <v>4</v>
      </c>
      <c r="D5" t="s">
        <v>1296</v>
      </c>
      <c r="E5">
        <v>143542</v>
      </c>
      <c r="F5" t="s">
        <v>665</v>
      </c>
      <c r="G5" t="s">
        <v>209</v>
      </c>
      <c r="H5" t="s">
        <v>627</v>
      </c>
      <c r="I5">
        <v>4</v>
      </c>
      <c r="J5" t="s">
        <v>677</v>
      </c>
      <c r="K5" t="s">
        <v>677</v>
      </c>
      <c r="L5" t="s">
        <v>1297</v>
      </c>
      <c r="M5" t="s">
        <v>1298</v>
      </c>
      <c r="N5" t="s">
        <v>677</v>
      </c>
      <c r="O5" t="s">
        <v>1299</v>
      </c>
      <c r="P5" t="s">
        <v>1300</v>
      </c>
      <c r="Q5" t="s">
        <v>677</v>
      </c>
      <c r="R5" s="218">
        <v>5.7605671296296302E-3</v>
      </c>
      <c r="S5" s="219">
        <v>6.9444444444444447E-4</v>
      </c>
      <c r="T5" t="s">
        <v>682</v>
      </c>
    </row>
    <row r="6" spans="1:26">
      <c r="A6">
        <v>198</v>
      </c>
      <c r="B6">
        <v>82</v>
      </c>
      <c r="C6">
        <v>5</v>
      </c>
      <c r="D6" t="s">
        <v>1301</v>
      </c>
      <c r="E6">
        <v>0</v>
      </c>
      <c r="F6">
        <v>0</v>
      </c>
      <c r="G6" t="s">
        <v>209</v>
      </c>
      <c r="H6" t="s">
        <v>627</v>
      </c>
      <c r="I6">
        <v>4</v>
      </c>
      <c r="J6" t="s">
        <v>677</v>
      </c>
      <c r="K6" t="s">
        <v>677</v>
      </c>
      <c r="L6" t="s">
        <v>1302</v>
      </c>
      <c r="M6" t="s">
        <v>1303</v>
      </c>
      <c r="N6" t="s">
        <v>677</v>
      </c>
      <c r="O6" t="s">
        <v>1304</v>
      </c>
      <c r="P6" t="s">
        <v>1305</v>
      </c>
      <c r="Q6" t="s">
        <v>677</v>
      </c>
      <c r="R6" s="218">
        <v>6.703344907407407E-3</v>
      </c>
      <c r="S6" s="219">
        <v>6.9444444444444447E-4</v>
      </c>
      <c r="T6" t="s">
        <v>682</v>
      </c>
    </row>
    <row r="7" spans="1:26">
      <c r="A7">
        <v>150</v>
      </c>
      <c r="B7">
        <v>86</v>
      </c>
      <c r="C7">
        <v>6</v>
      </c>
      <c r="D7" t="s">
        <v>1306</v>
      </c>
      <c r="E7">
        <v>120796</v>
      </c>
      <c r="F7" t="s">
        <v>665</v>
      </c>
      <c r="G7" t="s">
        <v>209</v>
      </c>
      <c r="H7" t="s">
        <v>627</v>
      </c>
      <c r="I7">
        <v>4</v>
      </c>
      <c r="J7" t="s">
        <v>677</v>
      </c>
      <c r="K7" t="s">
        <v>677</v>
      </c>
      <c r="L7" t="s">
        <v>1307</v>
      </c>
      <c r="M7" t="s">
        <v>1308</v>
      </c>
      <c r="N7" t="s">
        <v>677</v>
      </c>
      <c r="O7" t="s">
        <v>1309</v>
      </c>
      <c r="P7" t="s">
        <v>1310</v>
      </c>
      <c r="Q7" t="s">
        <v>677</v>
      </c>
      <c r="R7" s="218">
        <v>7.4465393518518518E-3</v>
      </c>
      <c r="S7" s="219">
        <v>2.1527777777777781E-2</v>
      </c>
      <c r="T7" t="s">
        <v>682</v>
      </c>
    </row>
    <row r="8" spans="1:26">
      <c r="A8">
        <v>129</v>
      </c>
      <c r="B8">
        <v>88</v>
      </c>
      <c r="C8">
        <v>7</v>
      </c>
      <c r="D8" t="s">
        <v>1311</v>
      </c>
      <c r="E8">
        <v>137158</v>
      </c>
      <c r="F8" t="s">
        <v>665</v>
      </c>
      <c r="G8" t="s">
        <v>209</v>
      </c>
      <c r="H8" t="s">
        <v>627</v>
      </c>
      <c r="I8">
        <v>4</v>
      </c>
      <c r="J8" t="s">
        <v>677</v>
      </c>
      <c r="K8" t="s">
        <v>677</v>
      </c>
      <c r="L8" t="s">
        <v>1312</v>
      </c>
      <c r="M8" t="s">
        <v>1313</v>
      </c>
      <c r="N8" t="s">
        <v>677</v>
      </c>
      <c r="O8" t="s">
        <v>1314</v>
      </c>
      <c r="P8" t="s">
        <v>1315</v>
      </c>
      <c r="Q8" t="s">
        <v>677</v>
      </c>
      <c r="R8" s="218">
        <v>7.8920601851851842E-3</v>
      </c>
      <c r="S8" s="219">
        <v>1.8749999999999999E-2</v>
      </c>
      <c r="T8" t="s">
        <v>682</v>
      </c>
    </row>
    <row r="9" spans="1:26">
      <c r="A9">
        <v>113</v>
      </c>
      <c r="B9" t="s">
        <v>887</v>
      </c>
      <c r="C9">
        <v>8</v>
      </c>
      <c r="D9" t="s">
        <v>1316</v>
      </c>
      <c r="E9" t="s">
        <v>673</v>
      </c>
      <c r="F9">
        <v>0</v>
      </c>
      <c r="G9" t="s">
        <v>209</v>
      </c>
      <c r="H9" t="s">
        <v>627</v>
      </c>
      <c r="I9">
        <v>3</v>
      </c>
      <c r="J9" t="s">
        <v>677</v>
      </c>
      <c r="K9" t="s">
        <v>677</v>
      </c>
      <c r="L9" t="s">
        <v>1317</v>
      </c>
      <c r="M9" t="s">
        <v>677</v>
      </c>
      <c r="N9" t="s">
        <v>677</v>
      </c>
      <c r="O9" t="s">
        <v>1318</v>
      </c>
      <c r="P9" t="s">
        <v>1319</v>
      </c>
      <c r="Q9" t="s">
        <v>677</v>
      </c>
      <c r="R9" s="218">
        <v>4.9003472222222217E-3</v>
      </c>
      <c r="S9" t="s">
        <v>682</v>
      </c>
      <c r="T9" t="s">
        <v>682</v>
      </c>
    </row>
    <row r="10" spans="1:26">
      <c r="A10">
        <v>151</v>
      </c>
      <c r="B10" t="s">
        <v>887</v>
      </c>
      <c r="C10">
        <v>9</v>
      </c>
      <c r="D10" t="s">
        <v>1320</v>
      </c>
      <c r="E10">
        <v>137166</v>
      </c>
      <c r="F10" t="s">
        <v>665</v>
      </c>
      <c r="G10" t="s">
        <v>209</v>
      </c>
      <c r="H10" t="s">
        <v>627</v>
      </c>
      <c r="I10">
        <v>3</v>
      </c>
      <c r="J10" t="s">
        <v>677</v>
      </c>
      <c r="K10" t="s">
        <v>677</v>
      </c>
      <c r="L10" t="s">
        <v>677</v>
      </c>
      <c r="M10" t="s">
        <v>1321</v>
      </c>
      <c r="N10" t="s">
        <v>677</v>
      </c>
      <c r="O10" t="s">
        <v>1322</v>
      </c>
      <c r="P10" t="s">
        <v>1323</v>
      </c>
      <c r="Q10" t="s">
        <v>677</v>
      </c>
      <c r="R10" s="218">
        <v>5.7989351851851847E-3</v>
      </c>
      <c r="S10" s="219">
        <v>5.4166666666666669E-2</v>
      </c>
      <c r="T10" t="s">
        <v>682</v>
      </c>
    </row>
    <row r="11" spans="1:26">
      <c r="A11">
        <v>118</v>
      </c>
      <c r="B11" t="s">
        <v>887</v>
      </c>
      <c r="C11">
        <v>10</v>
      </c>
      <c r="D11" t="s">
        <v>1324</v>
      </c>
      <c r="E11" t="s">
        <v>672</v>
      </c>
      <c r="F11" t="s">
        <v>665</v>
      </c>
      <c r="G11" t="s">
        <v>209</v>
      </c>
      <c r="H11" t="s">
        <v>627</v>
      </c>
      <c r="I11">
        <v>2</v>
      </c>
      <c r="J11" t="s">
        <v>677</v>
      </c>
      <c r="K11" t="s">
        <v>677</v>
      </c>
      <c r="L11" t="s">
        <v>1325</v>
      </c>
      <c r="M11" t="s">
        <v>1326</v>
      </c>
      <c r="N11" t="s">
        <v>677</v>
      </c>
      <c r="O11" t="s">
        <v>677</v>
      </c>
      <c r="P11" t="s">
        <v>677</v>
      </c>
      <c r="Q11" t="s">
        <v>677</v>
      </c>
      <c r="R11" s="218">
        <v>5.0508680555555558E-3</v>
      </c>
      <c r="S11" s="219">
        <v>0.11805555555555557</v>
      </c>
      <c r="T11" t="s">
        <v>682</v>
      </c>
    </row>
    <row r="12" spans="1:26">
      <c r="A12">
        <v>147</v>
      </c>
      <c r="B12" t="s">
        <v>887</v>
      </c>
      <c r="C12">
        <v>11</v>
      </c>
      <c r="D12" t="s">
        <v>1327</v>
      </c>
      <c r="E12">
        <v>144734</v>
      </c>
      <c r="F12" t="s">
        <v>665</v>
      </c>
      <c r="G12" t="s">
        <v>209</v>
      </c>
      <c r="H12" t="s">
        <v>627</v>
      </c>
      <c r="I12">
        <v>1</v>
      </c>
      <c r="J12" t="s">
        <v>677</v>
      </c>
      <c r="K12" t="s">
        <v>677</v>
      </c>
      <c r="L12" t="s">
        <v>677</v>
      </c>
      <c r="M12" t="s">
        <v>1328</v>
      </c>
      <c r="N12" t="s">
        <v>677</v>
      </c>
      <c r="O12" t="s">
        <v>677</v>
      </c>
      <c r="P12" t="s">
        <v>677</v>
      </c>
      <c r="Q12" t="s">
        <v>677</v>
      </c>
      <c r="R12" s="218">
        <v>2.480578703703704E-3</v>
      </c>
      <c r="S12" t="s">
        <v>682</v>
      </c>
      <c r="T12" t="s">
        <v>682</v>
      </c>
    </row>
    <row r="13" spans="1:26">
      <c r="A13">
        <v>105</v>
      </c>
      <c r="B13" t="s">
        <v>887</v>
      </c>
      <c r="C13">
        <v>12</v>
      </c>
      <c r="D13" t="s">
        <v>1329</v>
      </c>
      <c r="E13">
        <v>137157</v>
      </c>
      <c r="F13" t="s">
        <v>665</v>
      </c>
      <c r="G13" t="s">
        <v>209</v>
      </c>
      <c r="H13" t="s">
        <v>627</v>
      </c>
      <c r="I13">
        <v>0</v>
      </c>
      <c r="J13" t="s">
        <v>677</v>
      </c>
      <c r="K13" t="s">
        <v>677</v>
      </c>
      <c r="L13" t="s">
        <v>677</v>
      </c>
      <c r="M13" t="s">
        <v>677</v>
      </c>
      <c r="N13" t="s">
        <v>677</v>
      </c>
      <c r="O13" t="s">
        <v>677</v>
      </c>
      <c r="P13" t="s">
        <v>677</v>
      </c>
      <c r="Q13" t="s">
        <v>677</v>
      </c>
      <c r="R13" s="218">
        <v>0</v>
      </c>
      <c r="S13" t="s">
        <v>682</v>
      </c>
      <c r="T13" t="s">
        <v>682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Z5"/>
  <sheetViews>
    <sheetView workbookViewId="0">
      <selection sqref="A1:Z5"/>
    </sheetView>
  </sheetViews>
  <sheetFormatPr defaultRowHeight="12.75"/>
  <sheetData>
    <row r="1" spans="1:26" ht="99">
      <c r="A1" s="174" t="s">
        <v>72</v>
      </c>
      <c r="B1" s="174" t="s">
        <v>108</v>
      </c>
      <c r="C1" s="174" t="s">
        <v>98</v>
      </c>
      <c r="D1" s="174" t="s">
        <v>135</v>
      </c>
      <c r="E1" s="174" t="s">
        <v>630</v>
      </c>
      <c r="F1" s="174" t="s">
        <v>302</v>
      </c>
      <c r="G1" s="174" t="s">
        <v>23</v>
      </c>
      <c r="H1" s="174" t="s">
        <v>109</v>
      </c>
      <c r="I1" s="174" t="s">
        <v>110</v>
      </c>
      <c r="J1" s="174" t="s">
        <v>24</v>
      </c>
      <c r="K1" s="174" t="s">
        <v>25</v>
      </c>
      <c r="L1" s="174" t="s">
        <v>26</v>
      </c>
      <c r="M1" s="174" t="s">
        <v>27</v>
      </c>
      <c r="N1" s="174" t="s">
        <v>28</v>
      </c>
      <c r="O1" s="174" t="s">
        <v>605</v>
      </c>
      <c r="P1" s="174" t="s">
        <v>606</v>
      </c>
      <c r="Q1" s="174" t="s">
        <v>128</v>
      </c>
      <c r="R1" s="174" t="s">
        <v>32</v>
      </c>
      <c r="S1" s="174" t="s">
        <v>494</v>
      </c>
      <c r="T1" s="174" t="s">
        <v>117</v>
      </c>
      <c r="U1" s="174" t="s">
        <v>248</v>
      </c>
      <c r="V1" s="174" t="s">
        <v>492</v>
      </c>
      <c r="W1" s="173"/>
      <c r="X1" s="173"/>
      <c r="Y1" s="173"/>
      <c r="Z1" s="173"/>
    </row>
    <row r="2" spans="1:26">
      <c r="A2">
        <v>161</v>
      </c>
      <c r="B2">
        <v>71</v>
      </c>
      <c r="C2">
        <v>1</v>
      </c>
      <c r="D2" t="s">
        <v>1330</v>
      </c>
      <c r="E2">
        <v>122103</v>
      </c>
      <c r="F2" t="s">
        <v>665</v>
      </c>
      <c r="G2" t="s">
        <v>210</v>
      </c>
      <c r="H2" t="s">
        <v>628</v>
      </c>
      <c r="I2">
        <v>4</v>
      </c>
      <c r="J2" t="s">
        <v>677</v>
      </c>
      <c r="K2" t="s">
        <v>677</v>
      </c>
      <c r="L2" t="s">
        <v>1331</v>
      </c>
      <c r="M2" t="s">
        <v>1332</v>
      </c>
      <c r="N2" t="s">
        <v>677</v>
      </c>
      <c r="O2" t="s">
        <v>1333</v>
      </c>
      <c r="P2" t="s">
        <v>1334</v>
      </c>
      <c r="Q2" t="s">
        <v>677</v>
      </c>
      <c r="R2" s="218">
        <v>5.3633101851851854E-3</v>
      </c>
      <c r="S2" s="219">
        <v>6.9444444444444447E-4</v>
      </c>
      <c r="T2" t="s">
        <v>682</v>
      </c>
    </row>
    <row r="3" spans="1:26">
      <c r="A3">
        <v>1</v>
      </c>
      <c r="B3">
        <v>79</v>
      </c>
      <c r="C3">
        <v>2</v>
      </c>
      <c r="D3" t="s">
        <v>1335</v>
      </c>
      <c r="E3">
        <v>131114</v>
      </c>
      <c r="F3" t="s">
        <v>665</v>
      </c>
      <c r="G3" t="s">
        <v>210</v>
      </c>
      <c r="H3" t="s">
        <v>628</v>
      </c>
      <c r="I3">
        <v>4</v>
      </c>
      <c r="J3" t="s">
        <v>677</v>
      </c>
      <c r="K3" t="s">
        <v>677</v>
      </c>
      <c r="L3" t="s">
        <v>1336</v>
      </c>
      <c r="M3" t="s">
        <v>1337</v>
      </c>
      <c r="N3" t="s">
        <v>677</v>
      </c>
      <c r="O3" t="s">
        <v>1338</v>
      </c>
      <c r="P3" t="s">
        <v>1339</v>
      </c>
      <c r="Q3" t="s">
        <v>677</v>
      </c>
      <c r="R3" s="218">
        <v>6.2865393518518531E-3</v>
      </c>
      <c r="S3" s="219">
        <v>1.5277777777777777E-2</v>
      </c>
      <c r="T3" t="s">
        <v>682</v>
      </c>
    </row>
    <row r="4" spans="1:26">
      <c r="A4">
        <v>122</v>
      </c>
      <c r="B4">
        <v>81</v>
      </c>
      <c r="C4">
        <v>3</v>
      </c>
      <c r="D4" t="s">
        <v>1340</v>
      </c>
      <c r="E4">
        <v>144267</v>
      </c>
      <c r="F4" t="s">
        <v>665</v>
      </c>
      <c r="G4" t="s">
        <v>210</v>
      </c>
      <c r="H4" t="s">
        <v>628</v>
      </c>
      <c r="I4">
        <v>4</v>
      </c>
      <c r="J4" t="s">
        <v>677</v>
      </c>
      <c r="K4" t="s">
        <v>677</v>
      </c>
      <c r="L4" t="s">
        <v>1341</v>
      </c>
      <c r="M4" t="s">
        <v>1342</v>
      </c>
      <c r="N4" t="s">
        <v>677</v>
      </c>
      <c r="O4" t="s">
        <v>1343</v>
      </c>
      <c r="P4" t="s">
        <v>1344</v>
      </c>
      <c r="Q4" t="s">
        <v>677</v>
      </c>
      <c r="R4" s="218">
        <v>6.5574652777777784E-3</v>
      </c>
      <c r="S4" s="219">
        <v>6.9444444444444447E-4</v>
      </c>
      <c r="T4" t="s">
        <v>682</v>
      </c>
    </row>
    <row r="5" spans="1:26">
      <c r="A5">
        <v>160</v>
      </c>
      <c r="B5">
        <v>84</v>
      </c>
      <c r="C5">
        <v>4</v>
      </c>
      <c r="D5" t="s">
        <v>1345</v>
      </c>
      <c r="E5">
        <v>122102</v>
      </c>
      <c r="F5">
        <v>0</v>
      </c>
      <c r="G5" t="s">
        <v>210</v>
      </c>
      <c r="H5" t="s">
        <v>628</v>
      </c>
      <c r="I5">
        <v>4</v>
      </c>
      <c r="J5" t="s">
        <v>677</v>
      </c>
      <c r="K5" t="s">
        <v>677</v>
      </c>
      <c r="L5" t="s">
        <v>1346</v>
      </c>
      <c r="M5" t="s">
        <v>1347</v>
      </c>
      <c r="N5" t="s">
        <v>677</v>
      </c>
      <c r="O5" t="s">
        <v>1348</v>
      </c>
      <c r="P5" t="s">
        <v>1349</v>
      </c>
      <c r="Q5" t="s">
        <v>677</v>
      </c>
      <c r="R5" s="218">
        <v>7.0623611111111121E-3</v>
      </c>
      <c r="S5" s="219">
        <v>9.7222222222222224E-3</v>
      </c>
      <c r="T5" t="s">
        <v>682</v>
      </c>
    </row>
  </sheetData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10</vt:i4>
      </vt:variant>
    </vt:vector>
  </HeadingPairs>
  <TitlesOfParts>
    <vt:vector size="48" baseType="lpstr">
      <vt:lpstr>Intro</vt:lpstr>
      <vt:lpstr>Helpers</vt:lpstr>
      <vt:lpstr>EntryList</vt:lpstr>
      <vt:lpstr>ID Numbers</vt:lpstr>
      <vt:lpstr>W2W</vt:lpstr>
      <vt:lpstr>AgeCategories</vt:lpstr>
      <vt:lpstr>PrintedResults</vt:lpstr>
      <vt:lpstr>DownloadResults</vt:lpstr>
      <vt:lpstr>SavedDownload</vt:lpstr>
      <vt:lpstr>SortedDownload</vt:lpstr>
      <vt:lpstr>CompareExcelwithSheetsResults</vt:lpstr>
      <vt:lpstr>OverallResults</vt:lpstr>
      <vt:lpstr>CategoryResults</vt:lpstr>
      <vt:lpstr>TeamResults</vt:lpstr>
      <vt:lpstr>SeriesPoints</vt:lpstr>
      <vt:lpstr>Results1-250</vt:lpstr>
      <vt:lpstr>Results251-500</vt:lpstr>
      <vt:lpstr>PrintableResults</vt:lpstr>
      <vt:lpstr>CheckPointPrintableResults</vt:lpstr>
      <vt:lpstr>Nipper Boys</vt:lpstr>
      <vt:lpstr>Sprog Boys</vt:lpstr>
      <vt:lpstr>Sub Junior Boys</vt:lpstr>
      <vt:lpstr>Youth Men</vt:lpstr>
      <vt:lpstr>Junior Men</vt:lpstr>
      <vt:lpstr>Under-23 Men</vt:lpstr>
      <vt:lpstr>Elite Men</vt:lpstr>
      <vt:lpstr>Sub Vet Men</vt:lpstr>
      <vt:lpstr>Vet Men</vt:lpstr>
      <vt:lpstr>Master Men</vt:lpstr>
      <vt:lpstr>Sprog Girls</vt:lpstr>
      <vt:lpstr>Junior Women</vt:lpstr>
      <vt:lpstr>Sub Vet Women</vt:lpstr>
      <vt:lpstr>Vet Women</vt:lpstr>
      <vt:lpstr>Master Women</vt:lpstr>
      <vt:lpstr>E-Bike M</vt:lpstr>
      <vt:lpstr>E-Bike Lite M</vt:lpstr>
      <vt:lpstr>Sports Lite M</vt:lpstr>
      <vt:lpstr>Sports Lite F</vt:lpstr>
      <vt:lpstr>Colheaders</vt:lpstr>
      <vt:lpstr>CategoryResults!Extract</vt:lpstr>
      <vt:lpstr>DownloadResults!Print_Area</vt:lpstr>
      <vt:lpstr>OverallResults!Print_Area</vt:lpstr>
      <vt:lpstr>PrintableResults!Print_Area</vt:lpstr>
      <vt:lpstr>PrintedResults!Print_Area</vt:lpstr>
      <vt:lpstr>'Results1-250'!Print_Area</vt:lpstr>
      <vt:lpstr>SavedDownload!Print_Area</vt:lpstr>
      <vt:lpstr>SortedDownload!Print_Area</vt:lpstr>
      <vt:lpstr>Print_Titles</vt:lpstr>
    </vt:vector>
  </TitlesOfParts>
  <Company>iTime Africa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user</cp:lastModifiedBy>
  <cp:lastPrinted>2022-09-25T15:24:03Z</cp:lastPrinted>
  <dcterms:created xsi:type="dcterms:W3CDTF">2012-07-07T09:54:27Z</dcterms:created>
  <dcterms:modified xsi:type="dcterms:W3CDTF">2022-11-01T15:40:56Z</dcterms:modified>
</cp:coreProperties>
</file>